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ThisWorkbook"/>
  <bookViews>
    <workbookView xWindow="0" yWindow="0" windowWidth="27360" windowHeight="13890" tabRatio="911" firstSheet="5" activeTab="25"/>
  </bookViews>
  <sheets>
    <sheet name="CLEAR_SHEET" sheetId="88" state="hidden" r:id="rId1"/>
    <sheet name="Introduction" sheetId="1" r:id="rId2"/>
    <sheet name="Change log" sheetId="92" r:id="rId3"/>
    <sheet name="Validation" sheetId="2" r:id="rId4"/>
    <sheet name="Section 1 -&gt;" sheetId="3" r:id="rId5"/>
    <sheet name="1A" sheetId="4" r:id="rId6"/>
    <sheet name="1B" sheetId="5" r:id="rId7"/>
    <sheet name="1C" sheetId="6" r:id="rId8"/>
    <sheet name="1D" sheetId="7" r:id="rId9"/>
    <sheet name="1E" sheetId="8" r:id="rId10"/>
    <sheet name="1F" sheetId="95" r:id="rId11"/>
    <sheet name="Section 2 -&gt;" sheetId="9" r:id="rId12"/>
    <sheet name="2A" sheetId="11" r:id="rId13"/>
    <sheet name="2B" sheetId="12" r:id="rId14"/>
    <sheet name="2C" sheetId="13" r:id="rId15"/>
    <sheet name="2D" sheetId="14" r:id="rId16"/>
    <sheet name="2E" sheetId="15" r:id="rId17"/>
    <sheet name="2F - SWT" sheetId="16" r:id="rId18"/>
    <sheet name="2G" sheetId="17" r:id="rId19"/>
    <sheet name="2H" sheetId="18" r:id="rId20"/>
    <sheet name="2I - SWT" sheetId="19" r:id="rId21"/>
    <sheet name="2J" sheetId="44" r:id="rId22"/>
    <sheet name="2K" sheetId="96" r:id="rId23"/>
    <sheet name="Section 3 -&gt;" sheetId="20" r:id="rId24"/>
    <sheet name="3A - SWT" sheetId="21" r:id="rId25"/>
    <sheet name="3B - SWT" sheetId="22" r:id="rId26"/>
    <sheet name="3C" sheetId="23" r:id="rId27"/>
    <sheet name="3D - SWT" sheetId="24" r:id="rId28"/>
    <sheet name="3S - SWT" sheetId="86" r:id="rId29"/>
    <sheet name="Section 4 -&gt;" sheetId="25" r:id="rId30"/>
    <sheet name="4A - SWT" sheetId="26" r:id="rId31"/>
    <sheet name="4B" sheetId="27" r:id="rId32"/>
    <sheet name="4C" sheetId="28" r:id="rId33"/>
    <sheet name="4D" sheetId="29" r:id="rId34"/>
    <sheet name="4E" sheetId="30" r:id="rId35"/>
    <sheet name="4F" sheetId="31" r:id="rId36"/>
    <sheet name="4G" sheetId="32" r:id="rId37"/>
    <sheet name="4H" sheetId="33" r:id="rId38"/>
    <sheet name="4I" sheetId="34" r:id="rId39"/>
    <sheet name="4J" sheetId="63" r:id="rId40"/>
    <sheet name="4K" sheetId="64" r:id="rId41"/>
    <sheet name="4L" sheetId="65" r:id="rId42"/>
    <sheet name="4M" sheetId="66" r:id="rId43"/>
    <sheet name="4N" sheetId="67" r:id="rId44"/>
    <sheet name="4O" sheetId="68" r:id="rId45"/>
    <sheet name="4P" sheetId="69" r:id="rId46"/>
    <sheet name="4Q" sheetId="70" r:id="rId47"/>
    <sheet name="4R" sheetId="71" r:id="rId48"/>
    <sheet name="4S" sheetId="72" r:id="rId49"/>
    <sheet name="4T" sheetId="73" r:id="rId50"/>
    <sheet name="4U" sheetId="74" r:id="rId51"/>
    <sheet name="4V" sheetId="75" r:id="rId52"/>
    <sheet name="4W" sheetId="76" r:id="rId53"/>
    <sheet name="Other -&gt;" sheetId="78" r:id="rId54"/>
    <sheet name="Bioresources" sheetId="87" r:id="rId55"/>
    <sheet name="F_Outputs (group)" sheetId="80" r:id="rId56"/>
    <sheet name="F_Outputs" sheetId="97" r:id="rId57"/>
    <sheet name="Lists" sheetId="35" state="hidden" r:id="rId58"/>
    <sheet name="PC LIST" sheetId="36" state="hidden" r:id="rId59"/>
    <sheet name="PC list edited" sheetId="37" state="hidden" r:id="rId60"/>
    <sheet name="SUB LIST" sheetId="38" state="hidden" r:id="rId61"/>
    <sheet name="SUB list edited" sheetId="39" state="hidden" r:id="rId62"/>
    <sheet name="Water" sheetId="40" state="hidden" r:id="rId63"/>
    <sheet name="Sewerage" sheetId="41" state="hidden" r:id="rId64"/>
    <sheet name="Water PR16" sheetId="89" state="hidden" r:id="rId65"/>
    <sheet name="Sewerage PR16" sheetId="90" state="hidden" r:id="rId66"/>
    <sheet name="LWTW" sheetId="84" state="hidden" r:id="rId67"/>
  </sheets>
  <externalReferences>
    <externalReference r:id="rId68"/>
    <externalReference r:id="rId69"/>
  </externalReferences>
  <definedNames>
    <definedName name="_xlnm._FilterDatabase" localSheetId="24" hidden="1">'3A - SWT'!$A$4:$AI$60</definedName>
    <definedName name="_xlnm._FilterDatabase" localSheetId="58">'PC LIST'!$A$2:$CB$529</definedName>
    <definedName name="_xlnm._FilterDatabase" localSheetId="59">'PC list edited'!$A$1:$B$529</definedName>
    <definedName name="_xlnm._FilterDatabase" localSheetId="63">Sewerage!$A$1:$G$30</definedName>
    <definedName name="_xlnm._FilterDatabase" localSheetId="60">'SUB LIST'!$A$2:$AT$207</definedName>
    <definedName name="_xlnm._FilterDatabase" localSheetId="62">Water!$A$1:$R$25</definedName>
    <definedName name="_xlnm.Print_Area" localSheetId="5">'1A'!$B$1:$M$40</definedName>
    <definedName name="_xlnm.Print_Area" localSheetId="6">'1B'!$B$1:$M$15</definedName>
    <definedName name="_xlnm.Print_Area" localSheetId="7">'1C'!$B$1:$M$56</definedName>
    <definedName name="_xlnm.Print_Area" localSheetId="8">'1D'!$B$1:$M$42</definedName>
    <definedName name="_xlnm.Print_Area" localSheetId="9">'1E'!$B$1:$M$29</definedName>
    <definedName name="_xlnm.Print_Area" localSheetId="10">'1F'!$B$1:$T$48</definedName>
    <definedName name="_xlnm.Print_Area" localSheetId="12">'2A'!$B$1:$S$26</definedName>
    <definedName name="_xlnm.Print_Area" localSheetId="13">'2B'!$B$1:$O$45</definedName>
    <definedName name="_xlnm.Print_Area" localSheetId="14">'2C'!$A$1:$K$27</definedName>
    <definedName name="_xlnm.Print_Area" localSheetId="15">'2D'!$B$1:$Q$33</definedName>
    <definedName name="_xlnm.Print_Area" localSheetId="16">'2E'!$B$1:$L$55</definedName>
    <definedName name="_xlnm.Print_Area" localSheetId="17">'2F - SWT'!$B$1:$K$17</definedName>
    <definedName name="_xlnm.Print_Area" localSheetId="18">'2G'!$B$1:$L$40</definedName>
    <definedName name="_xlnm.Print_Area" localSheetId="19">'2H'!$B$1:$L$43</definedName>
    <definedName name="_xlnm.Print_Area" localSheetId="20">'2I - SWT'!$B$1:$L$59</definedName>
    <definedName name="_xlnm.Print_Area" localSheetId="21">'2J'!$B$1:$K$22</definedName>
    <definedName name="_xlnm.Print_Area" localSheetId="22">'2K'!$B$1:$K$20</definedName>
    <definedName name="_xlnm.Print_Area" localSheetId="24">'3A - SWT'!$B$1:$S$66</definedName>
    <definedName name="_xlnm.Print_Area" localSheetId="25">'3B - SWT'!$B$1:$M$50</definedName>
    <definedName name="_xlnm.Print_Area" localSheetId="26">'3C'!$B$1:$L$36</definedName>
    <definedName name="_xlnm.Print_Area" localSheetId="27">'3D - SWT'!$B$1:$I$20</definedName>
    <definedName name="_xlnm.Print_Area" localSheetId="28">'3S - SWT'!$B$2:$LC$75</definedName>
    <definedName name="_xlnm.Print_Area" localSheetId="30">'4A - SWT'!$B$1:$J$23</definedName>
    <definedName name="_xlnm.Print_Area" localSheetId="31">'4B'!$B$1:$N$29</definedName>
    <definedName name="_xlnm.Print_Area" localSheetId="32">'4C'!$B$1:$K$17</definedName>
    <definedName name="_xlnm.Print_Area" localSheetId="33">'4D'!$B$1:$P$56</definedName>
    <definedName name="_xlnm.Print_Area" localSheetId="34">'4E'!$B$1:$R$58</definedName>
    <definedName name="_xlnm.Print_Area" localSheetId="35">'4F'!$B$1:$R$37</definedName>
    <definedName name="_xlnm.Print_Area" localSheetId="36">'4G'!$B$1:$M$24</definedName>
    <definedName name="_xlnm.Print_Area" localSheetId="37">'4H'!$B$1:$K$53</definedName>
    <definedName name="_xlnm.Print_Area" localSheetId="38">'4I'!$B$1:$R$50</definedName>
    <definedName name="_xlnm.Print_Area" localSheetId="39">'4J'!$B$1:$P$58</definedName>
    <definedName name="_xlnm.Print_Area" localSheetId="40">'4K'!$B$1:$R$58</definedName>
    <definedName name="_xlnm.Print_Area" localSheetId="41">'4L'!$B$1:$W$51</definedName>
    <definedName name="_xlnm.Print_Area" localSheetId="42">'4M'!$B$1:$AA$58</definedName>
    <definedName name="_xlnm.Print_Area" localSheetId="43">'4N'!$B$1:$J$27</definedName>
    <definedName name="_xlnm.Print_Area" localSheetId="44">'4O'!$B$1:$CI$29</definedName>
    <definedName name="_xlnm.Print_Area" localSheetId="45">'4P'!$B$1:$J$129</definedName>
    <definedName name="_xlnm.Print_Area" localSheetId="46">'4Q'!$B$1:$J$43</definedName>
    <definedName name="_xlnm.Print_Area" localSheetId="47">'4R'!$B$1:$J$61</definedName>
    <definedName name="_xlnm.Print_Area" localSheetId="48">'4S'!$B$1:$AI$44</definedName>
    <definedName name="_xlnm.Print_Area" localSheetId="49">'4T'!$B$1:$K$28</definedName>
    <definedName name="_xlnm.Print_Area" localSheetId="50">'4U'!$B$1:$J$37</definedName>
    <definedName name="_xlnm.Print_Area" localSheetId="51">'4V'!$B$1:$Q$42</definedName>
    <definedName name="_xlnm.Print_Area" localSheetId="52">'4W'!$B$1:$R$74</definedName>
    <definedName name="_xlnm.Print_Area" localSheetId="54">Bioresources!$B$1:$I$47</definedName>
    <definedName name="_xlnm.Print_Area" localSheetId="1">Introduction!$A$1:$C$35</definedName>
    <definedName name="_xlnm.Print_Area" localSheetId="3">Validation!$A$1:$E$45</definedName>
    <definedName name="_xlnm.Print_Titles" localSheetId="44">'4O'!$A:$F</definedName>
    <definedName name="Z_0D666283_CADB_464A_974F_FFED8E45FEBD_.wvu.Cols" localSheetId="15">'2D'!$AJ:$XFD</definedName>
    <definedName name="Z_0D666283_CADB_464A_974F_FFED8E45FEBD_.wvu.Cols" localSheetId="30">'4A - SWT'!$Q:$XFD</definedName>
    <definedName name="Z_0D666283_CADB_464A_974F_FFED8E45FEBD_.wvu.Cols" localSheetId="53">'Other -&gt;'!$1:$1048576</definedName>
    <definedName name="Z_0D666283_CADB_464A_974F_FFED8E45FEBD_.wvu.Cols" localSheetId="4">'Section 1 -&gt;'!$1:$1048576</definedName>
    <definedName name="Z_0D666283_CADB_464A_974F_FFED8E45FEBD_.wvu.Cols" localSheetId="11">'Section 2 -&gt;'!$1:$1048576</definedName>
    <definedName name="Z_0D666283_CADB_464A_974F_FFED8E45FEBD_.wvu.Cols" localSheetId="23">'Section 3 -&gt;'!$1:$1048576</definedName>
    <definedName name="Z_0D666283_CADB_464A_974F_FFED8E45FEBD_.wvu.Cols" localSheetId="29">'Section 4 -&gt;'!$1:$1048576</definedName>
    <definedName name="Z_0D666283_CADB_464A_974F_FFED8E45FEBD_.wvu.FilterData" localSheetId="59">'PC list edited'!$A$1:$B$529</definedName>
    <definedName name="Z_0D666283_CADB_464A_974F_FFED8E45FEBD_.wvu.FilterData" localSheetId="63">Sewerage!$A$1:$G$30</definedName>
    <definedName name="Z_0D666283_CADB_464A_974F_FFED8E45FEBD_.wvu.FilterData" localSheetId="62">Water!$A$1:$R$25</definedName>
    <definedName name="Z_0D666283_CADB_464A_974F_FFED8E45FEBD_.wvu.Rows" localSheetId="53">'Other -&gt;'!$36:$1048576,'Other -&gt;'!$1:$35</definedName>
    <definedName name="Z_0D666283_CADB_464A_974F_FFED8E45FEBD_.wvu.Rows" localSheetId="4">'Section 1 -&gt;'!$36:$1048576,'Section 1 -&gt;'!$1:$35</definedName>
    <definedName name="Z_0D666283_CADB_464A_974F_FFED8E45FEBD_.wvu.Rows" localSheetId="11">'Section 2 -&gt;'!$36:$1048576,'Section 2 -&gt;'!$1:$35</definedName>
    <definedName name="Z_0D666283_CADB_464A_974F_FFED8E45FEBD_.wvu.Rows" localSheetId="23">'Section 3 -&gt;'!$36:$1048576,'Section 3 -&gt;'!$1:$35</definedName>
    <definedName name="Z_0D666283_CADB_464A_974F_FFED8E45FEBD_.wvu.Rows" localSheetId="29">'Section 4 -&gt;'!$36:$1048576,'Section 4 -&gt;'!$1:$35</definedName>
    <definedName name="Z_3BF63FB9_9E69_4F23_B37F_22932F355A10_.wvu.Cols" localSheetId="15">'2D'!$AJ:$XFD</definedName>
    <definedName name="Z_3BF63FB9_9E69_4F23_B37F_22932F355A10_.wvu.Cols" localSheetId="30">'4A - SWT'!$Q:$XFD</definedName>
    <definedName name="Z_3BF63FB9_9E69_4F23_B37F_22932F355A10_.wvu.Cols" localSheetId="53">'Other -&gt;'!$1:$1048576</definedName>
    <definedName name="Z_3BF63FB9_9E69_4F23_B37F_22932F355A10_.wvu.Cols" localSheetId="4">'Section 1 -&gt;'!$1:$1048576</definedName>
    <definedName name="Z_3BF63FB9_9E69_4F23_B37F_22932F355A10_.wvu.Cols" localSheetId="11">'Section 2 -&gt;'!$1:$1048576</definedName>
    <definedName name="Z_3BF63FB9_9E69_4F23_B37F_22932F355A10_.wvu.Cols" localSheetId="23">'Section 3 -&gt;'!$1:$1048576</definedName>
    <definedName name="Z_3BF63FB9_9E69_4F23_B37F_22932F355A10_.wvu.Cols" localSheetId="29">'Section 4 -&gt;'!$1:$1048576</definedName>
    <definedName name="Z_3BF63FB9_9E69_4F23_B37F_22932F355A10_.wvu.FilterData" localSheetId="59">'PC list edited'!$A$1:$B$529</definedName>
    <definedName name="Z_3BF63FB9_9E69_4F23_B37F_22932F355A10_.wvu.FilterData" localSheetId="63">Sewerage!$A$1:$G$30</definedName>
    <definedName name="Z_3BF63FB9_9E69_4F23_B37F_22932F355A10_.wvu.FilterData" localSheetId="62">Water!$A$1:$R$25</definedName>
    <definedName name="Z_3BF63FB9_9E69_4F23_B37F_22932F355A10_.wvu.Rows" localSheetId="53">'Other -&gt;'!$36:$1048576,'Other -&gt;'!$1:$35</definedName>
    <definedName name="Z_3BF63FB9_9E69_4F23_B37F_22932F355A10_.wvu.Rows" localSheetId="4">'Section 1 -&gt;'!$36:$1048576,'Section 1 -&gt;'!$1:$35</definedName>
    <definedName name="Z_3BF63FB9_9E69_4F23_B37F_22932F355A10_.wvu.Rows" localSheetId="11">'Section 2 -&gt;'!$36:$1048576,'Section 2 -&gt;'!$1:$35</definedName>
    <definedName name="Z_3BF63FB9_9E69_4F23_B37F_22932F355A10_.wvu.Rows" localSheetId="23">'Section 3 -&gt;'!$36:$1048576,'Section 3 -&gt;'!$1:$35</definedName>
    <definedName name="Z_3BF63FB9_9E69_4F23_B37F_22932F355A10_.wvu.Rows" localSheetId="29">'Section 4 -&gt;'!$36:$1048576,'Section 4 -&gt;'!$1:$35</definedName>
    <definedName name="Z_A683DE68_74F1_44FC_875D_47ACE58076E1_.wvu.Cols" localSheetId="15">'2D'!$AJ:$XFD</definedName>
    <definedName name="Z_A683DE68_74F1_44FC_875D_47ACE58076E1_.wvu.Cols" localSheetId="30">'4A - SWT'!$Q:$XFD</definedName>
    <definedName name="Z_A683DE68_74F1_44FC_875D_47ACE58076E1_.wvu.Cols" localSheetId="53">'Other -&gt;'!$1:$1048576</definedName>
    <definedName name="Z_A683DE68_74F1_44FC_875D_47ACE58076E1_.wvu.Cols" localSheetId="4">'Section 1 -&gt;'!$1:$1048576</definedName>
    <definedName name="Z_A683DE68_74F1_44FC_875D_47ACE58076E1_.wvu.Cols" localSheetId="11">'Section 2 -&gt;'!$1:$1048576</definedName>
    <definedName name="Z_A683DE68_74F1_44FC_875D_47ACE58076E1_.wvu.Cols" localSheetId="23">'Section 3 -&gt;'!$1:$1048576</definedName>
    <definedName name="Z_A683DE68_74F1_44FC_875D_47ACE58076E1_.wvu.Cols" localSheetId="29">'Section 4 -&gt;'!$1:$1048576</definedName>
    <definedName name="Z_A683DE68_74F1_44FC_875D_47ACE58076E1_.wvu.FilterData" localSheetId="59">'PC list edited'!$A$1:$B$529</definedName>
    <definedName name="Z_A683DE68_74F1_44FC_875D_47ACE58076E1_.wvu.FilterData" localSheetId="63">Sewerage!$A$1:$G$30</definedName>
    <definedName name="Z_A683DE68_74F1_44FC_875D_47ACE58076E1_.wvu.FilterData" localSheetId="62">Water!$A$1:$R$25</definedName>
    <definedName name="Z_A683DE68_74F1_44FC_875D_47ACE58076E1_.wvu.Rows" localSheetId="53">'Other -&gt;'!$36:$1048576,'Other -&gt;'!$1:$35</definedName>
    <definedName name="Z_A683DE68_74F1_44FC_875D_47ACE58076E1_.wvu.Rows" localSheetId="4">'Section 1 -&gt;'!$36:$1048576,'Section 1 -&gt;'!$1:$35</definedName>
    <definedName name="Z_A683DE68_74F1_44FC_875D_47ACE58076E1_.wvu.Rows" localSheetId="11">'Section 2 -&gt;'!$36:$1048576,'Section 2 -&gt;'!$1:$35</definedName>
    <definedName name="Z_A683DE68_74F1_44FC_875D_47ACE58076E1_.wvu.Rows" localSheetId="23">'Section 3 -&gt;'!$36:$1048576,'Section 3 -&gt;'!$1:$35</definedName>
    <definedName name="Z_A683DE68_74F1_44FC_875D_47ACE58076E1_.wvu.Rows" localSheetId="29">'Section 4 -&gt;'!$36:$1048576,'Section 4 -&gt;'!$1:$35</definedName>
    <definedName name="Z_B6110306_7EDB_4112_9F29_7D9801D46B38_.wvu.Cols" localSheetId="15">'2D'!$AJ:$XFD</definedName>
    <definedName name="Z_B6110306_7EDB_4112_9F29_7D9801D46B38_.wvu.Cols" localSheetId="30">'4A - SWT'!$Q:$XFD</definedName>
    <definedName name="Z_B6110306_7EDB_4112_9F29_7D9801D46B38_.wvu.Cols" localSheetId="53">'Other -&gt;'!$1:$1048576</definedName>
    <definedName name="Z_B6110306_7EDB_4112_9F29_7D9801D46B38_.wvu.Cols" localSheetId="4">'Section 1 -&gt;'!$1:$1048576</definedName>
    <definedName name="Z_B6110306_7EDB_4112_9F29_7D9801D46B38_.wvu.Cols" localSheetId="11">'Section 2 -&gt;'!$1:$1048576</definedName>
    <definedName name="Z_B6110306_7EDB_4112_9F29_7D9801D46B38_.wvu.Cols" localSheetId="23">'Section 3 -&gt;'!$1:$1048576</definedName>
    <definedName name="Z_B6110306_7EDB_4112_9F29_7D9801D46B38_.wvu.Cols" localSheetId="29">'Section 4 -&gt;'!$1:$1048576</definedName>
    <definedName name="Z_B6110306_7EDB_4112_9F29_7D9801D46B38_.wvu.FilterData" localSheetId="59">'PC list edited'!$A$1:$B$529</definedName>
    <definedName name="Z_B6110306_7EDB_4112_9F29_7D9801D46B38_.wvu.FilterData" localSheetId="63">Sewerage!$A$1:$G$30</definedName>
    <definedName name="Z_B6110306_7EDB_4112_9F29_7D9801D46B38_.wvu.FilterData" localSheetId="62">Water!$A$1:$R$25</definedName>
    <definedName name="Z_B6110306_7EDB_4112_9F29_7D9801D46B38_.wvu.Rows" localSheetId="53">'Other -&gt;'!$2:$1048576,'Other -&gt;'!$1:$1</definedName>
    <definedName name="Z_B6110306_7EDB_4112_9F29_7D9801D46B38_.wvu.Rows" localSheetId="4">'Section 1 -&gt;'!$2:$1048576,'Section 1 -&gt;'!$1:$1</definedName>
    <definedName name="Z_B6110306_7EDB_4112_9F29_7D9801D46B38_.wvu.Rows" localSheetId="11">'Section 2 -&gt;'!$2:$1048576,'Section 2 -&gt;'!$1:$1</definedName>
    <definedName name="Z_B6110306_7EDB_4112_9F29_7D9801D46B38_.wvu.Rows" localSheetId="23">'Section 3 -&gt;'!$2:$1048576,'Section 3 -&gt;'!$1:$1</definedName>
    <definedName name="Z_B6110306_7EDB_4112_9F29_7D9801D46B38_.wvu.Rows" localSheetId="29">'Section 4 -&gt;'!$2:$1048576,'Section 4 -&gt;'!$1:$1</definedName>
    <definedName name="Z_C2AA8589_53C1_4273_B7EE_5FA5323CA1F5_.wvu.FilterData" localSheetId="59">'PC list edited'!$A$1:$B$529</definedName>
    <definedName name="Z_C2AA8589_53C1_4273_B7EE_5FA5323CA1F5_.wvu.FilterData" localSheetId="63">Sewerage!$A$1:$G$30</definedName>
    <definedName name="Z_C2AA8589_53C1_4273_B7EE_5FA5323CA1F5_.wvu.FilterData" localSheetId="62">Water!$A$1:$R$25</definedName>
    <definedName name="Z_C652482F_DA5C_42AD_B6EE_268877F72B6E_.wvu.Cols" localSheetId="15">'2D'!$AJ:$XFD</definedName>
    <definedName name="Z_C652482F_DA5C_42AD_B6EE_268877F72B6E_.wvu.Cols" localSheetId="30">'4A - SWT'!$Q:$XFD</definedName>
    <definedName name="Z_C652482F_DA5C_42AD_B6EE_268877F72B6E_.wvu.Cols" localSheetId="53">'Other -&gt;'!$1:$1048576</definedName>
    <definedName name="Z_C652482F_DA5C_42AD_B6EE_268877F72B6E_.wvu.Cols" localSheetId="4">'Section 1 -&gt;'!$1:$1048576</definedName>
    <definedName name="Z_C652482F_DA5C_42AD_B6EE_268877F72B6E_.wvu.Cols" localSheetId="11">'Section 2 -&gt;'!$1:$1048576</definedName>
    <definedName name="Z_C652482F_DA5C_42AD_B6EE_268877F72B6E_.wvu.Cols" localSheetId="23">'Section 3 -&gt;'!$1:$1048576</definedName>
    <definedName name="Z_C652482F_DA5C_42AD_B6EE_268877F72B6E_.wvu.Cols" localSheetId="29">'Section 4 -&gt;'!$1:$1048576</definedName>
    <definedName name="Z_C652482F_DA5C_42AD_B6EE_268877F72B6E_.wvu.FilterData" localSheetId="59">'PC list edited'!$A$1:$B$529</definedName>
    <definedName name="Z_C652482F_DA5C_42AD_B6EE_268877F72B6E_.wvu.FilterData" localSheetId="63">Sewerage!$A$1:$G$30</definedName>
    <definedName name="Z_C652482F_DA5C_42AD_B6EE_268877F72B6E_.wvu.FilterData" localSheetId="62">Water!$A$1:$R$25</definedName>
    <definedName name="Z_C652482F_DA5C_42AD_B6EE_268877F72B6E_.wvu.Rows" localSheetId="53">'Other -&gt;'!$36:$1048576,'Other -&gt;'!$1:$35</definedName>
    <definedName name="Z_C652482F_DA5C_42AD_B6EE_268877F72B6E_.wvu.Rows" localSheetId="4">'Section 1 -&gt;'!$36:$1048576,'Section 1 -&gt;'!$1:$35</definedName>
    <definedName name="Z_C652482F_DA5C_42AD_B6EE_268877F72B6E_.wvu.Rows" localSheetId="11">'Section 2 -&gt;'!$36:$1048576,'Section 2 -&gt;'!$1:$35</definedName>
    <definedName name="Z_C652482F_DA5C_42AD_B6EE_268877F72B6E_.wvu.Rows" localSheetId="23">'Section 3 -&gt;'!$36:$1048576,'Section 3 -&gt;'!$1:$35</definedName>
    <definedName name="Z_C652482F_DA5C_42AD_B6EE_268877F72B6E_.wvu.Rows" localSheetId="29">'Section 4 -&gt;'!$36:$1048576,'Section 4 -&gt;'!$1:$35</definedName>
    <definedName name="Z_FCCFC11C_78D7_49AB_93F6_D160FB23647D_.wvu.FilterData" localSheetId="59">'PC list edited'!$A$1:$B$529</definedName>
    <definedName name="Z_FCCFC11C_78D7_49AB_93F6_D160FB23647D_.wvu.FilterData" localSheetId="63">Sewerage!$A$1:$G$30</definedName>
    <definedName name="Z_FCCFC11C_78D7_49AB_93F6_D160FB23647D_.wvu.FilterData" localSheetId="62">Water!$A$1:$R$25</definedName>
  </definedNam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8" i="22"/>
  <c r="I27"/>
  <c r="I26"/>
  <c r="I25"/>
  <c r="I24"/>
  <c r="I23"/>
  <c r="I22"/>
  <c r="I21"/>
  <c r="I20"/>
  <c r="I19"/>
  <c r="I18"/>
  <c r="I17"/>
  <c r="I16"/>
  <c r="I15"/>
  <c r="I14"/>
  <c r="I13"/>
  <c r="I12"/>
  <c r="I11"/>
  <c r="I10"/>
  <c r="I9"/>
  <c r="I8"/>
  <c r="I7"/>
  <c r="I6"/>
  <c r="I5"/>
  <c r="J6"/>
  <c r="J7"/>
  <c r="J8"/>
  <c r="J9"/>
  <c r="J10"/>
  <c r="J11"/>
  <c r="J12"/>
  <c r="J13"/>
  <c r="J14"/>
  <c r="J15"/>
  <c r="J16"/>
  <c r="J17"/>
  <c r="J18"/>
  <c r="J19"/>
  <c r="J20"/>
  <c r="J21"/>
  <c r="J22"/>
  <c r="J23"/>
  <c r="J24"/>
  <c r="J25"/>
  <c r="J26"/>
  <c r="J27"/>
  <c r="J28"/>
  <c r="J5"/>
  <c r="G17" i="26" l="1"/>
  <c r="H16"/>
  <c r="G16"/>
  <c r="H15"/>
  <c r="G15"/>
  <c r="H9"/>
  <c r="G9"/>
  <c r="H8"/>
  <c r="G8"/>
  <c r="C118" i="86"/>
  <c r="C117"/>
  <c r="C116"/>
  <c r="C114"/>
  <c r="C113"/>
  <c r="C111"/>
  <c r="C110"/>
  <c r="C108"/>
  <c r="C107"/>
  <c r="C105"/>
  <c r="C104"/>
  <c r="C102"/>
  <c r="C101"/>
  <c r="C99"/>
  <c r="C98"/>
  <c r="C96"/>
  <c r="C95"/>
  <c r="C93"/>
  <c r="C92"/>
  <c r="C90"/>
  <c r="C89"/>
  <c r="C83"/>
  <c r="H71"/>
  <c r="LI71" s="1"/>
  <c r="LF71" s="1"/>
  <c r="LC71" s="1"/>
  <c r="G71"/>
  <c r="H70"/>
  <c r="LI70" s="1"/>
  <c r="LF70" s="1"/>
  <c r="LC70" s="1"/>
  <c r="G70"/>
  <c r="I69"/>
  <c r="H69"/>
  <c r="G69"/>
  <c r="F69"/>
  <c r="LM66"/>
  <c r="H66"/>
  <c r="LI66" s="1"/>
  <c r="G66"/>
  <c r="LN65"/>
  <c r="LM65"/>
  <c r="LJ65"/>
  <c r="LI65"/>
  <c r="LH65"/>
  <c r="LG65"/>
  <c r="M65"/>
  <c r="L65"/>
  <c r="I65"/>
  <c r="H65"/>
  <c r="G65"/>
  <c r="F65"/>
  <c r="T61"/>
  <c r="LU61" s="1"/>
  <c r="S61"/>
  <c r="P61"/>
  <c r="LQ61" s="1"/>
  <c r="O61"/>
  <c r="L61"/>
  <c r="LM61" s="1"/>
  <c r="K61"/>
  <c r="H61"/>
  <c r="LI61" s="1"/>
  <c r="G61"/>
  <c r="LV60"/>
  <c r="LU60"/>
  <c r="LT60"/>
  <c r="LS60"/>
  <c r="LR60"/>
  <c r="LQ60"/>
  <c r="LP60"/>
  <c r="LO60"/>
  <c r="LN60"/>
  <c r="LM60"/>
  <c r="LL60"/>
  <c r="LK60"/>
  <c r="LJ60"/>
  <c r="LI60"/>
  <c r="LH60"/>
  <c r="LG60"/>
  <c r="U60"/>
  <c r="T60"/>
  <c r="S60"/>
  <c r="R60"/>
  <c r="Q60"/>
  <c r="P60"/>
  <c r="O60"/>
  <c r="N60"/>
  <c r="M60"/>
  <c r="L60"/>
  <c r="K60"/>
  <c r="J60"/>
  <c r="I60"/>
  <c r="H60"/>
  <c r="G60"/>
  <c r="F60"/>
  <c r="AZ56"/>
  <c r="NA56" s="1"/>
  <c r="AY56"/>
  <c r="AV56"/>
  <c r="MW56" s="1"/>
  <c r="AU56"/>
  <c r="AR56"/>
  <c r="MS56" s="1"/>
  <c r="AQ56"/>
  <c r="AN56"/>
  <c r="MO56" s="1"/>
  <c r="AM56"/>
  <c r="AJ56"/>
  <c r="MK56" s="1"/>
  <c r="AI56"/>
  <c r="AF56"/>
  <c r="MG56" s="1"/>
  <c r="AE56"/>
  <c r="AB56"/>
  <c r="MC56" s="1"/>
  <c r="AA56"/>
  <c r="X56"/>
  <c r="LY56" s="1"/>
  <c r="W56"/>
  <c r="T56"/>
  <c r="LU56" s="1"/>
  <c r="S56"/>
  <c r="P56"/>
  <c r="LQ56" s="1"/>
  <c r="O56"/>
  <c r="L56"/>
  <c r="LM56" s="1"/>
  <c r="K56"/>
  <c r="H56"/>
  <c r="LI56" s="1"/>
  <c r="G56"/>
  <c r="NB55"/>
  <c r="NA55"/>
  <c r="MZ55"/>
  <c r="MY55"/>
  <c r="MX55"/>
  <c r="MW55"/>
  <c r="MV55"/>
  <c r="MU55"/>
  <c r="MT55"/>
  <c r="MS55"/>
  <c r="MR55"/>
  <c r="MQ55"/>
  <c r="MP55"/>
  <c r="MO55"/>
  <c r="MN55"/>
  <c r="MM55"/>
  <c r="ML55"/>
  <c r="MK55"/>
  <c r="MJ55"/>
  <c r="MI55"/>
  <c r="MH55"/>
  <c r="MG55"/>
  <c r="MF55"/>
  <c r="ME55"/>
  <c r="MD55"/>
  <c r="MC55"/>
  <c r="MB55"/>
  <c r="MA55"/>
  <c r="LZ55"/>
  <c r="LY55"/>
  <c r="LX55"/>
  <c r="LW55"/>
  <c r="LV55"/>
  <c r="LU55"/>
  <c r="LT55"/>
  <c r="LS55"/>
  <c r="LR55"/>
  <c r="LQ55"/>
  <c r="LP55"/>
  <c r="LO55"/>
  <c r="LN55"/>
  <c r="LM55"/>
  <c r="LL55"/>
  <c r="LK55"/>
  <c r="LJ55"/>
  <c r="LI55"/>
  <c r="LH55"/>
  <c r="LG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MY54"/>
  <c r="MU54"/>
  <c r="MQ54"/>
  <c r="MM54"/>
  <c r="MI54"/>
  <c r="ME54"/>
  <c r="MA54"/>
  <c r="LW54"/>
  <c r="LS54"/>
  <c r="LO54"/>
  <c r="LK54"/>
  <c r="AX54"/>
  <c r="AT54"/>
  <c r="AP54"/>
  <c r="AL54"/>
  <c r="AH54"/>
  <c r="AD54"/>
  <c r="Z54"/>
  <c r="V54"/>
  <c r="R54"/>
  <c r="N54"/>
  <c r="J54"/>
  <c r="MY53"/>
  <c r="MU53"/>
  <c r="MQ53"/>
  <c r="MM53"/>
  <c r="MI53"/>
  <c r="ME53"/>
  <c r="MA53"/>
  <c r="LW53"/>
  <c r="LS53"/>
  <c r="LO53"/>
  <c r="LK53"/>
  <c r="AX53"/>
  <c r="AT53"/>
  <c r="AP53"/>
  <c r="AL53"/>
  <c r="AH53"/>
  <c r="AD53"/>
  <c r="Z53"/>
  <c r="V53"/>
  <c r="R53"/>
  <c r="N53"/>
  <c r="J53"/>
  <c r="AZ50"/>
  <c r="NA50" s="1"/>
  <c r="AY50"/>
  <c r="AV50"/>
  <c r="MW50" s="1"/>
  <c r="AU50"/>
  <c r="AR50"/>
  <c r="MS50" s="1"/>
  <c r="AQ50"/>
  <c r="AN50"/>
  <c r="MO50" s="1"/>
  <c r="AM50"/>
  <c r="AJ50"/>
  <c r="MK50" s="1"/>
  <c r="AI50"/>
  <c r="AF50"/>
  <c r="MG50" s="1"/>
  <c r="AE50"/>
  <c r="AB50"/>
  <c r="MC50" s="1"/>
  <c r="AA50"/>
  <c r="X50"/>
  <c r="LY50" s="1"/>
  <c r="W50"/>
  <c r="T50"/>
  <c r="LU50" s="1"/>
  <c r="S50"/>
  <c r="P50"/>
  <c r="LQ50" s="1"/>
  <c r="O50"/>
  <c r="L50"/>
  <c r="LM50" s="1"/>
  <c r="K50"/>
  <c r="H50"/>
  <c r="LI50" s="1"/>
  <c r="G50"/>
  <c r="NB49"/>
  <c r="NA49"/>
  <c r="MZ49"/>
  <c r="MY49"/>
  <c r="MX49"/>
  <c r="MW49"/>
  <c r="MV49"/>
  <c r="MU49"/>
  <c r="MT49"/>
  <c r="MS49"/>
  <c r="MR49"/>
  <c r="MQ49"/>
  <c r="MP49"/>
  <c r="MO49"/>
  <c r="MN49"/>
  <c r="MM49"/>
  <c r="ML49"/>
  <c r="MK49"/>
  <c r="MJ49"/>
  <c r="MI49"/>
  <c r="MH49"/>
  <c r="MG49"/>
  <c r="MF49"/>
  <c r="ME49"/>
  <c r="MD49"/>
  <c r="MC49"/>
  <c r="MB49"/>
  <c r="MA49"/>
  <c r="LZ49"/>
  <c r="LY49"/>
  <c r="LX49"/>
  <c r="LW49"/>
  <c r="LV49"/>
  <c r="LU49"/>
  <c r="LT49"/>
  <c r="LS49"/>
  <c r="LR49"/>
  <c r="LQ49"/>
  <c r="LP49"/>
  <c r="LO49"/>
  <c r="LN49"/>
  <c r="LM49"/>
  <c r="LL49"/>
  <c r="LK49"/>
  <c r="LJ49"/>
  <c r="LI49"/>
  <c r="LH49"/>
  <c r="LG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D49"/>
  <c r="M45"/>
  <c r="L45"/>
  <c r="LM45" s="1"/>
  <c r="H45"/>
  <c r="LI45" s="1"/>
  <c r="G45"/>
  <c r="LN44"/>
  <c r="LM44"/>
  <c r="LJ44"/>
  <c r="LI44"/>
  <c r="LH44"/>
  <c r="LG44"/>
  <c r="M44"/>
  <c r="L44"/>
  <c r="I44"/>
  <c r="H44"/>
  <c r="G44"/>
  <c r="F44"/>
  <c r="OS40"/>
  <c r="CZ40"/>
  <c r="PA40" s="1"/>
  <c r="CY40"/>
  <c r="CV40"/>
  <c r="OW40" s="1"/>
  <c r="CU40"/>
  <c r="CR40"/>
  <c r="CQ40"/>
  <c r="CN40"/>
  <c r="OO40" s="1"/>
  <c r="CM40"/>
  <c r="CJ40"/>
  <c r="OK40" s="1"/>
  <c r="CI40"/>
  <c r="CF40"/>
  <c r="OG40" s="1"/>
  <c r="CE40"/>
  <c r="CB40"/>
  <c r="OC40" s="1"/>
  <c r="CA40"/>
  <c r="BX40"/>
  <c r="NY40" s="1"/>
  <c r="BW40"/>
  <c r="BT40"/>
  <c r="NU40" s="1"/>
  <c r="BS40"/>
  <c r="BP40"/>
  <c r="NQ40" s="1"/>
  <c r="BO40"/>
  <c r="BL40"/>
  <c r="NM40" s="1"/>
  <c r="BK40"/>
  <c r="BH40"/>
  <c r="NI40" s="1"/>
  <c r="BG40"/>
  <c r="BD40"/>
  <c r="NE40" s="1"/>
  <c r="BC40"/>
  <c r="AZ40"/>
  <c r="NA40" s="1"/>
  <c r="AY40"/>
  <c r="AV40"/>
  <c r="MW40" s="1"/>
  <c r="AU40"/>
  <c r="AR40"/>
  <c r="MS40" s="1"/>
  <c r="AQ40"/>
  <c r="AN40"/>
  <c r="MO40" s="1"/>
  <c r="AM40"/>
  <c r="AJ40"/>
  <c r="MK40" s="1"/>
  <c r="AI40"/>
  <c r="AF40"/>
  <c r="MG40" s="1"/>
  <c r="AE40"/>
  <c r="AB40"/>
  <c r="MC40" s="1"/>
  <c r="AA40"/>
  <c r="X40"/>
  <c r="LY40" s="1"/>
  <c r="W40"/>
  <c r="T40"/>
  <c r="LU40" s="1"/>
  <c r="S40"/>
  <c r="P40"/>
  <c r="LQ40" s="1"/>
  <c r="O40"/>
  <c r="L40"/>
  <c r="LM40" s="1"/>
  <c r="K40"/>
  <c r="H40"/>
  <c r="LI40" s="1"/>
  <c r="G40"/>
  <c r="PB39"/>
  <c r="PA39"/>
  <c r="OZ39"/>
  <c r="OY39"/>
  <c r="OX39"/>
  <c r="OW39"/>
  <c r="OV39"/>
  <c r="OU39"/>
  <c r="OT39"/>
  <c r="OS39"/>
  <c r="OR39"/>
  <c r="OQ39"/>
  <c r="OP39"/>
  <c r="OO39"/>
  <c r="ON39"/>
  <c r="OM39"/>
  <c r="OL39"/>
  <c r="OK39"/>
  <c r="OJ39"/>
  <c r="OI39"/>
  <c r="OH39"/>
  <c r="OG39"/>
  <c r="OF39"/>
  <c r="OE39"/>
  <c r="OD39"/>
  <c r="OC39"/>
  <c r="OB39"/>
  <c r="OA39"/>
  <c r="NZ39"/>
  <c r="NY39"/>
  <c r="NX39"/>
  <c r="NW39"/>
  <c r="NV39"/>
  <c r="NU39"/>
  <c r="NT39"/>
  <c r="NS39"/>
  <c r="NR39"/>
  <c r="NQ39"/>
  <c r="NP39"/>
  <c r="NO39"/>
  <c r="NN39"/>
  <c r="NM39"/>
  <c r="NL39"/>
  <c r="NK39"/>
  <c r="NJ39"/>
  <c r="NI39"/>
  <c r="NH39"/>
  <c r="NG39"/>
  <c r="NF39"/>
  <c r="NE39"/>
  <c r="ND39"/>
  <c r="NC39"/>
  <c r="NB39"/>
  <c r="NA39"/>
  <c r="MZ39"/>
  <c r="MY39"/>
  <c r="MX39"/>
  <c r="MW39"/>
  <c r="MV39"/>
  <c r="MU39"/>
  <c r="MT39"/>
  <c r="MS39"/>
  <c r="MR39"/>
  <c r="MQ39"/>
  <c r="MP39"/>
  <c r="MO39"/>
  <c r="MN39"/>
  <c r="MM39"/>
  <c r="ML39"/>
  <c r="MK39"/>
  <c r="MJ39"/>
  <c r="MI39"/>
  <c r="MH39"/>
  <c r="MG39"/>
  <c r="MF39"/>
  <c r="ME39"/>
  <c r="MD39"/>
  <c r="MC39"/>
  <c r="MB39"/>
  <c r="MA39"/>
  <c r="LZ39"/>
  <c r="LY39"/>
  <c r="LX39"/>
  <c r="LW39"/>
  <c r="LV39"/>
  <c r="LU39"/>
  <c r="LT39"/>
  <c r="LS39"/>
  <c r="LR39"/>
  <c r="LQ39"/>
  <c r="LP39"/>
  <c r="LO39"/>
  <c r="LN39"/>
  <c r="LM39"/>
  <c r="LL39"/>
  <c r="LK39"/>
  <c r="LJ39"/>
  <c r="LI39"/>
  <c r="LH39"/>
  <c r="LG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BD34"/>
  <c r="NE34" s="1"/>
  <c r="BC34"/>
  <c r="AZ34"/>
  <c r="NA34" s="1"/>
  <c r="AY34"/>
  <c r="AV34"/>
  <c r="MW34" s="1"/>
  <c r="AU34"/>
  <c r="AR34"/>
  <c r="MS34" s="1"/>
  <c r="AQ34"/>
  <c r="AN34"/>
  <c r="MO34" s="1"/>
  <c r="AM34"/>
  <c r="AJ34"/>
  <c r="MK34" s="1"/>
  <c r="AI34"/>
  <c r="AF34"/>
  <c r="MG34" s="1"/>
  <c r="AE34"/>
  <c r="AB34"/>
  <c r="MC34" s="1"/>
  <c r="AA34"/>
  <c r="X34"/>
  <c r="LY34" s="1"/>
  <c r="W34"/>
  <c r="T34"/>
  <c r="LU34" s="1"/>
  <c r="S34"/>
  <c r="P34"/>
  <c r="LQ34" s="1"/>
  <c r="O34"/>
  <c r="L34"/>
  <c r="LM34" s="1"/>
  <c r="K34"/>
  <c r="H34"/>
  <c r="LI34" s="1"/>
  <c r="G34"/>
  <c r="NF33"/>
  <c r="NE33"/>
  <c r="ND33"/>
  <c r="NC33"/>
  <c r="NB33"/>
  <c r="NA33"/>
  <c r="MZ33"/>
  <c r="MY33"/>
  <c r="MX33"/>
  <c r="MW33"/>
  <c r="MV33"/>
  <c r="MU33"/>
  <c r="MT33"/>
  <c r="MS33"/>
  <c r="MR33"/>
  <c r="MQ33"/>
  <c r="MP33"/>
  <c r="MO33"/>
  <c r="MN33"/>
  <c r="MM33"/>
  <c r="ML33"/>
  <c r="MK33"/>
  <c r="MJ33"/>
  <c r="MI33"/>
  <c r="MH33"/>
  <c r="MG33"/>
  <c r="MF33"/>
  <c r="ME33"/>
  <c r="MD33"/>
  <c r="MC33"/>
  <c r="MB33"/>
  <c r="MA33"/>
  <c r="LZ33"/>
  <c r="LY33"/>
  <c r="LX33"/>
  <c r="LW33"/>
  <c r="LV33"/>
  <c r="LU33"/>
  <c r="LT33"/>
  <c r="LS33"/>
  <c r="LR33"/>
  <c r="LQ33"/>
  <c r="LP33"/>
  <c r="LO33"/>
  <c r="LN33"/>
  <c r="LM33"/>
  <c r="LL33"/>
  <c r="LK33"/>
  <c r="LJ33"/>
  <c r="LI33"/>
  <c r="LH33"/>
  <c r="LG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X29"/>
  <c r="LY29" s="1"/>
  <c r="W29"/>
  <c r="T29"/>
  <c r="LU29" s="1"/>
  <c r="S29"/>
  <c r="P29"/>
  <c r="LQ29" s="1"/>
  <c r="O29"/>
  <c r="L29"/>
  <c r="LM29" s="1"/>
  <c r="K29"/>
  <c r="H29"/>
  <c r="LI29" s="1"/>
  <c r="G29"/>
  <c r="LN28"/>
  <c r="LM28"/>
  <c r="LL28"/>
  <c r="LK28"/>
  <c r="LJ28"/>
  <c r="LI28"/>
  <c r="LH28"/>
  <c r="LG28"/>
  <c r="M28"/>
  <c r="L28"/>
  <c r="K28"/>
  <c r="J28"/>
  <c r="I28"/>
  <c r="H28"/>
  <c r="G28"/>
  <c r="F28"/>
  <c r="BH24"/>
  <c r="NI24" s="1"/>
  <c r="BG24"/>
  <c r="BD24"/>
  <c r="NE24" s="1"/>
  <c r="BC24"/>
  <c r="AZ24"/>
  <c r="NA24" s="1"/>
  <c r="AY24"/>
  <c r="AV24"/>
  <c r="MW24" s="1"/>
  <c r="AU24"/>
  <c r="AR24"/>
  <c r="MS24" s="1"/>
  <c r="AQ24"/>
  <c r="AN24"/>
  <c r="MO24" s="1"/>
  <c r="AM24"/>
  <c r="AJ24"/>
  <c r="MK24" s="1"/>
  <c r="AI24"/>
  <c r="AF24"/>
  <c r="MG24" s="1"/>
  <c r="AE24"/>
  <c r="AB24"/>
  <c r="MC24" s="1"/>
  <c r="AA24"/>
  <c r="X24"/>
  <c r="LY24" s="1"/>
  <c r="W24"/>
  <c r="T24"/>
  <c r="LU24" s="1"/>
  <c r="S24"/>
  <c r="P24"/>
  <c r="LQ24" s="1"/>
  <c r="O24"/>
  <c r="L24"/>
  <c r="LM24" s="1"/>
  <c r="K24"/>
  <c r="H24"/>
  <c r="LI24" s="1"/>
  <c r="G24"/>
  <c r="NJ23"/>
  <c r="NI23"/>
  <c r="NH23"/>
  <c r="NG23"/>
  <c r="NF23"/>
  <c r="NE23"/>
  <c r="ND23"/>
  <c r="NC23"/>
  <c r="NB23"/>
  <c r="NA23"/>
  <c r="MZ23"/>
  <c r="MY23"/>
  <c r="MX23"/>
  <c r="MW23"/>
  <c r="MV23"/>
  <c r="MU23"/>
  <c r="MT23"/>
  <c r="MS23"/>
  <c r="MR23"/>
  <c r="MQ23"/>
  <c r="MP23"/>
  <c r="MO23"/>
  <c r="MN23"/>
  <c r="MM23"/>
  <c r="ML23"/>
  <c r="MK23"/>
  <c r="MJ23"/>
  <c r="MI23"/>
  <c r="MH23"/>
  <c r="MG23"/>
  <c r="MF23"/>
  <c r="ME23"/>
  <c r="MD23"/>
  <c r="MC23"/>
  <c r="MB23"/>
  <c r="MA23"/>
  <c r="LZ23"/>
  <c r="LY23"/>
  <c r="LX23"/>
  <c r="LW23"/>
  <c r="LV23"/>
  <c r="LU23"/>
  <c r="LT23"/>
  <c r="LS23"/>
  <c r="LR23"/>
  <c r="LQ23"/>
  <c r="LP23"/>
  <c r="LO23"/>
  <c r="LN23"/>
  <c r="LM23"/>
  <c r="LL23"/>
  <c r="LK23"/>
  <c r="LJ23"/>
  <c r="LI23"/>
  <c r="LH23"/>
  <c r="LG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F23"/>
  <c r="E23"/>
  <c r="D23"/>
  <c r="XA19"/>
  <c r="WW19"/>
  <c r="WS19"/>
  <c r="WO19"/>
  <c r="WK19"/>
  <c r="WG19"/>
  <c r="WC19"/>
  <c r="VY19"/>
  <c r="VU19"/>
  <c r="VQ19"/>
  <c r="VM19"/>
  <c r="VI19"/>
  <c r="VE19"/>
  <c r="VA19"/>
  <c r="UW19"/>
  <c r="US19"/>
  <c r="UO19"/>
  <c r="UK19"/>
  <c r="UG19"/>
  <c r="UC19"/>
  <c r="TY19"/>
  <c r="TU19"/>
  <c r="TQ19"/>
  <c r="TM19"/>
  <c r="TI19"/>
  <c r="TE19"/>
  <c r="TA19"/>
  <c r="SW19"/>
  <c r="SS19"/>
  <c r="SO19"/>
  <c r="SK19"/>
  <c r="SG19"/>
  <c r="SC19"/>
  <c r="RY19"/>
  <c r="RU19"/>
  <c r="RQ19"/>
  <c r="RM19"/>
  <c r="RI19"/>
  <c r="RE19"/>
  <c r="RA19"/>
  <c r="QW19"/>
  <c r="QS19"/>
  <c r="QO19"/>
  <c r="QK19"/>
  <c r="QG19"/>
  <c r="QC19"/>
  <c r="PY19"/>
  <c r="PU19"/>
  <c r="PQ19"/>
  <c r="PM19"/>
  <c r="PI19"/>
  <c r="PE19"/>
  <c r="PA19"/>
  <c r="OW19"/>
  <c r="OS19"/>
  <c r="OO19"/>
  <c r="OK19"/>
  <c r="OG19"/>
  <c r="OC19"/>
  <c r="NY19"/>
  <c r="NU19"/>
  <c r="NQ19"/>
  <c r="NM19"/>
  <c r="NI19"/>
  <c r="NE19"/>
  <c r="NA19"/>
  <c r="MW19"/>
  <c r="MS19"/>
  <c r="MO19"/>
  <c r="MK19"/>
  <c r="MG19"/>
  <c r="MC19"/>
  <c r="LY19"/>
  <c r="LU19"/>
  <c r="LQ19"/>
  <c r="LM19"/>
  <c r="LI19"/>
  <c r="LF19" s="1"/>
  <c r="LC19" s="1"/>
  <c r="XA18"/>
  <c r="WW18"/>
  <c r="WS18"/>
  <c r="WO18"/>
  <c r="WK18"/>
  <c r="WG18"/>
  <c r="WC18"/>
  <c r="VY18"/>
  <c r="VU18"/>
  <c r="VQ18"/>
  <c r="VM18"/>
  <c r="VI18"/>
  <c r="VE18"/>
  <c r="VA18"/>
  <c r="UW18"/>
  <c r="US18"/>
  <c r="UO18"/>
  <c r="UK18"/>
  <c r="UG18"/>
  <c r="UC18"/>
  <c r="TY18"/>
  <c r="TU18"/>
  <c r="TQ18"/>
  <c r="TM18"/>
  <c r="TI18"/>
  <c r="TE18"/>
  <c r="TA18"/>
  <c r="SW18"/>
  <c r="SS18"/>
  <c r="SO18"/>
  <c r="SK18"/>
  <c r="SG18"/>
  <c r="SC18"/>
  <c r="RY18"/>
  <c r="RU18"/>
  <c r="RQ18"/>
  <c r="RM18"/>
  <c r="RI18"/>
  <c r="RE18"/>
  <c r="RA18"/>
  <c r="QW18"/>
  <c r="QS18"/>
  <c r="QO18"/>
  <c r="QK18"/>
  <c r="QG18"/>
  <c r="QC18"/>
  <c r="PY18"/>
  <c r="PU18"/>
  <c r="PQ18"/>
  <c r="PM18"/>
  <c r="PI18"/>
  <c r="PE18"/>
  <c r="PA18"/>
  <c r="OW18"/>
  <c r="OS18"/>
  <c r="OO18"/>
  <c r="OK18"/>
  <c r="OG18"/>
  <c r="OC18"/>
  <c r="NY18"/>
  <c r="NU18"/>
  <c r="NQ18"/>
  <c r="NM18"/>
  <c r="NI18"/>
  <c r="NE18"/>
  <c r="NA18"/>
  <c r="MW18"/>
  <c r="MS18"/>
  <c r="MO18"/>
  <c r="MK18"/>
  <c r="MG18"/>
  <c r="MC18"/>
  <c r="LY18"/>
  <c r="LU18"/>
  <c r="LQ18"/>
  <c r="LM18"/>
  <c r="LI18"/>
  <c r="XA17"/>
  <c r="WW17"/>
  <c r="WS17"/>
  <c r="WO17"/>
  <c r="WK17"/>
  <c r="WG17"/>
  <c r="WC17"/>
  <c r="VY17"/>
  <c r="VU17"/>
  <c r="VQ17"/>
  <c r="VM17"/>
  <c r="VI17"/>
  <c r="VE17"/>
  <c r="VA17"/>
  <c r="UW17"/>
  <c r="US17"/>
  <c r="UO17"/>
  <c r="UK17"/>
  <c r="UG17"/>
  <c r="UC17"/>
  <c r="TY17"/>
  <c r="TU17"/>
  <c r="TQ17"/>
  <c r="TM17"/>
  <c r="TI17"/>
  <c r="TE17"/>
  <c r="TA17"/>
  <c r="SW17"/>
  <c r="SS17"/>
  <c r="SO17"/>
  <c r="SK17"/>
  <c r="SG17"/>
  <c r="SC17"/>
  <c r="RY17"/>
  <c r="RU17"/>
  <c r="RQ17"/>
  <c r="RM17"/>
  <c r="RI17"/>
  <c r="RE17"/>
  <c r="RA17"/>
  <c r="QW17"/>
  <c r="QS17"/>
  <c r="QO17"/>
  <c r="QK17"/>
  <c r="QG17"/>
  <c r="QC17"/>
  <c r="PY17"/>
  <c r="PU17"/>
  <c r="PQ17"/>
  <c r="PM17"/>
  <c r="PI17"/>
  <c r="PE17"/>
  <c r="PA17"/>
  <c r="OW17"/>
  <c r="OS17"/>
  <c r="OO17"/>
  <c r="OK17"/>
  <c r="OG17"/>
  <c r="OC17"/>
  <c r="NY17"/>
  <c r="NU17"/>
  <c r="NQ17"/>
  <c r="NM17"/>
  <c r="NI17"/>
  <c r="NE17"/>
  <c r="NA17"/>
  <c r="MW17"/>
  <c r="MS17"/>
  <c r="MO17"/>
  <c r="MK17"/>
  <c r="MG17"/>
  <c r="MC17"/>
  <c r="LY17"/>
  <c r="LU17"/>
  <c r="LQ17"/>
  <c r="LM17"/>
  <c r="LI17"/>
  <c r="XA16"/>
  <c r="WW16"/>
  <c r="WS16"/>
  <c r="WO16"/>
  <c r="WK16"/>
  <c r="WG16"/>
  <c r="WC16"/>
  <c r="VY16"/>
  <c r="VU16"/>
  <c r="VQ16"/>
  <c r="VM16"/>
  <c r="VI16"/>
  <c r="VE16"/>
  <c r="VA16"/>
  <c r="UW16"/>
  <c r="US16"/>
  <c r="UO16"/>
  <c r="UK16"/>
  <c r="UG16"/>
  <c r="UC16"/>
  <c r="TY16"/>
  <c r="TU16"/>
  <c r="TQ16"/>
  <c r="TM16"/>
  <c r="TI16"/>
  <c r="TE16"/>
  <c r="TA16"/>
  <c r="SW16"/>
  <c r="SS16"/>
  <c r="SO16"/>
  <c r="SK16"/>
  <c r="SG16"/>
  <c r="SC16"/>
  <c r="RY16"/>
  <c r="RU16"/>
  <c r="RQ16"/>
  <c r="RM16"/>
  <c r="RI16"/>
  <c r="RE16"/>
  <c r="RA16"/>
  <c r="QW16"/>
  <c r="QS16"/>
  <c r="QO16"/>
  <c r="QK16"/>
  <c r="QG16"/>
  <c r="QC16"/>
  <c r="PY16"/>
  <c r="PU16"/>
  <c r="PQ16"/>
  <c r="PM16"/>
  <c r="PI16"/>
  <c r="PE16"/>
  <c r="PA16"/>
  <c r="OW16"/>
  <c r="OS16"/>
  <c r="OO16"/>
  <c r="OK16"/>
  <c r="OG16"/>
  <c r="OC16"/>
  <c r="NY16"/>
  <c r="NU16"/>
  <c r="NQ16"/>
  <c r="NM16"/>
  <c r="NI16"/>
  <c r="NE16"/>
  <c r="NA16"/>
  <c r="MW16"/>
  <c r="MS16"/>
  <c r="MO16"/>
  <c r="MK16"/>
  <c r="MG16"/>
  <c r="MC16"/>
  <c r="LY16"/>
  <c r="LU16"/>
  <c r="LQ16"/>
  <c r="LM16"/>
  <c r="LI16"/>
  <c r="KZ16"/>
  <c r="KY16"/>
  <c r="KV16"/>
  <c r="KU16"/>
  <c r="KR16"/>
  <c r="KQ16"/>
  <c r="KN16"/>
  <c r="KM16"/>
  <c r="KJ16"/>
  <c r="KI16"/>
  <c r="KF16"/>
  <c r="KE16"/>
  <c r="KB16"/>
  <c r="KA16"/>
  <c r="JX16"/>
  <c r="JW16"/>
  <c r="JT16"/>
  <c r="JS16"/>
  <c r="JP16"/>
  <c r="JO16"/>
  <c r="JL16"/>
  <c r="JK16"/>
  <c r="JH16"/>
  <c r="JG16"/>
  <c r="JD16"/>
  <c r="JC16"/>
  <c r="IZ16"/>
  <c r="IY16"/>
  <c r="IV16"/>
  <c r="IU16"/>
  <c r="IR16"/>
  <c r="IQ16"/>
  <c r="IN16"/>
  <c r="IM16"/>
  <c r="IJ16"/>
  <c r="II16"/>
  <c r="IF16"/>
  <c r="IE16"/>
  <c r="IB16"/>
  <c r="IA16"/>
  <c r="HX16"/>
  <c r="HW16"/>
  <c r="HT16"/>
  <c r="HS16"/>
  <c r="HP16"/>
  <c r="HO16"/>
  <c r="HL16"/>
  <c r="HK16"/>
  <c r="HH16"/>
  <c r="HG16"/>
  <c r="HD16"/>
  <c r="HC16"/>
  <c r="GZ16"/>
  <c r="GY16"/>
  <c r="GV16"/>
  <c r="GU16"/>
  <c r="GR16"/>
  <c r="GQ16"/>
  <c r="GN16"/>
  <c r="GM16"/>
  <c r="GJ16"/>
  <c r="GI16"/>
  <c r="GF16"/>
  <c r="GE16"/>
  <c r="GB16"/>
  <c r="GA16"/>
  <c r="FX16"/>
  <c r="FW16"/>
  <c r="FT16"/>
  <c r="FS16"/>
  <c r="FP16"/>
  <c r="FO16"/>
  <c r="FL16"/>
  <c r="FK16"/>
  <c r="FH16"/>
  <c r="FG16"/>
  <c r="FD16"/>
  <c r="FC16"/>
  <c r="EZ16"/>
  <c r="EY16"/>
  <c r="EV16"/>
  <c r="EU16"/>
  <c r="ER16"/>
  <c r="EQ16"/>
  <c r="EN16"/>
  <c r="EM16"/>
  <c r="EJ16"/>
  <c r="EI16"/>
  <c r="EF16"/>
  <c r="EE16"/>
  <c r="EB16"/>
  <c r="EA16"/>
  <c r="DX16"/>
  <c r="DW16"/>
  <c r="DT16"/>
  <c r="DS16"/>
  <c r="DP16"/>
  <c r="DO16"/>
  <c r="DL16"/>
  <c r="DK16"/>
  <c r="DH16"/>
  <c r="DG16"/>
  <c r="DD16"/>
  <c r="DC16"/>
  <c r="CZ16"/>
  <c r="CY16"/>
  <c r="CV16"/>
  <c r="CU16"/>
  <c r="CR16"/>
  <c r="CQ16"/>
  <c r="CN16"/>
  <c r="CM16"/>
  <c r="CJ16"/>
  <c r="CI16"/>
  <c r="CF16"/>
  <c r="CE16"/>
  <c r="CB16"/>
  <c r="CA16"/>
  <c r="BX16"/>
  <c r="BW16"/>
  <c r="BT16"/>
  <c r="BS16"/>
  <c r="BP16"/>
  <c r="BO16"/>
  <c r="BL16"/>
  <c r="BK16"/>
  <c r="BH16"/>
  <c r="BG16"/>
  <c r="BD16"/>
  <c r="BC16"/>
  <c r="AZ16"/>
  <c r="AY16"/>
  <c r="AV16"/>
  <c r="AU16"/>
  <c r="AR16"/>
  <c r="AQ16"/>
  <c r="AN16"/>
  <c r="AM16"/>
  <c r="AJ16"/>
  <c r="AI16"/>
  <c r="AF16"/>
  <c r="AE16"/>
  <c r="AB16"/>
  <c r="AA16"/>
  <c r="X16"/>
  <c r="W16"/>
  <c r="T16"/>
  <c r="S16"/>
  <c r="P16"/>
  <c r="O16"/>
  <c r="L16"/>
  <c r="K16"/>
  <c r="H16"/>
  <c r="G16"/>
  <c r="XB15"/>
  <c r="XA15"/>
  <c r="WZ15"/>
  <c r="WY15"/>
  <c r="WX15"/>
  <c r="WW15"/>
  <c r="WV15"/>
  <c r="WU15"/>
  <c r="WT15"/>
  <c r="WS15"/>
  <c r="WR15"/>
  <c r="WQ15"/>
  <c r="WP15"/>
  <c r="WO15"/>
  <c r="WN15"/>
  <c r="WM15"/>
  <c r="WL15"/>
  <c r="WK15"/>
  <c r="WJ15"/>
  <c r="WI15"/>
  <c r="WH15"/>
  <c r="WG15"/>
  <c r="WF15"/>
  <c r="WE15"/>
  <c r="WD15"/>
  <c r="WC15"/>
  <c r="WB15"/>
  <c r="WA15"/>
  <c r="VZ15"/>
  <c r="VY15"/>
  <c r="VX15"/>
  <c r="VW15"/>
  <c r="VV15"/>
  <c r="VU15"/>
  <c r="VT15"/>
  <c r="VS15"/>
  <c r="VR15"/>
  <c r="VQ15"/>
  <c r="VP15"/>
  <c r="VO15"/>
  <c r="VN15"/>
  <c r="VM15"/>
  <c r="VL15"/>
  <c r="VK15"/>
  <c r="VJ15"/>
  <c r="VI15"/>
  <c r="VH15"/>
  <c r="VG15"/>
  <c r="VF15"/>
  <c r="VE15"/>
  <c r="VD15"/>
  <c r="VC15"/>
  <c r="VB15"/>
  <c r="VA15"/>
  <c r="UZ15"/>
  <c r="UY15"/>
  <c r="UX15"/>
  <c r="UW15"/>
  <c r="UV15"/>
  <c r="UU15"/>
  <c r="UT15"/>
  <c r="US15"/>
  <c r="UR15"/>
  <c r="UQ15"/>
  <c r="UP15"/>
  <c r="UO15"/>
  <c r="UN15"/>
  <c r="UM15"/>
  <c r="UL15"/>
  <c r="UK15"/>
  <c r="UJ15"/>
  <c r="UI15"/>
  <c r="UH15"/>
  <c r="UG15"/>
  <c r="UF15"/>
  <c r="UE15"/>
  <c r="UD15"/>
  <c r="UC15"/>
  <c r="UB15"/>
  <c r="UA15"/>
  <c r="TZ15"/>
  <c r="TY15"/>
  <c r="TX15"/>
  <c r="TW15"/>
  <c r="TV15"/>
  <c r="TU15"/>
  <c r="TT15"/>
  <c r="TS15"/>
  <c r="TR15"/>
  <c r="TQ15"/>
  <c r="TP15"/>
  <c r="TO15"/>
  <c r="TN15"/>
  <c r="TM15"/>
  <c r="TL15"/>
  <c r="TK15"/>
  <c r="TJ15"/>
  <c r="TI15"/>
  <c r="TH15"/>
  <c r="TG15"/>
  <c r="TF15"/>
  <c r="TE15"/>
  <c r="TD15"/>
  <c r="TC15"/>
  <c r="TB15"/>
  <c r="TA15"/>
  <c r="SZ15"/>
  <c r="SY15"/>
  <c r="SX15"/>
  <c r="SW15"/>
  <c r="SV15"/>
  <c r="SU15"/>
  <c r="ST15"/>
  <c r="SS15"/>
  <c r="SR15"/>
  <c r="SQ15"/>
  <c r="SP15"/>
  <c r="SO15"/>
  <c r="SN15"/>
  <c r="SM15"/>
  <c r="SL15"/>
  <c r="SK15"/>
  <c r="SJ15"/>
  <c r="SI15"/>
  <c r="SH15"/>
  <c r="SG15"/>
  <c r="SF15"/>
  <c r="SE15"/>
  <c r="SD15"/>
  <c r="SC15"/>
  <c r="SB15"/>
  <c r="SA15"/>
  <c r="RZ15"/>
  <c r="RY15"/>
  <c r="RX15"/>
  <c r="RW15"/>
  <c r="RV15"/>
  <c r="RU15"/>
  <c r="RT15"/>
  <c r="RS15"/>
  <c r="RR15"/>
  <c r="RQ15"/>
  <c r="RP15"/>
  <c r="RO15"/>
  <c r="RN15"/>
  <c r="RM15"/>
  <c r="RL15"/>
  <c r="RK15"/>
  <c r="RJ15"/>
  <c r="RI15"/>
  <c r="RH15"/>
  <c r="RG15"/>
  <c r="RF15"/>
  <c r="RE15"/>
  <c r="RD15"/>
  <c r="RC15"/>
  <c r="RB15"/>
  <c r="RA15"/>
  <c r="QZ15"/>
  <c r="QY15"/>
  <c r="QX15"/>
  <c r="QW15"/>
  <c r="QV15"/>
  <c r="QU15"/>
  <c r="QT15"/>
  <c r="QS15"/>
  <c r="QR15"/>
  <c r="QQ15"/>
  <c r="QP15"/>
  <c r="QO15"/>
  <c r="QN15"/>
  <c r="QM15"/>
  <c r="QL15"/>
  <c r="QK15"/>
  <c r="QJ15"/>
  <c r="QI15"/>
  <c r="QH15"/>
  <c r="QG15"/>
  <c r="QF15"/>
  <c r="QE15"/>
  <c r="QD15"/>
  <c r="QC15"/>
  <c r="QB15"/>
  <c r="QA15"/>
  <c r="PZ15"/>
  <c r="PY15"/>
  <c r="PX15"/>
  <c r="PW15"/>
  <c r="PV15"/>
  <c r="PU15"/>
  <c r="PT15"/>
  <c r="PS15"/>
  <c r="PR15"/>
  <c r="PQ15"/>
  <c r="PP15"/>
  <c r="PO15"/>
  <c r="PN15"/>
  <c r="PM15"/>
  <c r="PL15"/>
  <c r="PK15"/>
  <c r="PJ15"/>
  <c r="PI15"/>
  <c r="PH15"/>
  <c r="PG15"/>
  <c r="PF15"/>
  <c r="PE15"/>
  <c r="PD15"/>
  <c r="PC15"/>
  <c r="PB15"/>
  <c r="PA15"/>
  <c r="OZ15"/>
  <c r="OY15"/>
  <c r="OX15"/>
  <c r="OW15"/>
  <c r="OV15"/>
  <c r="OU15"/>
  <c r="OT15"/>
  <c r="OS15"/>
  <c r="OR15"/>
  <c r="OQ15"/>
  <c r="OP15"/>
  <c r="OO15"/>
  <c r="ON15"/>
  <c r="OM15"/>
  <c r="OL15"/>
  <c r="OK15"/>
  <c r="OJ15"/>
  <c r="OI15"/>
  <c r="OH15"/>
  <c r="OG15"/>
  <c r="OF15"/>
  <c r="OE15"/>
  <c r="OD15"/>
  <c r="OC15"/>
  <c r="OB15"/>
  <c r="OA15"/>
  <c r="NZ15"/>
  <c r="NY15"/>
  <c r="NX15"/>
  <c r="NW15"/>
  <c r="NV15"/>
  <c r="NU15"/>
  <c r="NT15"/>
  <c r="NS15"/>
  <c r="NR15"/>
  <c r="NQ15"/>
  <c r="NP15"/>
  <c r="NO15"/>
  <c r="NN15"/>
  <c r="NM15"/>
  <c r="NL15"/>
  <c r="NK15"/>
  <c r="NJ15"/>
  <c r="NI15"/>
  <c r="NH15"/>
  <c r="NG15"/>
  <c r="NF15"/>
  <c r="NE15"/>
  <c r="ND15"/>
  <c r="NC15"/>
  <c r="NB15"/>
  <c r="NA15"/>
  <c r="MZ15"/>
  <c r="MY15"/>
  <c r="MX15"/>
  <c r="MW15"/>
  <c r="MV15"/>
  <c r="MU15"/>
  <c r="MT15"/>
  <c r="MS15"/>
  <c r="MR15"/>
  <c r="MQ15"/>
  <c r="MP15"/>
  <c r="MO15"/>
  <c r="MN15"/>
  <c r="MM15"/>
  <c r="ML15"/>
  <c r="MK15"/>
  <c r="MJ15"/>
  <c r="MI15"/>
  <c r="MH15"/>
  <c r="MG15"/>
  <c r="MF15"/>
  <c r="ME15"/>
  <c r="MD15"/>
  <c r="MC15"/>
  <c r="MB15"/>
  <c r="MA15"/>
  <c r="LZ15"/>
  <c r="LZ28" s="1"/>
  <c r="LY15"/>
  <c r="LY28" s="1"/>
  <c r="LX15"/>
  <c r="LX28" s="1"/>
  <c r="LW15"/>
  <c r="LW28" s="1"/>
  <c r="LV15"/>
  <c r="LV28" s="1"/>
  <c r="LU15"/>
  <c r="LU28" s="1"/>
  <c r="LT15"/>
  <c r="LT28" s="1"/>
  <c r="LS15"/>
  <c r="LS28" s="1"/>
  <c r="LR15"/>
  <c r="LR28" s="1"/>
  <c r="LQ15"/>
  <c r="LQ28" s="1"/>
  <c r="LP15"/>
  <c r="LP28" s="1"/>
  <c r="LO15"/>
  <c r="LO28" s="1"/>
  <c r="LA15"/>
  <c r="KZ15"/>
  <c r="KY15"/>
  <c r="KX15"/>
  <c r="KW15"/>
  <c r="KV15"/>
  <c r="KU15"/>
  <c r="KT15"/>
  <c r="KS15"/>
  <c r="KR15"/>
  <c r="KQ15"/>
  <c r="KP15"/>
  <c r="KO15"/>
  <c r="KN15"/>
  <c r="KM15"/>
  <c r="KL15"/>
  <c r="KK15"/>
  <c r="KJ15"/>
  <c r="KI15"/>
  <c r="KH15"/>
  <c r="KG15"/>
  <c r="KF15"/>
  <c r="KE15"/>
  <c r="KD15"/>
  <c r="KC15"/>
  <c r="KB15"/>
  <c r="KA15"/>
  <c r="JZ15"/>
  <c r="JY15"/>
  <c r="JX15"/>
  <c r="JW15"/>
  <c r="JV15"/>
  <c r="JU15"/>
  <c r="JT15"/>
  <c r="JS15"/>
  <c r="JR15"/>
  <c r="JQ15"/>
  <c r="JP15"/>
  <c r="JO15"/>
  <c r="JN15"/>
  <c r="JM15"/>
  <c r="JL15"/>
  <c r="JK15"/>
  <c r="JJ15"/>
  <c r="JI15"/>
  <c r="JH15"/>
  <c r="JG15"/>
  <c r="JF15"/>
  <c r="JE15"/>
  <c r="JD15"/>
  <c r="JC15"/>
  <c r="JB15"/>
  <c r="JA15"/>
  <c r="IZ15"/>
  <c r="IY15"/>
  <c r="IX15"/>
  <c r="IW15"/>
  <c r="IV15"/>
  <c r="IU15"/>
  <c r="IT15"/>
  <c r="IS15"/>
  <c r="IR15"/>
  <c r="IQ15"/>
  <c r="IP15"/>
  <c r="IO15"/>
  <c r="IN15"/>
  <c r="IM15"/>
  <c r="IL15"/>
  <c r="IK15"/>
  <c r="IJ15"/>
  <c r="II15"/>
  <c r="IH15"/>
  <c r="IG15"/>
  <c r="IF15"/>
  <c r="IE15"/>
  <c r="ID15"/>
  <c r="IC15"/>
  <c r="IB15"/>
  <c r="IA15"/>
  <c r="HZ15"/>
  <c r="HY15"/>
  <c r="HX15"/>
  <c r="HW15"/>
  <c r="HV15"/>
  <c r="HU15"/>
  <c r="HT15"/>
  <c r="HS15"/>
  <c r="HR15"/>
  <c r="HQ15"/>
  <c r="HP15"/>
  <c r="HO15"/>
  <c r="HN15"/>
  <c r="HM15"/>
  <c r="HL15"/>
  <c r="HK15"/>
  <c r="HJ15"/>
  <c r="HI15"/>
  <c r="HH15"/>
  <c r="HG15"/>
  <c r="HF15"/>
  <c r="HE15"/>
  <c r="HD15"/>
  <c r="HC15"/>
  <c r="HB15"/>
  <c r="HA15"/>
  <c r="GZ15"/>
  <c r="GY15"/>
  <c r="GX15"/>
  <c r="GW15"/>
  <c r="GV15"/>
  <c r="GU15"/>
  <c r="GT15"/>
  <c r="GS15"/>
  <c r="GR15"/>
  <c r="GQ15"/>
  <c r="GP15"/>
  <c r="GO15"/>
  <c r="GN15"/>
  <c r="GM15"/>
  <c r="GL15"/>
  <c r="GK15"/>
  <c r="GJ15"/>
  <c r="GI15"/>
  <c r="GH15"/>
  <c r="GG15"/>
  <c r="GF15"/>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Y28" s="1"/>
  <c r="X15"/>
  <c r="X28" s="1"/>
  <c r="W15"/>
  <c r="W28" s="1"/>
  <c r="V15"/>
  <c r="V28" s="1"/>
  <c r="U15"/>
  <c r="U28" s="1"/>
  <c r="T15"/>
  <c r="T28" s="1"/>
  <c r="S15"/>
  <c r="S28" s="1"/>
  <c r="R15"/>
  <c r="R28" s="1"/>
  <c r="Q15"/>
  <c r="Q28" s="1"/>
  <c r="P15"/>
  <c r="P28" s="1"/>
  <c r="O15"/>
  <c r="O28" s="1"/>
  <c r="N15"/>
  <c r="N28" s="1"/>
  <c r="KT9"/>
  <c r="KP9"/>
  <c r="KL9"/>
  <c r="KH9"/>
  <c r="KD9"/>
  <c r="JZ9"/>
  <c r="JV9"/>
  <c r="JR9"/>
  <c r="JN9"/>
  <c r="JJ9"/>
  <c r="JF9"/>
  <c r="JB9"/>
  <c r="IX9"/>
  <c r="IT9"/>
  <c r="IP9"/>
  <c r="IL9"/>
  <c r="IH9"/>
  <c r="ID9"/>
  <c r="HZ9"/>
  <c r="HV9"/>
  <c r="HR9"/>
  <c r="HN9"/>
  <c r="HJ9"/>
  <c r="HF9"/>
  <c r="HB9"/>
  <c r="GX9"/>
  <c r="GT9"/>
  <c r="GP9"/>
  <c r="GL9"/>
  <c r="GH9"/>
  <c r="GD9"/>
  <c r="FZ9"/>
  <c r="FV9"/>
  <c r="FR9"/>
  <c r="FN9"/>
  <c r="FJ9"/>
  <c r="FF9"/>
  <c r="FB9"/>
  <c r="EX9"/>
  <c r="ET9"/>
  <c r="EP9"/>
  <c r="EL9"/>
  <c r="EH9"/>
  <c r="ED9"/>
  <c r="DZ9"/>
  <c r="DV9"/>
  <c r="DR9"/>
  <c r="DN9"/>
  <c r="DJ9"/>
  <c r="DF9"/>
  <c r="DB9"/>
  <c r="CX9"/>
  <c r="CT9"/>
  <c r="CP9"/>
  <c r="CL9"/>
  <c r="CH9"/>
  <c r="CD9"/>
  <c r="BZ9"/>
  <c r="BV9"/>
  <c r="BR9"/>
  <c r="BN9"/>
  <c r="BJ9"/>
  <c r="BF9"/>
  <c r="BB9"/>
  <c r="AX9"/>
  <c r="AT9"/>
  <c r="AP9"/>
  <c r="AL9"/>
  <c r="AH9"/>
  <c r="AD9"/>
  <c r="Z9"/>
  <c r="V9"/>
  <c r="R9"/>
  <c r="N9"/>
  <c r="LG7"/>
  <c r="LF7"/>
  <c r="LC7" s="1"/>
  <c r="F12" i="24"/>
  <c r="F11"/>
  <c r="F10"/>
  <c r="F9"/>
  <c r="F8"/>
  <c r="F7"/>
  <c r="J46" i="21"/>
  <c r="I46"/>
  <c r="J45"/>
  <c r="I45"/>
  <c r="J44"/>
  <c r="I44"/>
  <c r="J43"/>
  <c r="I43"/>
  <c r="J42"/>
  <c r="I42"/>
  <c r="J41"/>
  <c r="I41"/>
  <c r="P40"/>
  <c r="O40"/>
  <c r="N40"/>
  <c r="M40"/>
  <c r="J40"/>
  <c r="I40"/>
  <c r="J39"/>
  <c r="I39"/>
  <c r="J38"/>
  <c r="I38"/>
  <c r="P37"/>
  <c r="O37"/>
  <c r="L37"/>
  <c r="K37"/>
  <c r="J37"/>
  <c r="I37"/>
  <c r="P36"/>
  <c r="O36"/>
  <c r="K36"/>
  <c r="J36"/>
  <c r="I36"/>
  <c r="J35"/>
  <c r="I35"/>
  <c r="J34"/>
  <c r="I34"/>
  <c r="J33"/>
  <c r="I33"/>
  <c r="P32"/>
  <c r="O32"/>
  <c r="L32"/>
  <c r="K32"/>
  <c r="J32"/>
  <c r="I32"/>
  <c r="J31"/>
  <c r="I31"/>
  <c r="J30"/>
  <c r="I30"/>
  <c r="J29"/>
  <c r="I29"/>
  <c r="P28"/>
  <c r="O28"/>
  <c r="N28"/>
  <c r="M28"/>
  <c r="J28"/>
  <c r="I28"/>
  <c r="P27"/>
  <c r="O27"/>
  <c r="N27"/>
  <c r="M27"/>
  <c r="J27"/>
  <c r="I27"/>
  <c r="P26"/>
  <c r="O26"/>
  <c r="N26"/>
  <c r="M26"/>
  <c r="J26"/>
  <c r="I26"/>
  <c r="P25"/>
  <c r="O25"/>
  <c r="M25"/>
  <c r="J25"/>
  <c r="I25"/>
  <c r="J24"/>
  <c r="I24"/>
  <c r="J23"/>
  <c r="I23"/>
  <c r="P22"/>
  <c r="O22"/>
  <c r="L22"/>
  <c r="K22"/>
  <c r="J22"/>
  <c r="I22"/>
  <c r="J21"/>
  <c r="I21"/>
  <c r="J20"/>
  <c r="I20"/>
  <c r="J19"/>
  <c r="I19"/>
  <c r="O18"/>
  <c r="J18"/>
  <c r="I18"/>
  <c r="J17"/>
  <c r="I17"/>
  <c r="P16"/>
  <c r="O16"/>
  <c r="L16"/>
  <c r="K16"/>
  <c r="J16"/>
  <c r="I16"/>
  <c r="J15"/>
  <c r="I15"/>
  <c r="J14"/>
  <c r="I14"/>
  <c r="J13"/>
  <c r="I13"/>
  <c r="P12"/>
  <c r="O12"/>
  <c r="J12"/>
  <c r="I12"/>
  <c r="J11"/>
  <c r="I11"/>
  <c r="P10"/>
  <c r="O10"/>
  <c r="N10"/>
  <c r="M10"/>
  <c r="J10"/>
  <c r="I10"/>
  <c r="P9"/>
  <c r="O9"/>
  <c r="N9"/>
  <c r="M9"/>
  <c r="J9"/>
  <c r="I9"/>
  <c r="J8"/>
  <c r="I8"/>
  <c r="J7"/>
  <c r="I7"/>
  <c r="K6"/>
  <c r="J6"/>
  <c r="I6"/>
  <c r="J5"/>
  <c r="I5"/>
  <c r="H48" i="19"/>
  <c r="G48"/>
  <c r="I32"/>
  <c r="LF17" i="86" l="1"/>
  <c r="LC17" s="1"/>
  <c r="LF18"/>
  <c r="LC18" s="1"/>
  <c r="LF66"/>
  <c r="LC66" s="1"/>
  <c r="LF16"/>
  <c r="LC16" s="1"/>
  <c r="LF24"/>
  <c r="LC24" s="1"/>
  <c r="LF56"/>
  <c r="LC56" s="1"/>
  <c r="LF40"/>
  <c r="LC40" s="1"/>
  <c r="LF45"/>
  <c r="LC45" s="1"/>
  <c r="LF34"/>
  <c r="LC34" s="1"/>
  <c r="LF29"/>
  <c r="LC29" s="1"/>
  <c r="LF50"/>
  <c r="LC50" s="1"/>
  <c r="LF61"/>
  <c r="LC61" s="1"/>
  <c r="AM6" i="11" l="1"/>
  <c r="Q14" i="95" l="1"/>
  <c r="K14"/>
  <c r="AG18"/>
  <c r="K17" l="1"/>
  <c r="G5090" i="97" l="1"/>
  <c r="G5089"/>
  <c r="B5089"/>
  <c r="G5088"/>
  <c r="G5068"/>
  <c r="B5068"/>
  <c r="G5067"/>
  <c r="G5066"/>
  <c r="G5046"/>
  <c r="G5045"/>
  <c r="B5045"/>
  <c r="G5044"/>
  <c r="W34" i="75"/>
  <c r="W33"/>
  <c r="W32"/>
  <c r="V34"/>
  <c r="U34"/>
  <c r="V33"/>
  <c r="U33"/>
  <c r="V32"/>
  <c r="U32"/>
  <c r="AQ34"/>
  <c r="B5090" i="97" s="1"/>
  <c r="AP34" i="75"/>
  <c r="AO34"/>
  <c r="B5046" i="97" s="1"/>
  <c r="AQ33" i="75"/>
  <c r="AP33"/>
  <c r="B5067" i="97" s="1"/>
  <c r="AO33" i="75"/>
  <c r="AQ32"/>
  <c r="B5088" i="97" s="1"/>
  <c r="AP32" i="75"/>
  <c r="B5066" i="97" s="1"/>
  <c r="AO32" i="75"/>
  <c r="B5044" i="97" s="1"/>
  <c r="B2259" l="1"/>
  <c r="G2259" l="1"/>
  <c r="G5461"/>
  <c r="G5460"/>
  <c r="G5459"/>
  <c r="G5458"/>
  <c r="G5457"/>
  <c r="G5456"/>
  <c r="G5455"/>
  <c r="G5454"/>
  <c r="G5453"/>
  <c r="G5452"/>
  <c r="G5451"/>
  <c r="G5450"/>
  <c r="G5449"/>
  <c r="G5448"/>
  <c r="G5447"/>
  <c r="G5446"/>
  <c r="G5445"/>
  <c r="G5444"/>
  <c r="G5443"/>
  <c r="G5442"/>
  <c r="G5441"/>
  <c r="G5440"/>
  <c r="G5439"/>
  <c r="G5438"/>
  <c r="G5437"/>
  <c r="G5436"/>
  <c r="G5421"/>
  <c r="G5419"/>
  <c r="G5417"/>
  <c r="G5416"/>
  <c r="G5415"/>
  <c r="G5414"/>
  <c r="G5413"/>
  <c r="G5412"/>
  <c r="G5411"/>
  <c r="G5410"/>
  <c r="G5408"/>
  <c r="G5406"/>
  <c r="G5404"/>
  <c r="G5403"/>
  <c r="G5402"/>
  <c r="G5401"/>
  <c r="G5400"/>
  <c r="G5399"/>
  <c r="G5398"/>
  <c r="G5397"/>
  <c r="G5382"/>
  <c r="G5380"/>
  <c r="G5378"/>
  <c r="G5377"/>
  <c r="G5376"/>
  <c r="G5375"/>
  <c r="G5374"/>
  <c r="G5373"/>
  <c r="G5372"/>
  <c r="G5371"/>
  <c r="G5369"/>
  <c r="G5367"/>
  <c r="G5365"/>
  <c r="G5364"/>
  <c r="G5363"/>
  <c r="G5362"/>
  <c r="G5361"/>
  <c r="G5360"/>
  <c r="G5359"/>
  <c r="G5358"/>
  <c r="G5356"/>
  <c r="G5354"/>
  <c r="G5352"/>
  <c r="G5351"/>
  <c r="G5350"/>
  <c r="G5349"/>
  <c r="G5348"/>
  <c r="G5347"/>
  <c r="G5346"/>
  <c r="G5345"/>
  <c r="G5334"/>
  <c r="G5332"/>
  <c r="G5330"/>
  <c r="G5329"/>
  <c r="G5328"/>
  <c r="G5327"/>
  <c r="G5326"/>
  <c r="G5325"/>
  <c r="G5324"/>
  <c r="G5323"/>
  <c r="G5321"/>
  <c r="G5319"/>
  <c r="G5317"/>
  <c r="G5316"/>
  <c r="G5315"/>
  <c r="G5314"/>
  <c r="G5313"/>
  <c r="G5312"/>
  <c r="G5311"/>
  <c r="G5310"/>
  <c r="G5296"/>
  <c r="G5295"/>
  <c r="G5294"/>
  <c r="G5293"/>
  <c r="G5292"/>
  <c r="G5291"/>
  <c r="G5290"/>
  <c r="G5289"/>
  <c r="G5288"/>
  <c r="G5286"/>
  <c r="G5284"/>
  <c r="G5282"/>
  <c r="G5281"/>
  <c r="G5280"/>
  <c r="G5279"/>
  <c r="G5278"/>
  <c r="G5277"/>
  <c r="G5276"/>
  <c r="G5275"/>
  <c r="G5273"/>
  <c r="G5271"/>
  <c r="G5269"/>
  <c r="G5268"/>
  <c r="G5267"/>
  <c r="G5266"/>
  <c r="G5265"/>
  <c r="G5264"/>
  <c r="G5263"/>
  <c r="G5262"/>
  <c r="G5260"/>
  <c r="G5258"/>
  <c r="G5256"/>
  <c r="G5255"/>
  <c r="G5254"/>
  <c r="G5253"/>
  <c r="G5252"/>
  <c r="G5251"/>
  <c r="G5250"/>
  <c r="G5249"/>
  <c r="G5248"/>
  <c r="G5247"/>
  <c r="G5246"/>
  <c r="G5245"/>
  <c r="G5244"/>
  <c r="G5243"/>
  <c r="G5242"/>
  <c r="G5241"/>
  <c r="G5240"/>
  <c r="G5238"/>
  <c r="G5236"/>
  <c r="G5234"/>
  <c r="G5233"/>
  <c r="G5232"/>
  <c r="G5231"/>
  <c r="G5230"/>
  <c r="G5229"/>
  <c r="G5228"/>
  <c r="G5227"/>
  <c r="G5225"/>
  <c r="G5223"/>
  <c r="G5221"/>
  <c r="G5220"/>
  <c r="G5219"/>
  <c r="G5218"/>
  <c r="G5217"/>
  <c r="G5216"/>
  <c r="G5215"/>
  <c r="G5214"/>
  <c r="G5212"/>
  <c r="G5210"/>
  <c r="G5208"/>
  <c r="G5207"/>
  <c r="G5206"/>
  <c r="G5205"/>
  <c r="G5204"/>
  <c r="G5203"/>
  <c r="G5202"/>
  <c r="G5201"/>
  <c r="G5200"/>
  <c r="G5199"/>
  <c r="G5198"/>
  <c r="G5197"/>
  <c r="G5196"/>
  <c r="G5195"/>
  <c r="G5194"/>
  <c r="G5193"/>
  <c r="G5192"/>
  <c r="G5190"/>
  <c r="G5188"/>
  <c r="G5186"/>
  <c r="G5185"/>
  <c r="G5184"/>
  <c r="G5183"/>
  <c r="G5182"/>
  <c r="G5181"/>
  <c r="G5180"/>
  <c r="G5179"/>
  <c r="G5177"/>
  <c r="G5175"/>
  <c r="G5173"/>
  <c r="G5172"/>
  <c r="G5171"/>
  <c r="G5170"/>
  <c r="G5169"/>
  <c r="G5168"/>
  <c r="G5167"/>
  <c r="G5166"/>
  <c r="G5164"/>
  <c r="G5162"/>
  <c r="G5160"/>
  <c r="G5159"/>
  <c r="G5158"/>
  <c r="G5157"/>
  <c r="G5156"/>
  <c r="G5155"/>
  <c r="G5154"/>
  <c r="G5153"/>
  <c r="G5138"/>
  <c r="G5136"/>
  <c r="G5134"/>
  <c r="G5133"/>
  <c r="G5132"/>
  <c r="G5131"/>
  <c r="G5130"/>
  <c r="G5129"/>
  <c r="G5128"/>
  <c r="G5127"/>
  <c r="G5125"/>
  <c r="G5123"/>
  <c r="G5121"/>
  <c r="G5120"/>
  <c r="G5119"/>
  <c r="G5118"/>
  <c r="G5117"/>
  <c r="G5116"/>
  <c r="G5115"/>
  <c r="G5114"/>
  <c r="G5103"/>
  <c r="G5101"/>
  <c r="G5099"/>
  <c r="G5098"/>
  <c r="G5097"/>
  <c r="G5096"/>
  <c r="G5095"/>
  <c r="G5094"/>
  <c r="G5093"/>
  <c r="G5092"/>
  <c r="G5091"/>
  <c r="G5087"/>
  <c r="G5086"/>
  <c r="G5085"/>
  <c r="G5084"/>
  <c r="G5083"/>
  <c r="G5081"/>
  <c r="G5079"/>
  <c r="G5077"/>
  <c r="G5076"/>
  <c r="G5075"/>
  <c r="G5074"/>
  <c r="G5073"/>
  <c r="G5072"/>
  <c r="G5071"/>
  <c r="G5070"/>
  <c r="G5069"/>
  <c r="G5065"/>
  <c r="G5064"/>
  <c r="G5063"/>
  <c r="G5062"/>
  <c r="G5061"/>
  <c r="G5059"/>
  <c r="G5057"/>
  <c r="G5055"/>
  <c r="G5054"/>
  <c r="G5053"/>
  <c r="G5052"/>
  <c r="G5051"/>
  <c r="G5050"/>
  <c r="G5049"/>
  <c r="G5048"/>
  <c r="G5047"/>
  <c r="G5043"/>
  <c r="G5042"/>
  <c r="G5041"/>
  <c r="G5040"/>
  <c r="G5039"/>
  <c r="G5037"/>
  <c r="G5035"/>
  <c r="G5033"/>
  <c r="G5032"/>
  <c r="G5031"/>
  <c r="G5030"/>
  <c r="G5029"/>
  <c r="G5028"/>
  <c r="G5027"/>
  <c r="G5026"/>
  <c r="G5025"/>
  <c r="G5024"/>
  <c r="G5023"/>
  <c r="G5022"/>
  <c r="G5021"/>
  <c r="G5020"/>
  <c r="G5019"/>
  <c r="G5018"/>
  <c r="G5017"/>
  <c r="G5015"/>
  <c r="G5013"/>
  <c r="G5011"/>
  <c r="G5010"/>
  <c r="G5009"/>
  <c r="G5008"/>
  <c r="G5007"/>
  <c r="G5006"/>
  <c r="G5005"/>
  <c r="G5004"/>
  <c r="G5003"/>
  <c r="G5002"/>
  <c r="G5001"/>
  <c r="G5000"/>
  <c r="G4999"/>
  <c r="G4998"/>
  <c r="G4997"/>
  <c r="G4996"/>
  <c r="G4994"/>
  <c r="G4993"/>
  <c r="G4992"/>
  <c r="G4991"/>
  <c r="G4989"/>
  <c r="G4987"/>
  <c r="G4986"/>
  <c r="G4984"/>
  <c r="G4983"/>
  <c r="G4982"/>
  <c r="G4981"/>
  <c r="G4979"/>
  <c r="G4978"/>
  <c r="G4977"/>
  <c r="G4976"/>
  <c r="G4975"/>
  <c r="G4973"/>
  <c r="G4972"/>
  <c r="G4971"/>
  <c r="G4970"/>
  <c r="G4969"/>
  <c r="G4968"/>
  <c r="G4967"/>
  <c r="G4966"/>
  <c r="G4964"/>
  <c r="G4963"/>
  <c r="G4962"/>
  <c r="G4961"/>
  <c r="G4960"/>
  <c r="G4958"/>
  <c r="G4957"/>
  <c r="G4956"/>
  <c r="G4955"/>
  <c r="G4954"/>
  <c r="G4953"/>
  <c r="G4952"/>
  <c r="G4951"/>
  <c r="G4950"/>
  <c r="G4949"/>
  <c r="G4948"/>
  <c r="G4947"/>
  <c r="G4946"/>
  <c r="G4945"/>
  <c r="G4944"/>
  <c r="G4943"/>
  <c r="G4942"/>
  <c r="G4941"/>
  <c r="G4925"/>
  <c r="G4924"/>
  <c r="G4923"/>
  <c r="G4922"/>
  <c r="G4921"/>
  <c r="G4920"/>
  <c r="G4918"/>
  <c r="G4917"/>
  <c r="G4916"/>
  <c r="G4915"/>
  <c r="G4914"/>
  <c r="G4913"/>
  <c r="G4911"/>
  <c r="G4910"/>
  <c r="G4909"/>
  <c r="G4908"/>
  <c r="G4907"/>
  <c r="G4906"/>
  <c r="G4904"/>
  <c r="G4903"/>
  <c r="G4902"/>
  <c r="G4901"/>
  <c r="G4900"/>
  <c r="G4899"/>
  <c r="G4897"/>
  <c r="G4896"/>
  <c r="G4895"/>
  <c r="G4894"/>
  <c r="G4893"/>
  <c r="G4892"/>
  <c r="G4890"/>
  <c r="G4889"/>
  <c r="G4888"/>
  <c r="G4887"/>
  <c r="G4886"/>
  <c r="G4885"/>
  <c r="G4883"/>
  <c r="G4882"/>
  <c r="G4881"/>
  <c r="G4880"/>
  <c r="G4879"/>
  <c r="G4878"/>
  <c r="G4876"/>
  <c r="G4875"/>
  <c r="G4874"/>
  <c r="G4873"/>
  <c r="G4872"/>
  <c r="G4871"/>
  <c r="G4869"/>
  <c r="G4868"/>
  <c r="G4867"/>
  <c r="G4866"/>
  <c r="G4865"/>
  <c r="G4864"/>
  <c r="G4862"/>
  <c r="G4861"/>
  <c r="G4860"/>
  <c r="G4859"/>
  <c r="G4858"/>
  <c r="G4857"/>
  <c r="G4841"/>
  <c r="G4840"/>
  <c r="G4839"/>
  <c r="G4838"/>
  <c r="G4837"/>
  <c r="G4836"/>
  <c r="G4834"/>
  <c r="G4833"/>
  <c r="G4832"/>
  <c r="G4831"/>
  <c r="G4830"/>
  <c r="G4829"/>
  <c r="G4827"/>
  <c r="G4826"/>
  <c r="G4825"/>
  <c r="G4824"/>
  <c r="G4823"/>
  <c r="G4822"/>
  <c r="G4820"/>
  <c r="G4819"/>
  <c r="G4818"/>
  <c r="G4817"/>
  <c r="G4816"/>
  <c r="G4815"/>
  <c r="G4813"/>
  <c r="G4812"/>
  <c r="G4811"/>
  <c r="G4810"/>
  <c r="G4809"/>
  <c r="G4808"/>
  <c r="G4806"/>
  <c r="G4805"/>
  <c r="G4804"/>
  <c r="G4803"/>
  <c r="G4802"/>
  <c r="G4801"/>
  <c r="G4799"/>
  <c r="G4798"/>
  <c r="G4797"/>
  <c r="G4796"/>
  <c r="G4795"/>
  <c r="G4794"/>
  <c r="G4792"/>
  <c r="G4791"/>
  <c r="G4790"/>
  <c r="G4789"/>
  <c r="G4788"/>
  <c r="G4787"/>
  <c r="G4785"/>
  <c r="G4784"/>
  <c r="G4783"/>
  <c r="G4782"/>
  <c r="G4781"/>
  <c r="G4780"/>
  <c r="G4778"/>
  <c r="G4777"/>
  <c r="G4776"/>
  <c r="G4775"/>
  <c r="G4774"/>
  <c r="G4773"/>
  <c r="G4757"/>
  <c r="G4756"/>
  <c r="G4755"/>
  <c r="G4754"/>
  <c r="G4753"/>
  <c r="G4752"/>
  <c r="G4750"/>
  <c r="G4749"/>
  <c r="G4748"/>
  <c r="G4747"/>
  <c r="G4746"/>
  <c r="G4745"/>
  <c r="G4743"/>
  <c r="G4742"/>
  <c r="G4741"/>
  <c r="G4740"/>
  <c r="G4739"/>
  <c r="G4738"/>
  <c r="G4736"/>
  <c r="G4735"/>
  <c r="G4734"/>
  <c r="G4733"/>
  <c r="G4732"/>
  <c r="G4731"/>
  <c r="G4729"/>
  <c r="G4728"/>
  <c r="G4727"/>
  <c r="G4726"/>
  <c r="G4725"/>
  <c r="G4724"/>
  <c r="G4722"/>
  <c r="G4721"/>
  <c r="G4720"/>
  <c r="G4719"/>
  <c r="G4718"/>
  <c r="G4717"/>
  <c r="G4715"/>
  <c r="G4714"/>
  <c r="G4713"/>
  <c r="G4712"/>
  <c r="G4711"/>
  <c r="G4710"/>
  <c r="G4708"/>
  <c r="G4707"/>
  <c r="G4706"/>
  <c r="G4705"/>
  <c r="G4704"/>
  <c r="G4703"/>
  <c r="G4695"/>
  <c r="G4686"/>
  <c r="G4685"/>
  <c r="G4684"/>
  <c r="G4683"/>
  <c r="G4682"/>
  <c r="G4681"/>
  <c r="G4679"/>
  <c r="G4678"/>
  <c r="G4677"/>
  <c r="G4676"/>
  <c r="G4675"/>
  <c r="G4674"/>
  <c r="G4672"/>
  <c r="G4671"/>
  <c r="G4670"/>
  <c r="G4669"/>
  <c r="G4668"/>
  <c r="G4667"/>
  <c r="G4665"/>
  <c r="G4664"/>
  <c r="G4663"/>
  <c r="G4662"/>
  <c r="G4661"/>
  <c r="G4660"/>
  <c r="G4658"/>
  <c r="G4657"/>
  <c r="G4656"/>
  <c r="G4655"/>
  <c r="G4654"/>
  <c r="G4653"/>
  <c r="G4651"/>
  <c r="G4650"/>
  <c r="G4649"/>
  <c r="G4648"/>
  <c r="G4647"/>
  <c r="G4646"/>
  <c r="G4644"/>
  <c r="G4643"/>
  <c r="G4642"/>
  <c r="G4641"/>
  <c r="G4640"/>
  <c r="G4639"/>
  <c r="G4637"/>
  <c r="G4636"/>
  <c r="G4635"/>
  <c r="G4634"/>
  <c r="G4633"/>
  <c r="G4632"/>
  <c r="G4630"/>
  <c r="G4629"/>
  <c r="G4628"/>
  <c r="G4627"/>
  <c r="G4626"/>
  <c r="G4625"/>
  <c r="G4623"/>
  <c r="G4622"/>
  <c r="G4621"/>
  <c r="G4620"/>
  <c r="G4619"/>
  <c r="G4618"/>
  <c r="G4616"/>
  <c r="G4615"/>
  <c r="G4614"/>
  <c r="G4613"/>
  <c r="G4612"/>
  <c r="G4611"/>
  <c r="G4609"/>
  <c r="G4608"/>
  <c r="G4607"/>
  <c r="G4606"/>
  <c r="G4605"/>
  <c r="G4604"/>
  <c r="G4602"/>
  <c r="G4601"/>
  <c r="G4600"/>
  <c r="G4599"/>
  <c r="G4598"/>
  <c r="G4597"/>
  <c r="G4595"/>
  <c r="G4594"/>
  <c r="G4593"/>
  <c r="G4592"/>
  <c r="G4591"/>
  <c r="G4590"/>
  <c r="G4589"/>
  <c r="G4588"/>
  <c r="G4586"/>
  <c r="G4585"/>
  <c r="G4584"/>
  <c r="G4583"/>
  <c r="G4581"/>
  <c r="G4580"/>
  <c r="G4579"/>
  <c r="G4577"/>
  <c r="G4576"/>
  <c r="G4575"/>
  <c r="G4574"/>
  <c r="G4572"/>
  <c r="G4571"/>
  <c r="G4570"/>
  <c r="G4568"/>
  <c r="G4567"/>
  <c r="G4566"/>
  <c r="G4565"/>
  <c r="G4564"/>
  <c r="G4563"/>
  <c r="G4562"/>
  <c r="G4561"/>
  <c r="G4560"/>
  <c r="G4559"/>
  <c r="G4558"/>
  <c r="G4557"/>
  <c r="G4556"/>
  <c r="G4555"/>
  <c r="G4554"/>
  <c r="G4553"/>
  <c r="G4552"/>
  <c r="G4551"/>
  <c r="G4550"/>
  <c r="G4549"/>
  <c r="G4548"/>
  <c r="G4547"/>
  <c r="G4546"/>
  <c r="G4545"/>
  <c r="G4543"/>
  <c r="G4542"/>
  <c r="G4541"/>
  <c r="G4540"/>
  <c r="G4539"/>
  <c r="G4538"/>
  <c r="G4537"/>
  <c r="G4536"/>
  <c r="G4535"/>
  <c r="G4534"/>
  <c r="G4533"/>
  <c r="G4532"/>
  <c r="G4531"/>
  <c r="G4530"/>
  <c r="G4529"/>
  <c r="G4528"/>
  <c r="G4527"/>
  <c r="G4526"/>
  <c r="G4525"/>
  <c r="G4524"/>
  <c r="G4523"/>
  <c r="G4522"/>
  <c r="G4521"/>
  <c r="G4520"/>
  <c r="G4519"/>
  <c r="G4518"/>
  <c r="G4517"/>
  <c r="G4516"/>
  <c r="G4515"/>
  <c r="G4514"/>
  <c r="G4513"/>
  <c r="G4512"/>
  <c r="G4511"/>
  <c r="G4510"/>
  <c r="G4509"/>
  <c r="G4508"/>
  <c r="G4507"/>
  <c r="G4506"/>
  <c r="G4505"/>
  <c r="G4504"/>
  <c r="G4503"/>
  <c r="G4502"/>
  <c r="G4501"/>
  <c r="G4500"/>
  <c r="G4499"/>
  <c r="G4498"/>
  <c r="G4497"/>
  <c r="G4496"/>
  <c r="G4495"/>
  <c r="G4494"/>
  <c r="G4493"/>
  <c r="G4492"/>
  <c r="G4491"/>
  <c r="G4490"/>
  <c r="G4489"/>
  <c r="G4488"/>
  <c r="G4487"/>
  <c r="G4486"/>
  <c r="G4485"/>
  <c r="G4484"/>
  <c r="G4483"/>
  <c r="G4482"/>
  <c r="G4481"/>
  <c r="G4480"/>
  <c r="G4479"/>
  <c r="G4478"/>
  <c r="G4477"/>
  <c r="G4476"/>
  <c r="G4475"/>
  <c r="G4474"/>
  <c r="G4473"/>
  <c r="G4472"/>
  <c r="G4471"/>
  <c r="G4470"/>
  <c r="G4469"/>
  <c r="G4468"/>
  <c r="G4467"/>
  <c r="G4466"/>
  <c r="G4465"/>
  <c r="G4464"/>
  <c r="G4463"/>
  <c r="G4462"/>
  <c r="G4461"/>
  <c r="G4460"/>
  <c r="G4459"/>
  <c r="G4458"/>
  <c r="G4457"/>
  <c r="G4456"/>
  <c r="G4455"/>
  <c r="G4454"/>
  <c r="G4453"/>
  <c r="G4452"/>
  <c r="G4451"/>
  <c r="G4450"/>
  <c r="G4449"/>
  <c r="G4448"/>
  <c r="G4447"/>
  <c r="G4446"/>
  <c r="G4445"/>
  <c r="G4444"/>
  <c r="G4443"/>
  <c r="G4442"/>
  <c r="G4441"/>
  <c r="G4440"/>
  <c r="G4439"/>
  <c r="G4438"/>
  <c r="G4437"/>
  <c r="G4436"/>
  <c r="G4435"/>
  <c r="G4434"/>
  <c r="G4433"/>
  <c r="G4432"/>
  <c r="G4431"/>
  <c r="G4430"/>
  <c r="G4429"/>
  <c r="G4428"/>
  <c r="G4427"/>
  <c r="G4426"/>
  <c r="G4425"/>
  <c r="G4424"/>
  <c r="G4423"/>
  <c r="G4422"/>
  <c r="G4421"/>
  <c r="G4420"/>
  <c r="G4419"/>
  <c r="G4418"/>
  <c r="G4417"/>
  <c r="G4416"/>
  <c r="G4415"/>
  <c r="G4414"/>
  <c r="G4413"/>
  <c r="G4412"/>
  <c r="G4411"/>
  <c r="G4410"/>
  <c r="G4401"/>
  <c r="G4400"/>
  <c r="G4399"/>
  <c r="G4398"/>
  <c r="G4397"/>
  <c r="G4396"/>
  <c r="G4349"/>
  <c r="G4348"/>
  <c r="G4347"/>
  <c r="G4346"/>
  <c r="G4345"/>
  <c r="G4344"/>
  <c r="G4343"/>
  <c r="G4342"/>
  <c r="G4341"/>
  <c r="G4340"/>
  <c r="G4339"/>
  <c r="G4338"/>
  <c r="G4337"/>
  <c r="G4336"/>
  <c r="G4335"/>
  <c r="G4334"/>
  <c r="G4333"/>
  <c r="G4332"/>
  <c r="G4331"/>
  <c r="G4330"/>
  <c r="G4329"/>
  <c r="G4328"/>
  <c r="G4327"/>
  <c r="G4326"/>
  <c r="G4325"/>
  <c r="G4324"/>
  <c r="G4323"/>
  <c r="G4322"/>
  <c r="G4321"/>
  <c r="G4320"/>
  <c r="G4319"/>
  <c r="G4318"/>
  <c r="G4317"/>
  <c r="G4316"/>
  <c r="G4315"/>
  <c r="G4314"/>
  <c r="G4313"/>
  <c r="G4312"/>
  <c r="G4311"/>
  <c r="G4310"/>
  <c r="G4309"/>
  <c r="G4308"/>
  <c r="G4307"/>
  <c r="G4306"/>
  <c r="G4304"/>
  <c r="G4303"/>
  <c r="G4302"/>
  <c r="G4301"/>
  <c r="G4300"/>
  <c r="G4299"/>
  <c r="G4298"/>
  <c r="G4297"/>
  <c r="G4296"/>
  <c r="G4295"/>
  <c r="G4294"/>
  <c r="G4293"/>
  <c r="G4292"/>
  <c r="G4291"/>
  <c r="G4290"/>
  <c r="G4289"/>
  <c r="G4288"/>
  <c r="G4287"/>
  <c r="G4286"/>
  <c r="G4285"/>
  <c r="G4284"/>
  <c r="G4283"/>
  <c r="G4282"/>
  <c r="G4281"/>
  <c r="G4280"/>
  <c r="G4279"/>
  <c r="G4278"/>
  <c r="G4277"/>
  <c r="G4276"/>
  <c r="G4275"/>
  <c r="G4274"/>
  <c r="G4273"/>
  <c r="G4272"/>
  <c r="G4271"/>
  <c r="G4270"/>
  <c r="G4269"/>
  <c r="G4268"/>
  <c r="G4267"/>
  <c r="G4266"/>
  <c r="G4265"/>
  <c r="G4264"/>
  <c r="G4263"/>
  <c r="G4262"/>
  <c r="G4261"/>
  <c r="G4259"/>
  <c r="G4258"/>
  <c r="G4257"/>
  <c r="G4256"/>
  <c r="G4255"/>
  <c r="G4254"/>
  <c r="G4253"/>
  <c r="G4252"/>
  <c r="G4251"/>
  <c r="G4250"/>
  <c r="G4249"/>
  <c r="G4248"/>
  <c r="G4247"/>
  <c r="G4246"/>
  <c r="G4245"/>
  <c r="G4244"/>
  <c r="G4243"/>
  <c r="G4242"/>
  <c r="G4241"/>
  <c r="G4240"/>
  <c r="G4239"/>
  <c r="G4238"/>
  <c r="G4237"/>
  <c r="G4236"/>
  <c r="G4235"/>
  <c r="G4234"/>
  <c r="G4233"/>
  <c r="G4232"/>
  <c r="G4231"/>
  <c r="G4230"/>
  <c r="G4229"/>
  <c r="G4228"/>
  <c r="G4227"/>
  <c r="G4226"/>
  <c r="G4225"/>
  <c r="G4224"/>
  <c r="G4223"/>
  <c r="G4222"/>
  <c r="G4221"/>
  <c r="G4220"/>
  <c r="G4219"/>
  <c r="G4218"/>
  <c r="G4217"/>
  <c r="G4216"/>
  <c r="G4214"/>
  <c r="G4213"/>
  <c r="G4212"/>
  <c r="G4211"/>
  <c r="G4210"/>
  <c r="G4209"/>
  <c r="G4208"/>
  <c r="G4207"/>
  <c r="G4206"/>
  <c r="G4205"/>
  <c r="G4204"/>
  <c r="G4203"/>
  <c r="G4202"/>
  <c r="G4201"/>
  <c r="G4200"/>
  <c r="G4199"/>
  <c r="G4198"/>
  <c r="G4197"/>
  <c r="G4196"/>
  <c r="G4195"/>
  <c r="G4194"/>
  <c r="G4193"/>
  <c r="G4192"/>
  <c r="G4191"/>
  <c r="G4190"/>
  <c r="G4189"/>
  <c r="G4188"/>
  <c r="G4187"/>
  <c r="G4186"/>
  <c r="G4185"/>
  <c r="G4184"/>
  <c r="G4183"/>
  <c r="G4182"/>
  <c r="G4181"/>
  <c r="G4180"/>
  <c r="G4179"/>
  <c r="G4178"/>
  <c r="G4177"/>
  <c r="G4176"/>
  <c r="G4175"/>
  <c r="G4174"/>
  <c r="G4173"/>
  <c r="G4172"/>
  <c r="G4171"/>
  <c r="G4169"/>
  <c r="G4168"/>
  <c r="G4167"/>
  <c r="G4166"/>
  <c r="G4165"/>
  <c r="G4164"/>
  <c r="G4163"/>
  <c r="G4162"/>
  <c r="G4161"/>
  <c r="G4160"/>
  <c r="G4159"/>
  <c r="G4158"/>
  <c r="G4157"/>
  <c r="G4156"/>
  <c r="G4155"/>
  <c r="G4154"/>
  <c r="G4153"/>
  <c r="G4152"/>
  <c r="G4151"/>
  <c r="G4150"/>
  <c r="G4149"/>
  <c r="G4148"/>
  <c r="G4147"/>
  <c r="G4146"/>
  <c r="G4145"/>
  <c r="G4144"/>
  <c r="G4143"/>
  <c r="G4142"/>
  <c r="G4141"/>
  <c r="G4140"/>
  <c r="G4139"/>
  <c r="G4138"/>
  <c r="G4137"/>
  <c r="G4136"/>
  <c r="G4135"/>
  <c r="G4134"/>
  <c r="G4133"/>
  <c r="G4132"/>
  <c r="G4131"/>
  <c r="G4130"/>
  <c r="G4129"/>
  <c r="G4128"/>
  <c r="G4127"/>
  <c r="G4126"/>
  <c r="G4124"/>
  <c r="G4123"/>
  <c r="G4122"/>
  <c r="G4121"/>
  <c r="G4120"/>
  <c r="G4119"/>
  <c r="G4118"/>
  <c r="G4117"/>
  <c r="G4116"/>
  <c r="G4115"/>
  <c r="G4114"/>
  <c r="G4113"/>
  <c r="G4112"/>
  <c r="G4111"/>
  <c r="G4110"/>
  <c r="G4109"/>
  <c r="G4108"/>
  <c r="G4107"/>
  <c r="G4106"/>
  <c r="G4105"/>
  <c r="G4104"/>
  <c r="G4103"/>
  <c r="G4102"/>
  <c r="G4101"/>
  <c r="G4100"/>
  <c r="G4099"/>
  <c r="G4098"/>
  <c r="G4097"/>
  <c r="G4096"/>
  <c r="G4095"/>
  <c r="G4094"/>
  <c r="G4093"/>
  <c r="G4092"/>
  <c r="G4091"/>
  <c r="G4090"/>
  <c r="G4089"/>
  <c r="G4088"/>
  <c r="G4087"/>
  <c r="G4086"/>
  <c r="G4085"/>
  <c r="G4084"/>
  <c r="G4083"/>
  <c r="G4082"/>
  <c r="G4081"/>
  <c r="G4079"/>
  <c r="G4078"/>
  <c r="G4077"/>
  <c r="G4076"/>
  <c r="G4075"/>
  <c r="G4074"/>
  <c r="G4073"/>
  <c r="G4072"/>
  <c r="G4071"/>
  <c r="G4070"/>
  <c r="G4069"/>
  <c r="G4068"/>
  <c r="G4067"/>
  <c r="G4066"/>
  <c r="G4065"/>
  <c r="G4064"/>
  <c r="G4063"/>
  <c r="G4062"/>
  <c r="G4061"/>
  <c r="G4060"/>
  <c r="G4059"/>
  <c r="G4058"/>
  <c r="G4057"/>
  <c r="G4056"/>
  <c r="G4055"/>
  <c r="G4054"/>
  <c r="G4053"/>
  <c r="G4052"/>
  <c r="G4051"/>
  <c r="G4050"/>
  <c r="G4049"/>
  <c r="G4048"/>
  <c r="G4047"/>
  <c r="G4046"/>
  <c r="G4045"/>
  <c r="G4044"/>
  <c r="G4043"/>
  <c r="G4042"/>
  <c r="G4041"/>
  <c r="G4040"/>
  <c r="G4039"/>
  <c r="G4038"/>
  <c r="G4037"/>
  <c r="G4036"/>
  <c r="G4034"/>
  <c r="G4033"/>
  <c r="G4032"/>
  <c r="G4031"/>
  <c r="G4030"/>
  <c r="G4029"/>
  <c r="G4028"/>
  <c r="G4027"/>
  <c r="G4026"/>
  <c r="G4025"/>
  <c r="G4024"/>
  <c r="G4023"/>
  <c r="G4022"/>
  <c r="G4021"/>
  <c r="G4020"/>
  <c r="G4019"/>
  <c r="G4018"/>
  <c r="G4017"/>
  <c r="G4016"/>
  <c r="G4015"/>
  <c r="G4014"/>
  <c r="G4013"/>
  <c r="G4012"/>
  <c r="G4011"/>
  <c r="G4010"/>
  <c r="G4009"/>
  <c r="G4008"/>
  <c r="G4007"/>
  <c r="G4006"/>
  <c r="G4005"/>
  <c r="G4004"/>
  <c r="G4003"/>
  <c r="G4002"/>
  <c r="G4001"/>
  <c r="G4000"/>
  <c r="G3999"/>
  <c r="G3998"/>
  <c r="G3997"/>
  <c r="G3996"/>
  <c r="G3995"/>
  <c r="G3994"/>
  <c r="G3993"/>
  <c r="G3992"/>
  <c r="G3991"/>
  <c r="G3944"/>
  <c r="G3943"/>
  <c r="G3942"/>
  <c r="G3941"/>
  <c r="G3940"/>
  <c r="G3939"/>
  <c r="G3938"/>
  <c r="G3937"/>
  <c r="G3936"/>
  <c r="G3935"/>
  <c r="G3934"/>
  <c r="G3933"/>
  <c r="G3932"/>
  <c r="G3931"/>
  <c r="G3930"/>
  <c r="G3929"/>
  <c r="G3928"/>
  <c r="G3927"/>
  <c r="G3926"/>
  <c r="G3925"/>
  <c r="G3924"/>
  <c r="G3923"/>
  <c r="G3922"/>
  <c r="G3921"/>
  <c r="G3920"/>
  <c r="G3919"/>
  <c r="G3918"/>
  <c r="G3917"/>
  <c r="G3916"/>
  <c r="G3915"/>
  <c r="G3914"/>
  <c r="G3913"/>
  <c r="G3912"/>
  <c r="G3911"/>
  <c r="G3910"/>
  <c r="G3909"/>
  <c r="G3908"/>
  <c r="G3907"/>
  <c r="G3906"/>
  <c r="G3905"/>
  <c r="G3904"/>
  <c r="G3903"/>
  <c r="G3902"/>
  <c r="G3901"/>
  <c r="G3899"/>
  <c r="G3898"/>
  <c r="G3897"/>
  <c r="G3896"/>
  <c r="G3895"/>
  <c r="G3894"/>
  <c r="G3893"/>
  <c r="G3892"/>
  <c r="G3891"/>
  <c r="G3890"/>
  <c r="G3889"/>
  <c r="G3888"/>
  <c r="G3887"/>
  <c r="G3886"/>
  <c r="G3885"/>
  <c r="G3884"/>
  <c r="G3883"/>
  <c r="G3882"/>
  <c r="G3881"/>
  <c r="G3880"/>
  <c r="G3879"/>
  <c r="G3878"/>
  <c r="G3877"/>
  <c r="G3876"/>
  <c r="G3875"/>
  <c r="G3874"/>
  <c r="G3873"/>
  <c r="G3872"/>
  <c r="G3871"/>
  <c r="G3870"/>
  <c r="G3869"/>
  <c r="G3868"/>
  <c r="G3867"/>
  <c r="G3866"/>
  <c r="G3865"/>
  <c r="G3864"/>
  <c r="G3863"/>
  <c r="G3862"/>
  <c r="G3861"/>
  <c r="G3860"/>
  <c r="G3859"/>
  <c r="G3858"/>
  <c r="G3857"/>
  <c r="G3856"/>
  <c r="G3854"/>
  <c r="G3853"/>
  <c r="G3852"/>
  <c r="G3851"/>
  <c r="G3850"/>
  <c r="G3849"/>
  <c r="G3848"/>
  <c r="G3847"/>
  <c r="G3846"/>
  <c r="G3845"/>
  <c r="G3844"/>
  <c r="G3843"/>
  <c r="G3842"/>
  <c r="G3841"/>
  <c r="G3840"/>
  <c r="G3839"/>
  <c r="G3838"/>
  <c r="G3837"/>
  <c r="G3836"/>
  <c r="G3835"/>
  <c r="G3834"/>
  <c r="G3833"/>
  <c r="G3832"/>
  <c r="G3831"/>
  <c r="G3830"/>
  <c r="G3829"/>
  <c r="G3828"/>
  <c r="G3827"/>
  <c r="G3826"/>
  <c r="G3825"/>
  <c r="G3824"/>
  <c r="G3823"/>
  <c r="G3822"/>
  <c r="G3821"/>
  <c r="G3820"/>
  <c r="G3819"/>
  <c r="G3818"/>
  <c r="G3817"/>
  <c r="G3816"/>
  <c r="G3815"/>
  <c r="G3814"/>
  <c r="G3813"/>
  <c r="G3812"/>
  <c r="G3811"/>
  <c r="G3809"/>
  <c r="G3808"/>
  <c r="G3807"/>
  <c r="G3806"/>
  <c r="G3805"/>
  <c r="G3804"/>
  <c r="G3803"/>
  <c r="G3802"/>
  <c r="G3801"/>
  <c r="G3800"/>
  <c r="G3799"/>
  <c r="G3798"/>
  <c r="G3797"/>
  <c r="G3796"/>
  <c r="G3795"/>
  <c r="G3794"/>
  <c r="G3793"/>
  <c r="G3792"/>
  <c r="G3791"/>
  <c r="G3790"/>
  <c r="G3789"/>
  <c r="G3788"/>
  <c r="G3787"/>
  <c r="G3786"/>
  <c r="G3785"/>
  <c r="G3784"/>
  <c r="G3783"/>
  <c r="G3782"/>
  <c r="G3781"/>
  <c r="G3780"/>
  <c r="G3779"/>
  <c r="G3778"/>
  <c r="G3777"/>
  <c r="G3776"/>
  <c r="G3775"/>
  <c r="G3774"/>
  <c r="G3773"/>
  <c r="G3772"/>
  <c r="G3771"/>
  <c r="G3770"/>
  <c r="G3769"/>
  <c r="G3768"/>
  <c r="G3767"/>
  <c r="G3766"/>
  <c r="G3764"/>
  <c r="G3763"/>
  <c r="G3762"/>
  <c r="G3761"/>
  <c r="G3760"/>
  <c r="G3759"/>
  <c r="G3758"/>
  <c r="G3757"/>
  <c r="G3756"/>
  <c r="G3755"/>
  <c r="G3754"/>
  <c r="G3753"/>
  <c r="G3752"/>
  <c r="G3751"/>
  <c r="G3750"/>
  <c r="G3749"/>
  <c r="G3748"/>
  <c r="G3747"/>
  <c r="G3746"/>
  <c r="G3745"/>
  <c r="G3744"/>
  <c r="G3743"/>
  <c r="G3742"/>
  <c r="G3741"/>
  <c r="G3740"/>
  <c r="G3739"/>
  <c r="G3738"/>
  <c r="G3737"/>
  <c r="G3736"/>
  <c r="G3735"/>
  <c r="G3734"/>
  <c r="G3733"/>
  <c r="G3732"/>
  <c r="G3731"/>
  <c r="G3730"/>
  <c r="G3729"/>
  <c r="G3728"/>
  <c r="G3727"/>
  <c r="G3726"/>
  <c r="G3725"/>
  <c r="G3724"/>
  <c r="G3723"/>
  <c r="G3722"/>
  <c r="G3721"/>
  <c r="G3719"/>
  <c r="G3718"/>
  <c r="G3717"/>
  <c r="G3716"/>
  <c r="G3715"/>
  <c r="G3714"/>
  <c r="G3713"/>
  <c r="G3712"/>
  <c r="G3711"/>
  <c r="G3710"/>
  <c r="G3709"/>
  <c r="G3708"/>
  <c r="G3707"/>
  <c r="G3706"/>
  <c r="G3705"/>
  <c r="G3704"/>
  <c r="G3703"/>
  <c r="G3702"/>
  <c r="G3701"/>
  <c r="G3700"/>
  <c r="G3699"/>
  <c r="G3698"/>
  <c r="G3697"/>
  <c r="G3696"/>
  <c r="G3695"/>
  <c r="G3694"/>
  <c r="G3693"/>
  <c r="G3692"/>
  <c r="G3691"/>
  <c r="G3690"/>
  <c r="G3689"/>
  <c r="G3688"/>
  <c r="G3687"/>
  <c r="G3686"/>
  <c r="G3685"/>
  <c r="G3684"/>
  <c r="G3683"/>
  <c r="G3682"/>
  <c r="G3681"/>
  <c r="G3680"/>
  <c r="G3679"/>
  <c r="G3678"/>
  <c r="G3677"/>
  <c r="G3676"/>
  <c r="G3674"/>
  <c r="G3673"/>
  <c r="G3672"/>
  <c r="G3671"/>
  <c r="G3670"/>
  <c r="G3669"/>
  <c r="G3668"/>
  <c r="G3667"/>
  <c r="G3666"/>
  <c r="G3665"/>
  <c r="G3664"/>
  <c r="G3663"/>
  <c r="G3662"/>
  <c r="G3661"/>
  <c r="G3660"/>
  <c r="G3659"/>
  <c r="G3658"/>
  <c r="G3657"/>
  <c r="G3656"/>
  <c r="G3655"/>
  <c r="G3654"/>
  <c r="G3653"/>
  <c r="G3652"/>
  <c r="G3651"/>
  <c r="G3650"/>
  <c r="G3649"/>
  <c r="G3648"/>
  <c r="G3647"/>
  <c r="G3646"/>
  <c r="G3645"/>
  <c r="G3644"/>
  <c r="G3643"/>
  <c r="G3642"/>
  <c r="G3641"/>
  <c r="G3640"/>
  <c r="G3639"/>
  <c r="G3638"/>
  <c r="G3637"/>
  <c r="G3636"/>
  <c r="G3635"/>
  <c r="G3634"/>
  <c r="G3633"/>
  <c r="G3632"/>
  <c r="G3631"/>
  <c r="G3629"/>
  <c r="G3628"/>
  <c r="G3627"/>
  <c r="G3626"/>
  <c r="G3625"/>
  <c r="G3624"/>
  <c r="G3623"/>
  <c r="G3622"/>
  <c r="G3621"/>
  <c r="G3620"/>
  <c r="G3619"/>
  <c r="G3618"/>
  <c r="G3617"/>
  <c r="G3616"/>
  <c r="G3615"/>
  <c r="G3614"/>
  <c r="G3613"/>
  <c r="G3612"/>
  <c r="G3611"/>
  <c r="G3610"/>
  <c r="G3609"/>
  <c r="G3608"/>
  <c r="G3607"/>
  <c r="G3606"/>
  <c r="G3605"/>
  <c r="G3604"/>
  <c r="G3603"/>
  <c r="G3602"/>
  <c r="G3601"/>
  <c r="G3600"/>
  <c r="G3599"/>
  <c r="G3598"/>
  <c r="G3597"/>
  <c r="G3596"/>
  <c r="G3595"/>
  <c r="G3594"/>
  <c r="G3593"/>
  <c r="G3592"/>
  <c r="G3591"/>
  <c r="G3590"/>
  <c r="G3589"/>
  <c r="G3588"/>
  <c r="G3587"/>
  <c r="G3586"/>
  <c r="G3546"/>
  <c r="G3545"/>
  <c r="G3544"/>
  <c r="G3543"/>
  <c r="G3542"/>
  <c r="G3541"/>
  <c r="G3540"/>
  <c r="G3539"/>
  <c r="G3538"/>
  <c r="G3537"/>
  <c r="G3536"/>
  <c r="G3535"/>
  <c r="G3534"/>
  <c r="G3533"/>
  <c r="G3532"/>
  <c r="G3531"/>
  <c r="G3530"/>
  <c r="G3529"/>
  <c r="G3528"/>
  <c r="G3527"/>
  <c r="G3526"/>
  <c r="G3525"/>
  <c r="G3524"/>
  <c r="G3523"/>
  <c r="G3522"/>
  <c r="G3521"/>
  <c r="G3520"/>
  <c r="G3519"/>
  <c r="G3518"/>
  <c r="G3517"/>
  <c r="G3516"/>
  <c r="G3515"/>
  <c r="G3514"/>
  <c r="G3513"/>
  <c r="G3512"/>
  <c r="G3511"/>
  <c r="G3510"/>
  <c r="G3508"/>
  <c r="G3507"/>
  <c r="G3506"/>
  <c r="G3505"/>
  <c r="G3504"/>
  <c r="G3503"/>
  <c r="G3502"/>
  <c r="G3501"/>
  <c r="G3500"/>
  <c r="G3499"/>
  <c r="G3498"/>
  <c r="G3497"/>
  <c r="G3496"/>
  <c r="G3495"/>
  <c r="G3494"/>
  <c r="G3493"/>
  <c r="G3492"/>
  <c r="G3491"/>
  <c r="G3490"/>
  <c r="G3489"/>
  <c r="G3488"/>
  <c r="G3487"/>
  <c r="G3486"/>
  <c r="G3485"/>
  <c r="G3484"/>
  <c r="G3483"/>
  <c r="G3482"/>
  <c r="G3481"/>
  <c r="G3480"/>
  <c r="G3479"/>
  <c r="G3478"/>
  <c r="G3477"/>
  <c r="G3476"/>
  <c r="G3475"/>
  <c r="G3474"/>
  <c r="G3473"/>
  <c r="G3472"/>
  <c r="G3470"/>
  <c r="G3469"/>
  <c r="G3468"/>
  <c r="G3467"/>
  <c r="G3466"/>
  <c r="G3465"/>
  <c r="G3464"/>
  <c r="G3463"/>
  <c r="G3462"/>
  <c r="G3461"/>
  <c r="G3460"/>
  <c r="G3459"/>
  <c r="G3458"/>
  <c r="G3457"/>
  <c r="G3456"/>
  <c r="G3455"/>
  <c r="G3454"/>
  <c r="G3453"/>
  <c r="G3452"/>
  <c r="G3451"/>
  <c r="G3450"/>
  <c r="G3449"/>
  <c r="G3448"/>
  <c r="G3447"/>
  <c r="G3446"/>
  <c r="G3445"/>
  <c r="G3444"/>
  <c r="G3443"/>
  <c r="G3442"/>
  <c r="G3441"/>
  <c r="G3440"/>
  <c r="G3439"/>
  <c r="G3438"/>
  <c r="G3437"/>
  <c r="G3436"/>
  <c r="G3435"/>
  <c r="G3434"/>
  <c r="G3432"/>
  <c r="G3431"/>
  <c r="G3430"/>
  <c r="G3429"/>
  <c r="G3428"/>
  <c r="G3427"/>
  <c r="G3426"/>
  <c r="G3425"/>
  <c r="G3424"/>
  <c r="G3423"/>
  <c r="G3422"/>
  <c r="G3421"/>
  <c r="G3420"/>
  <c r="G3419"/>
  <c r="G3418"/>
  <c r="G3417"/>
  <c r="G3416"/>
  <c r="G3415"/>
  <c r="G3414"/>
  <c r="G3413"/>
  <c r="G3412"/>
  <c r="G3411"/>
  <c r="G3410"/>
  <c r="G3409"/>
  <c r="G3408"/>
  <c r="G3407"/>
  <c r="G3406"/>
  <c r="G3405"/>
  <c r="G3404"/>
  <c r="G3403"/>
  <c r="G3402"/>
  <c r="G3401"/>
  <c r="G3400"/>
  <c r="G3399"/>
  <c r="G3398"/>
  <c r="G3397"/>
  <c r="G3396"/>
  <c r="G3394"/>
  <c r="G3393"/>
  <c r="G3392"/>
  <c r="G3391"/>
  <c r="G3390"/>
  <c r="G3389"/>
  <c r="G3388"/>
  <c r="G3387"/>
  <c r="G3386"/>
  <c r="G3385"/>
  <c r="G3384"/>
  <c r="G3383"/>
  <c r="G3382"/>
  <c r="G3381"/>
  <c r="G3380"/>
  <c r="G3379"/>
  <c r="G3378"/>
  <c r="G3377"/>
  <c r="G3376"/>
  <c r="G3375"/>
  <c r="G3374"/>
  <c r="G3373"/>
  <c r="G3372"/>
  <c r="G3371"/>
  <c r="G3370"/>
  <c r="G3369"/>
  <c r="G3368"/>
  <c r="G3367"/>
  <c r="G3366"/>
  <c r="G3365"/>
  <c r="G3364"/>
  <c r="G3363"/>
  <c r="G3362"/>
  <c r="G3361"/>
  <c r="G3360"/>
  <c r="G3359"/>
  <c r="G3358"/>
  <c r="G3356"/>
  <c r="G3355"/>
  <c r="G3354"/>
  <c r="G3353"/>
  <c r="G3352"/>
  <c r="G3351"/>
  <c r="G3350"/>
  <c r="G3349"/>
  <c r="G3348"/>
  <c r="G3347"/>
  <c r="G3346"/>
  <c r="G3345"/>
  <c r="G3344"/>
  <c r="G3343"/>
  <c r="G3342"/>
  <c r="G3341"/>
  <c r="G3340"/>
  <c r="G3339"/>
  <c r="G3338"/>
  <c r="G3337"/>
  <c r="G3336"/>
  <c r="G3335"/>
  <c r="G3334"/>
  <c r="G3333"/>
  <c r="G3332"/>
  <c r="G3331"/>
  <c r="G3330"/>
  <c r="G3329"/>
  <c r="G3328"/>
  <c r="G3327"/>
  <c r="G3326"/>
  <c r="G3325"/>
  <c r="G3324"/>
  <c r="G3323"/>
  <c r="G3322"/>
  <c r="G3321"/>
  <c r="G3320"/>
  <c r="G3280"/>
  <c r="G3279"/>
  <c r="G3278"/>
  <c r="G3277"/>
  <c r="G3276"/>
  <c r="G3275"/>
  <c r="G3274"/>
  <c r="G3273"/>
  <c r="G3272"/>
  <c r="G3271"/>
  <c r="G3270"/>
  <c r="G3269"/>
  <c r="G3268"/>
  <c r="G3267"/>
  <c r="G3266"/>
  <c r="G3265"/>
  <c r="G3264"/>
  <c r="G3263"/>
  <c r="G3262"/>
  <c r="G3261"/>
  <c r="G3260"/>
  <c r="G3259"/>
  <c r="G3258"/>
  <c r="G3257"/>
  <c r="G3256"/>
  <c r="G3255"/>
  <c r="G3254"/>
  <c r="G3253"/>
  <c r="G3252"/>
  <c r="G3251"/>
  <c r="G3250"/>
  <c r="G3249"/>
  <c r="G3248"/>
  <c r="G3247"/>
  <c r="G3246"/>
  <c r="G3245"/>
  <c r="G3244"/>
  <c r="G3242"/>
  <c r="G3241"/>
  <c r="G3240"/>
  <c r="G3239"/>
  <c r="G3238"/>
  <c r="G3237"/>
  <c r="G3236"/>
  <c r="G3235"/>
  <c r="G3234"/>
  <c r="G3233"/>
  <c r="G3232"/>
  <c r="G3231"/>
  <c r="G3230"/>
  <c r="G3229"/>
  <c r="G3228"/>
  <c r="G3227"/>
  <c r="G3226"/>
  <c r="G3225"/>
  <c r="G3224"/>
  <c r="G3223"/>
  <c r="G3222"/>
  <c r="G3221"/>
  <c r="G3220"/>
  <c r="G3219"/>
  <c r="G3218"/>
  <c r="G3217"/>
  <c r="G3216"/>
  <c r="G3215"/>
  <c r="G3214"/>
  <c r="G3213"/>
  <c r="G3212"/>
  <c r="G3211"/>
  <c r="G3210"/>
  <c r="G3209"/>
  <c r="G3208"/>
  <c r="G3207"/>
  <c r="G3206"/>
  <c r="G3204"/>
  <c r="G3203"/>
  <c r="G3202"/>
  <c r="G3201"/>
  <c r="G3200"/>
  <c r="G3199"/>
  <c r="G3198"/>
  <c r="G3197"/>
  <c r="G3196"/>
  <c r="G3195"/>
  <c r="G3194"/>
  <c r="G3193"/>
  <c r="G3192"/>
  <c r="G3191"/>
  <c r="G3190"/>
  <c r="G3189"/>
  <c r="G3188"/>
  <c r="G3187"/>
  <c r="G3186"/>
  <c r="G3185"/>
  <c r="G3184"/>
  <c r="G3183"/>
  <c r="G3182"/>
  <c r="G3181"/>
  <c r="G3180"/>
  <c r="G3179"/>
  <c r="G3178"/>
  <c r="G3177"/>
  <c r="G3176"/>
  <c r="G3175"/>
  <c r="G3174"/>
  <c r="G3173"/>
  <c r="G3172"/>
  <c r="G3171"/>
  <c r="G3170"/>
  <c r="G3169"/>
  <c r="G3168"/>
  <c r="G3166"/>
  <c r="G3165"/>
  <c r="G3164"/>
  <c r="G3163"/>
  <c r="G3162"/>
  <c r="G3161"/>
  <c r="G3160"/>
  <c r="G3159"/>
  <c r="G3158"/>
  <c r="G3157"/>
  <c r="G3156"/>
  <c r="G3155"/>
  <c r="G3154"/>
  <c r="G3153"/>
  <c r="G3152"/>
  <c r="G3151"/>
  <c r="G3150"/>
  <c r="G3149"/>
  <c r="G3148"/>
  <c r="G3147"/>
  <c r="G3146"/>
  <c r="G3145"/>
  <c r="G3144"/>
  <c r="G3143"/>
  <c r="G3142"/>
  <c r="G3141"/>
  <c r="G3140"/>
  <c r="G3139"/>
  <c r="G3138"/>
  <c r="G3137"/>
  <c r="G3136"/>
  <c r="G3135"/>
  <c r="G3134"/>
  <c r="G3133"/>
  <c r="G3132"/>
  <c r="G3131"/>
  <c r="G3130"/>
  <c r="G3128"/>
  <c r="G3127"/>
  <c r="G3126"/>
  <c r="G3125"/>
  <c r="G3124"/>
  <c r="G3123"/>
  <c r="G3122"/>
  <c r="G3121"/>
  <c r="G3120"/>
  <c r="G3119"/>
  <c r="G3118"/>
  <c r="G3117"/>
  <c r="G3116"/>
  <c r="G3115"/>
  <c r="G3114"/>
  <c r="G3113"/>
  <c r="G3112"/>
  <c r="G3111"/>
  <c r="G3110"/>
  <c r="G3109"/>
  <c r="G3108"/>
  <c r="G3107"/>
  <c r="G3106"/>
  <c r="G3105"/>
  <c r="G3104"/>
  <c r="G3103"/>
  <c r="G3102"/>
  <c r="G3101"/>
  <c r="G3100"/>
  <c r="G3099"/>
  <c r="G3098"/>
  <c r="G3097"/>
  <c r="G3096"/>
  <c r="G3095"/>
  <c r="G3094"/>
  <c r="G3093"/>
  <c r="G3092"/>
  <c r="G3090"/>
  <c r="G3089"/>
  <c r="G3088"/>
  <c r="G3087"/>
  <c r="G3086"/>
  <c r="G3085"/>
  <c r="G3084"/>
  <c r="G3083"/>
  <c r="G3082"/>
  <c r="G3081"/>
  <c r="G3080"/>
  <c r="G3079"/>
  <c r="G3078"/>
  <c r="G3077"/>
  <c r="G3076"/>
  <c r="G3075"/>
  <c r="G3074"/>
  <c r="G3073"/>
  <c r="G3072"/>
  <c r="G3071"/>
  <c r="G3070"/>
  <c r="G3069"/>
  <c r="G3068"/>
  <c r="G3067"/>
  <c r="G3066"/>
  <c r="G3065"/>
  <c r="G3064"/>
  <c r="G3063"/>
  <c r="G3062"/>
  <c r="G3061"/>
  <c r="G3060"/>
  <c r="G3059"/>
  <c r="G3058"/>
  <c r="G3057"/>
  <c r="G3056"/>
  <c r="G3055"/>
  <c r="G3054"/>
  <c r="G3015"/>
  <c r="G3014"/>
  <c r="G3013"/>
  <c r="G3012"/>
  <c r="G3011"/>
  <c r="G3010"/>
  <c r="G3009"/>
  <c r="G3008"/>
  <c r="G3007"/>
  <c r="G3006"/>
  <c r="G3004"/>
  <c r="G3003"/>
  <c r="G3001"/>
  <c r="G2999"/>
  <c r="G2997"/>
  <c r="G2996"/>
  <c r="G2995"/>
  <c r="G2994"/>
  <c r="G2993"/>
  <c r="G2991"/>
  <c r="G2989"/>
  <c r="G2988"/>
  <c r="G2987"/>
  <c r="G2986"/>
  <c r="G2985"/>
  <c r="G2984"/>
  <c r="G2983"/>
  <c r="G2982"/>
  <c r="G2979"/>
  <c r="G2978"/>
  <c r="G2977"/>
  <c r="G2976"/>
  <c r="G2975"/>
  <c r="G2974"/>
  <c r="G2973"/>
  <c r="G2972"/>
  <c r="G2971"/>
  <c r="G2970"/>
  <c r="G2968"/>
  <c r="G2967"/>
  <c r="G2965"/>
  <c r="G2963"/>
  <c r="G2961"/>
  <c r="G2960"/>
  <c r="G2959"/>
  <c r="G2958"/>
  <c r="G2957"/>
  <c r="G2955"/>
  <c r="G2953"/>
  <c r="G2952"/>
  <c r="G2951"/>
  <c r="G2950"/>
  <c r="G2949"/>
  <c r="G2948"/>
  <c r="G2947"/>
  <c r="G2946"/>
  <c r="G2943"/>
  <c r="G2942"/>
  <c r="G2941"/>
  <c r="G2940"/>
  <c r="G2939"/>
  <c r="G2938"/>
  <c r="G2937"/>
  <c r="G2936"/>
  <c r="G2935"/>
  <c r="G2934"/>
  <c r="G2932"/>
  <c r="G2931"/>
  <c r="G2929"/>
  <c r="G2927"/>
  <c r="G2925"/>
  <c r="G2924"/>
  <c r="G2923"/>
  <c r="G2922"/>
  <c r="G2921"/>
  <c r="G2919"/>
  <c r="G2917"/>
  <c r="G2916"/>
  <c r="G2915"/>
  <c r="G2914"/>
  <c r="G2913"/>
  <c r="G2912"/>
  <c r="G2911"/>
  <c r="G2910"/>
  <c r="G2907"/>
  <c r="G2906"/>
  <c r="G2905"/>
  <c r="G2904"/>
  <c r="G2903"/>
  <c r="G2902"/>
  <c r="G2901"/>
  <c r="G2900"/>
  <c r="G2899"/>
  <c r="G2898"/>
  <c r="G2896"/>
  <c r="G2895"/>
  <c r="G2893"/>
  <c r="G2891"/>
  <c r="G2889"/>
  <c r="G2888"/>
  <c r="G2887"/>
  <c r="G2886"/>
  <c r="G2885"/>
  <c r="G2883"/>
  <c r="G2881"/>
  <c r="G2880"/>
  <c r="G2879"/>
  <c r="G2878"/>
  <c r="G2877"/>
  <c r="G2876"/>
  <c r="G2875"/>
  <c r="G2874"/>
  <c r="G2871"/>
  <c r="G2870"/>
  <c r="G2869"/>
  <c r="G2868"/>
  <c r="G2867"/>
  <c r="G2866"/>
  <c r="G2865"/>
  <c r="G2864"/>
  <c r="G2863"/>
  <c r="G2862"/>
  <c r="G2860"/>
  <c r="G2859"/>
  <c r="G2857"/>
  <c r="G2855"/>
  <c r="G2853"/>
  <c r="G2852"/>
  <c r="G2851"/>
  <c r="G2850"/>
  <c r="G2849"/>
  <c r="G2847"/>
  <c r="G2845"/>
  <c r="G2844"/>
  <c r="G2843"/>
  <c r="G2842"/>
  <c r="G2841"/>
  <c r="G2840"/>
  <c r="G2839"/>
  <c r="G2838"/>
  <c r="G2835"/>
  <c r="G2834"/>
  <c r="G2833"/>
  <c r="G2832"/>
  <c r="G2831"/>
  <c r="G2830"/>
  <c r="G2829"/>
  <c r="G2828"/>
  <c r="G2827"/>
  <c r="G2826"/>
  <c r="G2824"/>
  <c r="G2823"/>
  <c r="G2821"/>
  <c r="G2819"/>
  <c r="G2817"/>
  <c r="G2816"/>
  <c r="G2815"/>
  <c r="G2814"/>
  <c r="G2813"/>
  <c r="G2811"/>
  <c r="G2809"/>
  <c r="G2808"/>
  <c r="G2807"/>
  <c r="G2806"/>
  <c r="G2805"/>
  <c r="G2804"/>
  <c r="G2803"/>
  <c r="G2802"/>
  <c r="G2799"/>
  <c r="G2798"/>
  <c r="G2797"/>
  <c r="G2796"/>
  <c r="G2795"/>
  <c r="G2794"/>
  <c r="G2793"/>
  <c r="G2792"/>
  <c r="G2791"/>
  <c r="G2790"/>
  <c r="G2788"/>
  <c r="G2787"/>
  <c r="G2785"/>
  <c r="G2783"/>
  <c r="G2781"/>
  <c r="G2780"/>
  <c r="G2779"/>
  <c r="G2778"/>
  <c r="G2777"/>
  <c r="G2775"/>
  <c r="G2773"/>
  <c r="G2772"/>
  <c r="G2771"/>
  <c r="G2770"/>
  <c r="G2769"/>
  <c r="G2768"/>
  <c r="G2767"/>
  <c r="G2766"/>
  <c r="G2763"/>
  <c r="G2762"/>
  <c r="G2761"/>
  <c r="G2760"/>
  <c r="G2759"/>
  <c r="G2758"/>
  <c r="G2757"/>
  <c r="G2756"/>
  <c r="G2755"/>
  <c r="G2754"/>
  <c r="G2752"/>
  <c r="G2751"/>
  <c r="G2749"/>
  <c r="G2747"/>
  <c r="G2745"/>
  <c r="G2744"/>
  <c r="G2743"/>
  <c r="G2742"/>
  <c r="G2741"/>
  <c r="G2739"/>
  <c r="G2737"/>
  <c r="G2736"/>
  <c r="G2735"/>
  <c r="G2734"/>
  <c r="G2733"/>
  <c r="G2732"/>
  <c r="G2731"/>
  <c r="G2730"/>
  <c r="G2691"/>
  <c r="G2690"/>
  <c r="G2689"/>
  <c r="G2688"/>
  <c r="G2687"/>
  <c r="G2686"/>
  <c r="G2685"/>
  <c r="G2684"/>
  <c r="G2683"/>
  <c r="G2682"/>
  <c r="G2680"/>
  <c r="G2679"/>
  <c r="G2677"/>
  <c r="G2675"/>
  <c r="G2673"/>
  <c r="G2672"/>
  <c r="G2671"/>
  <c r="G2670"/>
  <c r="G2669"/>
  <c r="G2667"/>
  <c r="G2665"/>
  <c r="G2664"/>
  <c r="G2663"/>
  <c r="G2662"/>
  <c r="G2661"/>
  <c r="G2660"/>
  <c r="G2659"/>
  <c r="G2658"/>
  <c r="G2655"/>
  <c r="G2654"/>
  <c r="G2653"/>
  <c r="G2652"/>
  <c r="G2651"/>
  <c r="G2650"/>
  <c r="G2649"/>
  <c r="G2648"/>
  <c r="G2647"/>
  <c r="G2646"/>
  <c r="G2644"/>
  <c r="G2643"/>
  <c r="G2641"/>
  <c r="G2639"/>
  <c r="G2637"/>
  <c r="G2636"/>
  <c r="G2635"/>
  <c r="G2634"/>
  <c r="G2633"/>
  <c r="G2631"/>
  <c r="G2629"/>
  <c r="G2628"/>
  <c r="G2627"/>
  <c r="G2626"/>
  <c r="G2625"/>
  <c r="G2624"/>
  <c r="G2623"/>
  <c r="G2622"/>
  <c r="G2619"/>
  <c r="G2618"/>
  <c r="G2617"/>
  <c r="G2616"/>
  <c r="G2615"/>
  <c r="G2614"/>
  <c r="G2613"/>
  <c r="G2612"/>
  <c r="G2611"/>
  <c r="G2610"/>
  <c r="G2608"/>
  <c r="G2607"/>
  <c r="G2605"/>
  <c r="G2603"/>
  <c r="G2601"/>
  <c r="G2600"/>
  <c r="G2599"/>
  <c r="G2598"/>
  <c r="G2597"/>
  <c r="G2595"/>
  <c r="G2593"/>
  <c r="G2592"/>
  <c r="G2591"/>
  <c r="G2590"/>
  <c r="G2589"/>
  <c r="G2588"/>
  <c r="G2587"/>
  <c r="G2586"/>
  <c r="G2583"/>
  <c r="G2582"/>
  <c r="G2581"/>
  <c r="G2580"/>
  <c r="G2579"/>
  <c r="G2578"/>
  <c r="G2577"/>
  <c r="G2576"/>
  <c r="G2575"/>
  <c r="G2574"/>
  <c r="G2572"/>
  <c r="G2571"/>
  <c r="G2569"/>
  <c r="G2567"/>
  <c r="G2565"/>
  <c r="G2564"/>
  <c r="G2563"/>
  <c r="G2562"/>
  <c r="G2561"/>
  <c r="G2559"/>
  <c r="G2557"/>
  <c r="G2556"/>
  <c r="G2555"/>
  <c r="G2554"/>
  <c r="G2553"/>
  <c r="G2552"/>
  <c r="G2551"/>
  <c r="G2550"/>
  <c r="G2547"/>
  <c r="G2546"/>
  <c r="G2545"/>
  <c r="G2544"/>
  <c r="G2543"/>
  <c r="G2542"/>
  <c r="G2541"/>
  <c r="G2540"/>
  <c r="G2539"/>
  <c r="G2538"/>
  <c r="G2536"/>
  <c r="G2535"/>
  <c r="G2533"/>
  <c r="G2531"/>
  <c r="G2529"/>
  <c r="G2528"/>
  <c r="G2527"/>
  <c r="G2526"/>
  <c r="G2525"/>
  <c r="G2523"/>
  <c r="G2521"/>
  <c r="G2520"/>
  <c r="G2519"/>
  <c r="G2518"/>
  <c r="G2517"/>
  <c r="G2516"/>
  <c r="G2515"/>
  <c r="G2514"/>
  <c r="G2511"/>
  <c r="G2510"/>
  <c r="G2509"/>
  <c r="G2508"/>
  <c r="G2507"/>
  <c r="G2506"/>
  <c r="G2505"/>
  <c r="G2504"/>
  <c r="G2503"/>
  <c r="G2502"/>
  <c r="G2500"/>
  <c r="G2499"/>
  <c r="G2497"/>
  <c r="G2495"/>
  <c r="G2493"/>
  <c r="G2492"/>
  <c r="G2491"/>
  <c r="G2490"/>
  <c r="G2489"/>
  <c r="G2487"/>
  <c r="G2485"/>
  <c r="G2484"/>
  <c r="G2483"/>
  <c r="G2482"/>
  <c r="G2481"/>
  <c r="G2480"/>
  <c r="G2479"/>
  <c r="G2478"/>
  <c r="G2477"/>
  <c r="G2476"/>
  <c r="G2475"/>
  <c r="G2474"/>
  <c r="G2473"/>
  <c r="G2472"/>
  <c r="G2471"/>
  <c r="G2470"/>
  <c r="G2469"/>
  <c r="G2468"/>
  <c r="G2467"/>
  <c r="G2466"/>
  <c r="G2465"/>
  <c r="G2464"/>
  <c r="G2463"/>
  <c r="G2462"/>
  <c r="G2461"/>
  <c r="G2460"/>
  <c r="G2459"/>
  <c r="G2458"/>
  <c r="G2457"/>
  <c r="G2456"/>
  <c r="G2455"/>
  <c r="G2454"/>
  <c r="G2453"/>
  <c r="G2452"/>
  <c r="G2451"/>
  <c r="G2450"/>
  <c r="G2449"/>
  <c r="G2448"/>
  <c r="G2447"/>
  <c r="G2446"/>
  <c r="G2445"/>
  <c r="G2444"/>
  <c r="G2443"/>
  <c r="G2442"/>
  <c r="G2441"/>
  <c r="G2440"/>
  <c r="G2438"/>
  <c r="G2436"/>
  <c r="G2435"/>
  <c r="G2434"/>
  <c r="G2433"/>
  <c r="G2431"/>
  <c r="G2430"/>
  <c r="G2429"/>
  <c r="G2428"/>
  <c r="G2426"/>
  <c r="G2425"/>
  <c r="G2424"/>
  <c r="G2423"/>
  <c r="G2421"/>
  <c r="G2420"/>
  <c r="G2419"/>
  <c r="G2418"/>
  <c r="G2417"/>
  <c r="G2416"/>
  <c r="G2414"/>
  <c r="G2412"/>
  <c r="G2411"/>
  <c r="G2410"/>
  <c r="G2409"/>
  <c r="G2407"/>
  <c r="G2406"/>
  <c r="G2405"/>
  <c r="G2404"/>
  <c r="G2402"/>
  <c r="G2401"/>
  <c r="G2400"/>
  <c r="G2399"/>
  <c r="G2397"/>
  <c r="G2396"/>
  <c r="G2395"/>
  <c r="G2394"/>
  <c r="G2393"/>
  <c r="G2392"/>
  <c r="G2366"/>
  <c r="G2364"/>
  <c r="G2363"/>
  <c r="G2362"/>
  <c r="G2361"/>
  <c r="G2359"/>
  <c r="G2358"/>
  <c r="G2357"/>
  <c r="G2356"/>
  <c r="G2354"/>
  <c r="G2353"/>
  <c r="G2352"/>
  <c r="G2351"/>
  <c r="G2349"/>
  <c r="G2348"/>
  <c r="G2347"/>
  <c r="G2346"/>
  <c r="G2345"/>
  <c r="G2344"/>
  <c r="G2342"/>
  <c r="G2340"/>
  <c r="G2339"/>
  <c r="G2338"/>
  <c r="G2337"/>
  <c r="G2335"/>
  <c r="G2334"/>
  <c r="G2333"/>
  <c r="G2332"/>
  <c r="G2330"/>
  <c r="G2329"/>
  <c r="G2328"/>
  <c r="G2327"/>
  <c r="G2325"/>
  <c r="G2324"/>
  <c r="G2323"/>
  <c r="G2322"/>
  <c r="G2321"/>
  <c r="G2320"/>
  <c r="G2318"/>
  <c r="G2316"/>
  <c r="G2315"/>
  <c r="G2314"/>
  <c r="G2313"/>
  <c r="G2311"/>
  <c r="G2310"/>
  <c r="G2309"/>
  <c r="G2308"/>
  <c r="G2306"/>
  <c r="G2305"/>
  <c r="G2304"/>
  <c r="G2303"/>
  <c r="G2301"/>
  <c r="G2300"/>
  <c r="G2299"/>
  <c r="G2298"/>
  <c r="G2297"/>
  <c r="G2296"/>
  <c r="G2294"/>
  <c r="G2293"/>
  <c r="G2292"/>
  <c r="G2291"/>
  <c r="G2290"/>
  <c r="G2289"/>
  <c r="G2288"/>
  <c r="G2287"/>
  <c r="G2286"/>
  <c r="G2285"/>
  <c r="G2284"/>
  <c r="G2279"/>
  <c r="G2278"/>
  <c r="G2277"/>
  <c r="G2276"/>
  <c r="G2275"/>
  <c r="G2274"/>
  <c r="G2270"/>
  <c r="G2268"/>
  <c r="G2267"/>
  <c r="G2265"/>
  <c r="G2264"/>
  <c r="G2263"/>
  <c r="G2260"/>
  <c r="G2258"/>
  <c r="G2257"/>
  <c r="G2242"/>
  <c r="G2240"/>
  <c r="G2239"/>
  <c r="G2238"/>
  <c r="G2237"/>
  <c r="G2235"/>
  <c r="G2231"/>
  <c r="G2229"/>
  <c r="G2228"/>
  <c r="G2227"/>
  <c r="G2226"/>
  <c r="G2224"/>
  <c r="G2220"/>
  <c r="G2218"/>
  <c r="G2217"/>
  <c r="G2216"/>
  <c r="G2215"/>
  <c r="G2213"/>
  <c r="G2209"/>
  <c r="G2208"/>
  <c r="G2206"/>
  <c r="G2205"/>
  <c r="G2178"/>
  <c r="G2176"/>
  <c r="G2175"/>
  <c r="G2174"/>
  <c r="G2173"/>
  <c r="G2171"/>
  <c r="G2169"/>
  <c r="G2168"/>
  <c r="G2167"/>
  <c r="G2166"/>
  <c r="G2165"/>
  <c r="G2163"/>
  <c r="G2162"/>
  <c r="G2161"/>
  <c r="G2160"/>
  <c r="G2158"/>
  <c r="G2156"/>
  <c r="G2155"/>
  <c r="G2154"/>
  <c r="G2153"/>
  <c r="G2152"/>
  <c r="G2150"/>
  <c r="G2149"/>
  <c r="G2148"/>
  <c r="G2147"/>
  <c r="G2145"/>
  <c r="G2143"/>
  <c r="G2142"/>
  <c r="G2141"/>
  <c r="G2140"/>
  <c r="G2126"/>
  <c r="G2124"/>
  <c r="G2123"/>
  <c r="G2122"/>
  <c r="G2121"/>
  <c r="G2119"/>
  <c r="G2117"/>
  <c r="G2116"/>
  <c r="G2115"/>
  <c r="G2114"/>
  <c r="G2113"/>
  <c r="G2111"/>
  <c r="G2110"/>
  <c r="G2109"/>
  <c r="G2108"/>
  <c r="G2106"/>
  <c r="G2104"/>
  <c r="G2103"/>
  <c r="G2102"/>
  <c r="G2101"/>
  <c r="G2100"/>
  <c r="G2098"/>
  <c r="G2097"/>
  <c r="G2096"/>
  <c r="G2095"/>
  <c r="G2093"/>
  <c r="G2091"/>
  <c r="G2090"/>
  <c r="G2089"/>
  <c r="G2088"/>
  <c r="G2062"/>
  <c r="G2060"/>
  <c r="G2058"/>
  <c r="G2057"/>
  <c r="G2055"/>
  <c r="G2053"/>
  <c r="G2051"/>
  <c r="G2050"/>
  <c r="G2049"/>
  <c r="G2048"/>
  <c r="G2047"/>
  <c r="G2045"/>
  <c r="G2043"/>
  <c r="G2042"/>
  <c r="G2041"/>
  <c r="G2040"/>
  <c r="G2039"/>
  <c r="G2038"/>
  <c r="G2037"/>
  <c r="G2036"/>
  <c r="G2034"/>
  <c r="G2032"/>
  <c r="G2030"/>
  <c r="G2029"/>
  <c r="G2027"/>
  <c r="G2025"/>
  <c r="G2023"/>
  <c r="G2022"/>
  <c r="G2021"/>
  <c r="G2020"/>
  <c r="G2019"/>
  <c r="G2017"/>
  <c r="G2015"/>
  <c r="G2014"/>
  <c r="G2013"/>
  <c r="G2012"/>
  <c r="G2011"/>
  <c r="G2010"/>
  <c r="G2009"/>
  <c r="G2008"/>
  <c r="G2006"/>
  <c r="G2004"/>
  <c r="G2002"/>
  <c r="G2001"/>
  <c r="G1999"/>
  <c r="G1997"/>
  <c r="G1995"/>
  <c r="G1994"/>
  <c r="G1993"/>
  <c r="G1992"/>
  <c r="G1991"/>
  <c r="G1989"/>
  <c r="G1987"/>
  <c r="G1986"/>
  <c r="G1985"/>
  <c r="G1984"/>
  <c r="G1983"/>
  <c r="G1982"/>
  <c r="G1981"/>
  <c r="G1980"/>
  <c r="G1978"/>
  <c r="G1976"/>
  <c r="G1974"/>
  <c r="G1973"/>
  <c r="G1971"/>
  <c r="G1969"/>
  <c r="G1967"/>
  <c r="G1966"/>
  <c r="G1965"/>
  <c r="G1964"/>
  <c r="G1963"/>
  <c r="G1961"/>
  <c r="G1959"/>
  <c r="G1958"/>
  <c r="G1957"/>
  <c r="G1956"/>
  <c r="G1955"/>
  <c r="G1954"/>
  <c r="G1953"/>
  <c r="G1952"/>
  <c r="G1950"/>
  <c r="G1948"/>
  <c r="G1946"/>
  <c r="G1945"/>
  <c r="G1943"/>
  <c r="G1941"/>
  <c r="G1939"/>
  <c r="G1938"/>
  <c r="G1937"/>
  <c r="G1936"/>
  <c r="G1935"/>
  <c r="G1933"/>
  <c r="G1931"/>
  <c r="G1930"/>
  <c r="G1929"/>
  <c r="G1928"/>
  <c r="G1927"/>
  <c r="G1926"/>
  <c r="G1925"/>
  <c r="G1924"/>
  <c r="G1922"/>
  <c r="G1920"/>
  <c r="G1918"/>
  <c r="G1917"/>
  <c r="G1915"/>
  <c r="G1913"/>
  <c r="G1911"/>
  <c r="G1910"/>
  <c r="G1909"/>
  <c r="G1908"/>
  <c r="G1907"/>
  <c r="G1905"/>
  <c r="G1903"/>
  <c r="G1902"/>
  <c r="G1901"/>
  <c r="G1900"/>
  <c r="G1899"/>
  <c r="G1898"/>
  <c r="G1897"/>
  <c r="G1896"/>
  <c r="G1894"/>
  <c r="G1892"/>
  <c r="G1890"/>
  <c r="G1889"/>
  <c r="G1887"/>
  <c r="G1885"/>
  <c r="G1883"/>
  <c r="G1882"/>
  <c r="G1881"/>
  <c r="G1880"/>
  <c r="G1879"/>
  <c r="G1877"/>
  <c r="G1875"/>
  <c r="G1874"/>
  <c r="G1873"/>
  <c r="G1872"/>
  <c r="G1871"/>
  <c r="G1870"/>
  <c r="G1869"/>
  <c r="G1868"/>
  <c r="G1866"/>
  <c r="G1864"/>
  <c r="G1862"/>
  <c r="G1861"/>
  <c r="G1859"/>
  <c r="G1857"/>
  <c r="G1855"/>
  <c r="G1854"/>
  <c r="G1853"/>
  <c r="G1852"/>
  <c r="G1851"/>
  <c r="G1849"/>
  <c r="G1847"/>
  <c r="G1846"/>
  <c r="G1845"/>
  <c r="G1844"/>
  <c r="G1843"/>
  <c r="G1842"/>
  <c r="G1841"/>
  <c r="G1840"/>
  <c r="G1814"/>
  <c r="G1812"/>
  <c r="G1810"/>
  <c r="G1809"/>
  <c r="G1807"/>
  <c r="G1805"/>
  <c r="G1803"/>
  <c r="G1802"/>
  <c r="G1801"/>
  <c r="G1800"/>
  <c r="G1799"/>
  <c r="G1797"/>
  <c r="G1795"/>
  <c r="G1794"/>
  <c r="G1793"/>
  <c r="G1792"/>
  <c r="G1791"/>
  <c r="G1790"/>
  <c r="G1789"/>
  <c r="G1788"/>
  <c r="G1786"/>
  <c r="G1784"/>
  <c r="G1782"/>
  <c r="G1781"/>
  <c r="G1779"/>
  <c r="G1777"/>
  <c r="G1775"/>
  <c r="G1774"/>
  <c r="G1773"/>
  <c r="G1772"/>
  <c r="G1771"/>
  <c r="G1769"/>
  <c r="G1767"/>
  <c r="G1766"/>
  <c r="G1765"/>
  <c r="G1764"/>
  <c r="G1763"/>
  <c r="G1762"/>
  <c r="G1761"/>
  <c r="G1760"/>
  <c r="G1758"/>
  <c r="G1756"/>
  <c r="G1754"/>
  <c r="G1753"/>
  <c r="G1751"/>
  <c r="G1749"/>
  <c r="G1747"/>
  <c r="G1746"/>
  <c r="G1745"/>
  <c r="G1744"/>
  <c r="G1743"/>
  <c r="G1741"/>
  <c r="G1739"/>
  <c r="G1738"/>
  <c r="G1737"/>
  <c r="G1736"/>
  <c r="G1735"/>
  <c r="G1734"/>
  <c r="G1733"/>
  <c r="G1732"/>
  <c r="G1730"/>
  <c r="G1728"/>
  <c r="G1726"/>
  <c r="G1725"/>
  <c r="G1723"/>
  <c r="G1721"/>
  <c r="G1719"/>
  <c r="G1718"/>
  <c r="G1717"/>
  <c r="G1716"/>
  <c r="G1715"/>
  <c r="G1713"/>
  <c r="G1711"/>
  <c r="G1710"/>
  <c r="G1709"/>
  <c r="G1708"/>
  <c r="G1707"/>
  <c r="G1706"/>
  <c r="G1705"/>
  <c r="G1704"/>
  <c r="G1702"/>
  <c r="G1700"/>
  <c r="G1698"/>
  <c r="G1697"/>
  <c r="G1695"/>
  <c r="G1693"/>
  <c r="G1691"/>
  <c r="G1690"/>
  <c r="G1689"/>
  <c r="G1688"/>
  <c r="G1687"/>
  <c r="G1685"/>
  <c r="G1683"/>
  <c r="G1682"/>
  <c r="G1681"/>
  <c r="G1680"/>
  <c r="G1679"/>
  <c r="G1678"/>
  <c r="G1677"/>
  <c r="G1676"/>
  <c r="G1674"/>
  <c r="G1672"/>
  <c r="G1670"/>
  <c r="G1669"/>
  <c r="G1667"/>
  <c r="G1665"/>
  <c r="G1663"/>
  <c r="G1662"/>
  <c r="G1661"/>
  <c r="G1660"/>
  <c r="G1659"/>
  <c r="G1657"/>
  <c r="G1655"/>
  <c r="G1654"/>
  <c r="G1653"/>
  <c r="G1652"/>
  <c r="G1651"/>
  <c r="G1650"/>
  <c r="G1649"/>
  <c r="G1648"/>
  <c r="G1646"/>
  <c r="G1645"/>
  <c r="G1644"/>
  <c r="G1643"/>
  <c r="G1642"/>
  <c r="G1640"/>
  <c r="G1639"/>
  <c r="G1638"/>
  <c r="G1637"/>
  <c r="G1636"/>
  <c r="G1634"/>
  <c r="G1633"/>
  <c r="G1632"/>
  <c r="G1631"/>
  <c r="G1630"/>
  <c r="G1629"/>
  <c r="G1628"/>
  <c r="G1626"/>
  <c r="G1624"/>
  <c r="G1623"/>
  <c r="G1622"/>
  <c r="G1621"/>
  <c r="G1620"/>
  <c r="G1619"/>
  <c r="G1617"/>
  <c r="G1615"/>
  <c r="G1614"/>
  <c r="G1613"/>
  <c r="G1612"/>
  <c r="G1611"/>
  <c r="G1610"/>
  <c r="G1608"/>
  <c r="G1606"/>
  <c r="G1605"/>
  <c r="G1604"/>
  <c r="G1603"/>
  <c r="G1602"/>
  <c r="G1601"/>
  <c r="G1599"/>
  <c r="G1597"/>
  <c r="G1596"/>
  <c r="G1595"/>
  <c r="G1594"/>
  <c r="G1593"/>
  <c r="G1591"/>
  <c r="G1589"/>
  <c r="G1588"/>
  <c r="G1587"/>
  <c r="G1585"/>
  <c r="G1584"/>
  <c r="G1582"/>
  <c r="G1580"/>
  <c r="G1579"/>
  <c r="G1578"/>
  <c r="G1576"/>
  <c r="G1575"/>
  <c r="G1574"/>
  <c r="G1573"/>
  <c r="G1572"/>
  <c r="G1571"/>
  <c r="G1570"/>
  <c r="G1569"/>
  <c r="G1568"/>
  <c r="G1565"/>
  <c r="G1564"/>
  <c r="G1563"/>
  <c r="G1562"/>
  <c r="G1561"/>
  <c r="G1560"/>
  <c r="G1557"/>
  <c r="G1551"/>
  <c r="G1548"/>
  <c r="G1546"/>
  <c r="G1545"/>
  <c r="G1544"/>
  <c r="G1543"/>
  <c r="G1541"/>
  <c r="G1540"/>
  <c r="G1539"/>
  <c r="G1537"/>
  <c r="G1536"/>
  <c r="G1535"/>
  <c r="G1534"/>
  <c r="G1532"/>
  <c r="G1531"/>
  <c r="G1530"/>
  <c r="G1519"/>
  <c r="G1518"/>
  <c r="G1517"/>
  <c r="G1515"/>
  <c r="G1512"/>
  <c r="G1511"/>
  <c r="G1510"/>
  <c r="G1509"/>
  <c r="G1489"/>
  <c r="G1488"/>
  <c r="G1487"/>
  <c r="G1485"/>
  <c r="G1482"/>
  <c r="G1481"/>
  <c r="G1480"/>
  <c r="G1477"/>
  <c r="G1476"/>
  <c r="G1475"/>
  <c r="G1473"/>
  <c r="G1472"/>
  <c r="G1471"/>
  <c r="G1469"/>
  <c r="G1468"/>
  <c r="G1467"/>
  <c r="G1464"/>
  <c r="G1463"/>
  <c r="G1462"/>
  <c r="G1460"/>
  <c r="G1457"/>
  <c r="G1456"/>
  <c r="G1455"/>
  <c r="G1452"/>
  <c r="G1451"/>
  <c r="G1450"/>
  <c r="G1448"/>
  <c r="G1447"/>
  <c r="G1446"/>
  <c r="G1444"/>
  <c r="G1443"/>
  <c r="G1442"/>
  <c r="G1415"/>
  <c r="G1412"/>
  <c r="G1411"/>
  <c r="G1410"/>
  <c r="G1409"/>
  <c r="G1408"/>
  <c r="G1407"/>
  <c r="G1406"/>
  <c r="G1405"/>
  <c r="G1404"/>
  <c r="G1403"/>
  <c r="G1402"/>
  <c r="G1401"/>
  <c r="G1400"/>
  <c r="G1399"/>
  <c r="G1398"/>
  <c r="G1397"/>
  <c r="G1396"/>
  <c r="G1395"/>
  <c r="G1394"/>
  <c r="G1393"/>
  <c r="G1392"/>
  <c r="G1391"/>
  <c r="G1390"/>
  <c r="G1362"/>
  <c r="G1361"/>
  <c r="G1360"/>
  <c r="G1359"/>
  <c r="G1358"/>
  <c r="G1357"/>
  <c r="G1356"/>
  <c r="G1355"/>
  <c r="G1354"/>
  <c r="G1353"/>
  <c r="G1352"/>
  <c r="G1351"/>
  <c r="G1350"/>
  <c r="G1349"/>
  <c r="G1348"/>
  <c r="G1347"/>
  <c r="G1346"/>
  <c r="G1345"/>
  <c r="G1344"/>
  <c r="G1343"/>
  <c r="G1342"/>
  <c r="G1341"/>
  <c r="G1340"/>
  <c r="G1337"/>
  <c r="G1336"/>
  <c r="G1335"/>
  <c r="G1334"/>
  <c r="G1333"/>
  <c r="G1332"/>
  <c r="G1331"/>
  <c r="G1330"/>
  <c r="G1329"/>
  <c r="G1328"/>
  <c r="G1327"/>
  <c r="G1326"/>
  <c r="G1325"/>
  <c r="G1324"/>
  <c r="G1323"/>
  <c r="G1322"/>
  <c r="G1321"/>
  <c r="G1320"/>
  <c r="G1319"/>
  <c r="G1318"/>
  <c r="G1317"/>
  <c r="G1316"/>
  <c r="G1315"/>
  <c r="G1291"/>
  <c r="G1288"/>
  <c r="G1287"/>
  <c r="G1286"/>
  <c r="G1285"/>
  <c r="G1284"/>
  <c r="G1283"/>
  <c r="G1282"/>
  <c r="G1281"/>
  <c r="G1280"/>
  <c r="G1279"/>
  <c r="G1278"/>
  <c r="G1277"/>
  <c r="G1276"/>
  <c r="G1275"/>
  <c r="G1274"/>
  <c r="G1273"/>
  <c r="G1272"/>
  <c r="G1271"/>
  <c r="G1270"/>
  <c r="G1269"/>
  <c r="G1244"/>
  <c r="G1243"/>
  <c r="G1242"/>
  <c r="G1241"/>
  <c r="G1240"/>
  <c r="G1239"/>
  <c r="G1238"/>
  <c r="G1237"/>
  <c r="G1236"/>
  <c r="G1235"/>
  <c r="G1234"/>
  <c r="G1233"/>
  <c r="G1232"/>
  <c r="G1231"/>
  <c r="G1230"/>
  <c r="G1229"/>
  <c r="G1228"/>
  <c r="G1227"/>
  <c r="G1226"/>
  <c r="G1225"/>
  <c r="G1222"/>
  <c r="G1221"/>
  <c r="G1220"/>
  <c r="G1219"/>
  <c r="G1218"/>
  <c r="G1217"/>
  <c r="G1216"/>
  <c r="G1215"/>
  <c r="G1214"/>
  <c r="G1213"/>
  <c r="G1212"/>
  <c r="G1211"/>
  <c r="G1210"/>
  <c r="G1209"/>
  <c r="G1208"/>
  <c r="G1207"/>
  <c r="G1206"/>
  <c r="G1205"/>
  <c r="G1204"/>
  <c r="G1203"/>
  <c r="G1194"/>
  <c r="G1193"/>
  <c r="G1192"/>
  <c r="G1191"/>
  <c r="G1190"/>
  <c r="G1189"/>
  <c r="G1180"/>
  <c r="G1179"/>
  <c r="G1178"/>
  <c r="G1177"/>
  <c r="G1176"/>
  <c r="G1175"/>
  <c r="G1173"/>
  <c r="G1172"/>
  <c r="G1171"/>
  <c r="G1170"/>
  <c r="G1169"/>
  <c r="G1168"/>
  <c r="G1140"/>
  <c r="G1138"/>
  <c r="G1137"/>
  <c r="G1135"/>
  <c r="G1134"/>
  <c r="G1133"/>
  <c r="G1132"/>
  <c r="G1131"/>
  <c r="G1129"/>
  <c r="G1128"/>
  <c r="G1127"/>
  <c r="G1126"/>
  <c r="G1125"/>
  <c r="G1123"/>
  <c r="G1122"/>
  <c r="G1121"/>
  <c r="G1120"/>
  <c r="G1119"/>
  <c r="G1118"/>
  <c r="G1117"/>
  <c r="G1115"/>
  <c r="G1114"/>
  <c r="G1113"/>
  <c r="G1111"/>
  <c r="G1110"/>
  <c r="G1109"/>
  <c r="G1108"/>
  <c r="G1107"/>
  <c r="G1106"/>
  <c r="G1104"/>
  <c r="G1103"/>
  <c r="G1102"/>
  <c r="G1101"/>
  <c r="G1100"/>
  <c r="G1099"/>
  <c r="G1097"/>
  <c r="G1096"/>
  <c r="G1095"/>
  <c r="G1094"/>
  <c r="G1093"/>
  <c r="G1092"/>
  <c r="G1091"/>
  <c r="G1089"/>
  <c r="G1088"/>
  <c r="G1087"/>
  <c r="G1085"/>
  <c r="G1084"/>
  <c r="G1083"/>
  <c r="G1082"/>
  <c r="G1081"/>
  <c r="G1080"/>
  <c r="G1078"/>
  <c r="G1077"/>
  <c r="G1076"/>
  <c r="G1075"/>
  <c r="G1074"/>
  <c r="G1073"/>
  <c r="G1071"/>
  <c r="G1070"/>
  <c r="G1069"/>
  <c r="G1068"/>
  <c r="G1067"/>
  <c r="G1066"/>
  <c r="G1048"/>
  <c r="G1047"/>
  <c r="G1043"/>
  <c r="G1042"/>
  <c r="G1041"/>
  <c r="G1040"/>
  <c r="G1038"/>
  <c r="G1037"/>
  <c r="G1036"/>
  <c r="G1035"/>
  <c r="G1034"/>
  <c r="G1032"/>
  <c r="G1031"/>
  <c r="G1027"/>
  <c r="G1026"/>
  <c r="G1025"/>
  <c r="G1024"/>
  <c r="G1022"/>
  <c r="G1021"/>
  <c r="G1020"/>
  <c r="G1019"/>
  <c r="G1018"/>
  <c r="G1016"/>
  <c r="G1015"/>
  <c r="G1011"/>
  <c r="G1010"/>
  <c r="G1009"/>
  <c r="G1008"/>
  <c r="G1006"/>
  <c r="G1005"/>
  <c r="G1004"/>
  <c r="G1003"/>
  <c r="G1002"/>
  <c r="G1000"/>
  <c r="G999"/>
  <c r="G995"/>
  <c r="G994"/>
  <c r="G993"/>
  <c r="G992"/>
  <c r="G990"/>
  <c r="G989"/>
  <c r="G988"/>
  <c r="G987"/>
  <c r="G986"/>
  <c r="G984"/>
  <c r="G983"/>
  <c r="G979"/>
  <c r="G978"/>
  <c r="G977"/>
  <c r="G976"/>
  <c r="G974"/>
  <c r="G973"/>
  <c r="G972"/>
  <c r="G971"/>
  <c r="G970"/>
  <c r="G968"/>
  <c r="G967"/>
  <c r="G963"/>
  <c r="G962"/>
  <c r="G961"/>
  <c r="G960"/>
  <c r="G958"/>
  <c r="G957"/>
  <c r="G956"/>
  <c r="G955"/>
  <c r="G954"/>
  <c r="G952"/>
  <c r="G951"/>
  <c r="G947"/>
  <c r="G946"/>
  <c r="G945"/>
  <c r="G944"/>
  <c r="G942"/>
  <c r="G941"/>
  <c r="G940"/>
  <c r="G939"/>
  <c r="G938"/>
  <c r="G924"/>
  <c r="G922"/>
  <c r="G921"/>
  <c r="G919"/>
  <c r="G917"/>
  <c r="G916"/>
  <c r="G915"/>
  <c r="G914"/>
  <c r="G913"/>
  <c r="G912"/>
  <c r="G911"/>
  <c r="G882"/>
  <c r="G881"/>
  <c r="G879"/>
  <c r="G877"/>
  <c r="G875"/>
  <c r="G874"/>
  <c r="G873"/>
  <c r="G872"/>
  <c r="G871"/>
  <c r="G869"/>
  <c r="G867"/>
  <c r="G866"/>
  <c r="G865"/>
  <c r="G864"/>
  <c r="G863"/>
  <c r="G862"/>
  <c r="G861"/>
  <c r="G860"/>
  <c r="G763"/>
  <c r="M427"/>
  <c r="M425"/>
  <c r="M424"/>
  <c r="G751" l="1"/>
  <c r="G750"/>
  <c r="G748"/>
  <c r="G747"/>
  <c r="G745"/>
  <c r="G744"/>
  <c r="G733"/>
  <c r="G732"/>
  <c r="G731"/>
  <c r="G730"/>
  <c r="G728"/>
  <c r="G727"/>
  <c r="G726"/>
  <c r="G725"/>
  <c r="G723"/>
  <c r="G722"/>
  <c r="G711"/>
  <c r="G710"/>
  <c r="G709"/>
  <c r="G708"/>
  <c r="G706"/>
  <c r="G705"/>
  <c r="G704"/>
  <c r="G703"/>
  <c r="G702"/>
  <c r="G701"/>
  <c r="G698"/>
  <c r="G697"/>
  <c r="G695"/>
  <c r="G694"/>
  <c r="G692"/>
  <c r="G691"/>
  <c r="G689"/>
  <c r="G688"/>
  <c r="G686"/>
  <c r="G685"/>
  <c r="G683"/>
  <c r="G682"/>
  <c r="G681"/>
  <c r="G680"/>
  <c r="G673"/>
  <c r="G672"/>
  <c r="G671"/>
  <c r="G670"/>
  <c r="G668"/>
  <c r="G667"/>
  <c r="G666"/>
  <c r="G665"/>
  <c r="G664"/>
  <c r="G647"/>
  <c r="G646"/>
  <c r="G643"/>
  <c r="G639"/>
  <c r="G631"/>
  <c r="G630"/>
  <c r="G629"/>
  <c r="G628"/>
  <c r="G626"/>
  <c r="G625"/>
  <c r="G624"/>
  <c r="G623"/>
  <c r="G622"/>
  <c r="G600"/>
  <c r="G574"/>
  <c r="G573"/>
  <c r="G569"/>
  <c r="G566"/>
  <c r="G565"/>
  <c r="G564"/>
  <c r="G563"/>
  <c r="G561"/>
  <c r="G560"/>
  <c r="G559"/>
  <c r="G558"/>
  <c r="G557"/>
  <c r="G556"/>
  <c r="G554"/>
  <c r="G553"/>
  <c r="G552"/>
  <c r="G551"/>
  <c r="G544"/>
  <c r="G543"/>
  <c r="G542"/>
  <c r="G541"/>
  <c r="G539"/>
  <c r="G538"/>
  <c r="G537"/>
  <c r="G536"/>
  <c r="G535"/>
  <c r="G517"/>
  <c r="G514"/>
  <c r="G510"/>
  <c r="G502"/>
  <c r="G501"/>
  <c r="G500"/>
  <c r="G499"/>
  <c r="G497"/>
  <c r="G496"/>
  <c r="G495"/>
  <c r="G494"/>
  <c r="G493"/>
  <c r="G471"/>
  <c r="G445"/>
  <c r="G444"/>
  <c r="G440"/>
  <c r="G437"/>
  <c r="G436"/>
  <c r="G435"/>
  <c r="G434"/>
  <c r="G432"/>
  <c r="G431"/>
  <c r="G430"/>
  <c r="G429"/>
  <c r="G428"/>
  <c r="G427"/>
  <c r="G425"/>
  <c r="G424"/>
  <c r="G423"/>
  <c r="G422"/>
  <c r="G421"/>
  <c r="G418"/>
  <c r="G415"/>
  <c r="G414"/>
  <c r="G410"/>
  <c r="G409"/>
  <c r="G408"/>
  <c r="G407"/>
  <c r="G406"/>
  <c r="G405"/>
  <c r="G404"/>
  <c r="G403"/>
  <c r="G402"/>
  <c r="G401"/>
  <c r="G400"/>
  <c r="G399"/>
  <c r="G398"/>
  <c r="G397"/>
  <c r="G396"/>
  <c r="G395"/>
  <c r="G394"/>
  <c r="G393"/>
  <c r="G346"/>
  <c r="G345"/>
  <c r="G344"/>
  <c r="G341"/>
  <c r="G340"/>
  <c r="G339"/>
  <c r="G338"/>
  <c r="G336"/>
  <c r="G335"/>
  <c r="G333"/>
  <c r="G332"/>
  <c r="G331"/>
  <c r="G330"/>
  <c r="G329"/>
  <c r="G328"/>
  <c r="G327"/>
  <c r="G324"/>
  <c r="G323"/>
  <c r="G322"/>
  <c r="G319"/>
  <c r="G318"/>
  <c r="G317"/>
  <c r="G316"/>
  <c r="G314"/>
  <c r="G313"/>
  <c r="G311"/>
  <c r="G310"/>
  <c r="G309"/>
  <c r="G308"/>
  <c r="G307"/>
  <c r="G306"/>
  <c r="G305"/>
  <c r="G302"/>
  <c r="G301"/>
  <c r="G300"/>
  <c r="G297"/>
  <c r="G296"/>
  <c r="G295"/>
  <c r="G294"/>
  <c r="G292"/>
  <c r="G291"/>
  <c r="G289"/>
  <c r="G288"/>
  <c r="G287"/>
  <c r="G286"/>
  <c r="G285"/>
  <c r="G284"/>
  <c r="G283"/>
  <c r="G213"/>
  <c r="G212"/>
  <c r="G209"/>
  <c r="G208"/>
  <c r="G207"/>
  <c r="G206"/>
  <c r="G205"/>
  <c r="G204"/>
  <c r="G203"/>
  <c r="G202"/>
  <c r="G201"/>
  <c r="G198"/>
  <c r="G197"/>
  <c r="G196"/>
  <c r="G195"/>
  <c r="G194"/>
  <c r="G193"/>
  <c r="G191"/>
  <c r="G190"/>
  <c r="G189"/>
  <c r="G188"/>
  <c r="G186"/>
  <c r="G185"/>
  <c r="G184"/>
  <c r="G183"/>
  <c r="G182"/>
  <c r="G181"/>
  <c r="G179"/>
  <c r="G178"/>
  <c r="G175"/>
  <c r="G174"/>
  <c r="G173"/>
  <c r="G172"/>
  <c r="G171"/>
  <c r="G170"/>
  <c r="G169"/>
  <c r="G168"/>
  <c r="G167"/>
  <c r="G164"/>
  <c r="G163"/>
  <c r="G162"/>
  <c r="G161"/>
  <c r="G160"/>
  <c r="G159"/>
  <c r="G157"/>
  <c r="G156"/>
  <c r="G155"/>
  <c r="G154"/>
  <c r="G152"/>
  <c r="G151"/>
  <c r="G150"/>
  <c r="G149"/>
  <c r="G148"/>
  <c r="G147"/>
  <c r="G145"/>
  <c r="G144"/>
  <c r="G141"/>
  <c r="G140"/>
  <c r="G139"/>
  <c r="G138"/>
  <c r="G137"/>
  <c r="G136"/>
  <c r="G135"/>
  <c r="G134"/>
  <c r="G133"/>
  <c r="G130"/>
  <c r="G129"/>
  <c r="G128"/>
  <c r="G127"/>
  <c r="G126"/>
  <c r="G125"/>
  <c r="G123"/>
  <c r="G122"/>
  <c r="G121"/>
  <c r="G120"/>
  <c r="G118"/>
  <c r="G117"/>
  <c r="G116"/>
  <c r="G115"/>
  <c r="G114"/>
  <c r="G113"/>
  <c r="G105"/>
  <c r="G104"/>
  <c r="G102"/>
  <c r="G101"/>
  <c r="G99"/>
  <c r="G98"/>
  <c r="G60"/>
  <c r="G59"/>
  <c r="G58"/>
  <c r="G56"/>
  <c r="G53"/>
  <c r="G51"/>
  <c r="G50"/>
  <c r="G49"/>
  <c r="G48"/>
  <c r="G46"/>
  <c r="G45"/>
  <c r="G44"/>
  <c r="G42"/>
  <c r="G41"/>
  <c r="G40"/>
  <c r="G38"/>
  <c r="G35"/>
  <c r="G33"/>
  <c r="G32"/>
  <c r="G31"/>
  <c r="G30"/>
  <c r="G28"/>
  <c r="G27"/>
  <c r="G26"/>
  <c r="G24"/>
  <c r="G23"/>
  <c r="G22"/>
  <c r="G20"/>
  <c r="G19"/>
  <c r="G18"/>
  <c r="G16"/>
  <c r="G13"/>
  <c r="G11"/>
  <c r="G10"/>
  <c r="G9"/>
  <c r="G8"/>
  <c r="G6"/>
  <c r="G5"/>
  <c r="G4"/>
  <c r="J8" i="95" l="1"/>
  <c r="G490" i="97" s="1"/>
  <c r="P8" i="95" l="1"/>
  <c r="G619" i="97" s="1"/>
  <c r="AA2" i="4" l="1"/>
  <c r="BG2" i="11"/>
  <c r="BA2" i="12"/>
  <c r="AA2" i="13"/>
  <c r="BA2" i="14"/>
  <c r="AA2" i="15"/>
  <c r="AB2" i="16"/>
  <c r="AA2" i="17"/>
  <c r="AA2" i="18"/>
  <c r="BD2" i="19"/>
  <c r="AA2" i="44"/>
  <c r="U2" i="96"/>
  <c r="AC2" i="23"/>
  <c r="AA2" i="24"/>
  <c r="AK2" i="76"/>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O41" i="95" l="1"/>
  <c r="G618" i="97" s="1"/>
  <c r="O40" i="95"/>
  <c r="G617" i="97" s="1"/>
  <c r="O26" i="95"/>
  <c r="G610" i="97" s="1"/>
  <c r="O25" i="95"/>
  <c r="G609" i="97" s="1"/>
  <c r="O24" i="95"/>
  <c r="G608" i="97" s="1"/>
  <c r="O23" i="95"/>
  <c r="G607" i="97" s="1"/>
  <c r="O18" i="95"/>
  <c r="G605" i="97" s="1"/>
  <c r="O17" i="95"/>
  <c r="G604" i="97" s="1"/>
  <c r="O16" i="95"/>
  <c r="G603" i="97" s="1"/>
  <c r="O15" i="95"/>
  <c r="G602" i="97" s="1"/>
  <c r="O14" i="95"/>
  <c r="G601" i="97" s="1"/>
  <c r="I41" i="95"/>
  <c r="G489" i="97" s="1"/>
  <c r="I40" i="95"/>
  <c r="G488" i="97" s="1"/>
  <c r="I26" i="95"/>
  <c r="G481" i="97" s="1"/>
  <c r="I25" i="95"/>
  <c r="G480" i="97" s="1"/>
  <c r="I24" i="95"/>
  <c r="G479" i="97" s="1"/>
  <c r="I23" i="95"/>
  <c r="G478" i="97" s="1"/>
  <c r="I18" i="95"/>
  <c r="G476" i="97" s="1"/>
  <c r="I17" i="95"/>
  <c r="G475" i="97" s="1"/>
  <c r="I16" i="95"/>
  <c r="G474" i="97" s="1"/>
  <c r="I15" i="95"/>
  <c r="G473" i="97" s="1"/>
  <c r="I14" i="95"/>
  <c r="G472" i="97" s="1"/>
  <c r="G19" i="67" l="1"/>
  <c r="G4407" i="97" s="1"/>
  <c r="G17" i="67"/>
  <c r="G4405" i="97" s="1"/>
  <c r="G16" i="67"/>
  <c r="G4404" i="97" s="1"/>
  <c r="BO36" i="34"/>
  <c r="BN36"/>
  <c r="BO35"/>
  <c r="BN35"/>
  <c r="BO34"/>
  <c r="BN34"/>
  <c r="BK36"/>
  <c r="BJ36"/>
  <c r="BI36"/>
  <c r="BH36"/>
  <c r="BG36"/>
  <c r="BK35"/>
  <c r="BJ35"/>
  <c r="BI35"/>
  <c r="BH35"/>
  <c r="BG35"/>
  <c r="BK34"/>
  <c r="BJ34"/>
  <c r="BI34"/>
  <c r="BH34"/>
  <c r="BG34"/>
  <c r="BF36"/>
  <c r="BF35"/>
  <c r="BF34"/>
  <c r="AA36" l="1"/>
  <c r="Z36"/>
  <c r="Y36"/>
  <c r="X36"/>
  <c r="W36"/>
  <c r="V36"/>
  <c r="U36"/>
  <c r="R36" s="1"/>
  <c r="J36"/>
  <c r="AA35"/>
  <c r="Z35"/>
  <c r="Y35"/>
  <c r="X35"/>
  <c r="W35"/>
  <c r="V35"/>
  <c r="U35"/>
  <c r="J35"/>
  <c r="AA34"/>
  <c r="Z34"/>
  <c r="Y34"/>
  <c r="X34"/>
  <c r="W34"/>
  <c r="V34"/>
  <c r="U34"/>
  <c r="J34"/>
  <c r="AC47" i="33"/>
  <c r="AC46"/>
  <c r="AC45"/>
  <c r="AC44"/>
  <c r="AC43"/>
  <c r="AC42"/>
  <c r="AC41"/>
  <c r="AC40"/>
  <c r="AC37"/>
  <c r="AC36"/>
  <c r="AC35"/>
  <c r="AC34"/>
  <c r="AC33"/>
  <c r="AC32"/>
  <c r="AC31"/>
  <c r="AC28"/>
  <c r="AC27"/>
  <c r="AC24"/>
  <c r="AC23"/>
  <c r="AC22"/>
  <c r="AC21"/>
  <c r="AC20"/>
  <c r="AC19"/>
  <c r="AC18"/>
  <c r="AC17"/>
  <c r="AC16"/>
  <c r="AC15"/>
  <c r="AC14"/>
  <c r="AC13"/>
  <c r="AC12"/>
  <c r="AC11"/>
  <c r="AC10"/>
  <c r="AC9"/>
  <c r="AC8"/>
  <c r="AC7"/>
  <c r="O11"/>
  <c r="B2294" i="97"/>
  <c r="B2279"/>
  <c r="O36" i="33"/>
  <c r="K36" s="1"/>
  <c r="N36"/>
  <c r="H37"/>
  <c r="G2295" i="97" s="1"/>
  <c r="G37" i="33"/>
  <c r="G2280" i="97" s="1"/>
  <c r="O11" i="96"/>
  <c r="R34" i="34" l="1"/>
  <c r="R35"/>
  <c r="J16" i="67"/>
  <c r="P31" i="95" l="1"/>
  <c r="G634" i="97" s="1"/>
  <c r="J31" i="95" l="1"/>
  <c r="G505" i="97" s="1"/>
  <c r="AH41" i="95" l="1"/>
  <c r="AH40"/>
  <c r="AC31"/>
  <c r="AH26"/>
  <c r="AH25"/>
  <c r="AH24"/>
  <c r="AH23"/>
  <c r="AH18"/>
  <c r="AH17"/>
  <c r="AG17"/>
  <c r="AH16"/>
  <c r="AH15"/>
  <c r="AH14"/>
  <c r="AE11"/>
  <c r="AC11"/>
  <c r="AC9"/>
  <c r="AC8"/>
  <c r="AB41"/>
  <c r="AB40"/>
  <c r="AB26"/>
  <c r="AB25"/>
  <c r="AB24"/>
  <c r="AB23"/>
  <c r="AB18"/>
  <c r="AB17"/>
  <c r="AB16"/>
  <c r="AB15"/>
  <c r="AB14"/>
  <c r="W31"/>
  <c r="W11"/>
  <c r="W9"/>
  <c r="W8"/>
  <c r="R27" l="1"/>
  <c r="G674" i="97" s="1"/>
  <c r="P27" i="95"/>
  <c r="G632" i="97" s="1"/>
  <c r="M27" i="95"/>
  <c r="G567" i="97" s="1"/>
  <c r="L27" i="95"/>
  <c r="G545" i="97" s="1"/>
  <c r="J27" i="95"/>
  <c r="G503" i="97" s="1"/>
  <c r="Q26" i="95" l="1"/>
  <c r="Q25"/>
  <c r="Q24"/>
  <c r="Q23"/>
  <c r="P9"/>
  <c r="G620" i="97" s="1"/>
  <c r="K26" i="95"/>
  <c r="K25"/>
  <c r="K24"/>
  <c r="K23"/>
  <c r="J9"/>
  <c r="G491" i="97" s="1"/>
  <c r="G522" l="1"/>
  <c r="G650"/>
  <c r="G521"/>
  <c r="H24" i="95"/>
  <c r="G457" i="97" s="1"/>
  <c r="G649"/>
  <c r="G523"/>
  <c r="H26" i="95"/>
  <c r="G459" i="97" s="1"/>
  <c r="G651"/>
  <c r="G520"/>
  <c r="H23" i="95"/>
  <c r="G456" i="97" s="1"/>
  <c r="G652"/>
  <c r="O27" i="95"/>
  <c r="G611" i="97" s="1"/>
  <c r="Q27" i="95"/>
  <c r="G653" i="97" s="1"/>
  <c r="K27" i="95"/>
  <c r="G524" i="97" s="1"/>
  <c r="R42" i="95"/>
  <c r="R35" s="1"/>
  <c r="G678" i="97" s="1"/>
  <c r="M42" i="95"/>
  <c r="Q41"/>
  <c r="O42"/>
  <c r="O35" s="1"/>
  <c r="G615" i="97" s="1"/>
  <c r="Q40" i="95"/>
  <c r="M35"/>
  <c r="N31"/>
  <c r="Q16"/>
  <c r="Q15"/>
  <c r="N11"/>
  <c r="N24" s="1"/>
  <c r="G586" i="97" s="1"/>
  <c r="M10" i="95"/>
  <c r="O9"/>
  <c r="O8"/>
  <c r="K41"/>
  <c r="K40"/>
  <c r="K18"/>
  <c r="K16"/>
  <c r="K15"/>
  <c r="H31"/>
  <c r="G27"/>
  <c r="G438" i="97" s="1"/>
  <c r="H11" i="95"/>
  <c r="G10"/>
  <c r="G426" i="97" s="1"/>
  <c r="I9" i="95"/>
  <c r="G469" i="97" s="1"/>
  <c r="I8" i="95"/>
  <c r="G468" i="97" l="1"/>
  <c r="L8" i="95"/>
  <c r="G532" i="97" s="1"/>
  <c r="I31" i="95"/>
  <c r="G484" i="97" s="1"/>
  <c r="G462"/>
  <c r="G530"/>
  <c r="H40" i="95"/>
  <c r="G466" i="97" s="1"/>
  <c r="O31" i="95"/>
  <c r="G591" i="97"/>
  <c r="H14" i="95"/>
  <c r="G450" i="97" s="1"/>
  <c r="G449"/>
  <c r="H17" i="95"/>
  <c r="G453" i="97" s="1"/>
  <c r="G597"/>
  <c r="R8" i="95"/>
  <c r="G661" i="97" s="1"/>
  <c r="G659"/>
  <c r="N40" i="95"/>
  <c r="G595" i="97" s="1"/>
  <c r="N26" i="95"/>
  <c r="G588" i="97" s="1"/>
  <c r="N25" i="95"/>
  <c r="G587" i="97" s="1"/>
  <c r="N23" i="95"/>
  <c r="G585" i="97" s="1"/>
  <c r="R9" i="95"/>
  <c r="G598" i="97"/>
  <c r="M20" i="95"/>
  <c r="G555" i="97"/>
  <c r="G660"/>
  <c r="N41" i="95"/>
  <c r="G596" i="97" s="1"/>
  <c r="H25" i="95"/>
  <c r="G458" i="97" s="1"/>
  <c r="G531"/>
  <c r="H41" i="95"/>
  <c r="G467" i="97" s="1"/>
  <c r="N14" i="95"/>
  <c r="G579" i="97" s="1"/>
  <c r="G578"/>
  <c r="N18" i="95"/>
  <c r="G583" i="97" s="1"/>
  <c r="N17" i="95"/>
  <c r="G582" i="97" s="1"/>
  <c r="P40" i="95"/>
  <c r="G571" i="97"/>
  <c r="G644"/>
  <c r="N15" i="95"/>
  <c r="G580" i="97" s="1"/>
  <c r="G645"/>
  <c r="N16" i="95"/>
  <c r="G581" i="97" s="1"/>
  <c r="G515"/>
  <c r="H15" i="95"/>
  <c r="G451" i="97" s="1"/>
  <c r="G516"/>
  <c r="H16" i="95"/>
  <c r="G452" i="97" s="1"/>
  <c r="G518"/>
  <c r="H18" i="95"/>
  <c r="G454" i="97" s="1"/>
  <c r="Q31" i="95"/>
  <c r="G655" i="97" s="1"/>
  <c r="I10" i="95"/>
  <c r="G470" i="97" s="1"/>
  <c r="K31" i="95"/>
  <c r="G526" i="97" s="1"/>
  <c r="O10" i="95"/>
  <c r="G599" i="97" s="1"/>
  <c r="P10" i="95"/>
  <c r="G20"/>
  <c r="G433" i="97" s="1"/>
  <c r="Q42" i="95"/>
  <c r="Q35" s="1"/>
  <c r="G657" i="97" s="1"/>
  <c r="Q8" i="95"/>
  <c r="Q9" l="1"/>
  <c r="G662" i="97"/>
  <c r="R31" i="95"/>
  <c r="G676" i="97" s="1"/>
  <c r="G613"/>
  <c r="P20" i="95"/>
  <c r="G627" i="97" s="1"/>
  <c r="G621"/>
  <c r="N42" i="95"/>
  <c r="N35" s="1"/>
  <c r="G593" i="97" s="1"/>
  <c r="P42" i="95"/>
  <c r="P35" s="1"/>
  <c r="G636" i="97" s="1"/>
  <c r="G638"/>
  <c r="N8" i="95"/>
  <c r="G575" i="97" s="1"/>
  <c r="G640"/>
  <c r="M29" i="95"/>
  <c r="G562" i="97"/>
  <c r="P29" i="95"/>
  <c r="N27"/>
  <c r="G589" i="97" s="1"/>
  <c r="H27" i="95"/>
  <c r="G460" i="97" s="1"/>
  <c r="R10" i="95"/>
  <c r="Q10"/>
  <c r="AR42"/>
  <c r="AQ42"/>
  <c r="AR41"/>
  <c r="AQ41"/>
  <c r="AR40"/>
  <c r="AQ40"/>
  <c r="AR39"/>
  <c r="AQ39"/>
  <c r="AR37"/>
  <c r="AQ37"/>
  <c r="AR35"/>
  <c r="AQ35"/>
  <c r="AR33"/>
  <c r="AQ33"/>
  <c r="AR31"/>
  <c r="AQ31"/>
  <c r="AR29"/>
  <c r="AQ29"/>
  <c r="AR27"/>
  <c r="AQ27"/>
  <c r="AR26"/>
  <c r="AQ26"/>
  <c r="AR25"/>
  <c r="AQ25"/>
  <c r="AR24"/>
  <c r="AQ24"/>
  <c r="AR23"/>
  <c r="AQ23"/>
  <c r="AR22"/>
  <c r="AQ22"/>
  <c r="AR7"/>
  <c r="AQ7"/>
  <c r="AR13"/>
  <c r="AQ13"/>
  <c r="AR20"/>
  <c r="AQ20"/>
  <c r="AR18"/>
  <c r="AQ18"/>
  <c r="AR17"/>
  <c r="AQ17"/>
  <c r="AR16"/>
  <c r="AQ16"/>
  <c r="AR15"/>
  <c r="AQ15"/>
  <c r="AR14"/>
  <c r="AQ14"/>
  <c r="AR11"/>
  <c r="AQ11"/>
  <c r="AR10"/>
  <c r="AQ10"/>
  <c r="AR9"/>
  <c r="AQ9"/>
  <c r="AR8"/>
  <c r="AQ8"/>
  <c r="AV26"/>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G568" l="1"/>
  <c r="M33" i="95"/>
  <c r="Q20"/>
  <c r="G648" i="97" s="1"/>
  <c r="G642"/>
  <c r="P33" i="95"/>
  <c r="G633" i="97"/>
  <c r="R20" i="95"/>
  <c r="G663" i="97"/>
  <c r="G641"/>
  <c r="N9" i="95"/>
  <c r="R29"/>
  <c r="G669" i="97"/>
  <c r="Q29" i="95"/>
  <c r="G576" i="97" l="1"/>
  <c r="N10" i="95"/>
  <c r="M37"/>
  <c r="G572" i="97" s="1"/>
  <c r="G570"/>
  <c r="P37" i="95"/>
  <c r="G637" i="97" s="1"/>
  <c r="G635"/>
  <c r="R33" i="95"/>
  <c r="G675" i="97"/>
  <c r="Q33" i="95"/>
  <c r="G654" i="97"/>
  <c r="T26" i="95"/>
  <c r="N20" l="1"/>
  <c r="G577" i="97"/>
  <c r="R37" i="95"/>
  <c r="G679" i="97" s="1"/>
  <c r="G677"/>
  <c r="Q37" i="95"/>
  <c r="G658" i="97" s="1"/>
  <c r="G656"/>
  <c r="N12" i="33"/>
  <c r="J37" i="15"/>
  <c r="G1162" i="97" s="1"/>
  <c r="J26" i="15"/>
  <c r="G1155" i="97" s="1"/>
  <c r="J15" i="15"/>
  <c r="G1148" i="97" s="1"/>
  <c r="O37" i="15"/>
  <c r="O26"/>
  <c r="O15"/>
  <c r="G584" i="97" l="1"/>
  <c r="N29" i="95"/>
  <c r="B1087" i="97"/>
  <c r="B1079"/>
  <c r="B1080"/>
  <c r="B1073"/>
  <c r="N33" i="95" l="1"/>
  <c r="G590" i="97"/>
  <c r="AG58" i="21"/>
  <c r="AF58"/>
  <c r="AC58"/>
  <c r="AA58"/>
  <c r="Y58"/>
  <c r="G592" i="97" l="1"/>
  <c r="N37" i="95"/>
  <c r="G594" i="97" s="1"/>
  <c r="DK8" i="39"/>
  <c r="DL8"/>
  <c r="DK9"/>
  <c r="DL9"/>
  <c r="DK10"/>
  <c r="DL10"/>
  <c r="DK11"/>
  <c r="DL11"/>
  <c r="DK12"/>
  <c r="DL12"/>
  <c r="DE4" l="1"/>
  <c r="DF4"/>
  <c r="DG4"/>
  <c r="DH4"/>
  <c r="DI4"/>
  <c r="DJ4"/>
  <c r="DK4"/>
  <c r="DL4"/>
  <c r="DM4"/>
  <c r="DN4"/>
  <c r="DO4"/>
  <c r="DP4"/>
  <c r="DE5"/>
  <c r="DF5"/>
  <c r="DG5"/>
  <c r="DH5"/>
  <c r="DI5"/>
  <c r="DJ5"/>
  <c r="DK5"/>
  <c r="DL5"/>
  <c r="DM5"/>
  <c r="DN5"/>
  <c r="DO5"/>
  <c r="DP5"/>
  <c r="DE6"/>
  <c r="DF6"/>
  <c r="DG6"/>
  <c r="DH6"/>
  <c r="DI6"/>
  <c r="DJ6"/>
  <c r="DK6"/>
  <c r="DL6"/>
  <c r="DM6"/>
  <c r="DN6"/>
  <c r="DO6"/>
  <c r="DP6"/>
  <c r="DE7"/>
  <c r="DF7"/>
  <c r="DG7"/>
  <c r="DH7"/>
  <c r="DI7"/>
  <c r="DJ7"/>
  <c r="DK7"/>
  <c r="DL7"/>
  <c r="DM7"/>
  <c r="DN7"/>
  <c r="DO7"/>
  <c r="DP7"/>
  <c r="DM8"/>
  <c r="DN8"/>
  <c r="DO8"/>
  <c r="DP8"/>
  <c r="DM9"/>
  <c r="DN9"/>
  <c r="DO9"/>
  <c r="DP9"/>
  <c r="DM10"/>
  <c r="DN10"/>
  <c r="DO10"/>
  <c r="DP10"/>
  <c r="DM11"/>
  <c r="DN11"/>
  <c r="DO11"/>
  <c r="DP11"/>
  <c r="DM12"/>
  <c r="DN12"/>
  <c r="DO12"/>
  <c r="DP12"/>
  <c r="DP3"/>
  <c r="DO3"/>
  <c r="DN3"/>
  <c r="DM3"/>
  <c r="DL3"/>
  <c r="DK3"/>
  <c r="DJ3"/>
  <c r="DI3"/>
  <c r="DH3"/>
  <c r="DG3"/>
  <c r="DF3"/>
  <c r="DE3"/>
  <c r="CL42"/>
  <c r="CL41"/>
  <c r="CL40"/>
  <c r="CL39"/>
  <c r="CL38"/>
  <c r="CL37"/>
  <c r="CL36"/>
  <c r="CL35"/>
  <c r="CL34"/>
  <c r="CL33"/>
  <c r="CL32"/>
  <c r="CL31"/>
  <c r="CL30"/>
  <c r="CL29"/>
  <c r="CL28"/>
  <c r="CL27"/>
  <c r="DD26"/>
  <c r="CL26"/>
  <c r="CF26"/>
  <c r="BZ26"/>
  <c r="DD25"/>
  <c r="CL25"/>
  <c r="CF25"/>
  <c r="BZ25"/>
  <c r="DD24"/>
  <c r="CR24"/>
  <c r="CL24"/>
  <c r="CF24"/>
  <c r="BZ24"/>
  <c r="DD23"/>
  <c r="CR23"/>
  <c r="CL23"/>
  <c r="CF23"/>
  <c r="BZ23"/>
  <c r="DD22"/>
  <c r="CR22"/>
  <c r="CL22"/>
  <c r="CF22"/>
  <c r="BZ22"/>
  <c r="DD21"/>
  <c r="CR21"/>
  <c r="CL21"/>
  <c r="CF21"/>
  <c r="BZ21"/>
  <c r="DD20"/>
  <c r="CR20"/>
  <c r="CL20"/>
  <c r="CF20"/>
  <c r="BZ20"/>
  <c r="DD19"/>
  <c r="CR19"/>
  <c r="CL19"/>
  <c r="CF19"/>
  <c r="BZ19"/>
  <c r="L19"/>
  <c r="DD18"/>
  <c r="CR18"/>
  <c r="CL18"/>
  <c r="CF18"/>
  <c r="BZ18"/>
  <c r="L18"/>
  <c r="DD17"/>
  <c r="CR17"/>
  <c r="CL17"/>
  <c r="CF17"/>
  <c r="BZ17"/>
  <c r="L17"/>
  <c r="DD16"/>
  <c r="CR16"/>
  <c r="CL16"/>
  <c r="CF16"/>
  <c r="BZ16"/>
  <c r="L16"/>
  <c r="DD15"/>
  <c r="CR15"/>
  <c r="CL15"/>
  <c r="CF15"/>
  <c r="BZ15"/>
  <c r="L15"/>
  <c r="DD14"/>
  <c r="CR14"/>
  <c r="CL14"/>
  <c r="CF14"/>
  <c r="BZ14"/>
  <c r="BN14"/>
  <c r="L14"/>
  <c r="DD13"/>
  <c r="CR13"/>
  <c r="CL13"/>
  <c r="CF13"/>
  <c r="BZ13"/>
  <c r="BN13"/>
  <c r="AP13"/>
  <c r="L13"/>
  <c r="DD12"/>
  <c r="CR12"/>
  <c r="CL12"/>
  <c r="CF12"/>
  <c r="BZ12"/>
  <c r="BT12"/>
  <c r="BN12"/>
  <c r="BH12"/>
  <c r="AP12"/>
  <c r="L12"/>
  <c r="DD11"/>
  <c r="CR11"/>
  <c r="CL11"/>
  <c r="CF11"/>
  <c r="BZ11"/>
  <c r="BT11"/>
  <c r="BN11"/>
  <c r="BH11"/>
  <c r="AP11"/>
  <c r="L11"/>
  <c r="DD10"/>
  <c r="CR10"/>
  <c r="CL10"/>
  <c r="CF10"/>
  <c r="BZ10"/>
  <c r="BT10"/>
  <c r="BN10"/>
  <c r="BH10"/>
  <c r="AP10"/>
  <c r="L10"/>
  <c r="DD9"/>
  <c r="CR9"/>
  <c r="CL9"/>
  <c r="CF9"/>
  <c r="BZ9"/>
  <c r="BT9"/>
  <c r="BN9"/>
  <c r="BH9"/>
  <c r="AP9"/>
  <c r="L9"/>
  <c r="DD8"/>
  <c r="CR8"/>
  <c r="CL8"/>
  <c r="CF8"/>
  <c r="BZ8"/>
  <c r="BT8"/>
  <c r="BN8"/>
  <c r="BH8"/>
  <c r="AP8"/>
  <c r="R8"/>
  <c r="L8"/>
  <c r="DD7"/>
  <c r="CR7"/>
  <c r="CL7"/>
  <c r="CF7"/>
  <c r="BZ7"/>
  <c r="BT7"/>
  <c r="BN7"/>
  <c r="BH7"/>
  <c r="BB7"/>
  <c r="AP7"/>
  <c r="R7"/>
  <c r="L7"/>
  <c r="DD6"/>
  <c r="CR6"/>
  <c r="CL6"/>
  <c r="CF6"/>
  <c r="BZ6"/>
  <c r="BT6"/>
  <c r="BN6"/>
  <c r="BH6"/>
  <c r="BB6"/>
  <c r="AP6"/>
  <c r="R6"/>
  <c r="L6"/>
  <c r="DD5"/>
  <c r="CR5"/>
  <c r="CL5"/>
  <c r="CF5"/>
  <c r="BZ5"/>
  <c r="BT5"/>
  <c r="BN5"/>
  <c r="BH5"/>
  <c r="BB5"/>
  <c r="AP5"/>
  <c r="R5"/>
  <c r="L5"/>
  <c r="DD4"/>
  <c r="CR4"/>
  <c r="CL4"/>
  <c r="CF4"/>
  <c r="BZ4"/>
  <c r="BT4"/>
  <c r="BN4"/>
  <c r="BH4"/>
  <c r="BB4"/>
  <c r="AP4"/>
  <c r="R4"/>
  <c r="L4"/>
  <c r="DD3"/>
  <c r="CR3"/>
  <c r="CL3"/>
  <c r="CF3"/>
  <c r="BZ3"/>
  <c r="BT3"/>
  <c r="BN3"/>
  <c r="BH3"/>
  <c r="BB3"/>
  <c r="AP3"/>
  <c r="R3"/>
  <c r="L3"/>
  <c r="DP2"/>
  <c r="DJ2"/>
  <c r="DD2"/>
  <c r="CR2"/>
  <c r="CL2"/>
  <c r="CF2"/>
  <c r="BZ2"/>
  <c r="BT2"/>
  <c r="BN2"/>
  <c r="BH2"/>
  <c r="BB2"/>
  <c r="AV2"/>
  <c r="AP2"/>
  <c r="AJ2"/>
  <c r="AD2"/>
  <c r="X2"/>
  <c r="R2"/>
  <c r="L2"/>
  <c r="F2"/>
  <c r="DN2"/>
  <c r="DM2"/>
  <c r="DH2"/>
  <c r="DG2"/>
  <c r="ED4" i="37" l="1"/>
  <c r="EE4"/>
  <c r="EF4"/>
  <c r="EG4"/>
  <c r="EH4"/>
  <c r="EI4"/>
  <c r="EJ4"/>
  <c r="ED5"/>
  <c r="EE5"/>
  <c r="EF5"/>
  <c r="EG5"/>
  <c r="EH5"/>
  <c r="EI5"/>
  <c r="EJ5"/>
  <c r="ED6"/>
  <c r="EE6"/>
  <c r="EF6"/>
  <c r="EG6"/>
  <c r="EH6"/>
  <c r="EI6"/>
  <c r="EJ6"/>
  <c r="ED7"/>
  <c r="EE7"/>
  <c r="EF7"/>
  <c r="EG7"/>
  <c r="EH7"/>
  <c r="EI7"/>
  <c r="EJ7"/>
  <c r="ED8"/>
  <c r="EE8"/>
  <c r="EF8"/>
  <c r="EG8"/>
  <c r="EH8"/>
  <c r="EI8"/>
  <c r="EJ8"/>
  <c r="ED9"/>
  <c r="EE9"/>
  <c r="EF9"/>
  <c r="EG9"/>
  <c r="EH9"/>
  <c r="EI9"/>
  <c r="EJ9"/>
  <c r="ED10"/>
  <c r="EE10"/>
  <c r="EF10"/>
  <c r="EG10"/>
  <c r="EH10"/>
  <c r="EI10"/>
  <c r="EJ10"/>
  <c r="ED11"/>
  <c r="EE11"/>
  <c r="EF11"/>
  <c r="EG11"/>
  <c r="EH11"/>
  <c r="EI11"/>
  <c r="EJ11"/>
  <c r="ED12"/>
  <c r="EE12"/>
  <c r="EF12"/>
  <c r="EG12"/>
  <c r="EH12"/>
  <c r="EI12"/>
  <c r="EJ12"/>
  <c r="ED13"/>
  <c r="EE13"/>
  <c r="EF13"/>
  <c r="EG13"/>
  <c r="EH13"/>
  <c r="EI13"/>
  <c r="EJ13"/>
  <c r="ED14"/>
  <c r="EE14"/>
  <c r="EF14"/>
  <c r="EG14"/>
  <c r="EH14"/>
  <c r="EI14"/>
  <c r="EJ14"/>
  <c r="ED15"/>
  <c r="EE15"/>
  <c r="EF15"/>
  <c r="EG15"/>
  <c r="EH15"/>
  <c r="EI15"/>
  <c r="EJ15"/>
  <c r="ED16"/>
  <c r="EE16"/>
  <c r="EF16"/>
  <c r="EG16"/>
  <c r="EH16"/>
  <c r="EI16"/>
  <c r="EJ16"/>
  <c r="ED17"/>
  <c r="EE17"/>
  <c r="EF17"/>
  <c r="EG17"/>
  <c r="EH17"/>
  <c r="EI17"/>
  <c r="EJ17"/>
  <c r="ED18"/>
  <c r="EE18"/>
  <c r="EF18"/>
  <c r="EG18"/>
  <c r="EH18"/>
  <c r="EI18"/>
  <c r="EJ18"/>
  <c r="ED19"/>
  <c r="EE19"/>
  <c r="EF19"/>
  <c r="EG19"/>
  <c r="EH19"/>
  <c r="EI19"/>
  <c r="EJ19"/>
  <c r="ED20"/>
  <c r="EE20"/>
  <c r="EF20"/>
  <c r="EG20"/>
  <c r="EH20"/>
  <c r="EI20"/>
  <c r="EJ20"/>
  <c r="ED21"/>
  <c r="EE21"/>
  <c r="EF21"/>
  <c r="EG21"/>
  <c r="EH21"/>
  <c r="EI21"/>
  <c r="EJ21"/>
  <c r="ED22"/>
  <c r="EE22"/>
  <c r="EF22"/>
  <c r="EG22"/>
  <c r="EH22"/>
  <c r="EI22"/>
  <c r="EJ22"/>
  <c r="ED23"/>
  <c r="EE23"/>
  <c r="EF23"/>
  <c r="EG23"/>
  <c r="EH23"/>
  <c r="EI23"/>
  <c r="EJ23"/>
  <c r="ED24"/>
  <c r="EE24"/>
  <c r="EF24"/>
  <c r="EG24"/>
  <c r="EH24"/>
  <c r="EI24"/>
  <c r="EJ24"/>
  <c r="ED25"/>
  <c r="EE25"/>
  <c r="EF25"/>
  <c r="EG25"/>
  <c r="EH25"/>
  <c r="EI25"/>
  <c r="EJ25"/>
  <c r="ED26"/>
  <c r="EE26"/>
  <c r="EF26"/>
  <c r="EG26"/>
  <c r="EH26"/>
  <c r="EI26"/>
  <c r="EJ26"/>
  <c r="ED27"/>
  <c r="EE27"/>
  <c r="EF27"/>
  <c r="EG27"/>
  <c r="EH27"/>
  <c r="EI27"/>
  <c r="EJ27"/>
  <c r="ED28"/>
  <c r="EE28"/>
  <c r="EF28"/>
  <c r="EG28"/>
  <c r="EH28"/>
  <c r="EI28"/>
  <c r="EJ28"/>
  <c r="ED29"/>
  <c r="EE29"/>
  <c r="EF29"/>
  <c r="EG29"/>
  <c r="EH29"/>
  <c r="EI29"/>
  <c r="EJ29"/>
  <c r="ED30"/>
  <c r="EE30"/>
  <c r="EF30"/>
  <c r="EG30"/>
  <c r="EH30"/>
  <c r="EI30"/>
  <c r="EJ30"/>
  <c r="ED31"/>
  <c r="EE31"/>
  <c r="EF31"/>
  <c r="EG31"/>
  <c r="EH31"/>
  <c r="EI31"/>
  <c r="EJ31"/>
  <c r="ED32"/>
  <c r="EE32"/>
  <c r="EF32"/>
  <c r="EG32"/>
  <c r="EH32"/>
  <c r="EI32"/>
  <c r="EJ32"/>
  <c r="ED33"/>
  <c r="EE33"/>
  <c r="EF33"/>
  <c r="EG33"/>
  <c r="EH33"/>
  <c r="EI33"/>
  <c r="EJ33"/>
  <c r="ED34"/>
  <c r="EE34"/>
  <c r="EF34"/>
  <c r="EG34"/>
  <c r="EH34"/>
  <c r="EI34"/>
  <c r="EJ34"/>
  <c r="ED35"/>
  <c r="EE35"/>
  <c r="EF35"/>
  <c r="EG35"/>
  <c r="EH35"/>
  <c r="EI35"/>
  <c r="EJ35"/>
  <c r="ED36"/>
  <c r="EE36"/>
  <c r="EF36"/>
  <c r="EG36"/>
  <c r="EH36"/>
  <c r="EI36"/>
  <c r="EJ36"/>
  <c r="ED37"/>
  <c r="EE37"/>
  <c r="EF37"/>
  <c r="EG37"/>
  <c r="EH37"/>
  <c r="EI37"/>
  <c r="EJ37"/>
  <c r="ED38"/>
  <c r="EE38"/>
  <c r="EF38"/>
  <c r="EG38"/>
  <c r="EH38"/>
  <c r="EI38"/>
  <c r="EJ38"/>
  <c r="ED39"/>
  <c r="EE39"/>
  <c r="EF39"/>
  <c r="EG39"/>
  <c r="EH39"/>
  <c r="EI39"/>
  <c r="EJ39"/>
  <c r="ED40"/>
  <c r="EE40"/>
  <c r="EF40"/>
  <c r="EG40"/>
  <c r="EH40"/>
  <c r="EI40"/>
  <c r="EJ40"/>
  <c r="ED41"/>
  <c r="EE41"/>
  <c r="EF41"/>
  <c r="EG41"/>
  <c r="EH41"/>
  <c r="EI41"/>
  <c r="EJ41"/>
  <c r="ED42"/>
  <c r="EE42"/>
  <c r="EF42"/>
  <c r="EG42"/>
  <c r="EH42"/>
  <c r="EI42"/>
  <c r="EJ42"/>
  <c r="ED43"/>
  <c r="EE43"/>
  <c r="EF43"/>
  <c r="EG43"/>
  <c r="EH43"/>
  <c r="EI43"/>
  <c r="EJ43"/>
  <c r="ED44"/>
  <c r="EE44"/>
  <c r="EF44"/>
  <c r="EG44"/>
  <c r="EH44"/>
  <c r="EI44"/>
  <c r="EJ44"/>
  <c r="ED45"/>
  <c r="EE45"/>
  <c r="EF45"/>
  <c r="EG45"/>
  <c r="EH45"/>
  <c r="EI45"/>
  <c r="EJ45"/>
  <c r="ED46"/>
  <c r="EE46"/>
  <c r="EF46"/>
  <c r="EG46"/>
  <c r="EH46"/>
  <c r="EI46"/>
  <c r="EJ46"/>
  <c r="ED47"/>
  <c r="EE47"/>
  <c r="EF47"/>
  <c r="EG47"/>
  <c r="EH47"/>
  <c r="EI47"/>
  <c r="EJ47"/>
  <c r="ED48"/>
  <c r="EE48"/>
  <c r="EF48"/>
  <c r="EG48"/>
  <c r="EH48"/>
  <c r="EI48"/>
  <c r="EJ48"/>
  <c r="ED49"/>
  <c r="EE49"/>
  <c r="EF49"/>
  <c r="EG49"/>
  <c r="EH49"/>
  <c r="EI49"/>
  <c r="EJ49"/>
  <c r="ED50"/>
  <c r="EE50"/>
  <c r="EF50"/>
  <c r="EG50"/>
  <c r="EH50"/>
  <c r="EI50"/>
  <c r="EJ50"/>
  <c r="ED51"/>
  <c r="EE51"/>
  <c r="EF51"/>
  <c r="EG51"/>
  <c r="EH51"/>
  <c r="EI51"/>
  <c r="EJ51"/>
  <c r="ED52"/>
  <c r="EE52"/>
  <c r="EF52"/>
  <c r="EG52"/>
  <c r="EH52"/>
  <c r="EI52"/>
  <c r="EJ52"/>
  <c r="ED53"/>
  <c r="EE53"/>
  <c r="EF53"/>
  <c r="EG53"/>
  <c r="EH53"/>
  <c r="EI53"/>
  <c r="EJ53"/>
  <c r="ED54"/>
  <c r="EE54"/>
  <c r="EF54"/>
  <c r="EG54"/>
  <c r="EH54"/>
  <c r="EI54"/>
  <c r="EJ54"/>
  <c r="ED55"/>
  <c r="EE55"/>
  <c r="EF55"/>
  <c r="EG55"/>
  <c r="EH55"/>
  <c r="EI55"/>
  <c r="EJ55"/>
  <c r="ED56"/>
  <c r="EE56"/>
  <c r="EF56"/>
  <c r="EG56"/>
  <c r="EH56"/>
  <c r="EI56"/>
  <c r="EJ56"/>
  <c r="ED57"/>
  <c r="EE57"/>
  <c r="EF57"/>
  <c r="EG57"/>
  <c r="EH57"/>
  <c r="EI57"/>
  <c r="EJ57"/>
  <c r="ED58"/>
  <c r="EE58"/>
  <c r="EF58"/>
  <c r="EG58"/>
  <c r="EH58"/>
  <c r="EI58"/>
  <c r="EJ58"/>
  <c r="EJ3"/>
  <c r="EI3"/>
  <c r="EH3"/>
  <c r="EG3"/>
  <c r="EF3"/>
  <c r="EE3"/>
  <c r="ED3"/>
  <c r="DW4"/>
  <c r="DX4"/>
  <c r="DY4"/>
  <c r="DZ4"/>
  <c r="EA4"/>
  <c r="EB4"/>
  <c r="EC4"/>
  <c r="DW5"/>
  <c r="DX5"/>
  <c r="DY5"/>
  <c r="DZ5"/>
  <c r="EA5"/>
  <c r="EB5"/>
  <c r="EC5"/>
  <c r="DW6"/>
  <c r="DX6"/>
  <c r="DY6"/>
  <c r="DZ6"/>
  <c r="EA6"/>
  <c r="EB6"/>
  <c r="EC6"/>
  <c r="DW7"/>
  <c r="DX7"/>
  <c r="DY7"/>
  <c r="DZ7"/>
  <c r="EA7"/>
  <c r="EB7"/>
  <c r="EC7"/>
  <c r="DW8"/>
  <c r="DX8"/>
  <c r="DY8"/>
  <c r="DZ8"/>
  <c r="EA8"/>
  <c r="EB8"/>
  <c r="EC8"/>
  <c r="DW9"/>
  <c r="DX9"/>
  <c r="DY9"/>
  <c r="DZ9"/>
  <c r="EA9"/>
  <c r="EB9"/>
  <c r="EC9"/>
  <c r="DW10"/>
  <c r="DX10"/>
  <c r="DY10"/>
  <c r="DZ10"/>
  <c r="EA10"/>
  <c r="EB10"/>
  <c r="EC10"/>
  <c r="DW11"/>
  <c r="DX11"/>
  <c r="DY11"/>
  <c r="DZ11"/>
  <c r="EA11"/>
  <c r="EB11"/>
  <c r="EC11"/>
  <c r="DW12"/>
  <c r="DX12"/>
  <c r="DY12"/>
  <c r="DZ12"/>
  <c r="EA12"/>
  <c r="EB12"/>
  <c r="EC12"/>
  <c r="DW13"/>
  <c r="DX13"/>
  <c r="DY13"/>
  <c r="DZ13"/>
  <c r="EA13"/>
  <c r="EB13"/>
  <c r="EC13"/>
  <c r="DW14"/>
  <c r="DX14"/>
  <c r="DY14"/>
  <c r="DZ14"/>
  <c r="EA14"/>
  <c r="EB14"/>
  <c r="EC14"/>
  <c r="DW15"/>
  <c r="DX15"/>
  <c r="DY15"/>
  <c r="DZ15"/>
  <c r="EA15"/>
  <c r="EB15"/>
  <c r="EC15"/>
  <c r="DW16"/>
  <c r="DX16"/>
  <c r="DY16"/>
  <c r="DZ16"/>
  <c r="EA16"/>
  <c r="EB16"/>
  <c r="EC16"/>
  <c r="DW17"/>
  <c r="DX17"/>
  <c r="DY17"/>
  <c r="DZ17"/>
  <c r="EA17"/>
  <c r="EB17"/>
  <c r="EC17"/>
  <c r="DW18"/>
  <c r="DX18"/>
  <c r="DY18"/>
  <c r="DZ18"/>
  <c r="EA18"/>
  <c r="EB18"/>
  <c r="EC18"/>
  <c r="DW19"/>
  <c r="DX19"/>
  <c r="DY19"/>
  <c r="DZ19"/>
  <c r="EA19"/>
  <c r="EB19"/>
  <c r="EC19"/>
  <c r="DW20"/>
  <c r="DX20"/>
  <c r="DY20"/>
  <c r="DZ20"/>
  <c r="EA20"/>
  <c r="EB20"/>
  <c r="EC20"/>
  <c r="DW21"/>
  <c r="DX21"/>
  <c r="DY21"/>
  <c r="DZ21"/>
  <c r="EA21"/>
  <c r="EB21"/>
  <c r="EC21"/>
  <c r="DW22"/>
  <c r="DX22"/>
  <c r="DY22"/>
  <c r="DZ22"/>
  <c r="EA22"/>
  <c r="EB22"/>
  <c r="EC22"/>
  <c r="DW23"/>
  <c r="DX23"/>
  <c r="DY23"/>
  <c r="DZ23"/>
  <c r="EA23"/>
  <c r="EB23"/>
  <c r="EC23"/>
  <c r="DW24"/>
  <c r="DX24"/>
  <c r="DY24"/>
  <c r="DZ24"/>
  <c r="EA24"/>
  <c r="EB24"/>
  <c r="EC24"/>
  <c r="DW25"/>
  <c r="DX25"/>
  <c r="DY25"/>
  <c r="DZ25"/>
  <c r="EA25"/>
  <c r="EB25"/>
  <c r="EC25"/>
  <c r="DW26"/>
  <c r="DX26"/>
  <c r="DY26"/>
  <c r="DZ26"/>
  <c r="EA26"/>
  <c r="EB26"/>
  <c r="EC26"/>
  <c r="DW27"/>
  <c r="DX27"/>
  <c r="DY27"/>
  <c r="DZ27"/>
  <c r="EA27"/>
  <c r="EB27"/>
  <c r="EC27"/>
  <c r="DW28"/>
  <c r="DX28"/>
  <c r="DY28"/>
  <c r="DZ28"/>
  <c r="EA28"/>
  <c r="EB28"/>
  <c r="EC28"/>
  <c r="DW29"/>
  <c r="DX29"/>
  <c r="DY29"/>
  <c r="DZ29"/>
  <c r="EA29"/>
  <c r="EB29"/>
  <c r="EC29"/>
  <c r="DW30"/>
  <c r="DX30"/>
  <c r="DY30"/>
  <c r="DZ30"/>
  <c r="EA30"/>
  <c r="EB30"/>
  <c r="EC30"/>
  <c r="DW31"/>
  <c r="DX31"/>
  <c r="DY31"/>
  <c r="DZ31"/>
  <c r="EA31"/>
  <c r="EB31"/>
  <c r="EC31"/>
  <c r="DW32"/>
  <c r="DX32"/>
  <c r="DY32"/>
  <c r="DZ32"/>
  <c r="EA32"/>
  <c r="EB32"/>
  <c r="EC32"/>
  <c r="DW33"/>
  <c r="DX33"/>
  <c r="DY33"/>
  <c r="DZ33"/>
  <c r="EA33"/>
  <c r="EB33"/>
  <c r="EC33"/>
  <c r="DW34"/>
  <c r="DX34"/>
  <c r="DY34"/>
  <c r="DZ34"/>
  <c r="EA34"/>
  <c r="EB34"/>
  <c r="EC34"/>
  <c r="DW35"/>
  <c r="DX35"/>
  <c r="DY35"/>
  <c r="DZ35"/>
  <c r="EA35"/>
  <c r="EB35"/>
  <c r="EC35"/>
  <c r="DW36"/>
  <c r="DX36"/>
  <c r="DY36"/>
  <c r="DZ36"/>
  <c r="EA36"/>
  <c r="EB36"/>
  <c r="EC36"/>
  <c r="DW37"/>
  <c r="DX37"/>
  <c r="DY37"/>
  <c r="DZ37"/>
  <c r="EA37"/>
  <c r="EB37"/>
  <c r="EC37"/>
  <c r="DW38"/>
  <c r="DX38"/>
  <c r="DY38"/>
  <c r="DZ38"/>
  <c r="EA38"/>
  <c r="EB38"/>
  <c r="EC38"/>
  <c r="DW39"/>
  <c r="DX39"/>
  <c r="DY39"/>
  <c r="DZ39"/>
  <c r="EA39"/>
  <c r="EB39"/>
  <c r="EC39"/>
  <c r="DW40"/>
  <c r="DX40"/>
  <c r="DY40"/>
  <c r="DZ40"/>
  <c r="EA40"/>
  <c r="EB40"/>
  <c r="EC40"/>
  <c r="DW41"/>
  <c r="DX41"/>
  <c r="DY41"/>
  <c r="DZ41"/>
  <c r="EA41"/>
  <c r="EB41"/>
  <c r="EC41"/>
  <c r="DW42"/>
  <c r="DX42"/>
  <c r="DY42"/>
  <c r="DZ42"/>
  <c r="EA42"/>
  <c r="EB42"/>
  <c r="EC42"/>
  <c r="DW43"/>
  <c r="DX43"/>
  <c r="DY43"/>
  <c r="DZ43"/>
  <c r="EA43"/>
  <c r="EB43"/>
  <c r="EC43"/>
  <c r="DW44"/>
  <c r="DX44"/>
  <c r="DY44"/>
  <c r="DZ44"/>
  <c r="EA44"/>
  <c r="EB44"/>
  <c r="EC44"/>
  <c r="DW45"/>
  <c r="DX45"/>
  <c r="DY45"/>
  <c r="DZ45"/>
  <c r="EA45"/>
  <c r="EB45"/>
  <c r="EC45"/>
  <c r="DW46"/>
  <c r="DX46"/>
  <c r="DY46"/>
  <c r="DZ46"/>
  <c r="EA46"/>
  <c r="EB46"/>
  <c r="EC46"/>
  <c r="DW47"/>
  <c r="DX47"/>
  <c r="DY47"/>
  <c r="DZ47"/>
  <c r="EA47"/>
  <c r="EB47"/>
  <c r="EC47"/>
  <c r="DW48"/>
  <c r="DX48"/>
  <c r="DY48"/>
  <c r="DZ48"/>
  <c r="EA48"/>
  <c r="EB48"/>
  <c r="EC48"/>
  <c r="EC3"/>
  <c r="EB3"/>
  <c r="EA3"/>
  <c r="DZ3"/>
  <c r="DY3"/>
  <c r="DX3"/>
  <c r="DW3"/>
  <c r="EJ2"/>
  <c r="EI2"/>
  <c r="EG2"/>
  <c r="EF2"/>
  <c r="EE2"/>
  <c r="EC2"/>
  <c r="EB2"/>
  <c r="DZ2"/>
  <c r="DY2"/>
  <c r="DX2"/>
  <c r="CT57"/>
  <c r="CT56"/>
  <c r="CT55"/>
  <c r="CT54"/>
  <c r="CT53"/>
  <c r="CT52"/>
  <c r="CT51"/>
  <c r="CT50"/>
  <c r="CT49"/>
  <c r="CT48"/>
  <c r="CT47"/>
  <c r="CF47"/>
  <c r="CT46"/>
  <c r="CF46"/>
  <c r="AI46"/>
  <c r="CT45"/>
  <c r="CF45"/>
  <c r="AI45"/>
  <c r="CT44"/>
  <c r="CM44"/>
  <c r="CF44"/>
  <c r="AI44"/>
  <c r="CT43"/>
  <c r="CM43"/>
  <c r="CF43"/>
  <c r="AI43"/>
  <c r="CT42"/>
  <c r="CM42"/>
  <c r="CF42"/>
  <c r="AI42"/>
  <c r="CT41"/>
  <c r="CM41"/>
  <c r="CF41"/>
  <c r="AI41"/>
  <c r="N41"/>
  <c r="CT40"/>
  <c r="CM40"/>
  <c r="CF40"/>
  <c r="AI40"/>
  <c r="N40"/>
  <c r="CT39"/>
  <c r="CM39"/>
  <c r="CF39"/>
  <c r="AI39"/>
  <c r="N39"/>
  <c r="CT38"/>
  <c r="CM38"/>
  <c r="CF38"/>
  <c r="AI38"/>
  <c r="N38"/>
  <c r="CT37"/>
  <c r="CM37"/>
  <c r="CF37"/>
  <c r="AI37"/>
  <c r="N37"/>
  <c r="DV36"/>
  <c r="CT36"/>
  <c r="CM36"/>
  <c r="CF36"/>
  <c r="BK36"/>
  <c r="AI36"/>
  <c r="N36"/>
  <c r="DV35"/>
  <c r="CT35"/>
  <c r="CM35"/>
  <c r="CF35"/>
  <c r="BR35"/>
  <c r="BK35"/>
  <c r="AI35"/>
  <c r="N35"/>
  <c r="DV34"/>
  <c r="DO34"/>
  <c r="CT34"/>
  <c r="CM34"/>
  <c r="CF34"/>
  <c r="BR34"/>
  <c r="BK34"/>
  <c r="AI34"/>
  <c r="N34"/>
  <c r="DV33"/>
  <c r="DO33"/>
  <c r="DH33"/>
  <c r="CT33"/>
  <c r="CM33"/>
  <c r="CF33"/>
  <c r="BR33"/>
  <c r="BK33"/>
  <c r="AI33"/>
  <c r="N33"/>
  <c r="DV32"/>
  <c r="DO32"/>
  <c r="DH32"/>
  <c r="CT32"/>
  <c r="CM32"/>
  <c r="CF32"/>
  <c r="BR32"/>
  <c r="BK32"/>
  <c r="AI32"/>
  <c r="N32"/>
  <c r="DV31"/>
  <c r="DO31"/>
  <c r="DH31"/>
  <c r="CT31"/>
  <c r="CM31"/>
  <c r="CF31"/>
  <c r="BR31"/>
  <c r="BK31"/>
  <c r="AI31"/>
  <c r="N31"/>
  <c r="DV30"/>
  <c r="DO30"/>
  <c r="DH30"/>
  <c r="CT30"/>
  <c r="CM30"/>
  <c r="CF30"/>
  <c r="BR30"/>
  <c r="BK30"/>
  <c r="AI30"/>
  <c r="N30"/>
  <c r="DV29"/>
  <c r="DO29"/>
  <c r="DH29"/>
  <c r="DA29"/>
  <c r="CT29"/>
  <c r="CM29"/>
  <c r="CF29"/>
  <c r="BR29"/>
  <c r="BK29"/>
  <c r="AI29"/>
  <c r="N29"/>
  <c r="DV28"/>
  <c r="DO28"/>
  <c r="DH28"/>
  <c r="DA28"/>
  <c r="CT28"/>
  <c r="CM28"/>
  <c r="CF28"/>
  <c r="BR28"/>
  <c r="BK28"/>
  <c r="AI28"/>
  <c r="N28"/>
  <c r="DV27"/>
  <c r="DO27"/>
  <c r="DH27"/>
  <c r="DA27"/>
  <c r="CT27"/>
  <c r="CM27"/>
  <c r="CF27"/>
  <c r="BR27"/>
  <c r="BK27"/>
  <c r="AI27"/>
  <c r="N27"/>
  <c r="DV26"/>
  <c r="DO26"/>
  <c r="DH26"/>
  <c r="DA26"/>
  <c r="CT26"/>
  <c r="CM26"/>
  <c r="CF26"/>
  <c r="BR26"/>
  <c r="BK26"/>
  <c r="AI26"/>
  <c r="N26"/>
  <c r="DV25"/>
  <c r="DO25"/>
  <c r="DH25"/>
  <c r="DA25"/>
  <c r="CT25"/>
  <c r="CM25"/>
  <c r="CF25"/>
  <c r="BR25"/>
  <c r="BK25"/>
  <c r="AI25"/>
  <c r="N25"/>
  <c r="DV24"/>
  <c r="DO24"/>
  <c r="DH24"/>
  <c r="DA24"/>
  <c r="CT24"/>
  <c r="CM24"/>
  <c r="CF24"/>
  <c r="BR24"/>
  <c r="BK24"/>
  <c r="AI24"/>
  <c r="N24"/>
  <c r="DV23"/>
  <c r="DO23"/>
  <c r="DH23"/>
  <c r="DA23"/>
  <c r="CT23"/>
  <c r="CM23"/>
  <c r="CF23"/>
  <c r="BR23"/>
  <c r="BK23"/>
  <c r="BD23"/>
  <c r="AI23"/>
  <c r="U23"/>
  <c r="N23"/>
  <c r="DV22"/>
  <c r="DO22"/>
  <c r="DH22"/>
  <c r="DA22"/>
  <c r="CT22"/>
  <c r="CM22"/>
  <c r="CF22"/>
  <c r="BR22"/>
  <c r="BK22"/>
  <c r="BD22"/>
  <c r="AI22"/>
  <c r="U22"/>
  <c r="N22"/>
  <c r="DV21"/>
  <c r="DO21"/>
  <c r="DH21"/>
  <c r="DA21"/>
  <c r="CT21"/>
  <c r="CM21"/>
  <c r="CF21"/>
  <c r="BR21"/>
  <c r="BK21"/>
  <c r="BD21"/>
  <c r="AI21"/>
  <c r="U21"/>
  <c r="N21"/>
  <c r="DV20"/>
  <c r="DO20"/>
  <c r="DH20"/>
  <c r="DA20"/>
  <c r="CT20"/>
  <c r="CM20"/>
  <c r="CF20"/>
  <c r="BR20"/>
  <c r="BK20"/>
  <c r="BD20"/>
  <c r="AI20"/>
  <c r="U20"/>
  <c r="N20"/>
  <c r="DV19"/>
  <c r="DO19"/>
  <c r="DH19"/>
  <c r="DA19"/>
  <c r="CT19"/>
  <c r="CM19"/>
  <c r="CF19"/>
  <c r="BR19"/>
  <c r="BK19"/>
  <c r="BD19"/>
  <c r="AI19"/>
  <c r="U19"/>
  <c r="N19"/>
  <c r="DV18"/>
  <c r="DO18"/>
  <c r="DH18"/>
  <c r="DA18"/>
  <c r="CT18"/>
  <c r="CM18"/>
  <c r="CF18"/>
  <c r="BR18"/>
  <c r="BK18"/>
  <c r="BD18"/>
  <c r="AI18"/>
  <c r="U18"/>
  <c r="N18"/>
  <c r="DV17"/>
  <c r="DO17"/>
  <c r="DH17"/>
  <c r="DA17"/>
  <c r="CT17"/>
  <c r="CM17"/>
  <c r="CF17"/>
  <c r="BY17"/>
  <c r="BR17"/>
  <c r="BK17"/>
  <c r="BD17"/>
  <c r="AW17"/>
  <c r="AI17"/>
  <c r="U17"/>
  <c r="N17"/>
  <c r="DV16"/>
  <c r="DO16"/>
  <c r="DH16"/>
  <c r="DA16"/>
  <c r="CT16"/>
  <c r="CM16"/>
  <c r="CF16"/>
  <c r="BY16"/>
  <c r="BR16"/>
  <c r="BK16"/>
  <c r="BD16"/>
  <c r="AW16"/>
  <c r="AI16"/>
  <c r="U16"/>
  <c r="N16"/>
  <c r="DV15"/>
  <c r="DO15"/>
  <c r="DH15"/>
  <c r="DA15"/>
  <c r="CT15"/>
  <c r="CM15"/>
  <c r="CF15"/>
  <c r="BY15"/>
  <c r="BR15"/>
  <c r="BK15"/>
  <c r="BD15"/>
  <c r="AW15"/>
  <c r="AP15"/>
  <c r="AI15"/>
  <c r="AB15"/>
  <c r="U15"/>
  <c r="N15"/>
  <c r="G15"/>
  <c r="DV14"/>
  <c r="DO14"/>
  <c r="DH14"/>
  <c r="DA14"/>
  <c r="CT14"/>
  <c r="CM14"/>
  <c r="CF14"/>
  <c r="BY14"/>
  <c r="BR14"/>
  <c r="BK14"/>
  <c r="BD14"/>
  <c r="AW14"/>
  <c r="AP14"/>
  <c r="AI14"/>
  <c r="AB14"/>
  <c r="U14"/>
  <c r="N14"/>
  <c r="G14"/>
  <c r="DV13"/>
  <c r="DO13"/>
  <c r="DH13"/>
  <c r="DA13"/>
  <c r="CT13"/>
  <c r="CM13"/>
  <c r="CF13"/>
  <c r="BY13"/>
  <c r="BR13"/>
  <c r="BK13"/>
  <c r="BD13"/>
  <c r="AW13"/>
  <c r="AP13"/>
  <c r="AI13"/>
  <c r="AB13"/>
  <c r="U13"/>
  <c r="N13"/>
  <c r="G13"/>
  <c r="DV12"/>
  <c r="DO12"/>
  <c r="DH12"/>
  <c r="DA12"/>
  <c r="CT12"/>
  <c r="CM12"/>
  <c r="CF12"/>
  <c r="BY12"/>
  <c r="BR12"/>
  <c r="BK12"/>
  <c r="BD12"/>
  <c r="AW12"/>
  <c r="AP12"/>
  <c r="AI12"/>
  <c r="AB12"/>
  <c r="U12"/>
  <c r="N12"/>
  <c r="G12"/>
  <c r="DV11"/>
  <c r="DO11"/>
  <c r="DH11"/>
  <c r="DA11"/>
  <c r="CT11"/>
  <c r="CM11"/>
  <c r="CF11"/>
  <c r="BY11"/>
  <c r="BR11"/>
  <c r="BK11"/>
  <c r="BD11"/>
  <c r="AW11"/>
  <c r="AP11"/>
  <c r="AI11"/>
  <c r="AB11"/>
  <c r="U11"/>
  <c r="N11"/>
  <c r="G11"/>
  <c r="DV10"/>
  <c r="DO10"/>
  <c r="DH10"/>
  <c r="DA10"/>
  <c r="CT10"/>
  <c r="CM10"/>
  <c r="CF10"/>
  <c r="BY10"/>
  <c r="BR10"/>
  <c r="BK10"/>
  <c r="BD10"/>
  <c r="AW10"/>
  <c r="AP10"/>
  <c r="AI10"/>
  <c r="AB10"/>
  <c r="U10"/>
  <c r="N10"/>
  <c r="G10"/>
  <c r="DV9"/>
  <c r="DO9"/>
  <c r="DH9"/>
  <c r="DA9"/>
  <c r="CT9"/>
  <c r="CM9"/>
  <c r="CF9"/>
  <c r="BY9"/>
  <c r="BR9"/>
  <c r="BK9"/>
  <c r="BD9"/>
  <c r="AW9"/>
  <c r="AP9"/>
  <c r="AI9"/>
  <c r="AB9"/>
  <c r="U9"/>
  <c r="N9"/>
  <c r="G9"/>
  <c r="DV8"/>
  <c r="DO8"/>
  <c r="DH8"/>
  <c r="DA8"/>
  <c r="CT8"/>
  <c r="CM8"/>
  <c r="CF8"/>
  <c r="BY8"/>
  <c r="BR8"/>
  <c r="BK8"/>
  <c r="BD8"/>
  <c r="AW8"/>
  <c r="AP8"/>
  <c r="AI8"/>
  <c r="AB8"/>
  <c r="U8"/>
  <c r="N8"/>
  <c r="G8"/>
  <c r="DV7"/>
  <c r="DO7"/>
  <c r="DH7"/>
  <c r="DA7"/>
  <c r="CT7"/>
  <c r="CM7"/>
  <c r="CF7"/>
  <c r="BY7"/>
  <c r="BR7"/>
  <c r="BK7"/>
  <c r="BD7"/>
  <c r="AW7"/>
  <c r="AP7"/>
  <c r="AI7"/>
  <c r="AB7"/>
  <c r="U7"/>
  <c r="N7"/>
  <c r="G7"/>
  <c r="DV6"/>
  <c r="DO6"/>
  <c r="DH6"/>
  <c r="DA6"/>
  <c r="CT6"/>
  <c r="CM6"/>
  <c r="CF6"/>
  <c r="BY6"/>
  <c r="BR6"/>
  <c r="BK6"/>
  <c r="BD6"/>
  <c r="AW6"/>
  <c r="AP6"/>
  <c r="AI6"/>
  <c r="AB6"/>
  <c r="U6"/>
  <c r="N6"/>
  <c r="G6"/>
  <c r="DV5"/>
  <c r="DO5"/>
  <c r="DH5"/>
  <c r="DA5"/>
  <c r="CT5"/>
  <c r="CM5"/>
  <c r="CF5"/>
  <c r="BY5"/>
  <c r="BR5"/>
  <c r="BK5"/>
  <c r="BD5"/>
  <c r="AW5"/>
  <c r="AP5"/>
  <c r="AI5"/>
  <c r="AB5"/>
  <c r="U5"/>
  <c r="N5"/>
  <c r="G5"/>
  <c r="DV4"/>
  <c r="DO4"/>
  <c r="DH4"/>
  <c r="DA4"/>
  <c r="CT4"/>
  <c r="CM4"/>
  <c r="CF4"/>
  <c r="BY4"/>
  <c r="BR4"/>
  <c r="BK4"/>
  <c r="BD4"/>
  <c r="AW4"/>
  <c r="AP4"/>
  <c r="AI4"/>
  <c r="AB4"/>
  <c r="U4"/>
  <c r="N4"/>
  <c r="G4"/>
  <c r="DV3"/>
  <c r="DO3"/>
  <c r="DH3"/>
  <c r="DA3"/>
  <c r="CT3"/>
  <c r="CM3"/>
  <c r="CF3"/>
  <c r="BY3"/>
  <c r="BR3"/>
  <c r="BK3"/>
  <c r="BD3"/>
  <c r="AW3"/>
  <c r="AP3"/>
  <c r="AI3"/>
  <c r="AB3"/>
  <c r="U3"/>
  <c r="N3"/>
  <c r="G3"/>
  <c r="DV2"/>
  <c r="DO2"/>
  <c r="DH2"/>
  <c r="DA2"/>
  <c r="CT2"/>
  <c r="CM2"/>
  <c r="CF2"/>
  <c r="BY2"/>
  <c r="BR2"/>
  <c r="BK2"/>
  <c r="BD2"/>
  <c r="AW2"/>
  <c r="AP2"/>
  <c r="AI2"/>
  <c r="AB2"/>
  <c r="U2"/>
  <c r="N2"/>
  <c r="G2"/>
  <c r="E26" i="2" l="1"/>
  <c r="B26"/>
  <c r="E13"/>
  <c r="B13"/>
  <c r="F2727" i="97" l="1"/>
  <c r="F2726"/>
  <c r="F2725"/>
  <c r="F2724"/>
  <c r="F2723"/>
  <c r="F2722"/>
  <c r="F2721"/>
  <c r="F2720"/>
  <c r="F2719"/>
  <c r="F2718"/>
  <c r="F2691"/>
  <c r="F2690"/>
  <c r="F2689"/>
  <c r="F2688"/>
  <c r="F2687"/>
  <c r="F2686"/>
  <c r="F2685"/>
  <c r="F2684"/>
  <c r="F2683"/>
  <c r="F2682"/>
  <c r="F2655"/>
  <c r="F2654"/>
  <c r="F2653"/>
  <c r="F2652"/>
  <c r="F2651"/>
  <c r="F2650"/>
  <c r="F2649"/>
  <c r="F2648"/>
  <c r="F2647"/>
  <c r="F2646"/>
  <c r="F2619"/>
  <c r="F2618"/>
  <c r="F2617"/>
  <c r="F2616"/>
  <c r="F2615"/>
  <c r="F2614"/>
  <c r="F2613"/>
  <c r="F2612"/>
  <c r="F2611"/>
  <c r="F2610"/>
  <c r="F2583"/>
  <c r="F2582"/>
  <c r="F2581"/>
  <c r="F2580"/>
  <c r="F2579"/>
  <c r="F2578"/>
  <c r="F2577"/>
  <c r="F2576"/>
  <c r="F2575"/>
  <c r="F2574"/>
  <c r="F2547"/>
  <c r="F2546"/>
  <c r="F2545"/>
  <c r="F2544"/>
  <c r="F2543"/>
  <c r="F2542"/>
  <c r="F2541"/>
  <c r="F2540"/>
  <c r="F2539"/>
  <c r="F2538"/>
  <c r="F2511"/>
  <c r="F2510"/>
  <c r="F2509"/>
  <c r="F2508"/>
  <c r="F2507"/>
  <c r="F2506"/>
  <c r="F2505"/>
  <c r="F2504"/>
  <c r="F2503"/>
  <c r="F2502"/>
  <c r="F3051"/>
  <c r="F3050"/>
  <c r="F3049"/>
  <c r="F3048"/>
  <c r="F3047"/>
  <c r="F3046"/>
  <c r="F3045"/>
  <c r="F3044"/>
  <c r="F3043"/>
  <c r="F3042"/>
  <c r="F3015"/>
  <c r="F3014"/>
  <c r="F3013"/>
  <c r="F3012"/>
  <c r="F3011"/>
  <c r="F3010"/>
  <c r="F3009"/>
  <c r="F3008"/>
  <c r="F3007"/>
  <c r="F3006"/>
  <c r="F2979"/>
  <c r="F2978"/>
  <c r="F2977"/>
  <c r="F2976"/>
  <c r="F2975"/>
  <c r="F2974"/>
  <c r="F2973"/>
  <c r="F2972"/>
  <c r="F2971"/>
  <c r="F2970"/>
  <c r="F2943"/>
  <c r="F2942"/>
  <c r="F2941"/>
  <c r="F2940"/>
  <c r="F2939"/>
  <c r="F2938"/>
  <c r="F2937"/>
  <c r="F2936"/>
  <c r="F2935"/>
  <c r="F2934"/>
  <c r="F2907"/>
  <c r="F2906"/>
  <c r="F2905"/>
  <c r="F2904"/>
  <c r="F2903"/>
  <c r="F2902"/>
  <c r="F2901"/>
  <c r="F2900"/>
  <c r="F2899"/>
  <c r="F2898"/>
  <c r="F2871"/>
  <c r="F2870"/>
  <c r="F2869"/>
  <c r="F2868"/>
  <c r="F2867"/>
  <c r="F2866"/>
  <c r="F2865"/>
  <c r="F2864"/>
  <c r="F2863"/>
  <c r="F2862"/>
  <c r="F2835"/>
  <c r="F2834"/>
  <c r="F2833"/>
  <c r="F2832"/>
  <c r="F2831"/>
  <c r="F2830"/>
  <c r="F2829"/>
  <c r="F2828"/>
  <c r="F2827"/>
  <c r="F2826"/>
  <c r="F2799"/>
  <c r="F2798"/>
  <c r="F2797"/>
  <c r="F2796"/>
  <c r="F2795"/>
  <c r="F2794"/>
  <c r="F2793"/>
  <c r="F2792"/>
  <c r="F2791"/>
  <c r="F2790"/>
  <c r="F2763"/>
  <c r="F2762"/>
  <c r="F2761"/>
  <c r="F2760"/>
  <c r="F2759"/>
  <c r="F2758"/>
  <c r="F2757"/>
  <c r="F2756"/>
  <c r="F2755"/>
  <c r="F2754"/>
  <c r="F3584"/>
  <c r="F3583"/>
  <c r="F3582"/>
  <c r="F3581"/>
  <c r="F3580"/>
  <c r="F3579"/>
  <c r="F3578"/>
  <c r="F3577"/>
  <c r="F3576"/>
  <c r="F3575"/>
  <c r="F3574"/>
  <c r="F3573"/>
  <c r="F3572"/>
  <c r="F3571"/>
  <c r="F3570"/>
  <c r="F3546"/>
  <c r="F3545"/>
  <c r="F3544"/>
  <c r="F3543"/>
  <c r="F3542"/>
  <c r="F3541"/>
  <c r="F3540"/>
  <c r="F3539"/>
  <c r="F3538"/>
  <c r="F3537"/>
  <c r="F3536"/>
  <c r="F3535"/>
  <c r="F3534"/>
  <c r="F3533"/>
  <c r="F3532"/>
  <c r="F3508"/>
  <c r="F3507"/>
  <c r="F3506"/>
  <c r="F3505"/>
  <c r="F3504"/>
  <c r="F3503"/>
  <c r="F3502"/>
  <c r="F3501"/>
  <c r="F3500"/>
  <c r="F3499"/>
  <c r="F3498"/>
  <c r="F3497"/>
  <c r="F3496"/>
  <c r="F3495"/>
  <c r="F3494"/>
  <c r="F3470"/>
  <c r="F3469"/>
  <c r="F3468"/>
  <c r="F3467"/>
  <c r="F3466"/>
  <c r="F3465"/>
  <c r="F3464"/>
  <c r="F3463"/>
  <c r="F3462"/>
  <c r="F3461"/>
  <c r="F3460"/>
  <c r="F3459"/>
  <c r="F3458"/>
  <c r="F3457"/>
  <c r="F3456"/>
  <c r="F3432"/>
  <c r="F3431"/>
  <c r="F3430"/>
  <c r="F3429"/>
  <c r="F3428"/>
  <c r="F3427"/>
  <c r="F3426"/>
  <c r="F3425"/>
  <c r="F3424"/>
  <c r="F3423"/>
  <c r="F3422"/>
  <c r="F3421"/>
  <c r="F3420"/>
  <c r="F3419"/>
  <c r="F3418"/>
  <c r="F3394"/>
  <c r="F3393"/>
  <c r="F3392"/>
  <c r="F3391"/>
  <c r="F3390"/>
  <c r="F3389"/>
  <c r="F3388"/>
  <c r="F3387"/>
  <c r="F3386"/>
  <c r="F3385"/>
  <c r="F3384"/>
  <c r="F3383"/>
  <c r="F3382"/>
  <c r="F3381"/>
  <c r="F3380"/>
  <c r="F3356"/>
  <c r="F3355"/>
  <c r="F3354"/>
  <c r="F3353"/>
  <c r="F3352"/>
  <c r="F3351"/>
  <c r="F3350"/>
  <c r="F3349"/>
  <c r="F3348"/>
  <c r="F3347"/>
  <c r="F3346"/>
  <c r="F3345"/>
  <c r="F3344"/>
  <c r="F3343"/>
  <c r="F3342"/>
  <c r="F3318"/>
  <c r="F3317"/>
  <c r="F3316"/>
  <c r="F3315"/>
  <c r="F3314"/>
  <c r="F3313"/>
  <c r="F3312"/>
  <c r="F3311"/>
  <c r="F3310"/>
  <c r="F3309"/>
  <c r="F3308"/>
  <c r="F3307"/>
  <c r="F3306"/>
  <c r="F3305"/>
  <c r="F3304"/>
  <c r="F3280"/>
  <c r="F3279"/>
  <c r="F3278"/>
  <c r="F3277"/>
  <c r="F3276"/>
  <c r="F3275"/>
  <c r="F3274"/>
  <c r="F3273"/>
  <c r="F3272"/>
  <c r="F3271"/>
  <c r="F3270"/>
  <c r="F3269"/>
  <c r="F3268"/>
  <c r="F3267"/>
  <c r="F3266"/>
  <c r="F3242"/>
  <c r="F3241"/>
  <c r="F3240"/>
  <c r="F3239"/>
  <c r="F3238"/>
  <c r="F3237"/>
  <c r="F3236"/>
  <c r="F3235"/>
  <c r="F3234"/>
  <c r="F3233"/>
  <c r="F3232"/>
  <c r="F3231"/>
  <c r="F3230"/>
  <c r="F3229"/>
  <c r="F3228"/>
  <c r="F3204"/>
  <c r="F3203"/>
  <c r="F3202"/>
  <c r="F3201"/>
  <c r="F3200"/>
  <c r="F3199"/>
  <c r="F3198"/>
  <c r="F3197"/>
  <c r="F3196"/>
  <c r="F3195"/>
  <c r="F3194"/>
  <c r="F3193"/>
  <c r="F3192"/>
  <c r="F3191"/>
  <c r="F3190"/>
  <c r="F3166"/>
  <c r="F3165"/>
  <c r="F3164"/>
  <c r="F3163"/>
  <c r="F3162"/>
  <c r="F3161"/>
  <c r="F3160"/>
  <c r="F3159"/>
  <c r="F3158"/>
  <c r="F3157"/>
  <c r="F3156"/>
  <c r="F3155"/>
  <c r="F3154"/>
  <c r="F3153"/>
  <c r="F3152"/>
  <c r="F3128"/>
  <c r="F3127"/>
  <c r="F3126"/>
  <c r="F3125"/>
  <c r="F3124"/>
  <c r="F3123"/>
  <c r="F3122"/>
  <c r="F3121"/>
  <c r="F3120"/>
  <c r="F3119"/>
  <c r="F3118"/>
  <c r="F3117"/>
  <c r="F3116"/>
  <c r="F3115"/>
  <c r="F3114"/>
  <c r="F3082"/>
  <c r="F3081"/>
  <c r="F3080"/>
  <c r="F3079"/>
  <c r="F3078"/>
  <c r="F3077"/>
  <c r="F3076"/>
  <c r="F3090"/>
  <c r="F3089"/>
  <c r="F3088"/>
  <c r="F3087"/>
  <c r="F3086"/>
  <c r="F3085"/>
  <c r="F3084"/>
  <c r="F3083"/>
  <c r="F4394"/>
  <c r="F4393"/>
  <c r="F4392"/>
  <c r="F4391"/>
  <c r="F4390"/>
  <c r="F4389"/>
  <c r="F4388"/>
  <c r="F4387"/>
  <c r="F4386"/>
  <c r="F4385"/>
  <c r="F4384"/>
  <c r="F4383"/>
  <c r="F4382"/>
  <c r="F4381"/>
  <c r="F4380"/>
  <c r="F4349"/>
  <c r="F4348"/>
  <c r="F4347"/>
  <c r="F4346"/>
  <c r="F4345"/>
  <c r="F4344"/>
  <c r="F4343"/>
  <c r="F4342"/>
  <c r="F4341"/>
  <c r="F4340"/>
  <c r="F4339"/>
  <c r="F4338"/>
  <c r="F4337"/>
  <c r="F4336"/>
  <c r="F4335"/>
  <c r="F4304"/>
  <c r="F4303"/>
  <c r="F4302"/>
  <c r="F4301"/>
  <c r="F4300"/>
  <c r="F4299"/>
  <c r="F4298"/>
  <c r="F4297"/>
  <c r="F4296"/>
  <c r="F4295"/>
  <c r="F4294"/>
  <c r="F4293"/>
  <c r="F4292"/>
  <c r="F4291"/>
  <c r="F4290"/>
  <c r="F4259"/>
  <c r="F4258"/>
  <c r="F4257"/>
  <c r="F4256"/>
  <c r="F4255"/>
  <c r="F4254"/>
  <c r="F4253"/>
  <c r="F4252"/>
  <c r="F4251"/>
  <c r="F4250"/>
  <c r="F4249"/>
  <c r="F4248"/>
  <c r="F4247"/>
  <c r="F4246"/>
  <c r="F4245"/>
  <c r="F4214"/>
  <c r="F4213"/>
  <c r="F4212"/>
  <c r="F4211"/>
  <c r="F4210"/>
  <c r="F4209"/>
  <c r="F4208"/>
  <c r="F4207"/>
  <c r="F4206"/>
  <c r="F4205"/>
  <c r="F4204"/>
  <c r="F4203"/>
  <c r="F4202"/>
  <c r="F4201"/>
  <c r="F4200"/>
  <c r="F4169"/>
  <c r="F4168"/>
  <c r="F4167"/>
  <c r="F4166"/>
  <c r="F4165"/>
  <c r="F4164"/>
  <c r="F4163"/>
  <c r="F4162"/>
  <c r="F4161"/>
  <c r="F4160"/>
  <c r="F4159"/>
  <c r="F4158"/>
  <c r="F4157"/>
  <c r="F4156"/>
  <c r="F4155"/>
  <c r="F4124"/>
  <c r="F4123"/>
  <c r="F4122"/>
  <c r="F4121"/>
  <c r="F4120"/>
  <c r="F4119"/>
  <c r="F4118"/>
  <c r="F4117"/>
  <c r="F4116"/>
  <c r="F4115"/>
  <c r="F4114"/>
  <c r="F4113"/>
  <c r="F4112"/>
  <c r="F4111"/>
  <c r="F4110"/>
  <c r="F4079"/>
  <c r="F4078"/>
  <c r="F4077"/>
  <c r="F4076"/>
  <c r="F4075"/>
  <c r="F4074"/>
  <c r="F4073"/>
  <c r="F4072"/>
  <c r="F4071"/>
  <c r="F4070"/>
  <c r="F4069"/>
  <c r="F4068"/>
  <c r="F4067"/>
  <c r="F4066"/>
  <c r="F4065"/>
  <c r="F4034"/>
  <c r="F4033"/>
  <c r="F4032"/>
  <c r="F4031"/>
  <c r="F4030"/>
  <c r="F4029"/>
  <c r="F4028"/>
  <c r="F4027"/>
  <c r="F4026"/>
  <c r="F4025"/>
  <c r="F4024"/>
  <c r="F4023"/>
  <c r="F4022"/>
  <c r="F4021"/>
  <c r="F4020"/>
  <c r="F3989"/>
  <c r="F3988"/>
  <c r="F3987"/>
  <c r="F3986"/>
  <c r="F3985"/>
  <c r="F3984"/>
  <c r="F3983"/>
  <c r="F3982"/>
  <c r="F3981"/>
  <c r="F3980"/>
  <c r="F3979"/>
  <c r="F3978"/>
  <c r="F3977"/>
  <c r="F3976"/>
  <c r="F3975"/>
  <c r="F3944"/>
  <c r="F3943"/>
  <c r="F3942"/>
  <c r="F3941"/>
  <c r="F3940"/>
  <c r="F3939"/>
  <c r="F3938"/>
  <c r="F3937"/>
  <c r="F3936"/>
  <c r="F3935"/>
  <c r="F3934"/>
  <c r="F3933"/>
  <c r="F3932"/>
  <c r="F3931"/>
  <c r="F3930"/>
  <c r="F3899"/>
  <c r="F3898"/>
  <c r="F3897"/>
  <c r="F3896"/>
  <c r="F3895"/>
  <c r="F3894"/>
  <c r="F3893"/>
  <c r="F3892"/>
  <c r="F3891"/>
  <c r="F3890"/>
  <c r="F3889"/>
  <c r="F3888"/>
  <c r="F3887"/>
  <c r="F3886"/>
  <c r="F3885"/>
  <c r="F3854"/>
  <c r="F3853"/>
  <c r="F3852"/>
  <c r="F3851"/>
  <c r="F3850"/>
  <c r="F3849"/>
  <c r="F3848"/>
  <c r="F3847"/>
  <c r="F3846"/>
  <c r="F3845"/>
  <c r="F3844"/>
  <c r="F3843"/>
  <c r="F3842"/>
  <c r="F3841"/>
  <c r="F3840"/>
  <c r="F3809"/>
  <c r="F3808"/>
  <c r="F3807"/>
  <c r="F3806"/>
  <c r="F3805"/>
  <c r="F3804"/>
  <c r="F3803"/>
  <c r="F3802"/>
  <c r="F3801"/>
  <c r="F3800"/>
  <c r="F3799"/>
  <c r="F3798"/>
  <c r="F3797"/>
  <c r="F3796"/>
  <c r="F3795"/>
  <c r="F3764"/>
  <c r="F3763"/>
  <c r="F3762"/>
  <c r="F3761"/>
  <c r="F3760"/>
  <c r="F3759"/>
  <c r="F3758"/>
  <c r="F3757"/>
  <c r="F3756"/>
  <c r="F3755"/>
  <c r="F3754"/>
  <c r="F3753"/>
  <c r="F3752"/>
  <c r="F3751"/>
  <c r="F3750"/>
  <c r="F3719"/>
  <c r="F3718"/>
  <c r="F3717"/>
  <c r="F3716"/>
  <c r="F3715"/>
  <c r="F3714"/>
  <c r="F3713"/>
  <c r="F3712"/>
  <c r="F3711"/>
  <c r="F3710"/>
  <c r="F3709"/>
  <c r="F3708"/>
  <c r="F3707"/>
  <c r="F3706"/>
  <c r="F3705"/>
  <c r="F3674"/>
  <c r="F3673"/>
  <c r="F3672"/>
  <c r="F3671"/>
  <c r="F3670"/>
  <c r="F3669"/>
  <c r="F3668"/>
  <c r="F3667"/>
  <c r="F3666"/>
  <c r="F3665"/>
  <c r="F3664"/>
  <c r="F3663"/>
  <c r="F3662"/>
  <c r="F3661"/>
  <c r="F3660"/>
  <c r="F3629"/>
  <c r="F3628"/>
  <c r="F3627"/>
  <c r="F3626"/>
  <c r="F3625"/>
  <c r="F3624"/>
  <c r="F3623"/>
  <c r="F3622"/>
  <c r="F3621"/>
  <c r="F3620"/>
  <c r="F3619"/>
  <c r="F3618"/>
  <c r="F3617"/>
  <c r="F3616"/>
  <c r="F3615"/>
  <c r="B5461" l="1"/>
  <c r="B5460"/>
  <c r="B5459"/>
  <c r="B5458"/>
  <c r="B5457"/>
  <c r="B5456"/>
  <c r="B5455"/>
  <c r="B5454"/>
  <c r="B5453"/>
  <c r="B5452"/>
  <c r="B5451"/>
  <c r="B5450"/>
  <c r="B5449"/>
  <c r="B5448"/>
  <c r="B5447"/>
  <c r="B5446"/>
  <c r="B5445"/>
  <c r="B5444"/>
  <c r="B5443"/>
  <c r="B5442"/>
  <c r="B5441"/>
  <c r="B5440"/>
  <c r="B5439"/>
  <c r="B5438"/>
  <c r="B5437"/>
  <c r="B5436"/>
  <c r="B5344"/>
  <c r="B5296"/>
  <c r="B5248"/>
  <c r="B5343"/>
  <c r="B5295"/>
  <c r="B5247"/>
  <c r="B5342"/>
  <c r="B5294"/>
  <c r="B5246"/>
  <c r="B5341"/>
  <c r="B5293"/>
  <c r="B5245"/>
  <c r="B5340"/>
  <c r="B5292"/>
  <c r="B5244"/>
  <c r="B5339"/>
  <c r="B5291"/>
  <c r="B5243"/>
  <c r="B5338"/>
  <c r="B5290"/>
  <c r="B5242"/>
  <c r="B5337"/>
  <c r="B5289"/>
  <c r="B5241"/>
  <c r="B5336"/>
  <c r="B5288"/>
  <c r="B5240"/>
  <c r="B5435"/>
  <c r="B5422"/>
  <c r="B5409"/>
  <c r="B5383"/>
  <c r="B5357"/>
  <c r="B5322"/>
  <c r="B5274"/>
  <c r="B5226"/>
  <c r="B5434"/>
  <c r="B5421"/>
  <c r="B5408"/>
  <c r="B5382"/>
  <c r="B5356"/>
  <c r="B5321"/>
  <c r="B5273"/>
  <c r="B5225"/>
  <c r="B5433"/>
  <c r="B5420"/>
  <c r="B5407"/>
  <c r="B5381"/>
  <c r="B5355"/>
  <c r="B5320"/>
  <c r="B5272"/>
  <c r="B5224"/>
  <c r="B5432"/>
  <c r="B5419"/>
  <c r="B5406"/>
  <c r="B5380"/>
  <c r="B5354"/>
  <c r="B5319"/>
  <c r="B5271"/>
  <c r="B5223"/>
  <c r="B5430"/>
  <c r="B5417"/>
  <c r="B5404"/>
  <c r="B5378"/>
  <c r="B5352"/>
  <c r="B5317"/>
  <c r="B5269"/>
  <c r="B5221"/>
  <c r="B5429"/>
  <c r="B5416"/>
  <c r="B5403"/>
  <c r="B5377"/>
  <c r="B5351"/>
  <c r="B5316"/>
  <c r="B5268"/>
  <c r="B5220"/>
  <c r="B5424"/>
  <c r="B5411"/>
  <c r="B5398"/>
  <c r="B5372"/>
  <c r="B5346"/>
  <c r="B5311"/>
  <c r="B5263"/>
  <c r="B5215"/>
  <c r="B5423"/>
  <c r="B5410"/>
  <c r="B5397"/>
  <c r="B5371"/>
  <c r="B5345"/>
  <c r="B5310"/>
  <c r="B5262"/>
  <c r="B5214"/>
  <c r="B5200"/>
  <c r="B5199"/>
  <c r="B5198"/>
  <c r="B5197"/>
  <c r="B5196"/>
  <c r="B5195"/>
  <c r="B5194"/>
  <c r="B5193"/>
  <c r="B5192"/>
  <c r="B5178"/>
  <c r="B5177"/>
  <c r="B5176"/>
  <c r="B5175"/>
  <c r="B5173"/>
  <c r="B5172"/>
  <c r="B5167"/>
  <c r="B5166"/>
  <c r="B5003"/>
  <c r="B5002"/>
  <c r="B5001"/>
  <c r="B5000"/>
  <c r="B4999"/>
  <c r="B4998"/>
  <c r="B4997"/>
  <c r="B4996"/>
  <c r="B4995"/>
  <c r="B4994"/>
  <c r="B4993"/>
  <c r="B4992"/>
  <c r="B4991"/>
  <c r="B4990"/>
  <c r="B4989"/>
  <c r="B4988"/>
  <c r="B4987"/>
  <c r="B4986"/>
  <c r="B4985"/>
  <c r="B4984"/>
  <c r="B4983"/>
  <c r="B4982"/>
  <c r="B4981"/>
  <c r="B4950"/>
  <c r="B4949"/>
  <c r="B4948"/>
  <c r="B4947"/>
  <c r="B4946"/>
  <c r="B4945"/>
  <c r="B4944"/>
  <c r="B4943"/>
  <c r="B4942"/>
  <c r="B4941"/>
  <c r="B4695"/>
  <c r="B4940"/>
  <c r="B4926"/>
  <c r="B4912"/>
  <c r="B4898"/>
  <c r="B4939"/>
  <c r="B4925"/>
  <c r="B4911"/>
  <c r="B4897"/>
  <c r="B4938"/>
  <c r="B4924"/>
  <c r="B4910"/>
  <c r="B4896"/>
  <c r="B4937"/>
  <c r="B4923"/>
  <c r="B4909"/>
  <c r="B4895"/>
  <c r="B4936"/>
  <c r="B4922"/>
  <c r="B4908"/>
  <c r="B4894"/>
  <c r="B4935"/>
  <c r="B4921"/>
  <c r="B4907"/>
  <c r="B4893"/>
  <c r="B4934"/>
  <c r="B4920"/>
  <c r="B4906"/>
  <c r="B4892"/>
  <c r="B4933"/>
  <c r="B4919"/>
  <c r="B4905"/>
  <c r="B4891"/>
  <c r="B4932"/>
  <c r="B4918"/>
  <c r="B4904"/>
  <c r="B4890"/>
  <c r="B4931"/>
  <c r="B4917"/>
  <c r="B4903"/>
  <c r="B4889"/>
  <c r="B4930"/>
  <c r="B4916"/>
  <c r="B4902"/>
  <c r="B4888"/>
  <c r="B4929"/>
  <c r="B4915"/>
  <c r="B4901"/>
  <c r="B4887"/>
  <c r="B4928"/>
  <c r="B4914"/>
  <c r="B4900"/>
  <c r="B4886"/>
  <c r="B4927"/>
  <c r="B4913"/>
  <c r="B4899"/>
  <c r="B4885"/>
  <c r="B4884"/>
  <c r="B4870"/>
  <c r="B4856"/>
  <c r="B4842"/>
  <c r="B4883"/>
  <c r="B4869"/>
  <c r="B4855"/>
  <c r="B4841"/>
  <c r="B4882"/>
  <c r="B4868"/>
  <c r="B4854"/>
  <c r="B4840"/>
  <c r="B4881"/>
  <c r="B4867"/>
  <c r="B4853"/>
  <c r="B4839"/>
  <c r="B4880"/>
  <c r="B4866"/>
  <c r="B4852"/>
  <c r="B4838"/>
  <c r="B4879"/>
  <c r="B4865"/>
  <c r="B4851"/>
  <c r="B4837"/>
  <c r="B4878"/>
  <c r="B4864"/>
  <c r="B4850"/>
  <c r="B4836"/>
  <c r="B4877"/>
  <c r="B4863"/>
  <c r="B4849"/>
  <c r="B4835"/>
  <c r="B4876"/>
  <c r="B4862"/>
  <c r="B4848"/>
  <c r="B4834"/>
  <c r="B4875"/>
  <c r="B4861"/>
  <c r="B4847"/>
  <c r="B4833"/>
  <c r="B4874"/>
  <c r="B4860"/>
  <c r="B4846"/>
  <c r="B4832"/>
  <c r="B4873"/>
  <c r="B4859"/>
  <c r="B4845"/>
  <c r="B4831"/>
  <c r="B4872"/>
  <c r="B4858"/>
  <c r="B4844"/>
  <c r="B4830"/>
  <c r="B4871"/>
  <c r="B4857"/>
  <c r="B4843"/>
  <c r="B4829"/>
  <c r="B4828"/>
  <c r="B4814"/>
  <c r="B4800"/>
  <c r="B4786"/>
  <c r="B4827"/>
  <c r="B4813"/>
  <c r="B4799"/>
  <c r="B4785"/>
  <c r="B4826"/>
  <c r="B4812"/>
  <c r="B4798"/>
  <c r="B4784"/>
  <c r="B4825"/>
  <c r="B4811"/>
  <c r="B4797"/>
  <c r="B4783"/>
  <c r="B4824"/>
  <c r="B4810"/>
  <c r="B4796"/>
  <c r="B4782"/>
  <c r="B4823"/>
  <c r="B4809"/>
  <c r="B4795"/>
  <c r="B4781"/>
  <c r="B4822"/>
  <c r="B4808"/>
  <c r="B4794"/>
  <c r="B4780"/>
  <c r="B4821"/>
  <c r="B4807"/>
  <c r="B4793"/>
  <c r="B4779"/>
  <c r="B4820"/>
  <c r="B4806"/>
  <c r="B4792"/>
  <c r="B4778"/>
  <c r="B4819"/>
  <c r="B4805"/>
  <c r="B4791"/>
  <c r="B4777"/>
  <c r="B4818"/>
  <c r="B4804"/>
  <c r="B4790"/>
  <c r="B4776"/>
  <c r="B4817"/>
  <c r="B4803"/>
  <c r="B4789"/>
  <c r="B4775"/>
  <c r="B4816"/>
  <c r="B4802"/>
  <c r="B4788"/>
  <c r="B4774"/>
  <c r="B4815"/>
  <c r="B4801"/>
  <c r="B4787"/>
  <c r="B4773"/>
  <c r="B4772"/>
  <c r="B4758"/>
  <c r="B4744"/>
  <c r="B4730"/>
  <c r="B4716"/>
  <c r="B4771"/>
  <c r="B4757"/>
  <c r="B4743"/>
  <c r="B4729"/>
  <c r="B4715"/>
  <c r="B4770"/>
  <c r="B4756"/>
  <c r="B4742"/>
  <c r="B4728"/>
  <c r="B4714"/>
  <c r="B4769"/>
  <c r="B4755"/>
  <c r="B4741"/>
  <c r="B4727"/>
  <c r="B4713"/>
  <c r="B4768"/>
  <c r="B4754"/>
  <c r="B4740"/>
  <c r="B4726"/>
  <c r="B4712"/>
  <c r="B4767"/>
  <c r="B4753"/>
  <c r="B4739"/>
  <c r="B4725"/>
  <c r="B4711"/>
  <c r="B4766"/>
  <c r="B4752"/>
  <c r="B4738"/>
  <c r="B4724"/>
  <c r="B4710"/>
  <c r="B4765"/>
  <c r="B4751"/>
  <c r="B4737"/>
  <c r="B4723"/>
  <c r="B4709"/>
  <c r="B4764"/>
  <c r="B4750"/>
  <c r="B4736"/>
  <c r="B4722"/>
  <c r="B4708"/>
  <c r="B4763"/>
  <c r="B4749"/>
  <c r="B4735"/>
  <c r="B4721"/>
  <c r="B4707"/>
  <c r="B4762"/>
  <c r="B4748"/>
  <c r="B4734"/>
  <c r="B4720"/>
  <c r="B4706"/>
  <c r="B4761"/>
  <c r="B4747"/>
  <c r="B4733"/>
  <c r="B4719"/>
  <c r="B4705"/>
  <c r="B4760"/>
  <c r="B4746"/>
  <c r="B4732"/>
  <c r="B4718"/>
  <c r="B4704"/>
  <c r="B4759"/>
  <c r="B4745"/>
  <c r="B4731"/>
  <c r="B4717"/>
  <c r="B4703"/>
  <c r="B4702"/>
  <c r="B4687"/>
  <c r="B4673"/>
  <c r="B4659"/>
  <c r="B4645"/>
  <c r="B4631"/>
  <c r="B4617"/>
  <c r="B4701"/>
  <c r="B4686"/>
  <c r="B4672"/>
  <c r="B4658"/>
  <c r="B4644"/>
  <c r="B4630"/>
  <c r="B4616"/>
  <c r="B4700"/>
  <c r="B4685"/>
  <c r="B4671"/>
  <c r="B4657"/>
  <c r="B4643"/>
  <c r="B4629"/>
  <c r="B4615"/>
  <c r="B4699"/>
  <c r="B4684"/>
  <c r="B4670"/>
  <c r="B4656"/>
  <c r="B4642"/>
  <c r="B4628"/>
  <c r="B4614"/>
  <c r="B4698"/>
  <c r="B4683"/>
  <c r="B4669"/>
  <c r="B4655"/>
  <c r="B4641"/>
  <c r="B4627"/>
  <c r="B4613"/>
  <c r="B4697"/>
  <c r="B4682"/>
  <c r="B4668"/>
  <c r="B4654"/>
  <c r="B4640"/>
  <c r="B4626"/>
  <c r="B4612"/>
  <c r="B4696"/>
  <c r="B4681"/>
  <c r="B4667"/>
  <c r="B4653"/>
  <c r="B4639"/>
  <c r="B4625"/>
  <c r="B4611"/>
  <c r="B4694"/>
  <c r="B4680"/>
  <c r="B4666"/>
  <c r="B4652"/>
  <c r="B4638"/>
  <c r="B4624"/>
  <c r="B4610"/>
  <c r="B4693"/>
  <c r="B4679"/>
  <c r="B4665"/>
  <c r="B4651"/>
  <c r="B4637"/>
  <c r="B4623"/>
  <c r="B4609"/>
  <c r="B4692"/>
  <c r="B4678"/>
  <c r="B4664"/>
  <c r="B4650"/>
  <c r="B4636"/>
  <c r="B4622"/>
  <c r="B4608"/>
  <c r="B4691"/>
  <c r="B4677"/>
  <c r="B4663"/>
  <c r="B4649"/>
  <c r="B4635"/>
  <c r="B4621"/>
  <c r="B4607"/>
  <c r="B4690"/>
  <c r="B4676"/>
  <c r="B4662"/>
  <c r="B4648"/>
  <c r="B4634"/>
  <c r="B4620"/>
  <c r="B4606"/>
  <c r="B4689"/>
  <c r="B4675"/>
  <c r="B4661"/>
  <c r="B4647"/>
  <c r="B4633"/>
  <c r="B4619"/>
  <c r="B4605"/>
  <c r="B4688"/>
  <c r="B4674"/>
  <c r="B4660"/>
  <c r="B4646"/>
  <c r="B4632"/>
  <c r="B4618"/>
  <c r="B4604"/>
  <c r="B4603"/>
  <c r="B4602"/>
  <c r="B4601"/>
  <c r="B4600"/>
  <c r="B4599"/>
  <c r="B4598"/>
  <c r="B4597"/>
  <c r="B4596"/>
  <c r="B4595"/>
  <c r="B4594"/>
  <c r="B4593"/>
  <c r="B4592"/>
  <c r="B4591"/>
  <c r="B4590"/>
  <c r="B4589" l="1"/>
  <c r="B4588"/>
  <c r="B4587"/>
  <c r="B4586"/>
  <c r="B4585"/>
  <c r="B4584"/>
  <c r="B4583"/>
  <c r="B4582"/>
  <c r="B4581"/>
  <c r="B4580"/>
  <c r="B4579"/>
  <c r="B4578"/>
  <c r="B4577"/>
  <c r="B4576"/>
  <c r="B4575"/>
  <c r="B4574"/>
  <c r="B4573"/>
  <c r="B4572"/>
  <c r="B4571"/>
  <c r="B4570"/>
  <c r="B4569"/>
  <c r="B4568"/>
  <c r="B4567"/>
  <c r="B4566"/>
  <c r="B4565"/>
  <c r="B4564"/>
  <c r="B4563"/>
  <c r="B4562"/>
  <c r="B4561"/>
  <c r="B4560"/>
  <c r="B4559"/>
  <c r="B4558"/>
  <c r="B4557"/>
  <c r="B4556"/>
  <c r="B4555"/>
  <c r="B4554"/>
  <c r="B4553"/>
  <c r="B4552"/>
  <c r="B4551"/>
  <c r="B4550"/>
  <c r="B4549"/>
  <c r="B4548"/>
  <c r="B4547"/>
  <c r="B4546"/>
  <c r="B4545"/>
  <c r="B4544"/>
  <c r="B4543"/>
  <c r="B4542"/>
  <c r="B4541"/>
  <c r="B4540"/>
  <c r="B4539"/>
  <c r="B4538"/>
  <c r="B4537"/>
  <c r="B4536"/>
  <c r="B4535"/>
  <c r="B4534"/>
  <c r="B4533"/>
  <c r="B4532"/>
  <c r="B4531"/>
  <c r="B4530"/>
  <c r="B4529"/>
  <c r="B4528"/>
  <c r="B4527"/>
  <c r="B4526"/>
  <c r="B4525"/>
  <c r="B4524"/>
  <c r="B4523"/>
  <c r="B4522"/>
  <c r="B4521"/>
  <c r="B4520"/>
  <c r="B4519"/>
  <c r="B4518" l="1"/>
  <c r="B4517"/>
  <c r="B4516"/>
  <c r="B4515"/>
  <c r="B4514"/>
  <c r="B4513"/>
  <c r="B4512"/>
  <c r="B4511"/>
  <c r="B4510"/>
  <c r="B4509"/>
  <c r="B4508"/>
  <c r="B4507"/>
  <c r="B4506"/>
  <c r="B4505"/>
  <c r="B4504"/>
  <c r="B4503"/>
  <c r="B4502"/>
  <c r="B4501"/>
  <c r="B4500"/>
  <c r="B4499"/>
  <c r="B4498"/>
  <c r="B4497"/>
  <c r="B4496"/>
  <c r="B4495"/>
  <c r="B4494"/>
  <c r="B4493"/>
  <c r="B4492"/>
  <c r="B4491"/>
  <c r="B4490"/>
  <c r="B4489"/>
  <c r="B4488"/>
  <c r="B4487"/>
  <c r="B4486"/>
  <c r="B4485"/>
  <c r="B4484"/>
  <c r="B4483"/>
  <c r="B4482"/>
  <c r="B4481"/>
  <c r="B4480"/>
  <c r="B4479"/>
  <c r="B4478"/>
  <c r="B4477"/>
  <c r="B4476"/>
  <c r="B4475"/>
  <c r="B4474"/>
  <c r="B4473"/>
  <c r="B4472"/>
  <c r="B4471"/>
  <c r="B4470"/>
  <c r="B4469"/>
  <c r="B4468"/>
  <c r="B4467"/>
  <c r="B4466"/>
  <c r="B4465"/>
  <c r="B4464"/>
  <c r="B4463"/>
  <c r="B4462"/>
  <c r="B4461"/>
  <c r="B4460"/>
  <c r="B4459"/>
  <c r="B4458"/>
  <c r="B4457"/>
  <c r="B4456"/>
  <c r="B4455"/>
  <c r="B4454"/>
  <c r="B4453"/>
  <c r="B4452"/>
  <c r="B4451"/>
  <c r="B4450"/>
  <c r="B4449"/>
  <c r="B4448"/>
  <c r="B4447"/>
  <c r="B4446"/>
  <c r="B4445"/>
  <c r="B4444"/>
  <c r="B4443"/>
  <c r="B4442"/>
  <c r="B4441"/>
  <c r="B4440"/>
  <c r="B4439"/>
  <c r="B4438"/>
  <c r="B4437"/>
  <c r="B4436"/>
  <c r="B4435"/>
  <c r="B4434"/>
  <c r="B4433"/>
  <c r="B4432"/>
  <c r="B4431"/>
  <c r="B4430"/>
  <c r="B4429"/>
  <c r="B4428"/>
  <c r="B4427"/>
  <c r="B4426"/>
  <c r="B4425"/>
  <c r="B4424"/>
  <c r="B4423"/>
  <c r="B4422"/>
  <c r="B4421"/>
  <c r="B4420"/>
  <c r="B4419"/>
  <c r="B4418"/>
  <c r="B4417"/>
  <c r="B4416"/>
  <c r="B4415"/>
  <c r="B4414"/>
  <c r="B4413"/>
  <c r="B4412"/>
  <c r="B4411"/>
  <c r="B4410"/>
  <c r="B4409"/>
  <c r="B4408"/>
  <c r="B4407"/>
  <c r="B4406"/>
  <c r="B4405"/>
  <c r="B4404"/>
  <c r="B4403"/>
  <c r="B4402"/>
  <c r="B4401"/>
  <c r="B4400"/>
  <c r="B4399"/>
  <c r="B4398"/>
  <c r="B4397"/>
  <c r="B4396"/>
  <c r="B4305"/>
  <c r="B4350"/>
  <c r="B4349"/>
  <c r="B4348"/>
  <c r="B4347"/>
  <c r="B4346"/>
  <c r="B4345"/>
  <c r="B4344"/>
  <c r="B4343"/>
  <c r="B4342"/>
  <c r="B4341"/>
  <c r="B4340"/>
  <c r="B4339"/>
  <c r="B4338"/>
  <c r="B4337"/>
  <c r="B4336"/>
  <c r="B4335"/>
  <c r="B4334"/>
  <c r="B4333"/>
  <c r="B4332"/>
  <c r="B4331"/>
  <c r="B4330"/>
  <c r="B4329"/>
  <c r="B4328"/>
  <c r="B4327"/>
  <c r="B4326"/>
  <c r="B4325"/>
  <c r="B4324"/>
  <c r="B4323"/>
  <c r="B4322"/>
  <c r="B4321"/>
  <c r="B4320"/>
  <c r="B4319"/>
  <c r="B4318"/>
  <c r="B4317"/>
  <c r="B4316"/>
  <c r="B4315"/>
  <c r="B4314"/>
  <c r="B4313"/>
  <c r="B4312"/>
  <c r="B4311"/>
  <c r="B4310"/>
  <c r="B4309"/>
  <c r="B4308"/>
  <c r="B4307"/>
  <c r="B4306"/>
  <c r="B3630" l="1"/>
  <c r="B3629"/>
  <c r="B3628"/>
  <c r="B3627"/>
  <c r="B3626"/>
  <c r="B3625"/>
  <c r="B3624"/>
  <c r="B3623"/>
  <c r="B3622"/>
  <c r="B3621"/>
  <c r="B3620"/>
  <c r="B3619"/>
  <c r="B3618"/>
  <c r="B3617"/>
  <c r="B3616"/>
  <c r="B3615"/>
  <c r="B3614"/>
  <c r="B3613"/>
  <c r="B3612"/>
  <c r="B3611"/>
  <c r="B3610"/>
  <c r="B3609"/>
  <c r="B3608"/>
  <c r="B3607"/>
  <c r="B3606"/>
  <c r="B3605"/>
  <c r="B3604"/>
  <c r="B3603"/>
  <c r="B3602"/>
  <c r="B3601"/>
  <c r="B3600"/>
  <c r="B3599"/>
  <c r="B3598"/>
  <c r="B3597"/>
  <c r="B3596"/>
  <c r="B3595"/>
  <c r="B3594"/>
  <c r="B3593"/>
  <c r="B3592"/>
  <c r="B3591"/>
  <c r="B3590"/>
  <c r="B3589"/>
  <c r="B3588"/>
  <c r="B3587"/>
  <c r="B3586"/>
  <c r="B4395"/>
  <c r="B4260"/>
  <c r="B4215"/>
  <c r="B4170"/>
  <c r="B4125"/>
  <c r="B4080"/>
  <c r="B4035"/>
  <c r="B3990"/>
  <c r="B3945"/>
  <c r="B3900"/>
  <c r="B3855"/>
  <c r="B3810"/>
  <c r="B3765"/>
  <c r="B3720"/>
  <c r="B3675"/>
  <c r="B4394"/>
  <c r="B4304"/>
  <c r="B4259"/>
  <c r="B4214"/>
  <c r="B4169"/>
  <c r="B4124"/>
  <c r="B4079"/>
  <c r="B4034"/>
  <c r="B3989"/>
  <c r="B3944"/>
  <c r="B3899"/>
  <c r="B3854"/>
  <c r="B3809"/>
  <c r="B3764"/>
  <c r="B3719"/>
  <c r="B3674"/>
  <c r="B4393"/>
  <c r="B4303"/>
  <c r="B4258"/>
  <c r="B4213"/>
  <c r="B4168"/>
  <c r="B4123"/>
  <c r="B4078"/>
  <c r="B4033"/>
  <c r="B3988"/>
  <c r="B3943"/>
  <c r="B3898"/>
  <c r="B3853"/>
  <c r="B3808"/>
  <c r="B3763"/>
  <c r="B3718"/>
  <c r="B3673"/>
  <c r="B4392"/>
  <c r="B4302"/>
  <c r="B4257"/>
  <c r="B4212"/>
  <c r="B4167"/>
  <c r="B4122"/>
  <c r="B4077"/>
  <c r="B4032"/>
  <c r="B3987"/>
  <c r="B3942"/>
  <c r="B3897"/>
  <c r="B3852"/>
  <c r="B3807"/>
  <c r="B3762"/>
  <c r="B3717"/>
  <c r="B3672"/>
  <c r="B4391"/>
  <c r="B4301"/>
  <c r="B4256"/>
  <c r="B4211"/>
  <c r="B4166"/>
  <c r="B4121"/>
  <c r="B4076"/>
  <c r="B4031"/>
  <c r="B3986"/>
  <c r="B3941"/>
  <c r="B3896"/>
  <c r="B3851"/>
  <c r="B3806"/>
  <c r="B3761"/>
  <c r="B3716"/>
  <c r="B3671"/>
  <c r="B4390"/>
  <c r="B4300"/>
  <c r="B4255"/>
  <c r="B4210"/>
  <c r="B4165"/>
  <c r="B4120"/>
  <c r="B4075"/>
  <c r="B4030"/>
  <c r="B3985"/>
  <c r="B3940"/>
  <c r="B3895"/>
  <c r="B3850"/>
  <c r="B3805"/>
  <c r="B3760"/>
  <c r="B3715"/>
  <c r="B3670"/>
  <c r="B4389"/>
  <c r="B4299"/>
  <c r="B4254"/>
  <c r="B4209"/>
  <c r="B4164"/>
  <c r="B4119"/>
  <c r="B4074"/>
  <c r="B4029"/>
  <c r="B3984"/>
  <c r="B3939"/>
  <c r="B3894"/>
  <c r="B3849"/>
  <c r="B3804"/>
  <c r="B3759"/>
  <c r="B3714"/>
  <c r="B3669"/>
  <c r="B4388"/>
  <c r="B4298"/>
  <c r="B4253"/>
  <c r="B4208"/>
  <c r="B4163"/>
  <c r="B4118"/>
  <c r="B4073"/>
  <c r="B4028"/>
  <c r="B3983"/>
  <c r="B3938"/>
  <c r="B3893"/>
  <c r="B3848"/>
  <c r="B3803"/>
  <c r="B3758"/>
  <c r="B3713"/>
  <c r="B3668"/>
  <c r="B4387"/>
  <c r="B4297"/>
  <c r="B4252"/>
  <c r="B4207"/>
  <c r="B4162"/>
  <c r="B4117"/>
  <c r="B4072"/>
  <c r="B4027"/>
  <c r="B3982"/>
  <c r="B3937"/>
  <c r="B3892"/>
  <c r="B3847"/>
  <c r="B3802"/>
  <c r="B3757"/>
  <c r="B3712"/>
  <c r="B3667"/>
  <c r="B4386"/>
  <c r="B4296"/>
  <c r="B4251"/>
  <c r="B4206"/>
  <c r="B4161"/>
  <c r="B4116"/>
  <c r="B4071"/>
  <c r="B4026"/>
  <c r="B3981"/>
  <c r="B3936"/>
  <c r="B3891"/>
  <c r="B3846"/>
  <c r="B3801"/>
  <c r="B3756"/>
  <c r="B3711"/>
  <c r="B3666"/>
  <c r="B4385"/>
  <c r="B4295"/>
  <c r="B4250"/>
  <c r="B4205"/>
  <c r="B4160"/>
  <c r="B4115"/>
  <c r="B4070"/>
  <c r="B4025"/>
  <c r="B3980"/>
  <c r="B3935"/>
  <c r="B3890"/>
  <c r="B3845"/>
  <c r="B3800"/>
  <c r="B3755"/>
  <c r="B3710"/>
  <c r="B3665"/>
  <c r="B4384"/>
  <c r="B4294"/>
  <c r="B4249"/>
  <c r="B4204"/>
  <c r="B4159"/>
  <c r="B4114"/>
  <c r="B4069"/>
  <c r="B4024"/>
  <c r="B3979"/>
  <c r="B3934"/>
  <c r="B3889"/>
  <c r="B3844"/>
  <c r="B3799"/>
  <c r="B3754"/>
  <c r="B3709"/>
  <c r="B3664"/>
  <c r="B4383"/>
  <c r="B4293"/>
  <c r="B4248"/>
  <c r="B4203"/>
  <c r="B4158"/>
  <c r="B4113"/>
  <c r="B4068"/>
  <c r="B4023"/>
  <c r="B3978"/>
  <c r="B3933"/>
  <c r="B3888"/>
  <c r="B3843"/>
  <c r="B3798"/>
  <c r="B3753"/>
  <c r="B3708"/>
  <c r="B3663"/>
  <c r="B4382"/>
  <c r="B4292"/>
  <c r="B4247"/>
  <c r="B4202"/>
  <c r="B4157"/>
  <c r="B4112"/>
  <c r="B4067"/>
  <c r="B4022"/>
  <c r="B3977"/>
  <c r="B3932"/>
  <c r="B3887"/>
  <c r="B3842"/>
  <c r="B3797"/>
  <c r="B3752"/>
  <c r="B3707"/>
  <c r="B3662"/>
  <c r="B4381"/>
  <c r="B4291"/>
  <c r="B4246"/>
  <c r="B4201"/>
  <c r="B4156"/>
  <c r="B4111"/>
  <c r="B4066"/>
  <c r="B4021"/>
  <c r="B3976"/>
  <c r="B3931"/>
  <c r="B3886"/>
  <c r="B3841"/>
  <c r="B3796"/>
  <c r="B3751"/>
  <c r="B3706"/>
  <c r="B3661"/>
  <c r="B4380"/>
  <c r="B4290"/>
  <c r="B4245"/>
  <c r="B4200"/>
  <c r="B4155"/>
  <c r="B4110"/>
  <c r="B4065"/>
  <c r="B4020"/>
  <c r="B3975"/>
  <c r="B3930"/>
  <c r="B3885"/>
  <c r="B3840"/>
  <c r="B3795"/>
  <c r="B3750"/>
  <c r="B3705"/>
  <c r="B3660"/>
  <c r="B4379"/>
  <c r="B4289"/>
  <c r="B4244"/>
  <c r="B4199"/>
  <c r="B4154"/>
  <c r="B4109"/>
  <c r="B4064"/>
  <c r="B4019"/>
  <c r="B3974"/>
  <c r="B3929"/>
  <c r="B3884"/>
  <c r="B3839"/>
  <c r="B3794"/>
  <c r="B3749"/>
  <c r="B3704"/>
  <c r="B3659"/>
  <c r="B4378"/>
  <c r="B4288"/>
  <c r="B4243"/>
  <c r="B4198"/>
  <c r="B4153"/>
  <c r="B4108"/>
  <c r="B4063"/>
  <c r="B4018"/>
  <c r="B3973"/>
  <c r="B3928"/>
  <c r="B3883"/>
  <c r="B3838"/>
  <c r="B3793"/>
  <c r="B3748"/>
  <c r="B3703"/>
  <c r="B3658"/>
  <c r="B4377"/>
  <c r="B4287"/>
  <c r="B4242"/>
  <c r="B4197"/>
  <c r="B4152"/>
  <c r="B4107"/>
  <c r="B4062"/>
  <c r="B4017"/>
  <c r="B3972"/>
  <c r="B3927"/>
  <c r="B3882"/>
  <c r="B3837"/>
  <c r="B3792"/>
  <c r="B3747"/>
  <c r="B3702"/>
  <c r="B3657"/>
  <c r="B4376"/>
  <c r="B4286"/>
  <c r="B4241"/>
  <c r="B4196"/>
  <c r="B4151"/>
  <c r="B4106"/>
  <c r="B4061"/>
  <c r="B4016"/>
  <c r="B3971"/>
  <c r="B3926"/>
  <c r="B3881"/>
  <c r="B3836"/>
  <c r="B3791"/>
  <c r="B3746"/>
  <c r="B3701"/>
  <c r="B3656"/>
  <c r="B4375"/>
  <c r="B4285"/>
  <c r="B4240"/>
  <c r="B4195"/>
  <c r="B4150"/>
  <c r="B4105"/>
  <c r="B4060"/>
  <c r="B4015"/>
  <c r="B3970"/>
  <c r="B3925"/>
  <c r="B3880"/>
  <c r="B3835"/>
  <c r="B3790"/>
  <c r="B3745"/>
  <c r="B3700"/>
  <c r="B3655"/>
  <c r="B4374"/>
  <c r="B4284"/>
  <c r="B4239"/>
  <c r="B4194"/>
  <c r="B4149"/>
  <c r="B4104"/>
  <c r="B4059"/>
  <c r="B4014"/>
  <c r="B3969"/>
  <c r="B3924"/>
  <c r="B3879"/>
  <c r="B3834"/>
  <c r="B3789"/>
  <c r="B3744"/>
  <c r="B3699"/>
  <c r="B3654"/>
  <c r="B4373"/>
  <c r="B4283"/>
  <c r="B4238"/>
  <c r="B4193"/>
  <c r="B4148"/>
  <c r="B4103"/>
  <c r="B4058"/>
  <c r="B4013"/>
  <c r="B3968"/>
  <c r="B3923"/>
  <c r="B3878"/>
  <c r="B3833"/>
  <c r="B3788"/>
  <c r="B3743"/>
  <c r="B3698"/>
  <c r="B3653"/>
  <c r="B4372"/>
  <c r="B4282"/>
  <c r="B4237"/>
  <c r="B4192"/>
  <c r="B4147"/>
  <c r="B4102"/>
  <c r="B4057"/>
  <c r="B4012"/>
  <c r="B3967"/>
  <c r="B3922"/>
  <c r="B3877"/>
  <c r="B3832"/>
  <c r="B3787"/>
  <c r="B3742"/>
  <c r="B3697"/>
  <c r="B3652"/>
  <c r="B4371"/>
  <c r="B4281"/>
  <c r="B4236"/>
  <c r="B4191"/>
  <c r="B4146"/>
  <c r="B4101"/>
  <c r="B4056"/>
  <c r="B4011"/>
  <c r="B3966"/>
  <c r="B3921"/>
  <c r="B3876"/>
  <c r="B3831"/>
  <c r="B3786"/>
  <c r="B3741"/>
  <c r="B3696"/>
  <c r="B3651"/>
  <c r="B4370"/>
  <c r="B4280"/>
  <c r="B4235"/>
  <c r="B4190"/>
  <c r="B4145"/>
  <c r="B4100"/>
  <c r="B4055"/>
  <c r="B4010"/>
  <c r="B3965"/>
  <c r="B3920"/>
  <c r="B3875"/>
  <c r="B3830"/>
  <c r="B3785"/>
  <c r="B3740"/>
  <c r="B3695"/>
  <c r="B3650"/>
  <c r="B4369"/>
  <c r="B4279"/>
  <c r="B4234"/>
  <c r="B4189"/>
  <c r="B4144"/>
  <c r="B4099"/>
  <c r="B4054"/>
  <c r="B4009"/>
  <c r="B3964"/>
  <c r="B3919"/>
  <c r="B3874"/>
  <c r="B3829"/>
  <c r="B3784"/>
  <c r="B3739"/>
  <c r="B3694"/>
  <c r="B3649"/>
  <c r="B4368"/>
  <c r="B4278"/>
  <c r="B4233"/>
  <c r="B4188"/>
  <c r="B4143"/>
  <c r="B4098"/>
  <c r="B4053"/>
  <c r="B4008"/>
  <c r="B3963"/>
  <c r="B3918"/>
  <c r="B3873"/>
  <c r="B3828"/>
  <c r="B3783"/>
  <c r="B3738"/>
  <c r="B3693"/>
  <c r="B3648"/>
  <c r="B4367"/>
  <c r="B4277"/>
  <c r="B4232"/>
  <c r="B4187"/>
  <c r="B4142"/>
  <c r="B4097"/>
  <c r="B4052"/>
  <c r="B4007"/>
  <c r="B3962"/>
  <c r="B3917"/>
  <c r="B3872"/>
  <c r="B3827"/>
  <c r="B3782"/>
  <c r="B3737"/>
  <c r="B3692"/>
  <c r="B3647"/>
  <c r="B4366"/>
  <c r="B4276"/>
  <c r="B4231"/>
  <c r="B4186"/>
  <c r="B4141"/>
  <c r="B4096"/>
  <c r="B4051"/>
  <c r="B4006"/>
  <c r="B3961"/>
  <c r="B3916"/>
  <c r="B3871"/>
  <c r="B3826"/>
  <c r="B3781"/>
  <c r="B3736"/>
  <c r="B3691"/>
  <c r="B3646"/>
  <c r="B4365"/>
  <c r="B4275"/>
  <c r="B4230"/>
  <c r="B4185"/>
  <c r="B4140"/>
  <c r="B4095"/>
  <c r="B4050"/>
  <c r="B4005"/>
  <c r="B3960"/>
  <c r="B3915"/>
  <c r="B3870"/>
  <c r="B3825"/>
  <c r="B3780"/>
  <c r="B3735"/>
  <c r="B3690"/>
  <c r="B3645"/>
  <c r="B4364"/>
  <c r="B4274"/>
  <c r="B4229"/>
  <c r="B4184"/>
  <c r="B4139"/>
  <c r="B4094"/>
  <c r="B4049"/>
  <c r="B4004"/>
  <c r="B3959"/>
  <c r="B3914"/>
  <c r="B3869"/>
  <c r="B3824"/>
  <c r="B3779"/>
  <c r="B3734"/>
  <c r="B3689"/>
  <c r="B3644"/>
  <c r="B4363"/>
  <c r="B4273"/>
  <c r="B4228"/>
  <c r="B4183"/>
  <c r="B4138"/>
  <c r="B4093"/>
  <c r="B4048"/>
  <c r="B4003"/>
  <c r="B3958"/>
  <c r="B3913"/>
  <c r="B3868"/>
  <c r="B3823"/>
  <c r="B3778"/>
  <c r="B3733"/>
  <c r="B3688"/>
  <c r="B3643"/>
  <c r="B4362"/>
  <c r="B4272"/>
  <c r="B4227"/>
  <c r="B4182"/>
  <c r="B4137"/>
  <c r="B4092"/>
  <c r="B4047"/>
  <c r="B4002"/>
  <c r="B3957"/>
  <c r="B3912"/>
  <c r="B3867"/>
  <c r="B3822"/>
  <c r="B3777"/>
  <c r="B3732"/>
  <c r="B3687"/>
  <c r="B3642"/>
  <c r="B4361"/>
  <c r="B4271"/>
  <c r="B4226"/>
  <c r="B4181"/>
  <c r="B4136"/>
  <c r="B4091"/>
  <c r="B4046"/>
  <c r="B4001"/>
  <c r="B3956"/>
  <c r="B3911"/>
  <c r="B3866"/>
  <c r="B3821"/>
  <c r="B3776"/>
  <c r="B3731"/>
  <c r="B3686"/>
  <c r="B3641"/>
  <c r="B4360"/>
  <c r="B4270"/>
  <c r="B4225"/>
  <c r="B4180"/>
  <c r="B4135"/>
  <c r="B4090"/>
  <c r="B4045"/>
  <c r="B4000"/>
  <c r="B3955"/>
  <c r="B3910"/>
  <c r="B3865"/>
  <c r="B3820"/>
  <c r="B3775"/>
  <c r="B3730"/>
  <c r="B3685"/>
  <c r="B3640"/>
  <c r="B4359"/>
  <c r="B4269"/>
  <c r="B4224"/>
  <c r="B4179"/>
  <c r="B4134"/>
  <c r="B4089"/>
  <c r="B4044"/>
  <c r="B3999"/>
  <c r="B3954"/>
  <c r="B3909"/>
  <c r="B3864"/>
  <c r="B3819"/>
  <c r="B3774"/>
  <c r="B3729"/>
  <c r="B3684"/>
  <c r="B3639"/>
  <c r="B4358"/>
  <c r="B4268"/>
  <c r="B4223"/>
  <c r="B4178"/>
  <c r="B4133"/>
  <c r="B4088"/>
  <c r="B4043"/>
  <c r="B3998"/>
  <c r="B3953"/>
  <c r="B3908"/>
  <c r="B3863"/>
  <c r="B3818"/>
  <c r="B3773"/>
  <c r="B3728"/>
  <c r="B3683"/>
  <c r="B3638"/>
  <c r="B4357"/>
  <c r="B4267"/>
  <c r="B4222"/>
  <c r="B4177"/>
  <c r="B4132"/>
  <c r="B4087"/>
  <c r="B4042"/>
  <c r="B3997"/>
  <c r="B3952"/>
  <c r="B3907"/>
  <c r="B3862"/>
  <c r="B3817"/>
  <c r="B3772"/>
  <c r="B3727"/>
  <c r="B3682"/>
  <c r="B3637"/>
  <c r="B4356"/>
  <c r="B4266"/>
  <c r="B4221"/>
  <c r="B4176"/>
  <c r="B4131"/>
  <c r="B4086"/>
  <c r="B4041"/>
  <c r="B3996"/>
  <c r="B3951"/>
  <c r="B3906"/>
  <c r="B3861"/>
  <c r="B3816"/>
  <c r="B3771"/>
  <c r="B3726"/>
  <c r="B3681"/>
  <c r="B3636"/>
  <c r="B4355"/>
  <c r="B4265"/>
  <c r="B4220"/>
  <c r="B4175"/>
  <c r="B4130"/>
  <c r="B4085"/>
  <c r="B4040"/>
  <c r="B3995"/>
  <c r="B3950"/>
  <c r="B3905"/>
  <c r="B3860"/>
  <c r="B3815"/>
  <c r="B3770"/>
  <c r="B3725"/>
  <c r="B3680"/>
  <c r="B3635"/>
  <c r="B4354"/>
  <c r="B4264"/>
  <c r="B4219"/>
  <c r="B4174"/>
  <c r="B4129"/>
  <c r="B4084"/>
  <c r="B4039"/>
  <c r="B3994"/>
  <c r="B3949"/>
  <c r="B3904"/>
  <c r="B3859"/>
  <c r="B3814"/>
  <c r="B3769"/>
  <c r="B3724"/>
  <c r="B3679"/>
  <c r="B3634"/>
  <c r="B4353"/>
  <c r="B4263"/>
  <c r="B4218"/>
  <c r="B4173"/>
  <c r="B4128"/>
  <c r="B4083"/>
  <c r="B4038"/>
  <c r="B3993"/>
  <c r="B3948"/>
  <c r="B3903"/>
  <c r="B3858"/>
  <c r="B3813"/>
  <c r="B3768"/>
  <c r="B3723"/>
  <c r="B3678"/>
  <c r="B3633"/>
  <c r="B4352"/>
  <c r="B4262"/>
  <c r="B4217"/>
  <c r="B4172"/>
  <c r="B4127"/>
  <c r="B4082"/>
  <c r="B4037"/>
  <c r="B3992"/>
  <c r="B3947"/>
  <c r="B3902"/>
  <c r="B3857"/>
  <c r="B3812"/>
  <c r="B3767"/>
  <c r="B3722"/>
  <c r="B3677"/>
  <c r="B3632"/>
  <c r="B4351"/>
  <c r="B4261"/>
  <c r="B4216"/>
  <c r="B4171"/>
  <c r="B4126"/>
  <c r="B4081"/>
  <c r="B4036"/>
  <c r="B3991"/>
  <c r="B3946"/>
  <c r="B3901"/>
  <c r="B3856"/>
  <c r="B3811"/>
  <c r="B3766"/>
  <c r="B3721"/>
  <c r="B3676"/>
  <c r="B3631"/>
  <c r="X36" i="66"/>
  <c r="G4379" i="97" s="1"/>
  <c r="T23" i="65"/>
  <c r="G3563" i="97" s="1"/>
  <c r="B3585"/>
  <c r="B3547"/>
  <c r="B3509"/>
  <c r="B3471"/>
  <c r="B3433"/>
  <c r="B3395"/>
  <c r="B3357"/>
  <c r="B3319"/>
  <c r="B3281"/>
  <c r="B3243"/>
  <c r="B3205"/>
  <c r="B3167"/>
  <c r="B3129"/>
  <c r="B3584"/>
  <c r="B3546"/>
  <c r="B3508"/>
  <c r="B3470"/>
  <c r="B3432"/>
  <c r="B3394"/>
  <c r="B3356"/>
  <c r="B3318"/>
  <c r="B3280"/>
  <c r="B3242"/>
  <c r="B3204"/>
  <c r="B3166"/>
  <c r="B3128"/>
  <c r="B3583"/>
  <c r="B3545"/>
  <c r="B3507"/>
  <c r="B3469"/>
  <c r="B3431"/>
  <c r="B3393"/>
  <c r="B3355"/>
  <c r="B3317"/>
  <c r="B3279"/>
  <c r="B3241"/>
  <c r="B3203"/>
  <c r="B3165"/>
  <c r="B3127"/>
  <c r="B3582"/>
  <c r="B3544"/>
  <c r="B3506"/>
  <c r="B3468"/>
  <c r="B3430"/>
  <c r="B3392"/>
  <c r="B3354"/>
  <c r="B3316"/>
  <c r="B3278"/>
  <c r="B3240"/>
  <c r="B3202"/>
  <c r="B3164"/>
  <c r="B3126"/>
  <c r="B3581"/>
  <c r="B3543"/>
  <c r="B3505"/>
  <c r="B3467"/>
  <c r="B3429"/>
  <c r="B3391"/>
  <c r="B3353"/>
  <c r="B3315"/>
  <c r="B3277"/>
  <c r="B3239"/>
  <c r="B3201"/>
  <c r="B3163"/>
  <c r="B3125"/>
  <c r="B3580"/>
  <c r="B3542"/>
  <c r="B3504"/>
  <c r="B3466"/>
  <c r="B3428"/>
  <c r="B3390"/>
  <c r="B3352"/>
  <c r="B3314"/>
  <c r="B3276"/>
  <c r="B3238"/>
  <c r="B3200"/>
  <c r="B3162"/>
  <c r="B3124"/>
  <c r="B3579"/>
  <c r="B3541"/>
  <c r="B3503"/>
  <c r="B3465"/>
  <c r="B3427"/>
  <c r="B3389"/>
  <c r="B3351"/>
  <c r="B3313"/>
  <c r="B3275"/>
  <c r="B3237"/>
  <c r="B3199"/>
  <c r="B3161"/>
  <c r="B3123"/>
  <c r="B3578"/>
  <c r="B3540"/>
  <c r="B3502"/>
  <c r="B3464"/>
  <c r="B3426"/>
  <c r="B3388"/>
  <c r="B3350"/>
  <c r="B3312"/>
  <c r="B3274"/>
  <c r="B3236"/>
  <c r="B3198"/>
  <c r="B3160"/>
  <c r="B3122"/>
  <c r="B3577"/>
  <c r="B3539"/>
  <c r="B3501"/>
  <c r="B3463"/>
  <c r="B3425"/>
  <c r="B3387"/>
  <c r="B3349"/>
  <c r="B3311"/>
  <c r="B3273"/>
  <c r="B3235"/>
  <c r="B3197"/>
  <c r="B3159"/>
  <c r="B3121"/>
  <c r="B3576"/>
  <c r="B3538"/>
  <c r="B3500"/>
  <c r="B3462"/>
  <c r="B3424"/>
  <c r="B3386"/>
  <c r="B3348"/>
  <c r="B3310"/>
  <c r="B3272"/>
  <c r="B3234"/>
  <c r="B3196"/>
  <c r="B3158"/>
  <c r="B3120"/>
  <c r="B3575"/>
  <c r="B3537"/>
  <c r="B3499"/>
  <c r="B3461"/>
  <c r="B3423"/>
  <c r="B3385"/>
  <c r="B3347"/>
  <c r="B3309"/>
  <c r="B3271"/>
  <c r="B3233"/>
  <c r="B3195"/>
  <c r="B3157"/>
  <c r="B3119"/>
  <c r="B3574"/>
  <c r="B3536"/>
  <c r="B3498"/>
  <c r="B3460"/>
  <c r="B3422"/>
  <c r="B3384"/>
  <c r="B3346"/>
  <c r="B3308"/>
  <c r="B3270"/>
  <c r="B3232"/>
  <c r="B3194"/>
  <c r="B3156"/>
  <c r="B3118"/>
  <c r="B3573"/>
  <c r="B3535"/>
  <c r="B3497"/>
  <c r="B3459"/>
  <c r="B3421"/>
  <c r="B3383"/>
  <c r="B3345"/>
  <c r="B3307"/>
  <c r="B3269"/>
  <c r="B3231"/>
  <c r="B3193"/>
  <c r="B3155"/>
  <c r="B3117"/>
  <c r="B3572"/>
  <c r="B3534"/>
  <c r="B3496"/>
  <c r="B3458"/>
  <c r="B3420"/>
  <c r="B3382"/>
  <c r="B3344"/>
  <c r="B3306"/>
  <c r="B3268"/>
  <c r="B3230"/>
  <c r="B3192"/>
  <c r="B3154"/>
  <c r="B3116"/>
  <c r="B3571"/>
  <c r="B3533"/>
  <c r="B3495"/>
  <c r="B3457"/>
  <c r="B3419"/>
  <c r="B3381"/>
  <c r="B3343"/>
  <c r="B3305"/>
  <c r="B3267"/>
  <c r="B3229"/>
  <c r="B3191"/>
  <c r="B3153"/>
  <c r="B3115"/>
  <c r="B3570"/>
  <c r="B3532"/>
  <c r="B3494"/>
  <c r="B3456"/>
  <c r="B3418"/>
  <c r="B3380"/>
  <c r="B3342"/>
  <c r="B3304"/>
  <c r="B3266"/>
  <c r="B3228"/>
  <c r="B3190"/>
  <c r="B3152"/>
  <c r="B3114"/>
  <c r="B3569"/>
  <c r="B3531"/>
  <c r="B3493"/>
  <c r="B3455"/>
  <c r="B3417"/>
  <c r="B3379"/>
  <c r="B3341"/>
  <c r="B3303"/>
  <c r="B3265"/>
  <c r="B3227"/>
  <c r="B3189"/>
  <c r="B3151"/>
  <c r="B3113"/>
  <c r="B3568"/>
  <c r="B3530"/>
  <c r="B3492"/>
  <c r="B3454"/>
  <c r="B3416"/>
  <c r="B3378"/>
  <c r="B3340"/>
  <c r="B3302"/>
  <c r="B3264"/>
  <c r="B3226"/>
  <c r="B3188"/>
  <c r="B3150"/>
  <c r="B3112"/>
  <c r="B3567"/>
  <c r="B3529"/>
  <c r="B3491"/>
  <c r="B3453"/>
  <c r="B3415"/>
  <c r="B3377"/>
  <c r="B3339"/>
  <c r="B3301"/>
  <c r="B3263"/>
  <c r="B3225"/>
  <c r="B3187"/>
  <c r="B3149"/>
  <c r="B3111"/>
  <c r="B3566"/>
  <c r="B3528"/>
  <c r="B3490"/>
  <c r="B3452"/>
  <c r="B3414"/>
  <c r="B3376"/>
  <c r="B3338"/>
  <c r="B3300"/>
  <c r="B3262"/>
  <c r="B3224"/>
  <c r="B3186"/>
  <c r="B3148"/>
  <c r="B3110"/>
  <c r="B3565"/>
  <c r="B3527"/>
  <c r="B3489"/>
  <c r="B3451"/>
  <c r="B3413"/>
  <c r="B3375"/>
  <c r="B3337"/>
  <c r="B3299"/>
  <c r="B3261"/>
  <c r="B3223"/>
  <c r="B3185"/>
  <c r="B3147"/>
  <c r="B3109"/>
  <c r="B3564"/>
  <c r="B3526"/>
  <c r="B3488"/>
  <c r="B3450"/>
  <c r="B3412"/>
  <c r="B3374"/>
  <c r="B3336"/>
  <c r="B3298"/>
  <c r="B3260"/>
  <c r="B3222"/>
  <c r="B3184"/>
  <c r="B3146"/>
  <c r="B3108"/>
  <c r="B3563"/>
  <c r="B3525"/>
  <c r="B3487"/>
  <c r="B3449"/>
  <c r="B3411"/>
  <c r="B3373"/>
  <c r="B3335"/>
  <c r="B3297"/>
  <c r="B3259"/>
  <c r="B3221"/>
  <c r="B3183"/>
  <c r="B3145"/>
  <c r="B3107"/>
  <c r="B3562"/>
  <c r="B3524"/>
  <c r="B3486"/>
  <c r="B3448"/>
  <c r="B3410"/>
  <c r="B3372"/>
  <c r="B3334"/>
  <c r="B3296"/>
  <c r="B3258"/>
  <c r="B3220"/>
  <c r="B3182"/>
  <c r="B3144"/>
  <c r="B3106"/>
  <c r="B3561"/>
  <c r="B3523"/>
  <c r="B3485"/>
  <c r="B3447"/>
  <c r="B3409"/>
  <c r="B3371"/>
  <c r="B3333"/>
  <c r="B3295"/>
  <c r="B3257"/>
  <c r="B3219"/>
  <c r="B3181"/>
  <c r="B3143"/>
  <c r="B3105"/>
  <c r="B3560"/>
  <c r="B3522"/>
  <c r="B3484"/>
  <c r="B3446"/>
  <c r="B3408"/>
  <c r="B3370"/>
  <c r="B3332"/>
  <c r="B3294"/>
  <c r="B3256"/>
  <c r="B3218"/>
  <c r="B3180"/>
  <c r="B3142"/>
  <c r="B3104"/>
  <c r="B3559"/>
  <c r="B3521"/>
  <c r="B3483"/>
  <c r="B3445"/>
  <c r="B3407"/>
  <c r="B3369"/>
  <c r="B3331"/>
  <c r="B3293"/>
  <c r="B3255"/>
  <c r="B3217"/>
  <c r="B3179"/>
  <c r="B3141"/>
  <c r="B3103"/>
  <c r="B3558"/>
  <c r="B3520"/>
  <c r="B3482"/>
  <c r="B3444"/>
  <c r="B3406"/>
  <c r="B3368"/>
  <c r="B3330"/>
  <c r="B3292"/>
  <c r="B3254"/>
  <c r="B3216"/>
  <c r="B3178"/>
  <c r="B3140"/>
  <c r="B3102"/>
  <c r="B3557"/>
  <c r="B3519"/>
  <c r="B3481"/>
  <c r="B3443"/>
  <c r="B3405"/>
  <c r="B3367"/>
  <c r="B3329"/>
  <c r="B3291"/>
  <c r="B3253"/>
  <c r="B3215"/>
  <c r="B3177"/>
  <c r="B3139"/>
  <c r="B3101"/>
  <c r="B3556"/>
  <c r="B3518"/>
  <c r="B3480"/>
  <c r="B3442"/>
  <c r="B3404"/>
  <c r="B3366"/>
  <c r="B3328"/>
  <c r="B3290"/>
  <c r="B3252"/>
  <c r="B3214"/>
  <c r="B3176"/>
  <c r="B3138"/>
  <c r="B3100"/>
  <c r="B3555"/>
  <c r="B3517"/>
  <c r="B3479"/>
  <c r="B3441"/>
  <c r="B3403"/>
  <c r="B3365"/>
  <c r="B3327"/>
  <c r="B3289"/>
  <c r="B3251"/>
  <c r="B3213"/>
  <c r="B3175"/>
  <c r="B3137"/>
  <c r="B3099"/>
  <c r="B3554"/>
  <c r="B3516"/>
  <c r="B3478"/>
  <c r="B3440"/>
  <c r="B3402"/>
  <c r="B3364"/>
  <c r="B3326"/>
  <c r="B3288"/>
  <c r="B3250"/>
  <c r="B3212"/>
  <c r="B3174"/>
  <c r="B3136"/>
  <c r="B3098"/>
  <c r="B3553"/>
  <c r="B3515"/>
  <c r="B3477"/>
  <c r="B3439"/>
  <c r="B3401"/>
  <c r="B3363"/>
  <c r="B3325"/>
  <c r="B3287"/>
  <c r="B3249"/>
  <c r="B3211"/>
  <c r="B3173"/>
  <c r="B3135"/>
  <c r="B3097"/>
  <c r="B3552"/>
  <c r="B3514"/>
  <c r="B3476"/>
  <c r="B3438"/>
  <c r="B3400"/>
  <c r="B3362"/>
  <c r="B3324"/>
  <c r="B3286"/>
  <c r="B3248"/>
  <c r="B3210"/>
  <c r="B3172"/>
  <c r="B3134"/>
  <c r="B3096"/>
  <c r="B3551"/>
  <c r="B3513"/>
  <c r="B3475"/>
  <c r="B3437"/>
  <c r="B3399"/>
  <c r="B3361"/>
  <c r="B3323"/>
  <c r="B3285"/>
  <c r="B3247"/>
  <c r="B3209"/>
  <c r="B3171"/>
  <c r="B3133"/>
  <c r="B3095"/>
  <c r="B3550"/>
  <c r="B3512"/>
  <c r="B3474"/>
  <c r="B3436"/>
  <c r="B3398"/>
  <c r="B3360"/>
  <c r="B3322"/>
  <c r="B3284"/>
  <c r="B3246"/>
  <c r="B3208"/>
  <c r="B3170"/>
  <c r="B3132"/>
  <c r="B3094"/>
  <c r="B3549"/>
  <c r="B3511"/>
  <c r="B3473"/>
  <c r="B3435"/>
  <c r="B3397"/>
  <c r="B3359"/>
  <c r="B3321"/>
  <c r="B3283"/>
  <c r="B3245"/>
  <c r="B3207"/>
  <c r="B3169"/>
  <c r="B3131"/>
  <c r="B3093"/>
  <c r="B3548"/>
  <c r="B3510"/>
  <c r="B3472"/>
  <c r="B3434"/>
  <c r="B3396"/>
  <c r="B3358"/>
  <c r="B3320"/>
  <c r="B3282"/>
  <c r="B3244"/>
  <c r="B3206"/>
  <c r="B3168"/>
  <c r="B3130"/>
  <c r="B3092"/>
  <c r="B3091"/>
  <c r="B3090"/>
  <c r="B3089"/>
  <c r="B3088"/>
  <c r="B3087"/>
  <c r="B3086"/>
  <c r="B3085"/>
  <c r="B3084"/>
  <c r="B3083"/>
  <c r="B3082"/>
  <c r="B3081"/>
  <c r="B3080"/>
  <c r="B3079"/>
  <c r="B3078"/>
  <c r="B3077"/>
  <c r="B3076"/>
  <c r="B3075"/>
  <c r="B3074"/>
  <c r="B3073"/>
  <c r="B3072"/>
  <c r="B3071"/>
  <c r="B3070"/>
  <c r="B3069"/>
  <c r="B3068"/>
  <c r="B3067"/>
  <c r="B3066"/>
  <c r="B3065"/>
  <c r="B3064"/>
  <c r="B3063"/>
  <c r="B3062"/>
  <c r="B3061"/>
  <c r="B3060"/>
  <c r="B3059"/>
  <c r="B3058"/>
  <c r="B3057"/>
  <c r="B3056"/>
  <c r="B3055"/>
  <c r="B3054"/>
  <c r="B3053"/>
  <c r="B3017"/>
  <c r="B3052"/>
  <c r="B3016"/>
  <c r="B3051"/>
  <c r="B3015"/>
  <c r="B3050"/>
  <c r="B3014"/>
  <c r="B3049"/>
  <c r="B3013"/>
  <c r="B3048"/>
  <c r="B3012"/>
  <c r="B3047"/>
  <c r="B3011"/>
  <c r="B3046"/>
  <c r="B3010"/>
  <c r="B3045"/>
  <c r="B3009"/>
  <c r="B3044"/>
  <c r="B3008"/>
  <c r="B3043"/>
  <c r="B3007"/>
  <c r="B3042"/>
  <c r="B3006"/>
  <c r="B3041"/>
  <c r="B3005"/>
  <c r="B3040"/>
  <c r="B3004"/>
  <c r="B3039"/>
  <c r="B3003"/>
  <c r="B3038"/>
  <c r="B3002"/>
  <c r="B3037"/>
  <c r="B3001"/>
  <c r="B3036"/>
  <c r="B3000"/>
  <c r="B3035"/>
  <c r="B2999"/>
  <c r="B3034"/>
  <c r="B2998"/>
  <c r="B3033"/>
  <c r="B2997"/>
  <c r="B3032"/>
  <c r="B2996"/>
  <c r="B3031"/>
  <c r="B2995"/>
  <c r="B3030"/>
  <c r="B2994"/>
  <c r="B3029"/>
  <c r="B2993"/>
  <c r="B3028"/>
  <c r="B2992"/>
  <c r="B3027"/>
  <c r="B2991"/>
  <c r="B3026"/>
  <c r="B2990"/>
  <c r="B3025"/>
  <c r="B2989"/>
  <c r="B3024"/>
  <c r="B2988"/>
  <c r="B3023"/>
  <c r="B2987"/>
  <c r="B3022"/>
  <c r="B2986"/>
  <c r="B3021"/>
  <c r="B2985"/>
  <c r="B3020"/>
  <c r="B2984"/>
  <c r="B3019"/>
  <c r="B2983"/>
  <c r="B3018"/>
  <c r="B2982"/>
  <c r="B2981"/>
  <c r="B2980"/>
  <c r="B2979"/>
  <c r="B2978"/>
  <c r="B2977"/>
  <c r="B2976"/>
  <c r="B2975"/>
  <c r="B2974"/>
  <c r="B2973"/>
  <c r="B2972"/>
  <c r="B2971"/>
  <c r="B2970"/>
  <c r="B2969"/>
  <c r="B2968"/>
  <c r="B2967"/>
  <c r="B2966"/>
  <c r="B2965"/>
  <c r="B2964"/>
  <c r="B2963"/>
  <c r="B2962"/>
  <c r="B2961"/>
  <c r="B2960"/>
  <c r="B2959"/>
  <c r="B2958"/>
  <c r="B2957"/>
  <c r="B2956"/>
  <c r="B2955"/>
  <c r="B2954"/>
  <c r="B2953"/>
  <c r="B2952"/>
  <c r="B2951"/>
  <c r="B2950"/>
  <c r="B2949"/>
  <c r="B2948"/>
  <c r="B2947"/>
  <c r="B2946"/>
  <c r="B2945"/>
  <c r="B2944"/>
  <c r="B2943"/>
  <c r="B2942"/>
  <c r="B2941"/>
  <c r="B2940"/>
  <c r="B2939"/>
  <c r="B2938"/>
  <c r="B2937"/>
  <c r="B2936"/>
  <c r="B2935"/>
  <c r="B2934"/>
  <c r="B2933"/>
  <c r="B2932"/>
  <c r="B2931"/>
  <c r="B2930"/>
  <c r="B2929"/>
  <c r="B2928"/>
  <c r="B2927"/>
  <c r="B2926"/>
  <c r="B2925"/>
  <c r="B2924"/>
  <c r="B2923"/>
  <c r="B2922"/>
  <c r="B2921"/>
  <c r="B2920"/>
  <c r="B2919"/>
  <c r="B2918"/>
  <c r="B2917"/>
  <c r="B2916"/>
  <c r="B2915"/>
  <c r="B2914"/>
  <c r="B2913"/>
  <c r="B2912"/>
  <c r="B2911"/>
  <c r="B2910"/>
  <c r="B2909"/>
  <c r="B2908"/>
  <c r="B2907"/>
  <c r="B2906"/>
  <c r="B2905"/>
  <c r="B2904"/>
  <c r="B2903"/>
  <c r="B2902"/>
  <c r="B2901"/>
  <c r="B2900"/>
  <c r="B2899"/>
  <c r="B2898"/>
  <c r="B2897"/>
  <c r="B2896"/>
  <c r="B2895"/>
  <c r="B2894"/>
  <c r="B2893"/>
  <c r="B2892"/>
  <c r="B2891"/>
  <c r="B2890"/>
  <c r="B2889"/>
  <c r="B2888"/>
  <c r="B2887"/>
  <c r="B2886"/>
  <c r="B2885"/>
  <c r="B2884"/>
  <c r="B2883"/>
  <c r="B2882"/>
  <c r="B2881"/>
  <c r="B2880"/>
  <c r="B2879"/>
  <c r="B2878"/>
  <c r="B2877"/>
  <c r="B2876"/>
  <c r="B2875"/>
  <c r="B2874"/>
  <c r="B2873"/>
  <c r="B2872"/>
  <c r="B2871"/>
  <c r="B2870"/>
  <c r="B2869"/>
  <c r="B2868"/>
  <c r="B2867"/>
  <c r="B2866"/>
  <c r="B2865"/>
  <c r="B2864"/>
  <c r="B2863"/>
  <c r="B2862"/>
  <c r="B2861"/>
  <c r="B2860"/>
  <c r="B2859"/>
  <c r="B2858"/>
  <c r="B2857"/>
  <c r="B2856"/>
  <c r="B2855"/>
  <c r="B2854"/>
  <c r="B2853"/>
  <c r="B2852"/>
  <c r="B2851"/>
  <c r="B2850"/>
  <c r="B2849"/>
  <c r="B2848"/>
  <c r="B2847"/>
  <c r="B2846"/>
  <c r="B2845"/>
  <c r="B2844"/>
  <c r="B2843"/>
  <c r="B2842"/>
  <c r="B2841"/>
  <c r="B2840"/>
  <c r="B2839"/>
  <c r="B2838"/>
  <c r="B2837"/>
  <c r="B2836"/>
  <c r="B2835"/>
  <c r="B2834"/>
  <c r="B2833"/>
  <c r="B2832"/>
  <c r="B2831"/>
  <c r="B2830"/>
  <c r="B2829"/>
  <c r="B2828"/>
  <c r="B2827"/>
  <c r="B2826"/>
  <c r="B2825"/>
  <c r="B2824"/>
  <c r="B2823"/>
  <c r="B2822"/>
  <c r="B2821"/>
  <c r="B2820"/>
  <c r="B2819"/>
  <c r="B2818"/>
  <c r="B2817"/>
  <c r="B2816"/>
  <c r="B2815"/>
  <c r="B2814"/>
  <c r="B2813"/>
  <c r="B2812"/>
  <c r="B2811"/>
  <c r="B2810"/>
  <c r="B2809"/>
  <c r="B2808"/>
  <c r="B2807"/>
  <c r="B2806"/>
  <c r="B2805"/>
  <c r="B2804"/>
  <c r="B2803"/>
  <c r="B2802"/>
  <c r="B2801"/>
  <c r="B2800"/>
  <c r="B2799"/>
  <c r="B2798"/>
  <c r="B2797"/>
  <c r="B2796"/>
  <c r="B2795"/>
  <c r="B2794"/>
  <c r="B2793"/>
  <c r="B2792"/>
  <c r="B2791"/>
  <c r="B2790"/>
  <c r="B2789"/>
  <c r="B2788"/>
  <c r="B2787"/>
  <c r="B2786"/>
  <c r="B2785"/>
  <c r="B2784"/>
  <c r="B2783"/>
  <c r="B2782"/>
  <c r="B2781"/>
  <c r="B2780"/>
  <c r="B2779"/>
  <c r="B2778"/>
  <c r="B2777"/>
  <c r="B2776"/>
  <c r="B2775"/>
  <c r="B2774"/>
  <c r="B2773"/>
  <c r="B2772"/>
  <c r="B2771"/>
  <c r="B2770"/>
  <c r="B2769"/>
  <c r="B2768"/>
  <c r="B2767"/>
  <c r="B2766"/>
  <c r="B2765"/>
  <c r="B2764"/>
  <c r="B2763"/>
  <c r="B2762"/>
  <c r="B2761"/>
  <c r="B2760"/>
  <c r="B2759"/>
  <c r="B2758"/>
  <c r="B2757"/>
  <c r="B2756"/>
  <c r="B2755"/>
  <c r="B2754"/>
  <c r="B2753"/>
  <c r="B2752"/>
  <c r="B2751"/>
  <c r="B2750"/>
  <c r="B2749"/>
  <c r="B2748"/>
  <c r="B2747"/>
  <c r="B2746"/>
  <c r="B2745"/>
  <c r="B2744"/>
  <c r="B2743"/>
  <c r="B2742"/>
  <c r="B2741"/>
  <c r="B2740"/>
  <c r="B2739"/>
  <c r="B2738"/>
  <c r="B2737"/>
  <c r="B2736"/>
  <c r="B2735"/>
  <c r="B2734"/>
  <c r="B2733"/>
  <c r="B2732"/>
  <c r="B2731"/>
  <c r="B2730"/>
  <c r="B2729"/>
  <c r="B2693"/>
  <c r="B2657"/>
  <c r="B2621"/>
  <c r="B2585"/>
  <c r="B2549"/>
  <c r="B2728"/>
  <c r="B2692"/>
  <c r="B2656"/>
  <c r="B2620"/>
  <c r="B2584"/>
  <c r="B2548"/>
  <c r="B2727"/>
  <c r="B2691"/>
  <c r="B2655"/>
  <c r="B2619"/>
  <c r="B2583"/>
  <c r="B2547"/>
  <c r="B2726"/>
  <c r="B2690"/>
  <c r="B2654"/>
  <c r="B2618"/>
  <c r="B2582"/>
  <c r="B2546"/>
  <c r="B2725"/>
  <c r="B2689"/>
  <c r="B2653"/>
  <c r="B2617"/>
  <c r="B2581"/>
  <c r="B2545"/>
  <c r="B2724"/>
  <c r="B2688"/>
  <c r="B2652"/>
  <c r="B2616"/>
  <c r="B2580"/>
  <c r="B2544"/>
  <c r="B2723"/>
  <c r="B2687"/>
  <c r="B2651"/>
  <c r="B2615"/>
  <c r="B2579"/>
  <c r="B2543"/>
  <c r="B2722"/>
  <c r="B2686"/>
  <c r="B2650"/>
  <c r="B2614"/>
  <c r="B2578"/>
  <c r="B2542"/>
  <c r="B2721"/>
  <c r="B2685"/>
  <c r="B2649"/>
  <c r="B2613"/>
  <c r="B2577"/>
  <c r="B2541"/>
  <c r="B2720"/>
  <c r="B2684"/>
  <c r="B2648"/>
  <c r="B2612"/>
  <c r="B2576"/>
  <c r="B2540"/>
  <c r="B2719"/>
  <c r="B2683"/>
  <c r="B2647"/>
  <c r="B2611"/>
  <c r="B2575"/>
  <c r="B2539"/>
  <c r="B2718"/>
  <c r="B2682"/>
  <c r="B2646"/>
  <c r="B2610"/>
  <c r="B2574"/>
  <c r="B2538"/>
  <c r="B2717"/>
  <c r="B2681"/>
  <c r="B2645"/>
  <c r="B2609"/>
  <c r="B2573"/>
  <c r="B2537"/>
  <c r="B2716"/>
  <c r="B2680"/>
  <c r="B2644"/>
  <c r="B2608"/>
  <c r="B2572"/>
  <c r="B2536"/>
  <c r="B2715"/>
  <c r="B2679"/>
  <c r="B2643"/>
  <c r="B2607"/>
  <c r="B2571"/>
  <c r="B2535"/>
  <c r="B2714"/>
  <c r="B2678"/>
  <c r="B2642"/>
  <c r="B2606"/>
  <c r="B2570"/>
  <c r="B2534"/>
  <c r="B2713"/>
  <c r="B2677"/>
  <c r="B2641"/>
  <c r="B2605"/>
  <c r="B2569"/>
  <c r="B2533"/>
  <c r="B2712"/>
  <c r="B2676"/>
  <c r="B2640"/>
  <c r="B2604"/>
  <c r="B2568"/>
  <c r="B2532"/>
  <c r="B2711"/>
  <c r="B2675"/>
  <c r="B2639"/>
  <c r="B2603"/>
  <c r="B2567"/>
  <c r="B2531"/>
  <c r="B2710"/>
  <c r="B2674"/>
  <c r="B2638"/>
  <c r="B2602"/>
  <c r="B2566"/>
  <c r="B2530"/>
  <c r="B2709"/>
  <c r="B2673"/>
  <c r="B2637"/>
  <c r="B2601"/>
  <c r="B2565"/>
  <c r="B2529"/>
  <c r="B2708"/>
  <c r="B2672"/>
  <c r="B2636"/>
  <c r="B2600"/>
  <c r="B2564"/>
  <c r="B2528"/>
  <c r="B2707"/>
  <c r="B2671"/>
  <c r="B2635"/>
  <c r="B2599"/>
  <c r="B2563"/>
  <c r="B2527"/>
  <c r="B2706"/>
  <c r="B2670"/>
  <c r="B2634"/>
  <c r="B2598"/>
  <c r="B2562"/>
  <c r="B2526"/>
  <c r="B2705"/>
  <c r="B2669"/>
  <c r="B2633"/>
  <c r="B2597"/>
  <c r="B2561"/>
  <c r="B2525"/>
  <c r="B2704"/>
  <c r="B2668"/>
  <c r="B2632"/>
  <c r="B2596"/>
  <c r="B2560"/>
  <c r="B2524"/>
  <c r="B2703"/>
  <c r="B2667"/>
  <c r="B2631"/>
  <c r="B2595"/>
  <c r="B2559"/>
  <c r="B2523"/>
  <c r="B2702"/>
  <c r="B2666"/>
  <c r="B2630"/>
  <c r="B2594"/>
  <c r="B2558"/>
  <c r="B2522"/>
  <c r="B2701"/>
  <c r="B2665"/>
  <c r="B2629"/>
  <c r="B2593"/>
  <c r="B2557"/>
  <c r="B2521"/>
  <c r="B2700"/>
  <c r="B2664"/>
  <c r="B2628"/>
  <c r="B2592"/>
  <c r="B2556"/>
  <c r="B2520"/>
  <c r="B2699"/>
  <c r="B2663"/>
  <c r="B2627"/>
  <c r="B2591"/>
  <c r="B2555"/>
  <c r="B2519"/>
  <c r="B2698"/>
  <c r="B2662"/>
  <c r="B2626"/>
  <c r="B2590"/>
  <c r="B2554"/>
  <c r="B2518"/>
  <c r="B2697"/>
  <c r="B2661"/>
  <c r="B2625"/>
  <c r="B2589"/>
  <c r="B2553"/>
  <c r="B2517"/>
  <c r="B2696"/>
  <c r="B2660"/>
  <c r="B2624"/>
  <c r="B2588"/>
  <c r="B2552"/>
  <c r="B2516"/>
  <c r="B2695"/>
  <c r="B2659"/>
  <c r="B2623"/>
  <c r="B2587"/>
  <c r="B2551"/>
  <c r="B2515"/>
  <c r="B2694"/>
  <c r="B2658"/>
  <c r="B2622"/>
  <c r="B2586"/>
  <c r="B2550"/>
  <c r="B2514"/>
  <c r="B2513"/>
  <c r="B2512"/>
  <c r="B2511"/>
  <c r="B2510"/>
  <c r="B2509"/>
  <c r="B2508"/>
  <c r="B2507"/>
  <c r="B2506"/>
  <c r="B2505"/>
  <c r="B2504"/>
  <c r="B2503"/>
  <c r="B2502"/>
  <c r="B2501"/>
  <c r="B2500"/>
  <c r="B2499"/>
  <c r="B2498"/>
  <c r="B2497"/>
  <c r="B2496"/>
  <c r="B2495"/>
  <c r="B2494"/>
  <c r="B2493"/>
  <c r="B2492"/>
  <c r="B2491"/>
  <c r="B2490"/>
  <c r="B2489"/>
  <c r="B2488"/>
  <c r="B2487"/>
  <c r="B2486"/>
  <c r="B2485"/>
  <c r="B2484"/>
  <c r="B2483"/>
  <c r="B2482"/>
  <c r="B2481"/>
  <c r="B2480"/>
  <c r="B2479"/>
  <c r="B2478"/>
  <c r="M10" i="65" l="1"/>
  <c r="G3284" i="97" s="1"/>
  <c r="T10" i="65"/>
  <c r="G3550" i="97" s="1"/>
  <c r="O36" i="66"/>
  <c r="G3974" i="97" s="1"/>
  <c r="M24" i="65"/>
  <c r="G3298" i="97" s="1"/>
  <c r="M23" i="65"/>
  <c r="G3297" i="97" s="1"/>
  <c r="B2439"/>
  <c r="B2415"/>
  <c r="B2391"/>
  <c r="B2367"/>
  <c r="B2343"/>
  <c r="B2477"/>
  <c r="B2458"/>
  <c r="B2438"/>
  <c r="B2414"/>
  <c r="B2390"/>
  <c r="B2366"/>
  <c r="B2342"/>
  <c r="B2437"/>
  <c r="B2413"/>
  <c r="B2389"/>
  <c r="B2365"/>
  <c r="B2341"/>
  <c r="B2476"/>
  <c r="B2457"/>
  <c r="B2436"/>
  <c r="B2412"/>
  <c r="B2388"/>
  <c r="B2364"/>
  <c r="B2340"/>
  <c r="B2475"/>
  <c r="B2456"/>
  <c r="B2435"/>
  <c r="B2411"/>
  <c r="B2387"/>
  <c r="B2363"/>
  <c r="B2339"/>
  <c r="B2474"/>
  <c r="B2455"/>
  <c r="B2434"/>
  <c r="B2410"/>
  <c r="B2386"/>
  <c r="B2362"/>
  <c r="B2338"/>
  <c r="B2473"/>
  <c r="B2454"/>
  <c r="B2433"/>
  <c r="B2409"/>
  <c r="B2385"/>
  <c r="B2361"/>
  <c r="B2337"/>
  <c r="B2432"/>
  <c r="B2408"/>
  <c r="B2384"/>
  <c r="B2360"/>
  <c r="B2336"/>
  <c r="B2472"/>
  <c r="B2453"/>
  <c r="B2431"/>
  <c r="B2407"/>
  <c r="B2383"/>
  <c r="B2359"/>
  <c r="B2335"/>
  <c r="B2471"/>
  <c r="B2452"/>
  <c r="B2430"/>
  <c r="B2406"/>
  <c r="B2382"/>
  <c r="B2358"/>
  <c r="B2334"/>
  <c r="B2470"/>
  <c r="B2451"/>
  <c r="B2429"/>
  <c r="B2405"/>
  <c r="B2381"/>
  <c r="B2357"/>
  <c r="B2333"/>
  <c r="B2469"/>
  <c r="B2450"/>
  <c r="B2428"/>
  <c r="B2404"/>
  <c r="B2380"/>
  <c r="B2356"/>
  <c r="B2332"/>
  <c r="B2427"/>
  <c r="B2403"/>
  <c r="B2379"/>
  <c r="B2355"/>
  <c r="B2331"/>
  <c r="B2468"/>
  <c r="B2449"/>
  <c r="B2426"/>
  <c r="B2402"/>
  <c r="B2378"/>
  <c r="B2354"/>
  <c r="B2330"/>
  <c r="B2467"/>
  <c r="B2448"/>
  <c r="B2425"/>
  <c r="B2401"/>
  <c r="B2377"/>
  <c r="B2353"/>
  <c r="B2329"/>
  <c r="B2466"/>
  <c r="B2447"/>
  <c r="B2424"/>
  <c r="B2400"/>
  <c r="B2376"/>
  <c r="B2352"/>
  <c r="B2328"/>
  <c r="B2465"/>
  <c r="B2446"/>
  <c r="B2423"/>
  <c r="B2399"/>
  <c r="B2375"/>
  <c r="B2351"/>
  <c r="B2327"/>
  <c r="B2422"/>
  <c r="B2398"/>
  <c r="B2374"/>
  <c r="B2350"/>
  <c r="B2326"/>
  <c r="B2464"/>
  <c r="B2445"/>
  <c r="B2421"/>
  <c r="B2397"/>
  <c r="B2373"/>
  <c r="B2349"/>
  <c r="B2325"/>
  <c r="B2463"/>
  <c r="B2444"/>
  <c r="B2420"/>
  <c r="B2396"/>
  <c r="B2372"/>
  <c r="B2348"/>
  <c r="B2324"/>
  <c r="B2462"/>
  <c r="B2443"/>
  <c r="B2419"/>
  <c r="B2395"/>
  <c r="B2371"/>
  <c r="B2347"/>
  <c r="B2323"/>
  <c r="B2461"/>
  <c r="B2442"/>
  <c r="B2418"/>
  <c r="B2394"/>
  <c r="B2370"/>
  <c r="B2346"/>
  <c r="B2322"/>
  <c r="B2460"/>
  <c r="B2441"/>
  <c r="B2417"/>
  <c r="B2393"/>
  <c r="B2369"/>
  <c r="B2345"/>
  <c r="B2321"/>
  <c r="B2459"/>
  <c r="B2440"/>
  <c r="B2416"/>
  <c r="B2392"/>
  <c r="B2368"/>
  <c r="B2344"/>
  <c r="B2320"/>
  <c r="B2319"/>
  <c r="B2318"/>
  <c r="B2317"/>
  <c r="B2316"/>
  <c r="B2315"/>
  <c r="B2314"/>
  <c r="B2313"/>
  <c r="B2312"/>
  <c r="B2311"/>
  <c r="B2310"/>
  <c r="B2309"/>
  <c r="B2308"/>
  <c r="B2307"/>
  <c r="B2306"/>
  <c r="B2305"/>
  <c r="B2304"/>
  <c r="B2303"/>
  <c r="B2302"/>
  <c r="B2301"/>
  <c r="B2300"/>
  <c r="B2299"/>
  <c r="B2298"/>
  <c r="B2297"/>
  <c r="B2296"/>
  <c r="B2295"/>
  <c r="B2293"/>
  <c r="B2292"/>
  <c r="B2291"/>
  <c r="B2290"/>
  <c r="B2289"/>
  <c r="B2288"/>
  <c r="B2287"/>
  <c r="B2286"/>
  <c r="B2285"/>
  <c r="B2284"/>
  <c r="B2283"/>
  <c r="B2282"/>
  <c r="B2281"/>
  <c r="B2280"/>
  <c r="B2278"/>
  <c r="B2277"/>
  <c r="B2276"/>
  <c r="B2275"/>
  <c r="B2274"/>
  <c r="B2273"/>
  <c r="B2272"/>
  <c r="B2271"/>
  <c r="B2270"/>
  <c r="B2269"/>
  <c r="B2268"/>
  <c r="B2267"/>
  <c r="B2266"/>
  <c r="B2265"/>
  <c r="B2264"/>
  <c r="B2263"/>
  <c r="B2262"/>
  <c r="B2261"/>
  <c r="B2260"/>
  <c r="B2258"/>
  <c r="B2257"/>
  <c r="B2256"/>
  <c r="T24" i="65" l="1"/>
  <c r="G3564" i="97" s="1"/>
  <c r="AI8" i="32"/>
  <c r="AJ8"/>
  <c r="B2255" i="97" l="1"/>
  <c r="B2243"/>
  <c r="B2232"/>
  <c r="B2254"/>
  <c r="B2242"/>
  <c r="B2231"/>
  <c r="B2253"/>
  <c r="B2241"/>
  <c r="B2230"/>
  <c r="B2252"/>
  <c r="B2240"/>
  <c r="B2229"/>
  <c r="B2251"/>
  <c r="B2239"/>
  <c r="B2228"/>
  <c r="B2250"/>
  <c r="B2238"/>
  <c r="B2227"/>
  <c r="B2249"/>
  <c r="B2237"/>
  <c r="B2226"/>
  <c r="B2248"/>
  <c r="B2236"/>
  <c r="B2225"/>
  <c r="B2247"/>
  <c r="B2246"/>
  <c r="B2235"/>
  <c r="B2224"/>
  <c r="B2245"/>
  <c r="B2234"/>
  <c r="B2223"/>
  <c r="B2244"/>
  <c r="B2233"/>
  <c r="B2222"/>
  <c r="B2221"/>
  <c r="B2220"/>
  <c r="B2219"/>
  <c r="B2218"/>
  <c r="B2217"/>
  <c r="B2216"/>
  <c r="B2215"/>
  <c r="B2214"/>
  <c r="B2213"/>
  <c r="B2212"/>
  <c r="B2211"/>
  <c r="I7" i="96"/>
  <c r="G1555" i="97" s="1"/>
  <c r="B2210"/>
  <c r="B2209"/>
  <c r="B2208"/>
  <c r="B2207"/>
  <c r="B2206"/>
  <c r="B2205"/>
  <c r="B2204" l="1"/>
  <c r="B2191"/>
  <c r="B2178"/>
  <c r="B2165"/>
  <c r="B2152"/>
  <c r="B2139"/>
  <c r="B2126"/>
  <c r="B2113"/>
  <c r="B2203"/>
  <c r="B2190"/>
  <c r="B2177"/>
  <c r="B2164"/>
  <c r="B2151"/>
  <c r="B2138"/>
  <c r="B2125"/>
  <c r="B2112"/>
  <c r="B2202"/>
  <c r="B2189"/>
  <c r="B2176"/>
  <c r="B2163"/>
  <c r="B2150"/>
  <c r="B2137"/>
  <c r="B2124"/>
  <c r="B2111"/>
  <c r="B2201"/>
  <c r="B2188"/>
  <c r="B2175"/>
  <c r="B2162"/>
  <c r="B2149"/>
  <c r="B2136"/>
  <c r="B2123"/>
  <c r="B2110"/>
  <c r="B2200"/>
  <c r="B2187"/>
  <c r="B2174"/>
  <c r="B2161"/>
  <c r="B2148"/>
  <c r="B2135"/>
  <c r="B2122"/>
  <c r="B2109"/>
  <c r="B2199"/>
  <c r="B2186"/>
  <c r="B2173"/>
  <c r="B2160"/>
  <c r="B2147"/>
  <c r="B2134"/>
  <c r="B2121"/>
  <c r="B2108"/>
  <c r="B2198"/>
  <c r="B2185"/>
  <c r="B2172"/>
  <c r="B2159"/>
  <c r="B2146"/>
  <c r="B2133"/>
  <c r="B2120"/>
  <c r="B2107"/>
  <c r="B2197"/>
  <c r="B2184"/>
  <c r="B2171"/>
  <c r="B2158"/>
  <c r="B2145"/>
  <c r="B2132"/>
  <c r="B2119"/>
  <c r="B2106"/>
  <c r="B2196"/>
  <c r="B2183"/>
  <c r="B2170"/>
  <c r="B2157"/>
  <c r="B2144"/>
  <c r="B2131"/>
  <c r="B2118"/>
  <c r="B2105"/>
  <c r="B2195"/>
  <c r="B2182"/>
  <c r="B2169"/>
  <c r="B2156"/>
  <c r="B2143"/>
  <c r="B2130"/>
  <c r="B2117"/>
  <c r="B2104"/>
  <c r="B2194"/>
  <c r="B2181"/>
  <c r="B2168"/>
  <c r="B2155"/>
  <c r="B2142"/>
  <c r="B2129"/>
  <c r="B2116"/>
  <c r="B2103"/>
  <c r="B2193"/>
  <c r="B2180"/>
  <c r="B2167"/>
  <c r="B2154"/>
  <c r="B2141"/>
  <c r="B2128"/>
  <c r="B2115"/>
  <c r="B2102"/>
  <c r="B2192"/>
  <c r="B2179"/>
  <c r="B2166"/>
  <c r="B2153"/>
  <c r="B2140"/>
  <c r="B2127"/>
  <c r="B2114"/>
  <c r="B2101"/>
  <c r="B2100"/>
  <c r="B2099"/>
  <c r="B2098"/>
  <c r="B2097"/>
  <c r="B2096"/>
  <c r="B2095"/>
  <c r="B2094"/>
  <c r="B2093"/>
  <c r="B2092"/>
  <c r="B2091"/>
  <c r="B2090"/>
  <c r="B2089"/>
  <c r="B2088"/>
  <c r="B2060"/>
  <c r="B2032"/>
  <c r="B2004"/>
  <c r="B1976"/>
  <c r="B1948"/>
  <c r="B1920"/>
  <c r="B1892"/>
  <c r="B2063"/>
  <c r="B2035"/>
  <c r="B2007"/>
  <c r="B1979"/>
  <c r="B1951"/>
  <c r="B1923"/>
  <c r="B1895"/>
  <c r="B2062"/>
  <c r="B2034"/>
  <c r="B2006"/>
  <c r="B1978"/>
  <c r="B1950"/>
  <c r="B1922"/>
  <c r="B1894"/>
  <c r="B2061"/>
  <c r="B2033"/>
  <c r="B2005"/>
  <c r="B1977"/>
  <c r="B1949"/>
  <c r="B1921"/>
  <c r="B1893"/>
  <c r="B2087"/>
  <c r="B2059"/>
  <c r="B2031"/>
  <c r="B2003"/>
  <c r="B1975"/>
  <c r="B1947"/>
  <c r="B1919"/>
  <c r="B1891"/>
  <c r="B2086"/>
  <c r="B2058"/>
  <c r="B2030"/>
  <c r="B2002"/>
  <c r="B1974"/>
  <c r="B1946"/>
  <c r="B1918"/>
  <c r="B1890"/>
  <c r="B2085"/>
  <c r="B2057"/>
  <c r="B2029"/>
  <c r="B2001"/>
  <c r="B1973"/>
  <c r="B1945"/>
  <c r="B1917"/>
  <c r="B1889"/>
  <c r="B2084"/>
  <c r="B2056"/>
  <c r="B2028"/>
  <c r="B2000"/>
  <c r="B1972"/>
  <c r="B1944"/>
  <c r="B1916"/>
  <c r="B1888"/>
  <c r="B2083"/>
  <c r="B2055"/>
  <c r="B2027"/>
  <c r="B1999"/>
  <c r="B1971"/>
  <c r="B1943"/>
  <c r="B1915"/>
  <c r="B1887"/>
  <c r="B2082"/>
  <c r="B2054"/>
  <c r="B2026"/>
  <c r="B1998"/>
  <c r="B1970"/>
  <c r="B1942"/>
  <c r="B1914"/>
  <c r="B1886"/>
  <c r="B2081"/>
  <c r="B2053"/>
  <c r="B2025"/>
  <c r="B1997"/>
  <c r="B1969"/>
  <c r="B1941"/>
  <c r="B1913"/>
  <c r="B1885"/>
  <c r="B2080"/>
  <c r="B2052"/>
  <c r="B2024"/>
  <c r="B1996"/>
  <c r="B1968"/>
  <c r="B1940"/>
  <c r="B1912"/>
  <c r="B1884"/>
  <c r="B2079"/>
  <c r="B2051"/>
  <c r="B2023"/>
  <c r="B1995"/>
  <c r="B1967"/>
  <c r="B1939"/>
  <c r="B1911"/>
  <c r="B1883"/>
  <c r="B2078"/>
  <c r="B2050"/>
  <c r="B2022"/>
  <c r="B1994"/>
  <c r="B1966"/>
  <c r="B1938"/>
  <c r="B1910"/>
  <c r="B1882"/>
  <c r="B2077"/>
  <c r="B2049"/>
  <c r="B2021"/>
  <c r="B1993"/>
  <c r="B1965"/>
  <c r="B1937"/>
  <c r="B1909"/>
  <c r="B1881"/>
  <c r="B2076"/>
  <c r="B2048"/>
  <c r="B2020"/>
  <c r="B1992"/>
  <c r="B1964"/>
  <c r="B1936"/>
  <c r="B1908"/>
  <c r="B1880"/>
  <c r="B2075"/>
  <c r="B2047"/>
  <c r="B2019"/>
  <c r="B1991"/>
  <c r="B1963"/>
  <c r="B1935"/>
  <c r="B1907"/>
  <c r="B1879"/>
  <c r="B2074"/>
  <c r="B2046"/>
  <c r="B2018"/>
  <c r="B1990"/>
  <c r="B1962"/>
  <c r="B1934"/>
  <c r="B1906"/>
  <c r="B1878"/>
  <c r="B2073"/>
  <c r="B2045"/>
  <c r="B2017"/>
  <c r="B1989"/>
  <c r="B1961"/>
  <c r="B1933"/>
  <c r="B1905"/>
  <c r="B1877"/>
  <c r="B2072"/>
  <c r="B2044"/>
  <c r="B2016"/>
  <c r="B1988"/>
  <c r="B1960"/>
  <c r="B1932"/>
  <c r="B1904"/>
  <c r="B1876"/>
  <c r="B2071"/>
  <c r="B2043"/>
  <c r="B2015"/>
  <c r="B1987"/>
  <c r="B1959"/>
  <c r="B1931"/>
  <c r="B1903"/>
  <c r="B1875"/>
  <c r="B2070"/>
  <c r="B2042"/>
  <c r="B2014"/>
  <c r="B1986"/>
  <c r="B1958"/>
  <c r="B1930"/>
  <c r="B1902"/>
  <c r="B1874"/>
  <c r="B2069"/>
  <c r="B2041"/>
  <c r="B2013"/>
  <c r="B1985"/>
  <c r="B1957"/>
  <c r="B1929"/>
  <c r="B1901"/>
  <c r="B1873"/>
  <c r="B2068"/>
  <c r="B2040"/>
  <c r="B2012"/>
  <c r="B1984"/>
  <c r="B1956"/>
  <c r="B1928"/>
  <c r="B1900"/>
  <c r="B1872"/>
  <c r="B2067"/>
  <c r="B2039"/>
  <c r="B2011"/>
  <c r="B1983"/>
  <c r="B1955"/>
  <c r="B1927"/>
  <c r="B1899"/>
  <c r="B1871"/>
  <c r="B2066"/>
  <c r="B2038"/>
  <c r="B2010"/>
  <c r="B1982"/>
  <c r="B1954"/>
  <c r="B1926"/>
  <c r="B1898"/>
  <c r="B1870"/>
  <c r="B2065"/>
  <c r="B2037"/>
  <c r="B2009"/>
  <c r="B1981"/>
  <c r="B1953"/>
  <c r="B1925"/>
  <c r="B1897"/>
  <c r="B1869"/>
  <c r="B2064"/>
  <c r="B2036"/>
  <c r="B2008"/>
  <c r="B1980"/>
  <c r="B1952"/>
  <c r="B1924"/>
  <c r="B1896"/>
  <c r="B1868"/>
  <c r="B1867"/>
  <c r="B1866"/>
  <c r="B1865"/>
  <c r="B1864"/>
  <c r="B1863"/>
  <c r="B1862"/>
  <c r="B1861"/>
  <c r="B1860"/>
  <c r="B1859"/>
  <c r="B1858"/>
  <c r="B1857"/>
  <c r="B1856"/>
  <c r="B1855"/>
  <c r="B1854"/>
  <c r="B1853"/>
  <c r="B1852"/>
  <c r="B1851"/>
  <c r="B1850"/>
  <c r="B1849"/>
  <c r="B1848"/>
  <c r="B1847"/>
  <c r="B1846"/>
  <c r="B1845"/>
  <c r="B1844"/>
  <c r="B1843"/>
  <c r="B1842"/>
  <c r="B1841"/>
  <c r="B1840"/>
  <c r="B1700"/>
  <c r="B1728"/>
  <c r="B1756"/>
  <c r="B1784"/>
  <c r="B1812"/>
  <c r="B1815"/>
  <c r="B1787"/>
  <c r="B1759"/>
  <c r="B1731"/>
  <c r="B1703"/>
  <c r="B1814"/>
  <c r="B1786"/>
  <c r="B1758"/>
  <c r="B1730"/>
  <c r="B1702"/>
  <c r="B1813"/>
  <c r="B1785"/>
  <c r="B1757"/>
  <c r="B1729"/>
  <c r="B1701"/>
  <c r="B1839"/>
  <c r="B1811"/>
  <c r="B1783"/>
  <c r="B1755"/>
  <c r="B1727"/>
  <c r="B1699"/>
  <c r="B1838"/>
  <c r="B1810"/>
  <c r="B1782"/>
  <c r="B1754"/>
  <c r="B1726"/>
  <c r="B1698"/>
  <c r="B1837"/>
  <c r="B1809"/>
  <c r="B1781"/>
  <c r="B1753"/>
  <c r="B1725"/>
  <c r="B1697"/>
  <c r="B1836"/>
  <c r="B1808"/>
  <c r="B1780"/>
  <c r="B1752"/>
  <c r="B1724"/>
  <c r="B1696"/>
  <c r="B1835"/>
  <c r="B1807"/>
  <c r="B1779"/>
  <c r="B1751"/>
  <c r="B1723"/>
  <c r="B1695"/>
  <c r="B1834"/>
  <c r="B1806"/>
  <c r="B1778"/>
  <c r="B1750"/>
  <c r="B1722"/>
  <c r="B1694"/>
  <c r="B1833"/>
  <c r="B1805"/>
  <c r="B1777"/>
  <c r="B1749"/>
  <c r="B1721"/>
  <c r="B1693"/>
  <c r="B1832"/>
  <c r="B1804"/>
  <c r="B1776"/>
  <c r="B1748"/>
  <c r="B1720"/>
  <c r="B1692"/>
  <c r="B1831"/>
  <c r="B1803"/>
  <c r="B1775"/>
  <c r="B1747"/>
  <c r="B1719"/>
  <c r="B1691"/>
  <c r="B1830"/>
  <c r="B1802"/>
  <c r="B1774"/>
  <c r="B1746"/>
  <c r="B1718"/>
  <c r="B1690"/>
  <c r="B1829"/>
  <c r="B1801"/>
  <c r="B1773"/>
  <c r="B1745"/>
  <c r="B1717"/>
  <c r="B1689"/>
  <c r="B1828"/>
  <c r="B1800"/>
  <c r="B1772"/>
  <c r="B1744"/>
  <c r="B1716"/>
  <c r="B1688"/>
  <c r="B1827"/>
  <c r="B1799"/>
  <c r="B1771"/>
  <c r="B1743"/>
  <c r="B1715"/>
  <c r="B1687"/>
  <c r="B1826"/>
  <c r="B1798"/>
  <c r="B1770"/>
  <c r="B1742"/>
  <c r="B1714"/>
  <c r="B1686"/>
  <c r="B1825"/>
  <c r="B1797"/>
  <c r="B1769"/>
  <c r="B1741"/>
  <c r="B1713"/>
  <c r="B1685"/>
  <c r="B1824"/>
  <c r="B1796"/>
  <c r="B1768"/>
  <c r="B1740"/>
  <c r="B1712"/>
  <c r="B1684"/>
  <c r="B1823"/>
  <c r="B1795"/>
  <c r="B1767"/>
  <c r="B1739"/>
  <c r="B1711"/>
  <c r="B1683"/>
  <c r="B1822"/>
  <c r="B1794"/>
  <c r="B1766"/>
  <c r="B1738"/>
  <c r="B1710"/>
  <c r="B1682"/>
  <c r="B1821"/>
  <c r="B1793"/>
  <c r="B1765"/>
  <c r="B1737"/>
  <c r="B1709"/>
  <c r="B1681"/>
  <c r="B1820"/>
  <c r="B1792"/>
  <c r="B1764"/>
  <c r="B1736"/>
  <c r="B1708"/>
  <c r="B1680"/>
  <c r="B1819"/>
  <c r="B1791"/>
  <c r="B1763"/>
  <c r="B1735"/>
  <c r="B1707"/>
  <c r="B1679"/>
  <c r="B1818"/>
  <c r="B1790"/>
  <c r="B1762"/>
  <c r="B1734"/>
  <c r="B1706"/>
  <c r="B1678"/>
  <c r="B1817"/>
  <c r="B1789"/>
  <c r="B1761"/>
  <c r="B1733"/>
  <c r="B1705"/>
  <c r="B1677"/>
  <c r="B1816"/>
  <c r="B1788"/>
  <c r="B1760"/>
  <c r="B1732"/>
  <c r="B1704"/>
  <c r="B1676"/>
  <c r="B1675"/>
  <c r="B1674"/>
  <c r="B1673"/>
  <c r="B1672"/>
  <c r="B1671"/>
  <c r="B1670"/>
  <c r="B1669"/>
  <c r="B1668"/>
  <c r="B1667"/>
  <c r="B1666"/>
  <c r="B1665"/>
  <c r="B1664"/>
  <c r="B1663"/>
  <c r="B1662"/>
  <c r="B1661"/>
  <c r="B1660"/>
  <c r="B1659"/>
  <c r="B1658"/>
  <c r="B1657"/>
  <c r="B1656"/>
  <c r="B1655"/>
  <c r="B1654"/>
  <c r="B1653"/>
  <c r="B1652"/>
  <c r="B1651"/>
  <c r="B1650"/>
  <c r="B1649"/>
  <c r="B1648"/>
  <c r="B1647"/>
  <c r="B1641"/>
  <c r="B1635"/>
  <c r="B1646"/>
  <c r="B1640"/>
  <c r="B1634"/>
  <c r="B1645"/>
  <c r="B1639"/>
  <c r="B1633"/>
  <c r="B1644"/>
  <c r="B1638"/>
  <c r="B1632"/>
  <c r="B1643"/>
  <c r="B1637"/>
  <c r="B1631"/>
  <c r="B1642"/>
  <c r="B1636"/>
  <c r="B1630"/>
  <c r="AL7" i="27"/>
  <c r="B1629" i="97"/>
  <c r="B1620"/>
  <c r="B1611"/>
  <c r="B1602"/>
  <c r="B1594"/>
  <c r="B1628"/>
  <c r="B1619"/>
  <c r="B1610"/>
  <c r="B1601"/>
  <c r="B1593"/>
  <c r="B1627"/>
  <c r="B1618"/>
  <c r="B1609"/>
  <c r="B1600"/>
  <c r="B1592"/>
  <c r="B1626"/>
  <c r="B1617"/>
  <c r="B1608"/>
  <c r="B1599"/>
  <c r="B1591"/>
  <c r="B1625"/>
  <c r="B1616"/>
  <c r="B1607"/>
  <c r="B1598"/>
  <c r="B1590"/>
  <c r="B1624"/>
  <c r="B1615"/>
  <c r="B1606"/>
  <c r="B1597"/>
  <c r="B1589"/>
  <c r="B1623"/>
  <c r="B1614"/>
  <c r="B1605"/>
  <c r="B1596"/>
  <c r="B1588"/>
  <c r="B1622"/>
  <c r="B1613"/>
  <c r="B1604"/>
  <c r="B1595"/>
  <c r="B1587"/>
  <c r="B1621"/>
  <c r="B1612"/>
  <c r="B1603"/>
  <c r="B1586"/>
  <c r="B1585"/>
  <c r="B1584"/>
  <c r="B1583"/>
  <c r="B1582"/>
  <c r="B1581"/>
  <c r="B1580"/>
  <c r="B1579"/>
  <c r="B1578"/>
  <c r="B1577"/>
  <c r="B1576"/>
  <c r="B1575"/>
  <c r="B1574"/>
  <c r="B1573"/>
  <c r="B1572"/>
  <c r="B1571"/>
  <c r="B1570"/>
  <c r="B1569"/>
  <c r="B1568"/>
  <c r="B1554"/>
  <c r="B1567"/>
  <c r="B1566"/>
  <c r="B1565"/>
  <c r="B1564"/>
  <c r="B1563"/>
  <c r="B1562"/>
  <c r="B1561"/>
  <c r="B1560"/>
  <c r="AB12" i="96"/>
  <c r="B1559" i="97"/>
  <c r="B1553"/>
  <c r="B1558"/>
  <c r="B1557"/>
  <c r="B1556"/>
  <c r="B1552"/>
  <c r="B1555"/>
  <c r="B1551"/>
  <c r="B1550"/>
  <c r="B1549"/>
  <c r="B1548"/>
  <c r="AG44" i="15" l="1"/>
  <c r="AF44"/>
  <c r="AH44"/>
  <c r="Z6" i="96"/>
  <c r="B1547" i="97"/>
  <c r="B1546"/>
  <c r="B1545"/>
  <c r="B1544"/>
  <c r="B1543"/>
  <c r="B1542"/>
  <c r="B1541"/>
  <c r="B1540"/>
  <c r="B1539"/>
  <c r="B1538"/>
  <c r="B1537"/>
  <c r="B1536"/>
  <c r="B1535"/>
  <c r="B1534"/>
  <c r="B1533"/>
  <c r="B1532"/>
  <c r="B1531"/>
  <c r="B1530"/>
  <c r="B1529"/>
  <c r="B1521"/>
  <c r="B1491"/>
  <c r="B1528"/>
  <c r="B1520"/>
  <c r="B1490"/>
  <c r="B1527"/>
  <c r="B1519"/>
  <c r="B1489"/>
  <c r="B1526"/>
  <c r="B1518"/>
  <c r="B1488"/>
  <c r="B1525"/>
  <c r="B1517"/>
  <c r="B1487"/>
  <c r="B1524"/>
  <c r="B1516"/>
  <c r="B1486"/>
  <c r="B1523"/>
  <c r="B1515"/>
  <c r="B1485"/>
  <c r="B1522"/>
  <c r="B1514"/>
  <c r="B1484"/>
  <c r="B1513"/>
  <c r="B1512"/>
  <c r="B1511"/>
  <c r="B1510"/>
  <c r="B1509"/>
  <c r="B1508"/>
  <c r="B1483"/>
  <c r="B1507"/>
  <c r="B1482"/>
  <c r="B1506"/>
  <c r="B1481"/>
  <c r="B1505"/>
  <c r="B1480"/>
  <c r="B1504"/>
  <c r="B1479"/>
  <c r="B1503"/>
  <c r="B1478"/>
  <c r="B1502"/>
  <c r="B1477"/>
  <c r="B1501"/>
  <c r="B1476"/>
  <c r="B1500"/>
  <c r="B1475"/>
  <c r="B1499"/>
  <c r="B1474"/>
  <c r="B1498"/>
  <c r="B1473"/>
  <c r="B1497"/>
  <c r="B1472"/>
  <c r="B1496"/>
  <c r="B1471"/>
  <c r="B1495"/>
  <c r="B1470"/>
  <c r="B1494"/>
  <c r="B1469"/>
  <c r="B1493"/>
  <c r="B1468"/>
  <c r="B1492"/>
  <c r="B1467"/>
  <c r="B1466"/>
  <c r="B1465"/>
  <c r="B1464"/>
  <c r="B1463"/>
  <c r="B1462"/>
  <c r="B1461"/>
  <c r="B1460"/>
  <c r="B1459"/>
  <c r="B1458"/>
  <c r="B1457"/>
  <c r="B1456"/>
  <c r="B1455"/>
  <c r="B1454"/>
  <c r="B1453"/>
  <c r="B1452"/>
  <c r="B1451"/>
  <c r="B1450"/>
  <c r="B1449"/>
  <c r="B1448"/>
  <c r="B1447"/>
  <c r="B1446"/>
  <c r="B1445"/>
  <c r="B1444"/>
  <c r="B1443"/>
  <c r="B1442"/>
  <c r="B1441"/>
  <c r="B1415"/>
  <c r="B1440"/>
  <c r="B1414"/>
  <c r="B1389"/>
  <c r="B1364"/>
  <c r="B1439"/>
  <c r="B1413"/>
  <c r="B1388"/>
  <c r="B1363"/>
  <c r="B1438"/>
  <c r="B1412"/>
  <c r="B1387"/>
  <c r="B1362"/>
  <c r="B1437"/>
  <c r="B1411"/>
  <c r="B1386"/>
  <c r="B1361"/>
  <c r="B1436"/>
  <c r="B1410"/>
  <c r="B1385"/>
  <c r="B1360"/>
  <c r="B1435"/>
  <c r="B1409"/>
  <c r="B1384"/>
  <c r="B1359"/>
  <c r="B1434"/>
  <c r="B1408"/>
  <c r="B1383"/>
  <c r="B1358"/>
  <c r="B1433"/>
  <c r="B1407"/>
  <c r="B1382"/>
  <c r="B1357"/>
  <c r="B1432"/>
  <c r="B1406"/>
  <c r="B1381"/>
  <c r="B1356"/>
  <c r="B1431"/>
  <c r="B1405"/>
  <c r="B1380"/>
  <c r="B1355"/>
  <c r="B1430"/>
  <c r="B1404"/>
  <c r="B1379"/>
  <c r="B1354"/>
  <c r="B1429"/>
  <c r="B1403"/>
  <c r="B1378"/>
  <c r="B1353"/>
  <c r="B1428"/>
  <c r="B1402"/>
  <c r="B1377"/>
  <c r="B1352"/>
  <c r="B1427"/>
  <c r="B1401"/>
  <c r="B1376"/>
  <c r="B1351"/>
  <c r="B1426"/>
  <c r="B1400"/>
  <c r="B1375"/>
  <c r="B1350"/>
  <c r="B1425"/>
  <c r="B1399"/>
  <c r="B1374"/>
  <c r="B1349"/>
  <c r="B1424"/>
  <c r="B1398"/>
  <c r="B1373"/>
  <c r="B1348"/>
  <c r="B1423"/>
  <c r="B1397"/>
  <c r="B1372"/>
  <c r="B1347"/>
  <c r="B1422"/>
  <c r="B1396"/>
  <c r="B1371"/>
  <c r="B1346"/>
  <c r="B1421"/>
  <c r="B1395"/>
  <c r="B1370"/>
  <c r="B1345"/>
  <c r="B1420"/>
  <c r="B1394"/>
  <c r="B1369"/>
  <c r="B1344"/>
  <c r="B1419"/>
  <c r="B1393"/>
  <c r="B1368"/>
  <c r="B1343"/>
  <c r="B1418"/>
  <c r="B1392"/>
  <c r="B1367"/>
  <c r="B1342"/>
  <c r="B1417"/>
  <c r="B1391"/>
  <c r="B1366"/>
  <c r="B1341"/>
  <c r="B1416"/>
  <c r="B1390"/>
  <c r="B1365"/>
  <c r="B1340"/>
  <c r="B1339"/>
  <c r="B1338"/>
  <c r="B1337"/>
  <c r="B1336"/>
  <c r="B1335"/>
  <c r="B1334"/>
  <c r="B1333"/>
  <c r="B1332"/>
  <c r="B1331"/>
  <c r="B1330"/>
  <c r="B1329"/>
  <c r="B1328"/>
  <c r="B1327"/>
  <c r="B1326"/>
  <c r="B1325"/>
  <c r="B1324"/>
  <c r="B1323"/>
  <c r="B1322"/>
  <c r="B1321"/>
  <c r="B1320"/>
  <c r="B1319"/>
  <c r="B1318"/>
  <c r="B1317"/>
  <c r="B1316"/>
  <c r="B1315"/>
  <c r="B1314"/>
  <c r="B1291"/>
  <c r="B1313"/>
  <c r="B1290"/>
  <c r="B1268"/>
  <c r="B1246"/>
  <c r="B1312"/>
  <c r="B1289"/>
  <c r="B1267"/>
  <c r="B1245"/>
  <c r="B1311"/>
  <c r="B1288"/>
  <c r="B1266"/>
  <c r="B1244"/>
  <c r="B1310"/>
  <c r="B1287"/>
  <c r="B1265"/>
  <c r="B1243"/>
  <c r="B1309"/>
  <c r="B1286"/>
  <c r="B1264"/>
  <c r="B1242"/>
  <c r="B1308"/>
  <c r="B1285"/>
  <c r="B1263"/>
  <c r="B1241"/>
  <c r="B1307"/>
  <c r="B1284"/>
  <c r="B1262"/>
  <c r="B1240"/>
  <c r="B1306"/>
  <c r="B1283"/>
  <c r="B1261"/>
  <c r="B1239"/>
  <c r="B1305"/>
  <c r="B1282"/>
  <c r="B1260"/>
  <c r="B1238"/>
  <c r="B1304"/>
  <c r="B1281"/>
  <c r="B1259"/>
  <c r="B1237"/>
  <c r="B1303"/>
  <c r="B1280"/>
  <c r="B1258"/>
  <c r="B1236"/>
  <c r="B1302"/>
  <c r="B1279"/>
  <c r="B1257"/>
  <c r="B1235"/>
  <c r="B1301"/>
  <c r="B1278"/>
  <c r="B1256"/>
  <c r="B1234"/>
  <c r="B1300"/>
  <c r="B1277"/>
  <c r="B1255"/>
  <c r="B1233"/>
  <c r="B1299"/>
  <c r="B1276"/>
  <c r="B1254"/>
  <c r="B1232"/>
  <c r="B1298"/>
  <c r="B1275"/>
  <c r="B1253"/>
  <c r="B1231"/>
  <c r="B1297"/>
  <c r="B1274"/>
  <c r="B1252"/>
  <c r="B1230"/>
  <c r="B1296"/>
  <c r="B1273"/>
  <c r="B1251"/>
  <c r="B1229"/>
  <c r="B1295"/>
  <c r="B1272"/>
  <c r="B1250"/>
  <c r="B1228"/>
  <c r="B1294"/>
  <c r="B1271"/>
  <c r="B1249"/>
  <c r="B1227"/>
  <c r="B1293"/>
  <c r="B1270"/>
  <c r="B1248"/>
  <c r="B1226"/>
  <c r="B1292"/>
  <c r="B1269"/>
  <c r="B1247"/>
  <c r="B1225"/>
  <c r="B1224"/>
  <c r="B1223"/>
  <c r="B1222"/>
  <c r="B1221"/>
  <c r="B1220"/>
  <c r="B1219"/>
  <c r="B1218"/>
  <c r="B1217"/>
  <c r="B1216"/>
  <c r="B1215"/>
  <c r="B1214"/>
  <c r="B1213"/>
  <c r="B1212"/>
  <c r="B1211"/>
  <c r="B1210"/>
  <c r="B1209"/>
  <c r="B1208"/>
  <c r="B1207"/>
  <c r="B1206"/>
  <c r="B1205"/>
  <c r="B1204"/>
  <c r="B1203"/>
  <c r="B1202"/>
  <c r="B1195"/>
  <c r="B1188"/>
  <c r="B1181"/>
  <c r="B1201"/>
  <c r="B1194"/>
  <c r="B1187"/>
  <c r="B1180"/>
  <c r="B1200"/>
  <c r="B1193"/>
  <c r="B1186"/>
  <c r="B1179"/>
  <c r="B1199"/>
  <c r="B1192"/>
  <c r="B1185"/>
  <c r="B1178"/>
  <c r="B1198"/>
  <c r="B1191"/>
  <c r="B1184"/>
  <c r="B1177"/>
  <c r="B1197"/>
  <c r="B1190"/>
  <c r="B1183"/>
  <c r="B1176"/>
  <c r="B1196"/>
  <c r="B1189"/>
  <c r="B1182"/>
  <c r="B1175"/>
  <c r="B1174"/>
  <c r="B1173"/>
  <c r="B1172"/>
  <c r="B1171"/>
  <c r="B1170"/>
  <c r="B1169"/>
  <c r="B1168"/>
  <c r="B1167"/>
  <c r="B1140"/>
  <c r="B1117"/>
  <c r="B1166"/>
  <c r="B1139"/>
  <c r="B1116"/>
  <c r="B1165"/>
  <c r="B1138"/>
  <c r="B1115"/>
  <c r="B1164"/>
  <c r="B1163"/>
  <c r="B1137"/>
  <c r="B1114"/>
  <c r="B1162"/>
  <c r="B1113"/>
  <c r="B1161"/>
  <c r="B1136"/>
  <c r="B1112"/>
  <c r="B1160"/>
  <c r="B1135"/>
  <c r="B1111"/>
  <c r="B1159"/>
  <c r="B1134"/>
  <c r="B1110"/>
  <c r="B1158"/>
  <c r="B1133"/>
  <c r="B1109"/>
  <c r="B1157"/>
  <c r="B1132"/>
  <c r="B1108"/>
  <c r="B1156"/>
  <c r="B1131"/>
  <c r="B1107"/>
  <c r="B1155"/>
  <c r="B1106"/>
  <c r="B1154"/>
  <c r="B1130"/>
  <c r="B1105"/>
  <c r="B1153"/>
  <c r="B1129"/>
  <c r="B1104"/>
  <c r="B1152"/>
  <c r="B1128"/>
  <c r="B1103"/>
  <c r="B1151"/>
  <c r="B1127"/>
  <c r="B1102"/>
  <c r="B1150"/>
  <c r="B1126"/>
  <c r="B1101"/>
  <c r="B1149"/>
  <c r="B1125"/>
  <c r="B1100"/>
  <c r="B1148"/>
  <c r="B1099"/>
  <c r="B1147"/>
  <c r="B1124"/>
  <c r="B1098"/>
  <c r="B1146"/>
  <c r="B1123"/>
  <c r="B1097"/>
  <c r="B1145"/>
  <c r="B1122"/>
  <c r="B1096"/>
  <c r="B1144"/>
  <c r="B1121"/>
  <c r="B1095"/>
  <c r="B1143"/>
  <c r="B1120"/>
  <c r="B1094"/>
  <c r="B1142"/>
  <c r="B1119"/>
  <c r="B1093"/>
  <c r="B1141"/>
  <c r="B1118"/>
  <c r="B1092"/>
  <c r="B1091"/>
  <c r="B1090"/>
  <c r="B1089"/>
  <c r="B1088"/>
  <c r="B1086"/>
  <c r="B1085"/>
  <c r="B1084"/>
  <c r="B1083"/>
  <c r="B1082"/>
  <c r="B1081"/>
  <c r="B1078"/>
  <c r="B1077"/>
  <c r="B1076"/>
  <c r="B1075"/>
  <c r="B1074"/>
  <c r="B1072"/>
  <c r="B1071"/>
  <c r="B1070"/>
  <c r="B1069"/>
  <c r="B1068"/>
  <c r="B1067"/>
  <c r="B1066"/>
  <c r="B1065"/>
  <c r="B1049"/>
  <c r="B1033"/>
  <c r="B1017"/>
  <c r="B1001"/>
  <c r="B985"/>
  <c r="B969"/>
  <c r="B1064"/>
  <c r="B1048"/>
  <c r="B1032"/>
  <c r="B1016"/>
  <c r="B1000"/>
  <c r="B984"/>
  <c r="B968"/>
  <c r="B1063"/>
  <c r="B1047"/>
  <c r="B1031"/>
  <c r="B1015"/>
  <c r="B999"/>
  <c r="B983"/>
  <c r="B967"/>
  <c r="B1062"/>
  <c r="B1046"/>
  <c r="B1030"/>
  <c r="B1014"/>
  <c r="B998"/>
  <c r="B982"/>
  <c r="B966"/>
  <c r="B1061"/>
  <c r="B1045"/>
  <c r="B1029"/>
  <c r="B1013"/>
  <c r="B997"/>
  <c r="B981"/>
  <c r="B965"/>
  <c r="B1060"/>
  <c r="B1044"/>
  <c r="B1028"/>
  <c r="B1012"/>
  <c r="B996"/>
  <c r="B980"/>
  <c r="B964"/>
  <c r="B1059"/>
  <c r="B1043"/>
  <c r="B1027"/>
  <c r="B1011"/>
  <c r="B995"/>
  <c r="B979"/>
  <c r="B963"/>
  <c r="B1058"/>
  <c r="B1042"/>
  <c r="B1026"/>
  <c r="B1010"/>
  <c r="B994"/>
  <c r="B978"/>
  <c r="B962"/>
  <c r="B1057"/>
  <c r="B1041"/>
  <c r="B1025"/>
  <c r="B1009"/>
  <c r="B993"/>
  <c r="B977"/>
  <c r="B961"/>
  <c r="B1056"/>
  <c r="B1040"/>
  <c r="B1024"/>
  <c r="B1008"/>
  <c r="B992"/>
  <c r="B976"/>
  <c r="B960"/>
  <c r="B1055"/>
  <c r="B1039"/>
  <c r="B1023"/>
  <c r="B1007"/>
  <c r="B991"/>
  <c r="B975"/>
  <c r="B959"/>
  <c r="B1054"/>
  <c r="B1038"/>
  <c r="B1022"/>
  <c r="B1006"/>
  <c r="B990"/>
  <c r="B974"/>
  <c r="B958"/>
  <c r="B1053"/>
  <c r="B1037"/>
  <c r="B1021"/>
  <c r="B1005"/>
  <c r="B989"/>
  <c r="B973"/>
  <c r="B957"/>
  <c r="B1052"/>
  <c r="B1036"/>
  <c r="B1020"/>
  <c r="B1004"/>
  <c r="B988"/>
  <c r="B972"/>
  <c r="B956"/>
  <c r="B1051"/>
  <c r="B1035"/>
  <c r="B1019"/>
  <c r="B1003"/>
  <c r="B987"/>
  <c r="B971"/>
  <c r="B955"/>
  <c r="B1050"/>
  <c r="B1034"/>
  <c r="B1018"/>
  <c r="B1002"/>
  <c r="B986"/>
  <c r="B970"/>
  <c r="B954"/>
  <c r="B953"/>
  <c r="B952"/>
  <c r="B951"/>
  <c r="B950"/>
  <c r="B949"/>
  <c r="B948"/>
  <c r="B947"/>
  <c r="B946"/>
  <c r="B945"/>
  <c r="B944"/>
  <c r="B943"/>
  <c r="B942"/>
  <c r="B941"/>
  <c r="B940"/>
  <c r="B939"/>
  <c r="B938"/>
  <c r="B937"/>
  <c r="B924"/>
  <c r="B936"/>
  <c r="B923"/>
  <c r="B935"/>
  <c r="B922"/>
  <c r="B934"/>
  <c r="B921"/>
  <c r="B933"/>
  <c r="B920"/>
  <c r="B932"/>
  <c r="B919"/>
  <c r="B931"/>
  <c r="B918"/>
  <c r="B930"/>
  <c r="B917"/>
  <c r="B929"/>
  <c r="B916"/>
  <c r="B928"/>
  <c r="B915"/>
  <c r="B927"/>
  <c r="B914"/>
  <c r="B926"/>
  <c r="B913"/>
  <c r="B925"/>
  <c r="B912"/>
  <c r="B911"/>
  <c r="B910"/>
  <c r="B909"/>
  <c r="B907"/>
  <c r="B883"/>
  <c r="B859"/>
  <c r="B835"/>
  <c r="B811"/>
  <c r="B906"/>
  <c r="B882"/>
  <c r="B858"/>
  <c r="B834"/>
  <c r="B810"/>
  <c r="B905"/>
  <c r="B881"/>
  <c r="B857"/>
  <c r="B833"/>
  <c r="B809"/>
  <c r="B904"/>
  <c r="B880"/>
  <c r="B856"/>
  <c r="B832"/>
  <c r="B808"/>
  <c r="B903"/>
  <c r="B879"/>
  <c r="B855"/>
  <c r="B831"/>
  <c r="B807"/>
  <c r="B902"/>
  <c r="B878"/>
  <c r="B854"/>
  <c r="B830"/>
  <c r="B806"/>
  <c r="B901"/>
  <c r="B877"/>
  <c r="B853"/>
  <c r="B829"/>
  <c r="B805"/>
  <c r="B900"/>
  <c r="B876"/>
  <c r="B852"/>
  <c r="B828"/>
  <c r="B804"/>
  <c r="B899"/>
  <c r="B875"/>
  <c r="B851"/>
  <c r="B827"/>
  <c r="B803"/>
  <c r="B898"/>
  <c r="B874"/>
  <c r="B850"/>
  <c r="B826"/>
  <c r="B802"/>
  <c r="B897"/>
  <c r="B873"/>
  <c r="B849"/>
  <c r="B825"/>
  <c r="B801"/>
  <c r="B896"/>
  <c r="B872"/>
  <c r="B848"/>
  <c r="B824"/>
  <c r="B800"/>
  <c r="B895"/>
  <c r="B871"/>
  <c r="B847"/>
  <c r="B823"/>
  <c r="B799"/>
  <c r="B894"/>
  <c r="B870"/>
  <c r="B846"/>
  <c r="B822"/>
  <c r="B798"/>
  <c r="B893"/>
  <c r="B869"/>
  <c r="B845"/>
  <c r="B821"/>
  <c r="B797"/>
  <c r="B892"/>
  <c r="B868"/>
  <c r="B844"/>
  <c r="B820"/>
  <c r="B796"/>
  <c r="B891"/>
  <c r="B867"/>
  <c r="B843"/>
  <c r="B819"/>
  <c r="B795"/>
  <c r="B890"/>
  <c r="B866"/>
  <c r="B842"/>
  <c r="B818"/>
  <c r="B794"/>
  <c r="B889"/>
  <c r="B865"/>
  <c r="B841"/>
  <c r="B817"/>
  <c r="B793"/>
  <c r="B888"/>
  <c r="B864"/>
  <c r="B840"/>
  <c r="B816"/>
  <c r="B792"/>
  <c r="B887"/>
  <c r="B863"/>
  <c r="B839"/>
  <c r="B815"/>
  <c r="B791"/>
  <c r="B886"/>
  <c r="B862"/>
  <c r="B838"/>
  <c r="B814"/>
  <c r="B790"/>
  <c r="B885"/>
  <c r="B861"/>
  <c r="B837"/>
  <c r="B813"/>
  <c r="B789"/>
  <c r="B884"/>
  <c r="B860"/>
  <c r="B836"/>
  <c r="B812"/>
  <c r="B788"/>
  <c r="B787"/>
  <c r="B786"/>
  <c r="B785"/>
  <c r="B784"/>
  <c r="B783"/>
  <c r="B782"/>
  <c r="B781"/>
  <c r="B780"/>
  <c r="B779"/>
  <c r="B778"/>
  <c r="B777"/>
  <c r="B776"/>
  <c r="B775"/>
  <c r="B774"/>
  <c r="B773"/>
  <c r="B772"/>
  <c r="B771"/>
  <c r="B770"/>
  <c r="B769"/>
  <c r="B768"/>
  <c r="B767"/>
  <c r="B766"/>
  <c r="B765"/>
  <c r="B764"/>
  <c r="B763" l="1"/>
  <c r="B762"/>
  <c r="B752"/>
  <c r="B743"/>
  <c r="B721"/>
  <c r="B699"/>
  <c r="B761"/>
  <c r="B751"/>
  <c r="B742"/>
  <c r="B733"/>
  <c r="B728"/>
  <c r="B720"/>
  <c r="B711"/>
  <c r="B704"/>
  <c r="B698"/>
  <c r="B760"/>
  <c r="B750"/>
  <c r="B741"/>
  <c r="B732"/>
  <c r="B727"/>
  <c r="B719"/>
  <c r="B710"/>
  <c r="B703"/>
  <c r="B697"/>
  <c r="B759"/>
  <c r="B749"/>
  <c r="B740"/>
  <c r="B718"/>
  <c r="B696"/>
  <c r="B758"/>
  <c r="B748"/>
  <c r="B739"/>
  <c r="B731"/>
  <c r="B726"/>
  <c r="B717"/>
  <c r="B709"/>
  <c r="B702"/>
  <c r="B695"/>
  <c r="B757"/>
  <c r="B747"/>
  <c r="B738"/>
  <c r="B730"/>
  <c r="B725"/>
  <c r="B716"/>
  <c r="B708"/>
  <c r="B701"/>
  <c r="B694"/>
  <c r="B756"/>
  <c r="B737"/>
  <c r="B715"/>
  <c r="B755"/>
  <c r="B746"/>
  <c r="B736"/>
  <c r="B729"/>
  <c r="B724"/>
  <c r="B714"/>
  <c r="B707"/>
  <c r="B700"/>
  <c r="B693"/>
  <c r="B754"/>
  <c r="B745"/>
  <c r="B735"/>
  <c r="B723"/>
  <c r="B713"/>
  <c r="B706"/>
  <c r="B692"/>
  <c r="B753"/>
  <c r="B744"/>
  <c r="B734"/>
  <c r="B722"/>
  <c r="B712"/>
  <c r="B705"/>
  <c r="B691"/>
  <c r="B690"/>
  <c r="B689"/>
  <c r="B688"/>
  <c r="B687"/>
  <c r="B686"/>
  <c r="B685"/>
  <c r="B684"/>
  <c r="B683"/>
  <c r="B682"/>
  <c r="B423"/>
  <c r="B422"/>
  <c r="B421"/>
  <c r="B420"/>
  <c r="B419"/>
  <c r="B418"/>
  <c r="B417"/>
  <c r="B416"/>
  <c r="B415"/>
  <c r="B414"/>
  <c r="B413"/>
  <c r="B412"/>
  <c r="B411"/>
  <c r="B410"/>
  <c r="B404"/>
  <c r="B409"/>
  <c r="B403"/>
  <c r="B408"/>
  <c r="B402"/>
  <c r="B407"/>
  <c r="B401"/>
  <c r="B406"/>
  <c r="B400"/>
  <c r="B405"/>
  <c r="B399"/>
  <c r="B398"/>
  <c r="B397"/>
  <c r="B396"/>
  <c r="B395"/>
  <c r="B394"/>
  <c r="B393"/>
  <c r="B392"/>
  <c r="B370"/>
  <c r="B348"/>
  <c r="B326"/>
  <c r="B391"/>
  <c r="B369"/>
  <c r="B347"/>
  <c r="B325"/>
  <c r="B390"/>
  <c r="B368"/>
  <c r="B346"/>
  <c r="B324"/>
  <c r="B389"/>
  <c r="B367"/>
  <c r="B345"/>
  <c r="B323"/>
  <c r="B388"/>
  <c r="B366"/>
  <c r="B344"/>
  <c r="B322"/>
  <c r="B387"/>
  <c r="B365"/>
  <c r="B343"/>
  <c r="B321"/>
  <c r="B386"/>
  <c r="B364"/>
  <c r="B342"/>
  <c r="B320"/>
  <c r="B385"/>
  <c r="B363"/>
  <c r="B341"/>
  <c r="B319"/>
  <c r="B384"/>
  <c r="B362"/>
  <c r="B340"/>
  <c r="B318"/>
  <c r="B383"/>
  <c r="B361"/>
  <c r="B339"/>
  <c r="B317"/>
  <c r="B382"/>
  <c r="B360"/>
  <c r="B338"/>
  <c r="B316"/>
  <c r="B381"/>
  <c r="B359"/>
  <c r="B337"/>
  <c r="B315"/>
  <c r="B380"/>
  <c r="B358"/>
  <c r="B336"/>
  <c r="B314"/>
  <c r="B379"/>
  <c r="B357"/>
  <c r="B335"/>
  <c r="B313"/>
  <c r="B378"/>
  <c r="B356"/>
  <c r="B334"/>
  <c r="B312"/>
  <c r="B377"/>
  <c r="B355"/>
  <c r="B333"/>
  <c r="B311"/>
  <c r="B376"/>
  <c r="B354"/>
  <c r="B332"/>
  <c r="B310"/>
  <c r="B375"/>
  <c r="B353"/>
  <c r="B331"/>
  <c r="B309"/>
  <c r="B374"/>
  <c r="B352"/>
  <c r="B330"/>
  <c r="B308"/>
  <c r="B373"/>
  <c r="B351"/>
  <c r="B329"/>
  <c r="B307"/>
  <c r="B372"/>
  <c r="B350"/>
  <c r="B328"/>
  <c r="B306"/>
  <c r="B371"/>
  <c r="B349"/>
  <c r="B327"/>
  <c r="B305"/>
  <c r="B304"/>
  <c r="B303"/>
  <c r="B302"/>
  <c r="B301"/>
  <c r="B300"/>
  <c r="B299"/>
  <c r="B298"/>
  <c r="B297"/>
  <c r="B296"/>
  <c r="B295"/>
  <c r="B294"/>
  <c r="B293"/>
  <c r="B292"/>
  <c r="B291"/>
  <c r="B290"/>
  <c r="B289"/>
  <c r="B288"/>
  <c r="B287"/>
  <c r="B286"/>
  <c r="B285"/>
  <c r="B284"/>
  <c r="B283"/>
  <c r="B282"/>
  <c r="B248"/>
  <c r="B214"/>
  <c r="B180"/>
  <c r="B281"/>
  <c r="B247"/>
  <c r="B213"/>
  <c r="B179"/>
  <c r="B280"/>
  <c r="B246"/>
  <c r="B212"/>
  <c r="B178"/>
  <c r="B279"/>
  <c r="B245"/>
  <c r="B211"/>
  <c r="B177"/>
  <c r="B278"/>
  <c r="B244"/>
  <c r="B210"/>
  <c r="B176"/>
  <c r="B277"/>
  <c r="B243"/>
  <c r="B209"/>
  <c r="B175"/>
  <c r="B276"/>
  <c r="B242"/>
  <c r="B208"/>
  <c r="B174"/>
  <c r="B275"/>
  <c r="B241"/>
  <c r="B207"/>
  <c r="B173"/>
  <c r="B274"/>
  <c r="B240"/>
  <c r="B206"/>
  <c r="B172"/>
  <c r="B273"/>
  <c r="B239"/>
  <c r="B205"/>
  <c r="B171"/>
  <c r="B272"/>
  <c r="B238"/>
  <c r="B204"/>
  <c r="B170"/>
  <c r="B271"/>
  <c r="B237"/>
  <c r="B203"/>
  <c r="B169"/>
  <c r="B270"/>
  <c r="B236"/>
  <c r="B202"/>
  <c r="B168"/>
  <c r="B269"/>
  <c r="B235"/>
  <c r="B201"/>
  <c r="B167"/>
  <c r="B268"/>
  <c r="B234"/>
  <c r="B200"/>
  <c r="B166"/>
  <c r="B267"/>
  <c r="B233"/>
  <c r="B199"/>
  <c r="B165"/>
  <c r="B266"/>
  <c r="B232"/>
  <c r="B198"/>
  <c r="B164"/>
  <c r="B265"/>
  <c r="B231"/>
  <c r="B197"/>
  <c r="B163"/>
  <c r="B264"/>
  <c r="B230"/>
  <c r="B196"/>
  <c r="B162"/>
  <c r="B263"/>
  <c r="B229"/>
  <c r="B195"/>
  <c r="B161"/>
  <c r="B262"/>
  <c r="B228"/>
  <c r="B194"/>
  <c r="B160"/>
  <c r="B261"/>
  <c r="B227"/>
  <c r="B193"/>
  <c r="B159"/>
  <c r="B260"/>
  <c r="B226"/>
  <c r="B192"/>
  <c r="B158"/>
  <c r="B259"/>
  <c r="B225"/>
  <c r="B191"/>
  <c r="B157"/>
  <c r="B258"/>
  <c r="B224"/>
  <c r="B190"/>
  <c r="B156"/>
  <c r="B257"/>
  <c r="B223"/>
  <c r="B189"/>
  <c r="B155"/>
  <c r="B256"/>
  <c r="B222"/>
  <c r="B188"/>
  <c r="B154"/>
  <c r="B255"/>
  <c r="B221"/>
  <c r="B187"/>
  <c r="B153"/>
  <c r="B254"/>
  <c r="B220"/>
  <c r="B186"/>
  <c r="B152"/>
  <c r="B253"/>
  <c r="B219"/>
  <c r="B185"/>
  <c r="B151"/>
  <c r="B252"/>
  <c r="B218"/>
  <c r="B184"/>
  <c r="B150"/>
  <c r="B251"/>
  <c r="B217"/>
  <c r="B183"/>
  <c r="B149"/>
  <c r="B250"/>
  <c r="B216"/>
  <c r="B182"/>
  <c r="B148"/>
  <c r="B249"/>
  <c r="B215"/>
  <c r="B181"/>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09"/>
  <c r="B106"/>
  <c r="B103"/>
  <c r="B111"/>
  <c r="B108"/>
  <c r="B105"/>
  <c r="B102"/>
  <c r="B110"/>
  <c r="B107"/>
  <c r="B104"/>
  <c r="B101"/>
  <c r="B100"/>
  <c r="B99"/>
  <c r="B98"/>
  <c r="B97"/>
  <c r="B79"/>
  <c r="B61"/>
  <c r="B43"/>
  <c r="B96"/>
  <c r="B78"/>
  <c r="B60"/>
  <c r="B42"/>
  <c r="B95"/>
  <c r="B77"/>
  <c r="B59"/>
  <c r="B41"/>
  <c r="B94"/>
  <c r="B76"/>
  <c r="B58"/>
  <c r="B40"/>
  <c r="B93"/>
  <c r="B75"/>
  <c r="B57"/>
  <c r="B39"/>
  <c r="B92"/>
  <c r="B74"/>
  <c r="B56"/>
  <c r="B38"/>
  <c r="B91"/>
  <c r="B73"/>
  <c r="B55"/>
  <c r="B37"/>
  <c r="B90"/>
  <c r="B72"/>
  <c r="B54"/>
  <c r="B36"/>
  <c r="B89"/>
  <c r="B71"/>
  <c r="B53"/>
  <c r="B35"/>
  <c r="B88"/>
  <c r="B70"/>
  <c r="B52"/>
  <c r="B34"/>
  <c r="B87"/>
  <c r="B69"/>
  <c r="B51"/>
  <c r="B33"/>
  <c r="B86"/>
  <c r="B68"/>
  <c r="B50"/>
  <c r="B32"/>
  <c r="B85"/>
  <c r="B67"/>
  <c r="B49"/>
  <c r="B31"/>
  <c r="B84"/>
  <c r="B66"/>
  <c r="B48"/>
  <c r="B30"/>
  <c r="B83"/>
  <c r="B65"/>
  <c r="B47"/>
  <c r="B29"/>
  <c r="B82"/>
  <c r="B64"/>
  <c r="B46"/>
  <c r="B28"/>
  <c r="B81"/>
  <c r="B63"/>
  <c r="B45"/>
  <c r="B27"/>
  <c r="B80"/>
  <c r="B62"/>
  <c r="B44"/>
  <c r="B26"/>
  <c r="B25"/>
  <c r="B24"/>
  <c r="B23"/>
  <c r="B22"/>
  <c r="B21"/>
  <c r="B20"/>
  <c r="B19"/>
  <c r="B18"/>
  <c r="B17"/>
  <c r="B16"/>
  <c r="B15"/>
  <c r="B14"/>
  <c r="B13"/>
  <c r="B12"/>
  <c r="B11"/>
  <c r="B10"/>
  <c r="B9"/>
  <c r="B8"/>
  <c r="B7"/>
  <c r="B6"/>
  <c r="B5"/>
  <c r="B4"/>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M24" i="65" l="1"/>
  <c r="AL24"/>
  <c r="AK24"/>
  <c r="AJ24"/>
  <c r="AI24"/>
  <c r="AH24"/>
  <c r="AF24"/>
  <c r="AE24"/>
  <c r="AD24"/>
  <c r="AC24"/>
  <c r="AB24"/>
  <c r="AA24"/>
  <c r="AM23"/>
  <c r="AL23"/>
  <c r="AK23"/>
  <c r="AJ23"/>
  <c r="AI23"/>
  <c r="AH23"/>
  <c r="AF23"/>
  <c r="AE23"/>
  <c r="AD23"/>
  <c r="AC23"/>
  <c r="AB23"/>
  <c r="AA23"/>
  <c r="AM10"/>
  <c r="AL10"/>
  <c r="AK10"/>
  <c r="AJ10"/>
  <c r="AI10"/>
  <c r="AH10"/>
  <c r="AF10"/>
  <c r="AE10"/>
  <c r="AD10"/>
  <c r="AC10"/>
  <c r="AB10"/>
  <c r="AA10"/>
  <c r="W23" l="1"/>
  <c r="W24"/>
  <c r="W10"/>
  <c r="AA12" i="96" l="1"/>
  <c r="Z12"/>
  <c r="AA6"/>
  <c r="BG42" i="95" l="1"/>
  <c r="BF42"/>
  <c r="BE42"/>
  <c r="BD42"/>
  <c r="BC42"/>
  <c r="BB42"/>
  <c r="BA42"/>
  <c r="AZ42"/>
  <c r="AY42"/>
  <c r="AX42"/>
  <c r="AW42"/>
  <c r="AV42"/>
  <c r="BG41"/>
  <c r="BF41"/>
  <c r="BE41"/>
  <c r="BD41"/>
  <c r="BC41"/>
  <c r="BB41"/>
  <c r="BA41"/>
  <c r="AZ41"/>
  <c r="AY41"/>
  <c r="AX41"/>
  <c r="AW41"/>
  <c r="AV41"/>
  <c r="BG40"/>
  <c r="BF40"/>
  <c r="BE40"/>
  <c r="BD40"/>
  <c r="BC40"/>
  <c r="BB40"/>
  <c r="BA40"/>
  <c r="AZ40"/>
  <c r="AY40"/>
  <c r="AX40"/>
  <c r="AW40"/>
  <c r="AV40"/>
  <c r="BG37"/>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c r="BE31"/>
  <c r="BD31"/>
  <c r="BC31"/>
  <c r="BB31"/>
  <c r="BA31"/>
  <c r="AZ31"/>
  <c r="AY31"/>
  <c r="AX31"/>
  <c r="AW31"/>
  <c r="AV31"/>
  <c r="BG29"/>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c r="BE25"/>
  <c r="BD25"/>
  <c r="BC25"/>
  <c r="BB25"/>
  <c r="BA25"/>
  <c r="AZ25"/>
  <c r="AY25"/>
  <c r="AX25"/>
  <c r="AW25"/>
  <c r="AV25"/>
  <c r="BG24"/>
  <c r="BF24"/>
  <c r="BE24"/>
  <c r="BD24"/>
  <c r="BC24"/>
  <c r="BB24"/>
  <c r="BA24"/>
  <c r="AZ24"/>
  <c r="AY24"/>
  <c r="AX24"/>
  <c r="AW24"/>
  <c r="AV24"/>
  <c r="BG23"/>
  <c r="BF23"/>
  <c r="BE23"/>
  <c r="BD23"/>
  <c r="BC23"/>
  <c r="BB23"/>
  <c r="BA23"/>
  <c r="AZ23"/>
  <c r="AY23"/>
  <c r="AX23"/>
  <c r="AW23"/>
  <c r="AV23"/>
  <c r="BG20"/>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c r="BE18"/>
  <c r="BD18"/>
  <c r="BC18"/>
  <c r="BB18"/>
  <c r="BA18"/>
  <c r="AZ18"/>
  <c r="AY18"/>
  <c r="AX18"/>
  <c r="AW18"/>
  <c r="AV18"/>
  <c r="BG17"/>
  <c r="BF17"/>
  <c r="BE17"/>
  <c r="BD17"/>
  <c r="BC17"/>
  <c r="BB17"/>
  <c r="BA17"/>
  <c r="AZ17"/>
  <c r="AY17"/>
  <c r="AX17"/>
  <c r="AW17"/>
  <c r="AV17"/>
  <c r="BG16"/>
  <c r="BF16"/>
  <c r="BE16"/>
  <c r="BD16"/>
  <c r="BC16"/>
  <c r="BB16"/>
  <c r="BA16"/>
  <c r="AZ16"/>
  <c r="AY16"/>
  <c r="AX16"/>
  <c r="AW16"/>
  <c r="AV16"/>
  <c r="BG15"/>
  <c r="BF15"/>
  <c r="BE15"/>
  <c r="BD15"/>
  <c r="BC15"/>
  <c r="BB15"/>
  <c r="BA15"/>
  <c r="AZ15"/>
  <c r="AY15"/>
  <c r="AX15"/>
  <c r="AW15"/>
  <c r="AV15"/>
  <c r="BG14"/>
  <c r="BF14"/>
  <c r="BE14"/>
  <c r="BD14"/>
  <c r="BC14"/>
  <c r="BB14"/>
  <c r="BA14"/>
  <c r="AZ14"/>
  <c r="AY14"/>
  <c r="AX14"/>
  <c r="AW14"/>
  <c r="AV14"/>
  <c r="BD11"/>
  <c r="BC11"/>
  <c r="BB11"/>
  <c r="AX11"/>
  <c r="AW11"/>
  <c r="AV11"/>
  <c r="BG10"/>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c r="BE9"/>
  <c r="BD9"/>
  <c r="BC9"/>
  <c r="BB9"/>
  <c r="BA9"/>
  <c r="AZ9"/>
  <c r="AY9"/>
  <c r="AX9"/>
  <c r="AW9"/>
  <c r="AV9"/>
  <c r="BG8"/>
  <c r="BF8"/>
  <c r="BE8"/>
  <c r="BD8"/>
  <c r="BC8"/>
  <c r="BB8"/>
  <c r="BA8"/>
  <c r="AZ8"/>
  <c r="AY8"/>
  <c r="AX8"/>
  <c r="AW8"/>
  <c r="AV8"/>
  <c r="B424" i="97" l="1"/>
  <c r="B597"/>
  <c r="B512"/>
  <c r="B600"/>
  <c r="B514"/>
  <c r="B515"/>
  <c r="B516"/>
  <c r="B431"/>
  <c r="B518"/>
  <c r="B434"/>
  <c r="B521"/>
  <c r="B522"/>
  <c r="B440"/>
  <c r="B613"/>
  <c r="B617"/>
  <c r="B531"/>
  <c r="B446"/>
  <c r="B532"/>
  <c r="B619"/>
  <c r="B447"/>
  <c r="B533"/>
  <c r="B620"/>
  <c r="B449"/>
  <c r="B450"/>
  <c r="B535"/>
  <c r="B622"/>
  <c r="B451"/>
  <c r="B536"/>
  <c r="B623"/>
  <c r="B452"/>
  <c r="B537"/>
  <c r="B624"/>
  <c r="B453"/>
  <c r="B538"/>
  <c r="B625"/>
  <c r="B454"/>
  <c r="B539"/>
  <c r="B626"/>
  <c r="B456"/>
  <c r="B541"/>
  <c r="B628"/>
  <c r="B457"/>
  <c r="B542"/>
  <c r="B629"/>
  <c r="B458"/>
  <c r="B543"/>
  <c r="B630"/>
  <c r="B462"/>
  <c r="B547"/>
  <c r="B634"/>
  <c r="B466"/>
  <c r="B551"/>
  <c r="B638"/>
  <c r="B467"/>
  <c r="B552"/>
  <c r="B639"/>
  <c r="B511"/>
  <c r="B601"/>
  <c r="B430"/>
  <c r="B517"/>
  <c r="B432"/>
  <c r="B607"/>
  <c r="B608"/>
  <c r="B530"/>
  <c r="B468"/>
  <c r="B640"/>
  <c r="B641"/>
  <c r="B471"/>
  <c r="B556"/>
  <c r="B472"/>
  <c r="B557"/>
  <c r="B643"/>
  <c r="B473"/>
  <c r="B558"/>
  <c r="B644"/>
  <c r="B474"/>
  <c r="B559"/>
  <c r="B645"/>
  <c r="B475"/>
  <c r="B560"/>
  <c r="B646"/>
  <c r="B476"/>
  <c r="B561"/>
  <c r="B647"/>
  <c r="B478"/>
  <c r="B563"/>
  <c r="B649"/>
  <c r="B479"/>
  <c r="B564"/>
  <c r="B650"/>
  <c r="B480"/>
  <c r="B565"/>
  <c r="B651"/>
  <c r="B484"/>
  <c r="B569"/>
  <c r="B655"/>
  <c r="B488"/>
  <c r="B573"/>
  <c r="B659"/>
  <c r="B489"/>
  <c r="B574"/>
  <c r="B660"/>
  <c r="B425"/>
  <c r="B598"/>
  <c r="B427"/>
  <c r="B428"/>
  <c r="B429"/>
  <c r="B602"/>
  <c r="B603"/>
  <c r="B604"/>
  <c r="B605"/>
  <c r="B520"/>
  <c r="B435"/>
  <c r="B436"/>
  <c r="B609"/>
  <c r="B526"/>
  <c r="B444"/>
  <c r="B445"/>
  <c r="B618"/>
  <c r="B553"/>
  <c r="B469"/>
  <c r="B554"/>
  <c r="B490"/>
  <c r="B575"/>
  <c r="B661"/>
  <c r="B491"/>
  <c r="B576"/>
  <c r="B662"/>
  <c r="B578"/>
  <c r="B493"/>
  <c r="B579"/>
  <c r="B664"/>
  <c r="B494"/>
  <c r="B580"/>
  <c r="B665"/>
  <c r="B495"/>
  <c r="B581"/>
  <c r="B666"/>
  <c r="B496"/>
  <c r="B582"/>
  <c r="B667"/>
  <c r="B497"/>
  <c r="B583"/>
  <c r="B668"/>
  <c r="B499"/>
  <c r="B585"/>
  <c r="B670"/>
  <c r="B500"/>
  <c r="B586"/>
  <c r="B671"/>
  <c r="B501"/>
  <c r="B587"/>
  <c r="B672"/>
  <c r="B505"/>
  <c r="B591"/>
  <c r="B676"/>
  <c r="B509"/>
  <c r="B595"/>
  <c r="B680"/>
  <c r="B510"/>
  <c r="B596"/>
  <c r="B681"/>
  <c r="AS35" i="95"/>
  <c r="BG3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c r="Z17"/>
  <c r="Y17"/>
  <c r="Z15"/>
  <c r="Y15"/>
  <c r="Z14"/>
  <c r="Y14"/>
  <c r="Z13"/>
  <c r="Y13"/>
  <c r="Z12"/>
  <c r="Y12"/>
  <c r="Z10"/>
  <c r="Y10"/>
  <c r="Z9"/>
  <c r="Y9"/>
  <c r="Z8"/>
  <c r="Y8"/>
  <c r="Z7"/>
  <c r="Y7"/>
  <c r="X19"/>
  <c r="W19"/>
  <c r="V19"/>
  <c r="U19"/>
  <c r="T19"/>
  <c r="X17"/>
  <c r="W17"/>
  <c r="V17"/>
  <c r="U17"/>
  <c r="T17"/>
  <c r="X15"/>
  <c r="W15"/>
  <c r="V15"/>
  <c r="U15"/>
  <c r="T15"/>
  <c r="X14"/>
  <c r="W14"/>
  <c r="V14"/>
  <c r="U14"/>
  <c r="T14"/>
  <c r="X13"/>
  <c r="W13"/>
  <c r="V13"/>
  <c r="U13"/>
  <c r="T13"/>
  <c r="X12"/>
  <c r="W12"/>
  <c r="V12"/>
  <c r="U12"/>
  <c r="T12"/>
  <c r="X10"/>
  <c r="W10"/>
  <c r="V10"/>
  <c r="U10"/>
  <c r="T10"/>
  <c r="X9"/>
  <c r="W9"/>
  <c r="V9"/>
  <c r="U9"/>
  <c r="T9"/>
  <c r="B53"/>
  <c r="B54" s="1"/>
  <c r="B55" s="1"/>
  <c r="B56" s="1"/>
  <c r="B57" s="1"/>
  <c r="B58" s="1"/>
  <c r="Q19" l="1"/>
  <c r="Q13"/>
  <c r="Q12"/>
  <c r="Q15"/>
  <c r="Q10"/>
  <c r="Q9"/>
  <c r="Q14"/>
  <c r="Q17"/>
  <c r="M36" i="70" l="1"/>
  <c r="J36" s="1"/>
  <c r="M35"/>
  <c r="J35" s="1"/>
  <c r="M32" i="69"/>
  <c r="J32" s="1"/>
  <c r="M31"/>
  <c r="J31" s="1"/>
  <c r="M22"/>
  <c r="J22" s="1"/>
  <c r="M20"/>
  <c r="J20" s="1"/>
  <c r="J11"/>
  <c r="M13"/>
  <c r="M12"/>
  <c r="J12" s="1"/>
  <c r="M11"/>
  <c r="Q13"/>
  <c r="G14" i="34" l="1"/>
  <c r="G2302" i="97" s="1"/>
  <c r="G21" i="34"/>
  <c r="G2307" i="97" s="1"/>
  <c r="G28" i="34"/>
  <c r="G2312" i="97" s="1"/>
  <c r="G38" i="34"/>
  <c r="G2317" i="97" s="1"/>
  <c r="T37" i="33" l="1"/>
  <c r="O31"/>
  <c r="N31"/>
  <c r="K31" l="1"/>
  <c r="G12" i="14"/>
  <c r="G943" i="97" s="1"/>
  <c r="H12" i="14"/>
  <c r="G959" i="97" s="1"/>
  <c r="I12" i="14"/>
  <c r="G975" i="97" s="1"/>
  <c r="J12" i="14"/>
  <c r="G991" i="97" s="1"/>
  <c r="K12" i="14"/>
  <c r="G1007" i="97" s="1"/>
  <c r="L12" i="14"/>
  <c r="G1023" i="97" s="1"/>
  <c r="M12" i="14"/>
  <c r="G1039" i="97" s="1"/>
  <c r="G19" i="14"/>
  <c r="G948" i="97" s="1"/>
  <c r="H19" i="14"/>
  <c r="G964" i="97" s="1"/>
  <c r="I19" i="14"/>
  <c r="G980" i="97" s="1"/>
  <c r="J19" i="14"/>
  <c r="G996" i="97" s="1"/>
  <c r="K19" i="14"/>
  <c r="G1012" i="97" s="1"/>
  <c r="L19" i="14"/>
  <c r="G1028" i="97" s="1"/>
  <c r="M19" i="14"/>
  <c r="G1044" i="97" s="1"/>
  <c r="G22" i="14"/>
  <c r="G950" i="97" s="1"/>
  <c r="H22" i="14"/>
  <c r="G966" i="97" s="1"/>
  <c r="I22" i="14"/>
  <c r="G982" i="97" s="1"/>
  <c r="J22" i="14"/>
  <c r="G998" i="97" s="1"/>
  <c r="K22" i="14"/>
  <c r="G1014" i="97" s="1"/>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I31" i="6"/>
  <c r="G200" i="97" s="1"/>
  <c r="G43" i="6"/>
  <c r="G142" i="97" s="1"/>
  <c r="H43" i="6"/>
  <c r="G176" i="97" s="1"/>
  <c r="I43" i="6"/>
  <c r="G210" i="97" s="1"/>
  <c r="G9" i="4"/>
  <c r="G7" i="97" s="1"/>
  <c r="H9" i="4"/>
  <c r="G29" i="97" s="1"/>
  <c r="I9" i="4"/>
  <c r="G47" i="97" s="1"/>
  <c r="I20" i="4"/>
  <c r="G55" i="97" s="1"/>
  <c r="G29" i="4"/>
  <c r="G21" i="97" s="1"/>
  <c r="H29" i="4"/>
  <c r="G43" i="97" s="1"/>
  <c r="I29" i="4"/>
  <c r="G61" i="97" s="1"/>
  <c r="G36" i="4"/>
  <c r="G25" i="97" s="1"/>
  <c r="L21" i="14" l="1"/>
  <c r="G1029" i="97" s="1"/>
  <c r="H21" i="14"/>
  <c r="G965" i="97" s="1"/>
  <c r="G21" i="14"/>
  <c r="G949" i="97" s="1"/>
  <c r="H14" i="13"/>
  <c r="G920" i="97" s="1"/>
  <c r="G31" i="6"/>
  <c r="G132" i="97" s="1"/>
  <c r="H31" i="6"/>
  <c r="G166" i="97" s="1"/>
  <c r="I45" i="6"/>
  <c r="G211" i="97" s="1"/>
  <c r="G20" i="4"/>
  <c r="G15" i="97" s="1"/>
  <c r="H20" i="4"/>
  <c r="G37" i="97" s="1"/>
  <c r="I15" i="4"/>
  <c r="G52" i="97" s="1"/>
  <c r="H15" i="4"/>
  <c r="G34" i="97" s="1"/>
  <c r="G15" i="4"/>
  <c r="G12" i="97" s="1"/>
  <c r="J21" i="14"/>
  <c r="G997" i="97" s="1"/>
  <c r="M21" i="14"/>
  <c r="G1045"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H19" i="13" l="1"/>
  <c r="G923" i="97" s="1"/>
  <c r="H45" i="6"/>
  <c r="G177" i="97" s="1"/>
  <c r="G45" i="6"/>
  <c r="G143" i="97" s="1"/>
  <c r="H18" i="4"/>
  <c r="G36" i="97" s="1"/>
  <c r="G18" i="4"/>
  <c r="G14" i="97" s="1"/>
  <c r="I18" i="4"/>
  <c r="G54" i="97" s="1"/>
  <c r="G49" i="76"/>
  <c r="G5189" i="97" s="1"/>
  <c r="H49" i="76"/>
  <c r="G5237" i="97" s="1"/>
  <c r="I49" i="76"/>
  <c r="G5285" i="97" s="1"/>
  <c r="H33" i="76"/>
  <c r="G5224" i="97" s="1"/>
  <c r="I33" i="76"/>
  <c r="G5272" i="97" s="1"/>
  <c r="G33" i="76"/>
  <c r="G5176" i="97" s="1"/>
  <c r="I15" i="76"/>
  <c r="G5257" i="97" s="1"/>
  <c r="H15" i="76"/>
  <c r="G5209" i="97" s="1"/>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5161" l="1"/>
  <c r="J15" i="76"/>
  <c r="G5305" i="97" s="1"/>
  <c r="G22" i="4"/>
  <c r="G17" i="97" s="1"/>
  <c r="I22" i="4"/>
  <c r="G57" i="97" s="1"/>
  <c r="H22" i="4"/>
  <c r="G39"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H18" i="75"/>
  <c r="G5036" i="97" s="1"/>
  <c r="I18" i="75"/>
  <c r="G5058" i="97" s="1"/>
  <c r="K18" i="75"/>
  <c r="G5102" i="97" s="1"/>
  <c r="L18" i="75"/>
  <c r="G5124" i="97" s="1"/>
  <c r="M18" i="75"/>
  <c r="G5137" i="97" s="1"/>
  <c r="J18" i="75"/>
  <c r="G5080" i="97" s="1"/>
  <c r="G18" i="75"/>
  <c r="G5014" i="97" s="1"/>
  <c r="L47" i="76"/>
  <c r="G5392" i="97" s="1"/>
  <c r="G35" i="76"/>
  <c r="G5178" i="97" s="1"/>
  <c r="N16" i="75"/>
  <c r="G5148" i="97" s="1"/>
  <c r="G5163" l="1"/>
  <c r="J17" i="76"/>
  <c r="G5307" i="97" s="1"/>
  <c r="AF17" i="76"/>
  <c r="K51"/>
  <c r="G5370" i="97" s="1"/>
  <c r="L49" i="76"/>
  <c r="G5394" i="97" s="1"/>
  <c r="J51" i="76"/>
  <c r="G5335" i="97" s="1"/>
  <c r="J35" i="76"/>
  <c r="G5322" i="97" s="1"/>
  <c r="K33" i="76"/>
  <c r="G5355" i="97" s="1"/>
  <c r="I19" i="76"/>
  <c r="G5261" i="97" s="1"/>
  <c r="H19" i="76"/>
  <c r="G5213" i="97" s="1"/>
  <c r="G19" i="76"/>
  <c r="L20" i="75"/>
  <c r="G5126" i="97" s="1"/>
  <c r="J20" i="75"/>
  <c r="G5082" i="97" s="1"/>
  <c r="I20" i="75"/>
  <c r="G5060" i="97" s="1"/>
  <c r="M20" i="75"/>
  <c r="G5139" i="97" s="1"/>
  <c r="K20" i="75"/>
  <c r="G5104" i="97" s="1"/>
  <c r="H20" i="75"/>
  <c r="G5038" i="97" s="1"/>
  <c r="G20" i="75"/>
  <c r="G5016" i="97" s="1"/>
  <c r="CH21" i="68"/>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G5165" i="97" l="1"/>
  <c r="J19" i="76"/>
  <c r="G5309" i="97" s="1"/>
  <c r="AF49" i="76"/>
  <c r="K35"/>
  <c r="G5357" i="97" s="1"/>
  <c r="L33" i="76"/>
  <c r="G5381" i="97" s="1"/>
  <c r="G12" i="67"/>
  <c r="G4402" i="97" s="1"/>
  <c r="M33" i="76" l="1"/>
  <c r="G5407" i="97" s="1"/>
  <c r="L35" i="76"/>
  <c r="G5383" i="97" s="1"/>
  <c r="O31" i="76"/>
  <c r="G5431" i="97" s="1"/>
  <c r="O32" i="33" l="1"/>
  <c r="N33" i="76"/>
  <c r="G5420" i="97" s="1"/>
  <c r="M35" i="76"/>
  <c r="G5409" i="97" s="1"/>
  <c r="N32" i="33"/>
  <c r="K32" s="1"/>
  <c r="N35" i="76" l="1"/>
  <c r="G5422" i="97" s="1"/>
  <c r="O33" i="76"/>
  <c r="G5433" i="97" s="1"/>
  <c r="N33" i="33"/>
  <c r="O33"/>
  <c r="AF33" i="76" l="1"/>
  <c r="N34" i="33"/>
  <c r="K33"/>
  <c r="O34"/>
  <c r="O7" i="96"/>
  <c r="B26"/>
  <c r="N7"/>
  <c r="I1"/>
  <c r="B74" i="95"/>
  <c r="B72"/>
  <c r="L42"/>
  <c r="L35" s="1"/>
  <c r="G549" i="97" s="1"/>
  <c r="K42" i="95"/>
  <c r="K35" s="1"/>
  <c r="G528" i="97" s="1"/>
  <c r="H42" i="95"/>
  <c r="G42"/>
  <c r="J10"/>
  <c r="G492" i="97" s="1"/>
  <c r="K34" i="33" l="1"/>
  <c r="Y11" i="95"/>
  <c r="L9"/>
  <c r="G533" i="97" s="1"/>
  <c r="I27" i="95"/>
  <c r="G482" i="97" s="1"/>
  <c r="L31" i="95"/>
  <c r="G547" i="97" s="1"/>
  <c r="J20" i="95"/>
  <c r="G498" i="97" s="1"/>
  <c r="O35" i="33"/>
  <c r="N35"/>
  <c r="S37"/>
  <c r="Q37" s="1"/>
  <c r="C33" i="2"/>
  <c r="K7" i="96"/>
  <c r="J29" i="95"/>
  <c r="G504" i="97" s="1"/>
  <c r="G29" i="95"/>
  <c r="G439" i="97" s="1"/>
  <c r="B78" i="95"/>
  <c r="B77"/>
  <c r="B76"/>
  <c r="B75"/>
  <c r="B73"/>
  <c r="B71"/>
  <c r="B70"/>
  <c r="B69"/>
  <c r="B68"/>
  <c r="B67"/>
  <c r="B65"/>
  <c r="B64"/>
  <c r="B63"/>
  <c r="B62"/>
  <c r="B61"/>
  <c r="B60"/>
  <c r="B59"/>
  <c r="B58"/>
  <c r="B57"/>
  <c r="B54"/>
  <c r="H35"/>
  <c r="G464" i="97" s="1"/>
  <c r="G35" i="95"/>
  <c r="G442" i="97" s="1"/>
  <c r="AQ2" i="95"/>
  <c r="R1"/>
  <c r="J40" l="1"/>
  <c r="G509" i="97" s="1"/>
  <c r="K9" i="95"/>
  <c r="L10"/>
  <c r="G534" i="97" s="1"/>
  <c r="K8" i="95"/>
  <c r="I42"/>
  <c r="I35" s="1"/>
  <c r="G486" i="97" s="1"/>
  <c r="I20" i="95"/>
  <c r="G477" i="97" s="1"/>
  <c r="O20" i="95"/>
  <c r="G606" i="97" s="1"/>
  <c r="G33" i="95"/>
  <c r="G441" i="97" s="1"/>
  <c r="J33" i="95"/>
  <c r="G506" i="97" s="1"/>
  <c r="T31" i="95"/>
  <c r="T23"/>
  <c r="T15"/>
  <c r="T18"/>
  <c r="T16"/>
  <c r="J37" i="33"/>
  <c r="K35"/>
  <c r="T41" i="95"/>
  <c r="T40"/>
  <c r="T25"/>
  <c r="T8"/>
  <c r="T24"/>
  <c r="T11"/>
  <c r="T27"/>
  <c r="T14"/>
  <c r="T17"/>
  <c r="T10"/>
  <c r="AA2" i="8"/>
  <c r="AA2" i="7"/>
  <c r="AA2" i="6"/>
  <c r="AA2" i="5"/>
  <c r="H8" i="95" l="1"/>
  <c r="G446" i="97" s="1"/>
  <c r="G511"/>
  <c r="G512"/>
  <c r="H9" i="95"/>
  <c r="G447" i="97" s="1"/>
  <c r="J42" i="95"/>
  <c r="J35" s="1"/>
  <c r="G507" i="97" s="1"/>
  <c r="I29" i="95"/>
  <c r="O29"/>
  <c r="L20"/>
  <c r="G540" i="97" s="1"/>
  <c r="K10" i="95"/>
  <c r="G513" i="97" s="1"/>
  <c r="G37" i="95"/>
  <c r="G443" i="97" s="1"/>
  <c r="C13" i="2"/>
  <c r="T9" i="95"/>
  <c r="J37"/>
  <c r="G508" i="97" s="1"/>
  <c r="I1" i="23"/>
  <c r="O33" i="95" l="1"/>
  <c r="G612" i="97"/>
  <c r="I33" i="95"/>
  <c r="G485" i="97" s="1"/>
  <c r="G483"/>
  <c r="K20" i="95"/>
  <c r="G519" i="97" s="1"/>
  <c r="L29" i="95"/>
  <c r="G546" i="97" s="1"/>
  <c r="H10" i="95"/>
  <c r="G448" i="97" s="1"/>
  <c r="G11" i="28"/>
  <c r="G1635" i="97" s="1"/>
  <c r="I11" i="28"/>
  <c r="G1647" i="97" s="1"/>
  <c r="G13" i="27"/>
  <c r="G1581" i="97" s="1"/>
  <c r="G51" i="19"/>
  <c r="G1465" i="97" s="1"/>
  <c r="J48" i="19"/>
  <c r="G1525" i="97" s="1"/>
  <c r="J45" i="19"/>
  <c r="G1523" i="97" s="1"/>
  <c r="J43" i="15"/>
  <c r="G1163" i="97" s="1"/>
  <c r="N7" i="14"/>
  <c r="G1050" i="97" s="1"/>
  <c r="J16" i="8"/>
  <c r="G419" i="97" s="1"/>
  <c r="I37" i="95" l="1"/>
  <c r="G487" i="97" s="1"/>
  <c r="O37" i="95"/>
  <c r="G616" i="97" s="1"/>
  <c r="G614"/>
  <c r="H20" i="95"/>
  <c r="G455" i="97" s="1"/>
  <c r="L33" i="95"/>
  <c r="G548" i="97" s="1"/>
  <c r="K29" i="95"/>
  <c r="G525" i="97" s="1"/>
  <c r="G9" i="19"/>
  <c r="G1445" i="97" s="1"/>
  <c r="J49" i="15"/>
  <c r="G1167" i="97" s="1"/>
  <c r="L37" i="95" l="1"/>
  <c r="G550" i="97" s="1"/>
  <c r="K33" i="95"/>
  <c r="G527" i="97" s="1"/>
  <c r="H29" i="95"/>
  <c r="G461" i="97" s="1"/>
  <c r="H14" i="73"/>
  <c r="G4974" i="97" s="1"/>
  <c r="G14" i="73"/>
  <c r="G4959" i="97" s="1"/>
  <c r="K37" i="95" l="1"/>
  <c r="G529" i="97" s="1"/>
  <c r="H33" i="95"/>
  <c r="G463" i="97" s="1"/>
  <c r="H37" i="95" l="1"/>
  <c r="G465" i="97" s="1"/>
  <c r="O45" i="19" l="1"/>
  <c r="AA45" l="1"/>
  <c r="J45" i="15"/>
  <c r="G1165" i="97" s="1"/>
  <c r="AY6" i="11" l="1"/>
  <c r="I30" i="18" l="1"/>
  <c r="G1438" i="97" s="1"/>
  <c r="G30" i="18"/>
  <c r="G1387" i="97" s="1"/>
  <c r="I29" i="18"/>
  <c r="G1437" i="97" s="1"/>
  <c r="G29" i="18"/>
  <c r="G1386" i="97" s="1"/>
  <c r="H28" i="17"/>
  <c r="G1289" i="97" s="1"/>
  <c r="F28" i="17"/>
  <c r="G1245" i="97" s="1"/>
  <c r="E28" i="17"/>
  <c r="G1223" i="97" s="1"/>
  <c r="Q28" i="17"/>
  <c r="I27"/>
  <c r="G1311" i="97" s="1"/>
  <c r="G27" i="17"/>
  <c r="G1266" i="97" s="1"/>
  <c r="O28" i="17" l="1"/>
  <c r="P28"/>
  <c r="I28"/>
  <c r="G1312" i="97" s="1"/>
  <c r="L28" i="17"/>
  <c r="AF40" i="15" l="1"/>
  <c r="T7" i="27" l="1"/>
  <c r="T23"/>
  <c r="T20"/>
  <c r="T16"/>
  <c r="T12"/>
  <c r="T11"/>
  <c r="T10"/>
  <c r="O49" i="15"/>
  <c r="O45"/>
  <c r="O43"/>
  <c r="J17" i="32"/>
  <c r="G2254" i="97" s="1"/>
  <c r="J14" i="32"/>
  <c r="G2252" i="97" s="1"/>
  <c r="J13" i="32"/>
  <c r="G2251" i="97" s="1"/>
  <c r="J12" i="32"/>
  <c r="G2250" i="97" s="1"/>
  <c r="J11" i="32"/>
  <c r="G2249" i="97" s="1"/>
  <c r="J7" i="32"/>
  <c r="G2246" i="97" s="1"/>
  <c r="I8" i="32" l="1"/>
  <c r="I5"/>
  <c r="G2233" i="97" s="1"/>
  <c r="H11" i="28"/>
  <c r="G1641" i="97" s="1"/>
  <c r="J13" i="27"/>
  <c r="G1607" i="97" s="1"/>
  <c r="I13" i="27"/>
  <c r="G1598" i="97" s="1"/>
  <c r="J50" i="19"/>
  <c r="G1527" i="97" s="1"/>
  <c r="J49" i="19"/>
  <c r="G1526" i="97" s="1"/>
  <c r="I51" i="19"/>
  <c r="G1520" i="97" s="1"/>
  <c r="J19" i="27" l="1"/>
  <c r="G1609" i="97" s="1"/>
  <c r="H21" i="19"/>
  <c r="G1478" i="97" s="1"/>
  <c r="G21" i="19"/>
  <c r="G1453" i="97" s="1"/>
  <c r="I20" i="19"/>
  <c r="G1502" i="97" s="1"/>
  <c r="I19" i="19"/>
  <c r="G1501" i="97" s="1"/>
  <c r="I18" i="19"/>
  <c r="G1500" i="97" s="1"/>
  <c r="G40" i="15"/>
  <c r="M9" i="11"/>
  <c r="O9"/>
  <c r="I35" i="15"/>
  <c r="G1136" i="97" s="1"/>
  <c r="H35" i="15"/>
  <c r="G1112" i="97" s="1"/>
  <c r="G35" i="15"/>
  <c r="G1086" i="97" s="1"/>
  <c r="J34" i="15"/>
  <c r="G1160" i="97" s="1"/>
  <c r="J33" i="15"/>
  <c r="G1159" i="97" s="1"/>
  <c r="J32" i="15"/>
  <c r="G1158" i="97" s="1"/>
  <c r="J31" i="15"/>
  <c r="G1157" i="97" s="1"/>
  <c r="J30" i="15"/>
  <c r="G1156" i="97" s="1"/>
  <c r="J27" i="14"/>
  <c r="G1001" i="97" s="1"/>
  <c r="K25" i="12"/>
  <c r="G876" i="97" s="1"/>
  <c r="K14" i="12"/>
  <c r="G868" i="97" s="1"/>
  <c r="I44" i="15" l="1"/>
  <c r="AE27" i="14"/>
  <c r="K27" i="12"/>
  <c r="G878" i="97" s="1"/>
  <c r="K17" i="12"/>
  <c r="G870" i="97" s="1"/>
  <c r="I21" i="19"/>
  <c r="G1503" i="97" s="1"/>
  <c r="AB45" i="19"/>
  <c r="U45" s="1"/>
  <c r="J35" i="15"/>
  <c r="G1161" i="97" s="1"/>
  <c r="I44" i="19" l="1"/>
  <c r="G1514" i="97" s="1"/>
  <c r="AB30" i="12"/>
  <c r="O8" i="11"/>
  <c r="G746" i="97" s="1"/>
  <c r="K32" i="12"/>
  <c r="G880" i="97" s="1"/>
  <c r="I6" i="32"/>
  <c r="G2234" i="97" s="1"/>
  <c r="AZ6" i="11"/>
  <c r="AK6" s="1"/>
  <c r="I9" i="32" l="1"/>
  <c r="G2236" i="97" s="1"/>
  <c r="O12" i="11"/>
  <c r="G749" i="97" s="1"/>
  <c r="I46" i="19"/>
  <c r="G1516" i="97" s="1"/>
  <c r="K39" i="12"/>
  <c r="G883" i="97" s="1"/>
  <c r="O7" i="64"/>
  <c r="G3018" i="97" s="1"/>
  <c r="I15" i="32" l="1"/>
  <c r="G2241" i="97" s="1"/>
  <c r="O18" i="11"/>
  <c r="G752" i="97" s="1"/>
  <c r="I53" i="19"/>
  <c r="G1521" i="97" s="1"/>
  <c r="I7" i="27"/>
  <c r="B61" i="2"/>
  <c r="B49" i="87"/>
  <c r="E61" i="2" s="1"/>
  <c r="F1" i="87"/>
  <c r="I18" i="32" l="1"/>
  <c r="G2243" i="97" s="1"/>
  <c r="B33" i="2"/>
  <c r="E33"/>
  <c r="AR36" i="75" l="1"/>
  <c r="B5113" i="97" s="1"/>
  <c r="AR34" i="75"/>
  <c r="B5112" i="97" s="1"/>
  <c r="AR33" i="75"/>
  <c r="B5111" i="97" s="1"/>
  <c r="AR32" i="75"/>
  <c r="B5110" i="97" s="1"/>
  <c r="AR29" i="75"/>
  <c r="B5109" i="97" s="1"/>
  <c r="AR28" i="75"/>
  <c r="B5108" i="97" s="1"/>
  <c r="AR27" i="75"/>
  <c r="B5107" i="97" s="1"/>
  <c r="AR26" i="75"/>
  <c r="B5106" i="97" s="1"/>
  <c r="AR25" i="75"/>
  <c r="B5105" i="97" s="1"/>
  <c r="AH27" i="33" l="1"/>
  <c r="AH9"/>
  <c r="AH7"/>
  <c r="AH8" i="32"/>
  <c r="AF19" i="13"/>
  <c r="AF14"/>
  <c r="AF12"/>
  <c r="AF13"/>
  <c r="AF11"/>
  <c r="AF9"/>
  <c r="B908" i="97" s="1"/>
  <c r="AF8" i="13"/>
  <c r="AF7"/>
  <c r="AF6"/>
  <c r="BR9" i="11"/>
  <c r="BQ9"/>
  <c r="BO9"/>
  <c r="BN9"/>
  <c r="BM9"/>
  <c r="BL9"/>
  <c r="AH7" i="7"/>
  <c r="AG7"/>
  <c r="AF7"/>
  <c r="AH6" i="5"/>
  <c r="AG6"/>
  <c r="AF6"/>
  <c r="AD51" i="66" l="1"/>
  <c r="AD50"/>
  <c r="AD49"/>
  <c r="AD48"/>
  <c r="AD47"/>
  <c r="AD46"/>
  <c r="AD45"/>
  <c r="AD44"/>
  <c r="AD43"/>
  <c r="AD42"/>
  <c r="AD41"/>
  <c r="AD40"/>
  <c r="AD39"/>
  <c r="AD38"/>
  <c r="AD37"/>
  <c r="Z44" i="65"/>
  <c r="Z43"/>
  <c r="Z42"/>
  <c r="Z41"/>
  <c r="Z40"/>
  <c r="Z39"/>
  <c r="Z38"/>
  <c r="Z37"/>
  <c r="Z36"/>
  <c r="Z35"/>
  <c r="Z34"/>
  <c r="Z33"/>
  <c r="Z32"/>
  <c r="Z31"/>
  <c r="Z30"/>
  <c r="U48" i="64"/>
  <c r="U47"/>
  <c r="U46"/>
  <c r="U45"/>
  <c r="U44"/>
  <c r="U43"/>
  <c r="U42"/>
  <c r="U41"/>
  <c r="U40"/>
  <c r="R49"/>
  <c r="U39"/>
  <c r="S44" i="63" l="1"/>
  <c r="S42"/>
  <c r="S41"/>
  <c r="S48"/>
  <c r="S47"/>
  <c r="S46"/>
  <c r="S45"/>
  <c r="S43"/>
  <c r="S40"/>
  <c r="S39" l="1"/>
  <c r="Y23" l="1"/>
  <c r="AA8" i="65" l="1"/>
  <c r="AA29"/>
  <c r="AA28"/>
  <c r="AA27"/>
  <c r="AA26"/>
  <c r="AA25"/>
  <c r="AA22"/>
  <c r="AA21"/>
  <c r="AA20"/>
  <c r="AA19"/>
  <c r="AA18"/>
  <c r="AA17"/>
  <c r="AA16"/>
  <c r="AA15"/>
  <c r="AA14"/>
  <c r="AA13"/>
  <c r="AA12"/>
  <c r="AA11"/>
  <c r="AA9"/>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L6" i="65" l="1"/>
  <c r="K6"/>
  <c r="J6"/>
  <c r="I6"/>
  <c r="H6"/>
  <c r="G6"/>
  <c r="G14" i="68" l="1"/>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G49" i="64"/>
  <c r="G2764" i="97" s="1"/>
  <c r="H49" i="64"/>
  <c r="G2800" i="97" s="1"/>
  <c r="I49" i="64"/>
  <c r="G2836" i="97" s="1"/>
  <c r="J49" i="64"/>
  <c r="G2872" i="97" s="1"/>
  <c r="K49" i="64"/>
  <c r="G2908" i="97" s="1"/>
  <c r="L49" i="64"/>
  <c r="G2944" i="97" s="1"/>
  <c r="M49" i="64"/>
  <c r="G2980" i="97" s="1"/>
  <c r="N49" i="64"/>
  <c r="G3016" i="97" s="1"/>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G2512" i="97" s="1"/>
  <c r="H49" i="63"/>
  <c r="G2548" i="97" s="1"/>
  <c r="I49" i="63"/>
  <c r="G2584" i="97" s="1"/>
  <c r="J49" i="63"/>
  <c r="G2620" i="97" s="1"/>
  <c r="K49" i="63"/>
  <c r="G2656" i="97" s="1"/>
  <c r="L49" i="63"/>
  <c r="G2692" i="97" s="1"/>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G31" i="63"/>
  <c r="G2498" i="97" s="1"/>
  <c r="L31" i="63"/>
  <c r="G2678" i="97" s="1"/>
  <c r="I31" i="63" l="1"/>
  <c r="G2570" i="97" s="1"/>
  <c r="G36" i="63"/>
  <c r="G2501" i="97" s="1"/>
  <c r="H31" i="63"/>
  <c r="G2534" i="97" s="1"/>
  <c r="J31" i="63"/>
  <c r="G2606" i="97" s="1"/>
  <c r="I36" i="63"/>
  <c r="G2573" i="97" s="1"/>
  <c r="L36" i="63"/>
  <c r="G2681" i="97" s="1"/>
  <c r="K31" i="63"/>
  <c r="G2642" i="97" s="1"/>
  <c r="A153" i="80"/>
  <c r="A152"/>
  <c r="A151"/>
  <c r="A150"/>
  <c r="A149"/>
  <c r="A148"/>
  <c r="A147"/>
  <c r="A146"/>
  <c r="A145"/>
  <c r="A144"/>
  <c r="A143"/>
  <c r="A142"/>
  <c r="A141"/>
  <c r="A140"/>
  <c r="A139"/>
  <c r="A138"/>
  <c r="A137"/>
  <c r="A136"/>
  <c r="A135"/>
  <c r="A134"/>
  <c r="A133"/>
  <c r="A132"/>
  <c r="A131"/>
  <c r="A130"/>
  <c r="A129"/>
  <c r="A178"/>
  <c r="A177"/>
  <c r="A176"/>
  <c r="A175"/>
  <c r="A174"/>
  <c r="A173"/>
  <c r="A172"/>
  <c r="A171"/>
  <c r="A170"/>
  <c r="A169"/>
  <c r="A168"/>
  <c r="A167"/>
  <c r="A166"/>
  <c r="A165"/>
  <c r="A164"/>
  <c r="A163"/>
  <c r="A162"/>
  <c r="A161"/>
  <c r="A160"/>
  <c r="A159"/>
  <c r="A158"/>
  <c r="A157"/>
  <c r="A156"/>
  <c r="A155"/>
  <c r="A154"/>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D1"/>
  <c r="B4"/>
  <c r="J36" i="63" l="1"/>
  <c r="G2609" i="97" s="1"/>
  <c r="L52" i="63"/>
  <c r="G2693" i="97" s="1"/>
  <c r="H36" i="63"/>
  <c r="G2537" i="97" s="1"/>
  <c r="K36" i="63"/>
  <c r="G2645" i="97" s="1"/>
  <c r="I52" i="63"/>
  <c r="G2585" i="97" s="1"/>
  <c r="G52" i="63"/>
  <c r="G2513" i="97" s="1"/>
  <c r="K52" i="63" l="1"/>
  <c r="G2657" i="97" s="1"/>
  <c r="H52" i="63"/>
  <c r="G2549" i="97" s="1"/>
  <c r="J52" i="63"/>
  <c r="G2621" i="97" s="1"/>
  <c r="G53" i="80" l="1"/>
  <c r="G52"/>
  <c r="G51"/>
  <c r="G50"/>
  <c r="G49"/>
  <c r="G48"/>
  <c r="G47"/>
  <c r="G46"/>
  <c r="G45"/>
  <c r="G44"/>
  <c r="G43"/>
  <c r="G42"/>
  <c r="G41"/>
  <c r="G40"/>
  <c r="G39"/>
  <c r="G38"/>
  <c r="G37"/>
  <c r="G36"/>
  <c r="G35"/>
  <c r="G34"/>
  <c r="G33"/>
  <c r="G32"/>
  <c r="G31"/>
  <c r="G30"/>
  <c r="G2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28"/>
  <c r="G27"/>
  <c r="G26"/>
  <c r="G25"/>
  <c r="G24"/>
  <c r="G23"/>
  <c r="G22"/>
  <c r="G21"/>
  <c r="G20"/>
  <c r="G19"/>
  <c r="G18"/>
  <c r="G17"/>
  <c r="G16"/>
  <c r="G15"/>
  <c r="G14"/>
  <c r="G13"/>
  <c r="G12"/>
  <c r="G11"/>
  <c r="G10"/>
  <c r="G9"/>
  <c r="G8"/>
  <c r="G7"/>
  <c r="G6"/>
  <c r="G5"/>
  <c r="G4"/>
  <c r="F30" i="23" l="1"/>
  <c r="G26" i="71" l="1"/>
  <c r="G4569" i="97" s="1"/>
  <c r="AA9" i="18" l="1"/>
  <c r="AA10" s="1"/>
  <c r="AA34" i="17"/>
  <c r="AA11" i="18" l="1"/>
  <c r="AA12" l="1"/>
  <c r="AA13" l="1"/>
  <c r="AA14" l="1"/>
  <c r="AA15" l="1"/>
  <c r="S22" i="73"/>
  <c r="S14"/>
  <c r="AA16" i="18" l="1"/>
  <c r="Q14" i="73"/>
  <c r="Q22"/>
  <c r="O13" i="69"/>
  <c r="D51" i="2" s="1"/>
  <c r="AA17" i="18" l="1"/>
  <c r="K14" i="73"/>
  <c r="K22"/>
  <c r="AA18" i="18" l="1"/>
  <c r="X23" i="8"/>
  <c r="W23"/>
  <c r="V23"/>
  <c r="U23"/>
  <c r="X21"/>
  <c r="W21"/>
  <c r="V21"/>
  <c r="U21"/>
  <c r="X20"/>
  <c r="W20"/>
  <c r="V20"/>
  <c r="U20"/>
  <c r="W17"/>
  <c r="V17"/>
  <c r="U17"/>
  <c r="W16"/>
  <c r="V16"/>
  <c r="U16"/>
  <c r="X14"/>
  <c r="L14" s="1"/>
  <c r="W6"/>
  <c r="V6"/>
  <c r="U6"/>
  <c r="D12" i="2" s="1"/>
  <c r="L20" i="8" l="1"/>
  <c r="AA19" i="18"/>
  <c r="L23" i="8"/>
  <c r="L21"/>
  <c r="L17"/>
  <c r="L16"/>
  <c r="L6"/>
  <c r="O9" i="30"/>
  <c r="G2066" i="97" s="1"/>
  <c r="AA20" i="18" l="1"/>
  <c r="AG68" i="76"/>
  <c r="AA21" i="18" l="1"/>
  <c r="O48" i="64"/>
  <c r="G3051" i="97" s="1"/>
  <c r="O47" i="64"/>
  <c r="G3050" i="97" s="1"/>
  <c r="O46" i="64"/>
  <c r="G3049" i="97" s="1"/>
  <c r="O45" i="64"/>
  <c r="G3048" i="97" s="1"/>
  <c r="O44" i="64"/>
  <c r="G3047" i="97" s="1"/>
  <c r="AA44" i="64" l="1"/>
  <c r="W44"/>
  <c r="V44"/>
  <c r="Z44"/>
  <c r="AC44"/>
  <c r="Y44"/>
  <c r="X44"/>
  <c r="AB44"/>
  <c r="AC46"/>
  <c r="Y46"/>
  <c r="V46"/>
  <c r="AB46"/>
  <c r="X46"/>
  <c r="AA46"/>
  <c r="W46"/>
  <c r="Z46"/>
  <c r="Z47"/>
  <c r="AC47"/>
  <c r="Y47"/>
  <c r="AB47"/>
  <c r="X47"/>
  <c r="V47"/>
  <c r="AA47"/>
  <c r="W47"/>
  <c r="AA48"/>
  <c r="W48"/>
  <c r="V48"/>
  <c r="Z48"/>
  <c r="AC48"/>
  <c r="Y48"/>
  <c r="X48"/>
  <c r="AB48"/>
  <c r="AB45"/>
  <c r="X45"/>
  <c r="AA45"/>
  <c r="W45"/>
  <c r="Z45"/>
  <c r="V45"/>
  <c r="Y45"/>
  <c r="AC45"/>
  <c r="AA22" i="18"/>
  <c r="R45" i="64" l="1"/>
  <c r="R48"/>
  <c r="R44"/>
  <c r="R47"/>
  <c r="R46"/>
  <c r="AA23" i="18"/>
  <c r="T16" i="44"/>
  <c r="T9"/>
  <c r="AA24" i="18" l="1"/>
  <c r="AA25" l="1"/>
  <c r="E58" i="2"/>
  <c r="E57"/>
  <c r="E56"/>
  <c r="E55"/>
  <c r="E54"/>
  <c r="E53"/>
  <c r="E52"/>
  <c r="E51"/>
  <c r="E50"/>
  <c r="E49"/>
  <c r="E48"/>
  <c r="E47"/>
  <c r="E46"/>
  <c r="E45"/>
  <c r="E44"/>
  <c r="E43"/>
  <c r="E42"/>
  <c r="E41"/>
  <c r="E40"/>
  <c r="E39"/>
  <c r="E38"/>
  <c r="E37"/>
  <c r="E36"/>
  <c r="E32"/>
  <c r="E31"/>
  <c r="E30"/>
  <c r="E29"/>
  <c r="E25"/>
  <c r="E24"/>
  <c r="E23"/>
  <c r="E22"/>
  <c r="E21"/>
  <c r="E20"/>
  <c r="E19"/>
  <c r="E18"/>
  <c r="E17"/>
  <c r="E16"/>
  <c r="E12"/>
  <c r="E11"/>
  <c r="E10"/>
  <c r="E9"/>
  <c r="E8"/>
  <c r="AA26" i="18" l="1"/>
  <c r="M13" i="70"/>
  <c r="J13" s="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V52" i="66"/>
  <c r="G4305" i="97" s="1"/>
  <c r="U52" i="66"/>
  <c r="G4260" i="97" s="1"/>
  <c r="T52" i="66"/>
  <c r="G4215" i="97" s="1"/>
  <c r="S52" i="66"/>
  <c r="G4170" i="97" s="1"/>
  <c r="R52" i="66"/>
  <c r="G4125" i="97" s="1"/>
  <c r="Q52" i="66"/>
  <c r="G4080" i="97" s="1"/>
  <c r="M52" i="66"/>
  <c r="G3900" i="97" s="1"/>
  <c r="L52" i="66"/>
  <c r="G3855" i="97" s="1"/>
  <c r="K52" i="66"/>
  <c r="G3810" i="97" s="1"/>
  <c r="J52" i="66"/>
  <c r="G3765" i="97" s="1"/>
  <c r="I52" i="66"/>
  <c r="G3720" i="97" s="1"/>
  <c r="AT50" i="66" l="1"/>
  <c r="AP50"/>
  <c r="AK50"/>
  <c r="AG50"/>
  <c r="AS50"/>
  <c r="AO50"/>
  <c r="AJ50"/>
  <c r="AF50"/>
  <c r="AQ50"/>
  <c r="AH50"/>
  <c r="AR50"/>
  <c r="AN50"/>
  <c r="AI50"/>
  <c r="AE50"/>
  <c r="AU50"/>
  <c r="AL50"/>
  <c r="AR48"/>
  <c r="AN48"/>
  <c r="AI48"/>
  <c r="AE48"/>
  <c r="AS48"/>
  <c r="AU48"/>
  <c r="AQ48"/>
  <c r="AL48"/>
  <c r="AH48"/>
  <c r="AO48"/>
  <c r="AJ48"/>
  <c r="AF48"/>
  <c r="AT48"/>
  <c r="AP48"/>
  <c r="AK48"/>
  <c r="AG48"/>
  <c r="K53"/>
  <c r="J53"/>
  <c r="AT46"/>
  <c r="AP46"/>
  <c r="AK46"/>
  <c r="AG46"/>
  <c r="AS46"/>
  <c r="AO46"/>
  <c r="AJ46"/>
  <c r="AF46"/>
  <c r="AU46"/>
  <c r="AQ46"/>
  <c r="AL46"/>
  <c r="AH46"/>
  <c r="AR46"/>
  <c r="AN46"/>
  <c r="AI46"/>
  <c r="AE46"/>
  <c r="L53"/>
  <c r="AS47"/>
  <c r="AO47"/>
  <c r="AJ47"/>
  <c r="AF47"/>
  <c r="AR47"/>
  <c r="AN47"/>
  <c r="AI47"/>
  <c r="AE47"/>
  <c r="AT47"/>
  <c r="AP47"/>
  <c r="AK47"/>
  <c r="AG47"/>
  <c r="AU47"/>
  <c r="AQ47"/>
  <c r="AL47"/>
  <c r="AH47"/>
  <c r="AU49"/>
  <c r="AQ49"/>
  <c r="AL49"/>
  <c r="AH49"/>
  <c r="AT49"/>
  <c r="AP49"/>
  <c r="AK49"/>
  <c r="AG49"/>
  <c r="AR49"/>
  <c r="AN49"/>
  <c r="AI49"/>
  <c r="AE49"/>
  <c r="AS49"/>
  <c r="AO49"/>
  <c r="AJ49"/>
  <c r="AF49"/>
  <c r="I53"/>
  <c r="M53"/>
  <c r="AM41" i="65"/>
  <c r="AI41"/>
  <c r="AD41"/>
  <c r="AJ41"/>
  <c r="AA41"/>
  <c r="AL41"/>
  <c r="AH41"/>
  <c r="AC41"/>
  <c r="AE41"/>
  <c r="AK41"/>
  <c r="AF41"/>
  <c r="AB41"/>
  <c r="AM42"/>
  <c r="AI42"/>
  <c r="AD42"/>
  <c r="AL42"/>
  <c r="AH42"/>
  <c r="AC42"/>
  <c r="AE42"/>
  <c r="AK42"/>
  <c r="AF42"/>
  <c r="AB42"/>
  <c r="AJ42"/>
  <c r="AA42"/>
  <c r="AM39"/>
  <c r="AI39"/>
  <c r="AD39"/>
  <c r="AE39"/>
  <c r="AL39"/>
  <c r="AH39"/>
  <c r="AC39"/>
  <c r="AA39"/>
  <c r="AK39"/>
  <c r="AF39"/>
  <c r="AB39"/>
  <c r="AJ39"/>
  <c r="AM43"/>
  <c r="AI43"/>
  <c r="AD43"/>
  <c r="AA43"/>
  <c r="AL43"/>
  <c r="AH43"/>
  <c r="AC43"/>
  <c r="AE43"/>
  <c r="AK43"/>
  <c r="AF43"/>
  <c r="AB43"/>
  <c r="AJ43"/>
  <c r="AM40"/>
  <c r="AI40"/>
  <c r="AD40"/>
  <c r="AE40"/>
  <c r="AL40"/>
  <c r="AH40"/>
  <c r="AC40"/>
  <c r="AA40"/>
  <c r="AK40"/>
  <c r="AF40"/>
  <c r="AB40"/>
  <c r="AJ40"/>
  <c r="AA27" i="18"/>
  <c r="P1" i="76"/>
  <c r="O1" i="75"/>
  <c r="H1" i="74"/>
  <c r="I1" i="73"/>
  <c r="AG1" i="72"/>
  <c r="H1" i="71"/>
  <c r="H1" i="70"/>
  <c r="H1" i="69"/>
  <c r="CI1" i="68"/>
  <c r="H1" i="67"/>
  <c r="Y1" i="66"/>
  <c r="U1" i="65"/>
  <c r="P1" i="64"/>
  <c r="N1" i="63"/>
  <c r="AA46" i="66" l="1"/>
  <c r="AA50"/>
  <c r="AA49"/>
  <c r="AA47"/>
  <c r="AA48"/>
  <c r="W40" i="65"/>
  <c r="W43"/>
  <c r="W39"/>
  <c r="W42"/>
  <c r="W41"/>
  <c r="CH6" i="68"/>
  <c r="CD6"/>
  <c r="BZ6"/>
  <c r="BV6"/>
  <c r="BR6"/>
  <c r="BN6"/>
  <c r="BJ6"/>
  <c r="BF6"/>
  <c r="BB6"/>
  <c r="AX6"/>
  <c r="AT6"/>
  <c r="AP6"/>
  <c r="AL6"/>
  <c r="AH6"/>
  <c r="AD6"/>
  <c r="Z6"/>
  <c r="V6"/>
  <c r="R6"/>
  <c r="N6"/>
  <c r="J6"/>
  <c r="BS6"/>
  <c r="BG6"/>
  <c r="AU6"/>
  <c r="AI6"/>
  <c r="S6"/>
  <c r="CG6"/>
  <c r="CC6"/>
  <c r="BY6"/>
  <c r="BU6"/>
  <c r="BQ6"/>
  <c r="BM6"/>
  <c r="BI6"/>
  <c r="BE6"/>
  <c r="BA6"/>
  <c r="AW6"/>
  <c r="AS6"/>
  <c r="AO6"/>
  <c r="AK6"/>
  <c r="AG6"/>
  <c r="AC6"/>
  <c r="Y6"/>
  <c r="U6"/>
  <c r="Q6"/>
  <c r="M6"/>
  <c r="I6"/>
  <c r="CE6"/>
  <c r="BW6"/>
  <c r="BK6"/>
  <c r="AY6"/>
  <c r="AQ6"/>
  <c r="AE6"/>
  <c r="W6"/>
  <c r="O6"/>
  <c r="G6"/>
  <c r="CF6"/>
  <c r="CB6"/>
  <c r="BX6"/>
  <c r="BT6"/>
  <c r="BP6"/>
  <c r="BL6"/>
  <c r="BH6"/>
  <c r="BD6"/>
  <c r="AZ6"/>
  <c r="AV6"/>
  <c r="AR6"/>
  <c r="AN6"/>
  <c r="AJ6"/>
  <c r="AF6"/>
  <c r="AB6"/>
  <c r="X6"/>
  <c r="T6"/>
  <c r="P6"/>
  <c r="L6"/>
  <c r="H6"/>
  <c r="CA6"/>
  <c r="BO6"/>
  <c r="BC6"/>
  <c r="AM6"/>
  <c r="AA6"/>
  <c r="K6"/>
  <c r="AA28" i="18"/>
  <c r="J6" i="8"/>
  <c r="G411" i="97" s="1"/>
  <c r="AA33" i="18" l="1"/>
  <c r="AA37" s="1"/>
  <c r="F1" i="21"/>
  <c r="M48" i="63" l="1"/>
  <c r="G2727" i="97" s="1"/>
  <c r="M47" i="63"/>
  <c r="G2726" i="97" s="1"/>
  <c r="M46" i="63"/>
  <c r="G2725" i="97" s="1"/>
  <c r="M45" i="63"/>
  <c r="G2724" i="97" s="1"/>
  <c r="M44" i="63"/>
  <c r="G2723" i="97" s="1"/>
  <c r="T45" i="63" l="1"/>
  <c r="X45"/>
  <c r="Y45"/>
  <c r="U45"/>
  <c r="W45"/>
  <c r="V45"/>
  <c r="T47"/>
  <c r="V47"/>
  <c r="W47"/>
  <c r="Y47"/>
  <c r="U47"/>
  <c r="X47"/>
  <c r="T46"/>
  <c r="W46"/>
  <c r="V46"/>
  <c r="X46"/>
  <c r="Y46"/>
  <c r="U46"/>
  <c r="T44"/>
  <c r="Y44"/>
  <c r="U44"/>
  <c r="X44"/>
  <c r="V44"/>
  <c r="W44"/>
  <c r="T48"/>
  <c r="Y48"/>
  <c r="U48"/>
  <c r="V48"/>
  <c r="X48"/>
  <c r="W48"/>
  <c r="B56" i="65"/>
  <c r="B55" i="22"/>
  <c r="P44" i="63" l="1"/>
  <c r="P45"/>
  <c r="P47"/>
  <c r="P46"/>
  <c r="P48"/>
  <c r="AP6" i="11" l="1"/>
  <c r="Y45" i="19" l="1"/>
  <c r="W45"/>
  <c r="AB8" i="65" l="1"/>
  <c r="AC8"/>
  <c r="AD8"/>
  <c r="AE8"/>
  <c r="AF8"/>
  <c r="AH8"/>
  <c r="AI8"/>
  <c r="AJ8"/>
  <c r="AK8"/>
  <c r="AL8"/>
  <c r="AM8"/>
  <c r="AB9"/>
  <c r="AC9"/>
  <c r="AD9"/>
  <c r="AE9"/>
  <c r="AF9"/>
  <c r="AH9"/>
  <c r="AI9"/>
  <c r="AJ9"/>
  <c r="AK9"/>
  <c r="AL9"/>
  <c r="AM9"/>
  <c r="AB11"/>
  <c r="AC11"/>
  <c r="AD11"/>
  <c r="AE11"/>
  <c r="AF11"/>
  <c r="AH11"/>
  <c r="AI11"/>
  <c r="AJ11"/>
  <c r="AK11"/>
  <c r="AL11"/>
  <c r="AM11"/>
  <c r="AB12"/>
  <c r="AC12"/>
  <c r="AD12"/>
  <c r="AE12"/>
  <c r="AF12"/>
  <c r="AH12"/>
  <c r="AI12"/>
  <c r="AJ12"/>
  <c r="AK12"/>
  <c r="AL12"/>
  <c r="AM12"/>
  <c r="AB13"/>
  <c r="AC13"/>
  <c r="AD13"/>
  <c r="AE13"/>
  <c r="AF13"/>
  <c r="AH13"/>
  <c r="AI13"/>
  <c r="AJ13"/>
  <c r="AK13"/>
  <c r="AL13"/>
  <c r="AM13"/>
  <c r="AB14"/>
  <c r="AC14"/>
  <c r="AD14"/>
  <c r="AE14"/>
  <c r="AF14"/>
  <c r="AH14"/>
  <c r="AI14"/>
  <c r="AJ14"/>
  <c r="AK14"/>
  <c r="AL14"/>
  <c r="AM14"/>
  <c r="AB15"/>
  <c r="AC15"/>
  <c r="AD15"/>
  <c r="AE15"/>
  <c r="AF15"/>
  <c r="AH15"/>
  <c r="AI15"/>
  <c r="AJ15"/>
  <c r="AK15"/>
  <c r="AL15"/>
  <c r="AM15"/>
  <c r="AB16"/>
  <c r="AC16"/>
  <c r="AD16"/>
  <c r="AE16"/>
  <c r="AF16"/>
  <c r="AH16"/>
  <c r="AI16"/>
  <c r="AJ16"/>
  <c r="AK16"/>
  <c r="AL16"/>
  <c r="AM16"/>
  <c r="AB17"/>
  <c r="AC17"/>
  <c r="AD17"/>
  <c r="AE17"/>
  <c r="AF17"/>
  <c r="AH17"/>
  <c r="AI17"/>
  <c r="AJ17"/>
  <c r="AK17"/>
  <c r="AL17"/>
  <c r="AM17"/>
  <c r="AB18"/>
  <c r="AC18"/>
  <c r="AD18"/>
  <c r="AE18"/>
  <c r="AF18"/>
  <c r="AH18"/>
  <c r="AI18"/>
  <c r="AJ18"/>
  <c r="AK18"/>
  <c r="AL18"/>
  <c r="AM18"/>
  <c r="AB19"/>
  <c r="AC19"/>
  <c r="AD19"/>
  <c r="AE19"/>
  <c r="AF19"/>
  <c r="AH19"/>
  <c r="AI19"/>
  <c r="AJ19"/>
  <c r="AK19"/>
  <c r="AL19"/>
  <c r="AM19"/>
  <c r="AB20"/>
  <c r="AC20"/>
  <c r="AD20"/>
  <c r="AE20"/>
  <c r="AF20"/>
  <c r="AH20"/>
  <c r="AI20"/>
  <c r="AJ20"/>
  <c r="AK20"/>
  <c r="AL20"/>
  <c r="AM20"/>
  <c r="AB21"/>
  <c r="AC21"/>
  <c r="AD21"/>
  <c r="AE21"/>
  <c r="AF21"/>
  <c r="AH21"/>
  <c r="AI21"/>
  <c r="AJ21"/>
  <c r="AK21"/>
  <c r="AL21"/>
  <c r="AM21"/>
  <c r="AB22"/>
  <c r="AC22"/>
  <c r="AD22"/>
  <c r="AE22"/>
  <c r="AF22"/>
  <c r="AH22"/>
  <c r="AI22"/>
  <c r="AJ22"/>
  <c r="AK22"/>
  <c r="AL22"/>
  <c r="AM22"/>
  <c r="AB25"/>
  <c r="AC25"/>
  <c r="AD25"/>
  <c r="AE25"/>
  <c r="AF25"/>
  <c r="AH25"/>
  <c r="AI25"/>
  <c r="AJ25"/>
  <c r="AK25"/>
  <c r="AL25"/>
  <c r="AM25"/>
  <c r="AB26"/>
  <c r="AC26"/>
  <c r="AD26"/>
  <c r="AE26"/>
  <c r="AF26"/>
  <c r="AH26"/>
  <c r="AI26"/>
  <c r="AJ26"/>
  <c r="AK26"/>
  <c r="AL26"/>
  <c r="AM26"/>
  <c r="AB27"/>
  <c r="AC27"/>
  <c r="AD27"/>
  <c r="AE27"/>
  <c r="AF27"/>
  <c r="AH27"/>
  <c r="AI27"/>
  <c r="AJ27"/>
  <c r="AK27"/>
  <c r="AL27"/>
  <c r="AM27"/>
  <c r="AB28"/>
  <c r="AC28"/>
  <c r="AD28"/>
  <c r="AE28"/>
  <c r="AF28"/>
  <c r="AH28"/>
  <c r="AI28"/>
  <c r="AJ28"/>
  <c r="AK28"/>
  <c r="AL28"/>
  <c r="AM28"/>
  <c r="AB29"/>
  <c r="AC29"/>
  <c r="AD29"/>
  <c r="AE29"/>
  <c r="AF29"/>
  <c r="AH29"/>
  <c r="AI29"/>
  <c r="AJ29"/>
  <c r="AK29"/>
  <c r="AL29"/>
  <c r="AM29"/>
  <c r="T7" i="63"/>
  <c r="U7"/>
  <c r="V7"/>
  <c r="W7"/>
  <c r="X7"/>
  <c r="Y7"/>
  <c r="T8"/>
  <c r="U8"/>
  <c r="V8"/>
  <c r="W8"/>
  <c r="X8"/>
  <c r="Y8"/>
  <c r="T9"/>
  <c r="U9"/>
  <c r="V9"/>
  <c r="W9"/>
  <c r="X9"/>
  <c r="Y9"/>
  <c r="T10"/>
  <c r="U10"/>
  <c r="V10"/>
  <c r="W10"/>
  <c r="X10"/>
  <c r="Y10"/>
  <c r="T12"/>
  <c r="U12"/>
  <c r="V12"/>
  <c r="W12"/>
  <c r="X12"/>
  <c r="Y12"/>
  <c r="T13"/>
  <c r="U13"/>
  <c r="V13"/>
  <c r="W13"/>
  <c r="X13"/>
  <c r="Y13"/>
  <c r="T14"/>
  <c r="U14"/>
  <c r="V14"/>
  <c r="W14"/>
  <c r="X14"/>
  <c r="Y14"/>
  <c r="T15"/>
  <c r="U15"/>
  <c r="V15"/>
  <c r="W15"/>
  <c r="X15"/>
  <c r="Y15"/>
  <c r="T18"/>
  <c r="U18"/>
  <c r="V18"/>
  <c r="W18"/>
  <c r="X18"/>
  <c r="Y18"/>
  <c r="T22"/>
  <c r="U22"/>
  <c r="V22"/>
  <c r="W22"/>
  <c r="X22"/>
  <c r="Y22"/>
  <c r="T23"/>
  <c r="U23"/>
  <c r="V23"/>
  <c r="W23"/>
  <c r="X23"/>
  <c r="T24"/>
  <c r="U24"/>
  <c r="V24"/>
  <c r="W24"/>
  <c r="X24"/>
  <c r="Y24"/>
  <c r="T25"/>
  <c r="U25"/>
  <c r="V25"/>
  <c r="W25"/>
  <c r="X25"/>
  <c r="Y25"/>
  <c r="T26"/>
  <c r="U26"/>
  <c r="V26"/>
  <c r="W26"/>
  <c r="X26"/>
  <c r="Y26"/>
  <c r="T28"/>
  <c r="U28"/>
  <c r="V28"/>
  <c r="W28"/>
  <c r="X28"/>
  <c r="Y28"/>
  <c r="T30"/>
  <c r="U30"/>
  <c r="V30"/>
  <c r="W30"/>
  <c r="X30"/>
  <c r="Y30"/>
  <c r="T34"/>
  <c r="U34"/>
  <c r="V34"/>
  <c r="W34"/>
  <c r="X34"/>
  <c r="Y34"/>
  <c r="T35"/>
  <c r="U35"/>
  <c r="V35"/>
  <c r="W35"/>
  <c r="X35"/>
  <c r="Y35"/>
  <c r="U8" i="34"/>
  <c r="V8"/>
  <c r="W8"/>
  <c r="X8"/>
  <c r="Y8"/>
  <c r="Z8"/>
  <c r="AA8"/>
  <c r="U9"/>
  <c r="V9"/>
  <c r="W9"/>
  <c r="X9"/>
  <c r="Y9"/>
  <c r="Z9"/>
  <c r="AA9"/>
  <c r="U10"/>
  <c r="V10"/>
  <c r="W10"/>
  <c r="X10"/>
  <c r="Y10"/>
  <c r="Z10"/>
  <c r="AA10"/>
  <c r="U11"/>
  <c r="V11"/>
  <c r="W11"/>
  <c r="X11"/>
  <c r="Y11"/>
  <c r="Z11"/>
  <c r="AA11"/>
  <c r="U12"/>
  <c r="V12"/>
  <c r="W12"/>
  <c r="X12"/>
  <c r="Y12"/>
  <c r="Z12"/>
  <c r="AA12"/>
  <c r="U13"/>
  <c r="V13"/>
  <c r="W13"/>
  <c r="X13"/>
  <c r="Y13"/>
  <c r="Z13"/>
  <c r="AA13"/>
  <c r="U17"/>
  <c r="V17"/>
  <c r="W17"/>
  <c r="X17"/>
  <c r="Y17"/>
  <c r="Z17"/>
  <c r="AA17"/>
  <c r="U18"/>
  <c r="V18"/>
  <c r="W18"/>
  <c r="X18"/>
  <c r="Y18"/>
  <c r="Z18"/>
  <c r="AA18"/>
  <c r="U19"/>
  <c r="V19"/>
  <c r="W19"/>
  <c r="X19"/>
  <c r="Y19"/>
  <c r="Z19"/>
  <c r="AA19"/>
  <c r="U20"/>
  <c r="V20"/>
  <c r="W20"/>
  <c r="X20"/>
  <c r="Y20"/>
  <c r="Z20"/>
  <c r="AA20"/>
  <c r="U24"/>
  <c r="V24"/>
  <c r="W24"/>
  <c r="X24"/>
  <c r="Y24"/>
  <c r="Z24"/>
  <c r="AA24"/>
  <c r="U25"/>
  <c r="V25"/>
  <c r="W25"/>
  <c r="X25"/>
  <c r="Y25"/>
  <c r="Z25"/>
  <c r="AA25"/>
  <c r="U26"/>
  <c r="V26"/>
  <c r="W26"/>
  <c r="X26"/>
  <c r="Y26"/>
  <c r="Z26"/>
  <c r="AA26"/>
  <c r="U27"/>
  <c r="V27"/>
  <c r="W27"/>
  <c r="X27"/>
  <c r="Y27"/>
  <c r="Z27"/>
  <c r="AA27"/>
  <c r="U31"/>
  <c r="V31"/>
  <c r="W31"/>
  <c r="X31"/>
  <c r="Y31"/>
  <c r="Z31"/>
  <c r="AA31"/>
  <c r="U32"/>
  <c r="V32"/>
  <c r="W32"/>
  <c r="X32"/>
  <c r="Y32"/>
  <c r="Z32"/>
  <c r="AA32"/>
  <c r="U33"/>
  <c r="V33"/>
  <c r="W33"/>
  <c r="X33"/>
  <c r="Y33"/>
  <c r="Z33"/>
  <c r="AA33"/>
  <c r="U37"/>
  <c r="V37"/>
  <c r="W37"/>
  <c r="X37"/>
  <c r="Y37"/>
  <c r="Z37"/>
  <c r="AA37"/>
  <c r="U41"/>
  <c r="V41"/>
  <c r="W41"/>
  <c r="X41"/>
  <c r="Y41"/>
  <c r="Z41"/>
  <c r="AA41"/>
  <c r="C44" i="2" l="1"/>
  <c r="W28" i="65"/>
  <c r="W14"/>
  <c r="W9"/>
  <c r="W22"/>
  <c r="W18"/>
  <c r="W29"/>
  <c r="W25"/>
  <c r="W19"/>
  <c r="W15"/>
  <c r="W11"/>
  <c r="W26"/>
  <c r="W20"/>
  <c r="W16"/>
  <c r="W12"/>
  <c r="W27"/>
  <c r="W21"/>
  <c r="W17"/>
  <c r="W13"/>
  <c r="W8"/>
  <c r="P34" i="63"/>
  <c r="P28"/>
  <c r="P25"/>
  <c r="P23"/>
  <c r="P18"/>
  <c r="P14"/>
  <c r="P12"/>
  <c r="P9"/>
  <c r="P7"/>
  <c r="P15"/>
  <c r="P35"/>
  <c r="P26"/>
  <c r="P22"/>
  <c r="P13"/>
  <c r="P10"/>
  <c r="P8"/>
  <c r="P24"/>
  <c r="B79" i="76" l="1"/>
  <c r="B49" i="75"/>
  <c r="B42" i="74"/>
  <c r="B33" i="73"/>
  <c r="B49" i="72"/>
  <c r="B66" i="71"/>
  <c r="B48" i="70"/>
  <c r="B134" i="69"/>
  <c r="B36" i="68"/>
  <c r="B35" i="67"/>
  <c r="B63" i="66"/>
  <c r="B63" i="64"/>
  <c r="B63" i="63"/>
  <c r="B58" i="2" l="1"/>
  <c r="B57"/>
  <c r="B56"/>
  <c r="B55"/>
  <c r="B54"/>
  <c r="B53"/>
  <c r="B52"/>
  <c r="B51"/>
  <c r="B50"/>
  <c r="B49"/>
  <c r="B48"/>
  <c r="B47"/>
  <c r="B46"/>
  <c r="B45"/>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c r="AL41"/>
  <c r="AH41"/>
  <c r="AN41"/>
  <c r="AT41"/>
  <c r="AP41"/>
  <c r="AK41"/>
  <c r="AG41"/>
  <c r="AI41"/>
  <c r="AS41"/>
  <c r="AO41"/>
  <c r="AJ41"/>
  <c r="AF41"/>
  <c r="AR41"/>
  <c r="AE41"/>
  <c r="AT38"/>
  <c r="AP38"/>
  <c r="AK38"/>
  <c r="AG38"/>
  <c r="AU38"/>
  <c r="AL38"/>
  <c r="AS38"/>
  <c r="AO38"/>
  <c r="AJ38"/>
  <c r="AF38"/>
  <c r="AH38"/>
  <c r="AR38"/>
  <c r="AN38"/>
  <c r="AI38"/>
  <c r="AE38"/>
  <c r="AQ38"/>
  <c r="AT42"/>
  <c r="AP42"/>
  <c r="AK42"/>
  <c r="AG42"/>
  <c r="AU42"/>
  <c r="AL42"/>
  <c r="AS42"/>
  <c r="AO42"/>
  <c r="AJ42"/>
  <c r="AF42"/>
  <c r="AH42"/>
  <c r="AR42"/>
  <c r="AN42"/>
  <c r="AI42"/>
  <c r="AE42"/>
  <c r="AQ42"/>
  <c r="AS51"/>
  <c r="AO51"/>
  <c r="AJ51"/>
  <c r="AF51"/>
  <c r="AT51"/>
  <c r="AG51"/>
  <c r="AR51"/>
  <c r="AN51"/>
  <c r="AI51"/>
  <c r="AE51"/>
  <c r="AP51"/>
  <c r="AU51"/>
  <c r="AQ51"/>
  <c r="AL51"/>
  <c r="AH51"/>
  <c r="AK51"/>
  <c r="AU45"/>
  <c r="AQ45"/>
  <c r="AL45"/>
  <c r="AH45"/>
  <c r="AR45"/>
  <c r="AT45"/>
  <c r="AP45"/>
  <c r="AK45"/>
  <c r="AG45"/>
  <c r="AI45"/>
  <c r="AS45"/>
  <c r="AO45"/>
  <c r="AJ45"/>
  <c r="AF45"/>
  <c r="AN45"/>
  <c r="AE45"/>
  <c r="AS39"/>
  <c r="AO39"/>
  <c r="AJ39"/>
  <c r="AF39"/>
  <c r="AP39"/>
  <c r="AR39"/>
  <c r="AN39"/>
  <c r="AI39"/>
  <c r="AE39"/>
  <c r="AK39"/>
  <c r="AU39"/>
  <c r="AQ39"/>
  <c r="AL39"/>
  <c r="AH39"/>
  <c r="AT39"/>
  <c r="AG39"/>
  <c r="AS43"/>
  <c r="AO43"/>
  <c r="AJ43"/>
  <c r="AF43"/>
  <c r="AP43"/>
  <c r="AR43"/>
  <c r="AN43"/>
  <c r="AI43"/>
  <c r="AE43"/>
  <c r="AG43"/>
  <c r="AU43"/>
  <c r="AQ43"/>
  <c r="AL43"/>
  <c r="AH43"/>
  <c r="AT43"/>
  <c r="AK43"/>
  <c r="AU37"/>
  <c r="AQ37"/>
  <c r="AL37"/>
  <c r="AH37"/>
  <c r="AR37"/>
  <c r="AE37"/>
  <c r="AT37"/>
  <c r="AP37"/>
  <c r="AK37"/>
  <c r="AG37"/>
  <c r="AI37"/>
  <c r="AS37"/>
  <c r="AO37"/>
  <c r="AJ37"/>
  <c r="AF37"/>
  <c r="AN37"/>
  <c r="AR40"/>
  <c r="AN40"/>
  <c r="AI40"/>
  <c r="AE40"/>
  <c r="AS40"/>
  <c r="AJ40"/>
  <c r="AU40"/>
  <c r="AQ40"/>
  <c r="AL40"/>
  <c r="AH40"/>
  <c r="AF40"/>
  <c r="AT40"/>
  <c r="AP40"/>
  <c r="AK40"/>
  <c r="AG40"/>
  <c r="AO40"/>
  <c r="AR44"/>
  <c r="AN44"/>
  <c r="AI44"/>
  <c r="AE44"/>
  <c r="AS44"/>
  <c r="AJ44"/>
  <c r="AU44"/>
  <c r="AQ44"/>
  <c r="AL44"/>
  <c r="AH44"/>
  <c r="AF44"/>
  <c r="AT44"/>
  <c r="AP44"/>
  <c r="AK44"/>
  <c r="AG44"/>
  <c r="AO44"/>
  <c r="B96" i="76"/>
  <c r="B100"/>
  <c r="B101" s="1"/>
  <c r="B102" s="1"/>
  <c r="B103" s="1"/>
  <c r="B104" s="1"/>
  <c r="B105" s="1"/>
  <c r="B106" s="1"/>
  <c r="B107" s="1"/>
  <c r="J68"/>
  <c r="G5344" i="97" s="1"/>
  <c r="J67" i="76"/>
  <c r="G5343" i="97" s="1"/>
  <c r="J66" i="76"/>
  <c r="G5342" i="97" s="1"/>
  <c r="J63" i="76"/>
  <c r="G5341" i="97" s="1"/>
  <c r="J62" i="76"/>
  <c r="G5340" i="97" s="1"/>
  <c r="J61" i="76"/>
  <c r="G5339" i="97" s="1"/>
  <c r="J60" i="76"/>
  <c r="G5338" i="97" s="1"/>
  <c r="J59" i="76"/>
  <c r="G5337" i="97" s="1"/>
  <c r="J58" i="76"/>
  <c r="G5336" i="97" s="1"/>
  <c r="B59" i="75"/>
  <c r="B60" s="1"/>
  <c r="B61" s="1"/>
  <c r="W36"/>
  <c r="V36"/>
  <c r="U36"/>
  <c r="T36"/>
  <c r="K36"/>
  <c r="G5113" i="97" s="1"/>
  <c r="T34" i="75"/>
  <c r="K34"/>
  <c r="G5112" i="97" s="1"/>
  <c r="T33" i="75"/>
  <c r="K33"/>
  <c r="G5111" i="97" s="1"/>
  <c r="T32" i="75"/>
  <c r="K32"/>
  <c r="G5110" i="97" s="1"/>
  <c r="W29" i="75"/>
  <c r="V29"/>
  <c r="U29"/>
  <c r="T29"/>
  <c r="K29"/>
  <c r="G5109" i="97" s="1"/>
  <c r="W28" i="75"/>
  <c r="V28"/>
  <c r="U28"/>
  <c r="T28"/>
  <c r="K28"/>
  <c r="G5108" i="97" s="1"/>
  <c r="W27" i="75"/>
  <c r="V27"/>
  <c r="U27"/>
  <c r="T27"/>
  <c r="K27"/>
  <c r="G5107" i="97" s="1"/>
  <c r="W26" i="75"/>
  <c r="V26"/>
  <c r="U26"/>
  <c r="T26"/>
  <c r="K26"/>
  <c r="G5106" i="97" s="1"/>
  <c r="W25" i="75"/>
  <c r="V25"/>
  <c r="U25"/>
  <c r="T25"/>
  <c r="K25"/>
  <c r="G5105" i="97" s="1"/>
  <c r="X8" i="75"/>
  <c r="W8"/>
  <c r="V8"/>
  <c r="U8"/>
  <c r="T8"/>
  <c r="X7"/>
  <c r="W7"/>
  <c r="V7"/>
  <c r="U7"/>
  <c r="T7"/>
  <c r="B46" i="74"/>
  <c r="B47" s="1"/>
  <c r="B48" s="1"/>
  <c r="B49" s="1"/>
  <c r="B50" s="1"/>
  <c r="B51" s="1"/>
  <c r="B52" s="1"/>
  <c r="B53" s="1"/>
  <c r="B54" s="1"/>
  <c r="B55" s="1"/>
  <c r="B56" s="1"/>
  <c r="B64" s="1"/>
  <c r="B65" s="1"/>
  <c r="B66" s="1"/>
  <c r="B67" s="1"/>
  <c r="B68" s="1"/>
  <c r="B69" s="1"/>
  <c r="B70" s="1"/>
  <c r="B71" s="1"/>
  <c r="B72" s="1"/>
  <c r="B73" s="1"/>
  <c r="B74" s="1"/>
  <c r="G23"/>
  <c r="G4995" i="97" s="1"/>
  <c r="G13" i="74"/>
  <c r="G4988" i="97" s="1"/>
  <c r="G10" i="74"/>
  <c r="G4985" i="97" s="1"/>
  <c r="B37" i="73"/>
  <c r="B38" s="1"/>
  <c r="B39" s="1"/>
  <c r="B40" s="1"/>
  <c r="B41" s="1"/>
  <c r="B42" s="1"/>
  <c r="B43" s="1"/>
  <c r="B44" s="1"/>
  <c r="B45" s="1"/>
  <c r="B46" s="1"/>
  <c r="B47" s="1"/>
  <c r="B48" s="1"/>
  <c r="B49" s="1"/>
  <c r="B50" s="1"/>
  <c r="H22"/>
  <c r="G4980" i="97" s="1"/>
  <c r="G22" i="73"/>
  <c r="G4965" i="97" s="1"/>
  <c r="B53" i="72"/>
  <c r="B54" s="1"/>
  <c r="B55" s="1"/>
  <c r="B56" s="1"/>
  <c r="B57" s="1"/>
  <c r="B58" s="1"/>
  <c r="B59" s="1"/>
  <c r="B60" s="1"/>
  <c r="B61" s="1"/>
  <c r="B62" s="1"/>
  <c r="B63" s="1"/>
  <c r="B64" s="1"/>
  <c r="B65" s="1"/>
  <c r="B66" s="1"/>
  <c r="B67" s="1"/>
  <c r="B68" s="1"/>
  <c r="B69" s="1"/>
  <c r="B70" s="1"/>
  <c r="B71" s="1"/>
  <c r="B72" s="1"/>
  <c r="B73" s="1"/>
  <c r="B74" s="1"/>
  <c r="B75" s="1"/>
  <c r="B76" s="1"/>
  <c r="AE24"/>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s="1"/>
  <c r="B72" s="1"/>
  <c r="B73" s="1"/>
  <c r="B74" s="1"/>
  <c r="B75" s="1"/>
  <c r="B76" s="1"/>
  <c r="B77" s="1"/>
  <c r="B78" s="1"/>
  <c r="B79" s="1"/>
  <c r="B80" s="1"/>
  <c r="B81" s="1"/>
  <c r="B82" s="1"/>
  <c r="B83" s="1"/>
  <c r="B84" s="1"/>
  <c r="B85" s="1"/>
  <c r="B86" s="1"/>
  <c r="B87" s="1"/>
  <c r="B88" s="1"/>
  <c r="B89" s="1"/>
  <c r="B90" s="1"/>
  <c r="B93" s="1"/>
  <c r="B94" s="1"/>
  <c r="B95" s="1"/>
  <c r="G51"/>
  <c r="G4587" i="97" s="1"/>
  <c r="G44" i="71"/>
  <c r="G4582" i="97" s="1"/>
  <c r="G39" i="71"/>
  <c r="G4578" i="97" s="1"/>
  <c r="G32" i="71"/>
  <c r="G4573" i="97" s="1"/>
  <c r="B53" i="70"/>
  <c r="B54" s="1"/>
  <c r="B55" s="1"/>
  <c r="B56" s="1"/>
  <c r="B57" s="1"/>
  <c r="B58" s="1"/>
  <c r="B59" s="1"/>
  <c r="B60" s="1"/>
  <c r="B61" s="1"/>
  <c r="B62" s="1"/>
  <c r="B63" s="1"/>
  <c r="B64" s="1"/>
  <c r="B65" s="1"/>
  <c r="B66" s="1"/>
  <c r="B67" s="1"/>
  <c r="B68" s="1"/>
  <c r="B69" s="1"/>
  <c r="B72" s="1"/>
  <c r="B73" s="1"/>
  <c r="B74" s="1"/>
  <c r="B75" s="1"/>
  <c r="B76" s="1"/>
  <c r="B77" s="1"/>
  <c r="B78" s="1"/>
  <c r="B79" s="1"/>
  <c r="M37"/>
  <c r="J37" s="1"/>
  <c r="M34"/>
  <c r="J34" s="1"/>
  <c r="J33"/>
  <c r="G33"/>
  <c r="G4544" i="97" s="1"/>
  <c r="M32" i="70"/>
  <c r="J32" s="1"/>
  <c r="M31"/>
  <c r="J31" s="1"/>
  <c r="M30"/>
  <c r="J30" s="1"/>
  <c r="M29"/>
  <c r="J29" s="1"/>
  <c r="M28"/>
  <c r="J28" s="1"/>
  <c r="M27"/>
  <c r="J27" s="1"/>
  <c r="M26"/>
  <c r="J26" s="1"/>
  <c r="M23"/>
  <c r="J23" s="1"/>
  <c r="M22"/>
  <c r="J22" s="1"/>
  <c r="M21"/>
  <c r="J21" s="1"/>
  <c r="M20"/>
  <c r="J20" s="1"/>
  <c r="M19"/>
  <c r="J19" s="1"/>
  <c r="M18"/>
  <c r="J18" s="1"/>
  <c r="M17"/>
  <c r="J17" s="1"/>
  <c r="M16"/>
  <c r="J16" s="1"/>
  <c r="M15"/>
  <c r="J15" s="1"/>
  <c r="M14"/>
  <c r="J14" s="1"/>
  <c r="M12"/>
  <c r="J12" s="1"/>
  <c r="M11"/>
  <c r="J11" s="1"/>
  <c r="M10"/>
  <c r="J10" s="1"/>
  <c r="M9"/>
  <c r="J9" s="1"/>
  <c r="M8"/>
  <c r="J8" s="1"/>
  <c r="M7"/>
  <c r="J7" s="1"/>
  <c r="M6"/>
  <c r="B139" i="69"/>
  <c r="B140" s="1"/>
  <c r="B141" s="1"/>
  <c r="B142" s="1"/>
  <c r="M123"/>
  <c r="J123" s="1"/>
  <c r="M122"/>
  <c r="J122" s="1"/>
  <c r="M121"/>
  <c r="J121" s="1"/>
  <c r="M120"/>
  <c r="J120" s="1"/>
  <c r="M119"/>
  <c r="J119" s="1"/>
  <c r="M118"/>
  <c r="J118" s="1"/>
  <c r="M117"/>
  <c r="J117" s="1"/>
  <c r="M116"/>
  <c r="J116" s="1"/>
  <c r="M113"/>
  <c r="J113" s="1"/>
  <c r="M112"/>
  <c r="J112" s="1"/>
  <c r="M111"/>
  <c r="J111" s="1"/>
  <c r="M110"/>
  <c r="J110" s="1"/>
  <c r="M109"/>
  <c r="J109" s="1"/>
  <c r="M108"/>
  <c r="J108" s="1"/>
  <c r="M107"/>
  <c r="J107" s="1"/>
  <c r="M106"/>
  <c r="J106" s="1"/>
  <c r="M103"/>
  <c r="J103" s="1"/>
  <c r="M102"/>
  <c r="J102" s="1"/>
  <c r="M101"/>
  <c r="J101" s="1"/>
  <c r="M100"/>
  <c r="J100" s="1"/>
  <c r="M99"/>
  <c r="J99" s="1"/>
  <c r="M98"/>
  <c r="J98" s="1"/>
  <c r="M97"/>
  <c r="J97" s="1"/>
  <c r="M96"/>
  <c r="J96" s="1"/>
  <c r="M95"/>
  <c r="J95" s="1"/>
  <c r="M94"/>
  <c r="J94" s="1"/>
  <c r="M93"/>
  <c r="J93" s="1"/>
  <c r="M92"/>
  <c r="J92" s="1"/>
  <c r="M91"/>
  <c r="J91" s="1"/>
  <c r="M90"/>
  <c r="J90" s="1"/>
  <c r="M89"/>
  <c r="J89" s="1"/>
  <c r="M88"/>
  <c r="J88" s="1"/>
  <c r="M87"/>
  <c r="J87" s="1"/>
  <c r="M86"/>
  <c r="J86" s="1"/>
  <c r="M85"/>
  <c r="J85" s="1"/>
  <c r="M84"/>
  <c r="J84" s="1"/>
  <c r="M83"/>
  <c r="J83" s="1"/>
  <c r="M82"/>
  <c r="J82" s="1"/>
  <c r="M81"/>
  <c r="J81" s="1"/>
  <c r="M80"/>
  <c r="J80" s="1"/>
  <c r="M79"/>
  <c r="J79" s="1"/>
  <c r="M78"/>
  <c r="J78" s="1"/>
  <c r="M77"/>
  <c r="J77" s="1"/>
  <c r="M76"/>
  <c r="J76" s="1"/>
  <c r="M75"/>
  <c r="J75" s="1"/>
  <c r="M74"/>
  <c r="J74" s="1"/>
  <c r="M73"/>
  <c r="J73" s="1"/>
  <c r="M72"/>
  <c r="J72" s="1"/>
  <c r="M71"/>
  <c r="J71" s="1"/>
  <c r="M70"/>
  <c r="J70" s="1"/>
  <c r="M67"/>
  <c r="J67" s="1"/>
  <c r="M66"/>
  <c r="J66" s="1"/>
  <c r="M65"/>
  <c r="J65" s="1"/>
  <c r="M64"/>
  <c r="J64" s="1"/>
  <c r="M63"/>
  <c r="J63" s="1"/>
  <c r="M62"/>
  <c r="J62" s="1"/>
  <c r="M61"/>
  <c r="J61" s="1"/>
  <c r="M60"/>
  <c r="J60" s="1"/>
  <c r="M59"/>
  <c r="J59" s="1"/>
  <c r="M58"/>
  <c r="J58" s="1"/>
  <c r="M57"/>
  <c r="J57" s="1"/>
  <c r="M56"/>
  <c r="J56" s="1"/>
  <c r="M55"/>
  <c r="J55" s="1"/>
  <c r="M54"/>
  <c r="J54" s="1"/>
  <c r="M53"/>
  <c r="J53" s="1"/>
  <c r="M52"/>
  <c r="J52" s="1"/>
  <c r="M51"/>
  <c r="J51" s="1"/>
  <c r="M50"/>
  <c r="J50" s="1"/>
  <c r="M49"/>
  <c r="J49" s="1"/>
  <c r="M48"/>
  <c r="J48" s="1"/>
  <c r="M47"/>
  <c r="J47" s="1"/>
  <c r="M46"/>
  <c r="J46" s="1"/>
  <c r="M45"/>
  <c r="J45" s="1"/>
  <c r="M44"/>
  <c r="J44" s="1"/>
  <c r="M43"/>
  <c r="J43" s="1"/>
  <c r="M42"/>
  <c r="J42" s="1"/>
  <c r="M41"/>
  <c r="J41" s="1"/>
  <c r="M40"/>
  <c r="J40" s="1"/>
  <c r="M39"/>
  <c r="J39" s="1"/>
  <c r="M38"/>
  <c r="J38" s="1"/>
  <c r="M37"/>
  <c r="J37" s="1"/>
  <c r="M36"/>
  <c r="J36" s="1"/>
  <c r="M33"/>
  <c r="J33" s="1"/>
  <c r="M30"/>
  <c r="J30" s="1"/>
  <c r="M29"/>
  <c r="J29" s="1"/>
  <c r="M28"/>
  <c r="J28" s="1"/>
  <c r="M27"/>
  <c r="J27" s="1"/>
  <c r="M26"/>
  <c r="J26" s="1"/>
  <c r="M25"/>
  <c r="J25" s="1"/>
  <c r="M24"/>
  <c r="J24" s="1"/>
  <c r="M23"/>
  <c r="J23" s="1"/>
  <c r="M21"/>
  <c r="J21" s="1"/>
  <c r="M19"/>
  <c r="J19" s="1"/>
  <c r="M18"/>
  <c r="J18" s="1"/>
  <c r="M17"/>
  <c r="J17" s="1"/>
  <c r="M16"/>
  <c r="J16" s="1"/>
  <c r="M15"/>
  <c r="J15" s="1"/>
  <c r="M14"/>
  <c r="J14" s="1"/>
  <c r="J13"/>
  <c r="M10"/>
  <c r="J10" s="1"/>
  <c r="M9"/>
  <c r="J9" s="1"/>
  <c r="M8"/>
  <c r="J8" s="1"/>
  <c r="M7"/>
  <c r="J7" s="1"/>
  <c r="M6"/>
  <c r="B40" i="68"/>
  <c r="B41" s="1"/>
  <c r="B42" s="1"/>
  <c r="B43" s="1"/>
  <c r="B44" s="1"/>
  <c r="B45" s="1"/>
  <c r="B46" s="1"/>
  <c r="B47" s="1"/>
  <c r="B48" s="1"/>
  <c r="B49" s="1"/>
  <c r="B50" s="1"/>
  <c r="B51" s="1"/>
  <c r="B52" s="1"/>
  <c r="B53" s="1"/>
  <c r="B54" s="1"/>
  <c r="B39" i="67"/>
  <c r="B40" s="1"/>
  <c r="B41" s="1"/>
  <c r="B42" s="1"/>
  <c r="B43" s="1"/>
  <c r="B44" s="1"/>
  <c r="B45" s="1"/>
  <c r="G15"/>
  <c r="G4403" i="97" s="1"/>
  <c r="B67" i="66"/>
  <c r="B68" s="1"/>
  <c r="B69" s="1"/>
  <c r="B70" s="1"/>
  <c r="B71" s="1"/>
  <c r="B72" s="1"/>
  <c r="B73" s="1"/>
  <c r="B74" s="1"/>
  <c r="B75" s="1"/>
  <c r="B76" s="1"/>
  <c r="B77" s="1"/>
  <c r="B78" s="1"/>
  <c r="B79" s="1"/>
  <c r="B80" s="1"/>
  <c r="B81" s="1"/>
  <c r="B82" s="1"/>
  <c r="B83" s="1"/>
  <c r="B84" s="1"/>
  <c r="B85" s="1"/>
  <c r="B86" s="1"/>
  <c r="B87" s="1"/>
  <c r="B88" s="1"/>
  <c r="B89" s="1"/>
  <c r="B90" s="1"/>
  <c r="B91" s="1"/>
  <c r="B92" s="1"/>
  <c r="B93" s="1"/>
  <c r="W52"/>
  <c r="G4350" i="97" s="1"/>
  <c r="P52" i="66"/>
  <c r="G4035" i="97" s="1"/>
  <c r="N52" i="66"/>
  <c r="G3945" i="97" s="1"/>
  <c r="H52" i="66"/>
  <c r="G3675" i="97" s="1"/>
  <c r="G52" i="66"/>
  <c r="G3630" i="97" s="1"/>
  <c r="B60" i="65"/>
  <c r="S4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s="1"/>
  <c r="B69" s="1"/>
  <c r="B70" s="1"/>
  <c r="B71" s="1"/>
  <c r="B72" s="1"/>
  <c r="B73" s="1"/>
  <c r="B74" s="1"/>
  <c r="B75" s="1"/>
  <c r="B76" s="1"/>
  <c r="B77" s="1"/>
  <c r="B78" s="1"/>
  <c r="B79" s="1"/>
  <c r="B80" s="1"/>
  <c r="B81" s="1"/>
  <c r="B82" s="1"/>
  <c r="B83" s="1"/>
  <c r="B84" s="1"/>
  <c r="B85" s="1"/>
  <c r="B86" s="1"/>
  <c r="B87" s="1"/>
  <c r="B88" s="1"/>
  <c r="B89" s="1"/>
  <c r="O43"/>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s="1"/>
  <c r="B69" s="1"/>
  <c r="B70" s="1"/>
  <c r="B71" s="1"/>
  <c r="B72" s="1"/>
  <c r="B73" s="1"/>
  <c r="B74" s="1"/>
  <c r="B75" s="1"/>
  <c r="B76" s="1"/>
  <c r="B77" s="1"/>
  <c r="B78" s="1"/>
  <c r="B79" s="1"/>
  <c r="B80" s="1"/>
  <c r="B81" s="1"/>
  <c r="B82" s="1"/>
  <c r="B83" s="1"/>
  <c r="B84" s="1"/>
  <c r="B85" s="1"/>
  <c r="B86" s="1"/>
  <c r="B87" s="1"/>
  <c r="B88" s="1"/>
  <c r="B89" s="1"/>
  <c r="M49"/>
  <c r="G2728" i="97" s="1"/>
  <c r="M43" i="63"/>
  <c r="G2722" i="97" s="1"/>
  <c r="M42" i="63"/>
  <c r="G2721" i="97" s="1"/>
  <c r="M41" i="63"/>
  <c r="G2720" i="97" s="1"/>
  <c r="M40" i="63"/>
  <c r="G2719" i="97" s="1"/>
  <c r="M39" i="63"/>
  <c r="G2718" i="97" s="1"/>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s="1"/>
  <c r="B64" s="1"/>
  <c r="B67" s="1"/>
  <c r="B68" s="1"/>
  <c r="B69" s="1"/>
  <c r="B70" s="1"/>
  <c r="B71" s="1"/>
  <c r="B72" s="1"/>
  <c r="B73" s="1"/>
  <c r="B74" s="1"/>
  <c r="B75" s="1"/>
  <c r="AD34"/>
  <c r="J6" i="70"/>
  <c r="C52" i="2"/>
  <c r="J6" i="69"/>
  <c r="C51" i="2"/>
  <c r="B96" i="71"/>
  <c r="B97" s="1"/>
  <c r="B98" s="1"/>
  <c r="B99" s="1"/>
  <c r="B100" s="1"/>
  <c r="B101" s="1"/>
  <c r="B102" s="1"/>
  <c r="B103" s="1"/>
  <c r="B104" s="1"/>
  <c r="B105" s="1"/>
  <c r="B106" s="1"/>
  <c r="B107" s="1"/>
  <c r="B108" s="1"/>
  <c r="B109" s="1"/>
  <c r="B110" s="1"/>
  <c r="B111" s="1"/>
  <c r="B80" i="70"/>
  <c r="B81" s="1"/>
  <c r="B82" s="1"/>
  <c r="B83" s="1"/>
  <c r="H53" i="66"/>
  <c r="N53"/>
  <c r="G53"/>
  <c r="O53" s="1"/>
  <c r="AA40" i="64"/>
  <c r="W40"/>
  <c r="V40"/>
  <c r="Z40"/>
  <c r="AC40"/>
  <c r="Y40"/>
  <c r="X40"/>
  <c r="AB40"/>
  <c r="Z43"/>
  <c r="AC43"/>
  <c r="Y43"/>
  <c r="AB43"/>
  <c r="X43"/>
  <c r="V43"/>
  <c r="AA43"/>
  <c r="W43"/>
  <c r="AB41"/>
  <c r="X41"/>
  <c r="AA41"/>
  <c r="W41"/>
  <c r="Z41"/>
  <c r="V41"/>
  <c r="Y41"/>
  <c r="AC41"/>
  <c r="Z39"/>
  <c r="AC39"/>
  <c r="Y39"/>
  <c r="AB39"/>
  <c r="X39"/>
  <c r="W39"/>
  <c r="V39"/>
  <c r="AA39"/>
  <c r="AC42"/>
  <c r="Y42"/>
  <c r="V42"/>
  <c r="AB42"/>
  <c r="X42"/>
  <c r="AA42"/>
  <c r="W42"/>
  <c r="Z42"/>
  <c r="AG30"/>
  <c r="G29"/>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AC30" i="63"/>
  <c r="B61" i="65"/>
  <c r="B62" s="1"/>
  <c r="B63" s="1"/>
  <c r="B64" s="1"/>
  <c r="B65" s="1"/>
  <c r="B66" s="1"/>
  <c r="B67" s="1"/>
  <c r="B68" s="1"/>
  <c r="B69" s="1"/>
  <c r="B70" s="1"/>
  <c r="B71" s="1"/>
  <c r="B72" s="1"/>
  <c r="B73" s="1"/>
  <c r="J46"/>
  <c r="I46"/>
  <c r="K46"/>
  <c r="H46"/>
  <c r="L46"/>
  <c r="G46"/>
  <c r="C57" i="2"/>
  <c r="B143" i="69"/>
  <c r="B144" s="1"/>
  <c r="B145" s="1"/>
  <c r="B146" s="1"/>
  <c r="B147" s="1"/>
  <c r="B148" s="1"/>
  <c r="B149" s="1"/>
  <c r="B150" s="1"/>
  <c r="B151" s="1"/>
  <c r="B46" i="67"/>
  <c r="B47" s="1"/>
  <c r="B48" s="1"/>
  <c r="B49" s="1"/>
  <c r="B50" s="1"/>
  <c r="B51" s="1"/>
  <c r="G18"/>
  <c r="G4406" i="97" s="1"/>
  <c r="L51" i="76"/>
  <c r="G5396" i="97" s="1"/>
  <c r="AF68" i="76"/>
  <c r="AD68" s="1"/>
  <c r="N20" i="75"/>
  <c r="G5152" i="97" s="1"/>
  <c r="N18" i="75"/>
  <c r="G5150" i="97" s="1"/>
  <c r="AA44" i="66"/>
  <c r="AA40"/>
  <c r="AA51"/>
  <c r="AA42"/>
  <c r="AA38"/>
  <c r="AA43"/>
  <c r="AA39"/>
  <c r="AA45"/>
  <c r="AA41"/>
  <c r="G15" i="74"/>
  <c r="G4990" i="97" s="1"/>
  <c r="AM31" i="65"/>
  <c r="AI31"/>
  <c r="AD31"/>
  <c r="AJ31"/>
  <c r="AA31"/>
  <c r="AL31"/>
  <c r="AH31"/>
  <c r="AC31"/>
  <c r="AK31"/>
  <c r="AF31"/>
  <c r="AB31"/>
  <c r="AE31"/>
  <c r="AM33"/>
  <c r="AI33"/>
  <c r="AD33"/>
  <c r="AJ33"/>
  <c r="AL33"/>
  <c r="AH33"/>
  <c r="AC33"/>
  <c r="AA33"/>
  <c r="AK33"/>
  <c r="AF33"/>
  <c r="AB33"/>
  <c r="AE33"/>
  <c r="AM35"/>
  <c r="AI35"/>
  <c r="AD35"/>
  <c r="AJ35"/>
  <c r="AL35"/>
  <c r="AH35"/>
  <c r="AC35"/>
  <c r="AA35"/>
  <c r="AK35"/>
  <c r="AF35"/>
  <c r="AB35"/>
  <c r="AE35"/>
  <c r="AM37"/>
  <c r="AI37"/>
  <c r="AD37"/>
  <c r="AE37"/>
  <c r="AL37"/>
  <c r="AH37"/>
  <c r="AC37"/>
  <c r="AA37"/>
  <c r="AK37"/>
  <c r="AF37"/>
  <c r="AB37"/>
  <c r="AJ37"/>
  <c r="AM44"/>
  <c r="AI44"/>
  <c r="AD44"/>
  <c r="AA44"/>
  <c r="AL44"/>
  <c r="AH44"/>
  <c r="AC44"/>
  <c r="AE44"/>
  <c r="AK44"/>
  <c r="AF44"/>
  <c r="AB44"/>
  <c r="AJ44"/>
  <c r="AM32"/>
  <c r="AI32"/>
  <c r="AD32"/>
  <c r="AE32"/>
  <c r="AL32"/>
  <c r="AH32"/>
  <c r="AC32"/>
  <c r="AA32"/>
  <c r="AK32"/>
  <c r="AF32"/>
  <c r="AB32"/>
  <c r="AJ32"/>
  <c r="AM36"/>
  <c r="AI36"/>
  <c r="AD36"/>
  <c r="AE36"/>
  <c r="AL36"/>
  <c r="AH36"/>
  <c r="AC36"/>
  <c r="AA36"/>
  <c r="AK36"/>
  <c r="AF36"/>
  <c r="AB36"/>
  <c r="AJ36"/>
  <c r="AM38"/>
  <c r="AI38"/>
  <c r="AD38"/>
  <c r="AE38"/>
  <c r="AL38"/>
  <c r="AH38"/>
  <c r="AC38"/>
  <c r="AA38"/>
  <c r="AK38"/>
  <c r="AF38"/>
  <c r="AB38"/>
  <c r="AJ38"/>
  <c r="AM34"/>
  <c r="AI34"/>
  <c r="AD34"/>
  <c r="AJ34"/>
  <c r="AL34"/>
  <c r="AH34"/>
  <c r="AC34"/>
  <c r="AA34"/>
  <c r="AK34"/>
  <c r="AF34"/>
  <c r="AB34"/>
  <c r="AE34"/>
  <c r="T41" i="63"/>
  <c r="X41"/>
  <c r="W41"/>
  <c r="Y41"/>
  <c r="V41"/>
  <c r="U41"/>
  <c r="T42"/>
  <c r="W42"/>
  <c r="X42"/>
  <c r="V42"/>
  <c r="Y42"/>
  <c r="U42"/>
  <c r="T39"/>
  <c r="V39"/>
  <c r="Y39"/>
  <c r="U39"/>
  <c r="W39"/>
  <c r="X39"/>
  <c r="T43"/>
  <c r="V43"/>
  <c r="W43"/>
  <c r="Y43"/>
  <c r="U43"/>
  <c r="X43"/>
  <c r="T40"/>
  <c r="Y40"/>
  <c r="U40"/>
  <c r="V40"/>
  <c r="X40"/>
  <c r="W40"/>
  <c r="AM30" i="65"/>
  <c r="AI30"/>
  <c r="AD30"/>
  <c r="AE30"/>
  <c r="AL30"/>
  <c r="AH30"/>
  <c r="AC30"/>
  <c r="AA30"/>
  <c r="AK30"/>
  <c r="AF30"/>
  <c r="AB30"/>
  <c r="AJ30"/>
  <c r="Z14" i="72"/>
  <c r="G4849" i="97" s="1"/>
  <c r="M6" i="65"/>
  <c r="T24" i="72"/>
  <c r="G4772" i="97" s="1"/>
  <c r="X52" i="66"/>
  <c r="G4395" i="97" s="1"/>
  <c r="J31" i="64"/>
  <c r="G2858" i="97" s="1"/>
  <c r="T45" i="65"/>
  <c r="G3585" i="97" s="1"/>
  <c r="M45" i="65"/>
  <c r="G3319" i="97" s="1"/>
  <c r="AR46" i="65"/>
  <c r="AQ46" s="1"/>
  <c r="O52" i="66"/>
  <c r="G3990" i="97" s="1"/>
  <c r="O16" i="64"/>
  <c r="G3026" i="97" s="1"/>
  <c r="G19" i="64"/>
  <c r="G2740" i="97" s="1"/>
  <c r="I29" i="64"/>
  <c r="G2820" i="97" s="1"/>
  <c r="L29" i="64"/>
  <c r="G2928" i="97" s="1"/>
  <c r="M27" i="63"/>
  <c r="G2710" i="97" s="1"/>
  <c r="M16" i="63"/>
  <c r="G2702" i="97" s="1"/>
  <c r="Q28" i="75"/>
  <c r="Q36"/>
  <c r="AF14" i="72"/>
  <c r="G4933" i="97" s="1"/>
  <c r="Z24" i="72"/>
  <c r="G4856" i="97" s="1"/>
  <c r="Q8" i="75"/>
  <c r="Q7"/>
  <c r="Q27"/>
  <c r="Q29"/>
  <c r="Q33"/>
  <c r="O49" i="64"/>
  <c r="G3052" i="97" s="1"/>
  <c r="O27" i="64"/>
  <c r="G3034" i="97" s="1"/>
  <c r="N29" i="64"/>
  <c r="G3000" i="97" s="1"/>
  <c r="N14" i="72"/>
  <c r="G4694" i="97" s="1"/>
  <c r="Q32" i="75"/>
  <c r="T14" i="72"/>
  <c r="G4765" i="97" s="1"/>
  <c r="AF24" i="72"/>
  <c r="G4940" i="97" s="1"/>
  <c r="Q25" i="75"/>
  <c r="Q26"/>
  <c r="O35" i="76"/>
  <c r="G5435" i="97" s="1"/>
  <c r="N24" i="72"/>
  <c r="G4702" i="97" s="1"/>
  <c r="C47" i="2" l="1"/>
  <c r="R43" i="64"/>
  <c r="AD18" i="75"/>
  <c r="AY52" i="66"/>
  <c r="R42" i="64"/>
  <c r="R40"/>
  <c r="R39"/>
  <c r="AZ53" i="66"/>
  <c r="R41" i="64"/>
  <c r="I31"/>
  <c r="G2822" i="97" s="1"/>
  <c r="J36" i="64"/>
  <c r="G2861" i="97" s="1"/>
  <c r="N31" i="64"/>
  <c r="G3002" i="97" s="1"/>
  <c r="G31" i="64"/>
  <c r="G2750" i="97" s="1"/>
  <c r="H31" i="64"/>
  <c r="G2786" i="97" s="1"/>
  <c r="L31" i="64"/>
  <c r="G2930" i="97" s="1"/>
  <c r="M31" i="64"/>
  <c r="G2966" i="97" s="1"/>
  <c r="K31" i="64"/>
  <c r="G2894" i="97" s="1"/>
  <c r="I36" i="64"/>
  <c r="G2825" i="97" s="1"/>
  <c r="G20" i="67"/>
  <c r="B74" i="65"/>
  <c r="B75" s="1"/>
  <c r="B76" s="1"/>
  <c r="B77" s="1"/>
  <c r="B78" s="1"/>
  <c r="B79" s="1"/>
  <c r="B80" s="1"/>
  <c r="AQ45"/>
  <c r="B152" i="69"/>
  <c r="B153" s="1"/>
  <c r="B154" s="1"/>
  <c r="B155" s="1"/>
  <c r="B156" s="1"/>
  <c r="B157" s="1"/>
  <c r="B158" s="1"/>
  <c r="B159" s="1"/>
  <c r="B160" s="1"/>
  <c r="B161" s="1"/>
  <c r="C45" i="2"/>
  <c r="W34" i="65"/>
  <c r="W38"/>
  <c r="W36"/>
  <c r="W32"/>
  <c r="W44"/>
  <c r="W37"/>
  <c r="W35"/>
  <c r="W33"/>
  <c r="W31"/>
  <c r="W30"/>
  <c r="P40" i="63"/>
  <c r="P41"/>
  <c r="P43"/>
  <c r="P42"/>
  <c r="P39"/>
  <c r="M46" i="65"/>
  <c r="AO47" s="1"/>
  <c r="AY53" i="66"/>
  <c r="AW53" s="1"/>
  <c r="M19" i="63"/>
  <c r="G2704" i="97" s="1"/>
  <c r="AO46" i="65"/>
  <c r="O19" i="64"/>
  <c r="G3028" i="97" s="1"/>
  <c r="O29" i="64"/>
  <c r="G3036" i="97" s="1"/>
  <c r="M29" i="63"/>
  <c r="G2712" i="97" s="1"/>
  <c r="G21" i="67" l="1"/>
  <c r="G4409" i="97" s="1"/>
  <c r="G4408"/>
  <c r="L36" i="64"/>
  <c r="G2933" i="97" s="1"/>
  <c r="H36" i="64"/>
  <c r="G2789" i="97" s="1"/>
  <c r="M36" i="64"/>
  <c r="G2969" i="97" s="1"/>
  <c r="I52" i="64"/>
  <c r="G2837" i="97" s="1"/>
  <c r="K36" i="64"/>
  <c r="G2897" i="97" s="1"/>
  <c r="G36" i="64"/>
  <c r="G2753" i="97" s="1"/>
  <c r="J52" i="64"/>
  <c r="G2873" i="97" s="1"/>
  <c r="B162" i="69"/>
  <c r="B163" s="1"/>
  <c r="B164" s="1"/>
  <c r="B165" s="1"/>
  <c r="B169" s="1"/>
  <c r="B170" s="1"/>
  <c r="B171" s="1"/>
  <c r="B172" s="1"/>
  <c r="B173" s="1"/>
  <c r="B174" s="1"/>
  <c r="B175" s="1"/>
  <c r="B176" s="1"/>
  <c r="B177" s="1"/>
  <c r="B178" s="1"/>
  <c r="B179" s="1"/>
  <c r="B180" s="1"/>
  <c r="B181" s="1"/>
  <c r="B182" s="1"/>
  <c r="B183" s="1"/>
  <c r="B184" s="1"/>
  <c r="B185" s="1"/>
  <c r="B186" s="1"/>
  <c r="B187" s="1"/>
  <c r="B188" s="1"/>
  <c r="B189" s="1"/>
  <c r="B190" s="1"/>
  <c r="B191" s="1"/>
  <c r="B192" s="1"/>
  <c r="B193" s="1"/>
  <c r="B194" s="1"/>
  <c r="B195" s="1"/>
  <c r="B196" s="1"/>
  <c r="B197" s="1"/>
  <c r="B198" s="1"/>
  <c r="B199" s="1"/>
  <c r="B200" s="1"/>
  <c r="B217" s="1"/>
  <c r="B218" s="1"/>
  <c r="B219" s="1"/>
  <c r="B220" s="1"/>
  <c r="B221" s="1"/>
  <c r="B222" s="1"/>
  <c r="B223" s="1"/>
  <c r="B224" s="1"/>
  <c r="B225" s="1"/>
  <c r="B226" s="1"/>
  <c r="B227" s="1"/>
  <c r="M31" i="63"/>
  <c r="G2714" i="97" s="1"/>
  <c r="N36" i="64"/>
  <c r="G3005" i="97" s="1"/>
  <c r="O31" i="64"/>
  <c r="G3038" i="97" s="1"/>
  <c r="M36" i="63"/>
  <c r="G2717" i="97" s="1"/>
  <c r="M52" i="63"/>
  <c r="G2729" i="97" s="1"/>
  <c r="L52" i="64" l="1"/>
  <c r="G2945" i="97" s="1"/>
  <c r="G52" i="64"/>
  <c r="G2765" i="97" s="1"/>
  <c r="K52" i="64"/>
  <c r="G2909" i="97" s="1"/>
  <c r="M52" i="64"/>
  <c r="G2981" i="97" s="1"/>
  <c r="H52" i="64"/>
  <c r="G2801" i="97" s="1"/>
  <c r="AC52" i="63"/>
  <c r="B228" i="69"/>
  <c r="B229" s="1"/>
  <c r="B230" s="1"/>
  <c r="B231" s="1"/>
  <c r="B232" s="1"/>
  <c r="B233" s="1"/>
  <c r="B234" s="1"/>
  <c r="B235" s="1"/>
  <c r="B236" s="1"/>
  <c r="B237" s="1"/>
  <c r="B238" s="1"/>
  <c r="B239" s="1"/>
  <c r="B240" s="1"/>
  <c r="B241" s="1"/>
  <c r="B242" s="1"/>
  <c r="B243" s="1"/>
  <c r="B244" s="1"/>
  <c r="B245" s="1"/>
  <c r="B246" s="1"/>
  <c r="B247" s="1"/>
  <c r="B248" s="1"/>
  <c r="B249" s="1"/>
  <c r="B250" s="1"/>
  <c r="N52" i="64"/>
  <c r="G3017" i="97" s="1"/>
  <c r="O36" i="64"/>
  <c r="G3041" i="97" s="1"/>
  <c r="O52" i="64" l="1"/>
  <c r="G3053" i="97" s="1"/>
  <c r="N11" i="31"/>
  <c r="G2182" i="97" s="1"/>
  <c r="N10" i="31"/>
  <c r="O10" s="1"/>
  <c r="N9"/>
  <c r="G2181" i="97" s="1"/>
  <c r="N8" i="31"/>
  <c r="G2180" i="97" s="1"/>
  <c r="N7" i="31"/>
  <c r="G2179" i="97" s="1"/>
  <c r="M12" i="31"/>
  <c r="G2170" i="97" s="1"/>
  <c r="L12" i="31"/>
  <c r="G2157" i="97" s="1"/>
  <c r="K12" i="31"/>
  <c r="G2144" i="97" s="1"/>
  <c r="I12" i="31"/>
  <c r="G2118" i="97" s="1"/>
  <c r="AG52" i="64" l="1"/>
  <c r="N12" i="31"/>
  <c r="G2183" i="97" s="1"/>
  <c r="L13" i="27"/>
  <c r="G1625" i="97" s="1"/>
  <c r="K13" i="27"/>
  <c r="G1616" i="97" s="1"/>
  <c r="H13" i="27"/>
  <c r="G1590" i="97" s="1"/>
  <c r="I28" i="19"/>
  <c r="G1507" i="97" s="1"/>
  <c r="I27" i="19"/>
  <c r="G1506" i="97" s="1"/>
  <c r="I26" i="19"/>
  <c r="G1505" i="97" s="1"/>
  <c r="I14" i="19"/>
  <c r="G1498" i="97" s="1"/>
  <c r="I13" i="19"/>
  <c r="G1497" i="97" s="1"/>
  <c r="I12" i="19"/>
  <c r="G1496" i="97" s="1"/>
  <c r="I8" i="19"/>
  <c r="G1494" i="97" s="1"/>
  <c r="I7" i="19"/>
  <c r="G1493" i="97" s="1"/>
  <c r="I6" i="19"/>
  <c r="G1492" i="97" s="1"/>
  <c r="H29" i="19"/>
  <c r="G29"/>
  <c r="G1458" i="97" s="1"/>
  <c r="H15" i="19"/>
  <c r="G1474" i="97" s="1"/>
  <c r="G15" i="19"/>
  <c r="G1449" i="97" s="1"/>
  <c r="H9" i="19"/>
  <c r="G1470" i="97" s="1"/>
  <c r="I10" i="13"/>
  <c r="G929" i="97" s="1"/>
  <c r="N7" i="11"/>
  <c r="G735" i="97" s="1"/>
  <c r="N6" i="11"/>
  <c r="G734" i="97" s="1"/>
  <c r="K16" i="11"/>
  <c r="G720" i="97" s="1"/>
  <c r="K15" i="11"/>
  <c r="G719" i="97" s="1"/>
  <c r="K7" i="11"/>
  <c r="G713" i="97" s="1"/>
  <c r="K6" i="11"/>
  <c r="G712" i="97" s="1"/>
  <c r="U29" i="23"/>
  <c r="U28"/>
  <c r="U27"/>
  <c r="U26"/>
  <c r="U25"/>
  <c r="U24"/>
  <c r="U23"/>
  <c r="U22"/>
  <c r="U21"/>
  <c r="U20"/>
  <c r="U19"/>
  <c r="U18"/>
  <c r="U17"/>
  <c r="U16"/>
  <c r="U15"/>
  <c r="U14"/>
  <c r="U13"/>
  <c r="U12"/>
  <c r="U11"/>
  <c r="U10"/>
  <c r="U9"/>
  <c r="U8"/>
  <c r="U7"/>
  <c r="U6"/>
  <c r="U5"/>
  <c r="O29"/>
  <c r="O28"/>
  <c r="O27"/>
  <c r="O26"/>
  <c r="O25"/>
  <c r="O24"/>
  <c r="O23"/>
  <c r="O22"/>
  <c r="O21"/>
  <c r="O20"/>
  <c r="O19"/>
  <c r="O18"/>
  <c r="O17"/>
  <c r="O16"/>
  <c r="O15"/>
  <c r="O14"/>
  <c r="O13"/>
  <c r="O12"/>
  <c r="O11"/>
  <c r="O10"/>
  <c r="O9"/>
  <c r="O8"/>
  <c r="O7"/>
  <c r="O6"/>
  <c r="O5"/>
  <c r="E30"/>
  <c r="N17" i="14"/>
  <c r="G1058" i="97" s="1"/>
  <c r="N10" i="14"/>
  <c r="G1053" i="97" s="1"/>
  <c r="X25" i="29"/>
  <c r="W25"/>
  <c r="V25"/>
  <c r="U25"/>
  <c r="T25"/>
  <c r="S25"/>
  <c r="J15" i="30"/>
  <c r="G1932" i="97" s="1"/>
  <c r="I15" i="30"/>
  <c r="G1904" i="97" s="1"/>
  <c r="H15" i="30"/>
  <c r="G1876" i="97" s="1"/>
  <c r="G15" i="30"/>
  <c r="G1848" i="97" s="1"/>
  <c r="E31" i="18"/>
  <c r="G1338" i="97" s="1"/>
  <c r="B25" i="24"/>
  <c r="AQ6" i="11" l="1"/>
  <c r="G1483" i="97"/>
  <c r="L19" i="27"/>
  <c r="G1627" i="97" s="1"/>
  <c r="K19" i="27"/>
  <c r="G1618" i="97" s="1"/>
  <c r="AH6" i="11"/>
  <c r="G23" i="19"/>
  <c r="G1454" i="97" s="1"/>
  <c r="P7" i="11"/>
  <c r="G754" i="97" s="1"/>
  <c r="AS6" i="11"/>
  <c r="P6"/>
  <c r="G753" i="97" s="1"/>
  <c r="AV6" i="11"/>
  <c r="H23" i="19"/>
  <c r="G1479" i="97" s="1"/>
  <c r="AN6" i="11"/>
  <c r="AG6" s="1"/>
  <c r="I29" i="19"/>
  <c r="G1508" i="97" s="1"/>
  <c r="I15" i="19"/>
  <c r="G1499" i="97" s="1"/>
  <c r="P25" i="29"/>
  <c r="B25" i="2"/>
  <c r="I5" i="16"/>
  <c r="G1196" i="97" s="1"/>
  <c r="AW6" i="11" l="1"/>
  <c r="AJ6" s="1"/>
  <c r="G14" i="33"/>
  <c r="G2262" i="97" s="1"/>
  <c r="H16" i="44"/>
  <c r="G1547" i="97" s="1"/>
  <c r="G16" i="44"/>
  <c r="G1538" i="97" s="1"/>
  <c r="B27" i="44"/>
  <c r="H9"/>
  <c r="G1542" i="97" s="1"/>
  <c r="G9" i="44"/>
  <c r="G1533" i="97" s="1"/>
  <c r="O8" i="44"/>
  <c r="N8"/>
  <c r="K8" s="1"/>
  <c r="O7"/>
  <c r="N7"/>
  <c r="O6"/>
  <c r="N6"/>
  <c r="H1"/>
  <c r="H13" i="96" l="1"/>
  <c r="G13"/>
  <c r="S16" i="44"/>
  <c r="Q16" s="1"/>
  <c r="J16" s="1"/>
  <c r="S9"/>
  <c r="Q9" s="1"/>
  <c r="D25" i="2" s="1"/>
  <c r="K7" i="44"/>
  <c r="K6"/>
  <c r="I13" i="96" l="1"/>
  <c r="G1558" i="97" s="1"/>
  <c r="J9" i="44"/>
  <c r="X20" i="31" l="1"/>
  <c r="U20"/>
  <c r="X18"/>
  <c r="U18"/>
  <c r="B58"/>
  <c r="B56"/>
  <c r="B54"/>
  <c r="X23"/>
  <c r="U23"/>
  <c r="N23"/>
  <c r="G2191" i="97" s="1"/>
  <c r="J23" i="31"/>
  <c r="G2139" i="97" s="1"/>
  <c r="N20" i="31"/>
  <c r="G2189" i="97" s="1"/>
  <c r="J20" i="31"/>
  <c r="G2137" i="97" s="1"/>
  <c r="N18" i="31"/>
  <c r="G2187" i="97" s="1"/>
  <c r="J18" i="31"/>
  <c r="G2135" i="97" s="1"/>
  <c r="O23" i="31" l="1"/>
  <c r="G2204" i="97" s="1"/>
  <c r="O20" i="31"/>
  <c r="G2202" i="97" s="1"/>
  <c r="O18" i="31"/>
  <c r="G2200" i="97" s="1"/>
  <c r="J21" i="15" l="1"/>
  <c r="G1151" i="97" s="1"/>
  <c r="Q10" i="15"/>
  <c r="P10"/>
  <c r="O10"/>
  <c r="L10" s="1"/>
  <c r="J10"/>
  <c r="G1144" i="97" s="1"/>
  <c r="I21" i="13"/>
  <c r="G937" i="97" s="1"/>
  <c r="Z17" i="14"/>
  <c r="Y17"/>
  <c r="U17"/>
  <c r="T17"/>
  <c r="Z10"/>
  <c r="Y10"/>
  <c r="U10"/>
  <c r="T10"/>
  <c r="X13" i="29"/>
  <c r="W13"/>
  <c r="V13"/>
  <c r="U13"/>
  <c r="T13"/>
  <c r="S13"/>
  <c r="X12"/>
  <c r="W12"/>
  <c r="V12"/>
  <c r="U12"/>
  <c r="T12"/>
  <c r="S12"/>
  <c r="P13" l="1"/>
  <c r="P12"/>
  <c r="J24" i="12"/>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c r="N9"/>
  <c r="N8"/>
  <c r="N7"/>
  <c r="B30"/>
  <c r="N6"/>
  <c r="R40" i="6"/>
  <c r="Q40"/>
  <c r="P40"/>
  <c r="J40"/>
  <c r="G241" i="97" s="1"/>
  <c r="K40" i="6" l="1"/>
  <c r="G275" i="97" s="1"/>
  <c r="B26" i="28"/>
  <c r="B29"/>
  <c r="B28"/>
  <c r="B27"/>
  <c r="M40" i="6"/>
  <c r="P35" i="4"/>
  <c r="M35" s="1"/>
  <c r="P34"/>
  <c r="M34" s="1"/>
  <c r="P33"/>
  <c r="M33" s="1"/>
  <c r="R28"/>
  <c r="Q28"/>
  <c r="P28"/>
  <c r="J28"/>
  <c r="G78" i="97" s="1"/>
  <c r="R27" i="4"/>
  <c r="Q27"/>
  <c r="P27"/>
  <c r="J27"/>
  <c r="G77" i="97" s="1"/>
  <c r="K27" i="4" l="1"/>
  <c r="G95" i="97" s="1"/>
  <c r="K28" i="4"/>
  <c r="G96" i="97" s="1"/>
  <c r="J29" i="4"/>
  <c r="G79" i="97" s="1"/>
  <c r="M27" i="4"/>
  <c r="M28"/>
  <c r="H9" i="12"/>
  <c r="G791" i="97" s="1"/>
  <c r="I8" i="12"/>
  <c r="G814" i="97" s="1"/>
  <c r="K29" i="4" l="1"/>
  <c r="G97" i="97" s="1"/>
  <c r="J36" i="12"/>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s="1"/>
  <c r="I25" i="12"/>
  <c r="G828" i="97" s="1"/>
  <c r="J25" i="12"/>
  <c r="G852" i="97" s="1"/>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c r="L7" i="12"/>
  <c r="G885" i="97" s="1"/>
  <c r="L13" i="12"/>
  <c r="G891" i="97" s="1"/>
  <c r="L16" i="12"/>
  <c r="G893" i="97" s="1"/>
  <c r="L21" i="12"/>
  <c r="G896" i="97" s="1"/>
  <c r="L23" i="12"/>
  <c r="G898" i="97" s="1"/>
  <c r="L30" i="12"/>
  <c r="G903" i="97" s="1"/>
  <c r="L36" i="12"/>
  <c r="G906" i="97" s="1"/>
  <c r="AD30" i="63"/>
  <c r="H25" i="12"/>
  <c r="G804" i="97" s="1"/>
  <c r="G25" i="12"/>
  <c r="G780" i="97" s="1"/>
  <c r="H9" i="11"/>
  <c r="G9"/>
  <c r="L9"/>
  <c r="J9"/>
  <c r="I9"/>
  <c r="Y30" i="12" l="1"/>
  <c r="W45" i="76"/>
  <c r="X44"/>
  <c r="Y43"/>
  <c r="U43"/>
  <c r="V41"/>
  <c r="W40"/>
  <c r="AA30"/>
  <c r="W30"/>
  <c r="AA29"/>
  <c r="W29"/>
  <c r="AA28"/>
  <c r="W28"/>
  <c r="AA27"/>
  <c r="W27"/>
  <c r="AA25"/>
  <c r="W25"/>
  <c r="AA24"/>
  <c r="W24"/>
  <c r="V25"/>
  <c r="V24"/>
  <c r="V45"/>
  <c r="W44"/>
  <c r="X43"/>
  <c r="Y41"/>
  <c r="U41"/>
  <c r="V40"/>
  <c r="Z30"/>
  <c r="V30"/>
  <c r="Z29"/>
  <c r="V29"/>
  <c r="Z28"/>
  <c r="V28"/>
  <c r="Z27"/>
  <c r="V27"/>
  <c r="Z25"/>
  <c r="Z24"/>
  <c r="Y45"/>
  <c r="U45"/>
  <c r="V44"/>
  <c r="W43"/>
  <c r="X41"/>
  <c r="Y40"/>
  <c r="U40"/>
  <c r="Y30"/>
  <c r="U30"/>
  <c r="Y29"/>
  <c r="U29"/>
  <c r="Y28"/>
  <c r="U28"/>
  <c r="Y27"/>
  <c r="U27"/>
  <c r="Y25"/>
  <c r="U25"/>
  <c r="Y24"/>
  <c r="U24"/>
  <c r="X25"/>
  <c r="X24"/>
  <c r="X45"/>
  <c r="Y44"/>
  <c r="U44"/>
  <c r="V43"/>
  <c r="W41"/>
  <c r="X40"/>
  <c r="AB30"/>
  <c r="X30"/>
  <c r="AB29"/>
  <c r="X29"/>
  <c r="AB28"/>
  <c r="X28"/>
  <c r="AB27"/>
  <c r="X27"/>
  <c r="AB25"/>
  <c r="AB24"/>
  <c r="J17" i="67"/>
  <c r="M7" i="71"/>
  <c r="M31" i="74"/>
  <c r="J31" s="1"/>
  <c r="M27"/>
  <c r="J27" s="1"/>
  <c r="M22"/>
  <c r="J22" s="1"/>
  <c r="M14"/>
  <c r="J14" s="1"/>
  <c r="M8"/>
  <c r="J8" s="1"/>
  <c r="M18"/>
  <c r="J18" s="1"/>
  <c r="M6"/>
  <c r="M24"/>
  <c r="J24" s="1"/>
  <c r="M9"/>
  <c r="J9" s="1"/>
  <c r="M30"/>
  <c r="J30" s="1"/>
  <c r="M26"/>
  <c r="J26" s="1"/>
  <c r="M21"/>
  <c r="J21" s="1"/>
  <c r="M12"/>
  <c r="J12" s="1"/>
  <c r="M7"/>
  <c r="J7" s="1"/>
  <c r="M29"/>
  <c r="J29" s="1"/>
  <c r="M25"/>
  <c r="J25" s="1"/>
  <c r="M11"/>
  <c r="J11" s="1"/>
  <c r="M28"/>
  <c r="J28" s="1"/>
  <c r="M17"/>
  <c r="J17" s="1"/>
  <c r="O30" i="15"/>
  <c r="Q49"/>
  <c r="Q34"/>
  <c r="P33"/>
  <c r="O32"/>
  <c r="Q30"/>
  <c r="Q45"/>
  <c r="P34"/>
  <c r="O33"/>
  <c r="Q31"/>
  <c r="P30"/>
  <c r="Q43"/>
  <c r="O34"/>
  <c r="Q32"/>
  <c r="P31"/>
  <c r="P37"/>
  <c r="Q33"/>
  <c r="P32"/>
  <c r="O31"/>
  <c r="O18" i="19"/>
  <c r="P48"/>
  <c r="P19"/>
  <c r="P45"/>
  <c r="O19"/>
  <c r="P50"/>
  <c r="P20"/>
  <c r="P18"/>
  <c r="P49"/>
  <c r="O20"/>
  <c r="P10" i="28"/>
  <c r="P6"/>
  <c r="V16" i="27"/>
  <c r="S23"/>
  <c r="S11"/>
  <c r="S20"/>
  <c r="P9" i="28"/>
  <c r="V7" i="27"/>
  <c r="V12"/>
  <c r="P8" i="28"/>
  <c r="V23" i="27"/>
  <c r="V11"/>
  <c r="S16"/>
  <c r="P7" i="28"/>
  <c r="V20" i="27"/>
  <c r="V10"/>
  <c r="S12"/>
  <c r="S10"/>
  <c r="X17" i="14"/>
  <c r="X10"/>
  <c r="X11"/>
  <c r="X26"/>
  <c r="X16"/>
  <c r="X9"/>
  <c r="X25"/>
  <c r="X15"/>
  <c r="X8"/>
  <c r="X18"/>
  <c r="U6" i="12"/>
  <c r="X7" i="14"/>
  <c r="AD6" i="11"/>
  <c r="AD16"/>
  <c r="AD7"/>
  <c r="AD15"/>
  <c r="AD11"/>
  <c r="AD10"/>
  <c r="W18" i="76"/>
  <c r="V16"/>
  <c r="U14"/>
  <c r="W12"/>
  <c r="V11"/>
  <c r="U9"/>
  <c r="W7"/>
  <c r="V6"/>
  <c r="M33" i="71"/>
  <c r="J33" s="1"/>
  <c r="V14" i="76"/>
  <c r="V9"/>
  <c r="V18"/>
  <c r="U16"/>
  <c r="W13"/>
  <c r="V12"/>
  <c r="U11"/>
  <c r="W8"/>
  <c r="V7"/>
  <c r="U6"/>
  <c r="U18"/>
  <c r="W14"/>
  <c r="V13"/>
  <c r="U12"/>
  <c r="W9"/>
  <c r="V8"/>
  <c r="U7"/>
  <c r="W16"/>
  <c r="U13"/>
  <c r="W11"/>
  <c r="U8"/>
  <c r="W6"/>
  <c r="AS36" i="66"/>
  <c r="AO36"/>
  <c r="AJ36"/>
  <c r="AF36"/>
  <c r="AN36"/>
  <c r="AI36"/>
  <c r="AE36"/>
  <c r="AU36"/>
  <c r="AQ36"/>
  <c r="AL36"/>
  <c r="AH36"/>
  <c r="AP36"/>
  <c r="AK36"/>
  <c r="AR36"/>
  <c r="AT36"/>
  <c r="AG36"/>
  <c r="Q45" i="19"/>
  <c r="Q49"/>
  <c r="Q48"/>
  <c r="Q50"/>
  <c r="AB10" i="11"/>
  <c r="AA6"/>
  <c r="AA30" i="63"/>
  <c r="K9" i="11"/>
  <c r="G715" i="97" s="1"/>
  <c r="L25" i="12"/>
  <c r="G900" i="97" s="1"/>
  <c r="O11" i="24"/>
  <c r="H11" s="1"/>
  <c r="R25" i="76" l="1"/>
  <c r="R28"/>
  <c r="R41"/>
  <c r="R44"/>
  <c r="R43"/>
  <c r="R24"/>
  <c r="R27"/>
  <c r="R40"/>
  <c r="K11" i="96"/>
  <c r="C26" i="2"/>
  <c r="C56"/>
  <c r="J6" i="74"/>
  <c r="R8" i="76"/>
  <c r="R6"/>
  <c r="R18"/>
  <c r="R12"/>
  <c r="R9"/>
  <c r="AA36" i="66"/>
  <c r="R13" i="76"/>
  <c r="R7"/>
  <c r="R14"/>
  <c r="R16"/>
  <c r="R11"/>
  <c r="P30" i="63"/>
  <c r="L11" i="24"/>
  <c r="I11" s="1"/>
  <c r="CX2" i="39" l="1"/>
  <c r="N15" i="33" l="1"/>
  <c r="DS4" i="37" l="1"/>
  <c r="DS5"/>
  <c r="DS6"/>
  <c r="DS7"/>
  <c r="DS8"/>
  <c r="DS9"/>
  <c r="DS10"/>
  <c r="DS11"/>
  <c r="DS12"/>
  <c r="DS13"/>
  <c r="DS14"/>
  <c r="DS15"/>
  <c r="DS16"/>
  <c r="DS17"/>
  <c r="DS18"/>
  <c r="DS19"/>
  <c r="DS20"/>
  <c r="DS21"/>
  <c r="DS22"/>
  <c r="DS23"/>
  <c r="DS24"/>
  <c r="DS25"/>
  <c r="DS26"/>
  <c r="DS27"/>
  <c r="DS28"/>
  <c r="DS29"/>
  <c r="DS30"/>
  <c r="DS31"/>
  <c r="DS32"/>
  <c r="DS33"/>
  <c r="DS34"/>
  <c r="DS35"/>
  <c r="DS36"/>
  <c r="DS3"/>
  <c r="DS2"/>
  <c r="DL4"/>
  <c r="DL5"/>
  <c r="DL6"/>
  <c r="DL7"/>
  <c r="DL8"/>
  <c r="DL9"/>
  <c r="DL10"/>
  <c r="DL11"/>
  <c r="DL12"/>
  <c r="DL13"/>
  <c r="DL14"/>
  <c r="DL15"/>
  <c r="DL16"/>
  <c r="DL17"/>
  <c r="DL18"/>
  <c r="DL19"/>
  <c r="DL20"/>
  <c r="DL21"/>
  <c r="DL22"/>
  <c r="DL23"/>
  <c r="DL24"/>
  <c r="DL25"/>
  <c r="DL26"/>
  <c r="DL27"/>
  <c r="DL28"/>
  <c r="DL29"/>
  <c r="DL30"/>
  <c r="DL31"/>
  <c r="DL32"/>
  <c r="DL33"/>
  <c r="DL34"/>
  <c r="DL3"/>
  <c r="DL2"/>
  <c r="DE4"/>
  <c r="DE5"/>
  <c r="DE6"/>
  <c r="DE7"/>
  <c r="DE8"/>
  <c r="DE9"/>
  <c r="DE10"/>
  <c r="DE11"/>
  <c r="DE12"/>
  <c r="DE13"/>
  <c r="DE14"/>
  <c r="DE15"/>
  <c r="DE16"/>
  <c r="DE17"/>
  <c r="DE18"/>
  <c r="DE19"/>
  <c r="DE20"/>
  <c r="DE21"/>
  <c r="DE22"/>
  <c r="DE23"/>
  <c r="DE24"/>
  <c r="DE25"/>
  <c r="DE26"/>
  <c r="DE27"/>
  <c r="DE28"/>
  <c r="DE29"/>
  <c r="DE30"/>
  <c r="DE31"/>
  <c r="DE32"/>
  <c r="DE33"/>
  <c r="DE3"/>
  <c r="DE2"/>
  <c r="CX4"/>
  <c r="CX5"/>
  <c r="CX6"/>
  <c r="CX7"/>
  <c r="CX8"/>
  <c r="CX9"/>
  <c r="CX10"/>
  <c r="CX11"/>
  <c r="CX12"/>
  <c r="CX13"/>
  <c r="CX14"/>
  <c r="CX15"/>
  <c r="CX16"/>
  <c r="CX17"/>
  <c r="CX18"/>
  <c r="CX19"/>
  <c r="CX20"/>
  <c r="CX21"/>
  <c r="CX22"/>
  <c r="CX23"/>
  <c r="CX24"/>
  <c r="CX25"/>
  <c r="CX26"/>
  <c r="CX27"/>
  <c r="CX28"/>
  <c r="CX29"/>
  <c r="CX3"/>
  <c r="CX2"/>
  <c r="CQ4"/>
  <c r="CQ5"/>
  <c r="CQ6"/>
  <c r="CQ7"/>
  <c r="CQ8"/>
  <c r="CQ9"/>
  <c r="CQ10"/>
  <c r="CQ11"/>
  <c r="CQ12"/>
  <c r="CQ13"/>
  <c r="CQ14"/>
  <c r="CQ15"/>
  <c r="CQ16"/>
  <c r="CQ17"/>
  <c r="CQ18"/>
  <c r="CQ19"/>
  <c r="CQ20"/>
  <c r="CQ2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3"/>
  <c r="CQ2"/>
  <c r="CJ4"/>
  <c r="CJ5"/>
  <c r="CJ6"/>
  <c r="CJ7"/>
  <c r="CJ8"/>
  <c r="CJ9"/>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3"/>
  <c r="CJ2"/>
  <c r="CC4"/>
  <c r="CC5"/>
  <c r="CC6"/>
  <c r="CC7"/>
  <c r="CC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3"/>
  <c r="CC2"/>
  <c r="BV4"/>
  <c r="BV5"/>
  <c r="BV6"/>
  <c r="BV7"/>
  <c r="BV8"/>
  <c r="BV9"/>
  <c r="BV10"/>
  <c r="BV11"/>
  <c r="BV12"/>
  <c r="BV13"/>
  <c r="BV14"/>
  <c r="BV15"/>
  <c r="BV16"/>
  <c r="BV17"/>
  <c r="BV3"/>
  <c r="BV2"/>
  <c r="BO4"/>
  <c r="BO5"/>
  <c r="BO6"/>
  <c r="BO7"/>
  <c r="BO8"/>
  <c r="BO9"/>
  <c r="BO10"/>
  <c r="BO11"/>
  <c r="BO12"/>
  <c r="BO13"/>
  <c r="BO14"/>
  <c r="BO15"/>
  <c r="BO16"/>
  <c r="BO17"/>
  <c r="BO18"/>
  <c r="BO19"/>
  <c r="BO20"/>
  <c r="BO21"/>
  <c r="BO22"/>
  <c r="BO23"/>
  <c r="BO24"/>
  <c r="BO25"/>
  <c r="BO26"/>
  <c r="BO27"/>
  <c r="BO28"/>
  <c r="BO29"/>
  <c r="BO30"/>
  <c r="BO31"/>
  <c r="BO32"/>
  <c r="BO33"/>
  <c r="BO34"/>
  <c r="BO35"/>
  <c r="BO3"/>
  <c r="BO2"/>
  <c r="BH4"/>
  <c r="BH5"/>
  <c r="BH6"/>
  <c r="BH7"/>
  <c r="BH8"/>
  <c r="BH9"/>
  <c r="BH10"/>
  <c r="BH11"/>
  <c r="BH12"/>
  <c r="BH13"/>
  <c r="BH14"/>
  <c r="BH15"/>
  <c r="BH16"/>
  <c r="BH17"/>
  <c r="BH18"/>
  <c r="BH19"/>
  <c r="BH20"/>
  <c r="BH21"/>
  <c r="BH22"/>
  <c r="BH23"/>
  <c r="BH24"/>
  <c r="BH25"/>
  <c r="BH26"/>
  <c r="BH27"/>
  <c r="BH28"/>
  <c r="BH29"/>
  <c r="BH30"/>
  <c r="BH31"/>
  <c r="BH32"/>
  <c r="BH33"/>
  <c r="BH34"/>
  <c r="BH35"/>
  <c r="BH36"/>
  <c r="BH3"/>
  <c r="BH2"/>
  <c r="BA4"/>
  <c r="BA5"/>
  <c r="BA6"/>
  <c r="BA7"/>
  <c r="BA8"/>
  <c r="BA9"/>
  <c r="BA10"/>
  <c r="BA11"/>
  <c r="BA12"/>
  <c r="BA13"/>
  <c r="BA14"/>
  <c r="BA15"/>
  <c r="BA16"/>
  <c r="BA17"/>
  <c r="BA18"/>
  <c r="BA19"/>
  <c r="BA20"/>
  <c r="BA21"/>
  <c r="BA22"/>
  <c r="BA23"/>
  <c r="BA3"/>
  <c r="BA2"/>
  <c r="AT4"/>
  <c r="AT5"/>
  <c r="AT6"/>
  <c r="AT7"/>
  <c r="AT8"/>
  <c r="AT9"/>
  <c r="AT10"/>
  <c r="AT11"/>
  <c r="AT12"/>
  <c r="AT13"/>
  <c r="AT14"/>
  <c r="AT15"/>
  <c r="AT16"/>
  <c r="AT17"/>
  <c r="AT3"/>
  <c r="AT2"/>
  <c r="AM4"/>
  <c r="AM5"/>
  <c r="AM6"/>
  <c r="AM7"/>
  <c r="AM8"/>
  <c r="AM9"/>
  <c r="AM10"/>
  <c r="AM11"/>
  <c r="AM12"/>
  <c r="AM13"/>
  <c r="AM14"/>
  <c r="AM15"/>
  <c r="AM3"/>
  <c r="AM2"/>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3"/>
  <c r="AF2"/>
  <c r="Y4"/>
  <c r="Y5"/>
  <c r="Y6"/>
  <c r="Y7"/>
  <c r="Y8"/>
  <c r="Y9"/>
  <c r="Y10"/>
  <c r="Y11"/>
  <c r="Y12"/>
  <c r="Y13"/>
  <c r="Y14"/>
  <c r="Y15"/>
  <c r="Y3"/>
  <c r="Y2"/>
  <c r="R4"/>
  <c r="R5"/>
  <c r="R6"/>
  <c r="R7"/>
  <c r="R8"/>
  <c r="R9"/>
  <c r="R10"/>
  <c r="R11"/>
  <c r="R12"/>
  <c r="R13"/>
  <c r="R14"/>
  <c r="R15"/>
  <c r="R16"/>
  <c r="R17"/>
  <c r="R18"/>
  <c r="R19"/>
  <c r="R20"/>
  <c r="R21"/>
  <c r="R22"/>
  <c r="R23"/>
  <c r="R3"/>
  <c r="R2"/>
  <c r="K4"/>
  <c r="K5"/>
  <c r="K6"/>
  <c r="K7"/>
  <c r="K8"/>
  <c r="K9"/>
  <c r="K10"/>
  <c r="K11"/>
  <c r="K12"/>
  <c r="K13"/>
  <c r="K14"/>
  <c r="K15"/>
  <c r="K16"/>
  <c r="K17"/>
  <c r="K18"/>
  <c r="K19"/>
  <c r="K20"/>
  <c r="K21"/>
  <c r="K22"/>
  <c r="K23"/>
  <c r="K24"/>
  <c r="K25"/>
  <c r="K26"/>
  <c r="K27"/>
  <c r="K28"/>
  <c r="K29"/>
  <c r="K30"/>
  <c r="K31"/>
  <c r="K32"/>
  <c r="K33"/>
  <c r="K34"/>
  <c r="K35"/>
  <c r="K36"/>
  <c r="K37"/>
  <c r="K38"/>
  <c r="K39"/>
  <c r="K40"/>
  <c r="K41"/>
  <c r="K3"/>
  <c r="K2"/>
  <c r="D4"/>
  <c r="D5"/>
  <c r="D6"/>
  <c r="D7"/>
  <c r="D8"/>
  <c r="D9"/>
  <c r="D10"/>
  <c r="D11"/>
  <c r="D12"/>
  <c r="D13"/>
  <c r="D14"/>
  <c r="D15"/>
  <c r="D3"/>
  <c r="D2"/>
  <c r="BW2" l="1"/>
  <c r="BX2"/>
  <c r="T3"/>
  <c r="F2"/>
  <c r="F13" i="24" l="1"/>
  <c r="G1566" i="97" s="1"/>
  <c r="Q34" i="17" l="1"/>
  <c r="N22" i="33" l="1"/>
  <c r="K22" s="1"/>
  <c r="AG6" i="21" l="1"/>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9"/>
  <c r="AG60"/>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9"/>
  <c r="AF60"/>
  <c r="DU2" i="37" l="1"/>
  <c r="DN2"/>
  <c r="DG2"/>
  <c r="CZ2"/>
  <c r="CS2"/>
  <c r="CL2"/>
  <c r="CE2"/>
  <c r="BQ2"/>
  <c r="BJ2"/>
  <c r="DU4"/>
  <c r="DU5"/>
  <c r="DU6"/>
  <c r="DU7"/>
  <c r="DU8"/>
  <c r="DU9"/>
  <c r="DU10"/>
  <c r="DU11"/>
  <c r="DU12"/>
  <c r="DU13"/>
  <c r="DU14"/>
  <c r="DU15"/>
  <c r="DU16"/>
  <c r="DU17"/>
  <c r="DU18"/>
  <c r="DU19"/>
  <c r="DU20"/>
  <c r="DU21"/>
  <c r="DU22"/>
  <c r="DU23"/>
  <c r="DU24"/>
  <c r="DU25"/>
  <c r="DU26"/>
  <c r="DU27"/>
  <c r="DU28"/>
  <c r="DU29"/>
  <c r="DU30"/>
  <c r="DU31"/>
  <c r="DU32"/>
  <c r="DU33"/>
  <c r="DU34"/>
  <c r="DU35"/>
  <c r="DU36"/>
  <c r="DU3"/>
  <c r="DN4"/>
  <c r="DN5"/>
  <c r="DN6"/>
  <c r="DN7"/>
  <c r="DN8"/>
  <c r="DN9"/>
  <c r="DN10"/>
  <c r="DN11"/>
  <c r="DN12"/>
  <c r="DN13"/>
  <c r="DN14"/>
  <c r="DN15"/>
  <c r="DN16"/>
  <c r="DN17"/>
  <c r="DN18"/>
  <c r="DN19"/>
  <c r="DN20"/>
  <c r="DN21"/>
  <c r="DN22"/>
  <c r="DN23"/>
  <c r="DN24"/>
  <c r="DN25"/>
  <c r="DN26"/>
  <c r="DN27"/>
  <c r="DN28"/>
  <c r="DN29"/>
  <c r="DN30"/>
  <c r="DN31"/>
  <c r="DN32"/>
  <c r="DN33"/>
  <c r="DN34"/>
  <c r="DN3"/>
  <c r="DG4"/>
  <c r="DG5"/>
  <c r="DG6"/>
  <c r="DG7"/>
  <c r="DG8"/>
  <c r="DG9"/>
  <c r="DG10"/>
  <c r="DG11"/>
  <c r="DG12"/>
  <c r="DG13"/>
  <c r="DG14"/>
  <c r="DG15"/>
  <c r="DG16"/>
  <c r="DG17"/>
  <c r="DG18"/>
  <c r="DG19"/>
  <c r="DG20"/>
  <c r="DG21"/>
  <c r="DG22"/>
  <c r="DG23"/>
  <c r="DG24"/>
  <c r="DG25"/>
  <c r="DG26"/>
  <c r="DG27"/>
  <c r="DG28"/>
  <c r="DG29"/>
  <c r="DG30"/>
  <c r="DG31"/>
  <c r="DG32"/>
  <c r="DG33"/>
  <c r="DG3"/>
  <c r="CZ4"/>
  <c r="CZ5"/>
  <c r="CZ6"/>
  <c r="CZ7"/>
  <c r="CZ8"/>
  <c r="CZ9"/>
  <c r="CZ10"/>
  <c r="CZ11"/>
  <c r="CZ12"/>
  <c r="CZ13"/>
  <c r="CZ14"/>
  <c r="CZ15"/>
  <c r="CZ16"/>
  <c r="CZ17"/>
  <c r="CZ18"/>
  <c r="CZ19"/>
  <c r="CZ20"/>
  <c r="CZ21"/>
  <c r="CZ22"/>
  <c r="CZ23"/>
  <c r="CZ24"/>
  <c r="CZ25"/>
  <c r="CZ26"/>
  <c r="CZ27"/>
  <c r="CZ28"/>
  <c r="CZ29"/>
  <c r="CZ3"/>
  <c r="CS4"/>
  <c r="CS5"/>
  <c r="CS6"/>
  <c r="CS7"/>
  <c r="CS8"/>
  <c r="CS9"/>
  <c r="CS10"/>
  <c r="CS11"/>
  <c r="CS12"/>
  <c r="CS13"/>
  <c r="CS14"/>
  <c r="CS15"/>
  <c r="CS16"/>
  <c r="CS17"/>
  <c r="CS18"/>
  <c r="CS19"/>
  <c r="CS20"/>
  <c r="CS21"/>
  <c r="CS22"/>
  <c r="CS23"/>
  <c r="CS24"/>
  <c r="CS25"/>
  <c r="CS26"/>
  <c r="CS27"/>
  <c r="CS28"/>
  <c r="CS29"/>
  <c r="CS30"/>
  <c r="CS31"/>
  <c r="CS32"/>
  <c r="CS33"/>
  <c r="CS34"/>
  <c r="CS35"/>
  <c r="CS36"/>
  <c r="CS37"/>
  <c r="CS38"/>
  <c r="CS39"/>
  <c r="CS40"/>
  <c r="CS41"/>
  <c r="CS42"/>
  <c r="CS43"/>
  <c r="CS44"/>
  <c r="CS45"/>
  <c r="CS46"/>
  <c r="CS47"/>
  <c r="CS48"/>
  <c r="CS49"/>
  <c r="CS50"/>
  <c r="CS51"/>
  <c r="CS52"/>
  <c r="CS53"/>
  <c r="CS54"/>
  <c r="CS55"/>
  <c r="CS56"/>
  <c r="CS57"/>
  <c r="CS3"/>
  <c r="CL4"/>
  <c r="CL5"/>
  <c r="CL6"/>
  <c r="CL7"/>
  <c r="CL8"/>
  <c r="CL9"/>
  <c r="CL10"/>
  <c r="CL11"/>
  <c r="CL12"/>
  <c r="CL13"/>
  <c r="CL14"/>
  <c r="CL15"/>
  <c r="CL16"/>
  <c r="CL17"/>
  <c r="CL18"/>
  <c r="CL19"/>
  <c r="CL20"/>
  <c r="CL21"/>
  <c r="CL22"/>
  <c r="CL23"/>
  <c r="CL24"/>
  <c r="CL25"/>
  <c r="CL26"/>
  <c r="CL27"/>
  <c r="CL28"/>
  <c r="CL29"/>
  <c r="CL30"/>
  <c r="CL31"/>
  <c r="CL32"/>
  <c r="CL33"/>
  <c r="CL34"/>
  <c r="CL35"/>
  <c r="CL36"/>
  <c r="CL37"/>
  <c r="CL38"/>
  <c r="CL39"/>
  <c r="CL40"/>
  <c r="CL41"/>
  <c r="CL42"/>
  <c r="CL43"/>
  <c r="CL44"/>
  <c r="CL3"/>
  <c r="CE4"/>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3"/>
  <c r="BX4"/>
  <c r="BX5"/>
  <c r="BX6"/>
  <c r="BX7"/>
  <c r="BX8"/>
  <c r="BX9"/>
  <c r="BX10"/>
  <c r="BX11"/>
  <c r="BX12"/>
  <c r="BX13"/>
  <c r="BX14"/>
  <c r="BX15"/>
  <c r="BX16"/>
  <c r="BX17"/>
  <c r="BX3"/>
  <c r="BQ4"/>
  <c r="BQ5"/>
  <c r="BQ6"/>
  <c r="BQ7"/>
  <c r="BQ8"/>
  <c r="BQ9"/>
  <c r="BQ10"/>
  <c r="BQ11"/>
  <c r="BQ12"/>
  <c r="BQ13"/>
  <c r="BQ14"/>
  <c r="BQ15"/>
  <c r="BQ16"/>
  <c r="BQ17"/>
  <c r="BQ18"/>
  <c r="BQ19"/>
  <c r="BQ20"/>
  <c r="BQ21"/>
  <c r="BQ22"/>
  <c r="BQ23"/>
  <c r="BQ24"/>
  <c r="BQ25"/>
  <c r="BQ26"/>
  <c r="BQ27"/>
  <c r="BQ28"/>
  <c r="BQ29"/>
  <c r="BQ30"/>
  <c r="BQ31"/>
  <c r="BQ32"/>
  <c r="BQ33"/>
  <c r="BQ34"/>
  <c r="BQ35"/>
  <c r="BQ3"/>
  <c r="BJ4"/>
  <c r="BJ5"/>
  <c r="BJ6"/>
  <c r="BJ7"/>
  <c r="BJ8"/>
  <c r="BJ9"/>
  <c r="BJ10"/>
  <c r="BJ11"/>
  <c r="BJ12"/>
  <c r="BJ13"/>
  <c r="BJ14"/>
  <c r="BJ15"/>
  <c r="BJ16"/>
  <c r="BJ17"/>
  <c r="BJ18"/>
  <c r="BJ19"/>
  <c r="BJ20"/>
  <c r="BJ21"/>
  <c r="BJ22"/>
  <c r="BJ23"/>
  <c r="BJ24"/>
  <c r="BJ25"/>
  <c r="BJ26"/>
  <c r="BJ27"/>
  <c r="BJ28"/>
  <c r="BJ29"/>
  <c r="BJ30"/>
  <c r="BJ31"/>
  <c r="BJ32"/>
  <c r="BJ33"/>
  <c r="BJ34"/>
  <c r="BJ35"/>
  <c r="BJ36"/>
  <c r="BJ3"/>
  <c r="BC4"/>
  <c r="BC5"/>
  <c r="BC6"/>
  <c r="BC7"/>
  <c r="BC8"/>
  <c r="BC9"/>
  <c r="BC10"/>
  <c r="BC11"/>
  <c r="BC12"/>
  <c r="BC13"/>
  <c r="BC14"/>
  <c r="BC15"/>
  <c r="BC16"/>
  <c r="BC17"/>
  <c r="BC18"/>
  <c r="BC19"/>
  <c r="BC20"/>
  <c r="BC21"/>
  <c r="BC22"/>
  <c r="BC23"/>
  <c r="BC3"/>
  <c r="BC2"/>
  <c r="AV4"/>
  <c r="AV5"/>
  <c r="AV6"/>
  <c r="AV7"/>
  <c r="AV8"/>
  <c r="AV9"/>
  <c r="AV10"/>
  <c r="AV11"/>
  <c r="AV12"/>
  <c r="AV13"/>
  <c r="AV14"/>
  <c r="AV15"/>
  <c r="AV16"/>
  <c r="AV17"/>
  <c r="AV3"/>
  <c r="AV2"/>
  <c r="AO4"/>
  <c r="AO5"/>
  <c r="AO6"/>
  <c r="AO7"/>
  <c r="AO8"/>
  <c r="AO9"/>
  <c r="AO10"/>
  <c r="AO11"/>
  <c r="AO12"/>
  <c r="AO13"/>
  <c r="AO14"/>
  <c r="AO15"/>
  <c r="AO3"/>
  <c r="AO2"/>
  <c r="AH4"/>
  <c r="AH5"/>
  <c r="AH6"/>
  <c r="AH7"/>
  <c r="AH8"/>
  <c r="AH9"/>
  <c r="AH10"/>
  <c r="AH11"/>
  <c r="AH12"/>
  <c r="AH13"/>
  <c r="AH14"/>
  <c r="AH15"/>
  <c r="AH16"/>
  <c r="AH17"/>
  <c r="AH18"/>
  <c r="AH19"/>
  <c r="AH20"/>
  <c r="AH21"/>
  <c r="AH22"/>
  <c r="AH23"/>
  <c r="AH24"/>
  <c r="AH25"/>
  <c r="AH26"/>
  <c r="AH27"/>
  <c r="AH28"/>
  <c r="AH29"/>
  <c r="AH30"/>
  <c r="AH31"/>
  <c r="AH32"/>
  <c r="AH33"/>
  <c r="AH34"/>
  <c r="AH35"/>
  <c r="AH36"/>
  <c r="AH37"/>
  <c r="AH38"/>
  <c r="AH39"/>
  <c r="AH40"/>
  <c r="AH41"/>
  <c r="AH42"/>
  <c r="AH43"/>
  <c r="AH44"/>
  <c r="AH45"/>
  <c r="AH46"/>
  <c r="AH3"/>
  <c r="AH2"/>
  <c r="AA4"/>
  <c r="AA5"/>
  <c r="AA6"/>
  <c r="AA7"/>
  <c r="AA8"/>
  <c r="AA9"/>
  <c r="AA10"/>
  <c r="AA11"/>
  <c r="AA12"/>
  <c r="AA13"/>
  <c r="AA14"/>
  <c r="AA15"/>
  <c r="AA3"/>
  <c r="AA2"/>
  <c r="T4"/>
  <c r="T5"/>
  <c r="T6"/>
  <c r="T7"/>
  <c r="T8"/>
  <c r="T9"/>
  <c r="T10"/>
  <c r="T11"/>
  <c r="T12"/>
  <c r="T13"/>
  <c r="T14"/>
  <c r="T15"/>
  <c r="T16"/>
  <c r="T17"/>
  <c r="T18"/>
  <c r="T19"/>
  <c r="T20"/>
  <c r="T21"/>
  <c r="T22"/>
  <c r="T23"/>
  <c r="T2"/>
  <c r="M4"/>
  <c r="M5"/>
  <c r="M6"/>
  <c r="M7"/>
  <c r="M8"/>
  <c r="M9"/>
  <c r="M10"/>
  <c r="M11"/>
  <c r="M12"/>
  <c r="M13"/>
  <c r="M14"/>
  <c r="M15"/>
  <c r="M16"/>
  <c r="M17"/>
  <c r="M18"/>
  <c r="M19"/>
  <c r="M20"/>
  <c r="M21"/>
  <c r="M22"/>
  <c r="M23"/>
  <c r="M24"/>
  <c r="M25"/>
  <c r="M26"/>
  <c r="M27"/>
  <c r="M28"/>
  <c r="M29"/>
  <c r="M30"/>
  <c r="M31"/>
  <c r="M32"/>
  <c r="M33"/>
  <c r="M34"/>
  <c r="M35"/>
  <c r="M36"/>
  <c r="M37"/>
  <c r="M38"/>
  <c r="M39"/>
  <c r="M40"/>
  <c r="M41"/>
  <c r="M3"/>
  <c r="M2"/>
  <c r="F4"/>
  <c r="F5"/>
  <c r="F6"/>
  <c r="F7"/>
  <c r="F8"/>
  <c r="F9"/>
  <c r="F10"/>
  <c r="F11"/>
  <c r="F12"/>
  <c r="F13"/>
  <c r="F14"/>
  <c r="F15"/>
  <c r="F3"/>
  <c r="AG5" i="21"/>
  <c r="AF5"/>
  <c r="D29" i="2" s="1"/>
  <c r="H12" i="31" l="1"/>
  <c r="G2105" i="97" s="1"/>
  <c r="G12" i="31"/>
  <c r="G2092" i="97" s="1"/>
  <c r="G15" i="31" l="1"/>
  <c r="G2094" i="97" s="1"/>
  <c r="G34" i="7"/>
  <c r="G303" i="97" s="1"/>
  <c r="J8" i="6"/>
  <c r="G216" i="97" s="1"/>
  <c r="G21" i="31" l="1"/>
  <c r="G2099" i="97" s="1"/>
  <c r="K8" i="6"/>
  <c r="G250" i="97" s="1"/>
  <c r="H1" i="26"/>
  <c r="J1" i="15"/>
  <c r="P7"/>
  <c r="M27" i="14" l="1"/>
  <c r="G1049" i="97" s="1"/>
  <c r="L27" i="14"/>
  <c r="G1033" i="97" s="1"/>
  <c r="K27" i="14"/>
  <c r="G1017" i="97" s="1"/>
  <c r="I27" i="14"/>
  <c r="G985" i="97" s="1"/>
  <c r="H27" i="14"/>
  <c r="G969" i="97" s="1"/>
  <c r="G27" i="14"/>
  <c r="G953" i="97" s="1"/>
  <c r="AF27" i="14" l="1"/>
  <c r="AD27"/>
  <c r="AG27"/>
  <c r="AB27"/>
  <c r="AC27"/>
  <c r="AH27"/>
  <c r="R60" i="21"/>
  <c r="R59"/>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R8"/>
  <c r="R7"/>
  <c r="J14" i="31"/>
  <c r="G2132" i="97" s="1"/>
  <c r="I15" i="31"/>
  <c r="G2120" i="97" s="1"/>
  <c r="H15" i="31"/>
  <c r="G2107" i="97" s="1"/>
  <c r="X17" i="31"/>
  <c r="U17"/>
  <c r="X14"/>
  <c r="U14"/>
  <c r="N17"/>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c r="R9"/>
  <c r="R11"/>
  <c r="R10"/>
  <c r="O17" i="31"/>
  <c r="G2199" i="97" s="1"/>
  <c r="X49" i="29"/>
  <c r="W49"/>
  <c r="V49"/>
  <c r="U49"/>
  <c r="T49"/>
  <c r="S49"/>
  <c r="Q10" i="27"/>
  <c r="Q16"/>
  <c r="G16" i="13" l="1"/>
  <c r="G909" i="97" s="1"/>
  <c r="P49" i="29"/>
  <c r="O50" i="19"/>
  <c r="O49"/>
  <c r="Q37"/>
  <c r="L37" s="1"/>
  <c r="H51"/>
  <c r="G1490" i="97" s="1"/>
  <c r="P15" i="15"/>
  <c r="L15" s="1"/>
  <c r="J51" i="19" l="1"/>
  <c r="G1528" i="97" s="1"/>
  <c r="Q17" i="3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I26" i="17"/>
  <c r="G1310" i="97" s="1"/>
  <c r="I25" i="17"/>
  <c r="G1309" i="97" s="1"/>
  <c r="I24" i="17"/>
  <c r="G1308" i="97" s="1"/>
  <c r="I23" i="17"/>
  <c r="G1307" i="97" s="1"/>
  <c r="I22" i="17"/>
  <c r="G1306" i="97" s="1"/>
  <c r="I21" i="17"/>
  <c r="G1305" i="97" s="1"/>
  <c r="I20" i="17"/>
  <c r="G1304" i="97" s="1"/>
  <c r="I19" i="17"/>
  <c r="G1303" i="97" s="1"/>
  <c r="I18" i="17"/>
  <c r="G1302" i="97" s="1"/>
  <c r="I17" i="17"/>
  <c r="G1301" i="97" s="1"/>
  <c r="I16" i="17"/>
  <c r="G1300" i="97" s="1"/>
  <c r="I15" i="17"/>
  <c r="G1299" i="97" s="1"/>
  <c r="I14" i="17"/>
  <c r="G1298" i="97" s="1"/>
  <c r="I13" i="17"/>
  <c r="G1297" i="97" s="1"/>
  <c r="I12" i="17"/>
  <c r="G1296" i="97" s="1"/>
  <c r="I11" i="17"/>
  <c r="G1295" i="97" s="1"/>
  <c r="I10" i="17"/>
  <c r="G1294" i="97" s="1"/>
  <c r="I9" i="17"/>
  <c r="G1293" i="97" s="1"/>
  <c r="I6" i="17"/>
  <c r="G1292" i="97" s="1"/>
  <c r="E30" i="17"/>
  <c r="G1224" i="97" s="1"/>
  <c r="Q8" i="16" l="1"/>
  <c r="Q5"/>
  <c r="Z18" i="14"/>
  <c r="Y18"/>
  <c r="U26"/>
  <c r="U25"/>
  <c r="U18"/>
  <c r="U16"/>
  <c r="U15"/>
  <c r="U11"/>
  <c r="U9"/>
  <c r="U8"/>
  <c r="U7"/>
  <c r="Z11"/>
  <c r="Y11"/>
  <c r="T11"/>
  <c r="N11"/>
  <c r="G1054" i="97" s="1"/>
  <c r="N27" i="14"/>
  <c r="G1065" i="97" s="1"/>
  <c r="Z26" i="14"/>
  <c r="Y26"/>
  <c r="T26"/>
  <c r="N26"/>
  <c r="G1064" i="97" s="1"/>
  <c r="Z25" i="14"/>
  <c r="Y25"/>
  <c r="T25"/>
  <c r="N25"/>
  <c r="G1063" i="97" s="1"/>
  <c r="O17" i="13" l="1"/>
  <c r="K17" s="1"/>
  <c r="Y16" i="11"/>
  <c r="X16"/>
  <c r="Y15"/>
  <c r="X15"/>
  <c r="Y11"/>
  <c r="X11"/>
  <c r="Y10"/>
  <c r="X10"/>
  <c r="W10"/>
  <c r="V10"/>
  <c r="Y7"/>
  <c r="Y6"/>
  <c r="J27" i="12"/>
  <c r="G854" i="97" s="1"/>
  <c r="I14" i="12"/>
  <c r="G820" i="97" s="1"/>
  <c r="H14" i="12"/>
  <c r="G796" i="97" s="1"/>
  <c r="I27" i="12" l="1"/>
  <c r="G830" i="97" s="1"/>
  <c r="H27" i="12"/>
  <c r="G806" i="97" s="1"/>
  <c r="H17" i="12"/>
  <c r="G798" i="97" s="1"/>
  <c r="I17" i="12"/>
  <c r="G822" i="97" s="1"/>
  <c r="N15" i="11"/>
  <c r="G741" i="97" s="1"/>
  <c r="N16" i="11"/>
  <c r="G742" i="97" s="1"/>
  <c r="P16" i="11" l="1"/>
  <c r="G761" i="97" s="1"/>
  <c r="P15" i="11"/>
  <c r="G760" i="97" s="1"/>
  <c r="I32" i="12"/>
  <c r="G832" i="97" s="1"/>
  <c r="H32" i="12"/>
  <c r="G808" i="97" s="1"/>
  <c r="L8" i="11"/>
  <c r="G724" i="97" s="1"/>
  <c r="J8" i="11"/>
  <c r="G707" i="97" s="1"/>
  <c r="B41" i="23"/>
  <c r="G30"/>
  <c r="H30"/>
  <c r="V6"/>
  <c r="W6"/>
  <c r="X6"/>
  <c r="Y6"/>
  <c r="V7"/>
  <c r="W7"/>
  <c r="X7"/>
  <c r="Y7"/>
  <c r="V8"/>
  <c r="W8"/>
  <c r="X8"/>
  <c r="Y8"/>
  <c r="V9"/>
  <c r="W9"/>
  <c r="X9"/>
  <c r="Y9"/>
  <c r="V10"/>
  <c r="W10"/>
  <c r="X10"/>
  <c r="Y10"/>
  <c r="V11"/>
  <c r="W11"/>
  <c r="X11"/>
  <c r="Y11"/>
  <c r="V12"/>
  <c r="W12"/>
  <c r="X12"/>
  <c r="Y12"/>
  <c r="V13"/>
  <c r="W13"/>
  <c r="X13"/>
  <c r="Y13"/>
  <c r="V14"/>
  <c r="W14"/>
  <c r="X14"/>
  <c r="Y14"/>
  <c r="V15"/>
  <c r="W15"/>
  <c r="X15"/>
  <c r="Y15"/>
  <c r="V16"/>
  <c r="W16"/>
  <c r="X16"/>
  <c r="Y16"/>
  <c r="V17"/>
  <c r="W17"/>
  <c r="X17"/>
  <c r="Y17"/>
  <c r="V18"/>
  <c r="W18"/>
  <c r="X18"/>
  <c r="Y18"/>
  <c r="V19"/>
  <c r="W19"/>
  <c r="X19"/>
  <c r="Y19"/>
  <c r="V20"/>
  <c r="W20"/>
  <c r="X20"/>
  <c r="Y20"/>
  <c r="V21"/>
  <c r="W21"/>
  <c r="X21"/>
  <c r="Y21"/>
  <c r="V22"/>
  <c r="W22"/>
  <c r="X22"/>
  <c r="Y22"/>
  <c r="V23"/>
  <c r="W23"/>
  <c r="X23"/>
  <c r="Y23"/>
  <c r="V24"/>
  <c r="W24"/>
  <c r="X24"/>
  <c r="Y24"/>
  <c r="V25"/>
  <c r="W25"/>
  <c r="X25"/>
  <c r="Y25"/>
  <c r="V26"/>
  <c r="W26"/>
  <c r="X26"/>
  <c r="Y26"/>
  <c r="V27"/>
  <c r="W27"/>
  <c r="X27"/>
  <c r="Y27"/>
  <c r="V28"/>
  <c r="W28"/>
  <c r="X28"/>
  <c r="Y28"/>
  <c r="V29"/>
  <c r="W29"/>
  <c r="X29"/>
  <c r="Y29"/>
  <c r="W5"/>
  <c r="X5"/>
  <c r="Y5"/>
  <c r="V5"/>
  <c r="P6"/>
  <c r="Q6"/>
  <c r="R6"/>
  <c r="S6"/>
  <c r="P7"/>
  <c r="Q7"/>
  <c r="R7"/>
  <c r="S7"/>
  <c r="P8"/>
  <c r="Q8"/>
  <c r="R8"/>
  <c r="S8"/>
  <c r="P9"/>
  <c r="Q9"/>
  <c r="R9"/>
  <c r="S9"/>
  <c r="P10"/>
  <c r="Q10"/>
  <c r="R10"/>
  <c r="S10"/>
  <c r="P11"/>
  <c r="Q11"/>
  <c r="R11"/>
  <c r="S11"/>
  <c r="P12"/>
  <c r="Q12"/>
  <c r="R12"/>
  <c r="S12"/>
  <c r="P13"/>
  <c r="Q13"/>
  <c r="R13"/>
  <c r="S13"/>
  <c r="P14"/>
  <c r="Q14"/>
  <c r="R14"/>
  <c r="S14"/>
  <c r="P15"/>
  <c r="Q15"/>
  <c r="R15"/>
  <c r="S15"/>
  <c r="P16"/>
  <c r="Q16"/>
  <c r="R16"/>
  <c r="S16"/>
  <c r="P17"/>
  <c r="Q17"/>
  <c r="R17"/>
  <c r="S17"/>
  <c r="P18"/>
  <c r="Q18"/>
  <c r="R18"/>
  <c r="S18"/>
  <c r="P19"/>
  <c r="Q19"/>
  <c r="R19"/>
  <c r="S19"/>
  <c r="P20"/>
  <c r="Q20"/>
  <c r="R20"/>
  <c r="S20"/>
  <c r="P21"/>
  <c r="Q21"/>
  <c r="R21"/>
  <c r="S21"/>
  <c r="P22"/>
  <c r="Q22"/>
  <c r="R22"/>
  <c r="S22"/>
  <c r="P23"/>
  <c r="Q23"/>
  <c r="R23"/>
  <c r="S23"/>
  <c r="P24"/>
  <c r="Q24"/>
  <c r="R24"/>
  <c r="S24"/>
  <c r="P25"/>
  <c r="Q25"/>
  <c r="R25"/>
  <c r="S25"/>
  <c r="P26"/>
  <c r="Q26"/>
  <c r="R26"/>
  <c r="S26"/>
  <c r="P27"/>
  <c r="Q27"/>
  <c r="R27"/>
  <c r="S27"/>
  <c r="P28"/>
  <c r="Q28"/>
  <c r="R28"/>
  <c r="S28"/>
  <c r="P29"/>
  <c r="Q29"/>
  <c r="R29"/>
  <c r="S29"/>
  <c r="Q5"/>
  <c r="R5"/>
  <c r="S5"/>
  <c r="P5"/>
  <c r="I39" i="12" l="1"/>
  <c r="G835" i="97" s="1"/>
  <c r="C31" i="2"/>
  <c r="D31"/>
  <c r="L6" i="23"/>
  <c r="K28"/>
  <c r="K25"/>
  <c r="K22"/>
  <c r="K20"/>
  <c r="K17"/>
  <c r="K16"/>
  <c r="K14"/>
  <c r="K12"/>
  <c r="K11"/>
  <c r="K10"/>
  <c r="K9"/>
  <c r="K8"/>
  <c r="K7"/>
  <c r="K6"/>
  <c r="K29"/>
  <c r="K26"/>
  <c r="K23"/>
  <c r="K19"/>
  <c r="K13"/>
  <c r="L5"/>
  <c r="K5"/>
  <c r="K27"/>
  <c r="K24"/>
  <c r="K21"/>
  <c r="K18"/>
  <c r="K15"/>
  <c r="L21"/>
  <c r="L20"/>
  <c r="L18"/>
  <c r="L14"/>
  <c r="L15"/>
  <c r="L29"/>
  <c r="L28"/>
  <c r="L27"/>
  <c r="L26"/>
  <c r="L25"/>
  <c r="L24"/>
  <c r="L23"/>
  <c r="L22"/>
  <c r="L19"/>
  <c r="L17"/>
  <c r="L16"/>
  <c r="L13"/>
  <c r="L12"/>
  <c r="L11"/>
  <c r="L10"/>
  <c r="L9"/>
  <c r="L8"/>
  <c r="L7"/>
  <c r="H39" i="12"/>
  <c r="G811" i="97" s="1"/>
  <c r="B32" i="2"/>
  <c r="P12" i="24"/>
  <c r="H12" s="1"/>
  <c r="N8"/>
  <c r="H8" s="1"/>
  <c r="N9"/>
  <c r="H9" s="1"/>
  <c r="N10"/>
  <c r="H10" s="1"/>
  <c r="N7"/>
  <c r="L12"/>
  <c r="I12" s="1"/>
  <c r="L8"/>
  <c r="I8" s="1"/>
  <c r="L9"/>
  <c r="I9" s="1"/>
  <c r="L10"/>
  <c r="I10" s="1"/>
  <c r="L7"/>
  <c r="D1"/>
  <c r="D32" i="2" l="1"/>
  <c r="I7" i="24"/>
  <c r="C32" i="2"/>
  <c r="H7" i="24"/>
  <c r="F14"/>
  <c r="G1567" i="97" s="1"/>
  <c r="CZ4" i="39" l="1"/>
  <c r="CZ5"/>
  <c r="CZ6"/>
  <c r="CZ7"/>
  <c r="CZ8"/>
  <c r="CZ9"/>
  <c r="CZ10"/>
  <c r="CZ11"/>
  <c r="CZ12"/>
  <c r="CZ13"/>
  <c r="CZ14"/>
  <c r="CZ15"/>
  <c r="CZ16"/>
  <c r="CZ17"/>
  <c r="CZ18"/>
  <c r="CZ19"/>
  <c r="CZ20"/>
  <c r="CZ21"/>
  <c r="CZ22"/>
  <c r="CZ23"/>
  <c r="CZ24"/>
  <c r="CZ25"/>
  <c r="CZ26"/>
  <c r="CN4"/>
  <c r="CN5"/>
  <c r="CN6"/>
  <c r="CN7"/>
  <c r="CN8"/>
  <c r="CN9"/>
  <c r="CN10"/>
  <c r="CN11"/>
  <c r="CN12"/>
  <c r="CN13"/>
  <c r="CN14"/>
  <c r="CN15"/>
  <c r="CN16"/>
  <c r="CN17"/>
  <c r="CN18"/>
  <c r="CN19"/>
  <c r="CN20"/>
  <c r="CN21"/>
  <c r="CN22"/>
  <c r="CN23"/>
  <c r="CN24"/>
  <c r="CZ3"/>
  <c r="CH4"/>
  <c r="CH5"/>
  <c r="CH6"/>
  <c r="CH7"/>
  <c r="CH8"/>
  <c r="CH9"/>
  <c r="CH10"/>
  <c r="CH11"/>
  <c r="CH12"/>
  <c r="CH13"/>
  <c r="CH14"/>
  <c r="CH15"/>
  <c r="CH16"/>
  <c r="CH17"/>
  <c r="CH18"/>
  <c r="CH19"/>
  <c r="CH20"/>
  <c r="CH21"/>
  <c r="CH22"/>
  <c r="CH23"/>
  <c r="CH24"/>
  <c r="CH25"/>
  <c r="CH26"/>
  <c r="CH27"/>
  <c r="CH28"/>
  <c r="CH29"/>
  <c r="CH30"/>
  <c r="CH31"/>
  <c r="CH32"/>
  <c r="CH33"/>
  <c r="CH34"/>
  <c r="CH35"/>
  <c r="CH36"/>
  <c r="CH37"/>
  <c r="CH38"/>
  <c r="CH39"/>
  <c r="CH40"/>
  <c r="CH41"/>
  <c r="CH42"/>
  <c r="CN3"/>
  <c r="CB4"/>
  <c r="CB5"/>
  <c r="CB6"/>
  <c r="CB7"/>
  <c r="CB8"/>
  <c r="CB9"/>
  <c r="CB10"/>
  <c r="CB11"/>
  <c r="CB12"/>
  <c r="CB13"/>
  <c r="CB14"/>
  <c r="CB15"/>
  <c r="CB16"/>
  <c r="CB17"/>
  <c r="CB18"/>
  <c r="CB19"/>
  <c r="CB20"/>
  <c r="CB21"/>
  <c r="CB22"/>
  <c r="CB23"/>
  <c r="CB24"/>
  <c r="CB25"/>
  <c r="CB26"/>
  <c r="CH3"/>
  <c r="BV4"/>
  <c r="BV5"/>
  <c r="BV6"/>
  <c r="BV7"/>
  <c r="BV8"/>
  <c r="BV9"/>
  <c r="BV10"/>
  <c r="BV11"/>
  <c r="BV12"/>
  <c r="BV13"/>
  <c r="BV14"/>
  <c r="BV15"/>
  <c r="BV16"/>
  <c r="BV17"/>
  <c r="BV18"/>
  <c r="BV19"/>
  <c r="BV20"/>
  <c r="BV21"/>
  <c r="BV22"/>
  <c r="BV23"/>
  <c r="BV24"/>
  <c r="BV25"/>
  <c r="BV26"/>
  <c r="CB3"/>
  <c r="BP4"/>
  <c r="BP5"/>
  <c r="BP6"/>
  <c r="BP7"/>
  <c r="BP8"/>
  <c r="BP9"/>
  <c r="BP10"/>
  <c r="BP11"/>
  <c r="BP12"/>
  <c r="BV3"/>
  <c r="BJ4"/>
  <c r="BJ5"/>
  <c r="BJ6"/>
  <c r="BJ7"/>
  <c r="BJ8"/>
  <c r="BJ9"/>
  <c r="BJ10"/>
  <c r="BJ11"/>
  <c r="BJ12"/>
  <c r="BJ13"/>
  <c r="BJ14"/>
  <c r="BP3"/>
  <c r="BD4"/>
  <c r="BD5"/>
  <c r="BD6"/>
  <c r="BD7"/>
  <c r="BD8"/>
  <c r="BD9"/>
  <c r="BD10"/>
  <c r="BD11"/>
  <c r="BD12"/>
  <c r="BJ3"/>
  <c r="AX4"/>
  <c r="AX5"/>
  <c r="AX6"/>
  <c r="AX7"/>
  <c r="BD3"/>
  <c r="AL4"/>
  <c r="AL5"/>
  <c r="AL6"/>
  <c r="AL7"/>
  <c r="AL8"/>
  <c r="AL9"/>
  <c r="AL10"/>
  <c r="AL11"/>
  <c r="AL12"/>
  <c r="AL13"/>
  <c r="AX3"/>
  <c r="N4"/>
  <c r="N5"/>
  <c r="N6"/>
  <c r="N7"/>
  <c r="N8"/>
  <c r="AL3"/>
  <c r="H4"/>
  <c r="H5"/>
  <c r="H6"/>
  <c r="H7"/>
  <c r="H8"/>
  <c r="H9"/>
  <c r="H10"/>
  <c r="H11"/>
  <c r="H12"/>
  <c r="H13"/>
  <c r="H14"/>
  <c r="H15"/>
  <c r="H16"/>
  <c r="H17"/>
  <c r="H18"/>
  <c r="H19"/>
  <c r="N3"/>
  <c r="H3"/>
  <c r="F1" i="22" l="1"/>
  <c r="CY25" i="39"/>
  <c r="DA25"/>
  <c r="DB25"/>
  <c r="DC25"/>
  <c r="CY26"/>
  <c r="DA26"/>
  <c r="DB26"/>
  <c r="DC26"/>
  <c r="CY16"/>
  <c r="DA16"/>
  <c r="DB16"/>
  <c r="DC16"/>
  <c r="CY17"/>
  <c r="DA17"/>
  <c r="DB17"/>
  <c r="DC17"/>
  <c r="CY18"/>
  <c r="DA18"/>
  <c r="DB18"/>
  <c r="DC18"/>
  <c r="CY19"/>
  <c r="DA19"/>
  <c r="DB19"/>
  <c r="DC19"/>
  <c r="CY20"/>
  <c r="DA20"/>
  <c r="DB20"/>
  <c r="DC20"/>
  <c r="CY21"/>
  <c r="DA21"/>
  <c r="DB21"/>
  <c r="DC21"/>
  <c r="CY22"/>
  <c r="DA22"/>
  <c r="DB22"/>
  <c r="DC22"/>
  <c r="CY23"/>
  <c r="DA23"/>
  <c r="DB23"/>
  <c r="DC23"/>
  <c r="CY24"/>
  <c r="DA24"/>
  <c r="DB24"/>
  <c r="DC24"/>
  <c r="CY5"/>
  <c r="DA5"/>
  <c r="DB5"/>
  <c r="DC5"/>
  <c r="CY6"/>
  <c r="DA6"/>
  <c r="DB6"/>
  <c r="DC6"/>
  <c r="CY7"/>
  <c r="DA7"/>
  <c r="DB7"/>
  <c r="DC7"/>
  <c r="CY8"/>
  <c r="DA8"/>
  <c r="DB8"/>
  <c r="DC8"/>
  <c r="CY9"/>
  <c r="DA9"/>
  <c r="DB9"/>
  <c r="DC9"/>
  <c r="CY10"/>
  <c r="DA10"/>
  <c r="DB10"/>
  <c r="DC10"/>
  <c r="CY11"/>
  <c r="DA11"/>
  <c r="DB11"/>
  <c r="DC11"/>
  <c r="CY12"/>
  <c r="DA12"/>
  <c r="DB12"/>
  <c r="DC12"/>
  <c r="CY13"/>
  <c r="DA13"/>
  <c r="DB13"/>
  <c r="DC13"/>
  <c r="CY14"/>
  <c r="DA14"/>
  <c r="DB14"/>
  <c r="DC14"/>
  <c r="CY15"/>
  <c r="DA15"/>
  <c r="DB15"/>
  <c r="DC15"/>
  <c r="CM19"/>
  <c r="CO19"/>
  <c r="CP19"/>
  <c r="CQ19"/>
  <c r="CM20"/>
  <c r="CO20"/>
  <c r="CP20"/>
  <c r="CQ20"/>
  <c r="CM21"/>
  <c r="CO21"/>
  <c r="CP21"/>
  <c r="CQ21"/>
  <c r="CM22"/>
  <c r="CO22"/>
  <c r="CP22"/>
  <c r="CQ22"/>
  <c r="CM23"/>
  <c r="CO23"/>
  <c r="CP23"/>
  <c r="CQ23"/>
  <c r="CM24"/>
  <c r="CO24"/>
  <c r="CP24"/>
  <c r="CQ24"/>
  <c r="CY3"/>
  <c r="DA3"/>
  <c r="DB3"/>
  <c r="DC3"/>
  <c r="CY4"/>
  <c r="DA4"/>
  <c r="DB4"/>
  <c r="DC4"/>
  <c r="CM10"/>
  <c r="CO10"/>
  <c r="CP10"/>
  <c r="CQ10"/>
  <c r="CM11"/>
  <c r="CO11"/>
  <c r="CP11"/>
  <c r="CQ11"/>
  <c r="CM12"/>
  <c r="CO12"/>
  <c r="CP12"/>
  <c r="CQ12"/>
  <c r="CM13"/>
  <c r="CO13"/>
  <c r="CP13"/>
  <c r="CQ13"/>
  <c r="CM14"/>
  <c r="CO14"/>
  <c r="CP14"/>
  <c r="CQ14"/>
  <c r="CM15"/>
  <c r="CO15"/>
  <c r="CP15"/>
  <c r="CQ15"/>
  <c r="CM16"/>
  <c r="CO16"/>
  <c r="CP16"/>
  <c r="CQ16"/>
  <c r="CM17"/>
  <c r="CO17"/>
  <c r="CP17"/>
  <c r="CQ17"/>
  <c r="CM18"/>
  <c r="CO18"/>
  <c r="CP18"/>
  <c r="CQ18"/>
  <c r="CG41"/>
  <c r="CI41"/>
  <c r="CJ41"/>
  <c r="CK41"/>
  <c r="CG42"/>
  <c r="CI42"/>
  <c r="CJ42"/>
  <c r="CK42"/>
  <c r="CM3"/>
  <c r="CO3"/>
  <c r="CP3"/>
  <c r="CQ3"/>
  <c r="CM4"/>
  <c r="CO4"/>
  <c r="CP4"/>
  <c r="CQ4"/>
  <c r="CM5"/>
  <c r="CO5"/>
  <c r="CP5"/>
  <c r="CQ5"/>
  <c r="CM6"/>
  <c r="CO6"/>
  <c r="CP6"/>
  <c r="CQ6"/>
  <c r="CM7"/>
  <c r="CO7"/>
  <c r="CP7"/>
  <c r="CQ7"/>
  <c r="CM8"/>
  <c r="CO8"/>
  <c r="CP8"/>
  <c r="CQ8"/>
  <c r="CM9"/>
  <c r="CO9"/>
  <c r="CP9"/>
  <c r="CQ9"/>
  <c r="CG34"/>
  <c r="CI34"/>
  <c r="CJ34"/>
  <c r="CK34"/>
  <c r="CG35"/>
  <c r="CI35"/>
  <c r="CJ35"/>
  <c r="CK35"/>
  <c r="CG36"/>
  <c r="CI36"/>
  <c r="CJ36"/>
  <c r="CK36"/>
  <c r="CG37"/>
  <c r="CI37"/>
  <c r="CJ37"/>
  <c r="CK37"/>
  <c r="CG38"/>
  <c r="CI38"/>
  <c r="CJ38"/>
  <c r="CK38"/>
  <c r="CG39"/>
  <c r="CI39"/>
  <c r="CJ39"/>
  <c r="CK39"/>
  <c r="CG40"/>
  <c r="CI40"/>
  <c r="CJ40"/>
  <c r="CK40"/>
  <c r="CG28"/>
  <c r="CI28"/>
  <c r="CJ28"/>
  <c r="CK28"/>
  <c r="CG29"/>
  <c r="CI29"/>
  <c r="CJ29"/>
  <c r="CK29"/>
  <c r="CG30"/>
  <c r="CI30"/>
  <c r="CJ30"/>
  <c r="CK30"/>
  <c r="CG31"/>
  <c r="CI31"/>
  <c r="CJ31"/>
  <c r="CK31"/>
  <c r="CG32"/>
  <c r="CI32"/>
  <c r="CJ32"/>
  <c r="CK32"/>
  <c r="CG33"/>
  <c r="CI33"/>
  <c r="CJ33"/>
  <c r="CK33"/>
  <c r="CG19"/>
  <c r="CI19"/>
  <c r="CJ19"/>
  <c r="CK19"/>
  <c r="CG20"/>
  <c r="CI20"/>
  <c r="CJ20"/>
  <c r="CK20"/>
  <c r="CG21"/>
  <c r="CI21"/>
  <c r="CJ21"/>
  <c r="CK21"/>
  <c r="CG22"/>
  <c r="CI22"/>
  <c r="CJ22"/>
  <c r="CK22"/>
  <c r="CG23"/>
  <c r="CI23"/>
  <c r="CJ23"/>
  <c r="CK23"/>
  <c r="CG24"/>
  <c r="CI24"/>
  <c r="CJ24"/>
  <c r="CK24"/>
  <c r="CG25"/>
  <c r="CI25"/>
  <c r="CJ25"/>
  <c r="CK25"/>
  <c r="CG26"/>
  <c r="CI26"/>
  <c r="CJ26"/>
  <c r="CK26"/>
  <c r="CG27"/>
  <c r="CI27"/>
  <c r="CJ27"/>
  <c r="CK27"/>
  <c r="CG5"/>
  <c r="CI5"/>
  <c r="CJ5"/>
  <c r="CK5"/>
  <c r="CG6"/>
  <c r="CI6"/>
  <c r="CJ6"/>
  <c r="CK6"/>
  <c r="CG7"/>
  <c r="CI7"/>
  <c r="CJ7"/>
  <c r="CK7"/>
  <c r="CG8"/>
  <c r="CI8"/>
  <c r="CJ8"/>
  <c r="CK8"/>
  <c r="CG9"/>
  <c r="CI9"/>
  <c r="CJ9"/>
  <c r="CK9"/>
  <c r="CG10"/>
  <c r="CI10"/>
  <c r="CJ10"/>
  <c r="CK10"/>
  <c r="CG11"/>
  <c r="CI11"/>
  <c r="CJ11"/>
  <c r="CK11"/>
  <c r="CG12"/>
  <c r="CI12"/>
  <c r="CJ12"/>
  <c r="CK12"/>
  <c r="CG13"/>
  <c r="CI13"/>
  <c r="CJ13"/>
  <c r="CK13"/>
  <c r="CG14"/>
  <c r="CI14"/>
  <c r="CJ14"/>
  <c r="CK14"/>
  <c r="CG15"/>
  <c r="CI15"/>
  <c r="CJ15"/>
  <c r="CK15"/>
  <c r="CG16"/>
  <c r="CI16"/>
  <c r="CJ16"/>
  <c r="CK16"/>
  <c r="CG17"/>
  <c r="CI17"/>
  <c r="CJ17"/>
  <c r="CK17"/>
  <c r="CG18"/>
  <c r="CI18"/>
  <c r="CJ18"/>
  <c r="CK18"/>
  <c r="CA25"/>
  <c r="CC25"/>
  <c r="CD25"/>
  <c r="CE25"/>
  <c r="CA26"/>
  <c r="CC26"/>
  <c r="CD26"/>
  <c r="CE26"/>
  <c r="CG3"/>
  <c r="CI3"/>
  <c r="CJ3"/>
  <c r="CK3"/>
  <c r="CG4"/>
  <c r="CI4"/>
  <c r="CJ4"/>
  <c r="CK4"/>
  <c r="CA20"/>
  <c r="CC20"/>
  <c r="CD20"/>
  <c r="CE20"/>
  <c r="CA21"/>
  <c r="CC21"/>
  <c r="CD21"/>
  <c r="CE21"/>
  <c r="CA22"/>
  <c r="CC22"/>
  <c r="CD22"/>
  <c r="CE22"/>
  <c r="CA23"/>
  <c r="CC23"/>
  <c r="CD23"/>
  <c r="CE23"/>
  <c r="CA24"/>
  <c r="CC24"/>
  <c r="CD24"/>
  <c r="CE24"/>
  <c r="CA15"/>
  <c r="CC15"/>
  <c r="CD15"/>
  <c r="CE15"/>
  <c r="CA16"/>
  <c r="CC16"/>
  <c r="CD16"/>
  <c r="CE16"/>
  <c r="CA17"/>
  <c r="CC17"/>
  <c r="CD17"/>
  <c r="CE17"/>
  <c r="CA18"/>
  <c r="CC18"/>
  <c r="CD18"/>
  <c r="CE18"/>
  <c r="CA19"/>
  <c r="CC19"/>
  <c r="CD19"/>
  <c r="CE19"/>
  <c r="CA11"/>
  <c r="CC11"/>
  <c r="CD11"/>
  <c r="CE11"/>
  <c r="CA12"/>
  <c r="CC12"/>
  <c r="CD12"/>
  <c r="CE12"/>
  <c r="CA13"/>
  <c r="CC13"/>
  <c r="CD13"/>
  <c r="CE13"/>
  <c r="CA14"/>
  <c r="CC14"/>
  <c r="CD14"/>
  <c r="CE14"/>
  <c r="CA3"/>
  <c r="CC3"/>
  <c r="CD3"/>
  <c r="CE3"/>
  <c r="CA4"/>
  <c r="CC4"/>
  <c r="CD4"/>
  <c r="CE4"/>
  <c r="CA5"/>
  <c r="CC5"/>
  <c r="CD5"/>
  <c r="CE5"/>
  <c r="CA6"/>
  <c r="CC6"/>
  <c r="CD6"/>
  <c r="CE6"/>
  <c r="CA7"/>
  <c r="CC7"/>
  <c r="CD7"/>
  <c r="CE7"/>
  <c r="CA8"/>
  <c r="CC8"/>
  <c r="CD8"/>
  <c r="CE8"/>
  <c r="CA9"/>
  <c r="CC9"/>
  <c r="CD9"/>
  <c r="CE9"/>
  <c r="CA10"/>
  <c r="CC10"/>
  <c r="CD10"/>
  <c r="CE10"/>
  <c r="BU22"/>
  <c r="BW22"/>
  <c r="BX22"/>
  <c r="BY22"/>
  <c r="BU23"/>
  <c r="BW23"/>
  <c r="BX23"/>
  <c r="BY23"/>
  <c r="BU24"/>
  <c r="BW24"/>
  <c r="BX24"/>
  <c r="BY24"/>
  <c r="BU25"/>
  <c r="BW25"/>
  <c r="BX25"/>
  <c r="BY25"/>
  <c r="BU26"/>
  <c r="BW26"/>
  <c r="BX26"/>
  <c r="BY26"/>
  <c r="BU18"/>
  <c r="BW18"/>
  <c r="BX18"/>
  <c r="BY18"/>
  <c r="BU19"/>
  <c r="BW19"/>
  <c r="BX19"/>
  <c r="BY19"/>
  <c r="BU20"/>
  <c r="BW20"/>
  <c r="BX20"/>
  <c r="BY20"/>
  <c r="BU21"/>
  <c r="BW21"/>
  <c r="BX21"/>
  <c r="BY21"/>
  <c r="BU15"/>
  <c r="BW15"/>
  <c r="BX15"/>
  <c r="BY15"/>
  <c r="BU16"/>
  <c r="BW16"/>
  <c r="BX16"/>
  <c r="BY16"/>
  <c r="BU17"/>
  <c r="BW17"/>
  <c r="BX17"/>
  <c r="BY17"/>
  <c r="BU9"/>
  <c r="BW9"/>
  <c r="BX9"/>
  <c r="BY9"/>
  <c r="BU10"/>
  <c r="BW10"/>
  <c r="BX10"/>
  <c r="BY10"/>
  <c r="BU11"/>
  <c r="BW11"/>
  <c r="BX11"/>
  <c r="BY11"/>
  <c r="BU12"/>
  <c r="BW12"/>
  <c r="BX12"/>
  <c r="BY12"/>
  <c r="BU13"/>
  <c r="BW13"/>
  <c r="BX13"/>
  <c r="BY13"/>
  <c r="BU14"/>
  <c r="BW14"/>
  <c r="BX14"/>
  <c r="BY14"/>
  <c r="BO6"/>
  <c r="BQ6"/>
  <c r="BR6"/>
  <c r="BS6"/>
  <c r="BO7"/>
  <c r="BQ7"/>
  <c r="BR7"/>
  <c r="BS7"/>
  <c r="BO8"/>
  <c r="BQ8"/>
  <c r="BR8"/>
  <c r="BS8"/>
  <c r="BO9"/>
  <c r="BQ9"/>
  <c r="BR9"/>
  <c r="BS9"/>
  <c r="BO10"/>
  <c r="BQ10"/>
  <c r="BR10"/>
  <c r="BS10"/>
  <c r="BO11"/>
  <c r="BQ11"/>
  <c r="BR11"/>
  <c r="BS11"/>
  <c r="BO12"/>
  <c r="BQ12"/>
  <c r="BR12"/>
  <c r="BS12"/>
  <c r="BU3"/>
  <c r="BW3"/>
  <c r="BX3"/>
  <c r="BY3"/>
  <c r="BU4"/>
  <c r="BW4"/>
  <c r="BX4"/>
  <c r="BY4"/>
  <c r="BU5"/>
  <c r="BW5"/>
  <c r="BX5"/>
  <c r="BY5"/>
  <c r="BU6"/>
  <c r="BW6"/>
  <c r="BX6"/>
  <c r="BY6"/>
  <c r="BU7"/>
  <c r="BW7"/>
  <c r="BX7"/>
  <c r="BY7"/>
  <c r="BU8"/>
  <c r="BW8"/>
  <c r="BX8"/>
  <c r="BY8"/>
  <c r="BI12"/>
  <c r="BK12"/>
  <c r="BL12"/>
  <c r="BM12"/>
  <c r="BI13"/>
  <c r="BK13"/>
  <c r="BL13"/>
  <c r="BM13"/>
  <c r="BI14"/>
  <c r="BK14"/>
  <c r="BL14"/>
  <c r="BM14"/>
  <c r="BO3"/>
  <c r="BQ3"/>
  <c r="BR3"/>
  <c r="BS3"/>
  <c r="BO4"/>
  <c r="BQ4"/>
  <c r="BR4"/>
  <c r="BS4"/>
  <c r="BO5"/>
  <c r="BQ5"/>
  <c r="BR5"/>
  <c r="BS5"/>
  <c r="BI7"/>
  <c r="BK7"/>
  <c r="BL7"/>
  <c r="BM7"/>
  <c r="BI8"/>
  <c r="BK8"/>
  <c r="BL8"/>
  <c r="BM8"/>
  <c r="BI9"/>
  <c r="BK9"/>
  <c r="BL9"/>
  <c r="BM9"/>
  <c r="BI10"/>
  <c r="BK10"/>
  <c r="BL10"/>
  <c r="BM10"/>
  <c r="BI11"/>
  <c r="BK11"/>
  <c r="BL11"/>
  <c r="BM11"/>
  <c r="BC11"/>
  <c r="BE11"/>
  <c r="BF11"/>
  <c r="BG11"/>
  <c r="BC12"/>
  <c r="BE12"/>
  <c r="BF12"/>
  <c r="BG12"/>
  <c r="BI3"/>
  <c r="BK3"/>
  <c r="BL3"/>
  <c r="BM3"/>
  <c r="BI4"/>
  <c r="BK4"/>
  <c r="BL4"/>
  <c r="BM4"/>
  <c r="BI5"/>
  <c r="BK5"/>
  <c r="BL5"/>
  <c r="BM5"/>
  <c r="BI6"/>
  <c r="BK6"/>
  <c r="BL6"/>
  <c r="BM6"/>
  <c r="BC4"/>
  <c r="BE4"/>
  <c r="BF4"/>
  <c r="BG4"/>
  <c r="BC5"/>
  <c r="BE5"/>
  <c r="BF5"/>
  <c r="BG5"/>
  <c r="BC6"/>
  <c r="BE6"/>
  <c r="BF6"/>
  <c r="BG6"/>
  <c r="BC7"/>
  <c r="BE7"/>
  <c r="BF7"/>
  <c r="BG7"/>
  <c r="BC8"/>
  <c r="BE8"/>
  <c r="BF8"/>
  <c r="BG8"/>
  <c r="BC9"/>
  <c r="BE9"/>
  <c r="BF9"/>
  <c r="BG9"/>
  <c r="BC10"/>
  <c r="BE10"/>
  <c r="BF10"/>
  <c r="BG10"/>
  <c r="AW5"/>
  <c r="AY5"/>
  <c r="AZ5"/>
  <c r="BA5"/>
  <c r="AW6"/>
  <c r="AY6"/>
  <c r="AZ6"/>
  <c r="BA6"/>
  <c r="AW7"/>
  <c r="AY7"/>
  <c r="AZ7"/>
  <c r="BA7"/>
  <c r="BC3"/>
  <c r="BE3"/>
  <c r="BF3"/>
  <c r="BG3"/>
  <c r="AK12"/>
  <c r="AM12"/>
  <c r="AN12"/>
  <c r="AO12"/>
  <c r="AK13"/>
  <c r="AM13"/>
  <c r="AN13"/>
  <c r="AO13"/>
  <c r="AW3"/>
  <c r="AY3"/>
  <c r="AZ3"/>
  <c r="BA3"/>
  <c r="AW4"/>
  <c r="AY4"/>
  <c r="AZ4"/>
  <c r="BA4"/>
  <c r="AK5"/>
  <c r="AM5"/>
  <c r="AN5"/>
  <c r="AO5"/>
  <c r="AK6"/>
  <c r="AM6"/>
  <c r="AN6"/>
  <c r="AO6"/>
  <c r="AK7"/>
  <c r="AM7"/>
  <c r="AN7"/>
  <c r="AO7"/>
  <c r="AK8"/>
  <c r="AM8"/>
  <c r="AN8"/>
  <c r="AO8"/>
  <c r="AK9"/>
  <c r="AM9"/>
  <c r="AN9"/>
  <c r="AO9"/>
  <c r="AK10"/>
  <c r="AM10"/>
  <c r="AN10"/>
  <c r="AO10"/>
  <c r="AK11"/>
  <c r="AM11"/>
  <c r="AN11"/>
  <c r="AO11"/>
  <c r="M5"/>
  <c r="O5"/>
  <c r="P5"/>
  <c r="Q5"/>
  <c r="M6"/>
  <c r="O6"/>
  <c r="P6"/>
  <c r="Q6"/>
  <c r="M7"/>
  <c r="O7"/>
  <c r="P7"/>
  <c r="Q7"/>
  <c r="M8"/>
  <c r="O8"/>
  <c r="P8"/>
  <c r="Q8"/>
  <c r="AK3"/>
  <c r="AM3"/>
  <c r="AN3"/>
  <c r="AO3"/>
  <c r="AK4"/>
  <c r="AM4"/>
  <c r="AN4"/>
  <c r="AO4"/>
  <c r="G4"/>
  <c r="I4"/>
  <c r="J4"/>
  <c r="K4"/>
  <c r="G5"/>
  <c r="I5"/>
  <c r="J5"/>
  <c r="K5"/>
  <c r="G6"/>
  <c r="I6"/>
  <c r="J6"/>
  <c r="K6"/>
  <c r="G7"/>
  <c r="I7"/>
  <c r="J7"/>
  <c r="K7"/>
  <c r="G8"/>
  <c r="I8"/>
  <c r="J8"/>
  <c r="K8"/>
  <c r="G9"/>
  <c r="I9"/>
  <c r="J9"/>
  <c r="K9"/>
  <c r="G10"/>
  <c r="I10"/>
  <c r="J10"/>
  <c r="K10"/>
  <c r="G11"/>
  <c r="I11"/>
  <c r="J11"/>
  <c r="K11"/>
  <c r="G12"/>
  <c r="I12"/>
  <c r="J12"/>
  <c r="K12"/>
  <c r="G13"/>
  <c r="I13"/>
  <c r="J13"/>
  <c r="K13"/>
  <c r="G14"/>
  <c r="I14"/>
  <c r="J14"/>
  <c r="K14"/>
  <c r="G15"/>
  <c r="I15"/>
  <c r="J15"/>
  <c r="K15"/>
  <c r="G16"/>
  <c r="I16"/>
  <c r="J16"/>
  <c r="K16"/>
  <c r="G17"/>
  <c r="I17"/>
  <c r="J17"/>
  <c r="K17"/>
  <c r="G18"/>
  <c r="I18"/>
  <c r="J18"/>
  <c r="K18"/>
  <c r="G19"/>
  <c r="I19"/>
  <c r="J19"/>
  <c r="K19"/>
  <c r="M3"/>
  <c r="O3"/>
  <c r="P3"/>
  <c r="Q3"/>
  <c r="M4"/>
  <c r="O4"/>
  <c r="P4"/>
  <c r="Q4"/>
  <c r="K3"/>
  <c r="J3"/>
  <c r="I3"/>
  <c r="G3"/>
  <c r="C2"/>
  <c r="C2" i="37"/>
  <c r="DB2" i="39"/>
  <c r="DA2"/>
  <c r="CV2"/>
  <c r="CP2"/>
  <c r="CO2"/>
  <c r="CJ2"/>
  <c r="CI2"/>
  <c r="CD2"/>
  <c r="CC2"/>
  <c r="BX2"/>
  <c r="BW2"/>
  <c r="BR2"/>
  <c r="BQ2"/>
  <c r="BL2"/>
  <c r="BK2"/>
  <c r="BF2"/>
  <c r="BE2"/>
  <c r="AZ2"/>
  <c r="AY2"/>
  <c r="AT2"/>
  <c r="AS2"/>
  <c r="AN2"/>
  <c r="AM2"/>
  <c r="AH2"/>
  <c r="AG2"/>
  <c r="AB2"/>
  <c r="AA2"/>
  <c r="V2"/>
  <c r="U2"/>
  <c r="P2"/>
  <c r="O2"/>
  <c r="J2"/>
  <c r="I2"/>
  <c r="D2"/>
  <c r="BE4" i="37"/>
  <c r="BE5"/>
  <c r="BE6"/>
  <c r="BE7"/>
  <c r="BE8"/>
  <c r="BE9"/>
  <c r="BE10"/>
  <c r="BE11"/>
  <c r="BE12"/>
  <c r="BE13"/>
  <c r="BE14"/>
  <c r="BE15"/>
  <c r="BE16"/>
  <c r="BE17"/>
  <c r="BE18"/>
  <c r="BE19"/>
  <c r="BE20"/>
  <c r="BE21"/>
  <c r="BE22"/>
  <c r="BE23"/>
  <c r="BE24"/>
  <c r="BE25"/>
  <c r="BE26"/>
  <c r="BE27"/>
  <c r="BE28"/>
  <c r="BE29"/>
  <c r="BE30"/>
  <c r="BE31"/>
  <c r="BE32"/>
  <c r="BE33"/>
  <c r="BE34"/>
  <c r="BE35"/>
  <c r="BE36"/>
  <c r="BI4"/>
  <c r="BI5"/>
  <c r="BI6"/>
  <c r="BI7"/>
  <c r="BI8"/>
  <c r="BI9"/>
  <c r="BI10"/>
  <c r="BI11"/>
  <c r="BI12"/>
  <c r="BI13"/>
  <c r="BI14"/>
  <c r="BI15"/>
  <c r="BI16"/>
  <c r="BI17"/>
  <c r="BI18"/>
  <c r="BI19"/>
  <c r="BI20"/>
  <c r="BI21"/>
  <c r="BI22"/>
  <c r="BI23"/>
  <c r="BI24"/>
  <c r="BI25"/>
  <c r="BI26"/>
  <c r="BI27"/>
  <c r="BI28"/>
  <c r="BI29"/>
  <c r="BI30"/>
  <c r="BI31"/>
  <c r="BI32"/>
  <c r="BI33"/>
  <c r="BI34"/>
  <c r="BI35"/>
  <c r="BI36"/>
  <c r="R6" i="21"/>
  <c r="R5"/>
  <c r="Y5"/>
  <c r="C5" i="22" l="1"/>
  <c r="H5" s="1"/>
  <c r="B6"/>
  <c r="C6" s="1"/>
  <c r="D6" s="1"/>
  <c r="AC6" i="21"/>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9"/>
  <c r="AC60"/>
  <c r="AC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9"/>
  <c r="AA60"/>
  <c r="AA5"/>
  <c r="Y6"/>
  <c r="Y7"/>
  <c r="Y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9"/>
  <c r="Y60"/>
  <c r="DT4" i="37"/>
  <c r="DT5"/>
  <c r="DT6"/>
  <c r="DT7"/>
  <c r="DT8"/>
  <c r="DT9"/>
  <c r="DT10"/>
  <c r="DT11"/>
  <c r="DT12"/>
  <c r="DT13"/>
  <c r="DT14"/>
  <c r="DT15"/>
  <c r="DT16"/>
  <c r="DT17"/>
  <c r="DT18"/>
  <c r="DT19"/>
  <c r="DT20"/>
  <c r="DT21"/>
  <c r="DT22"/>
  <c r="DT23"/>
  <c r="DT24"/>
  <c r="DT25"/>
  <c r="DT26"/>
  <c r="DT27"/>
  <c r="DT28"/>
  <c r="DT29"/>
  <c r="DT30"/>
  <c r="DT31"/>
  <c r="DT32"/>
  <c r="DT33"/>
  <c r="DT34"/>
  <c r="DT35"/>
  <c r="DT36"/>
  <c r="DM4"/>
  <c r="DM5"/>
  <c r="DM6"/>
  <c r="DM7"/>
  <c r="DM8"/>
  <c r="DM9"/>
  <c r="DM10"/>
  <c r="DM11"/>
  <c r="DM12"/>
  <c r="DM13"/>
  <c r="DM14"/>
  <c r="DM15"/>
  <c r="DM16"/>
  <c r="DM17"/>
  <c r="DM18"/>
  <c r="DM19"/>
  <c r="DM20"/>
  <c r="DM21"/>
  <c r="DM22"/>
  <c r="DM23"/>
  <c r="DM24"/>
  <c r="DM25"/>
  <c r="DM26"/>
  <c r="DM27"/>
  <c r="DM28"/>
  <c r="DM29"/>
  <c r="DM30"/>
  <c r="DM31"/>
  <c r="DM32"/>
  <c r="DM33"/>
  <c r="DM34"/>
  <c r="DT3"/>
  <c r="DF4"/>
  <c r="DF5"/>
  <c r="DF6"/>
  <c r="DF7"/>
  <c r="DF8"/>
  <c r="DF9"/>
  <c r="DF10"/>
  <c r="DF11"/>
  <c r="DF12"/>
  <c r="DF13"/>
  <c r="DF14"/>
  <c r="DF15"/>
  <c r="DF16"/>
  <c r="DF17"/>
  <c r="DF18"/>
  <c r="DF19"/>
  <c r="DF20"/>
  <c r="DF21"/>
  <c r="DF22"/>
  <c r="DF23"/>
  <c r="DF24"/>
  <c r="DF25"/>
  <c r="DF26"/>
  <c r="DF27"/>
  <c r="DF28"/>
  <c r="DF29"/>
  <c r="DF30"/>
  <c r="DF31"/>
  <c r="DF32"/>
  <c r="DF33"/>
  <c r="DM3"/>
  <c r="CY4"/>
  <c r="CY5"/>
  <c r="CY6"/>
  <c r="CY7"/>
  <c r="CY8"/>
  <c r="CY9"/>
  <c r="CY10"/>
  <c r="CY11"/>
  <c r="CY12"/>
  <c r="CY13"/>
  <c r="CY14"/>
  <c r="CY15"/>
  <c r="CY16"/>
  <c r="CY17"/>
  <c r="CY18"/>
  <c r="CY19"/>
  <c r="CY20"/>
  <c r="CY21"/>
  <c r="CY22"/>
  <c r="CY23"/>
  <c r="CY24"/>
  <c r="CY25"/>
  <c r="CY26"/>
  <c r="CY27"/>
  <c r="CY28"/>
  <c r="CY29"/>
  <c r="DF3"/>
  <c r="CR4"/>
  <c r="CR5"/>
  <c r="CR6"/>
  <c r="CR7"/>
  <c r="CR8"/>
  <c r="CR9"/>
  <c r="CR10"/>
  <c r="CR11"/>
  <c r="CR12"/>
  <c r="CR13"/>
  <c r="CR14"/>
  <c r="CR15"/>
  <c r="CR16"/>
  <c r="CR17"/>
  <c r="CR18"/>
  <c r="CR19"/>
  <c r="CR20"/>
  <c r="CR21"/>
  <c r="CR22"/>
  <c r="CR23"/>
  <c r="CR24"/>
  <c r="CR25"/>
  <c r="CR26"/>
  <c r="CR27"/>
  <c r="CR28"/>
  <c r="CR29"/>
  <c r="CR30"/>
  <c r="CR31"/>
  <c r="CR32"/>
  <c r="CR33"/>
  <c r="CR34"/>
  <c r="CR35"/>
  <c r="CR36"/>
  <c r="CR37"/>
  <c r="CR38"/>
  <c r="CR39"/>
  <c r="CR40"/>
  <c r="CR41"/>
  <c r="CR42"/>
  <c r="CR43"/>
  <c r="CR44"/>
  <c r="CR45"/>
  <c r="CR46"/>
  <c r="CR47"/>
  <c r="CR48"/>
  <c r="CR49"/>
  <c r="CR50"/>
  <c r="CR51"/>
  <c r="CR52"/>
  <c r="CR53"/>
  <c r="CR54"/>
  <c r="CR55"/>
  <c r="CR56"/>
  <c r="CR57"/>
  <c r="CY3"/>
  <c r="CK4"/>
  <c r="CK5"/>
  <c r="CK6"/>
  <c r="CK7"/>
  <c r="CK8"/>
  <c r="CK9"/>
  <c r="CK10"/>
  <c r="CK11"/>
  <c r="CK12"/>
  <c r="CK13"/>
  <c r="CK14"/>
  <c r="CK15"/>
  <c r="CK16"/>
  <c r="CK17"/>
  <c r="CK18"/>
  <c r="CK19"/>
  <c r="CK20"/>
  <c r="CK21"/>
  <c r="CK22"/>
  <c r="CK23"/>
  <c r="CK24"/>
  <c r="CK25"/>
  <c r="CK26"/>
  <c r="CK27"/>
  <c r="CK28"/>
  <c r="CK29"/>
  <c r="CK30"/>
  <c r="CK31"/>
  <c r="CK32"/>
  <c r="CK33"/>
  <c r="CK34"/>
  <c r="CK35"/>
  <c r="CK36"/>
  <c r="CK37"/>
  <c r="CK38"/>
  <c r="CK39"/>
  <c r="CK40"/>
  <c r="CK41"/>
  <c r="CK42"/>
  <c r="CK43"/>
  <c r="CK44"/>
  <c r="CR3"/>
  <c r="CD4"/>
  <c r="CD5"/>
  <c r="CD6"/>
  <c r="CD7"/>
  <c r="CD8"/>
  <c r="CD9"/>
  <c r="CD10"/>
  <c r="CD11"/>
  <c r="CD12"/>
  <c r="CD13"/>
  <c r="CD14"/>
  <c r="CD15"/>
  <c r="CD16"/>
  <c r="CD17"/>
  <c r="CD18"/>
  <c r="CD19"/>
  <c r="CD20"/>
  <c r="CD21"/>
  <c r="CD22"/>
  <c r="CD23"/>
  <c r="CD24"/>
  <c r="CD25"/>
  <c r="CD26"/>
  <c r="CD27"/>
  <c r="CD28"/>
  <c r="CD29"/>
  <c r="CD30"/>
  <c r="CD31"/>
  <c r="CD32"/>
  <c r="CD33"/>
  <c r="CD34"/>
  <c r="CD35"/>
  <c r="CD36"/>
  <c r="CD37"/>
  <c r="CD38"/>
  <c r="CD39"/>
  <c r="CD40"/>
  <c r="CD41"/>
  <c r="CD42"/>
  <c r="CD43"/>
  <c r="CD44"/>
  <c r="CD45"/>
  <c r="CD46"/>
  <c r="CD47"/>
  <c r="CK3"/>
  <c r="BW4"/>
  <c r="BW5"/>
  <c r="BW6"/>
  <c r="BW7"/>
  <c r="BW8"/>
  <c r="BW9"/>
  <c r="BW10"/>
  <c r="BW11"/>
  <c r="BW12"/>
  <c r="BW13"/>
  <c r="BW14"/>
  <c r="BW15"/>
  <c r="BW16"/>
  <c r="BW17"/>
  <c r="CD3"/>
  <c r="BP4"/>
  <c r="BP5"/>
  <c r="BP6"/>
  <c r="BP7"/>
  <c r="BP8"/>
  <c r="BP9"/>
  <c r="BP10"/>
  <c r="BP11"/>
  <c r="BP12"/>
  <c r="BP13"/>
  <c r="BP14"/>
  <c r="BP15"/>
  <c r="BP16"/>
  <c r="BP17"/>
  <c r="BP18"/>
  <c r="BP19"/>
  <c r="BP20"/>
  <c r="BP21"/>
  <c r="BP22"/>
  <c r="BP23"/>
  <c r="BP24"/>
  <c r="BP25"/>
  <c r="BP26"/>
  <c r="BP27"/>
  <c r="BP28"/>
  <c r="BP29"/>
  <c r="BP30"/>
  <c r="BP31"/>
  <c r="BP32"/>
  <c r="BP33"/>
  <c r="BP34"/>
  <c r="BP35"/>
  <c r="BW3"/>
  <c r="BP3"/>
  <c r="BB4"/>
  <c r="BB5"/>
  <c r="BB6"/>
  <c r="BB7"/>
  <c r="BB8"/>
  <c r="BB9"/>
  <c r="BB10"/>
  <c r="BB11"/>
  <c r="BB12"/>
  <c r="BB13"/>
  <c r="BB14"/>
  <c r="BB15"/>
  <c r="BB16"/>
  <c r="BB17"/>
  <c r="BB18"/>
  <c r="BB19"/>
  <c r="BB20"/>
  <c r="BB21"/>
  <c r="BB22"/>
  <c r="BB23"/>
  <c r="BI3"/>
  <c r="AU4"/>
  <c r="AU5"/>
  <c r="AU6"/>
  <c r="AU7"/>
  <c r="AU8"/>
  <c r="AU9"/>
  <c r="AU10"/>
  <c r="AU11"/>
  <c r="AU12"/>
  <c r="AU13"/>
  <c r="AU14"/>
  <c r="AU15"/>
  <c r="AU16"/>
  <c r="AU17"/>
  <c r="BB3"/>
  <c r="AN4"/>
  <c r="AN5"/>
  <c r="AN6"/>
  <c r="AN7"/>
  <c r="AN8"/>
  <c r="AN9"/>
  <c r="AN10"/>
  <c r="AN11"/>
  <c r="AN12"/>
  <c r="AN13"/>
  <c r="AN14"/>
  <c r="AN15"/>
  <c r="AU3"/>
  <c r="AG4"/>
  <c r="AG5"/>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N3"/>
  <c r="Z4"/>
  <c r="Z5"/>
  <c r="Z6"/>
  <c r="Z7"/>
  <c r="Z8"/>
  <c r="Z9"/>
  <c r="Z10"/>
  <c r="Z11"/>
  <c r="Z12"/>
  <c r="Z13"/>
  <c r="Z14"/>
  <c r="Z15"/>
  <c r="AG3"/>
  <c r="S4"/>
  <c r="S5"/>
  <c r="S6"/>
  <c r="S7"/>
  <c r="S8"/>
  <c r="S9"/>
  <c r="S10"/>
  <c r="S11"/>
  <c r="S12"/>
  <c r="S13"/>
  <c r="S14"/>
  <c r="S15"/>
  <c r="S16"/>
  <c r="S17"/>
  <c r="S18"/>
  <c r="S19"/>
  <c r="S20"/>
  <c r="S21"/>
  <c r="S22"/>
  <c r="S23"/>
  <c r="Z3"/>
  <c r="L4"/>
  <c r="L5"/>
  <c r="L6"/>
  <c r="L7"/>
  <c r="L8"/>
  <c r="L9"/>
  <c r="L10"/>
  <c r="L11"/>
  <c r="L12"/>
  <c r="L13"/>
  <c r="L14"/>
  <c r="L15"/>
  <c r="L16"/>
  <c r="L17"/>
  <c r="L18"/>
  <c r="L19"/>
  <c r="L20"/>
  <c r="L21"/>
  <c r="L22"/>
  <c r="L23"/>
  <c r="L24"/>
  <c r="L25"/>
  <c r="L26"/>
  <c r="L27"/>
  <c r="L28"/>
  <c r="L29"/>
  <c r="L30"/>
  <c r="L31"/>
  <c r="L32"/>
  <c r="L33"/>
  <c r="L34"/>
  <c r="L35"/>
  <c r="L36"/>
  <c r="L37"/>
  <c r="L38"/>
  <c r="L39"/>
  <c r="L40"/>
  <c r="L41"/>
  <c r="S3"/>
  <c r="L3"/>
  <c r="E4"/>
  <c r="E5"/>
  <c r="E6"/>
  <c r="E7"/>
  <c r="E8"/>
  <c r="E9"/>
  <c r="E10"/>
  <c r="E11"/>
  <c r="E12"/>
  <c r="E13"/>
  <c r="E14"/>
  <c r="E15"/>
  <c r="E3"/>
  <c r="G6" i="22" l="1"/>
  <c r="E5"/>
  <c r="D5"/>
  <c r="E6"/>
  <c r="G5"/>
  <c r="H6"/>
  <c r="F5"/>
  <c r="F6"/>
  <c r="B7"/>
  <c r="C7" s="1"/>
  <c r="G7" s="1"/>
  <c r="P5"/>
  <c r="Q5"/>
  <c r="N11" i="11"/>
  <c r="G739" i="97" s="1"/>
  <c r="N10" i="11"/>
  <c r="G738" i="97" s="1"/>
  <c r="N9" i="11"/>
  <c r="G737" i="97" s="1"/>
  <c r="K11" i="11"/>
  <c r="G717" i="97" s="1"/>
  <c r="K10" i="11"/>
  <c r="G716" i="97" s="1"/>
  <c r="B8" i="22" l="1"/>
  <c r="C8" s="1"/>
  <c r="F7"/>
  <c r="D7"/>
  <c r="H7"/>
  <c r="E7"/>
  <c r="P10" i="11"/>
  <c r="G757" i="97" s="1"/>
  <c r="G8" i="32"/>
  <c r="P11" i="11"/>
  <c r="G758" i="97" s="1"/>
  <c r="P9" i="11"/>
  <c r="G756" i="97" s="1"/>
  <c r="G5" i="32"/>
  <c r="G2211" i="97" s="1"/>
  <c r="P6" i="22"/>
  <c r="H5" i="32"/>
  <c r="G2222" i="97" s="1"/>
  <c r="Q6" i="22"/>
  <c r="B9"/>
  <c r="C9" s="1"/>
  <c r="M5"/>
  <c r="F9" l="1"/>
  <c r="H9"/>
  <c r="G9"/>
  <c r="E9"/>
  <c r="D9"/>
  <c r="G8"/>
  <c r="E8"/>
  <c r="H8"/>
  <c r="D8"/>
  <c r="F8"/>
  <c r="J5" i="32"/>
  <c r="G2244" i="97" s="1"/>
  <c r="AM9" i="11"/>
  <c r="M6" i="22"/>
  <c r="Q7"/>
  <c r="X29" i="19"/>
  <c r="AM7" i="11"/>
  <c r="P7" i="22"/>
  <c r="P8"/>
  <c r="Q8"/>
  <c r="B10"/>
  <c r="C10" s="1"/>
  <c r="S23" i="8"/>
  <c r="R23"/>
  <c r="Q23"/>
  <c r="P23"/>
  <c r="D10" i="22" l="1"/>
  <c r="G10"/>
  <c r="E10"/>
  <c r="H10"/>
  <c r="F10"/>
  <c r="M7"/>
  <c r="M23" i="8"/>
  <c r="M8" i="22"/>
  <c r="B11"/>
  <c r="C11" s="1"/>
  <c r="P9"/>
  <c r="Q9"/>
  <c r="R24" i="4"/>
  <c r="Q24"/>
  <c r="P24"/>
  <c r="J24"/>
  <c r="G76" i="97" s="1"/>
  <c r="J41" i="34"/>
  <c r="G2390" i="97" s="1"/>
  <c r="B31" i="2"/>
  <c r="B30"/>
  <c r="G11" i="22" l="1"/>
  <c r="H11"/>
  <c r="F11"/>
  <c r="E11"/>
  <c r="D11"/>
  <c r="K24" i="4"/>
  <c r="G94" i="97" s="1"/>
  <c r="M24" i="4"/>
  <c r="R41" i="34"/>
  <c r="M9" i="22"/>
  <c r="P10"/>
  <c r="Q10"/>
  <c r="B12"/>
  <c r="C12" s="1"/>
  <c r="G12" l="1"/>
  <c r="E12"/>
  <c r="F12"/>
  <c r="H12"/>
  <c r="D12"/>
  <c r="B13"/>
  <c r="C13" s="1"/>
  <c r="M10"/>
  <c r="Q11"/>
  <c r="P11"/>
  <c r="F30" i="17"/>
  <c r="G1246" i="97" s="1"/>
  <c r="H31" i="18"/>
  <c r="G1413" i="97" s="1"/>
  <c r="F31" i="18"/>
  <c r="G1363" i="97" s="1"/>
  <c r="F13" i="22" l="1"/>
  <c r="D13"/>
  <c r="G13"/>
  <c r="E13"/>
  <c r="H13"/>
  <c r="I34" i="17"/>
  <c r="G1314" i="97" s="1"/>
  <c r="I31" i="18"/>
  <c r="G1439" i="97" s="1"/>
  <c r="M11" i="22"/>
  <c r="P12"/>
  <c r="Q12"/>
  <c r="B14"/>
  <c r="C14" s="1"/>
  <c r="I10" i="16"/>
  <c r="G1201" i="97" s="1"/>
  <c r="I9" i="16"/>
  <c r="G1200" i="97" s="1"/>
  <c r="I8" i="16"/>
  <c r="G1199" i="97" s="1"/>
  <c r="I7" i="16"/>
  <c r="G1198" i="97" s="1"/>
  <c r="I6" i="16"/>
  <c r="G1197" i="97" s="1"/>
  <c r="D14" i="22" l="1"/>
  <c r="F14"/>
  <c r="E14"/>
  <c r="G14"/>
  <c r="H14"/>
  <c r="P13"/>
  <c r="Q13"/>
  <c r="B15"/>
  <c r="C15" s="1"/>
  <c r="M12"/>
  <c r="N16" i="33"/>
  <c r="K16" s="1"/>
  <c r="G15" i="22" l="1"/>
  <c r="F15"/>
  <c r="H15"/>
  <c r="E15"/>
  <c r="D15"/>
  <c r="P14"/>
  <c r="Q14"/>
  <c r="M13"/>
  <c r="B16"/>
  <c r="C16" s="1"/>
  <c r="B8" i="2"/>
  <c r="B9"/>
  <c r="B10"/>
  <c r="B11"/>
  <c r="B12"/>
  <c r="C15"/>
  <c r="D15"/>
  <c r="B16"/>
  <c r="B17"/>
  <c r="B18"/>
  <c r="B19"/>
  <c r="B20"/>
  <c r="B21"/>
  <c r="B22"/>
  <c r="B23"/>
  <c r="B24"/>
  <c r="B29"/>
  <c r="B36"/>
  <c r="B37"/>
  <c r="B38"/>
  <c r="B39"/>
  <c r="B40"/>
  <c r="B41"/>
  <c r="B42"/>
  <c r="B43"/>
  <c r="B44"/>
  <c r="G16" i="22" l="1"/>
  <c r="E16"/>
  <c r="D16"/>
  <c r="F16"/>
  <c r="H16"/>
  <c r="BH23" i="72"/>
  <c r="BI22"/>
  <c r="BJ21"/>
  <c r="BF21"/>
  <c r="BG20"/>
  <c r="BH19"/>
  <c r="BI18"/>
  <c r="BJ13"/>
  <c r="BF13"/>
  <c r="BG12"/>
  <c r="BH11"/>
  <c r="BI10"/>
  <c r="BJ9"/>
  <c r="BF9"/>
  <c r="BG8"/>
  <c r="BF18"/>
  <c r="BI11"/>
  <c r="BF10"/>
  <c r="BH8"/>
  <c r="BG23"/>
  <c r="BH22"/>
  <c r="BI21"/>
  <c r="BJ20"/>
  <c r="BF20"/>
  <c r="BG19"/>
  <c r="BH18"/>
  <c r="BI13"/>
  <c r="BJ12"/>
  <c r="BF12"/>
  <c r="BG11"/>
  <c r="BH10"/>
  <c r="BI9"/>
  <c r="BJ8"/>
  <c r="BF8"/>
  <c r="BJ23"/>
  <c r="BF23"/>
  <c r="BG22"/>
  <c r="BH21"/>
  <c r="BI20"/>
  <c r="BJ19"/>
  <c r="BF19"/>
  <c r="BG18"/>
  <c r="BH13"/>
  <c r="BI12"/>
  <c r="BJ11"/>
  <c r="BF11"/>
  <c r="BG10"/>
  <c r="BH9"/>
  <c r="BI8"/>
  <c r="BI23"/>
  <c r="BJ22"/>
  <c r="BF22"/>
  <c r="BG21"/>
  <c r="BH20"/>
  <c r="BI19"/>
  <c r="BJ18"/>
  <c r="BG13"/>
  <c r="BH12"/>
  <c r="BJ10"/>
  <c r="BG9"/>
  <c r="R17" i="32"/>
  <c r="R11"/>
  <c r="O8" i="28"/>
  <c r="U23" i="27"/>
  <c r="U11"/>
  <c r="P43" i="15"/>
  <c r="W17" i="14"/>
  <c r="W10"/>
  <c r="U26" i="12"/>
  <c r="O26" s="1"/>
  <c r="U21"/>
  <c r="O21" s="1"/>
  <c r="U12"/>
  <c r="O12" s="1"/>
  <c r="U8"/>
  <c r="O8" s="1"/>
  <c r="O10" i="28"/>
  <c r="O6"/>
  <c r="P49" i="15"/>
  <c r="W8" i="14"/>
  <c r="U35" i="12"/>
  <c r="O35" s="1"/>
  <c r="U16"/>
  <c r="O16" s="1"/>
  <c r="U10"/>
  <c r="O10" s="1"/>
  <c r="U7" i="27"/>
  <c r="W18" i="14"/>
  <c r="W7"/>
  <c r="U30" i="12"/>
  <c r="O30" s="1"/>
  <c r="U22"/>
  <c r="O22" s="1"/>
  <c r="U9"/>
  <c r="O9" s="1"/>
  <c r="R14" i="32"/>
  <c r="R7"/>
  <c r="O7" i="28"/>
  <c r="U20" i="27"/>
  <c r="U10"/>
  <c r="W26" i="14"/>
  <c r="W16"/>
  <c r="W9"/>
  <c r="U36" i="12"/>
  <c r="O36" s="1"/>
  <c r="U24"/>
  <c r="O24" s="1"/>
  <c r="U20"/>
  <c r="O20" s="1"/>
  <c r="U11"/>
  <c r="O11" s="1"/>
  <c r="U7"/>
  <c r="O7" s="1"/>
  <c r="R13" i="32"/>
  <c r="U16" i="27"/>
  <c r="W25" i="14"/>
  <c r="W15"/>
  <c r="U23" i="12"/>
  <c r="O23" s="1"/>
  <c r="R12" i="32"/>
  <c r="O9" i="28"/>
  <c r="U12" i="27"/>
  <c r="P45" i="15"/>
  <c r="W11" i="14"/>
  <c r="U13" i="12"/>
  <c r="O13" s="1"/>
  <c r="L37" i="15"/>
  <c r="L19" i="19"/>
  <c r="L41" i="87"/>
  <c r="I41" s="1"/>
  <c r="L39"/>
  <c r="I39" s="1"/>
  <c r="L37"/>
  <c r="I37" s="1"/>
  <c r="L33"/>
  <c r="I33" s="1"/>
  <c r="L31"/>
  <c r="I31" s="1"/>
  <c r="L27"/>
  <c r="I27" s="1"/>
  <c r="L25"/>
  <c r="I25" s="1"/>
  <c r="L23"/>
  <c r="I23" s="1"/>
  <c r="L19"/>
  <c r="I19" s="1"/>
  <c r="L15"/>
  <c r="I15" s="1"/>
  <c r="L11"/>
  <c r="I11" s="1"/>
  <c r="L9"/>
  <c r="I9" s="1"/>
  <c r="L7"/>
  <c r="I7" s="1"/>
  <c r="L40"/>
  <c r="I40" s="1"/>
  <c r="L38"/>
  <c r="I38" s="1"/>
  <c r="L34"/>
  <c r="I34" s="1"/>
  <c r="L32"/>
  <c r="I32" s="1"/>
  <c r="L30"/>
  <c r="I30" s="1"/>
  <c r="L26"/>
  <c r="I26" s="1"/>
  <c r="L24"/>
  <c r="I24" s="1"/>
  <c r="L20"/>
  <c r="I20" s="1"/>
  <c r="L16"/>
  <c r="I16" s="1"/>
  <c r="L14"/>
  <c r="I14" s="1"/>
  <c r="L10"/>
  <c r="I10" s="1"/>
  <c r="L8"/>
  <c r="I8" s="1"/>
  <c r="L6"/>
  <c r="AA37" i="66"/>
  <c r="J19" i="67"/>
  <c r="M9"/>
  <c r="J9" s="1"/>
  <c r="M10"/>
  <c r="J10" s="1"/>
  <c r="M8"/>
  <c r="J8" s="1"/>
  <c r="M6"/>
  <c r="J6" s="1"/>
  <c r="M7"/>
  <c r="J7" s="1"/>
  <c r="M11"/>
  <c r="J11" s="1"/>
  <c r="AU8" i="66"/>
  <c r="AQ8"/>
  <c r="AL8"/>
  <c r="AH8"/>
  <c r="AK8"/>
  <c r="AN8"/>
  <c r="AE8"/>
  <c r="AT8"/>
  <c r="AP8"/>
  <c r="AG8"/>
  <c r="AS8"/>
  <c r="AO8"/>
  <c r="AJ8"/>
  <c r="AF8"/>
  <c r="AR8"/>
  <c r="AI8"/>
  <c r="AT35"/>
  <c r="AP35"/>
  <c r="AT34"/>
  <c r="AP34"/>
  <c r="AT33"/>
  <c r="AP33"/>
  <c r="AT32"/>
  <c r="AP32"/>
  <c r="AT31"/>
  <c r="AP31"/>
  <c r="AT30"/>
  <c r="AP30"/>
  <c r="AT29"/>
  <c r="AP29"/>
  <c r="AT28"/>
  <c r="AP28"/>
  <c r="AT27"/>
  <c r="AP27"/>
  <c r="AT26"/>
  <c r="AP26"/>
  <c r="AT25"/>
  <c r="AP25"/>
  <c r="AT24"/>
  <c r="AP24"/>
  <c r="AT23"/>
  <c r="AP23"/>
  <c r="AT22"/>
  <c r="AP22"/>
  <c r="AT21"/>
  <c r="AP21"/>
  <c r="AT20"/>
  <c r="AP20"/>
  <c r="AT19"/>
  <c r="AP19"/>
  <c r="AT18"/>
  <c r="AP18"/>
  <c r="AT17"/>
  <c r="AP17"/>
  <c r="AT16"/>
  <c r="AP16"/>
  <c r="AT15"/>
  <c r="AP15"/>
  <c r="AT14"/>
  <c r="AP14"/>
  <c r="AT13"/>
  <c r="AP13"/>
  <c r="AT12"/>
  <c r="AP12"/>
  <c r="AT11"/>
  <c r="AP11"/>
  <c r="AT10"/>
  <c r="AP10"/>
  <c r="AT9"/>
  <c r="AP9"/>
  <c r="AS35"/>
  <c r="AO35"/>
  <c r="AS34"/>
  <c r="AO34"/>
  <c r="AS33"/>
  <c r="AO33"/>
  <c r="AS32"/>
  <c r="AO32"/>
  <c r="AS31"/>
  <c r="AO31"/>
  <c r="AS30"/>
  <c r="AO30"/>
  <c r="AS29"/>
  <c r="AO29"/>
  <c r="AS28"/>
  <c r="AO28"/>
  <c r="AS27"/>
  <c r="AO27"/>
  <c r="AS26"/>
  <c r="AO26"/>
  <c r="AS25"/>
  <c r="AO25"/>
  <c r="AS24"/>
  <c r="AO24"/>
  <c r="AS23"/>
  <c r="AO23"/>
  <c r="AS22"/>
  <c r="AO22"/>
  <c r="AR35"/>
  <c r="AR34"/>
  <c r="AR33"/>
  <c r="AR32"/>
  <c r="AR31"/>
  <c r="AR30"/>
  <c r="AR29"/>
  <c r="AR28"/>
  <c r="AR27"/>
  <c r="AR26"/>
  <c r="AR25"/>
  <c r="AR24"/>
  <c r="AR23"/>
  <c r="AR22"/>
  <c r="AS21"/>
  <c r="AN21"/>
  <c r="AQ20"/>
  <c r="AS19"/>
  <c r="AN19"/>
  <c r="AQ18"/>
  <c r="AS17"/>
  <c r="AN17"/>
  <c r="AQ16"/>
  <c r="AS15"/>
  <c r="AN15"/>
  <c r="AQ14"/>
  <c r="AS13"/>
  <c r="AN13"/>
  <c r="AQ12"/>
  <c r="AS11"/>
  <c r="AN11"/>
  <c r="AQ10"/>
  <c r="AS9"/>
  <c r="AN9"/>
  <c r="AQ35"/>
  <c r="AQ34"/>
  <c r="AQ33"/>
  <c r="AQ32"/>
  <c r="AQ31"/>
  <c r="AQ30"/>
  <c r="AQ29"/>
  <c r="AQ28"/>
  <c r="AQ27"/>
  <c r="AQ26"/>
  <c r="AQ25"/>
  <c r="AQ24"/>
  <c r="AQ23"/>
  <c r="AQ22"/>
  <c r="AR21"/>
  <c r="AU20"/>
  <c r="AO20"/>
  <c r="AR19"/>
  <c r="AU18"/>
  <c r="AO18"/>
  <c r="AR17"/>
  <c r="AU16"/>
  <c r="AO16"/>
  <c r="AR15"/>
  <c r="AU14"/>
  <c r="AO14"/>
  <c r="AR13"/>
  <c r="AU12"/>
  <c r="AO12"/>
  <c r="AR11"/>
  <c r="AU10"/>
  <c r="AO10"/>
  <c r="AR9"/>
  <c r="AN34"/>
  <c r="AN32"/>
  <c r="AN30"/>
  <c r="AN28"/>
  <c r="AN26"/>
  <c r="AN24"/>
  <c r="AN22"/>
  <c r="AS20"/>
  <c r="AQ19"/>
  <c r="AN18"/>
  <c r="AS16"/>
  <c r="AQ15"/>
  <c r="AN14"/>
  <c r="AS12"/>
  <c r="AQ11"/>
  <c r="AN10"/>
  <c r="AU32"/>
  <c r="AU28"/>
  <c r="AU26"/>
  <c r="AU22"/>
  <c r="AU19"/>
  <c r="AO17"/>
  <c r="AR14"/>
  <c r="AO13"/>
  <c r="AR10"/>
  <c r="AU35"/>
  <c r="AU33"/>
  <c r="AU31"/>
  <c r="AU29"/>
  <c r="AU27"/>
  <c r="AU25"/>
  <c r="AU23"/>
  <c r="AU21"/>
  <c r="AR20"/>
  <c r="AO19"/>
  <c r="AU17"/>
  <c r="AR16"/>
  <c r="AO15"/>
  <c r="AU13"/>
  <c r="AR12"/>
  <c r="AO11"/>
  <c r="AU9"/>
  <c r="AN35"/>
  <c r="AN33"/>
  <c r="AN31"/>
  <c r="AN29"/>
  <c r="AN27"/>
  <c r="AN25"/>
  <c r="AN23"/>
  <c r="AQ21"/>
  <c r="AN20"/>
  <c r="AS18"/>
  <c r="AQ17"/>
  <c r="AN16"/>
  <c r="AS14"/>
  <c r="AQ13"/>
  <c r="AN12"/>
  <c r="AS10"/>
  <c r="AQ9"/>
  <c r="AU34"/>
  <c r="AU30"/>
  <c r="AU24"/>
  <c r="AO21"/>
  <c r="AR18"/>
  <c r="AU15"/>
  <c r="AU11"/>
  <c r="AO9"/>
  <c r="X50" i="76"/>
  <c r="X39"/>
  <c r="X23"/>
  <c r="X46"/>
  <c r="X38"/>
  <c r="X32"/>
  <c r="X34"/>
  <c r="X48"/>
  <c r="X22"/>
  <c r="L6" i="9"/>
  <c r="L6" i="78"/>
  <c r="L6" i="20"/>
  <c r="L6" i="25"/>
  <c r="W68" i="76"/>
  <c r="V67"/>
  <c r="U66"/>
  <c r="W61"/>
  <c r="V60"/>
  <c r="U59"/>
  <c r="W50"/>
  <c r="V46"/>
  <c r="Y48"/>
  <c r="W39"/>
  <c r="V38"/>
  <c r="Z34"/>
  <c r="U34"/>
  <c r="AA32"/>
  <c r="V32"/>
  <c r="Z23"/>
  <c r="U23"/>
  <c r="Y22"/>
  <c r="O21" i="73"/>
  <c r="O19"/>
  <c r="O17"/>
  <c r="O12"/>
  <c r="O10"/>
  <c r="O8"/>
  <c r="O6"/>
  <c r="AL36" i="72"/>
  <c r="AI36" s="1"/>
  <c r="AL32"/>
  <c r="AI32" s="1"/>
  <c r="BB23"/>
  <c r="AX23"/>
  <c r="AP23"/>
  <c r="AL23"/>
  <c r="BC22"/>
  <c r="AU22"/>
  <c r="AQ22"/>
  <c r="AM22"/>
  <c r="BD21"/>
  <c r="AZ21"/>
  <c r="AV21"/>
  <c r="AR21"/>
  <c r="AN21"/>
  <c r="BA20"/>
  <c r="AW20"/>
  <c r="AO20"/>
  <c r="BB19"/>
  <c r="AX19"/>
  <c r="AP19"/>
  <c r="AL19"/>
  <c r="BC18"/>
  <c r="AU18"/>
  <c r="AQ18"/>
  <c r="AM18"/>
  <c r="BD13"/>
  <c r="AZ13"/>
  <c r="AV13"/>
  <c r="AR13"/>
  <c r="AN13"/>
  <c r="BA12"/>
  <c r="AW12"/>
  <c r="AO12"/>
  <c r="BB11"/>
  <c r="AX11"/>
  <c r="AP11"/>
  <c r="AL11"/>
  <c r="BC10"/>
  <c r="V68" i="76"/>
  <c r="U67"/>
  <c r="W62"/>
  <c r="V61"/>
  <c r="U60"/>
  <c r="W58"/>
  <c r="V50"/>
  <c r="U46"/>
  <c r="W48"/>
  <c r="V39"/>
  <c r="U38"/>
  <c r="Y34"/>
  <c r="Z32"/>
  <c r="U32"/>
  <c r="Y23"/>
  <c r="AB22"/>
  <c r="W22"/>
  <c r="N21" i="73"/>
  <c r="N19"/>
  <c r="N17"/>
  <c r="N12"/>
  <c r="N10"/>
  <c r="N8"/>
  <c r="N6"/>
  <c r="AL35" i="72"/>
  <c r="AI35" s="1"/>
  <c r="AL31"/>
  <c r="AI31" s="1"/>
  <c r="BA23"/>
  <c r="AW23"/>
  <c r="AO23"/>
  <c r="BB22"/>
  <c r="AX22"/>
  <c r="AP22"/>
  <c r="AL22"/>
  <c r="BC21"/>
  <c r="AU21"/>
  <c r="AQ21"/>
  <c r="AM21"/>
  <c r="BD20"/>
  <c r="AZ20"/>
  <c r="AV20"/>
  <c r="AR20"/>
  <c r="AN20"/>
  <c r="BA19"/>
  <c r="AW19"/>
  <c r="AO19"/>
  <c r="BB18"/>
  <c r="AX18"/>
  <c r="AP18"/>
  <c r="AL18"/>
  <c r="BC13"/>
  <c r="AU13"/>
  <c r="AQ13"/>
  <c r="AM13"/>
  <c r="BD12"/>
  <c r="AZ12"/>
  <c r="AV12"/>
  <c r="AR12"/>
  <c r="AN12"/>
  <c r="BA11"/>
  <c r="AW11"/>
  <c r="AO11"/>
  <c r="BB10"/>
  <c r="U68" i="76"/>
  <c r="W66"/>
  <c r="V62"/>
  <c r="U61"/>
  <c r="W59"/>
  <c r="V58"/>
  <c r="U50"/>
  <c r="Y46"/>
  <c r="V48"/>
  <c r="U39"/>
  <c r="Y38"/>
  <c r="AB34"/>
  <c r="W34"/>
  <c r="Y32"/>
  <c r="AB23"/>
  <c r="W23"/>
  <c r="AA22"/>
  <c r="V22"/>
  <c r="O20" i="73"/>
  <c r="O18"/>
  <c r="O13"/>
  <c r="O11"/>
  <c r="O9"/>
  <c r="O7"/>
  <c r="AL38" i="72"/>
  <c r="AI38" s="1"/>
  <c r="AL34"/>
  <c r="AI34" s="1"/>
  <c r="AL30"/>
  <c r="AI30" s="1"/>
  <c r="BD23"/>
  <c r="AZ23"/>
  <c r="AV23"/>
  <c r="AR23"/>
  <c r="AN23"/>
  <c r="BA22"/>
  <c r="AW22"/>
  <c r="AO22"/>
  <c r="BB21"/>
  <c r="AX21"/>
  <c r="AP21"/>
  <c r="AL21"/>
  <c r="BC20"/>
  <c r="AU20"/>
  <c r="AQ20"/>
  <c r="AM20"/>
  <c r="BD19"/>
  <c r="AZ19"/>
  <c r="AV19"/>
  <c r="AR19"/>
  <c r="AN19"/>
  <c r="BA18"/>
  <c r="AW18"/>
  <c r="AO18"/>
  <c r="BB13"/>
  <c r="AX13"/>
  <c r="AP13"/>
  <c r="AL13"/>
  <c r="BC12"/>
  <c r="AU12"/>
  <c r="AQ12"/>
  <c r="AM12"/>
  <c r="BD11"/>
  <c r="AZ11"/>
  <c r="AV11"/>
  <c r="AR11"/>
  <c r="AN11"/>
  <c r="BA10"/>
  <c r="W67" i="76"/>
  <c r="V59"/>
  <c r="W46"/>
  <c r="U48"/>
  <c r="AA34"/>
  <c r="V23"/>
  <c r="N18" i="73"/>
  <c r="N7"/>
  <c r="BC23" i="72"/>
  <c r="AM23"/>
  <c r="AR22"/>
  <c r="AW21"/>
  <c r="BB20"/>
  <c r="AL20"/>
  <c r="AQ19"/>
  <c r="AV18"/>
  <c r="BA13"/>
  <c r="AP12"/>
  <c r="AU11"/>
  <c r="AZ10"/>
  <c r="AV10"/>
  <c r="AR10"/>
  <c r="AN10"/>
  <c r="BA9"/>
  <c r="AW9"/>
  <c r="AO9"/>
  <c r="BB8"/>
  <c r="AX8"/>
  <c r="AP8"/>
  <c r="AL8"/>
  <c r="M49" i="71"/>
  <c r="J49" s="1"/>
  <c r="M42"/>
  <c r="J42" s="1"/>
  <c r="M35"/>
  <c r="J35" s="1"/>
  <c r="M26"/>
  <c r="J26" s="1"/>
  <c r="M22"/>
  <c r="J22" s="1"/>
  <c r="M18"/>
  <c r="J18" s="1"/>
  <c r="M14"/>
  <c r="J14" s="1"/>
  <c r="M10"/>
  <c r="J10" s="1"/>
  <c r="M6"/>
  <c r="V66" i="76"/>
  <c r="U58"/>
  <c r="Y39"/>
  <c r="V34"/>
  <c r="AB32"/>
  <c r="Z22"/>
  <c r="N13" i="73"/>
  <c r="AL37" i="72"/>
  <c r="AI37" s="1"/>
  <c r="BD22"/>
  <c r="AN22"/>
  <c r="AX20"/>
  <c r="BC19"/>
  <c r="AM19"/>
  <c r="AR18"/>
  <c r="AW13"/>
  <c r="BB12"/>
  <c r="AL12"/>
  <c r="AQ11"/>
  <c r="AU10"/>
  <c r="AQ10"/>
  <c r="AM10"/>
  <c r="BD9"/>
  <c r="AZ9"/>
  <c r="AV9"/>
  <c r="AR9"/>
  <c r="AN9"/>
  <c r="BA8"/>
  <c r="AW8"/>
  <c r="AO8"/>
  <c r="M55" i="71"/>
  <c r="J55" s="1"/>
  <c r="M48"/>
  <c r="J48" s="1"/>
  <c r="M41"/>
  <c r="J41" s="1"/>
  <c r="M31"/>
  <c r="J31" s="1"/>
  <c r="M25"/>
  <c r="J25" s="1"/>
  <c r="M21"/>
  <c r="J21" s="1"/>
  <c r="M17"/>
  <c r="J17" s="1"/>
  <c r="M13"/>
  <c r="J13" s="1"/>
  <c r="M9"/>
  <c r="J9" s="1"/>
  <c r="U62" i="76"/>
  <c r="Y50"/>
  <c r="W32"/>
  <c r="U22"/>
  <c r="N11" i="73"/>
  <c r="AL33" i="72"/>
  <c r="AI33" s="1"/>
  <c r="AU23"/>
  <c r="AZ22"/>
  <c r="AO21"/>
  <c r="BD18"/>
  <c r="AN18"/>
  <c r="AX12"/>
  <c r="BC11"/>
  <c r="AM11"/>
  <c r="AX10"/>
  <c r="AP10"/>
  <c r="AL10"/>
  <c r="BC9"/>
  <c r="AU9"/>
  <c r="AQ9"/>
  <c r="AM9"/>
  <c r="BD8"/>
  <c r="AZ8"/>
  <c r="AV8"/>
  <c r="AR8"/>
  <c r="AN8"/>
  <c r="M53" i="71"/>
  <c r="J53" s="1"/>
  <c r="M46"/>
  <c r="J46" s="1"/>
  <c r="M38"/>
  <c r="J38" s="1"/>
  <c r="M30"/>
  <c r="J30" s="1"/>
  <c r="M24"/>
  <c r="J24" s="1"/>
  <c r="M20"/>
  <c r="J20" s="1"/>
  <c r="M16"/>
  <c r="J16" s="1"/>
  <c r="M12"/>
  <c r="J12" s="1"/>
  <c r="M8"/>
  <c r="J8" s="1"/>
  <c r="W60" i="76"/>
  <c r="AL29" i="72"/>
  <c r="AI29" s="1"/>
  <c r="BD10"/>
  <c r="AP9"/>
  <c r="AU8"/>
  <c r="M43" i="71"/>
  <c r="J43" s="1"/>
  <c r="M19"/>
  <c r="J19" s="1"/>
  <c r="AL35" i="66"/>
  <c r="AH35"/>
  <c r="AL34"/>
  <c r="AH34"/>
  <c r="AL33"/>
  <c r="AH33"/>
  <c r="AL32"/>
  <c r="AH32"/>
  <c r="AL31"/>
  <c r="AH31"/>
  <c r="AL30"/>
  <c r="AH30"/>
  <c r="AL29"/>
  <c r="AH29"/>
  <c r="AL28"/>
  <c r="AH28"/>
  <c r="AL27"/>
  <c r="AH27"/>
  <c r="AL26"/>
  <c r="AH26"/>
  <c r="AL25"/>
  <c r="AH25"/>
  <c r="AL24"/>
  <c r="AH24"/>
  <c r="AL23"/>
  <c r="AH23"/>
  <c r="AL22"/>
  <c r="AH22"/>
  <c r="AL21"/>
  <c r="AA23" i="76"/>
  <c r="AQ23" i="72"/>
  <c r="AP20"/>
  <c r="AO13"/>
  <c r="AW10"/>
  <c r="BB9"/>
  <c r="AL9"/>
  <c r="AQ8"/>
  <c r="M37" i="71"/>
  <c r="J37" s="1"/>
  <c r="M15"/>
  <c r="J15" s="1"/>
  <c r="AK35" i="66"/>
  <c r="AG35"/>
  <c r="AK34"/>
  <c r="AG34"/>
  <c r="AK33"/>
  <c r="AG33"/>
  <c r="AK32"/>
  <c r="AG32"/>
  <c r="AK31"/>
  <c r="AG31"/>
  <c r="AK30"/>
  <c r="AG30"/>
  <c r="AK29"/>
  <c r="AG29"/>
  <c r="AK28"/>
  <c r="AG28"/>
  <c r="AK27"/>
  <c r="AG27"/>
  <c r="AK26"/>
  <c r="AG26"/>
  <c r="AK25"/>
  <c r="AG25"/>
  <c r="AK24"/>
  <c r="AG24"/>
  <c r="AK23"/>
  <c r="AG23"/>
  <c r="AK22"/>
  <c r="AG22"/>
  <c r="AK21"/>
  <c r="N20" i="73"/>
  <c r="AV22" i="72"/>
  <c r="AU19"/>
  <c r="AX9"/>
  <c r="BC8"/>
  <c r="AM8"/>
  <c r="M27" i="71"/>
  <c r="J27" s="1"/>
  <c r="M11"/>
  <c r="J11" s="1"/>
  <c r="AJ35" i="66"/>
  <c r="AF35"/>
  <c r="AJ34"/>
  <c r="AF34"/>
  <c r="AJ33"/>
  <c r="AF33"/>
  <c r="AJ32"/>
  <c r="AF32"/>
  <c r="AJ31"/>
  <c r="AF31"/>
  <c r="AJ30"/>
  <c r="AF30"/>
  <c r="AJ29"/>
  <c r="AF29"/>
  <c r="AJ28"/>
  <c r="AF28"/>
  <c r="AJ27"/>
  <c r="AF27"/>
  <c r="AJ26"/>
  <c r="AF26"/>
  <c r="AJ25"/>
  <c r="AF25"/>
  <c r="AJ24"/>
  <c r="AF24"/>
  <c r="AJ23"/>
  <c r="AF23"/>
  <c r="AJ22"/>
  <c r="AF22"/>
  <c r="AJ21"/>
  <c r="W38" i="76"/>
  <c r="M50" i="71"/>
  <c r="J50" s="1"/>
  <c r="AI35" i="66"/>
  <c r="AI34"/>
  <c r="AI33"/>
  <c r="AI32"/>
  <c r="AI31"/>
  <c r="AI30"/>
  <c r="AI29"/>
  <c r="AI28"/>
  <c r="AI27"/>
  <c r="AI26"/>
  <c r="AI25"/>
  <c r="AI24"/>
  <c r="AI23"/>
  <c r="AI22"/>
  <c r="AI21"/>
  <c r="AE21"/>
  <c r="AI20"/>
  <c r="AE20"/>
  <c r="AI19"/>
  <c r="AE19"/>
  <c r="AI18"/>
  <c r="AE18"/>
  <c r="AI17"/>
  <c r="AE17"/>
  <c r="AI16"/>
  <c r="AE16"/>
  <c r="AI15"/>
  <c r="AE15"/>
  <c r="AI14"/>
  <c r="AE14"/>
  <c r="AI13"/>
  <c r="AE13"/>
  <c r="AI12"/>
  <c r="AE12"/>
  <c r="AI11"/>
  <c r="AE11"/>
  <c r="AI10"/>
  <c r="AE10"/>
  <c r="AI9"/>
  <c r="AE9"/>
  <c r="Z35" i="64"/>
  <c r="V35"/>
  <c r="Z34"/>
  <c r="V34"/>
  <c r="Z30"/>
  <c r="V30"/>
  <c r="Z28"/>
  <c r="V28"/>
  <c r="Z26"/>
  <c r="V26"/>
  <c r="Z25"/>
  <c r="V25"/>
  <c r="Z24"/>
  <c r="V24"/>
  <c r="Z23"/>
  <c r="V23"/>
  <c r="Z22"/>
  <c r="V22"/>
  <c r="Z18"/>
  <c r="V18"/>
  <c r="Z15"/>
  <c r="V15"/>
  <c r="Z14"/>
  <c r="V14"/>
  <c r="Z13"/>
  <c r="V13"/>
  <c r="Z12"/>
  <c r="V12"/>
  <c r="Z10"/>
  <c r="V10"/>
  <c r="Z9"/>
  <c r="V9"/>
  <c r="Z8"/>
  <c r="V8"/>
  <c r="Z7"/>
  <c r="V7"/>
  <c r="AF20" i="66"/>
  <c r="AJ19"/>
  <c r="AF17"/>
  <c r="AJ16"/>
  <c r="AF14"/>
  <c r="AJ13"/>
  <c r="AF11"/>
  <c r="AJ10"/>
  <c r="W35" i="64"/>
  <c r="AA30"/>
  <c r="W28"/>
  <c r="AA25"/>
  <c r="W24"/>
  <c r="AA22"/>
  <c r="W18"/>
  <c r="AA14"/>
  <c r="W13"/>
  <c r="AA10"/>
  <c r="W9"/>
  <c r="AA7"/>
  <c r="N9" i="73"/>
  <c r="AO10" i="72"/>
  <c r="M23" i="71"/>
  <c r="J23" s="1"/>
  <c r="AE35" i="66"/>
  <c r="AE34"/>
  <c r="AE33"/>
  <c r="AE32"/>
  <c r="AE31"/>
  <c r="AE30"/>
  <c r="AE29"/>
  <c r="AE28"/>
  <c r="AE27"/>
  <c r="AE26"/>
  <c r="AE25"/>
  <c r="AE24"/>
  <c r="AE23"/>
  <c r="AE22"/>
  <c r="AH21"/>
  <c r="AL20"/>
  <c r="AH20"/>
  <c r="AL19"/>
  <c r="AH19"/>
  <c r="AL18"/>
  <c r="AH18"/>
  <c r="AL17"/>
  <c r="AH17"/>
  <c r="AL16"/>
  <c r="AH16"/>
  <c r="AL15"/>
  <c r="AH15"/>
  <c r="AL14"/>
  <c r="AH14"/>
  <c r="AL13"/>
  <c r="AH13"/>
  <c r="AL12"/>
  <c r="AH12"/>
  <c r="AL11"/>
  <c r="AH11"/>
  <c r="AL10"/>
  <c r="AH10"/>
  <c r="AL9"/>
  <c r="AH9"/>
  <c r="AC35" i="64"/>
  <c r="Y35"/>
  <c r="AC34"/>
  <c r="Y34"/>
  <c r="AC30"/>
  <c r="Y30"/>
  <c r="AC28"/>
  <c r="Y28"/>
  <c r="AC26"/>
  <c r="Y26"/>
  <c r="AC25"/>
  <c r="Y25"/>
  <c r="AC24"/>
  <c r="Y24"/>
  <c r="AC23"/>
  <c r="Y23"/>
  <c r="AC22"/>
  <c r="Y22"/>
  <c r="AC18"/>
  <c r="Y18"/>
  <c r="AC15"/>
  <c r="Y15"/>
  <c r="AC14"/>
  <c r="Y14"/>
  <c r="AC13"/>
  <c r="Y13"/>
  <c r="AC12"/>
  <c r="Y12"/>
  <c r="AC10"/>
  <c r="Y10"/>
  <c r="AC9"/>
  <c r="Y9"/>
  <c r="AC8"/>
  <c r="Y8"/>
  <c r="AC7"/>
  <c r="Y7"/>
  <c r="AF18" i="66"/>
  <c r="AJ17"/>
  <c r="AJ15"/>
  <c r="AF12"/>
  <c r="AF10"/>
  <c r="AJ9"/>
  <c r="AA35" i="64"/>
  <c r="AA34"/>
  <c r="W30"/>
  <c r="W26"/>
  <c r="AA24"/>
  <c r="AA23"/>
  <c r="AA18"/>
  <c r="W15"/>
  <c r="AA13"/>
  <c r="W12"/>
  <c r="AA9"/>
  <c r="AA8"/>
  <c r="W7"/>
  <c r="BA21" i="72"/>
  <c r="J7" i="71"/>
  <c r="AG21" i="66"/>
  <c r="AK20"/>
  <c r="AG20"/>
  <c r="AK19"/>
  <c r="AG19"/>
  <c r="AK18"/>
  <c r="AG18"/>
  <c r="AK17"/>
  <c r="AG17"/>
  <c r="AK16"/>
  <c r="AG16"/>
  <c r="AK15"/>
  <c r="AG15"/>
  <c r="AK14"/>
  <c r="AG14"/>
  <c r="AK13"/>
  <c r="AG13"/>
  <c r="AK12"/>
  <c r="AG12"/>
  <c r="AK11"/>
  <c r="AG11"/>
  <c r="AK10"/>
  <c r="AG10"/>
  <c r="AK9"/>
  <c r="AG9"/>
  <c r="AB35" i="64"/>
  <c r="X35"/>
  <c r="AB34"/>
  <c r="X34"/>
  <c r="AB30"/>
  <c r="X30"/>
  <c r="AB28"/>
  <c r="X28"/>
  <c r="AB26"/>
  <c r="X26"/>
  <c r="AB25"/>
  <c r="X25"/>
  <c r="AB24"/>
  <c r="X24"/>
  <c r="AB23"/>
  <c r="X23"/>
  <c r="AB22"/>
  <c r="X22"/>
  <c r="AB18"/>
  <c r="X18"/>
  <c r="AB15"/>
  <c r="X15"/>
  <c r="AB14"/>
  <c r="X14"/>
  <c r="AB13"/>
  <c r="X13"/>
  <c r="AB12"/>
  <c r="X12"/>
  <c r="AB10"/>
  <c r="X10"/>
  <c r="AB9"/>
  <c r="X9"/>
  <c r="AB8"/>
  <c r="X8"/>
  <c r="AB7"/>
  <c r="X7"/>
  <c r="AZ18" i="72"/>
  <c r="AF21" i="66"/>
  <c r="AJ20"/>
  <c r="AF19"/>
  <c r="AJ18"/>
  <c r="AF16"/>
  <c r="AF15"/>
  <c r="AJ14"/>
  <c r="AF13"/>
  <c r="AJ12"/>
  <c r="AJ11"/>
  <c r="AF9"/>
  <c r="W34" i="64"/>
  <c r="AA28"/>
  <c r="AA26"/>
  <c r="W25"/>
  <c r="W23"/>
  <c r="W22"/>
  <c r="AA15"/>
  <c r="W14"/>
  <c r="AA12"/>
  <c r="W10"/>
  <c r="W8"/>
  <c r="Q33" i="19"/>
  <c r="Z25" i="30"/>
  <c r="V25"/>
  <c r="W25"/>
  <c r="Y25"/>
  <c r="U25"/>
  <c r="AB25"/>
  <c r="X25"/>
  <c r="AA25"/>
  <c r="O14" i="44"/>
  <c r="O12"/>
  <c r="N14"/>
  <c r="N12"/>
  <c r="N13"/>
  <c r="O15"/>
  <c r="O13"/>
  <c r="N15"/>
  <c r="Z20" i="31"/>
  <c r="V20"/>
  <c r="Y18"/>
  <c r="Y23"/>
  <c r="W20"/>
  <c r="Z23"/>
  <c r="Y20"/>
  <c r="W23"/>
  <c r="V18"/>
  <c r="V23"/>
  <c r="W18"/>
  <c r="Z18"/>
  <c r="O21" i="15"/>
  <c r="V17" i="14"/>
  <c r="AA13" i="30"/>
  <c r="W13"/>
  <c r="AA12"/>
  <c r="W12"/>
  <c r="X13"/>
  <c r="Z13"/>
  <c r="V13"/>
  <c r="Z12"/>
  <c r="V12"/>
  <c r="AB12"/>
  <c r="X12"/>
  <c r="Q21" i="15"/>
  <c r="V10" i="14"/>
  <c r="Y13" i="30"/>
  <c r="U13"/>
  <c r="Y12"/>
  <c r="U12"/>
  <c r="P21" i="15"/>
  <c r="AB13" i="30"/>
  <c r="P26" i="15"/>
  <c r="L26" s="1"/>
  <c r="Q22"/>
  <c r="P20"/>
  <c r="O19"/>
  <c r="P19"/>
  <c r="Q23"/>
  <c r="P22"/>
  <c r="O20"/>
  <c r="Q20"/>
  <c r="P23"/>
  <c r="O22"/>
  <c r="Q19"/>
  <c r="O23"/>
  <c r="AB51" i="30"/>
  <c r="X45"/>
  <c r="AA51"/>
  <c r="W51"/>
  <c r="Z51"/>
  <c r="V51"/>
  <c r="Z47"/>
  <c r="V43"/>
  <c r="Y51"/>
  <c r="U51"/>
  <c r="Y46"/>
  <c r="U42"/>
  <c r="X51"/>
  <c r="AB49"/>
  <c r="AA48"/>
  <c r="W44"/>
  <c r="AB37"/>
  <c r="X37"/>
  <c r="AB36"/>
  <c r="X36"/>
  <c r="AB31"/>
  <c r="X31"/>
  <c r="AB27"/>
  <c r="X27"/>
  <c r="AB24"/>
  <c r="X24"/>
  <c r="AB23"/>
  <c r="X23"/>
  <c r="AB22"/>
  <c r="X22"/>
  <c r="AB21"/>
  <c r="X21"/>
  <c r="AB17"/>
  <c r="X17"/>
  <c r="Y36"/>
  <c r="U31"/>
  <c r="U24"/>
  <c r="U23"/>
  <c r="U22"/>
  <c r="AA37"/>
  <c r="W37"/>
  <c r="AA36"/>
  <c r="W36"/>
  <c r="AA31"/>
  <c r="W31"/>
  <c r="AA27"/>
  <c r="W27"/>
  <c r="AA24"/>
  <c r="W24"/>
  <c r="AA23"/>
  <c r="W23"/>
  <c r="AA22"/>
  <c r="W22"/>
  <c r="AA21"/>
  <c r="W21"/>
  <c r="AA17"/>
  <c r="W17"/>
  <c r="U37"/>
  <c r="U36"/>
  <c r="Y27"/>
  <c r="Y24"/>
  <c r="Y22"/>
  <c r="U21"/>
  <c r="Y17"/>
  <c r="Z37"/>
  <c r="V37"/>
  <c r="Z36"/>
  <c r="V36"/>
  <c r="Z31"/>
  <c r="V31"/>
  <c r="Z27"/>
  <c r="V27"/>
  <c r="Z24"/>
  <c r="V24"/>
  <c r="Z23"/>
  <c r="V23"/>
  <c r="Z22"/>
  <c r="V22"/>
  <c r="Z21"/>
  <c r="V21"/>
  <c r="Z17"/>
  <c r="V17"/>
  <c r="Y37"/>
  <c r="Y31"/>
  <c r="U27"/>
  <c r="Y23"/>
  <c r="Y21"/>
  <c r="U17"/>
  <c r="AB14"/>
  <c r="X14"/>
  <c r="AB11"/>
  <c r="X11"/>
  <c r="AB10"/>
  <c r="X10"/>
  <c r="AB9"/>
  <c r="X9"/>
  <c r="AB8"/>
  <c r="X8"/>
  <c r="AB7"/>
  <c r="X7"/>
  <c r="Y11"/>
  <c r="U10"/>
  <c r="U8"/>
  <c r="AA14"/>
  <c r="W14"/>
  <c r="AA11"/>
  <c r="W11"/>
  <c r="AA10"/>
  <c r="W10"/>
  <c r="AA9"/>
  <c r="W9"/>
  <c r="AA8"/>
  <c r="W8"/>
  <c r="AA7"/>
  <c r="W7"/>
  <c r="U14"/>
  <c r="Y10"/>
  <c r="U9"/>
  <c r="Y7"/>
  <c r="Z14"/>
  <c r="V14"/>
  <c r="Z11"/>
  <c r="V11"/>
  <c r="Z10"/>
  <c r="V10"/>
  <c r="Z9"/>
  <c r="V9"/>
  <c r="Z8"/>
  <c r="V8"/>
  <c r="Z7"/>
  <c r="V7"/>
  <c r="Y14"/>
  <c r="U11"/>
  <c r="Y9"/>
  <c r="Y8"/>
  <c r="U7"/>
  <c r="L50" i="19"/>
  <c r="L49"/>
  <c r="L45"/>
  <c r="Q37" i="18"/>
  <c r="L37" s="1"/>
  <c r="W17" i="31"/>
  <c r="Y14"/>
  <c r="Z17"/>
  <c r="V17"/>
  <c r="V14"/>
  <c r="Y17"/>
  <c r="W14"/>
  <c r="Z14"/>
  <c r="R16" i="27"/>
  <c r="Q10" i="16"/>
  <c r="Q6"/>
  <c r="V26" i="14"/>
  <c r="V15"/>
  <c r="V7"/>
  <c r="V8"/>
  <c r="Q9" i="16"/>
  <c r="V25" i="14"/>
  <c r="V11"/>
  <c r="V18"/>
  <c r="V9"/>
  <c r="Q7" i="16"/>
  <c r="V16" i="14"/>
  <c r="AB11" i="11"/>
  <c r="AA16"/>
  <c r="AA10"/>
  <c r="AA15"/>
  <c r="AB16"/>
  <c r="AA11"/>
  <c r="AA7"/>
  <c r="AB15"/>
  <c r="Q15" i="22"/>
  <c r="P15"/>
  <c r="B17"/>
  <c r="C17" s="1"/>
  <c r="M14"/>
  <c r="Z10" i="31"/>
  <c r="W19"/>
  <c r="Z9"/>
  <c r="W11"/>
  <c r="Z19"/>
  <c r="Z8"/>
  <c r="Z11"/>
  <c r="Z7"/>
  <c r="W7"/>
  <c r="W9"/>
  <c r="W8"/>
  <c r="F17" i="22" l="1"/>
  <c r="H17"/>
  <c r="G17"/>
  <c r="D17"/>
  <c r="E17"/>
  <c r="C25" i="2"/>
  <c r="C40"/>
  <c r="C58"/>
  <c r="C38"/>
  <c r="L21" i="15"/>
  <c r="C49" i="2"/>
  <c r="N7" i="27"/>
  <c r="K9" i="28"/>
  <c r="O6" i="12"/>
  <c r="C17" i="2"/>
  <c r="C46"/>
  <c r="I6" i="87"/>
  <c r="C61" i="2"/>
  <c r="J6" i="71"/>
  <c r="C53" i="2"/>
  <c r="C55"/>
  <c r="C48"/>
  <c r="C54"/>
  <c r="K8" i="28"/>
  <c r="K10"/>
  <c r="K6"/>
  <c r="L34" i="15"/>
  <c r="L31"/>
  <c r="L32"/>
  <c r="L18" i="19"/>
  <c r="L30" i="15"/>
  <c r="L20" i="19"/>
  <c r="L33" i="15"/>
  <c r="K18" i="73"/>
  <c r="K20"/>
  <c r="R30" i="64"/>
  <c r="R68" i="76"/>
  <c r="K9" i="73"/>
  <c r="K6"/>
  <c r="K17"/>
  <c r="R62" i="76"/>
  <c r="R58"/>
  <c r="R22"/>
  <c r="K13" i="73"/>
  <c r="K10"/>
  <c r="K21"/>
  <c r="K11"/>
  <c r="AA23" i="66"/>
  <c r="AA27"/>
  <c r="AA31"/>
  <c r="AA35"/>
  <c r="R8" i="64"/>
  <c r="R10"/>
  <c r="R13"/>
  <c r="R15"/>
  <c r="R22"/>
  <c r="R24"/>
  <c r="R26"/>
  <c r="R35"/>
  <c r="AA8" i="66"/>
  <c r="AA9"/>
  <c r="AA10"/>
  <c r="AA11"/>
  <c r="AA12"/>
  <c r="AA13"/>
  <c r="AA14"/>
  <c r="AA15"/>
  <c r="AA16"/>
  <c r="AA17"/>
  <c r="AA18"/>
  <c r="AA19"/>
  <c r="AA20"/>
  <c r="AA21"/>
  <c r="R30" i="76"/>
  <c r="K7" i="73"/>
  <c r="R29" i="76"/>
  <c r="AI22" i="72"/>
  <c r="K12" i="73"/>
  <c r="AI11" i="72"/>
  <c r="R45" i="76"/>
  <c r="AA24" i="66"/>
  <c r="AA28"/>
  <c r="AA32"/>
  <c r="AI9" i="72"/>
  <c r="AI10"/>
  <c r="AI8"/>
  <c r="R48" i="76"/>
  <c r="AI13" i="72"/>
  <c r="R46" i="76"/>
  <c r="R67"/>
  <c r="AI19" i="72"/>
  <c r="R34" i="76"/>
  <c r="R66"/>
  <c r="AA25" i="66"/>
  <c r="AA29"/>
  <c r="AA33"/>
  <c r="R7" i="64"/>
  <c r="R9"/>
  <c r="R12"/>
  <c r="R14"/>
  <c r="R18"/>
  <c r="R23"/>
  <c r="R25"/>
  <c r="R28"/>
  <c r="R34"/>
  <c r="AI20" i="72"/>
  <c r="AI21"/>
  <c r="R50" i="76"/>
  <c r="R61"/>
  <c r="K8" i="73"/>
  <c r="K19"/>
  <c r="R38" i="76"/>
  <c r="R60"/>
  <c r="AI23" i="72"/>
  <c r="R23" i="76"/>
  <c r="R59"/>
  <c r="AA22" i="66"/>
  <c r="AA26"/>
  <c r="AA30"/>
  <c r="AA34"/>
  <c r="AI12" i="72"/>
  <c r="R39" i="76"/>
  <c r="AI18" i="72"/>
  <c r="R32" i="76"/>
  <c r="R25" i="30"/>
  <c r="Q10" i="14"/>
  <c r="K15" i="44"/>
  <c r="K12"/>
  <c r="K14"/>
  <c r="K7" i="28"/>
  <c r="R13" i="30"/>
  <c r="R18" i="31"/>
  <c r="R23"/>
  <c r="K13" i="44"/>
  <c r="Q17" i="14"/>
  <c r="R20" i="31"/>
  <c r="R12" i="30"/>
  <c r="R51"/>
  <c r="N16" i="27"/>
  <c r="S10" i="11"/>
  <c r="S9"/>
  <c r="Q11" i="14"/>
  <c r="Q26"/>
  <c r="Q25"/>
  <c r="R14" i="31"/>
  <c r="R17"/>
  <c r="M15" i="22"/>
  <c r="P16"/>
  <c r="Q16"/>
  <c r="B18"/>
  <c r="C18" s="1"/>
  <c r="CP57" i="37"/>
  <c r="CO57"/>
  <c r="CN57"/>
  <c r="CP56"/>
  <c r="CO56"/>
  <c r="CN56"/>
  <c r="CP55"/>
  <c r="CO55"/>
  <c r="CN55"/>
  <c r="CP54"/>
  <c r="CO54"/>
  <c r="CN54"/>
  <c r="CP53"/>
  <c r="CO53"/>
  <c r="CN53"/>
  <c r="CP52"/>
  <c r="CO52"/>
  <c r="CN52"/>
  <c r="CP51"/>
  <c r="CO51"/>
  <c r="CN51"/>
  <c r="CP50"/>
  <c r="CO50"/>
  <c r="CN50"/>
  <c r="CP49"/>
  <c r="CO49"/>
  <c r="CN49"/>
  <c r="CP48"/>
  <c r="CO48"/>
  <c r="CN48"/>
  <c r="CP47"/>
  <c r="CO47"/>
  <c r="CN47"/>
  <c r="CB47"/>
  <c r="CA47"/>
  <c r="BZ47"/>
  <c r="CP46"/>
  <c r="CO46"/>
  <c r="CN46"/>
  <c r="CB46"/>
  <c r="CA46"/>
  <c r="BZ46"/>
  <c r="AE46"/>
  <c r="AD46"/>
  <c r="AC46"/>
  <c r="CP45"/>
  <c r="CO45"/>
  <c r="CN45"/>
  <c r="CB45"/>
  <c r="CA45"/>
  <c r="BZ45"/>
  <c r="AE45"/>
  <c r="AD45"/>
  <c r="AC45"/>
  <c r="CP44"/>
  <c r="CO44"/>
  <c r="CN44"/>
  <c r="CI44"/>
  <c r="CH44"/>
  <c r="CG44"/>
  <c r="CB44"/>
  <c r="CA44"/>
  <c r="BZ44"/>
  <c r="AE44"/>
  <c r="AD44"/>
  <c r="AC44"/>
  <c r="CP43"/>
  <c r="CO43"/>
  <c r="CN43"/>
  <c r="CI43"/>
  <c r="CH43"/>
  <c r="CG43"/>
  <c r="CB43"/>
  <c r="CA43"/>
  <c r="BZ43"/>
  <c r="AE43"/>
  <c r="AD43"/>
  <c r="AC43"/>
  <c r="CP42"/>
  <c r="CO42"/>
  <c r="CN42"/>
  <c r="CI42"/>
  <c r="CH42"/>
  <c r="CG42"/>
  <c r="CB42"/>
  <c r="CA42"/>
  <c r="BZ42"/>
  <c r="AE42"/>
  <c r="AD42"/>
  <c r="AC42"/>
  <c r="CP41"/>
  <c r="CO41"/>
  <c r="CN41"/>
  <c r="CI41"/>
  <c r="CH41"/>
  <c r="CG41"/>
  <c r="CB41"/>
  <c r="CA41"/>
  <c r="BZ41"/>
  <c r="AE41"/>
  <c r="AD41"/>
  <c r="AC41"/>
  <c r="J41"/>
  <c r="I41"/>
  <c r="H41"/>
  <c r="CP40"/>
  <c r="CO40"/>
  <c r="CN40"/>
  <c r="CI40"/>
  <c r="CH40"/>
  <c r="CG40"/>
  <c r="CB40"/>
  <c r="CA40"/>
  <c r="BZ40"/>
  <c r="AE40"/>
  <c r="AD40"/>
  <c r="AC40"/>
  <c r="J40"/>
  <c r="I40"/>
  <c r="H40"/>
  <c r="CP39"/>
  <c r="CO39"/>
  <c r="CN39"/>
  <c r="CI39"/>
  <c r="CH39"/>
  <c r="CG39"/>
  <c r="CB39"/>
  <c r="CA39"/>
  <c r="BZ39"/>
  <c r="AE39"/>
  <c r="AD39"/>
  <c r="AC39"/>
  <c r="J39"/>
  <c r="I39"/>
  <c r="H39"/>
  <c r="CP38"/>
  <c r="CO38"/>
  <c r="CN38"/>
  <c r="CI38"/>
  <c r="CH38"/>
  <c r="CG38"/>
  <c r="CB38"/>
  <c r="CA38"/>
  <c r="BZ38"/>
  <c r="AE38"/>
  <c r="AD38"/>
  <c r="AC38"/>
  <c r="J38"/>
  <c r="I38"/>
  <c r="H38"/>
  <c r="CP37"/>
  <c r="CO37"/>
  <c r="CN37"/>
  <c r="CI37"/>
  <c r="CH37"/>
  <c r="CG37"/>
  <c r="CB37"/>
  <c r="CA37"/>
  <c r="BZ37"/>
  <c r="AE37"/>
  <c r="AD37"/>
  <c r="AC37"/>
  <c r="J37"/>
  <c r="I37"/>
  <c r="H37"/>
  <c r="DR36"/>
  <c r="DQ36"/>
  <c r="DP36"/>
  <c r="CP36"/>
  <c r="CO36"/>
  <c r="CN36"/>
  <c r="CI36"/>
  <c r="CH36"/>
  <c r="CG36"/>
  <c r="CB36"/>
  <c r="CA36"/>
  <c r="BZ36"/>
  <c r="BG36"/>
  <c r="BF36"/>
  <c r="AE36"/>
  <c r="AD36"/>
  <c r="AC36"/>
  <c r="J36"/>
  <c r="I36"/>
  <c r="H36"/>
  <c r="DR35"/>
  <c r="DQ35"/>
  <c r="DP35"/>
  <c r="CP35"/>
  <c r="CO35"/>
  <c r="CN35"/>
  <c r="CI35"/>
  <c r="CH35"/>
  <c r="CG35"/>
  <c r="CB35"/>
  <c r="CA35"/>
  <c r="BZ35"/>
  <c r="BN35"/>
  <c r="BM35"/>
  <c r="BL35"/>
  <c r="BG35"/>
  <c r="BF35"/>
  <c r="AE35"/>
  <c r="AD35"/>
  <c r="AC35"/>
  <c r="J35"/>
  <c r="I35"/>
  <c r="H35"/>
  <c r="DR34"/>
  <c r="DQ34"/>
  <c r="DP34"/>
  <c r="DK34"/>
  <c r="DJ34"/>
  <c r="DI34"/>
  <c r="CP34"/>
  <c r="CO34"/>
  <c r="CN34"/>
  <c r="CI34"/>
  <c r="CH34"/>
  <c r="CG34"/>
  <c r="CB34"/>
  <c r="CA34"/>
  <c r="BZ34"/>
  <c r="BN34"/>
  <c r="BM34"/>
  <c r="BL34"/>
  <c r="BG34"/>
  <c r="BF34"/>
  <c r="AE34"/>
  <c r="AD34"/>
  <c r="AC34"/>
  <c r="J34"/>
  <c r="I34"/>
  <c r="H34"/>
  <c r="DR33"/>
  <c r="DQ33"/>
  <c r="DP33"/>
  <c r="DK33"/>
  <c r="DJ33"/>
  <c r="DI33"/>
  <c r="DD33"/>
  <c r="DC33"/>
  <c r="DB33"/>
  <c r="CP33"/>
  <c r="CO33"/>
  <c r="CN33"/>
  <c r="CI33"/>
  <c r="CH33"/>
  <c r="CG33"/>
  <c r="CB33"/>
  <c r="CA33"/>
  <c r="BZ33"/>
  <c r="BN33"/>
  <c r="BM33"/>
  <c r="BL33"/>
  <c r="BG33"/>
  <c r="BF33"/>
  <c r="AE33"/>
  <c r="AD33"/>
  <c r="AC33"/>
  <c r="J33"/>
  <c r="I33"/>
  <c r="H33"/>
  <c r="DR32"/>
  <c r="DQ32"/>
  <c r="DP32"/>
  <c r="DK32"/>
  <c r="DJ32"/>
  <c r="DI32"/>
  <c r="DD32"/>
  <c r="DC32"/>
  <c r="DB32"/>
  <c r="CP32"/>
  <c r="CO32"/>
  <c r="CN32"/>
  <c r="CI32"/>
  <c r="CH32"/>
  <c r="CG32"/>
  <c r="CB32"/>
  <c r="CA32"/>
  <c r="BZ32"/>
  <c r="BN32"/>
  <c r="BM32"/>
  <c r="BL32"/>
  <c r="BG32"/>
  <c r="BF32"/>
  <c r="AE32"/>
  <c r="AD32"/>
  <c r="AC32"/>
  <c r="J32"/>
  <c r="I32"/>
  <c r="H32"/>
  <c r="DR31"/>
  <c r="DQ31"/>
  <c r="DP31"/>
  <c r="DK31"/>
  <c r="DJ31"/>
  <c r="DI31"/>
  <c r="DD31"/>
  <c r="DC31"/>
  <c r="DB31"/>
  <c r="CP31"/>
  <c r="CO31"/>
  <c r="CN31"/>
  <c r="CI31"/>
  <c r="CH31"/>
  <c r="CG31"/>
  <c r="CB31"/>
  <c r="CA31"/>
  <c r="BZ31"/>
  <c r="BN31"/>
  <c r="BM31"/>
  <c r="BL31"/>
  <c r="BG31"/>
  <c r="BF31"/>
  <c r="AE31"/>
  <c r="AD31"/>
  <c r="AC31"/>
  <c r="J31"/>
  <c r="I31"/>
  <c r="H31"/>
  <c r="DR30"/>
  <c r="DQ30"/>
  <c r="DP30"/>
  <c r="DK30"/>
  <c r="DJ30"/>
  <c r="DI30"/>
  <c r="DD30"/>
  <c r="DC30"/>
  <c r="DB30"/>
  <c r="CP30"/>
  <c r="CO30"/>
  <c r="CN30"/>
  <c r="CI30"/>
  <c r="CH30"/>
  <c r="CG30"/>
  <c r="CB30"/>
  <c r="CA30"/>
  <c r="BZ30"/>
  <c r="BN30"/>
  <c r="BM30"/>
  <c r="BL30"/>
  <c r="BG30"/>
  <c r="BF30"/>
  <c r="AE30"/>
  <c r="AD30"/>
  <c r="AC30"/>
  <c r="J30"/>
  <c r="I30"/>
  <c r="H30"/>
  <c r="DR29"/>
  <c r="DQ29"/>
  <c r="DP29"/>
  <c r="DK29"/>
  <c r="DJ29"/>
  <c r="DI29"/>
  <c r="DD29"/>
  <c r="DC29"/>
  <c r="DB29"/>
  <c r="CW29"/>
  <c r="CV29"/>
  <c r="CU29"/>
  <c r="CP29"/>
  <c r="CO29"/>
  <c r="CN29"/>
  <c r="CI29"/>
  <c r="CH29"/>
  <c r="CG29"/>
  <c r="CB29"/>
  <c r="CA29"/>
  <c r="BZ29"/>
  <c r="BN29"/>
  <c r="BM29"/>
  <c r="BL29"/>
  <c r="BG29"/>
  <c r="BF29"/>
  <c r="AE29"/>
  <c r="AD29"/>
  <c r="AC29"/>
  <c r="J29"/>
  <c r="I29"/>
  <c r="H29"/>
  <c r="DR28"/>
  <c r="DQ28"/>
  <c r="DP28"/>
  <c r="DK28"/>
  <c r="DJ28"/>
  <c r="DI28"/>
  <c r="DD28"/>
  <c r="DC28"/>
  <c r="DB28"/>
  <c r="CW28"/>
  <c r="CV28"/>
  <c r="CU28"/>
  <c r="CP28"/>
  <c r="CO28"/>
  <c r="CN28"/>
  <c r="CI28"/>
  <c r="CH28"/>
  <c r="CG28"/>
  <c r="CB28"/>
  <c r="CA28"/>
  <c r="BZ28"/>
  <c r="BN28"/>
  <c r="BM28"/>
  <c r="BL28"/>
  <c r="BG28"/>
  <c r="BF28"/>
  <c r="AE28"/>
  <c r="AD28"/>
  <c r="AC28"/>
  <c r="J28"/>
  <c r="I28"/>
  <c r="H28"/>
  <c r="DR27"/>
  <c r="DQ27"/>
  <c r="DP27"/>
  <c r="DK27"/>
  <c r="DJ27"/>
  <c r="DI27"/>
  <c r="DD27"/>
  <c r="DC27"/>
  <c r="DB27"/>
  <c r="CW27"/>
  <c r="CV27"/>
  <c r="CU27"/>
  <c r="CP27"/>
  <c r="CO27"/>
  <c r="CN27"/>
  <c r="CI27"/>
  <c r="CH27"/>
  <c r="CG27"/>
  <c r="CB27"/>
  <c r="CA27"/>
  <c r="BZ27"/>
  <c r="BN27"/>
  <c r="BM27"/>
  <c r="BL27"/>
  <c r="BG27"/>
  <c r="BF27"/>
  <c r="AE27"/>
  <c r="AD27"/>
  <c r="AC27"/>
  <c r="J27"/>
  <c r="I27"/>
  <c r="H27"/>
  <c r="DR26"/>
  <c r="DQ26"/>
  <c r="DP26"/>
  <c r="DK26"/>
  <c r="DJ26"/>
  <c r="DI26"/>
  <c r="DD26"/>
  <c r="DC26"/>
  <c r="DB26"/>
  <c r="CW26"/>
  <c r="CV26"/>
  <c r="CU26"/>
  <c r="CP26"/>
  <c r="CO26"/>
  <c r="CN26"/>
  <c r="CI26"/>
  <c r="CH26"/>
  <c r="CG26"/>
  <c r="CB26"/>
  <c r="CA26"/>
  <c r="BZ26"/>
  <c r="BN26"/>
  <c r="BM26"/>
  <c r="BL26"/>
  <c r="BG26"/>
  <c r="BF26"/>
  <c r="AE26"/>
  <c r="AD26"/>
  <c r="AC26"/>
  <c r="J26"/>
  <c r="I26"/>
  <c r="H26"/>
  <c r="DR25"/>
  <c r="DQ25"/>
  <c r="DP25"/>
  <c r="DK25"/>
  <c r="DJ25"/>
  <c r="DI25"/>
  <c r="DD25"/>
  <c r="DC25"/>
  <c r="DB25"/>
  <c r="CW25"/>
  <c r="CV25"/>
  <c r="CU25"/>
  <c r="CP25"/>
  <c r="CO25"/>
  <c r="CN25"/>
  <c r="CI25"/>
  <c r="CH25"/>
  <c r="CG25"/>
  <c r="CB25"/>
  <c r="CA25"/>
  <c r="BZ25"/>
  <c r="BN25"/>
  <c r="BM25"/>
  <c r="BL25"/>
  <c r="BG25"/>
  <c r="BF25"/>
  <c r="AE25"/>
  <c r="AD25"/>
  <c r="AC25"/>
  <c r="J25"/>
  <c r="I25"/>
  <c r="H25"/>
  <c r="DR24"/>
  <c r="DQ24"/>
  <c r="DP24"/>
  <c r="DK24"/>
  <c r="DJ24"/>
  <c r="DI24"/>
  <c r="DD24"/>
  <c r="DC24"/>
  <c r="DB24"/>
  <c r="CW24"/>
  <c r="CV24"/>
  <c r="CU24"/>
  <c r="CP24"/>
  <c r="CO24"/>
  <c r="CN24"/>
  <c r="CI24"/>
  <c r="CH24"/>
  <c r="CG24"/>
  <c r="CB24"/>
  <c r="CA24"/>
  <c r="BZ24"/>
  <c r="BN24"/>
  <c r="BM24"/>
  <c r="BL24"/>
  <c r="BG24"/>
  <c r="BF24"/>
  <c r="AE24"/>
  <c r="AD24"/>
  <c r="AC24"/>
  <c r="J24"/>
  <c r="I24"/>
  <c r="H24"/>
  <c r="DR23"/>
  <c r="DQ23"/>
  <c r="DP23"/>
  <c r="DK23"/>
  <c r="DJ23"/>
  <c r="DI23"/>
  <c r="DD23"/>
  <c r="DC23"/>
  <c r="DB23"/>
  <c r="CW23"/>
  <c r="CV23"/>
  <c r="CU23"/>
  <c r="CP23"/>
  <c r="CO23"/>
  <c r="CN23"/>
  <c r="CI23"/>
  <c r="CH23"/>
  <c r="CG23"/>
  <c r="CB23"/>
  <c r="CA23"/>
  <c r="BZ23"/>
  <c r="BN23"/>
  <c r="BM23"/>
  <c r="BL23"/>
  <c r="BG23"/>
  <c r="BF23"/>
  <c r="AZ23"/>
  <c r="AY23"/>
  <c r="AX23"/>
  <c r="AE23"/>
  <c r="AD23"/>
  <c r="AC23"/>
  <c r="Q23"/>
  <c r="P23"/>
  <c r="O23"/>
  <c r="J23"/>
  <c r="I23"/>
  <c r="H23"/>
  <c r="DR22"/>
  <c r="DQ22"/>
  <c r="DP22"/>
  <c r="DK22"/>
  <c r="DJ22"/>
  <c r="DI22"/>
  <c r="DD22"/>
  <c r="DC22"/>
  <c r="DB22"/>
  <c r="CW22"/>
  <c r="CV22"/>
  <c r="CU22"/>
  <c r="CP22"/>
  <c r="CO22"/>
  <c r="CN22"/>
  <c r="CI22"/>
  <c r="CH22"/>
  <c r="CG22"/>
  <c r="CB22"/>
  <c r="CA22"/>
  <c r="BZ22"/>
  <c r="BN22"/>
  <c r="BM22"/>
  <c r="BL22"/>
  <c r="BG22"/>
  <c r="BF22"/>
  <c r="AZ22"/>
  <c r="AY22"/>
  <c r="AX22"/>
  <c r="AE22"/>
  <c r="AD22"/>
  <c r="AC22"/>
  <c r="Q22"/>
  <c r="P22"/>
  <c r="O22"/>
  <c r="J22"/>
  <c r="I22"/>
  <c r="H22"/>
  <c r="DR21"/>
  <c r="DQ21"/>
  <c r="DP21"/>
  <c r="DK21"/>
  <c r="DJ21"/>
  <c r="DI21"/>
  <c r="DD21"/>
  <c r="DC21"/>
  <c r="DB21"/>
  <c r="CW21"/>
  <c r="CV21"/>
  <c r="CU21"/>
  <c r="CP21"/>
  <c r="CO21"/>
  <c r="CN21"/>
  <c r="CI21"/>
  <c r="CH21"/>
  <c r="CG21"/>
  <c r="CB21"/>
  <c r="CA21"/>
  <c r="BZ21"/>
  <c r="BN21"/>
  <c r="BM21"/>
  <c r="BL21"/>
  <c r="BG21"/>
  <c r="BF21"/>
  <c r="AZ21"/>
  <c r="AY21"/>
  <c r="AX21"/>
  <c r="AE21"/>
  <c r="AD21"/>
  <c r="AC21"/>
  <c r="Q21"/>
  <c r="P21"/>
  <c r="O21"/>
  <c r="J21"/>
  <c r="I21"/>
  <c r="H21"/>
  <c r="DR20"/>
  <c r="DQ20"/>
  <c r="DP20"/>
  <c r="DK20"/>
  <c r="DJ20"/>
  <c r="DI20"/>
  <c r="DD20"/>
  <c r="DC20"/>
  <c r="DB20"/>
  <c r="CW20"/>
  <c r="CV20"/>
  <c r="CU20"/>
  <c r="CP20"/>
  <c r="CO20"/>
  <c r="CN20"/>
  <c r="CI20"/>
  <c r="CH20"/>
  <c r="CG20"/>
  <c r="CB20"/>
  <c r="CA20"/>
  <c r="BZ20"/>
  <c r="BN20"/>
  <c r="BM20"/>
  <c r="BL20"/>
  <c r="BG20"/>
  <c r="BF20"/>
  <c r="AZ20"/>
  <c r="AY20"/>
  <c r="AX20"/>
  <c r="AE20"/>
  <c r="AD20"/>
  <c r="AC20"/>
  <c r="Q20"/>
  <c r="P20"/>
  <c r="O20"/>
  <c r="J20"/>
  <c r="I20"/>
  <c r="H20"/>
  <c r="DR19"/>
  <c r="DQ19"/>
  <c r="DP19"/>
  <c r="DK19"/>
  <c r="DJ19"/>
  <c r="DI19"/>
  <c r="DD19"/>
  <c r="DC19"/>
  <c r="DB19"/>
  <c r="CW19"/>
  <c r="CV19"/>
  <c r="CU19"/>
  <c r="CP19"/>
  <c r="CO19"/>
  <c r="CN19"/>
  <c r="CI19"/>
  <c r="CH19"/>
  <c r="CG19"/>
  <c r="CB19"/>
  <c r="CA19"/>
  <c r="BZ19"/>
  <c r="BN19"/>
  <c r="BM19"/>
  <c r="BL19"/>
  <c r="BG19"/>
  <c r="BF19"/>
  <c r="AZ19"/>
  <c r="AY19"/>
  <c r="AX19"/>
  <c r="AE19"/>
  <c r="AD19"/>
  <c r="AC19"/>
  <c r="Q19"/>
  <c r="P19"/>
  <c r="O19"/>
  <c r="J19"/>
  <c r="I19"/>
  <c r="H19"/>
  <c r="DR18"/>
  <c r="DQ18"/>
  <c r="DP18"/>
  <c r="DK18"/>
  <c r="DJ18"/>
  <c r="DI18"/>
  <c r="DD18"/>
  <c r="DC18"/>
  <c r="DB18"/>
  <c r="CW18"/>
  <c r="CV18"/>
  <c r="CU18"/>
  <c r="CP18"/>
  <c r="CO18"/>
  <c r="CN18"/>
  <c r="CI18"/>
  <c r="CH18"/>
  <c r="CG18"/>
  <c r="CB18"/>
  <c r="CA18"/>
  <c r="BZ18"/>
  <c r="BN18"/>
  <c r="BM18"/>
  <c r="BL18"/>
  <c r="BG18"/>
  <c r="BF18"/>
  <c r="AZ18"/>
  <c r="AY18"/>
  <c r="AX18"/>
  <c r="AE18"/>
  <c r="AD18"/>
  <c r="AC18"/>
  <c r="Q18"/>
  <c r="P18"/>
  <c r="O18"/>
  <c r="J18"/>
  <c r="I18"/>
  <c r="H18"/>
  <c r="DR17"/>
  <c r="DQ17"/>
  <c r="DP17"/>
  <c r="DK17"/>
  <c r="DJ17"/>
  <c r="DI17"/>
  <c r="DD17"/>
  <c r="DC17"/>
  <c r="DB17"/>
  <c r="CW17"/>
  <c r="CV17"/>
  <c r="CU17"/>
  <c r="CP17"/>
  <c r="CO17"/>
  <c r="CN17"/>
  <c r="CI17"/>
  <c r="CH17"/>
  <c r="CG17"/>
  <c r="CB17"/>
  <c r="CA17"/>
  <c r="BZ17"/>
  <c r="BU17"/>
  <c r="BT17"/>
  <c r="BS17"/>
  <c r="BN17"/>
  <c r="BM17"/>
  <c r="BL17"/>
  <c r="BG17"/>
  <c r="BF17"/>
  <c r="AZ17"/>
  <c r="AY17"/>
  <c r="AX17"/>
  <c r="AS17"/>
  <c r="AR17"/>
  <c r="AQ17"/>
  <c r="AE17"/>
  <c r="AD17"/>
  <c r="AC17"/>
  <c r="Q17"/>
  <c r="P17"/>
  <c r="O17"/>
  <c r="J17"/>
  <c r="I17"/>
  <c r="H17"/>
  <c r="DR16"/>
  <c r="DQ16"/>
  <c r="DP16"/>
  <c r="DK16"/>
  <c r="DJ16"/>
  <c r="DI16"/>
  <c r="DD16"/>
  <c r="DC16"/>
  <c r="DB16"/>
  <c r="CW16"/>
  <c r="CV16"/>
  <c r="CU16"/>
  <c r="CP16"/>
  <c r="CO16"/>
  <c r="CN16"/>
  <c r="CI16"/>
  <c r="CH16"/>
  <c r="CG16"/>
  <c r="CB16"/>
  <c r="CA16"/>
  <c r="BZ16"/>
  <c r="BU16"/>
  <c r="BT16"/>
  <c r="BS16"/>
  <c r="BN16"/>
  <c r="BM16"/>
  <c r="BL16"/>
  <c r="BG16"/>
  <c r="BF16"/>
  <c r="AZ16"/>
  <c r="AY16"/>
  <c r="AX16"/>
  <c r="AS16"/>
  <c r="AR16"/>
  <c r="AQ16"/>
  <c r="AE16"/>
  <c r="AD16"/>
  <c r="AC16"/>
  <c r="Q16"/>
  <c r="P16"/>
  <c r="O16"/>
  <c r="J16"/>
  <c r="I16"/>
  <c r="H16"/>
  <c r="DR15"/>
  <c r="DQ15"/>
  <c r="DP15"/>
  <c r="DK15"/>
  <c r="DJ15"/>
  <c r="DI15"/>
  <c r="DD15"/>
  <c r="DC15"/>
  <c r="DB15"/>
  <c r="CW15"/>
  <c r="CV15"/>
  <c r="CU15"/>
  <c r="CP15"/>
  <c r="CO15"/>
  <c r="CN15"/>
  <c r="CI15"/>
  <c r="CH15"/>
  <c r="CG15"/>
  <c r="CB15"/>
  <c r="CA15"/>
  <c r="BZ15"/>
  <c r="BU15"/>
  <c r="BT15"/>
  <c r="BS15"/>
  <c r="BN15"/>
  <c r="BM15"/>
  <c r="BL15"/>
  <c r="BG15"/>
  <c r="BF15"/>
  <c r="AZ15"/>
  <c r="AY15"/>
  <c r="AX15"/>
  <c r="AS15"/>
  <c r="AR15"/>
  <c r="AQ15"/>
  <c r="AL15"/>
  <c r="AK15"/>
  <c r="AJ15"/>
  <c r="AE15"/>
  <c r="AD15"/>
  <c r="AC15"/>
  <c r="X15"/>
  <c r="W15"/>
  <c r="V15"/>
  <c r="Q15"/>
  <c r="P15"/>
  <c r="O15"/>
  <c r="J15"/>
  <c r="I15"/>
  <c r="H15"/>
  <c r="C15"/>
  <c r="B15"/>
  <c r="A15"/>
  <c r="DR14"/>
  <c r="DQ14"/>
  <c r="DP14"/>
  <c r="DK14"/>
  <c r="DJ14"/>
  <c r="DI14"/>
  <c r="DD14"/>
  <c r="DC14"/>
  <c r="DB14"/>
  <c r="CW14"/>
  <c r="CV14"/>
  <c r="CU14"/>
  <c r="CP14"/>
  <c r="CO14"/>
  <c r="CN14"/>
  <c r="CI14"/>
  <c r="CH14"/>
  <c r="CG14"/>
  <c r="CB14"/>
  <c r="CA14"/>
  <c r="BZ14"/>
  <c r="BU14"/>
  <c r="BT14"/>
  <c r="BS14"/>
  <c r="BN14"/>
  <c r="BM14"/>
  <c r="BL14"/>
  <c r="BG14"/>
  <c r="BF14"/>
  <c r="AZ14"/>
  <c r="AY14"/>
  <c r="AX14"/>
  <c r="AS14"/>
  <c r="AR14"/>
  <c r="AQ14"/>
  <c r="AL14"/>
  <c r="AK14"/>
  <c r="AJ14"/>
  <c r="AE14"/>
  <c r="AD14"/>
  <c r="AC14"/>
  <c r="X14"/>
  <c r="W14"/>
  <c r="V14"/>
  <c r="Q14"/>
  <c r="P14"/>
  <c r="O14"/>
  <c r="J14"/>
  <c r="I14"/>
  <c r="H14"/>
  <c r="C14"/>
  <c r="B14"/>
  <c r="A14"/>
  <c r="DR13"/>
  <c r="DQ13"/>
  <c r="DP13"/>
  <c r="DK13"/>
  <c r="DJ13"/>
  <c r="DI13"/>
  <c r="DD13"/>
  <c r="DC13"/>
  <c r="DB13"/>
  <c r="CW13"/>
  <c r="CV13"/>
  <c r="CU13"/>
  <c r="CP13"/>
  <c r="CO13"/>
  <c r="CN13"/>
  <c r="CI13"/>
  <c r="CH13"/>
  <c r="CG13"/>
  <c r="CB13"/>
  <c r="CA13"/>
  <c r="BZ13"/>
  <c r="BU13"/>
  <c r="BT13"/>
  <c r="BS13"/>
  <c r="BN13"/>
  <c r="BM13"/>
  <c r="BL13"/>
  <c r="BG13"/>
  <c r="BF13"/>
  <c r="AZ13"/>
  <c r="AY13"/>
  <c r="AX13"/>
  <c r="AS13"/>
  <c r="AR13"/>
  <c r="AQ13"/>
  <c r="AL13"/>
  <c r="AK13"/>
  <c r="AJ13"/>
  <c r="AE13"/>
  <c r="AD13"/>
  <c r="AC13"/>
  <c r="X13"/>
  <c r="W13"/>
  <c r="V13"/>
  <c r="Q13"/>
  <c r="P13"/>
  <c r="O13"/>
  <c r="J13"/>
  <c r="I13"/>
  <c r="H13"/>
  <c r="C13"/>
  <c r="B13"/>
  <c r="A13"/>
  <c r="DR12"/>
  <c r="DQ12"/>
  <c r="DP12"/>
  <c r="DK12"/>
  <c r="DJ12"/>
  <c r="DI12"/>
  <c r="DD12"/>
  <c r="DC12"/>
  <c r="DB12"/>
  <c r="CW12"/>
  <c r="CV12"/>
  <c r="CU12"/>
  <c r="CP12"/>
  <c r="CO12"/>
  <c r="CN12"/>
  <c r="CI12"/>
  <c r="CH12"/>
  <c r="CG12"/>
  <c r="CB12"/>
  <c r="CA12"/>
  <c r="BZ12"/>
  <c r="BU12"/>
  <c r="BT12"/>
  <c r="BS12"/>
  <c r="BN12"/>
  <c r="BM12"/>
  <c r="BL12"/>
  <c r="BG12"/>
  <c r="BF12"/>
  <c r="AZ12"/>
  <c r="AY12"/>
  <c r="AX12"/>
  <c r="AS12"/>
  <c r="AR12"/>
  <c r="AQ12"/>
  <c r="AL12"/>
  <c r="AK12"/>
  <c r="AJ12"/>
  <c r="AE12"/>
  <c r="AD12"/>
  <c r="AC12"/>
  <c r="X12"/>
  <c r="W12"/>
  <c r="V12"/>
  <c r="Q12"/>
  <c r="P12"/>
  <c r="O12"/>
  <c r="J12"/>
  <c r="I12"/>
  <c r="H12"/>
  <c r="C12"/>
  <c r="B12"/>
  <c r="A12"/>
  <c r="DR11"/>
  <c r="DQ11"/>
  <c r="DP11"/>
  <c r="DK11"/>
  <c r="DJ11"/>
  <c r="DI11"/>
  <c r="DD11"/>
  <c r="DC11"/>
  <c r="DB11"/>
  <c r="CW11"/>
  <c r="CV11"/>
  <c r="CU11"/>
  <c r="CP11"/>
  <c r="CO11"/>
  <c r="CN11"/>
  <c r="CI11"/>
  <c r="CH11"/>
  <c r="CG11"/>
  <c r="CB11"/>
  <c r="CA11"/>
  <c r="BZ11"/>
  <c r="BU11"/>
  <c r="BT11"/>
  <c r="BS11"/>
  <c r="BN11"/>
  <c r="BM11"/>
  <c r="BL11"/>
  <c r="BG11"/>
  <c r="BF11"/>
  <c r="AZ11"/>
  <c r="AY11"/>
  <c r="AX11"/>
  <c r="AS11"/>
  <c r="AR11"/>
  <c r="AQ11"/>
  <c r="AL11"/>
  <c r="AK11"/>
  <c r="AJ11"/>
  <c r="AE11"/>
  <c r="AD11"/>
  <c r="AC11"/>
  <c r="X11"/>
  <c r="W11"/>
  <c r="V11"/>
  <c r="Q11"/>
  <c r="P11"/>
  <c r="O11"/>
  <c r="J11"/>
  <c r="I11"/>
  <c r="H11"/>
  <c r="C11"/>
  <c r="B11"/>
  <c r="A11"/>
  <c r="DR10"/>
  <c r="DQ10"/>
  <c r="DP10"/>
  <c r="DK10"/>
  <c r="DJ10"/>
  <c r="DI10"/>
  <c r="DD10"/>
  <c r="DC10"/>
  <c r="DB10"/>
  <c r="CW10"/>
  <c r="CV10"/>
  <c r="CU10"/>
  <c r="CP10"/>
  <c r="CO10"/>
  <c r="CN10"/>
  <c r="CI10"/>
  <c r="CH10"/>
  <c r="CG10"/>
  <c r="CB10"/>
  <c r="CA10"/>
  <c r="BZ10"/>
  <c r="BU10"/>
  <c r="BT10"/>
  <c r="BS10"/>
  <c r="BN10"/>
  <c r="BM10"/>
  <c r="BL10"/>
  <c r="BG10"/>
  <c r="BF10"/>
  <c r="AZ10"/>
  <c r="AY10"/>
  <c r="AX10"/>
  <c r="AS10"/>
  <c r="AR10"/>
  <c r="AQ10"/>
  <c r="AL10"/>
  <c r="AK10"/>
  <c r="AJ10"/>
  <c r="AE10"/>
  <c r="AD10"/>
  <c r="AC10"/>
  <c r="X10"/>
  <c r="W10"/>
  <c r="V10"/>
  <c r="Q10"/>
  <c r="P10"/>
  <c r="O10"/>
  <c r="J10"/>
  <c r="I10"/>
  <c r="H10"/>
  <c r="C10"/>
  <c r="B10"/>
  <c r="A10"/>
  <c r="DR9"/>
  <c r="DQ9"/>
  <c r="DP9"/>
  <c r="DK9"/>
  <c r="DJ9"/>
  <c r="DI9"/>
  <c r="DD9"/>
  <c r="DC9"/>
  <c r="DB9"/>
  <c r="CW9"/>
  <c r="CV9"/>
  <c r="CU9"/>
  <c r="CP9"/>
  <c r="CO9"/>
  <c r="CN9"/>
  <c r="CI9"/>
  <c r="CH9"/>
  <c r="CG9"/>
  <c r="CB9"/>
  <c r="CA9"/>
  <c r="BZ9"/>
  <c r="BU9"/>
  <c r="BT9"/>
  <c r="BS9"/>
  <c r="BN9"/>
  <c r="BM9"/>
  <c r="BL9"/>
  <c r="BG9"/>
  <c r="BF9"/>
  <c r="AZ9"/>
  <c r="AY9"/>
  <c r="AX9"/>
  <c r="AS9"/>
  <c r="AR9"/>
  <c r="AQ9"/>
  <c r="AL9"/>
  <c r="AK9"/>
  <c r="AJ9"/>
  <c r="AE9"/>
  <c r="AD9"/>
  <c r="AC9"/>
  <c r="X9"/>
  <c r="W9"/>
  <c r="V9"/>
  <c r="Q9"/>
  <c r="P9"/>
  <c r="O9"/>
  <c r="J9"/>
  <c r="I9"/>
  <c r="H9"/>
  <c r="C9"/>
  <c r="B9"/>
  <c r="A9"/>
  <c r="DR8"/>
  <c r="DQ8"/>
  <c r="DP8"/>
  <c r="DK8"/>
  <c r="DJ8"/>
  <c r="DI8"/>
  <c r="DD8"/>
  <c r="DC8"/>
  <c r="DB8"/>
  <c r="CW8"/>
  <c r="CV8"/>
  <c r="CU8"/>
  <c r="CP8"/>
  <c r="CO8"/>
  <c r="CN8"/>
  <c r="CI8"/>
  <c r="CH8"/>
  <c r="CG8"/>
  <c r="CB8"/>
  <c r="CA8"/>
  <c r="BZ8"/>
  <c r="BU8"/>
  <c r="BT8"/>
  <c r="BS8"/>
  <c r="BN8"/>
  <c r="BM8"/>
  <c r="BL8"/>
  <c r="BG8"/>
  <c r="BF8"/>
  <c r="AZ8"/>
  <c r="AY8"/>
  <c r="AX8"/>
  <c r="AS8"/>
  <c r="AR8"/>
  <c r="AQ8"/>
  <c r="AL8"/>
  <c r="AK8"/>
  <c r="AJ8"/>
  <c r="AE8"/>
  <c r="AD8"/>
  <c r="AC8"/>
  <c r="X8"/>
  <c r="W8"/>
  <c r="V8"/>
  <c r="Q8"/>
  <c r="P8"/>
  <c r="O8"/>
  <c r="J8"/>
  <c r="I8"/>
  <c r="H8"/>
  <c r="C8"/>
  <c r="B8"/>
  <c r="A8"/>
  <c r="DR7"/>
  <c r="DQ7"/>
  <c r="DP7"/>
  <c r="DK7"/>
  <c r="DJ7"/>
  <c r="DI7"/>
  <c r="DD7"/>
  <c r="DC7"/>
  <c r="DB7"/>
  <c r="CW7"/>
  <c r="CV7"/>
  <c r="CU7"/>
  <c r="CP7"/>
  <c r="CO7"/>
  <c r="CN7"/>
  <c r="CI7"/>
  <c r="CH7"/>
  <c r="CG7"/>
  <c r="CB7"/>
  <c r="CA7"/>
  <c r="BZ7"/>
  <c r="BU7"/>
  <c r="BT7"/>
  <c r="BS7"/>
  <c r="BN7"/>
  <c r="BM7"/>
  <c r="BL7"/>
  <c r="BG7"/>
  <c r="BF7"/>
  <c r="AZ7"/>
  <c r="AY7"/>
  <c r="AX7"/>
  <c r="AS7"/>
  <c r="AR7"/>
  <c r="AQ7"/>
  <c r="AL7"/>
  <c r="AK7"/>
  <c r="AJ7"/>
  <c r="AE7"/>
  <c r="AD7"/>
  <c r="AC7"/>
  <c r="X7"/>
  <c r="W7"/>
  <c r="V7"/>
  <c r="Q7"/>
  <c r="P7"/>
  <c r="O7"/>
  <c r="J7"/>
  <c r="I7"/>
  <c r="H7"/>
  <c r="C7"/>
  <c r="B7"/>
  <c r="A7"/>
  <c r="DR6"/>
  <c r="DQ6"/>
  <c r="DP6"/>
  <c r="DK6"/>
  <c r="DJ6"/>
  <c r="DI6"/>
  <c r="DD6"/>
  <c r="DC6"/>
  <c r="DB6"/>
  <c r="CW6"/>
  <c r="CV6"/>
  <c r="CU6"/>
  <c r="CP6"/>
  <c r="CO6"/>
  <c r="CN6"/>
  <c r="CI6"/>
  <c r="CH6"/>
  <c r="CG6"/>
  <c r="CB6"/>
  <c r="CA6"/>
  <c r="BZ6"/>
  <c r="BU6"/>
  <c r="BT6"/>
  <c r="BS6"/>
  <c r="BN6"/>
  <c r="BM6"/>
  <c r="BL6"/>
  <c r="BG6"/>
  <c r="BF6"/>
  <c r="AZ6"/>
  <c r="AY6"/>
  <c r="AX6"/>
  <c r="AS6"/>
  <c r="AR6"/>
  <c r="AQ6"/>
  <c r="AL6"/>
  <c r="AK6"/>
  <c r="AJ6"/>
  <c r="AE6"/>
  <c r="AD6"/>
  <c r="AC6"/>
  <c r="X6"/>
  <c r="W6"/>
  <c r="V6"/>
  <c r="Q6"/>
  <c r="P6"/>
  <c r="O6"/>
  <c r="J6"/>
  <c r="I6"/>
  <c r="H6"/>
  <c r="C6"/>
  <c r="B6"/>
  <c r="A6"/>
  <c r="DR5"/>
  <c r="DQ5"/>
  <c r="DP5"/>
  <c r="DK5"/>
  <c r="DJ5"/>
  <c r="DI5"/>
  <c r="DD5"/>
  <c r="DC5"/>
  <c r="DB5"/>
  <c r="CW5"/>
  <c r="CV5"/>
  <c r="CU5"/>
  <c r="CP5"/>
  <c r="CO5"/>
  <c r="CN5"/>
  <c r="CI5"/>
  <c r="CH5"/>
  <c r="CG5"/>
  <c r="CB5"/>
  <c r="CA5"/>
  <c r="BZ5"/>
  <c r="BU5"/>
  <c r="BT5"/>
  <c r="BS5"/>
  <c r="BN5"/>
  <c r="BM5"/>
  <c r="BL5"/>
  <c r="BG5"/>
  <c r="BF5"/>
  <c r="AZ5"/>
  <c r="AY5"/>
  <c r="AX5"/>
  <c r="AS5"/>
  <c r="AR5"/>
  <c r="AQ5"/>
  <c r="AL5"/>
  <c r="AK5"/>
  <c r="AJ5"/>
  <c r="AE5"/>
  <c r="AD5"/>
  <c r="AC5"/>
  <c r="X5"/>
  <c r="W5"/>
  <c r="V5"/>
  <c r="Q5"/>
  <c r="P5"/>
  <c r="O5"/>
  <c r="J5"/>
  <c r="I5"/>
  <c r="H5"/>
  <c r="C5"/>
  <c r="B5"/>
  <c r="A5"/>
  <c r="DR4"/>
  <c r="DQ4"/>
  <c r="DP4"/>
  <c r="DK4"/>
  <c r="DJ4"/>
  <c r="DI4"/>
  <c r="DD4"/>
  <c r="DC4"/>
  <c r="DB4"/>
  <c r="CW4"/>
  <c r="CV4"/>
  <c r="CU4"/>
  <c r="CP4"/>
  <c r="CO4"/>
  <c r="CN4"/>
  <c r="CI4"/>
  <c r="CH4"/>
  <c r="CG4"/>
  <c r="CB4"/>
  <c r="CA4"/>
  <c r="BZ4"/>
  <c r="BU4"/>
  <c r="BT4"/>
  <c r="BS4"/>
  <c r="BN4"/>
  <c r="BM4"/>
  <c r="BL4"/>
  <c r="BG4"/>
  <c r="BF4"/>
  <c r="AZ4"/>
  <c r="AY4"/>
  <c r="AX4"/>
  <c r="AS4"/>
  <c r="AR4"/>
  <c r="AQ4"/>
  <c r="AL4"/>
  <c r="AK4"/>
  <c r="AJ4"/>
  <c r="AE4"/>
  <c r="AD4"/>
  <c r="AC4"/>
  <c r="X4"/>
  <c r="W4"/>
  <c r="V4"/>
  <c r="Q4"/>
  <c r="P4"/>
  <c r="O4"/>
  <c r="J4"/>
  <c r="I4"/>
  <c r="H4"/>
  <c r="C4"/>
  <c r="B4"/>
  <c r="A4"/>
  <c r="DR3"/>
  <c r="DQ3"/>
  <c r="DP3"/>
  <c r="DK3"/>
  <c r="DJ3"/>
  <c r="DI3"/>
  <c r="DD3"/>
  <c r="DC3"/>
  <c r="DB3"/>
  <c r="CW3"/>
  <c r="CV3"/>
  <c r="CU3"/>
  <c r="CP3"/>
  <c r="CO3"/>
  <c r="CN3"/>
  <c r="CI3"/>
  <c r="CH3"/>
  <c r="CG3"/>
  <c r="CB3"/>
  <c r="CA3"/>
  <c r="BZ3"/>
  <c r="BU3"/>
  <c r="BT3"/>
  <c r="BS3"/>
  <c r="BN3"/>
  <c r="BM3"/>
  <c r="BL3"/>
  <c r="BG3"/>
  <c r="BF3"/>
  <c r="BE3"/>
  <c r="AZ3"/>
  <c r="AY3"/>
  <c r="AX3"/>
  <c r="AS3"/>
  <c r="AR3"/>
  <c r="AQ3"/>
  <c r="AL3"/>
  <c r="AK3"/>
  <c r="AJ3"/>
  <c r="AE3"/>
  <c r="AD3"/>
  <c r="AC3"/>
  <c r="X3"/>
  <c r="W3"/>
  <c r="V3"/>
  <c r="Q3"/>
  <c r="P3"/>
  <c r="O3"/>
  <c r="J3"/>
  <c r="I3"/>
  <c r="H3"/>
  <c r="C3"/>
  <c r="B3"/>
  <c r="A3"/>
  <c r="DR2"/>
  <c r="DQ2"/>
  <c r="DK2"/>
  <c r="DD2"/>
  <c r="DC2"/>
  <c r="CW2"/>
  <c r="CV2"/>
  <c r="CP2"/>
  <c r="CO2"/>
  <c r="CI2"/>
  <c r="CH2"/>
  <c r="CB2"/>
  <c r="CA2"/>
  <c r="BU2"/>
  <c r="BT2"/>
  <c r="BN2"/>
  <c r="BM2"/>
  <c r="BG2"/>
  <c r="BF2"/>
  <c r="AZ2"/>
  <c r="AY2"/>
  <c r="AS2"/>
  <c r="AR2"/>
  <c r="AL2"/>
  <c r="AK2"/>
  <c r="AE2"/>
  <c r="AD2"/>
  <c r="X2"/>
  <c r="W2"/>
  <c r="Q2"/>
  <c r="P2"/>
  <c r="J2"/>
  <c r="I2"/>
  <c r="B2"/>
  <c r="B58" i="34"/>
  <c r="L38"/>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c r="Q47" s="1"/>
  <c r="J47" s="1"/>
  <c r="N47"/>
  <c r="K47" s="1"/>
  <c r="N46"/>
  <c r="K46" s="1"/>
  <c r="N45"/>
  <c r="K45" s="1"/>
  <c r="N44"/>
  <c r="K44" s="1"/>
  <c r="N43"/>
  <c r="N20"/>
  <c r="K20" s="1"/>
  <c r="N19"/>
  <c r="K19" s="1"/>
  <c r="N17"/>
  <c r="K17" s="1"/>
  <c r="K15"/>
  <c r="K12"/>
  <c r="N11"/>
  <c r="K11" s="1"/>
  <c r="N10"/>
  <c r="G1"/>
  <c r="B33" i="32"/>
  <c r="B30"/>
  <c r="P17"/>
  <c r="V17"/>
  <c r="P14"/>
  <c r="V14"/>
  <c r="P13"/>
  <c r="V13"/>
  <c r="P12"/>
  <c r="V12"/>
  <c r="P11"/>
  <c r="H8"/>
  <c r="J8" s="1"/>
  <c r="G2247" i="97" s="1"/>
  <c r="P7" i="32"/>
  <c r="B34"/>
  <c r="J1"/>
  <c r="B45" i="31"/>
  <c r="B42"/>
  <c r="O31"/>
  <c r="G2210" i="97" s="1"/>
  <c r="AA30" i="31"/>
  <c r="R30" s="1"/>
  <c r="AA29"/>
  <c r="R29" s="1"/>
  <c r="O28"/>
  <c r="G2207" i="97" s="1"/>
  <c r="AA27" i="31"/>
  <c r="R27" s="1"/>
  <c r="AA26"/>
  <c r="R26" s="1"/>
  <c r="X19"/>
  <c r="U19"/>
  <c r="N19"/>
  <c r="G2188" i="97" s="1"/>
  <c r="J19" i="31"/>
  <c r="G2136" i="97" s="1"/>
  <c r="M15" i="31"/>
  <c r="G2172" i="97" s="1"/>
  <c r="L15" i="31"/>
  <c r="G2159" i="97" s="1"/>
  <c r="K15" i="31"/>
  <c r="G2146" i="97" s="1"/>
  <c r="X11" i="31"/>
  <c r="U11"/>
  <c r="J11"/>
  <c r="G2130" i="97" s="1"/>
  <c r="X10" i="31"/>
  <c r="X9"/>
  <c r="U9"/>
  <c r="J9"/>
  <c r="G2129" i="97" s="1"/>
  <c r="X8" i="31"/>
  <c r="U8"/>
  <c r="J8"/>
  <c r="G2128" i="97" s="1"/>
  <c r="B47" i="31"/>
  <c r="X7"/>
  <c r="U7"/>
  <c r="J7"/>
  <c r="G2127" i="97" s="1"/>
  <c r="O1" i="31"/>
  <c r="B66" i="30"/>
  <c r="B63"/>
  <c r="R49"/>
  <c r="R48"/>
  <c r="R47"/>
  <c r="R46"/>
  <c r="R45"/>
  <c r="R44"/>
  <c r="R43"/>
  <c r="R42"/>
  <c r="O37"/>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c r="B64" i="29"/>
  <c r="B61"/>
  <c r="X47"/>
  <c r="P47" s="1"/>
  <c r="W46"/>
  <c r="P46" s="1"/>
  <c r="V45"/>
  <c r="P45" s="1"/>
  <c r="U44"/>
  <c r="P44" s="1"/>
  <c r="T43"/>
  <c r="P43" s="1"/>
  <c r="S42"/>
  <c r="P42" s="1"/>
  <c r="X37"/>
  <c r="W37"/>
  <c r="V37"/>
  <c r="U37"/>
  <c r="T37"/>
  <c r="S37"/>
  <c r="M37"/>
  <c r="G1838" i="97" s="1"/>
  <c r="X36" i="29"/>
  <c r="W36"/>
  <c r="V36"/>
  <c r="U36"/>
  <c r="T36"/>
  <c r="S36"/>
  <c r="M36"/>
  <c r="G1837" i="97" s="1"/>
  <c r="X31" i="29"/>
  <c r="W31"/>
  <c r="V31"/>
  <c r="U31"/>
  <c r="T31"/>
  <c r="S31"/>
  <c r="M31"/>
  <c r="G1835" i="97" s="1"/>
  <c r="X27" i="29"/>
  <c r="W27"/>
  <c r="V27"/>
  <c r="U27"/>
  <c r="T27"/>
  <c r="S27"/>
  <c r="M27"/>
  <c r="G1833" i="97" s="1"/>
  <c r="L28" i="29"/>
  <c r="G1806" i="97" s="1"/>
  <c r="K28" i="29"/>
  <c r="G1778" i="97" s="1"/>
  <c r="J28" i="29"/>
  <c r="G1750" i="97" s="1"/>
  <c r="I28" i="29"/>
  <c r="G1722" i="97" s="1"/>
  <c r="H28" i="29"/>
  <c r="G1694" i="97" s="1"/>
  <c r="G28" i="29"/>
  <c r="G1666" i="97" s="1"/>
  <c r="X24" i="29"/>
  <c r="W24"/>
  <c r="V24"/>
  <c r="U24"/>
  <c r="T24"/>
  <c r="S24"/>
  <c r="M24"/>
  <c r="G1830" i="97" s="1"/>
  <c r="X23" i="29"/>
  <c r="W23"/>
  <c r="V23"/>
  <c r="U23"/>
  <c r="T23"/>
  <c r="S23"/>
  <c r="M23"/>
  <c r="G1829" i="97" s="1"/>
  <c r="X22" i="29"/>
  <c r="W22"/>
  <c r="V22"/>
  <c r="U22"/>
  <c r="T22"/>
  <c r="S22"/>
  <c r="M22"/>
  <c r="G1828" i="97" s="1"/>
  <c r="X21" i="29"/>
  <c r="W21"/>
  <c r="V21"/>
  <c r="U21"/>
  <c r="T21"/>
  <c r="S21"/>
  <c r="M21"/>
  <c r="G1827" i="97" s="1"/>
  <c r="X17" i="29"/>
  <c r="W17"/>
  <c r="V17"/>
  <c r="U17"/>
  <c r="T17"/>
  <c r="S17"/>
  <c r="M17"/>
  <c r="G1825" i="97" s="1"/>
  <c r="L15" i="29"/>
  <c r="G1796" i="97" s="1"/>
  <c r="K15" i="29"/>
  <c r="G1768" i="97" s="1"/>
  <c r="J15" i="29"/>
  <c r="G1740" i="97" s="1"/>
  <c r="I15" i="29"/>
  <c r="G1712" i="97" s="1"/>
  <c r="H15" i="29"/>
  <c r="G1684" i="97" s="1"/>
  <c r="G15" i="29"/>
  <c r="G1656" i="97" s="1"/>
  <c r="X14" i="29"/>
  <c r="W14"/>
  <c r="V14"/>
  <c r="U14"/>
  <c r="T14"/>
  <c r="S14"/>
  <c r="M14"/>
  <c r="G1823" i="97" s="1"/>
  <c r="X11" i="29"/>
  <c r="W11"/>
  <c r="V11"/>
  <c r="U11"/>
  <c r="T11"/>
  <c r="S11"/>
  <c r="M11"/>
  <c r="G1820" i="97" s="1"/>
  <c r="X10" i="29"/>
  <c r="W10"/>
  <c r="V10"/>
  <c r="U10"/>
  <c r="T10"/>
  <c r="S10"/>
  <c r="M10"/>
  <c r="G1819" i="97" s="1"/>
  <c r="X9" i="29"/>
  <c r="W9"/>
  <c r="V9"/>
  <c r="U9"/>
  <c r="T9"/>
  <c r="S9"/>
  <c r="M9"/>
  <c r="G1818" i="97" s="1"/>
  <c r="X8" i="29"/>
  <c r="W8"/>
  <c r="V8"/>
  <c r="U8"/>
  <c r="T8"/>
  <c r="S8"/>
  <c r="M8"/>
  <c r="G1817" i="97" s="1"/>
  <c r="X7" i="29"/>
  <c r="W7"/>
  <c r="V7"/>
  <c r="U7"/>
  <c r="T7"/>
  <c r="S7"/>
  <c r="M7"/>
  <c r="G1816" i="97" s="1"/>
  <c r="P6" i="29"/>
  <c r="M1"/>
  <c r="B22" i="28"/>
  <c r="I1"/>
  <c r="B35" i="27"/>
  <c r="Q23"/>
  <c r="Q20"/>
  <c r="Q12"/>
  <c r="Q11"/>
  <c r="L1"/>
  <c r="B28" i="26"/>
  <c r="M17"/>
  <c r="J17" s="1"/>
  <c r="M16"/>
  <c r="M15"/>
  <c r="N9"/>
  <c r="M9"/>
  <c r="N8"/>
  <c r="M8"/>
  <c r="B71" i="21"/>
  <c r="B6"/>
  <c r="B7" s="1"/>
  <c r="B8" s="1"/>
  <c r="B9" s="1"/>
  <c r="B10" s="1"/>
  <c r="B11" s="1"/>
  <c r="B12" s="1"/>
  <c r="B13" s="1"/>
  <c r="B14" s="1"/>
  <c r="B15" s="1"/>
  <c r="B16" s="1"/>
  <c r="B17" s="1"/>
  <c r="B18" s="1"/>
  <c r="B19" s="1"/>
  <c r="B20" s="1"/>
  <c r="P1"/>
  <c r="B64" i="19"/>
  <c r="O48"/>
  <c r="Q34"/>
  <c r="L34" s="1"/>
  <c r="L33"/>
  <c r="Q32"/>
  <c r="L32" s="1"/>
  <c r="P28"/>
  <c r="O28"/>
  <c r="P27"/>
  <c r="O27"/>
  <c r="P26"/>
  <c r="O26"/>
  <c r="P8"/>
  <c r="O8"/>
  <c r="P7"/>
  <c r="O7"/>
  <c r="P6"/>
  <c r="O6"/>
  <c r="I1"/>
  <c r="B48" i="18"/>
  <c r="V33"/>
  <c r="F33"/>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Q6" i="18"/>
  <c r="P6"/>
  <c r="O6"/>
  <c r="G6"/>
  <c r="G1365" i="97" s="1"/>
  <c r="I1" i="18"/>
  <c r="B45" i="17"/>
  <c r="V30"/>
  <c r="U30"/>
  <c r="G26"/>
  <c r="G1265" i="97" s="1"/>
  <c r="G25" i="17"/>
  <c r="G1264" i="97" s="1"/>
  <c r="G24" i="17"/>
  <c r="G1263" i="97" s="1"/>
  <c r="G23" i="17"/>
  <c r="G1262" i="97" s="1"/>
  <c r="G22" i="17"/>
  <c r="G1261" i="97" s="1"/>
  <c r="G21" i="17"/>
  <c r="G1260" i="97" s="1"/>
  <c r="G20" i="17"/>
  <c r="G1259" i="97" s="1"/>
  <c r="G19" i="17"/>
  <c r="G1258" i="97" s="1"/>
  <c r="G18" i="17"/>
  <c r="G1257" i="97" s="1"/>
  <c r="G17" i="17"/>
  <c r="G1256" i="97" s="1"/>
  <c r="G16" i="17"/>
  <c r="G1255" i="97" s="1"/>
  <c r="G15" i="17"/>
  <c r="G1254" i="97" s="1"/>
  <c r="G14" i="17"/>
  <c r="G1253" i="97" s="1"/>
  <c r="G13" i="17"/>
  <c r="G1252" i="97" s="1"/>
  <c r="G12" i="17"/>
  <c r="G1251" i="97" s="1"/>
  <c r="G11" i="17"/>
  <c r="G1250" i="97" s="1"/>
  <c r="G10" i="17"/>
  <c r="G1249" i="97" s="1"/>
  <c r="G9" i="17"/>
  <c r="G1248" i="97" s="1"/>
  <c r="Q6" i="17"/>
  <c r="P6"/>
  <c r="O6"/>
  <c r="G6"/>
  <c r="G1247" i="97" s="1"/>
  <c r="I1" i="17"/>
  <c r="B25" i="16"/>
  <c r="B22"/>
  <c r="H11"/>
  <c r="G1195" i="97" s="1"/>
  <c r="F11" i="16"/>
  <c r="G1181" i="97" s="1"/>
  <c r="E11" i="16"/>
  <c r="G1174" i="97" s="1"/>
  <c r="G10" i="16"/>
  <c r="G1187" i="97" s="1"/>
  <c r="G9" i="16"/>
  <c r="G1186" i="97" s="1"/>
  <c r="O8" i="16"/>
  <c r="N8"/>
  <c r="G8"/>
  <c r="G1185" i="97" s="1"/>
  <c r="G7" i="16"/>
  <c r="G1184" i="97" s="1"/>
  <c r="G6" i="16"/>
  <c r="G1183" i="97" s="1"/>
  <c r="B26" i="16"/>
  <c r="O5"/>
  <c r="N5"/>
  <c r="G5"/>
  <c r="G1182" i="97" s="1"/>
  <c r="I1" i="16"/>
  <c r="B64" i="15"/>
  <c r="B61"/>
  <c r="I24"/>
  <c r="G1130" i="97" s="1"/>
  <c r="H24" i="15"/>
  <c r="G1105" i="97" s="1"/>
  <c r="G24" i="15"/>
  <c r="G1079" i="97" s="1"/>
  <c r="J23" i="15"/>
  <c r="G1153" i="97" s="1"/>
  <c r="J22" i="15"/>
  <c r="G1152" i="97" s="1"/>
  <c r="J20" i="15"/>
  <c r="G1150" i="97" s="1"/>
  <c r="J19" i="15"/>
  <c r="G1149" i="97" s="1"/>
  <c r="I13" i="15"/>
  <c r="G1124" i="97" s="1"/>
  <c r="H13" i="15"/>
  <c r="G1098" i="97" s="1"/>
  <c r="G13" i="15"/>
  <c r="G1072" i="97" s="1"/>
  <c r="Q12" i="15"/>
  <c r="P12"/>
  <c r="O12"/>
  <c r="J12"/>
  <c r="G1146" i="97" s="1"/>
  <c r="Q11" i="15"/>
  <c r="P11"/>
  <c r="O11"/>
  <c r="J11"/>
  <c r="G1145" i="97" s="1"/>
  <c r="Q9" i="15"/>
  <c r="P9"/>
  <c r="O9"/>
  <c r="J9"/>
  <c r="G1143" i="97" s="1"/>
  <c r="Q8" i="15"/>
  <c r="P8"/>
  <c r="O8"/>
  <c r="J8"/>
  <c r="G1142" i="97" s="1"/>
  <c r="B65" i="15"/>
  <c r="Q7"/>
  <c r="O7"/>
  <c r="J7"/>
  <c r="G1141" i="97" s="1"/>
  <c r="B41" i="14"/>
  <c r="B38"/>
  <c r="T18"/>
  <c r="Z16"/>
  <c r="Y16"/>
  <c r="T16"/>
  <c r="N16"/>
  <c r="G1057" i="97" s="1"/>
  <c r="Z15" i="14"/>
  <c r="Y15"/>
  <c r="T15"/>
  <c r="N15"/>
  <c r="G1056" i="97" s="1"/>
  <c r="Z9" i="14"/>
  <c r="Y9"/>
  <c r="T9"/>
  <c r="N9"/>
  <c r="G1052" i="97" s="1"/>
  <c r="Z8" i="14"/>
  <c r="Y8"/>
  <c r="T8"/>
  <c r="N8"/>
  <c r="G1051" i="97" s="1"/>
  <c r="B42" i="14"/>
  <c r="Z7"/>
  <c r="Y7"/>
  <c r="T7"/>
  <c r="N1"/>
  <c r="B32" i="13"/>
  <c r="O21"/>
  <c r="N21"/>
  <c r="O16"/>
  <c r="I16"/>
  <c r="G934" i="97" s="1"/>
  <c r="O13" i="13"/>
  <c r="O11"/>
  <c r="O10"/>
  <c r="O9"/>
  <c r="O8"/>
  <c r="O7"/>
  <c r="O6"/>
  <c r="I1"/>
  <c r="B50" i="12"/>
  <c r="J14"/>
  <c r="G844" i="97" s="1"/>
  <c r="G14" i="12"/>
  <c r="G772" i="97" s="1"/>
  <c r="L1" i="12"/>
  <c r="B32" i="11"/>
  <c r="AE20"/>
  <c r="S20" s="1"/>
  <c r="W16"/>
  <c r="V16"/>
  <c r="W15"/>
  <c r="V15"/>
  <c r="W11"/>
  <c r="V11"/>
  <c r="AM11"/>
  <c r="W7"/>
  <c r="V7"/>
  <c r="W6"/>
  <c r="V6"/>
  <c r="P1"/>
  <c r="B34" i="8"/>
  <c r="S21"/>
  <c r="R21"/>
  <c r="Q21"/>
  <c r="P21"/>
  <c r="S20"/>
  <c r="R20"/>
  <c r="Q20"/>
  <c r="P20"/>
  <c r="R17"/>
  <c r="Q17"/>
  <c r="P17"/>
  <c r="J17"/>
  <c r="G420" i="97" s="1"/>
  <c r="R16" i="8"/>
  <c r="Q16"/>
  <c r="P16"/>
  <c r="S14"/>
  <c r="S10"/>
  <c r="S9"/>
  <c r="M9" s="1"/>
  <c r="R6"/>
  <c r="Q6"/>
  <c r="P6"/>
  <c r="J1"/>
  <c r="B50" i="7"/>
  <c r="B47"/>
  <c r="I34"/>
  <c r="G347" i="97" s="1"/>
  <c r="H34" i="7"/>
  <c r="G325" i="97" s="1"/>
  <c r="R33" i="7"/>
  <c r="Q33"/>
  <c r="P33"/>
  <c r="J33"/>
  <c r="G368" i="97" s="1"/>
  <c r="R32" i="7"/>
  <c r="Q32"/>
  <c r="P32"/>
  <c r="J32"/>
  <c r="G367" i="97" s="1"/>
  <c r="R31" i="7"/>
  <c r="Q31"/>
  <c r="P31"/>
  <c r="J31"/>
  <c r="G366" i="97" s="1"/>
  <c r="R25" i="7"/>
  <c r="Q25"/>
  <c r="P25"/>
  <c r="J25"/>
  <c r="G363" i="97" s="1"/>
  <c r="R24" i="7"/>
  <c r="Q24"/>
  <c r="P24"/>
  <c r="J24"/>
  <c r="G362" i="97" s="1"/>
  <c r="R23" i="7"/>
  <c r="Q23"/>
  <c r="P23"/>
  <c r="J23"/>
  <c r="G361" i="97" s="1"/>
  <c r="R22" i="7"/>
  <c r="Q22"/>
  <c r="P22"/>
  <c r="J22"/>
  <c r="G360" i="97" s="1"/>
  <c r="R18" i="7"/>
  <c r="Q18"/>
  <c r="P18"/>
  <c r="J18"/>
  <c r="G358" i="97" s="1"/>
  <c r="R17" i="7"/>
  <c r="Q17"/>
  <c r="P17"/>
  <c r="J17"/>
  <c r="G357" i="97" s="1"/>
  <c r="R14" i="7"/>
  <c r="Q14"/>
  <c r="P14"/>
  <c r="J14"/>
  <c r="G355" i="97" s="1"/>
  <c r="R13" i="7"/>
  <c r="Q13"/>
  <c r="P13"/>
  <c r="J13"/>
  <c r="G354" i="97" s="1"/>
  <c r="R12" i="7"/>
  <c r="Q12"/>
  <c r="P12"/>
  <c r="J12"/>
  <c r="G353" i="97" s="1"/>
  <c r="R11" i="7"/>
  <c r="Q11"/>
  <c r="P11"/>
  <c r="J11"/>
  <c r="G352" i="97" s="1"/>
  <c r="R10" i="7"/>
  <c r="Q10"/>
  <c r="P10"/>
  <c r="J10"/>
  <c r="G351" i="97" s="1"/>
  <c r="R9" i="7"/>
  <c r="Q9"/>
  <c r="P9"/>
  <c r="J9"/>
  <c r="G350" i="97" s="1"/>
  <c r="R8" i="7"/>
  <c r="Q8"/>
  <c r="P8"/>
  <c r="J8"/>
  <c r="G349" i="97" s="1"/>
  <c r="K1" i="7"/>
  <c r="B64" i="6"/>
  <c r="B61"/>
  <c r="I50"/>
  <c r="G214" i="97" s="1"/>
  <c r="H50" i="6"/>
  <c r="G180" i="97" s="1"/>
  <c r="G50" i="6"/>
  <c r="G146" i="97" s="1"/>
  <c r="R49" i="6"/>
  <c r="Q49"/>
  <c r="P49"/>
  <c r="J49"/>
  <c r="G247" i="97" s="1"/>
  <c r="R48" i="6"/>
  <c r="Q48"/>
  <c r="P48"/>
  <c r="J48"/>
  <c r="G246" i="97" s="1"/>
  <c r="R42" i="6"/>
  <c r="Q42"/>
  <c r="P42"/>
  <c r="J42"/>
  <c r="G243" i="97" s="1"/>
  <c r="R41" i="6"/>
  <c r="Q41"/>
  <c r="P41"/>
  <c r="J41"/>
  <c r="G242" i="97" s="1"/>
  <c r="R39" i="6"/>
  <c r="Q39"/>
  <c r="P39"/>
  <c r="J39"/>
  <c r="G240" i="97" s="1"/>
  <c r="R38" i="6"/>
  <c r="Q38"/>
  <c r="P38"/>
  <c r="J38"/>
  <c r="G239" i="97" s="1"/>
  <c r="R37" i="6"/>
  <c r="Q37"/>
  <c r="P37"/>
  <c r="J37"/>
  <c r="G238" i="97" s="1"/>
  <c r="R36" i="6"/>
  <c r="Q36"/>
  <c r="P36"/>
  <c r="J36"/>
  <c r="G237" i="97" s="1"/>
  <c r="R35" i="6"/>
  <c r="Q35"/>
  <c r="P35"/>
  <c r="J35"/>
  <c r="G236" i="97" s="1"/>
  <c r="R34" i="6"/>
  <c r="Q34"/>
  <c r="P34"/>
  <c r="J34"/>
  <c r="G235" i="97" s="1"/>
  <c r="R28" i="6"/>
  <c r="Q28"/>
  <c r="P28"/>
  <c r="J28"/>
  <c r="G232" i="97" s="1"/>
  <c r="R27" i="6"/>
  <c r="Q27"/>
  <c r="P27"/>
  <c r="J27"/>
  <c r="G231" i="97" s="1"/>
  <c r="R26" i="6"/>
  <c r="Q26"/>
  <c r="P26"/>
  <c r="J26"/>
  <c r="G230" i="97" s="1"/>
  <c r="R25" i="6"/>
  <c r="Q25"/>
  <c r="P25"/>
  <c r="J25"/>
  <c r="G229" i="97" s="1"/>
  <c r="R24" i="6"/>
  <c r="Q24"/>
  <c r="P24"/>
  <c r="J24"/>
  <c r="G228" i="97" s="1"/>
  <c r="R23" i="6"/>
  <c r="Q23"/>
  <c r="P23"/>
  <c r="J23"/>
  <c r="G227" i="97" s="1"/>
  <c r="R19" i="6"/>
  <c r="Q19"/>
  <c r="P19"/>
  <c r="J19"/>
  <c r="G225" i="97" s="1"/>
  <c r="R18" i="6"/>
  <c r="Q18"/>
  <c r="P18"/>
  <c r="J18"/>
  <c r="G224" i="97" s="1"/>
  <c r="R17" i="6"/>
  <c r="Q17"/>
  <c r="P17"/>
  <c r="J17"/>
  <c r="G223" i="97" s="1"/>
  <c r="R16" i="6"/>
  <c r="Q16"/>
  <c r="P16"/>
  <c r="J16"/>
  <c r="G222" i="97" s="1"/>
  <c r="R12" i="6"/>
  <c r="Q12"/>
  <c r="P12"/>
  <c r="J12"/>
  <c r="G220" i="97" s="1"/>
  <c r="R11" i="6"/>
  <c r="Q11"/>
  <c r="P11"/>
  <c r="J11"/>
  <c r="G219" i="97" s="1"/>
  <c r="R10" i="6"/>
  <c r="Q10"/>
  <c r="P10"/>
  <c r="J10"/>
  <c r="G218" i="97" s="1"/>
  <c r="R9" i="6"/>
  <c r="Q9"/>
  <c r="P9"/>
  <c r="J9"/>
  <c r="G217" i="97" s="1"/>
  <c r="R8" i="6"/>
  <c r="Q8"/>
  <c r="P8"/>
  <c r="R7"/>
  <c r="Q7"/>
  <c r="P7"/>
  <c r="C10" i="2" s="1"/>
  <c r="J7" i="6"/>
  <c r="G215" i="97" s="1"/>
  <c r="K1" i="6"/>
  <c r="B24" i="5"/>
  <c r="B21"/>
  <c r="R8"/>
  <c r="Q8"/>
  <c r="P8"/>
  <c r="J8"/>
  <c r="G108" i="97" s="1"/>
  <c r="R7" i="5"/>
  <c r="Q7"/>
  <c r="P7"/>
  <c r="C9" i="2" s="1"/>
  <c r="J7" i="5"/>
  <c r="G107" i="97" s="1"/>
  <c r="B25" i="5"/>
  <c r="K1"/>
  <c r="B48" i="4"/>
  <c r="B45"/>
  <c r="R21"/>
  <c r="Q21"/>
  <c r="P21"/>
  <c r="J21"/>
  <c r="G74" i="97" s="1"/>
  <c r="R20" i="4"/>
  <c r="Q20"/>
  <c r="P20"/>
  <c r="J20"/>
  <c r="G73" i="97" s="1"/>
  <c r="R17" i="4"/>
  <c r="Q17"/>
  <c r="P17"/>
  <c r="J17"/>
  <c r="G71" i="97" s="1"/>
  <c r="R14" i="4"/>
  <c r="Q14"/>
  <c r="P14"/>
  <c r="J14"/>
  <c r="G69" i="97" s="1"/>
  <c r="R13" i="4"/>
  <c r="Q13"/>
  <c r="P13"/>
  <c r="J13"/>
  <c r="G68" i="97" s="1"/>
  <c r="R12" i="4"/>
  <c r="Q12"/>
  <c r="P12"/>
  <c r="J12"/>
  <c r="G67" i="97" s="1"/>
  <c r="R11" i="4"/>
  <c r="Q11"/>
  <c r="P11"/>
  <c r="J11"/>
  <c r="G66" i="97" s="1"/>
  <c r="I7" i="7"/>
  <c r="I15" s="1"/>
  <c r="G334" i="97" s="1"/>
  <c r="H7" i="7"/>
  <c r="H15" s="1"/>
  <c r="G312" i="97" s="1"/>
  <c r="G7" i="7"/>
  <c r="G15" s="1"/>
  <c r="G290" i="97" s="1"/>
  <c r="R8" i="4"/>
  <c r="Q8"/>
  <c r="P8"/>
  <c r="J8"/>
  <c r="G64" i="97" s="1"/>
  <c r="R7" i="4"/>
  <c r="Q7"/>
  <c r="P7"/>
  <c r="J7"/>
  <c r="G63" i="97" s="1"/>
  <c r="B49" i="4"/>
  <c r="R6"/>
  <c r="Q6"/>
  <c r="P6"/>
  <c r="J6"/>
  <c r="G62" i="97" s="1"/>
  <c r="K1" i="4"/>
  <c r="D18" i="22" l="1"/>
  <c r="H18"/>
  <c r="E18"/>
  <c r="G18"/>
  <c r="F18"/>
  <c r="O9" i="31"/>
  <c r="G2194" i="97" s="1"/>
  <c r="L21" i="31"/>
  <c r="G2164" i="97" s="1"/>
  <c r="O8" i="31"/>
  <c r="G2193" i="97" s="1"/>
  <c r="M21" i="31"/>
  <c r="G2177" i="97" s="1"/>
  <c r="K21" i="31"/>
  <c r="G2151" i="97" s="1"/>
  <c r="AG49" i="76"/>
  <c r="AD49" s="1"/>
  <c r="R49" s="1"/>
  <c r="K18" i="30"/>
  <c r="G1962" i="97" s="1"/>
  <c r="L18" i="30"/>
  <c r="G1990" i="97" s="1"/>
  <c r="AG17" i="76"/>
  <c r="AD17" s="1"/>
  <c r="AG33"/>
  <c r="AD33" s="1"/>
  <c r="R33" s="1"/>
  <c r="AF31" i="30"/>
  <c r="L18" i="29"/>
  <c r="G1798" i="97" s="1"/>
  <c r="I18" i="29"/>
  <c r="G1714" i="97" s="1"/>
  <c r="AB31" i="29"/>
  <c r="C39" i="2"/>
  <c r="J18" i="29"/>
  <c r="G1742" i="97" s="1"/>
  <c r="H18" i="29"/>
  <c r="G1686" i="97" s="1"/>
  <c r="AE18" i="75"/>
  <c r="AB18" s="1"/>
  <c r="K18" i="29"/>
  <c r="G1770" i="97" s="1"/>
  <c r="U33" i="18"/>
  <c r="I37"/>
  <c r="G1441" i="97" s="1"/>
  <c r="G28" i="17"/>
  <c r="G1267" i="97" s="1"/>
  <c r="H6" i="96"/>
  <c r="G6"/>
  <c r="G8" s="1"/>
  <c r="G1549" i="97" s="1"/>
  <c r="G44" i="15"/>
  <c r="C18" i="2"/>
  <c r="C12"/>
  <c r="C11"/>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C43" i="2"/>
  <c r="AI19" i="21"/>
  <c r="AI15"/>
  <c r="AI11"/>
  <c r="AI7"/>
  <c r="AI12"/>
  <c r="AI18"/>
  <c r="AI14"/>
  <c r="AI10"/>
  <c r="AI6"/>
  <c r="AI20"/>
  <c r="AI17"/>
  <c r="AI13"/>
  <c r="AI9"/>
  <c r="AI5"/>
  <c r="AI16"/>
  <c r="AI8"/>
  <c r="C17"/>
  <c r="C13"/>
  <c r="C9"/>
  <c r="C5"/>
  <c r="C19"/>
  <c r="C16"/>
  <c r="C8"/>
  <c r="C20"/>
  <c r="C14"/>
  <c r="C11"/>
  <c r="C6"/>
  <c r="C18"/>
  <c r="C15"/>
  <c r="C10"/>
  <c r="C7"/>
  <c r="C12"/>
  <c r="G18" i="29"/>
  <c r="G1658" i="97" s="1"/>
  <c r="C30" i="18"/>
  <c r="C26"/>
  <c r="AB26" s="1"/>
  <c r="C22"/>
  <c r="AB22" s="1"/>
  <c r="C18"/>
  <c r="AB18" s="1"/>
  <c r="C14"/>
  <c r="AB14" s="1"/>
  <c r="C10"/>
  <c r="AB10" s="1"/>
  <c r="C29"/>
  <c r="C25"/>
  <c r="AB25" s="1"/>
  <c r="C21"/>
  <c r="AB21" s="1"/>
  <c r="C17"/>
  <c r="AB17" s="1"/>
  <c r="C13"/>
  <c r="AB13" s="1"/>
  <c r="C28"/>
  <c r="AB28" s="1"/>
  <c r="C24"/>
  <c r="AB24" s="1"/>
  <c r="C20"/>
  <c r="AB20" s="1"/>
  <c r="C16"/>
  <c r="AB16" s="1"/>
  <c r="C12"/>
  <c r="AB12" s="1"/>
  <c r="C27"/>
  <c r="AB27" s="1"/>
  <c r="C23"/>
  <c r="AB23" s="1"/>
  <c r="C19"/>
  <c r="AB19" s="1"/>
  <c r="C15"/>
  <c r="AB15" s="1"/>
  <c r="C11"/>
  <c r="AB11" s="1"/>
  <c r="C9"/>
  <c r="AB9" s="1"/>
  <c r="I46" i="15"/>
  <c r="G1139" i="97" s="1"/>
  <c r="H44" i="15"/>
  <c r="H46" s="1"/>
  <c r="G1116" i="97" s="1"/>
  <c r="G46" i="15"/>
  <c r="G1090" i="97" s="1"/>
  <c r="C16" i="2"/>
  <c r="C27" i="17"/>
  <c r="C23"/>
  <c r="AB23" s="1"/>
  <c r="C19"/>
  <c r="AB19" s="1"/>
  <c r="C15"/>
  <c r="AB15" s="1"/>
  <c r="C11"/>
  <c r="AB11" s="1"/>
  <c r="C17"/>
  <c r="AB17" s="1"/>
  <c r="C9"/>
  <c r="AB9" s="1"/>
  <c r="C24"/>
  <c r="AB24" s="1"/>
  <c r="C16"/>
  <c r="AB16" s="1"/>
  <c r="C26"/>
  <c r="C22"/>
  <c r="AB22" s="1"/>
  <c r="C18"/>
  <c r="AB18" s="1"/>
  <c r="C14"/>
  <c r="AB14" s="1"/>
  <c r="C10"/>
  <c r="AB10" s="1"/>
  <c r="C25"/>
  <c r="AB25" s="1"/>
  <c r="C21"/>
  <c r="AB21" s="1"/>
  <c r="C13"/>
  <c r="AB13" s="1"/>
  <c r="C20"/>
  <c r="AB20" s="1"/>
  <c r="C12"/>
  <c r="AB12" s="1"/>
  <c r="X45" i="19"/>
  <c r="S45" s="1"/>
  <c r="L6"/>
  <c r="L6" i="17"/>
  <c r="L6" i="18"/>
  <c r="L44" i="34"/>
  <c r="G2439" i="97" s="1"/>
  <c r="G44" i="34"/>
  <c r="G2319" i="97" s="1"/>
  <c r="H52" i="30"/>
  <c r="G1895" i="97" s="1"/>
  <c r="H50" i="30"/>
  <c r="G1893" i="97" s="1"/>
  <c r="L52" i="30"/>
  <c r="G2007" i="97" s="1"/>
  <c r="L50" i="30"/>
  <c r="G2005" i="97" s="1"/>
  <c r="I52" i="30"/>
  <c r="G1923" i="97" s="1"/>
  <c r="I50" i="30"/>
  <c r="G1921" i="97" s="1"/>
  <c r="J52" i="30"/>
  <c r="G1951" i="97" s="1"/>
  <c r="J50" i="30"/>
  <c r="G1949" i="97" s="1"/>
  <c r="G52" i="30"/>
  <c r="G1867" i="97" s="1"/>
  <c r="G50" i="30"/>
  <c r="G1865" i="97" s="1"/>
  <c r="K52" i="30"/>
  <c r="G1979" i="97" s="1"/>
  <c r="K50" i="30"/>
  <c r="G1977" i="97" s="1"/>
  <c r="AZ52" i="66"/>
  <c r="AW52" s="1"/>
  <c r="D48" i="2" s="1"/>
  <c r="AR45" i="65"/>
  <c r="AO45" s="1"/>
  <c r="D47" i="2" s="1"/>
  <c r="AE34" i="75"/>
  <c r="AB34" s="1"/>
  <c r="M6" i="8"/>
  <c r="N18" i="30"/>
  <c r="G2046" i="97" s="1"/>
  <c r="M18" i="30"/>
  <c r="G2018" i="97" s="1"/>
  <c r="K44" i="34"/>
  <c r="G2415" i="97" s="1"/>
  <c r="J21" i="34"/>
  <c r="G2379" i="97" s="1"/>
  <c r="Z45" i="19"/>
  <c r="T45" s="1"/>
  <c r="J38" i="34"/>
  <c r="G2389" i="97" s="1"/>
  <c r="H44" i="34"/>
  <c r="G2343" i="97" s="1"/>
  <c r="J12" i="31"/>
  <c r="G2131" i="97" s="1"/>
  <c r="O7" i="31"/>
  <c r="G2192" i="97" s="1"/>
  <c r="G33" i="30"/>
  <c r="G1860" i="97" s="1"/>
  <c r="I50" i="29"/>
  <c r="G1731" i="97" s="1"/>
  <c r="I48" i="29"/>
  <c r="G1729" i="97" s="1"/>
  <c r="J48" i="29"/>
  <c r="G1757" i="97" s="1"/>
  <c r="K50" i="29"/>
  <c r="G1787" i="97" s="1"/>
  <c r="K48" i="29"/>
  <c r="G1785" i="97" s="1"/>
  <c r="H48" i="29"/>
  <c r="G1701" i="97" s="1"/>
  <c r="H50" i="29"/>
  <c r="G1703" i="97" s="1"/>
  <c r="L50" i="29"/>
  <c r="G1815" i="97" s="1"/>
  <c r="L48" i="29"/>
  <c r="G1813" i="97" s="1"/>
  <c r="I11" i="16"/>
  <c r="G1202" i="97" s="1"/>
  <c r="J14" i="34"/>
  <c r="G2374" i="97" s="1"/>
  <c r="M14" i="8"/>
  <c r="H8" i="11"/>
  <c r="G693" i="97" s="1"/>
  <c r="N15" i="31"/>
  <c r="G2185" i="97" s="1"/>
  <c r="K43" i="33"/>
  <c r="G50" i="29"/>
  <c r="G1675" i="97" s="1"/>
  <c r="J17" i="12"/>
  <c r="G846" i="97" s="1"/>
  <c r="J33" i="30"/>
  <c r="G1944" i="97" s="1"/>
  <c r="I44" i="34"/>
  <c r="G2367" i="97" s="1"/>
  <c r="I33" i="30"/>
  <c r="G1916" i="97" s="1"/>
  <c r="S33" i="18"/>
  <c r="D23" i="2" s="1"/>
  <c r="P17" i="22"/>
  <c r="Q17"/>
  <c r="M16"/>
  <c r="B19"/>
  <c r="C19" s="1"/>
  <c r="B21" i="21"/>
  <c r="AI21" s="1"/>
  <c r="G31" i="18"/>
  <c r="G1388" i="97" s="1"/>
  <c r="G30" i="17"/>
  <c r="G1268" i="97" s="1"/>
  <c r="S30" i="17"/>
  <c r="D22" i="2" s="1"/>
  <c r="J13" i="6"/>
  <c r="G221" i="97" s="1"/>
  <c r="M24" i="6"/>
  <c r="M10" i="8"/>
  <c r="K10" i="33"/>
  <c r="R26" i="34"/>
  <c r="L26" i="19"/>
  <c r="K8" i="13"/>
  <c r="M21" i="4"/>
  <c r="M12" i="6"/>
  <c r="M16"/>
  <c r="M13" i="7"/>
  <c r="M42" i="6"/>
  <c r="M17" i="8"/>
  <c r="P9" i="29"/>
  <c r="R24" i="30"/>
  <c r="R18" i="34"/>
  <c r="I6" i="5"/>
  <c r="I9" s="1"/>
  <c r="G106" i="97" s="1"/>
  <c r="M39" i="6"/>
  <c r="M49"/>
  <c r="J50"/>
  <c r="G248" i="97" s="1"/>
  <c r="B65" i="6"/>
  <c r="M12" i="7"/>
  <c r="J34"/>
  <c r="G369" i="97" s="1"/>
  <c r="L27" i="12"/>
  <c r="G902" i="97" s="1"/>
  <c r="L28" i="19"/>
  <c r="K6" i="13"/>
  <c r="K10"/>
  <c r="N22" i="14"/>
  <c r="G1062" i="97" s="1"/>
  <c r="L7" i="15"/>
  <c r="L9"/>
  <c r="L7" i="19"/>
  <c r="L27"/>
  <c r="P23" i="29"/>
  <c r="P37"/>
  <c r="B67" i="30"/>
  <c r="M20" i="4"/>
  <c r="M8" i="6"/>
  <c r="M41"/>
  <c r="M11" i="7"/>
  <c r="M33"/>
  <c r="M16" i="8"/>
  <c r="K13" i="13"/>
  <c r="K33" i="29"/>
  <c r="G1780" i="97" s="1"/>
  <c r="R21" i="30"/>
  <c r="R27"/>
  <c r="R37" i="34"/>
  <c r="M7" i="5"/>
  <c r="M11" i="6"/>
  <c r="J20"/>
  <c r="G226" i="97" s="1"/>
  <c r="M27" i="6"/>
  <c r="M18" i="7"/>
  <c r="M25"/>
  <c r="J26"/>
  <c r="G364" i="97" s="1"/>
  <c r="M31" i="7"/>
  <c r="L23" i="15"/>
  <c r="J24"/>
  <c r="G1154" i="97" s="1"/>
  <c r="R31" i="34"/>
  <c r="M11" i="4"/>
  <c r="M26" i="6"/>
  <c r="M37"/>
  <c r="M24" i="7"/>
  <c r="K7" i="13"/>
  <c r="K11"/>
  <c r="K21"/>
  <c r="L11" i="15"/>
  <c r="L20"/>
  <c r="I9" i="19"/>
  <c r="G1495" i="97" s="1"/>
  <c r="L8" i="19"/>
  <c r="L48"/>
  <c r="R14" i="30"/>
  <c r="R37"/>
  <c r="R19" i="34"/>
  <c r="R24"/>
  <c r="R25"/>
  <c r="J28"/>
  <c r="G2384" i="97" s="1"/>
  <c r="M10" i="6"/>
  <c r="P17" i="29"/>
  <c r="R32" i="34"/>
  <c r="M7" i="6"/>
  <c r="G27" i="12"/>
  <c r="G782" i="97" s="1"/>
  <c r="J13" i="15"/>
  <c r="G1147" i="97" s="1"/>
  <c r="L19" i="15"/>
  <c r="K5" i="16"/>
  <c r="K8"/>
  <c r="H44" i="19"/>
  <c r="G1484" i="97" s="1"/>
  <c r="J8" i="26"/>
  <c r="P7" i="29"/>
  <c r="P10"/>
  <c r="P14"/>
  <c r="P22"/>
  <c r="P31"/>
  <c r="R8" i="30"/>
  <c r="R11"/>
  <c r="R31"/>
  <c r="M17" i="4"/>
  <c r="B27" i="5"/>
  <c r="M17" i="6"/>
  <c r="J29"/>
  <c r="G233" i="97" s="1"/>
  <c r="M35" i="6"/>
  <c r="M10" i="7"/>
  <c r="M17"/>
  <c r="M7" i="4"/>
  <c r="M13"/>
  <c r="M14"/>
  <c r="M19" i="6"/>
  <c r="M25"/>
  <c r="M9" i="7"/>
  <c r="M22"/>
  <c r="M23"/>
  <c r="M20" i="8"/>
  <c r="M21"/>
  <c r="P11" i="29"/>
  <c r="R10" i="30"/>
  <c r="R23"/>
  <c r="O15"/>
  <c r="G2072" i="97" s="1"/>
  <c r="R36" i="30"/>
  <c r="O11" i="31"/>
  <c r="G2195" i="97" s="1"/>
  <c r="R17" i="34"/>
  <c r="M28" i="6"/>
  <c r="M34"/>
  <c r="M38"/>
  <c r="J43"/>
  <c r="G244" i="97" s="1"/>
  <c r="M48" i="6"/>
  <c r="L14" i="12"/>
  <c r="G892" i="97" s="1"/>
  <c r="K9" i="13"/>
  <c r="K16"/>
  <c r="N18" i="14"/>
  <c r="G1059" i="97" s="1"/>
  <c r="L8" i="15"/>
  <c r="L12"/>
  <c r="J9" i="26"/>
  <c r="I33" i="29"/>
  <c r="G1724" i="97" s="1"/>
  <c r="P24" i="29"/>
  <c r="H33" i="30"/>
  <c r="G1888" i="97" s="1"/>
  <c r="L33" i="30"/>
  <c r="G2000" i="97" s="1"/>
  <c r="R17" i="30"/>
  <c r="O28"/>
  <c r="G2082" i="97" s="1"/>
  <c r="O19" i="31"/>
  <c r="G2201" i="97" s="1"/>
  <c r="R8" i="34"/>
  <c r="R27"/>
  <c r="R33"/>
  <c r="B66" i="6"/>
  <c r="H33" i="18"/>
  <c r="G1414" i="97" s="1"/>
  <c r="J15" i="7"/>
  <c r="G356" i="97" s="1"/>
  <c r="N12" i="14"/>
  <c r="G1055" i="97" s="1"/>
  <c r="H30" i="17"/>
  <c r="G1290" i="97" s="1"/>
  <c r="P13" i="19"/>
  <c r="M6" i="4"/>
  <c r="K13" i="6"/>
  <c r="G255" i="97" s="1"/>
  <c r="M8" i="4"/>
  <c r="J9"/>
  <c r="G65" i="97" s="1"/>
  <c r="M12" i="4"/>
  <c r="M9" i="6"/>
  <c r="M18"/>
  <c r="J7" i="7"/>
  <c r="K7" s="1"/>
  <c r="M8"/>
  <c r="M32"/>
  <c r="N19" i="14"/>
  <c r="G1060" i="97" s="1"/>
  <c r="L22" i="15"/>
  <c r="L49"/>
  <c r="G11" i="16"/>
  <c r="G1188" i="97" s="1"/>
  <c r="N7" i="16"/>
  <c r="Q12" i="32"/>
  <c r="M12" s="1"/>
  <c r="Y19" i="31"/>
  <c r="V11"/>
  <c r="Y10"/>
  <c r="R10" s="1"/>
  <c r="Y9"/>
  <c r="Q14" i="32"/>
  <c r="M14" s="1"/>
  <c r="Q7"/>
  <c r="V8" i="31"/>
  <c r="Y7"/>
  <c r="Q13" i="32"/>
  <c r="M13" s="1"/>
  <c r="V9" i="31"/>
  <c r="Q17" i="32"/>
  <c r="M17" s="1"/>
  <c r="V7" i="31"/>
  <c r="R20" i="27"/>
  <c r="N20" s="1"/>
  <c r="R11"/>
  <c r="N11" s="1"/>
  <c r="Y8" i="31"/>
  <c r="N16" i="26"/>
  <c r="J16" s="1"/>
  <c r="R12" i="27"/>
  <c r="N12" s="1"/>
  <c r="R10"/>
  <c r="Y11" i="31"/>
  <c r="N15" i="26"/>
  <c r="C36" i="2" s="1"/>
  <c r="V19" i="31"/>
  <c r="Q11" i="32"/>
  <c r="M11" s="1"/>
  <c r="R23" i="27"/>
  <c r="N23" s="1"/>
  <c r="O14" i="19"/>
  <c r="O13"/>
  <c r="O12"/>
  <c r="O9" i="16"/>
  <c r="O10"/>
  <c r="N9"/>
  <c r="O6"/>
  <c r="Q18" i="14"/>
  <c r="Q15"/>
  <c r="Q8"/>
  <c r="N10" i="16"/>
  <c r="O7"/>
  <c r="N6"/>
  <c r="Q16" i="14"/>
  <c r="Q9"/>
  <c r="M8" i="5"/>
  <c r="M23" i="6"/>
  <c r="M36"/>
  <c r="B51" i="7"/>
  <c r="M14"/>
  <c r="P12" i="19"/>
  <c r="P14"/>
  <c r="G27" i="33"/>
  <c r="G17" i="12"/>
  <c r="G774" i="97" s="1"/>
  <c r="M28" i="29"/>
  <c r="G1834" i="97" s="1"/>
  <c r="B65" i="29"/>
  <c r="L33"/>
  <c r="G1808" i="97" s="1"/>
  <c r="H33" i="29"/>
  <c r="G1696" i="97" s="1"/>
  <c r="P21" i="29"/>
  <c r="P36"/>
  <c r="P8"/>
  <c r="G33"/>
  <c r="G1668" i="97" s="1"/>
  <c r="R7" i="30"/>
  <c r="R9"/>
  <c r="M15" i="29"/>
  <c r="G1824" i="97" s="1"/>
  <c r="O26" i="30"/>
  <c r="G2080" i="97" s="1"/>
  <c r="M26" i="29"/>
  <c r="G1832" i="97" s="1"/>
  <c r="P27" i="29"/>
  <c r="B68" i="30"/>
  <c r="R20" i="34"/>
  <c r="R22" i="30"/>
  <c r="B46" i="31"/>
  <c r="X39" i="19" l="1"/>
  <c r="AF44" i="34"/>
  <c r="K33" i="30"/>
  <c r="G1972" i="97" s="1"/>
  <c r="G19" i="22"/>
  <c r="E19"/>
  <c r="H19"/>
  <c r="F19"/>
  <c r="D19"/>
  <c r="AN7" i="11"/>
  <c r="AG7" s="1"/>
  <c r="R7" s="1"/>
  <c r="J15" i="31"/>
  <c r="G2133" i="97" s="1"/>
  <c r="G17" i="13"/>
  <c r="G910" i="97" s="1"/>
  <c r="N21" i="31"/>
  <c r="G2190" i="97" s="1"/>
  <c r="H39" i="30"/>
  <c r="G1891" i="97" s="1"/>
  <c r="J39" i="30"/>
  <c r="G1947" i="97" s="1"/>
  <c r="G39" i="30"/>
  <c r="G1863" i="97" s="1"/>
  <c r="R17" i="76"/>
  <c r="D58" i="2"/>
  <c r="L39" i="30"/>
  <c r="G2003" i="97" s="1"/>
  <c r="I39" i="30"/>
  <c r="G1919" i="97" s="1"/>
  <c r="D57" i="2"/>
  <c r="Q18" i="75"/>
  <c r="J50" i="29"/>
  <c r="G1759" i="97" s="1"/>
  <c r="G48" i="29"/>
  <c r="G1673" i="97" s="1"/>
  <c r="I39" i="29"/>
  <c r="G1727" i="97" s="1"/>
  <c r="J33" i="29"/>
  <c r="L39"/>
  <c r="G1811" i="97" s="1"/>
  <c r="G39" i="29"/>
  <c r="G1671" i="97" s="1"/>
  <c r="H39" i="29"/>
  <c r="G1699" i="97" s="1"/>
  <c r="K39" i="29"/>
  <c r="G1783" i="97" s="1"/>
  <c r="M18" i="29"/>
  <c r="G1826" i="97" s="1"/>
  <c r="H46" i="19"/>
  <c r="G1486" i="97" s="1"/>
  <c r="G33" i="18"/>
  <c r="G1389" i="97" s="1"/>
  <c r="G12" i="96"/>
  <c r="G14"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s="1"/>
  <c r="L17" s="1"/>
  <c r="W14"/>
  <c r="T14" s="1"/>
  <c r="L14" s="1"/>
  <c r="W12"/>
  <c r="T12" s="1"/>
  <c r="W13"/>
  <c r="T13" s="1"/>
  <c r="L13" s="1"/>
  <c r="K9" i="4"/>
  <c r="G83" i="97" s="1"/>
  <c r="AN8" i="11"/>
  <c r="H28" i="7"/>
  <c r="G321" i="97" s="1"/>
  <c r="AN11" i="11"/>
  <c r="AG11" s="1"/>
  <c r="R11" s="1"/>
  <c r="I28" i="7"/>
  <c r="G343" i="97" s="1"/>
  <c r="G28" i="7"/>
  <c r="G299" i="97" s="1"/>
  <c r="AE44" i="34"/>
  <c r="H12" i="11"/>
  <c r="G696" i="97" s="1"/>
  <c r="I30" i="17"/>
  <c r="G1313" i="97" s="1"/>
  <c r="I33" i="18"/>
  <c r="G1440" i="97" s="1"/>
  <c r="I23" i="19"/>
  <c r="G1504" i="97" s="1"/>
  <c r="G10" i="21"/>
  <c r="AJ10"/>
  <c r="G11"/>
  <c r="AJ11"/>
  <c r="H16"/>
  <c r="AJ16"/>
  <c r="E13"/>
  <c r="AJ13"/>
  <c r="H15"/>
  <c r="AJ15"/>
  <c r="G14"/>
  <c r="AJ14"/>
  <c r="H19"/>
  <c r="AJ19"/>
  <c r="G17"/>
  <c r="AJ17"/>
  <c r="E12"/>
  <c r="AJ12"/>
  <c r="G18"/>
  <c r="AJ18"/>
  <c r="H20"/>
  <c r="AJ20"/>
  <c r="E5"/>
  <c r="AJ5"/>
  <c r="G7"/>
  <c r="AJ7"/>
  <c r="G6"/>
  <c r="AJ6"/>
  <c r="H8"/>
  <c r="AJ8"/>
  <c r="E9"/>
  <c r="AJ9"/>
  <c r="D9"/>
  <c r="H17"/>
  <c r="D6"/>
  <c r="E17"/>
  <c r="G9"/>
  <c r="F16"/>
  <c r="F6"/>
  <c r="F8"/>
  <c r="D8"/>
  <c r="G5"/>
  <c r="D20"/>
  <c r="F9"/>
  <c r="D10"/>
  <c r="F17"/>
  <c r="D17"/>
  <c r="F10"/>
  <c r="E8"/>
  <c r="F13"/>
  <c r="D13"/>
  <c r="F19"/>
  <c r="E20"/>
  <c r="G13"/>
  <c r="E14"/>
  <c r="F20"/>
  <c r="F11"/>
  <c r="E11"/>
  <c r="F5"/>
  <c r="E19"/>
  <c r="D7"/>
  <c r="D18"/>
  <c r="D16"/>
  <c r="E16"/>
  <c r="H5"/>
  <c r="H9"/>
  <c r="D5"/>
  <c r="D14"/>
  <c r="E7"/>
  <c r="E15"/>
  <c r="F7"/>
  <c r="F18"/>
  <c r="D15"/>
  <c r="D11"/>
  <c r="G8"/>
  <c r="G16"/>
  <c r="C21"/>
  <c r="F15"/>
  <c r="E6"/>
  <c r="G15"/>
  <c r="G20"/>
  <c r="H6"/>
  <c r="H11"/>
  <c r="D12"/>
  <c r="D19"/>
  <c r="F12"/>
  <c r="F14"/>
  <c r="H13"/>
  <c r="E18"/>
  <c r="G19"/>
  <c r="E10"/>
  <c r="H12"/>
  <c r="H10"/>
  <c r="G12"/>
  <c r="H7"/>
  <c r="H18"/>
  <c r="H14"/>
  <c r="C41" i="2"/>
  <c r="C24"/>
  <c r="C37"/>
  <c r="C20"/>
  <c r="W12" i="21"/>
  <c r="W8"/>
  <c r="W16"/>
  <c r="W10"/>
  <c r="W20"/>
  <c r="W11"/>
  <c r="W7"/>
  <c r="W9"/>
  <c r="W14"/>
  <c r="W5"/>
  <c r="W15"/>
  <c r="W6"/>
  <c r="W17"/>
  <c r="W18"/>
  <c r="W13"/>
  <c r="W19"/>
  <c r="AB29" i="18"/>
  <c r="Q29"/>
  <c r="P29"/>
  <c r="O29"/>
  <c r="Q30"/>
  <c r="P30"/>
  <c r="AB30"/>
  <c r="O30"/>
  <c r="AT6" i="11"/>
  <c r="AI6" s="1"/>
  <c r="R6" s="1"/>
  <c r="J44" i="15"/>
  <c r="G1164" i="97" s="1"/>
  <c r="AB26" i="17"/>
  <c r="Q26"/>
  <c r="P26"/>
  <c r="O26"/>
  <c r="AB27"/>
  <c r="Q27"/>
  <c r="P27"/>
  <c r="O27"/>
  <c r="J15" i="26"/>
  <c r="C42" i="2"/>
  <c r="C21"/>
  <c r="C19"/>
  <c r="L45" i="15"/>
  <c r="Q34" i="75"/>
  <c r="M52" i="30"/>
  <c r="G2035" i="97" s="1"/>
  <c r="M50" i="30"/>
  <c r="G2033" i="97" s="1"/>
  <c r="N33" i="30"/>
  <c r="G2056" i="97" s="1"/>
  <c r="N52" i="30"/>
  <c r="G2063" i="97" s="1"/>
  <c r="N50" i="30"/>
  <c r="G2061" i="97" s="1"/>
  <c r="AA52" i="66"/>
  <c r="O18" i="30"/>
  <c r="G2074" i="97" s="1"/>
  <c r="W45" i="65"/>
  <c r="AA30" i="12"/>
  <c r="AG31" i="30"/>
  <c r="AD31" s="1"/>
  <c r="D40" i="2" s="1"/>
  <c r="K45" i="19"/>
  <c r="Z30" i="12"/>
  <c r="AC31" i="29"/>
  <c r="Z31" s="1"/>
  <c r="D39" i="2" s="1"/>
  <c r="M33" i="30"/>
  <c r="G2028" i="97" s="1"/>
  <c r="G44" i="19"/>
  <c r="G1459" i="97" s="1"/>
  <c r="AN9" i="11"/>
  <c r="AG9" s="1"/>
  <c r="R9" s="1"/>
  <c r="B44" i="14"/>
  <c r="V5" i="21"/>
  <c r="K33" i="18"/>
  <c r="G11" i="13"/>
  <c r="I11" s="1"/>
  <c r="G930" i="97" s="1"/>
  <c r="G7" i="13"/>
  <c r="G8"/>
  <c r="B51" i="31"/>
  <c r="G6" i="13"/>
  <c r="G9"/>
  <c r="G908" i="97" s="1"/>
  <c r="B27" i="16"/>
  <c r="G32" i="12"/>
  <c r="G784" i="97" s="1"/>
  <c r="L12" i="32"/>
  <c r="V6" i="21"/>
  <c r="I8" i="11"/>
  <c r="G700" i="97" s="1"/>
  <c r="G6" i="32"/>
  <c r="G2212" i="97" s="1"/>
  <c r="O15" i="31"/>
  <c r="G2198" i="97" s="1"/>
  <c r="J32" i="12"/>
  <c r="G856" i="97" s="1"/>
  <c r="M8" i="11"/>
  <c r="G729" i="97" s="1"/>
  <c r="H6" i="32"/>
  <c r="G2223" i="97" s="1"/>
  <c r="O14" i="31"/>
  <c r="G2197" i="97" s="1"/>
  <c r="L34" i="17"/>
  <c r="B66" i="15"/>
  <c r="B26" i="5"/>
  <c r="J45" i="6"/>
  <c r="G245" i="97" s="1"/>
  <c r="Z5" i="21"/>
  <c r="Q18" i="22"/>
  <c r="P18"/>
  <c r="B20"/>
  <c r="C20" s="1"/>
  <c r="M17"/>
  <c r="B22" i="21"/>
  <c r="AI22" s="1"/>
  <c r="AB5"/>
  <c r="AD5"/>
  <c r="AD6"/>
  <c r="Z6"/>
  <c r="AB6"/>
  <c r="V7"/>
  <c r="K30" i="17"/>
  <c r="J44" i="34"/>
  <c r="G2391" i="97" s="1"/>
  <c r="O12" i="31"/>
  <c r="G2196" i="97" s="1"/>
  <c r="S7" i="11"/>
  <c r="S16"/>
  <c r="Q7" i="14"/>
  <c r="M7" i="32"/>
  <c r="X5" i="21"/>
  <c r="S15" i="11"/>
  <c r="K9" i="16"/>
  <c r="B49" i="31"/>
  <c r="R9"/>
  <c r="J31" i="6"/>
  <c r="G234" i="97" s="1"/>
  <c r="B48" i="31"/>
  <c r="L12" i="19"/>
  <c r="R11" i="31"/>
  <c r="X6" i="21"/>
  <c r="R8" i="31"/>
  <c r="S11" i="11"/>
  <c r="P20" i="17"/>
  <c r="O20"/>
  <c r="Q20"/>
  <c r="P16"/>
  <c r="O16"/>
  <c r="Q16"/>
  <c r="B52" i="7"/>
  <c r="Q11" i="18"/>
  <c r="P11"/>
  <c r="O11"/>
  <c r="Q19"/>
  <c r="P19"/>
  <c r="O19"/>
  <c r="Q23"/>
  <c r="P23"/>
  <c r="O23"/>
  <c r="P25" i="17"/>
  <c r="O25"/>
  <c r="Q25"/>
  <c r="J15" i="4"/>
  <c r="G70" i="97" s="1"/>
  <c r="P23" i="17"/>
  <c r="O23"/>
  <c r="Q23"/>
  <c r="P15"/>
  <c r="O15"/>
  <c r="Q15"/>
  <c r="K10" i="16"/>
  <c r="Q16" i="18"/>
  <c r="P16"/>
  <c r="O16"/>
  <c r="Q28"/>
  <c r="P28"/>
  <c r="O28"/>
  <c r="K15" i="7"/>
  <c r="G378" i="97" s="1"/>
  <c r="J19" i="7"/>
  <c r="G359" i="97" s="1"/>
  <c r="B50" i="31"/>
  <c r="B66" i="29"/>
  <c r="P22" i="17"/>
  <c r="O22"/>
  <c r="Q22"/>
  <c r="P18"/>
  <c r="O18"/>
  <c r="Q18"/>
  <c r="P14"/>
  <c r="O14"/>
  <c r="Q14"/>
  <c r="P10"/>
  <c r="O10"/>
  <c r="Q10"/>
  <c r="B43" i="14"/>
  <c r="B50" i="4"/>
  <c r="Q9" i="18"/>
  <c r="P9"/>
  <c r="O9"/>
  <c r="Q13"/>
  <c r="P13"/>
  <c r="O13"/>
  <c r="Q17"/>
  <c r="P17"/>
  <c r="O17"/>
  <c r="Q21"/>
  <c r="P21"/>
  <c r="O21"/>
  <c r="Q25"/>
  <c r="P25"/>
  <c r="O25"/>
  <c r="S6" i="11"/>
  <c r="L13" i="19"/>
  <c r="N21" i="14"/>
  <c r="G1061" i="97" s="1"/>
  <c r="B69" i="30"/>
  <c r="P24" i="17"/>
  <c r="O24"/>
  <c r="Q24"/>
  <c r="P12"/>
  <c r="O12"/>
  <c r="Q12"/>
  <c r="Q15" i="18"/>
  <c r="P15"/>
  <c r="O15"/>
  <c r="Q27"/>
  <c r="P27"/>
  <c r="O27"/>
  <c r="L43" i="15"/>
  <c r="P19" i="17"/>
  <c r="O19"/>
  <c r="Q19"/>
  <c r="P11"/>
  <c r="O11"/>
  <c r="Q11"/>
  <c r="B28" i="16"/>
  <c r="Q12" i="18"/>
  <c r="P12"/>
  <c r="O12"/>
  <c r="Q20"/>
  <c r="P20"/>
  <c r="O20"/>
  <c r="Q24"/>
  <c r="P24"/>
  <c r="O24"/>
  <c r="K7" i="16"/>
  <c r="B35" i="32"/>
  <c r="P21" i="17"/>
  <c r="O21"/>
  <c r="Q21"/>
  <c r="P17"/>
  <c r="O17"/>
  <c r="Q17"/>
  <c r="P13"/>
  <c r="O13"/>
  <c r="Q13"/>
  <c r="P9"/>
  <c r="O9"/>
  <c r="Q9"/>
  <c r="K6" i="16"/>
  <c r="Q10" i="18"/>
  <c r="P10"/>
  <c r="O10"/>
  <c r="Q14"/>
  <c r="P14"/>
  <c r="O14"/>
  <c r="Q18"/>
  <c r="P18"/>
  <c r="O18"/>
  <c r="Q22"/>
  <c r="P22"/>
  <c r="O22"/>
  <c r="Q26"/>
  <c r="P26"/>
  <c r="O26"/>
  <c r="L14" i="19"/>
  <c r="R19" i="31"/>
  <c r="N10" i="27"/>
  <c r="R7" i="31"/>
  <c r="B67" i="6"/>
  <c r="K39" i="30" l="1"/>
  <c r="G1975" i="97" s="1"/>
  <c r="M33" i="29"/>
  <c r="G1836" i="97" s="1"/>
  <c r="G1752"/>
  <c r="G20" i="22"/>
  <c r="F20"/>
  <c r="E20"/>
  <c r="D20"/>
  <c r="H20"/>
  <c r="S5" i="21"/>
  <c r="P27" i="14"/>
  <c r="AE12" i="31"/>
  <c r="AE15"/>
  <c r="J21"/>
  <c r="G2138" i="97" s="1"/>
  <c r="N39" i="30"/>
  <c r="G2059" i="97" s="1"/>
  <c r="J39" i="12"/>
  <c r="G859" i="97" s="1"/>
  <c r="M39" i="30"/>
  <c r="G2031" i="97" s="1"/>
  <c r="J39" i="29"/>
  <c r="G1755" i="97" s="1"/>
  <c r="H53" i="19"/>
  <c r="G1491" i="97" s="1"/>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c r="C22"/>
  <c r="AJ22" s="1"/>
  <c r="E21"/>
  <c r="H21"/>
  <c r="D21"/>
  <c r="F21"/>
  <c r="G21"/>
  <c r="L30" i="18"/>
  <c r="L26" i="17"/>
  <c r="L29" i="18"/>
  <c r="W30" i="12"/>
  <c r="D17" i="2" s="1"/>
  <c r="J44" i="19"/>
  <c r="G1522" i="97" s="1"/>
  <c r="I39" i="19"/>
  <c r="G1513" i="97" s="1"/>
  <c r="L27" i="17"/>
  <c r="C23" i="2"/>
  <c r="C22"/>
  <c r="J6" i="32"/>
  <c r="G2245" i="97" s="1"/>
  <c r="L32" i="12"/>
  <c r="G904" i="97" s="1"/>
  <c r="O39" i="30"/>
  <c r="G2087" i="97" s="1"/>
  <c r="Q31" i="30"/>
  <c r="O33"/>
  <c r="G2084" i="97" s="1"/>
  <c r="O31" i="29"/>
  <c r="B67" i="15"/>
  <c r="W29" i="19"/>
  <c r="S29" s="1"/>
  <c r="H9" i="32"/>
  <c r="G2225" i="97" s="1"/>
  <c r="G12" i="13"/>
  <c r="AF12" i="31" s="1"/>
  <c r="B45" i="14"/>
  <c r="I6" i="13"/>
  <c r="G925" i="97" s="1"/>
  <c r="Q7" i="31"/>
  <c r="Q19"/>
  <c r="I17" i="13"/>
  <c r="G935" i="97" s="1"/>
  <c r="I9" i="13"/>
  <c r="G928" i="97" s="1"/>
  <c r="Q10" i="31"/>
  <c r="I7" i="13"/>
  <c r="G926" i="97" s="1"/>
  <c r="Q8" i="31"/>
  <c r="Q11"/>
  <c r="Q9"/>
  <c r="I8" i="13"/>
  <c r="G927" i="97" s="1"/>
  <c r="G13" i="13"/>
  <c r="B52" i="31"/>
  <c r="B71" i="30"/>
  <c r="K8" i="11"/>
  <c r="G714" i="97" s="1"/>
  <c r="H7" i="27"/>
  <c r="G1586" i="97" s="1"/>
  <c r="N8" i="11"/>
  <c r="G736" i="97" s="1"/>
  <c r="L9" i="17"/>
  <c r="O21" i="31"/>
  <c r="G2203" i="97" s="1"/>
  <c r="M18" i="22"/>
  <c r="Q19"/>
  <c r="P19"/>
  <c r="B21"/>
  <c r="C21" s="1"/>
  <c r="B23" i="21"/>
  <c r="AI23" s="1"/>
  <c r="AB7"/>
  <c r="AD7"/>
  <c r="Z7"/>
  <c r="X7"/>
  <c r="S6"/>
  <c r="L15" i="17"/>
  <c r="L18" i="18"/>
  <c r="L17" i="17"/>
  <c r="L21" i="18"/>
  <c r="L20"/>
  <c r="L22"/>
  <c r="L25"/>
  <c r="L15"/>
  <c r="L23"/>
  <c r="L12"/>
  <c r="L27"/>
  <c r="L22" i="17"/>
  <c r="L16" i="18"/>
  <c r="B70" i="30"/>
  <c r="B51" i="4"/>
  <c r="B29" i="16"/>
  <c r="L19" i="17"/>
  <c r="L24"/>
  <c r="L9" i="18"/>
  <c r="G36" i="7"/>
  <c r="G304" i="97" s="1"/>
  <c r="K19" i="7"/>
  <c r="G381" i="97" s="1"/>
  <c r="L25" i="17"/>
  <c r="B53" i="7"/>
  <c r="L26" i="18"/>
  <c r="L10"/>
  <c r="L24"/>
  <c r="L11" i="17"/>
  <c r="L12"/>
  <c r="L13" i="18"/>
  <c r="B46" i="14"/>
  <c r="L14" i="17"/>
  <c r="B67" i="29"/>
  <c r="L28" i="18"/>
  <c r="L11"/>
  <c r="L20" i="17"/>
  <c r="B36" i="32"/>
  <c r="L13" i="17"/>
  <c r="L18"/>
  <c r="B68" i="6"/>
  <c r="L14" i="18"/>
  <c r="L21" i="17"/>
  <c r="L17" i="18"/>
  <c r="L10" i="17"/>
  <c r="J28" i="7"/>
  <c r="G365" i="97" s="1"/>
  <c r="H36" i="7"/>
  <c r="G326" i="97" s="1"/>
  <c r="L23" i="17"/>
  <c r="J18" i="4"/>
  <c r="G72" i="97" s="1"/>
  <c r="L19" i="18"/>
  <c r="G39" i="12"/>
  <c r="G787" i="97" s="1"/>
  <c r="L16" i="17"/>
  <c r="F21" i="22" l="1"/>
  <c r="D21"/>
  <c r="G21"/>
  <c r="E21"/>
  <c r="H21"/>
  <c r="R44" i="34"/>
  <c r="AE21" i="31"/>
  <c r="I19" i="27"/>
  <c r="G1600" i="97" s="1"/>
  <c r="AH52" i="64"/>
  <c r="AE52" s="1"/>
  <c r="D46" i="2" s="1"/>
  <c r="M39" i="29"/>
  <c r="G1839" i="97" s="1"/>
  <c r="I12" i="96"/>
  <c r="H14"/>
  <c r="G1553" i="97" s="1"/>
  <c r="L39" i="12"/>
  <c r="G907" i="97" s="1"/>
  <c r="J11" i="8"/>
  <c r="G416" i="97" s="1"/>
  <c r="G41" i="33"/>
  <c r="G2282" i="97" s="1"/>
  <c r="G40" i="33"/>
  <c r="G2281" i="97" s="1"/>
  <c r="G42" i="33"/>
  <c r="G2283" i="97" s="1"/>
  <c r="J36" i="7"/>
  <c r="G370" i="97" s="1"/>
  <c r="K18" i="4"/>
  <c r="G90" i="97" s="1"/>
  <c r="G18" i="33"/>
  <c r="G2266" i="97" s="1"/>
  <c r="H19" i="27"/>
  <c r="G1592" i="97" s="1"/>
  <c r="H15" i="32"/>
  <c r="G2230" i="97" s="1"/>
  <c r="K12" i="11"/>
  <c r="G718" i="97" s="1"/>
  <c r="N12" i="11"/>
  <c r="G740" i="97" s="1"/>
  <c r="G15" i="32"/>
  <c r="G2219" i="97" s="1"/>
  <c r="J46" i="19"/>
  <c r="G1524" i="97" s="1"/>
  <c r="G53" i="19"/>
  <c r="G1466" i="97" s="1"/>
  <c r="W39" i="19"/>
  <c r="S39" s="1"/>
  <c r="D24" i="2" s="1"/>
  <c r="C23" i="21"/>
  <c r="AJ23" s="1"/>
  <c r="G22"/>
  <c r="F22"/>
  <c r="D22"/>
  <c r="H22"/>
  <c r="E22"/>
  <c r="W22"/>
  <c r="N30" i="12"/>
  <c r="J9" i="32"/>
  <c r="G2248" i="97" s="1"/>
  <c r="R52" i="64"/>
  <c r="B68" i="15"/>
  <c r="B69"/>
  <c r="G14" i="13"/>
  <c r="I12"/>
  <c r="G931" i="97" s="1"/>
  <c r="Q14" i="31"/>
  <c r="I13" i="13"/>
  <c r="G932" i="97" s="1"/>
  <c r="B53" i="31"/>
  <c r="AC12"/>
  <c r="G7" i="27"/>
  <c r="G1577" i="97" s="1"/>
  <c r="B69" i="29"/>
  <c r="B72" i="30"/>
  <c r="S8" i="11"/>
  <c r="M19" i="22"/>
  <c r="P20"/>
  <c r="Q20"/>
  <c r="B22"/>
  <c r="C22" s="1"/>
  <c r="B24" i="21"/>
  <c r="AI24" s="1"/>
  <c r="S7"/>
  <c r="Z8"/>
  <c r="AB8"/>
  <c r="AD8"/>
  <c r="K29" i="19"/>
  <c r="X8" i="21"/>
  <c r="V8"/>
  <c r="B47" i="14"/>
  <c r="B69" i="6"/>
  <c r="B54" i="7"/>
  <c r="B52" i="4"/>
  <c r="B37" i="32"/>
  <c r="B68" i="29"/>
  <c r="K36" i="7"/>
  <c r="G392" i="97" s="1"/>
  <c r="K28" i="7"/>
  <c r="G387" i="97" s="1"/>
  <c r="H6" i="5"/>
  <c r="J22" i="4"/>
  <c r="G75" i="97" s="1"/>
  <c r="B31" i="16"/>
  <c r="B30"/>
  <c r="B73" i="30"/>
  <c r="G6" i="5"/>
  <c r="D22" i="22" l="1"/>
  <c r="F22"/>
  <c r="G22"/>
  <c r="E22"/>
  <c r="H22"/>
  <c r="G23" i="33"/>
  <c r="G2271" i="97" s="1"/>
  <c r="G19" i="13"/>
  <c r="AF15" i="31"/>
  <c r="AC15" s="1"/>
  <c r="AD52" i="63"/>
  <c r="AA52" s="1"/>
  <c r="I14" i="96"/>
  <c r="G1559" i="97" s="1"/>
  <c r="J15" i="32"/>
  <c r="G2253" i="97" s="1"/>
  <c r="S42" i="33"/>
  <c r="Q42" s="1"/>
  <c r="J13" i="8"/>
  <c r="G417" i="97" s="1"/>
  <c r="G8" i="33"/>
  <c r="G2256" i="97" s="1"/>
  <c r="G7" i="33"/>
  <c r="G21" s="1"/>
  <c r="G2269" i="97" s="1"/>
  <c r="K22" i="4"/>
  <c r="G93" i="97" s="1"/>
  <c r="G19" i="27"/>
  <c r="G1583" i="97" s="1"/>
  <c r="G18" i="32"/>
  <c r="G2221" i="97" s="1"/>
  <c r="K18" i="11"/>
  <c r="G721" i="97" s="1"/>
  <c r="N18" i="11"/>
  <c r="G743" i="97" s="1"/>
  <c r="H18" i="32"/>
  <c r="G2232" i="97" s="1"/>
  <c r="J53" i="19"/>
  <c r="G1529" i="97" s="1"/>
  <c r="G24" i="33"/>
  <c r="G2272" i="97" s="1"/>
  <c r="C24" i="21"/>
  <c r="AJ24" s="1"/>
  <c r="G23"/>
  <c r="F23"/>
  <c r="D23"/>
  <c r="E23"/>
  <c r="H23"/>
  <c r="W23"/>
  <c r="K39" i="19"/>
  <c r="B70" i="15"/>
  <c r="I14" i="13"/>
  <c r="G933" i="97" s="1"/>
  <c r="Q12" i="31"/>
  <c r="B49" i="14"/>
  <c r="B55" i="31"/>
  <c r="G8" i="11"/>
  <c r="G684" i="97" s="1"/>
  <c r="B70" i="29"/>
  <c r="Q21" i="22"/>
  <c r="P21"/>
  <c r="M20"/>
  <c r="B23"/>
  <c r="C23" s="1"/>
  <c r="B25" i="21"/>
  <c r="AI25" s="1"/>
  <c r="Z9"/>
  <c r="AB9"/>
  <c r="AD9"/>
  <c r="V9"/>
  <c r="X9"/>
  <c r="S8"/>
  <c r="B70" i="6"/>
  <c r="B48" i="14"/>
  <c r="B38" i="32"/>
  <c r="B55" i="7"/>
  <c r="B74" i="30"/>
  <c r="J6" i="5"/>
  <c r="K6" s="1"/>
  <c r="H9"/>
  <c r="G103" i="97" s="1"/>
  <c r="B53" i="4"/>
  <c r="G9" i="5"/>
  <c r="G100" i="97" s="1"/>
  <c r="B71" i="29"/>
  <c r="G23" i="22" l="1"/>
  <c r="D23"/>
  <c r="F23"/>
  <c r="E23"/>
  <c r="H23"/>
  <c r="AF21" i="31"/>
  <c r="AC21" s="1"/>
  <c r="Q21" s="1"/>
  <c r="G13" i="33"/>
  <c r="G2261" i="97" s="1"/>
  <c r="D45" i="2"/>
  <c r="P52" i="63"/>
  <c r="I19" i="13"/>
  <c r="G936" i="97" s="1"/>
  <c r="J18" i="32"/>
  <c r="G2255" i="97" s="1"/>
  <c r="G9" i="33"/>
  <c r="D43" i="2"/>
  <c r="J42" i="33"/>
  <c r="J9" i="5"/>
  <c r="G109" i="97" s="1"/>
  <c r="P8" i="11"/>
  <c r="G755" i="97" s="1"/>
  <c r="H24" i="21"/>
  <c r="F24"/>
  <c r="D24"/>
  <c r="G24"/>
  <c r="E24"/>
  <c r="C25"/>
  <c r="AJ25" s="1"/>
  <c r="W24"/>
  <c r="G12" i="11"/>
  <c r="G687" i="97" s="1"/>
  <c r="B71" i="15"/>
  <c r="Q15" i="31"/>
  <c r="B57"/>
  <c r="M21" i="22"/>
  <c r="Q22"/>
  <c r="P22"/>
  <c r="B24"/>
  <c r="C24" s="1"/>
  <c r="B26" i="21"/>
  <c r="AI26" s="1"/>
  <c r="AD10"/>
  <c r="Z10"/>
  <c r="AB10"/>
  <c r="V10"/>
  <c r="X10"/>
  <c r="S9"/>
  <c r="B54" i="4"/>
  <c r="B75" i="30"/>
  <c r="B71" i="6"/>
  <c r="B39" i="32"/>
  <c r="B50" i="14"/>
  <c r="B72" i="29"/>
  <c r="B56" i="7"/>
  <c r="G24" i="22" l="1"/>
  <c r="F24"/>
  <c r="E24"/>
  <c r="H24"/>
  <c r="D24"/>
  <c r="D41" i="2"/>
  <c r="K9" i="5"/>
  <c r="G112" i="97" s="1"/>
  <c r="P12" i="11"/>
  <c r="G759" i="97" s="1"/>
  <c r="E25" i="21"/>
  <c r="F25"/>
  <c r="D25"/>
  <c r="G25"/>
  <c r="H25"/>
  <c r="C26"/>
  <c r="AJ26" s="1"/>
  <c r="W25"/>
  <c r="G18" i="11"/>
  <c r="G690" i="97" s="1"/>
  <c r="B72" i="15"/>
  <c r="G28" i="33"/>
  <c r="G2273" i="97" s="1"/>
  <c r="AM8" i="11"/>
  <c r="AG8" s="1"/>
  <c r="D16" i="2" s="1"/>
  <c r="B61" i="31"/>
  <c r="M22" i="22"/>
  <c r="P23"/>
  <c r="Q23"/>
  <c r="B25"/>
  <c r="C25" s="1"/>
  <c r="B27" i="21"/>
  <c r="AI27" s="1"/>
  <c r="AB11"/>
  <c r="AD11"/>
  <c r="Z11"/>
  <c r="S10"/>
  <c r="V11"/>
  <c r="X11"/>
  <c r="B40" i="32"/>
  <c r="B72" i="6"/>
  <c r="B55" i="4"/>
  <c r="B76" i="30"/>
  <c r="B57" i="7"/>
  <c r="B73" i="29"/>
  <c r="B51" i="14"/>
  <c r="F25" i="22" l="1"/>
  <c r="G25"/>
  <c r="D25"/>
  <c r="H25"/>
  <c r="E25"/>
  <c r="P18" i="11"/>
  <c r="G762" i="97" s="1"/>
  <c r="C27" i="21"/>
  <c r="AJ27" s="1"/>
  <c r="G26"/>
  <c r="D26"/>
  <c r="F26"/>
  <c r="E26"/>
  <c r="H26"/>
  <c r="W26"/>
  <c r="B73" i="15"/>
  <c r="R8" i="11"/>
  <c r="B62" i="31"/>
  <c r="P24" i="22"/>
  <c r="Q24"/>
  <c r="M23"/>
  <c r="B26"/>
  <c r="C26" s="1"/>
  <c r="B28" i="21"/>
  <c r="AI28" s="1"/>
  <c r="Z12"/>
  <c r="AB12"/>
  <c r="AD12"/>
  <c r="V12"/>
  <c r="X12"/>
  <c r="S11"/>
  <c r="B52" i="14"/>
  <c r="B73" i="6"/>
  <c r="B58" i="7"/>
  <c r="B74" i="29"/>
  <c r="B77" i="30"/>
  <c r="B56" i="4"/>
  <c r="B41" i="32"/>
  <c r="D26" i="22" l="1"/>
  <c r="F26"/>
  <c r="H26"/>
  <c r="E26"/>
  <c r="G26"/>
  <c r="C28" i="21"/>
  <c r="AJ28" s="1"/>
  <c r="H27"/>
  <c r="D27"/>
  <c r="F27"/>
  <c r="E27"/>
  <c r="G27"/>
  <c r="W27"/>
  <c r="B74" i="15"/>
  <c r="B63" i="31"/>
  <c r="B53" i="14"/>
  <c r="P25" i="22"/>
  <c r="Q25"/>
  <c r="B27"/>
  <c r="C27" s="1"/>
  <c r="M24"/>
  <c r="B29" i="21"/>
  <c r="AI29" s="1"/>
  <c r="Z13"/>
  <c r="AB13"/>
  <c r="AD13"/>
  <c r="X13"/>
  <c r="V13"/>
  <c r="S12"/>
  <c r="B42" i="32"/>
  <c r="B57" i="4"/>
  <c r="B75" i="29"/>
  <c r="B78" i="30"/>
  <c r="B59" i="7"/>
  <c r="B74" i="6"/>
  <c r="G27" i="22" l="1"/>
  <c r="H27"/>
  <c r="E27"/>
  <c r="D27"/>
  <c r="F27"/>
  <c r="C29" i="21"/>
  <c r="AJ29" s="1"/>
  <c r="H28"/>
  <c r="D28"/>
  <c r="E28"/>
  <c r="F28"/>
  <c r="G28"/>
  <c r="W28"/>
  <c r="B75" i="15"/>
  <c r="B64" i="31"/>
  <c r="B54" i="14"/>
  <c r="M25" i="22"/>
  <c r="P26"/>
  <c r="Q26"/>
  <c r="B28"/>
  <c r="C28" s="1"/>
  <c r="B30" i="21"/>
  <c r="AI30" s="1"/>
  <c r="AD14"/>
  <c r="Z14"/>
  <c r="AB14"/>
  <c r="S13"/>
  <c r="X14"/>
  <c r="V14"/>
  <c r="B60" i="7"/>
  <c r="B58" i="4"/>
  <c r="B76" i="29"/>
  <c r="B44" i="32"/>
  <c r="B43"/>
  <c r="B75" i="6"/>
  <c r="B79" i="30"/>
  <c r="G28" i="22" l="1"/>
  <c r="H28"/>
  <c r="E28"/>
  <c r="F28"/>
  <c r="D28"/>
  <c r="C30" i="21"/>
  <c r="AJ30" s="1"/>
  <c r="G29"/>
  <c r="E29"/>
  <c r="D29"/>
  <c r="F29"/>
  <c r="H29"/>
  <c r="W29"/>
  <c r="B76" i="15"/>
  <c r="B65" i="31"/>
  <c r="B66"/>
  <c r="B81" i="30"/>
  <c r="B56" i="14"/>
  <c r="B55"/>
  <c r="M26" i="22"/>
  <c r="B29"/>
  <c r="C29" s="1"/>
  <c r="Q27"/>
  <c r="P27"/>
  <c r="B31" i="21"/>
  <c r="AI31" s="1"/>
  <c r="AB15"/>
  <c r="AD15"/>
  <c r="Z15"/>
  <c r="V15"/>
  <c r="X15"/>
  <c r="S14"/>
  <c r="B59" i="4"/>
  <c r="B80" i="30"/>
  <c r="B77" i="29"/>
  <c r="B61" i="7"/>
  <c r="B76" i="6"/>
  <c r="F29" i="22" l="1"/>
  <c r="D29"/>
  <c r="G29"/>
  <c r="E29"/>
  <c r="H29"/>
  <c r="C31" i="21"/>
  <c r="AJ31" s="1"/>
  <c r="G30"/>
  <c r="H30"/>
  <c r="D30"/>
  <c r="E30"/>
  <c r="F30"/>
  <c r="W30"/>
  <c r="B77" i="15"/>
  <c r="B79" i="29"/>
  <c r="P28" i="22"/>
  <c r="Q28"/>
  <c r="M27"/>
  <c r="B30"/>
  <c r="C30" s="1"/>
  <c r="B32" i="21"/>
  <c r="AI32" s="1"/>
  <c r="Z16"/>
  <c r="AB16"/>
  <c r="AD16"/>
  <c r="X16"/>
  <c r="V16"/>
  <c r="S15"/>
  <c r="B77" i="6"/>
  <c r="B62" i="7"/>
  <c r="B78" i="29"/>
  <c r="B60" i="4"/>
  <c r="B82" i="30"/>
  <c r="D30" i="22" l="1"/>
  <c r="F30"/>
  <c r="H30"/>
  <c r="E30"/>
  <c r="G30"/>
  <c r="C32" i="21"/>
  <c r="AJ32" s="1"/>
  <c r="G31"/>
  <c r="D31"/>
  <c r="E31"/>
  <c r="F31"/>
  <c r="H31"/>
  <c r="W31"/>
  <c r="B78" i="15"/>
  <c r="B31" i="22"/>
  <c r="C31" s="1"/>
  <c r="M28"/>
  <c r="Q29"/>
  <c r="P29"/>
  <c r="B33" i="21"/>
  <c r="AI33" s="1"/>
  <c r="Z17"/>
  <c r="AB17"/>
  <c r="AD17"/>
  <c r="B61" i="4"/>
  <c r="S16" i="21"/>
  <c r="X17"/>
  <c r="V17"/>
  <c r="B63" i="7"/>
  <c r="B83" i="30"/>
  <c r="B80" i="29"/>
  <c r="B78" i="6"/>
  <c r="G31" i="22" l="1"/>
  <c r="E31"/>
  <c r="F31"/>
  <c r="D31"/>
  <c r="H31"/>
  <c r="H32" i="21"/>
  <c r="F32"/>
  <c r="D32"/>
  <c r="G32"/>
  <c r="E32"/>
  <c r="C33"/>
  <c r="AJ33" s="1"/>
  <c r="W32"/>
  <c r="B79" i="15"/>
  <c r="B62" i="4"/>
  <c r="M29" i="22"/>
  <c r="Q30"/>
  <c r="P30"/>
  <c r="B32"/>
  <c r="C32" s="1"/>
  <c r="B34" i="21"/>
  <c r="AI34" s="1"/>
  <c r="AD18"/>
  <c r="Z18"/>
  <c r="AB18"/>
  <c r="S17"/>
  <c r="V18"/>
  <c r="X18"/>
  <c r="B84" i="30"/>
  <c r="B79" i="6"/>
  <c r="B81" i="29"/>
  <c r="B64" i="7"/>
  <c r="G32" i="22" l="1"/>
  <c r="D32"/>
  <c r="F32"/>
  <c r="E32"/>
  <c r="H32"/>
  <c r="C34" i="21"/>
  <c r="AJ34" s="1"/>
  <c r="H33"/>
  <c r="D33"/>
  <c r="E33"/>
  <c r="F33"/>
  <c r="G33"/>
  <c r="W33"/>
  <c r="B80" i="15"/>
  <c r="B63" i="4"/>
  <c r="M30" i="22"/>
  <c r="B33"/>
  <c r="C33" s="1"/>
  <c r="P31"/>
  <c r="Q31"/>
  <c r="B35" i="21"/>
  <c r="AI35" s="1"/>
  <c r="AB19"/>
  <c r="AD19"/>
  <c r="Z19"/>
  <c r="X19"/>
  <c r="V19"/>
  <c r="S18"/>
  <c r="B82" i="29"/>
  <c r="B85" i="30"/>
  <c r="B65" i="7"/>
  <c r="B80" i="6"/>
  <c r="F33" i="22" l="1"/>
  <c r="D33"/>
  <c r="G33"/>
  <c r="E33"/>
  <c r="H33"/>
  <c r="C35" i="21"/>
  <c r="AJ35" s="1"/>
  <c r="G34"/>
  <c r="F34"/>
  <c r="E34"/>
  <c r="D34"/>
  <c r="H34"/>
  <c r="W34"/>
  <c r="B81" i="15"/>
  <c r="B64" i="4"/>
  <c r="M31" i="22"/>
  <c r="P32"/>
  <c r="Q32"/>
  <c r="B34"/>
  <c r="C34" s="1"/>
  <c r="B36" i="21"/>
  <c r="AI36" s="1"/>
  <c r="Z20"/>
  <c r="AB20"/>
  <c r="AD20"/>
  <c r="V20"/>
  <c r="X20"/>
  <c r="S19"/>
  <c r="B81" i="6"/>
  <c r="B86" i="30"/>
  <c r="B83" i="29"/>
  <c r="B66" i="7"/>
  <c r="D34" i="22" l="1"/>
  <c r="G34"/>
  <c r="E34"/>
  <c r="H34"/>
  <c r="F34"/>
  <c r="C36" i="21"/>
  <c r="AJ36" s="1"/>
  <c r="H35"/>
  <c r="E35"/>
  <c r="F35"/>
  <c r="D35"/>
  <c r="G35"/>
  <c r="W35"/>
  <c r="B83" i="15"/>
  <c r="B82"/>
  <c r="B65" i="4"/>
  <c r="M32" i="22"/>
  <c r="Q33"/>
  <c r="P33"/>
  <c r="B35"/>
  <c r="C35" s="1"/>
  <c r="B37" i="21"/>
  <c r="AI37" s="1"/>
  <c r="Z21"/>
  <c r="AB21"/>
  <c r="AD21"/>
  <c r="V21"/>
  <c r="X21"/>
  <c r="S20"/>
  <c r="B87" i="30"/>
  <c r="B84" i="29"/>
  <c r="B85"/>
  <c r="B67" i="7"/>
  <c r="B82" i="6"/>
  <c r="G35" i="22" l="1"/>
  <c r="D35"/>
  <c r="F35"/>
  <c r="H35"/>
  <c r="E35"/>
  <c r="C37" i="21"/>
  <c r="AJ37" s="1"/>
  <c r="H36"/>
  <c r="D36"/>
  <c r="F36"/>
  <c r="G36"/>
  <c r="E36"/>
  <c r="W36"/>
  <c r="B66" i="4"/>
  <c r="P34" i="22"/>
  <c r="Q34"/>
  <c r="M33"/>
  <c r="B36"/>
  <c r="C36" s="1"/>
  <c r="B38" i="21"/>
  <c r="AI38" s="1"/>
  <c r="AD22"/>
  <c r="Z22"/>
  <c r="AB22"/>
  <c r="S21"/>
  <c r="V22"/>
  <c r="X22"/>
  <c r="B83" i="6"/>
  <c r="B88" i="30"/>
  <c r="B68" i="7"/>
  <c r="G36" i="22" l="1"/>
  <c r="F36"/>
  <c r="D36"/>
  <c r="E36"/>
  <c r="H36"/>
  <c r="H37" i="21"/>
  <c r="E37"/>
  <c r="G37"/>
  <c r="D37"/>
  <c r="F37"/>
  <c r="C38"/>
  <c r="AJ38" s="1"/>
  <c r="W37"/>
  <c r="B67" i="4"/>
  <c r="B37" i="22"/>
  <c r="C37" s="1"/>
  <c r="M34"/>
  <c r="P35"/>
  <c r="Q35"/>
  <c r="B39" i="21"/>
  <c r="AI39" s="1"/>
  <c r="AB23"/>
  <c r="AD23"/>
  <c r="Z23"/>
  <c r="S22"/>
  <c r="V23"/>
  <c r="X23"/>
  <c r="B84" i="6"/>
  <c r="B69" i="7"/>
  <c r="B89" i="30"/>
  <c r="B86" i="29"/>
  <c r="F37" i="22" l="1"/>
  <c r="E37"/>
  <c r="H37"/>
  <c r="D37"/>
  <c r="G37"/>
  <c r="G38" i="21"/>
  <c r="E38"/>
  <c r="D38"/>
  <c r="F38"/>
  <c r="H38"/>
  <c r="C39"/>
  <c r="AJ39" s="1"/>
  <c r="W38"/>
  <c r="B69" i="4"/>
  <c r="B68"/>
  <c r="M35" i="22"/>
  <c r="P36"/>
  <c r="Q36"/>
  <c r="B38"/>
  <c r="C38" s="1"/>
  <c r="B40" i="21"/>
  <c r="AI40" s="1"/>
  <c r="Z24"/>
  <c r="AB24"/>
  <c r="AD24"/>
  <c r="S23"/>
  <c r="V24"/>
  <c r="X24"/>
  <c r="B70" i="7"/>
  <c r="B85" i="6"/>
  <c r="B87" i="29"/>
  <c r="G38" i="22" l="1"/>
  <c r="E38"/>
  <c r="F38"/>
  <c r="D38"/>
  <c r="H38"/>
  <c r="C40" i="21"/>
  <c r="AJ40" s="1"/>
  <c r="G39"/>
  <c r="F39"/>
  <c r="E39"/>
  <c r="D39"/>
  <c r="H39"/>
  <c r="W39"/>
  <c r="M36" i="22"/>
  <c r="B39"/>
  <c r="C39" s="1"/>
  <c r="Q37"/>
  <c r="P37"/>
  <c r="B41" i="21"/>
  <c r="AI41" s="1"/>
  <c r="Z25"/>
  <c r="AB25"/>
  <c r="AD25"/>
  <c r="S24"/>
  <c r="V25"/>
  <c r="X25"/>
  <c r="B86" i="6"/>
  <c r="B71" i="7"/>
  <c r="B72"/>
  <c r="G39" i="22" l="1"/>
  <c r="F39"/>
  <c r="E39"/>
  <c r="D39"/>
  <c r="H39"/>
  <c r="C41" i="21"/>
  <c r="AJ41" s="1"/>
  <c r="H40"/>
  <c r="G40"/>
  <c r="D40"/>
  <c r="F40"/>
  <c r="E40"/>
  <c r="W40"/>
  <c r="M37" i="22"/>
  <c r="Q38"/>
  <c r="P38"/>
  <c r="B40"/>
  <c r="C40" s="1"/>
  <c r="B42" i="21"/>
  <c r="AI42" s="1"/>
  <c r="AD26"/>
  <c r="Z26"/>
  <c r="AB26"/>
  <c r="V26"/>
  <c r="X26"/>
  <c r="S25"/>
  <c r="B87" i="6"/>
  <c r="G40" i="22" l="1"/>
  <c r="E40"/>
  <c r="F40"/>
  <c r="H40"/>
  <c r="D40"/>
  <c r="C42" i="21"/>
  <c r="AJ42" s="1"/>
  <c r="H41"/>
  <c r="D41"/>
  <c r="F41"/>
  <c r="G41"/>
  <c r="E41"/>
  <c r="W41"/>
  <c r="M38" i="22"/>
  <c r="B41"/>
  <c r="C41" s="1"/>
  <c r="Q39"/>
  <c r="P39"/>
  <c r="B43" i="21"/>
  <c r="AI43" s="1"/>
  <c r="AB27"/>
  <c r="AD27"/>
  <c r="Z27"/>
  <c r="X27"/>
  <c r="V27"/>
  <c r="S26"/>
  <c r="B88" i="6"/>
  <c r="F41" i="22" l="1"/>
  <c r="G41"/>
  <c r="H41"/>
  <c r="E41"/>
  <c r="D41"/>
  <c r="C43" i="21"/>
  <c r="AJ43" s="1"/>
  <c r="G42"/>
  <c r="D42"/>
  <c r="F42"/>
  <c r="E42"/>
  <c r="H42"/>
  <c r="W42"/>
  <c r="B90" i="6"/>
  <c r="P40" i="22"/>
  <c r="Q40"/>
  <c r="M39"/>
  <c r="B42"/>
  <c r="C42" s="1"/>
  <c r="B44" i="21"/>
  <c r="AI44" s="1"/>
  <c r="Z28"/>
  <c r="AB28"/>
  <c r="AD28"/>
  <c r="S27"/>
  <c r="X28"/>
  <c r="V28"/>
  <c r="B89" i="6"/>
  <c r="G42" i="22" l="1"/>
  <c r="H42"/>
  <c r="E42"/>
  <c r="D42"/>
  <c r="F42"/>
  <c r="C44" i="21"/>
  <c r="AJ44" s="1"/>
  <c r="H43"/>
  <c r="D43"/>
  <c r="E43"/>
  <c r="F43"/>
  <c r="G43"/>
  <c r="W43"/>
  <c r="B43" i="22"/>
  <c r="C43" s="1"/>
  <c r="P41"/>
  <c r="Q41"/>
  <c r="M40"/>
  <c r="B45" i="21"/>
  <c r="AI45" s="1"/>
  <c r="Z29"/>
  <c r="AB29"/>
  <c r="AD29"/>
  <c r="S28"/>
  <c r="X29"/>
  <c r="V29"/>
  <c r="B91" i="6"/>
  <c r="G43" i="22" l="1"/>
  <c r="E43"/>
  <c r="D43"/>
  <c r="F43"/>
  <c r="H43"/>
  <c r="C45" i="21"/>
  <c r="AJ45" s="1"/>
  <c r="E44"/>
  <c r="F44"/>
  <c r="D44"/>
  <c r="H44"/>
  <c r="G44"/>
  <c r="W44"/>
  <c r="M41" i="22"/>
  <c r="P42"/>
  <c r="Q42"/>
  <c r="B44"/>
  <c r="C44" s="1"/>
  <c r="B46" i="21"/>
  <c r="AI46" s="1"/>
  <c r="AD30"/>
  <c r="Z30"/>
  <c r="AB30"/>
  <c r="S29"/>
  <c r="V30"/>
  <c r="X30"/>
  <c r="B92" i="6"/>
  <c r="G44" i="22" l="1"/>
  <c r="E44"/>
  <c r="H44"/>
  <c r="F44"/>
  <c r="D44"/>
  <c r="C46" i="21"/>
  <c r="AJ46" s="1"/>
  <c r="H45"/>
  <c r="F45"/>
  <c r="G45"/>
  <c r="E45"/>
  <c r="D45"/>
  <c r="W45"/>
  <c r="M42" i="22"/>
  <c r="Q43"/>
  <c r="P43"/>
  <c r="B47" i="21"/>
  <c r="AI47" s="1"/>
  <c r="AB31"/>
  <c r="AD31"/>
  <c r="Z31"/>
  <c r="S30"/>
  <c r="X31"/>
  <c r="V31"/>
  <c r="B93" i="6"/>
  <c r="G46" i="21" l="1"/>
  <c r="F46"/>
  <c r="D46"/>
  <c r="H46"/>
  <c r="E46"/>
  <c r="C47"/>
  <c r="AJ47" s="1"/>
  <c r="W46"/>
  <c r="P44" i="22"/>
  <c r="Q44"/>
  <c r="M43"/>
  <c r="B48" i="21"/>
  <c r="AI48" s="1"/>
  <c r="Z32"/>
  <c r="AB32"/>
  <c r="AD32"/>
  <c r="X32"/>
  <c r="V32"/>
  <c r="S31"/>
  <c r="B94" i="6"/>
  <c r="C30" i="2" l="1"/>
  <c r="H47" i="21"/>
  <c r="D47"/>
  <c r="E47"/>
  <c r="F47"/>
  <c r="G47"/>
  <c r="C48"/>
  <c r="AJ48" s="1"/>
  <c r="W47"/>
  <c r="M44" i="22"/>
  <c r="B49" i="21"/>
  <c r="AI49" s="1"/>
  <c r="Z33"/>
  <c r="AB33"/>
  <c r="AD33"/>
  <c r="S32"/>
  <c r="V33"/>
  <c r="X33"/>
  <c r="B95" i="6"/>
  <c r="C49" i="21" l="1"/>
  <c r="AJ49" s="1"/>
  <c r="E48"/>
  <c r="G48"/>
  <c r="D48"/>
  <c r="F48"/>
  <c r="H48"/>
  <c r="W48"/>
  <c r="B50"/>
  <c r="AI50" s="1"/>
  <c r="AD34"/>
  <c r="Z34"/>
  <c r="AB34"/>
  <c r="X34"/>
  <c r="V34"/>
  <c r="S33"/>
  <c r="B96" i="6"/>
  <c r="B97"/>
  <c r="H49" i="21" l="1"/>
  <c r="E49"/>
  <c r="F49"/>
  <c r="G49"/>
  <c r="D49"/>
  <c r="C50"/>
  <c r="AJ50" s="1"/>
  <c r="W49"/>
  <c r="B51"/>
  <c r="AI51" s="1"/>
  <c r="AB35"/>
  <c r="AD35"/>
  <c r="Z35"/>
  <c r="S34"/>
  <c r="V35"/>
  <c r="X35"/>
  <c r="G50" l="1"/>
  <c r="D50"/>
  <c r="F50"/>
  <c r="E50"/>
  <c r="H50"/>
  <c r="C51"/>
  <c r="AJ51" s="1"/>
  <c r="W50"/>
  <c r="B52"/>
  <c r="AI52" s="1"/>
  <c r="Z36"/>
  <c r="AB36"/>
  <c r="AD36"/>
  <c r="S35"/>
  <c r="X36"/>
  <c r="V36"/>
  <c r="C52" l="1"/>
  <c r="AJ52" s="1"/>
  <c r="H51"/>
  <c r="E51"/>
  <c r="F51"/>
  <c r="D51"/>
  <c r="G51"/>
  <c r="W51"/>
  <c r="B53"/>
  <c r="AI53" s="1"/>
  <c r="Z37"/>
  <c r="AB37"/>
  <c r="AD37"/>
  <c r="V37"/>
  <c r="X37"/>
  <c r="S36"/>
  <c r="H52" l="1"/>
  <c r="F52"/>
  <c r="D52"/>
  <c r="G52"/>
  <c r="E52"/>
  <c r="C53"/>
  <c r="AJ53" s="1"/>
  <c r="W52"/>
  <c r="B54"/>
  <c r="AI54" s="1"/>
  <c r="AD38"/>
  <c r="Z38"/>
  <c r="AB38"/>
  <c r="V38"/>
  <c r="X38"/>
  <c r="S37"/>
  <c r="C54" l="1"/>
  <c r="AJ54" s="1"/>
  <c r="H53"/>
  <c r="F53"/>
  <c r="G53"/>
  <c r="E53"/>
  <c r="D53"/>
  <c r="W53"/>
  <c r="B55"/>
  <c r="AI55" s="1"/>
  <c r="AB39"/>
  <c r="AD39"/>
  <c r="Z39"/>
  <c r="X39"/>
  <c r="V39"/>
  <c r="S38"/>
  <c r="C55" l="1"/>
  <c r="AJ55" s="1"/>
  <c r="G54"/>
  <c r="E54"/>
  <c r="D54"/>
  <c r="F54"/>
  <c r="H54"/>
  <c r="W54"/>
  <c r="B56"/>
  <c r="AI56" s="1"/>
  <c r="Z40"/>
  <c r="AB40"/>
  <c r="AD40"/>
  <c r="S39"/>
  <c r="V40"/>
  <c r="X40"/>
  <c r="H55" l="1"/>
  <c r="E55"/>
  <c r="G55"/>
  <c r="F55"/>
  <c r="D55"/>
  <c r="C56"/>
  <c r="AJ56" s="1"/>
  <c r="W55"/>
  <c r="B57"/>
  <c r="Z41"/>
  <c r="AB41"/>
  <c r="AD41"/>
  <c r="X41"/>
  <c r="V41"/>
  <c r="S40"/>
  <c r="B58" l="1"/>
  <c r="AI57"/>
  <c r="C57"/>
  <c r="AJ57" s="1"/>
  <c r="H56"/>
  <c r="F56"/>
  <c r="G56"/>
  <c r="E56"/>
  <c r="D56"/>
  <c r="W56"/>
  <c r="AD42"/>
  <c r="Z42"/>
  <c r="AB42"/>
  <c r="X42"/>
  <c r="V42"/>
  <c r="S41"/>
  <c r="B59" l="1"/>
  <c r="C58"/>
  <c r="H57"/>
  <c r="G57"/>
  <c r="D57"/>
  <c r="F57"/>
  <c r="E57"/>
  <c r="W57"/>
  <c r="AB43"/>
  <c r="AD43"/>
  <c r="Z43"/>
  <c r="S42"/>
  <c r="X43"/>
  <c r="V43"/>
  <c r="AJ58" l="1"/>
  <c r="W58"/>
  <c r="D58"/>
  <c r="AD58"/>
  <c r="G58"/>
  <c r="F58"/>
  <c r="AB58"/>
  <c r="Z58"/>
  <c r="X58"/>
  <c r="V58"/>
  <c r="E58"/>
  <c r="H58"/>
  <c r="B60"/>
  <c r="AI59"/>
  <c r="C59"/>
  <c r="W59" s="1"/>
  <c r="Z44"/>
  <c r="AB44"/>
  <c r="AD44"/>
  <c r="X44"/>
  <c r="V44"/>
  <c r="S43"/>
  <c r="C60" l="1"/>
  <c r="W60" s="1"/>
  <c r="AI60"/>
  <c r="F59"/>
  <c r="E59"/>
  <c r="AJ59"/>
  <c r="D59"/>
  <c r="G59"/>
  <c r="H59"/>
  <c r="S58"/>
  <c r="S27" i="22"/>
  <c r="T28"/>
  <c r="T27"/>
  <c r="S28"/>
  <c r="T31"/>
  <c r="S29"/>
  <c r="S30"/>
  <c r="S31"/>
  <c r="T29"/>
  <c r="T30"/>
  <c r="T32"/>
  <c r="T34"/>
  <c r="S33"/>
  <c r="S32"/>
  <c r="T33"/>
  <c r="S34"/>
  <c r="T35"/>
  <c r="T36"/>
  <c r="S35"/>
  <c r="S36"/>
  <c r="S37"/>
  <c r="S38"/>
  <c r="T39"/>
  <c r="S39"/>
  <c r="T37"/>
  <c r="T40"/>
  <c r="T38"/>
  <c r="T41"/>
  <c r="S40"/>
  <c r="T42"/>
  <c r="S41"/>
  <c r="S43"/>
  <c r="T44"/>
  <c r="T43"/>
  <c r="S42"/>
  <c r="S44"/>
  <c r="T26"/>
  <c r="S23"/>
  <c r="S24"/>
  <c r="T23"/>
  <c r="S22"/>
  <c r="T24"/>
  <c r="S25"/>
  <c r="T25"/>
  <c r="S26"/>
  <c r="T22"/>
  <c r="T13"/>
  <c r="T10"/>
  <c r="S12"/>
  <c r="S13"/>
  <c r="S7"/>
  <c r="S10"/>
  <c r="T11"/>
  <c r="T12"/>
  <c r="S11"/>
  <c r="S5"/>
  <c r="T7"/>
  <c r="S8"/>
  <c r="S9"/>
  <c r="T5"/>
  <c r="T8"/>
  <c r="S6"/>
  <c r="T6"/>
  <c r="T9"/>
  <c r="S15"/>
  <c r="S16"/>
  <c r="S14"/>
  <c r="S17"/>
  <c r="T15"/>
  <c r="S19"/>
  <c r="T18"/>
  <c r="T14"/>
  <c r="T20"/>
  <c r="T17"/>
  <c r="T19"/>
  <c r="T16"/>
  <c r="S18"/>
  <c r="T21"/>
  <c r="S21"/>
  <c r="S20"/>
  <c r="Z45" i="21"/>
  <c r="AB45"/>
  <c r="AD45"/>
  <c r="V45"/>
  <c r="X45"/>
  <c r="S44"/>
  <c r="AJ60" l="1"/>
  <c r="F60"/>
  <c r="H60"/>
  <c r="D60"/>
  <c r="E60"/>
  <c r="G60"/>
  <c r="D30" i="2"/>
  <c r="L6" i="22"/>
  <c r="L15"/>
  <c r="L7"/>
  <c r="L42"/>
  <c r="L44"/>
  <c r="L43"/>
  <c r="L35"/>
  <c r="L11"/>
  <c r="L24"/>
  <c r="L40"/>
  <c r="L12"/>
  <c r="L33"/>
  <c r="L26"/>
  <c r="L28"/>
  <c r="L38"/>
  <c r="L29"/>
  <c r="L9"/>
  <c r="L39"/>
  <c r="L37"/>
  <c r="L36"/>
  <c r="L30"/>
  <c r="L25"/>
  <c r="L22"/>
  <c r="L20"/>
  <c r="L14"/>
  <c r="L10"/>
  <c r="L21"/>
  <c r="L13"/>
  <c r="L16"/>
  <c r="L41"/>
  <c r="L34"/>
  <c r="L31"/>
  <c r="L32"/>
  <c r="L27"/>
  <c r="L23"/>
  <c r="L5"/>
  <c r="L19"/>
  <c r="L17"/>
  <c r="L18"/>
  <c r="L8"/>
  <c r="AD46" i="21"/>
  <c r="Z46"/>
  <c r="AB46"/>
  <c r="V46"/>
  <c r="X46"/>
  <c r="S45"/>
  <c r="AB47" l="1"/>
  <c r="AD47"/>
  <c r="Z47"/>
  <c r="V47"/>
  <c r="X47"/>
  <c r="S46"/>
  <c r="Z48" l="1"/>
  <c r="AB48"/>
  <c r="AD48"/>
  <c r="S47"/>
  <c r="V48"/>
  <c r="X48"/>
  <c r="Z49" l="1"/>
  <c r="AB49"/>
  <c r="AD49"/>
  <c r="S48"/>
  <c r="X49"/>
  <c r="V49"/>
  <c r="AD50" l="1"/>
  <c r="Z50"/>
  <c r="AB50"/>
  <c r="S49"/>
  <c r="X50"/>
  <c r="V50"/>
  <c r="AB51" l="1"/>
  <c r="AD51"/>
  <c r="Z51"/>
  <c r="X51"/>
  <c r="V51"/>
  <c r="S50"/>
  <c r="Z52" l="1"/>
  <c r="AB52"/>
  <c r="AD52"/>
  <c r="X52"/>
  <c r="V52"/>
  <c r="S51"/>
  <c r="Z53" l="1"/>
  <c r="AB53"/>
  <c r="AD53"/>
  <c r="V53"/>
  <c r="X53"/>
  <c r="S52"/>
  <c r="AD54" l="1"/>
  <c r="Z54"/>
  <c r="AB54"/>
  <c r="V54"/>
  <c r="X54"/>
  <c r="S53"/>
  <c r="AB55" l="1"/>
  <c r="AD55"/>
  <c r="Z55"/>
  <c r="S54"/>
  <c r="X55"/>
  <c r="V55"/>
  <c r="Z56" l="1"/>
  <c r="AB56"/>
  <c r="AD56"/>
  <c r="S55"/>
  <c r="X56"/>
  <c r="V56"/>
  <c r="Z57" l="1"/>
  <c r="AB57"/>
  <c r="AD57"/>
  <c r="S56"/>
  <c r="V57"/>
  <c r="X57"/>
  <c r="AD59" l="1"/>
  <c r="Z59"/>
  <c r="AB59"/>
  <c r="S57"/>
  <c r="X59"/>
  <c r="V59"/>
  <c r="AB60" l="1"/>
  <c r="AD60"/>
  <c r="C29" i="2" s="1"/>
  <c r="Z60" i="21"/>
  <c r="S59"/>
  <c r="V60"/>
  <c r="X60"/>
  <c r="S60" l="1"/>
</calcChain>
</file>

<file path=xl/comments1.xml><?xml version="1.0" encoding="utf-8"?>
<comments xmlns="http://schemas.openxmlformats.org/spreadsheetml/2006/main">
  <authors>
    <author>Author</author>
  </authors>
  <commentList>
    <comment ref="BF17" authorId="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authors>
    <author>Author</author>
  </authors>
  <commentList>
    <comment ref="U111" authorId="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<sst xmlns="http://schemas.openxmlformats.org/spreadsheetml/2006/main" count="44047" uniqueCount="13584">
  <si>
    <t>Financial ODI/milestone may accrue or apply</t>
  </si>
  <si>
    <t>Company</t>
  </si>
  <si>
    <t>Unique ID</t>
  </si>
  <si>
    <t>Company type</t>
  </si>
  <si>
    <t>Element</t>
  </si>
  <si>
    <t>Element acronym</t>
  </si>
  <si>
    <t>Outcome</t>
  </si>
  <si>
    <t>PC ref.
(company)</t>
  </si>
  <si>
    <t>Annex 4 order</t>
  </si>
  <si>
    <t>Performance commitment</t>
  </si>
  <si>
    <t>ODI type</t>
  </si>
  <si>
    <t>In-period ODI</t>
  </si>
  <si>
    <t>Standard ('vanilla') financial ODI</t>
  </si>
  <si>
    <t>Primary category</t>
  </si>
  <si>
    <t>PC unit</t>
  </si>
  <si>
    <t>PC unit description</t>
  </si>
  <si>
    <t>Decimal places</t>
  </si>
  <si>
    <t>2014-15
starting level
(PR14 FD)</t>
  </si>
  <si>
    <t>2015-16
CPL</t>
  </si>
  <si>
    <t>2016-17
CPL</t>
  </si>
  <si>
    <t>2017-18
CPL</t>
  </si>
  <si>
    <t>2018-19
CPL</t>
  </si>
  <si>
    <t>2019-20
CPL</t>
  </si>
  <si>
    <t>Drinking water quality compliance</t>
  </si>
  <si>
    <t>Water quality contacts</t>
  </si>
  <si>
    <t>Supply interruptions (&gt;3 hours)</t>
  </si>
  <si>
    <t>Pollution incidents (cat 3)</t>
  </si>
  <si>
    <t>Internal sewer flooding</t>
  </si>
  <si>
    <t>AIM</t>
  </si>
  <si>
    <t>2015-16</t>
  </si>
  <si>
    <t>2016-17</t>
  </si>
  <si>
    <t>2017-18</t>
  </si>
  <si>
    <t>2018-19</t>
  </si>
  <si>
    <t>2019-20</t>
  </si>
  <si>
    <t>incentive rate
(£m)</t>
  </si>
  <si>
    <t>Standard ODI operand</t>
  </si>
  <si>
    <t>Standard ODI operand note</t>
  </si>
  <si>
    <t>AFW</t>
  </si>
  <si>
    <t>PR14AFWWSW_W-A1</t>
  </si>
  <si>
    <t>WoC</t>
  </si>
  <si>
    <t>Water</t>
  </si>
  <si>
    <t>WSW</t>
  </si>
  <si>
    <t>Making sure our customers have enough water, whilst leaving more water in the environment</t>
  </si>
  <si>
    <t>W-A1</t>
  </si>
  <si>
    <t>AFW-01</t>
  </si>
  <si>
    <t xml:space="preserve">Revenue </t>
  </si>
  <si>
    <t>No</t>
  </si>
  <si>
    <t>Leakage</t>
  </si>
  <si>
    <t>nr</t>
  </si>
  <si>
    <t>Megalitres per day (Ml/d)</t>
  </si>
  <si>
    <t>Yes</t>
  </si>
  <si>
    <t>na</t>
  </si>
  <si>
    <t/>
  </si>
  <si>
    <t>PR14AFWWSW_W-A2</t>
  </si>
  <si>
    <t>W-A2</t>
  </si>
  <si>
    <t>AFW-02</t>
  </si>
  <si>
    <t>Water consumption</t>
  </si>
  <si>
    <t>Litres per person per day (l/p/d)</t>
  </si>
  <si>
    <t>PR14AFWWSW_W-A3</t>
  </si>
  <si>
    <t>W-A3</t>
  </si>
  <si>
    <t>AFW-03</t>
  </si>
  <si>
    <t>Security of supply</t>
  </si>
  <si>
    <t>PR14AFWWSW_W-A4</t>
  </si>
  <si>
    <t>W-A4</t>
  </si>
  <si>
    <t>AFW-04</t>
  </si>
  <si>
    <t>Water resources/ abstraction</t>
  </si>
  <si>
    <t>PR14AFWWSW_W-A5</t>
  </si>
  <si>
    <t>W-A5</t>
  </si>
  <si>
    <t>AFW-05</t>
  </si>
  <si>
    <t>NFI</t>
  </si>
  <si>
    <t>TBC</t>
  </si>
  <si>
    <t>PR14AFWWSW_W-B1</t>
  </si>
  <si>
    <t>Supplying high quality water you can trust</t>
  </si>
  <si>
    <t>W-B1</t>
  </si>
  <si>
    <t>AFW-06</t>
  </si>
  <si>
    <t>Water quality compliance</t>
  </si>
  <si>
    <t>%</t>
  </si>
  <si>
    <t>Mean zonal compliance (%)</t>
  </si>
  <si>
    <t>PR14AFWWSW_W-B2</t>
  </si>
  <si>
    <t>W-B2</t>
  </si>
  <si>
    <t>AFW-07</t>
  </si>
  <si>
    <t>No. per 1,000 population</t>
  </si>
  <si>
    <t>PR14AFWWSW_W-C1</t>
  </si>
  <si>
    <t>Minimising disruption to you and your community</t>
  </si>
  <si>
    <t>W-C1</t>
  </si>
  <si>
    <t>AFW-08</t>
  </si>
  <si>
    <t>Supply interruptions</t>
  </si>
  <si>
    <t>No. of properties</t>
  </si>
  <si>
    <t>PR14AFWWSW_W-C2</t>
  </si>
  <si>
    <t>W-C2</t>
  </si>
  <si>
    <t>AFW-09</t>
  </si>
  <si>
    <t>Asset health - water</t>
  </si>
  <si>
    <t>No. of burst mains per year</t>
  </si>
  <si>
    <t>PR14AFWWSW_W-C3</t>
  </si>
  <si>
    <t>W-C3</t>
  </si>
  <si>
    <t>AFW-10</t>
  </si>
  <si>
    <t>No. of GSS events</t>
  </si>
  <si>
    <t>PR14AFWWSW_W-C4</t>
  </si>
  <si>
    <t>W-C4</t>
  </si>
  <si>
    <t>AFW-11</t>
  </si>
  <si>
    <t>PR14AFWHHR_R-A1</t>
  </si>
  <si>
    <t>Retail (HH)</t>
  </si>
  <si>
    <t>HHR</t>
  </si>
  <si>
    <t>Providing a value for money service</t>
  </si>
  <si>
    <t>R-A1</t>
  </si>
  <si>
    <t>AFW-12</t>
  </si>
  <si>
    <t>SIM</t>
  </si>
  <si>
    <t>score</t>
  </si>
  <si>
    <t>Service incentive mechanism (SIM) score</t>
  </si>
  <si>
    <t>OM</t>
  </si>
  <si>
    <t>PR14AFWHHR_R-A2</t>
  </si>
  <si>
    <t>R-A2</t>
  </si>
  <si>
    <t>AFW-13</t>
  </si>
  <si>
    <t>Billing, debt, vfm, affordability</t>
  </si>
  <si>
    <t>ANH</t>
  </si>
  <si>
    <t>PR14ANHWSW_W-A2</t>
  </si>
  <si>
    <t>WaSC</t>
  </si>
  <si>
    <t>Satisfied customers</t>
  </si>
  <si>
    <t>ANH-01</t>
  </si>
  <si>
    <t>time</t>
  </si>
  <si>
    <t>Minutes / property / year</t>
  </si>
  <si>
    <t>PR14ANHWSW_W-A3</t>
  </si>
  <si>
    <t>ANH-02</t>
  </si>
  <si>
    <t>W-A3: Properties at risk of persistent low pressure</t>
  </si>
  <si>
    <t>Water pressure</t>
  </si>
  <si>
    <t>PR14ANHWSW_W-A4</t>
  </si>
  <si>
    <t>ANH-03</t>
  </si>
  <si>
    <t>W-A4: Water quality contacts</t>
  </si>
  <si>
    <t>PR14ANHWSW_W-B1</t>
  </si>
  <si>
    <t>Fair charges</t>
  </si>
  <si>
    <t>ANH-04</t>
  </si>
  <si>
    <t>W-B1: Value for money perception - variation from baseline against WaSCs (water)</t>
  </si>
  <si>
    <t>% variation from WaSC baseline</t>
  </si>
  <si>
    <t>PR14ANHWSW_W-C1</t>
  </si>
  <si>
    <t>Resilient supplies</t>
  </si>
  <si>
    <t>ANH-05</t>
  </si>
  <si>
    <t>W-C1: Percentage of population supplied by single supply system</t>
  </si>
  <si>
    <t>Resilience</t>
  </si>
  <si>
    <t>% population with single supply system</t>
  </si>
  <si>
    <t>x 5 years</t>
  </si>
  <si>
    <t>PR14ANHWSW_W-C2</t>
  </si>
  <si>
    <t>ANH-06</t>
  </si>
  <si>
    <t>W-C2: Frequency of service level restrictions (hosepipe bans)</t>
  </si>
  <si>
    <t>Supply restrictions</t>
  </si>
  <si>
    <t>No. (frequency) per 10 years</t>
  </si>
  <si>
    <t>PR14ANHWSW_W-D1</t>
  </si>
  <si>
    <t>Supply meets demand</t>
  </si>
  <si>
    <t>W-D1</t>
  </si>
  <si>
    <t>ANH-07</t>
  </si>
  <si>
    <t>W-D1: Security of Supply Index (SoSI) - dry year annual average</t>
  </si>
  <si>
    <t>Security of Supply Index (SOSI)</t>
  </si>
  <si>
    <t>PR14ANHWSW_W-D2</t>
  </si>
  <si>
    <t>W-D2</t>
  </si>
  <si>
    <t>ANH-08</t>
  </si>
  <si>
    <t>W-D2: Security of Supply Index (SoSI) - critical period (peak) demand</t>
  </si>
  <si>
    <t>PR14ANHWSW_W-D3</t>
  </si>
  <si>
    <t>W-D3</t>
  </si>
  <si>
    <t>ANH-09</t>
  </si>
  <si>
    <t>W-D3: Per property consumption (PPC) (litres/household/day reduction)</t>
  </si>
  <si>
    <t>Litres per household per day (l/hh/d)</t>
  </si>
  <si>
    <t>PR14ANHWSW_W-D4</t>
  </si>
  <si>
    <t>W-D4</t>
  </si>
  <si>
    <t>ANH-10</t>
  </si>
  <si>
    <t>W-D4: Leakage - three-year average</t>
  </si>
  <si>
    <t>PR14ANHWSW_W-E1</t>
  </si>
  <si>
    <t>Flourishing environment</t>
  </si>
  <si>
    <t>W-E1</t>
  </si>
  <si>
    <t>ANH-11</t>
  </si>
  <si>
    <t>W-E1: Percentage of SSSIs (by area) with favourable status</t>
  </si>
  <si>
    <t>Biodiversity/SSSIs</t>
  </si>
  <si>
    <t>% SSSIs with favourable status</t>
  </si>
  <si>
    <t>PR14ANHWSW_W-E2</t>
  </si>
  <si>
    <t>W-E2</t>
  </si>
  <si>
    <t>ANH-12</t>
  </si>
  <si>
    <t>W-E2: Environmental compliance (water)</t>
  </si>
  <si>
    <t>Environmental</t>
  </si>
  <si>
    <t>No. of obligations delivered</t>
  </si>
  <si>
    <t>PR14ANHWSW_W-F1</t>
  </si>
  <si>
    <t>A smaller footprint</t>
  </si>
  <si>
    <t>W-F1</t>
  </si>
  <si>
    <t>ANH-13</t>
  </si>
  <si>
    <t>W-F1: Operational carbon (% reduction from 2015 baseline)</t>
  </si>
  <si>
    <t>Energy/emissions</t>
  </si>
  <si>
    <t>PR14ANHWSW_W-F2</t>
  </si>
  <si>
    <t>W-F2</t>
  </si>
  <si>
    <t>ANH-14</t>
  </si>
  <si>
    <t>W-F2: Embodied carbon (% reduction from 2010 baseline)</t>
  </si>
  <si>
    <t>PR14ANHWSW_W-G1</t>
  </si>
  <si>
    <t>Caring for communities</t>
  </si>
  <si>
    <t>W-G1</t>
  </si>
  <si>
    <t>ANH-15</t>
  </si>
  <si>
    <t>W-G1: Survey of community perception</t>
  </si>
  <si>
    <t>Customer satisfaction (exc. bills)</t>
  </si>
  <si>
    <t>% customer satisfaction</t>
  </si>
  <si>
    <t>Improved</t>
  </si>
  <si>
    <t>PR14ANHWSW_W-H1</t>
  </si>
  <si>
    <t>Investing for tomorrow</t>
  </si>
  <si>
    <t>W-H1</t>
  </si>
  <si>
    <t>ANH-16</t>
  </si>
  <si>
    <t>W-H1: Water infrastructure</t>
  </si>
  <si>
    <t>category</t>
  </si>
  <si>
    <t>Asset health indicator (RAG)</t>
  </si>
  <si>
    <t>Stable</t>
  </si>
  <si>
    <t>Green</t>
  </si>
  <si>
    <t>PR14ANHWSW_W-H2</t>
  </si>
  <si>
    <t>W-H2</t>
  </si>
  <si>
    <t>ANH-17</t>
  </si>
  <si>
    <t>W-H2: Water non-infrastructure</t>
  </si>
  <si>
    <t>PR14ANHWSW_W-I1</t>
  </si>
  <si>
    <t>Safe, clean water</t>
  </si>
  <si>
    <t>W-I1</t>
  </si>
  <si>
    <t>ANH-18</t>
  </si>
  <si>
    <t>W-I1: Mean zonal compliance (MZC)</t>
  </si>
  <si>
    <t>PR14ANHWSWW_S-A2</t>
  </si>
  <si>
    <t>Wastewater</t>
  </si>
  <si>
    <t>WSWW</t>
  </si>
  <si>
    <t>S-A2</t>
  </si>
  <si>
    <t>ANH-19</t>
  </si>
  <si>
    <t>S-A2: Properties flooded internally from sewers - three-year average (reduction)</t>
  </si>
  <si>
    <t>Sewer flooding/collapses etc</t>
  </si>
  <si>
    <t>No. of properties flooded internally (reduction)</t>
  </si>
  <si>
    <t>PR14ANHWSWW_S-A3</t>
  </si>
  <si>
    <t>S-A3</t>
  </si>
  <si>
    <t>ANH-20</t>
  </si>
  <si>
    <t>S-A3: Properties flooded externally from sewers - three-year average (reduction)</t>
  </si>
  <si>
    <t>No. of properties flooded externally (reduction)</t>
  </si>
  <si>
    <t>PR14ANHWSWW_S-A4</t>
  </si>
  <si>
    <t>S-A4</t>
  </si>
  <si>
    <t>ANH-21</t>
  </si>
  <si>
    <t>S-A4: Percentage of sewerage capacity schemes incorporating sustainable solutions</t>
  </si>
  <si>
    <t>Sustainability/innovation</t>
  </si>
  <si>
    <t>% sustainable sewerage capacity schemes</t>
  </si>
  <si>
    <t>PR14ANHWSWW_S-B1</t>
  </si>
  <si>
    <t>S-B1</t>
  </si>
  <si>
    <t>ANH-22</t>
  </si>
  <si>
    <t>S-B1: Value for money perception variation from baseline against WaSCs (wastewater)</t>
  </si>
  <si>
    <t>PR14ANHWSWW_S-C1</t>
  </si>
  <si>
    <t>S-C1</t>
  </si>
  <si>
    <t>ANH-23</t>
  </si>
  <si>
    <t>S-C1: Percentage of bathing waters attaining excellent status</t>
  </si>
  <si>
    <t>% bathing waters - excellent status</t>
  </si>
  <si>
    <t>PR14ANHWSWW_S-C2</t>
  </si>
  <si>
    <t>S-C2</t>
  </si>
  <si>
    <t>ANH-24</t>
  </si>
  <si>
    <t>S-C2: Percentage of SSSIs (by area) with favourable status</t>
  </si>
  <si>
    <t>PR14ANHWSWW_S-C3</t>
  </si>
  <si>
    <t>S-C3</t>
  </si>
  <si>
    <t>ANH-25</t>
  </si>
  <si>
    <t>S-C3: Pollution incidents (category 3)</t>
  </si>
  <si>
    <t>Pollution incidents</t>
  </si>
  <si>
    <t>No. of pollution incidents (cat 3)</t>
  </si>
  <si>
    <t>PR14ANHWSWW_S-C4</t>
  </si>
  <si>
    <t>S-C4</t>
  </si>
  <si>
    <t>ANH-26</t>
  </si>
  <si>
    <t>S-C4: Environmental compliance (wastewater)</t>
  </si>
  <si>
    <t>PR14ANHWSWW_S-D1</t>
  </si>
  <si>
    <t>S-D1</t>
  </si>
  <si>
    <t>ANH-27</t>
  </si>
  <si>
    <t>S-D1: Operational carbon (% reduction from 2015 baseline)</t>
  </si>
  <si>
    <t>% reduction from 2015 baseline</t>
  </si>
  <si>
    <t>PR14ANHWSWW_S-D2</t>
  </si>
  <si>
    <t>S-D2</t>
  </si>
  <si>
    <t>ANH-28</t>
  </si>
  <si>
    <t>S-D2: Embodied carbon (% reduction from 2010 baseline)</t>
  </si>
  <si>
    <t>% reduction from 2010 baseline</t>
  </si>
  <si>
    <t>PR14ANHWSWW_S-E1</t>
  </si>
  <si>
    <t>S-E1</t>
  </si>
  <si>
    <t>ANH-29</t>
  </si>
  <si>
    <t>S-E1: Survey of community perception</t>
  </si>
  <si>
    <t>PR14ANHWSWW_S-F1</t>
  </si>
  <si>
    <t>S-F1</t>
  </si>
  <si>
    <t>ANH-30</t>
  </si>
  <si>
    <t>S-F1: Sewerage infrastructure</t>
  </si>
  <si>
    <t>Asset health - wastewater</t>
  </si>
  <si>
    <t>PR14ANHWSWW_S-F2</t>
  </si>
  <si>
    <t>S-F2</t>
  </si>
  <si>
    <t>ANH-31</t>
  </si>
  <si>
    <t>S-F2: Sewerage non-infrastructure</t>
  </si>
  <si>
    <t>PR14ANHHHR_R-A1</t>
  </si>
  <si>
    <t>ANH-32</t>
  </si>
  <si>
    <t>R-A1: Qualitative service incentive mechanism (SIM) score</t>
  </si>
  <si>
    <t>text</t>
  </si>
  <si>
    <t>Service incentive mechanism (SIM) score ranking (WaSCs)</t>
  </si>
  <si>
    <t>3rd+</t>
  </si>
  <si>
    <t>PR14ANHHHR_R-A2</t>
  </si>
  <si>
    <t>ANH-33</t>
  </si>
  <si>
    <t>R-A2: Service incentive mechanism (SIM)</t>
  </si>
  <si>
    <t>PR14ANHHHR_R-A3</t>
  </si>
  <si>
    <t>R-A3</t>
  </si>
  <si>
    <t>ANH-34</t>
  </si>
  <si>
    <t>R-A3: Customer Satisfaction Index prepared by UK Institute of Customer Service</t>
  </si>
  <si>
    <t>UQ utility</t>
  </si>
  <si>
    <t>PR14ANHHHR_R-B1</t>
  </si>
  <si>
    <t>R-B1</t>
  </si>
  <si>
    <t>ANH-35</t>
  </si>
  <si>
    <t>R-B1: Fairness of bills perception - variation from baseline against WaSCs</t>
  </si>
  <si>
    <t>PR14ANHHHR_R-B2</t>
  </si>
  <si>
    <t>R-B2</t>
  </si>
  <si>
    <t>ANH-36</t>
  </si>
  <si>
    <t>R-B2: Affordability perception - variation from baseline against WaSCs</t>
  </si>
  <si>
    <t>PR14ANHHHR_R-C1</t>
  </si>
  <si>
    <t>R-C1</t>
  </si>
  <si>
    <t>ANH-37</t>
  </si>
  <si>
    <t>R-C1: Operational carbon (% reduction from 2015 baseline)</t>
  </si>
  <si>
    <t>PR14ANHHHR_R-C2</t>
  </si>
  <si>
    <t>R-C2</t>
  </si>
  <si>
    <t>ANH-38</t>
  </si>
  <si>
    <t>R-C2: Embodied carbon (% reduction from 2010 baseline)</t>
  </si>
  <si>
    <t>PR14ANHHHR_R-D1</t>
  </si>
  <si>
    <t>R-D1</t>
  </si>
  <si>
    <t>ANH-39</t>
  </si>
  <si>
    <t>R-D1: Survey of community perception</t>
  </si>
  <si>
    <t>BRL</t>
  </si>
  <si>
    <t>PR14BRLWSW_A1</t>
  </si>
  <si>
    <t>Reliable supply</t>
  </si>
  <si>
    <t>A1</t>
  </si>
  <si>
    <t>BRL-01</t>
  </si>
  <si>
    <t>A1: Unplanned customer minutes lost</t>
  </si>
  <si>
    <t>PR14BRLWSW_A2</t>
  </si>
  <si>
    <t>A2</t>
  </si>
  <si>
    <t>BRL-02</t>
  </si>
  <si>
    <t>A2: Asset reliability - infrastructure</t>
  </si>
  <si>
    <t>RCV</t>
  </si>
  <si>
    <t>Asset health indicator</t>
  </si>
  <si>
    <t>Deteriorating</t>
  </si>
  <si>
    <t>Marginal</t>
  </si>
  <si>
    <t>PR14BRLWSW_A3</t>
  </si>
  <si>
    <t>A3</t>
  </si>
  <si>
    <t>BRL-03</t>
  </si>
  <si>
    <t>A3: Asset reliability - non-infrastructure</t>
  </si>
  <si>
    <t>PR14BRLWSW_B1</t>
  </si>
  <si>
    <t>Resilient supply</t>
  </si>
  <si>
    <t>B1</t>
  </si>
  <si>
    <t>BRL-04</t>
  </si>
  <si>
    <t>B1: Population in centres &gt;25,000 at risk from asset failure</t>
  </si>
  <si>
    <t>No. of people (population)</t>
  </si>
  <si>
    <t>PR14BRLWSW_C1</t>
  </si>
  <si>
    <t>Sufficient supply</t>
  </si>
  <si>
    <t>C1</t>
  </si>
  <si>
    <t>BRL-05</t>
  </si>
  <si>
    <t>C1: Security of supply index (SOSI)</t>
  </si>
  <si>
    <t>PR14BRLWSW_C2</t>
  </si>
  <si>
    <t>C2</t>
  </si>
  <si>
    <t>BRL-06</t>
  </si>
  <si>
    <t>C2: Hosepipe ban frequency</t>
  </si>
  <si>
    <t>No. of expected days that water restrictions are placed</t>
  </si>
  <si>
    <t>PR14BRLWSW_D1</t>
  </si>
  <si>
    <t>Safe drinking water</t>
  </si>
  <si>
    <t>D1</t>
  </si>
  <si>
    <t>BRL-07</t>
  </si>
  <si>
    <t>D1: Mean zonal compliance (MZC)</t>
  </si>
  <si>
    <t>0.01%</t>
  </si>
  <si>
    <t>PR14BRLWSW_E1</t>
  </si>
  <si>
    <t>Water is good to drink</t>
  </si>
  <si>
    <t>E1</t>
  </si>
  <si>
    <t>BRL-09</t>
  </si>
  <si>
    <t>E1: Negative water quality contacts</t>
  </si>
  <si>
    <t>No. of contacts per year</t>
  </si>
  <si>
    <t>PR14BRLWSW_F1</t>
  </si>
  <si>
    <t>Efficient use of resources by company</t>
  </si>
  <si>
    <t>F1</t>
  </si>
  <si>
    <t>BRL-10</t>
  </si>
  <si>
    <t>F1: Leakage</t>
  </si>
  <si>
    <t>PR14BRLWSW_G1</t>
  </si>
  <si>
    <t>Efficient use of resources by customers</t>
  </si>
  <si>
    <t>G1</t>
  </si>
  <si>
    <t>BRL-11</t>
  </si>
  <si>
    <t>G1: Meter penetration</t>
  </si>
  <si>
    <t>Metering</t>
  </si>
  <si>
    <t xml:space="preserve">% metered supplies </t>
  </si>
  <si>
    <t>PR14BRLWSW_H1</t>
  </si>
  <si>
    <t>Sustainable environmental impact</t>
  </si>
  <si>
    <t>H1</t>
  </si>
  <si>
    <t>BRL-12</t>
  </si>
  <si>
    <t>H1: Total carbon emissions</t>
  </si>
  <si>
    <t>kgCO2e per person</t>
  </si>
  <si>
    <t>PR14BRLWSW_H2</t>
  </si>
  <si>
    <t>H2</t>
  </si>
  <si>
    <t>BRL-13</t>
  </si>
  <si>
    <t>H2: Raw water quality of sources</t>
  </si>
  <si>
    <t>PR14BRLWSW_H3</t>
  </si>
  <si>
    <t>H3</t>
  </si>
  <si>
    <t>BRL-14</t>
  </si>
  <si>
    <t>H3: Biodiversity index</t>
  </si>
  <si>
    <t>Biodiversity index</t>
  </si>
  <si>
    <t>TBC (under development)</t>
  </si>
  <si>
    <t>TBC (improving)</t>
  </si>
  <si>
    <t>PR14BRLWSW_H4</t>
  </si>
  <si>
    <t>H4</t>
  </si>
  <si>
    <t>BRL-15</t>
  </si>
  <si>
    <t>H4: Waste disposal compliance</t>
  </si>
  <si>
    <t>Waste disposal</t>
  </si>
  <si>
    <t>% waste disposal compliance</t>
  </si>
  <si>
    <t>PR14BRLHHR_G2</t>
  </si>
  <si>
    <t>G2</t>
  </si>
  <si>
    <t>BRL-16</t>
  </si>
  <si>
    <t>G2: Per capita consumption (PCC), measured as litres per head per day (l/h/d)</t>
  </si>
  <si>
    <t>Litres per head per day (l/h/d)</t>
  </si>
  <si>
    <t>PR14BRLHHR_I1</t>
  </si>
  <si>
    <t>Affordable bills</t>
  </si>
  <si>
    <t>I1</t>
  </si>
  <si>
    <t>BRL-17</t>
  </si>
  <si>
    <t>I1: Percentage of customers in water poverty</t>
  </si>
  <si>
    <t>% customers in water poverty</t>
  </si>
  <si>
    <t>PR14BRLHHR_J1</t>
  </si>
  <si>
    <t>J1</t>
  </si>
  <si>
    <t>BRL-18</t>
  </si>
  <si>
    <t>J1: Service incentive mechanism (SIM)</t>
  </si>
  <si>
    <t>Service incentive mechanism (SIM) score ranking</t>
  </si>
  <si>
    <t>Top 5</t>
  </si>
  <si>
    <t>PR14BRLHHR_J2</t>
  </si>
  <si>
    <t>J2</t>
  </si>
  <si>
    <t>BRL-19</t>
  </si>
  <si>
    <t>J2: General satisfaction from surveys</t>
  </si>
  <si>
    <t>&gt;93</t>
  </si>
  <si>
    <t>PR14BRLHHR_J3</t>
  </si>
  <si>
    <t>J3</t>
  </si>
  <si>
    <t>BRL-20</t>
  </si>
  <si>
    <t>J3: Value for money</t>
  </si>
  <si>
    <t>PR14BRLHHR_K1</t>
  </si>
  <si>
    <t>Easy to contact</t>
  </si>
  <si>
    <t>K1</t>
  </si>
  <si>
    <t>BRL-21</t>
  </si>
  <si>
    <t>K1: Ease of contact from surveys</t>
  </si>
  <si>
    <t>&gt;96.5</t>
  </si>
  <si>
    <t>PR14BRLHHR_L1</t>
  </si>
  <si>
    <t>Bills are accurate and easy to understand</t>
  </si>
  <si>
    <t>L1</t>
  </si>
  <si>
    <t>BRL-22</t>
  </si>
  <si>
    <t>L1: Negative billing contacts</t>
  </si>
  <si>
    <t>DVW</t>
  </si>
  <si>
    <t>PR14DVWWSW_A1</t>
  </si>
  <si>
    <t>Provide excellent water quality</t>
  </si>
  <si>
    <t>DVW-01</t>
  </si>
  <si>
    <t>A1: Discoloured water contacts</t>
  </si>
  <si>
    <t>PR14DVWWSW_A2</t>
  </si>
  <si>
    <t>DVW-02</t>
  </si>
  <si>
    <t>A2: Mean zonal compliance (MZC)</t>
  </si>
  <si>
    <t>PR14DVWWSW_A3</t>
  </si>
  <si>
    <t>DVW-03</t>
  </si>
  <si>
    <t>A3: Delivery of the outcomes of the Legacy water treatment works (south west Wrexham) major scheme</t>
  </si>
  <si>
    <t>Pass/fail (until completion)</t>
  </si>
  <si>
    <t>Complete</t>
  </si>
  <si>
    <t>PR14DVWWSW_A4</t>
  </si>
  <si>
    <t>A4</t>
  </si>
  <si>
    <t>DVW-04</t>
  </si>
  <si>
    <t>A4: Delivery of the outcomes of the service reservoir water quality risk management schemes</t>
  </si>
  <si>
    <t>Pass/fail (for each scheme)</t>
  </si>
  <si>
    <t>Milestone</t>
  </si>
  <si>
    <t>4 schemes complete</t>
  </si>
  <si>
    <t>PR14DVWWSW_B1</t>
  </si>
  <si>
    <t>Provide reliable and high quality customer service</t>
  </si>
  <si>
    <t>DVW-05</t>
  </si>
  <si>
    <t>B1: Average duration of interruptions - 3 hours or longer (planned and unplanned interruptions)</t>
  </si>
  <si>
    <t>Hours / property / year</t>
  </si>
  <si>
    <t>0.01 hours</t>
  </si>
  <si>
    <t>PR14DVWWSW_B2</t>
  </si>
  <si>
    <t>B2</t>
  </si>
  <si>
    <t>DVW-06</t>
  </si>
  <si>
    <t>Litres per property per day (l/prop/day)</t>
  </si>
  <si>
    <t>PR14DVWWSW_B3</t>
  </si>
  <si>
    <t>B3</t>
  </si>
  <si>
    <t>DVW-07</t>
  </si>
  <si>
    <t>B3: Security of supply index (SOSI)</t>
  </si>
  <si>
    <t>PR14DVWWSW_B4</t>
  </si>
  <si>
    <t>B4</t>
  </si>
  <si>
    <t>DVW-08</t>
  </si>
  <si>
    <t>B4: Number of bursts</t>
  </si>
  <si>
    <t>PR14DVWWSW_C1</t>
  </si>
  <si>
    <t>Minimise the environmental impact</t>
  </si>
  <si>
    <t>DVW-09</t>
  </si>
  <si>
    <t>C1: Gross operational greenhouse gas emissions</t>
  </si>
  <si>
    <t>tCO2e</t>
  </si>
  <si>
    <t>PR14DVWWSW_D1</t>
  </si>
  <si>
    <t>Provide a value for money service</t>
  </si>
  <si>
    <t>DVW-10</t>
  </si>
  <si>
    <t>D1: Customers’ perception based on market research</t>
  </si>
  <si>
    <t>PR14DVWNHHR_F1</t>
  </si>
  <si>
    <t>Retail (NH)</t>
  </si>
  <si>
    <t>NHHR</t>
  </si>
  <si>
    <t>Provide reliable and high quality customer service (non-household customers)</t>
  </si>
  <si>
    <t>DVW-13</t>
  </si>
  <si>
    <t>F1: Non-household Service incentive mechanism (SIM)</t>
  </si>
  <si>
    <t>PR14DVWHHR_E1</t>
  </si>
  <si>
    <t>Provide reliable and high quality customer service (household customers)</t>
  </si>
  <si>
    <t>DVW-11</t>
  </si>
  <si>
    <t>E1: Per capita consumption and water efficiency</t>
  </si>
  <si>
    <t>Litres per capita per day</t>
  </si>
  <si>
    <t>PR14DVWHHR_E2</t>
  </si>
  <si>
    <t>E2</t>
  </si>
  <si>
    <t>DVW-12</t>
  </si>
  <si>
    <t>E2: Service incentive mechanism (SIM)</t>
  </si>
  <si>
    <t>NES</t>
  </si>
  <si>
    <t>PR14NESWSW_W-A1</t>
  </si>
  <si>
    <t>We deliver water and sewerage services that meet the needs of current and future generations in a changing world</t>
  </si>
  <si>
    <t>NES-01</t>
  </si>
  <si>
    <t>W-A1: Asset health measures - water</t>
  </si>
  <si>
    <t>N/A</t>
  </si>
  <si>
    <t>N/A (measured in separate PCs)</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</si>
  <si>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</si>
  <si>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</si>
  <si>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</si>
  <si>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</si>
  <si>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</si>
  <si>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</si>
  <si>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</si>
  <si>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</si>
  <si>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</si>
  <si>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</si>
  <si>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</si>
  <si>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</si>
  <si>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PR14NESWSW_W-B2</t>
  </si>
  <si>
    <t>NES-03</t>
  </si>
  <si>
    <t>&gt;99.94</t>
  </si>
  <si>
    <t>&lt;99.910</t>
  </si>
  <si>
    <t>&lt;99.913</t>
  </si>
  <si>
    <t>&lt;99.917</t>
  </si>
  <si>
    <t>&lt;99.920</t>
  </si>
  <si>
    <t>&lt;99.940</t>
  </si>
  <si>
    <t>&lt;99.943</t>
  </si>
  <si>
    <t>&lt;99.947</t>
  </si>
  <si>
    <t>&lt;99.950</t>
  </si>
  <si>
    <t>PR14NESWSW_W-B3</t>
  </si>
  <si>
    <t>W-B3</t>
  </si>
  <si>
    <t>NES-04</t>
  </si>
  <si>
    <t>&gt;5544</t>
  </si>
  <si>
    <t>&gt;4998</t>
  </si>
  <si>
    <t>&gt;4452</t>
  </si>
  <si>
    <t>&gt;3906</t>
  </si>
  <si>
    <t>&gt;4600</t>
  </si>
  <si>
    <t>&gt;4054</t>
  </si>
  <si>
    <t>&gt;3508</t>
  </si>
  <si>
    <t>&gt;2962</t>
  </si>
  <si>
    <t>&lt;2962</t>
  </si>
  <si>
    <t>&lt;2759</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</si>
  <si>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</si>
  <si>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</si>
  <si>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</si>
  <si>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</si>
  <si>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</si>
  <si>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</si>
  <si>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</si>
  <si>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</si>
  <si>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</si>
  <si>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</si>
  <si>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</si>
  <si>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</si>
  <si>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</si>
  <si>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</si>
  <si>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</si>
  <si>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</si>
  <si>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</si>
  <si>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</si>
  <si>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</si>
  <si>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</si>
  <si>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</si>
  <si>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</si>
  <si>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PR14NESWSW_W-C2</t>
  </si>
  <si>
    <t>NES-06</t>
  </si>
  <si>
    <t>&gt;257</t>
  </si>
  <si>
    <t>&gt;236</t>
  </si>
  <si>
    <t>&lt;175</t>
  </si>
  <si>
    <t>PR14NESWSW_W-C3</t>
  </si>
  <si>
    <t>NES-07</t>
  </si>
  <si>
    <t>&gt;5366</t>
  </si>
  <si>
    <t>&gt;4976</t>
  </si>
  <si>
    <t>PR14NESWSW_W-C4</t>
  </si>
  <si>
    <t>NES-08</t>
  </si>
  <si>
    <t>W-C4: Leakage (Ml/d) Northumbrian area</t>
  </si>
  <si>
    <t>&gt;162</t>
  </si>
  <si>
    <t>&gt;160</t>
  </si>
  <si>
    <t>&gt;142</t>
  </si>
  <si>
    <t>&gt;140</t>
  </si>
  <si>
    <t>&lt;131</t>
  </si>
  <si>
    <t>&lt;111</t>
  </si>
  <si>
    <t>PR14NESWSW_W-C5</t>
  </si>
  <si>
    <t>W-C5</t>
  </si>
  <si>
    <t>NES-09</t>
  </si>
  <si>
    <t>W-C5: Leakage (Ml/d) Essex &amp; Suffolk area</t>
  </si>
  <si>
    <t>&gt;77</t>
  </si>
  <si>
    <t>&gt;67</t>
  </si>
  <si>
    <t>&lt;56</t>
  </si>
  <si>
    <t>&lt;46</t>
  </si>
  <si>
    <t>PR14NESWSW_W-D1</t>
  </si>
  <si>
    <t>We provide excellent service and impress our customers</t>
  </si>
  <si>
    <t>NES-10</t>
  </si>
  <si>
    <t>W-D1: NWL independent overall customer satisfaction score</t>
  </si>
  <si>
    <t>Score between 0 and 10</t>
  </si>
  <si>
    <t>PR14NESWSW_W-D2</t>
  </si>
  <si>
    <t>NES-11</t>
  </si>
  <si>
    <t>W-D2: Service incentive mechanism (SIM)</t>
  </si>
  <si>
    <t>PR14NESWSW_W-D3</t>
  </si>
  <si>
    <t>NES-12</t>
  </si>
  <si>
    <t>W-D3: Domestic customer satisfaction, net promoter score</t>
  </si>
  <si>
    <t>PR14NESWSW_W-E1</t>
  </si>
  <si>
    <t>Our customers are well informed about the services they receive and the value of water</t>
  </si>
  <si>
    <t>NES-13</t>
  </si>
  <si>
    <t>W-E1: NWL independent survey on keeping customers informed</t>
  </si>
  <si>
    <t>New measure</t>
  </si>
  <si>
    <t>PR14NESWSW_W-F1</t>
  </si>
  <si>
    <t>We protect and enhance the environment in delivering services, leading by example</t>
  </si>
  <si>
    <t>NES-14</t>
  </si>
  <si>
    <t>W-F1: Greenhouse gas emissions</t>
  </si>
  <si>
    <t>ktCO2e</t>
  </si>
  <si>
    <t>PR14NESWSW_W-F2</t>
  </si>
  <si>
    <t>NES-15</t>
  </si>
  <si>
    <t>W-F2: Annual environmental performance report</t>
  </si>
  <si>
    <t>PR14NESWSWW_S-A1</t>
  </si>
  <si>
    <t>S-A1</t>
  </si>
  <si>
    <t>NES-16</t>
  </si>
  <si>
    <t>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</si>
  <si>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</si>
  <si>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</si>
  <si>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</si>
  <si>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</si>
  <si>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</si>
  <si>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</si>
  <si>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</si>
  <si>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</si>
  <si>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</si>
  <si>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PR14NESWSWW_S-B2</t>
  </si>
  <si>
    <t>S-B2</t>
  </si>
  <si>
    <t>NES-18</t>
  </si>
  <si>
    <t>S-B2: Properties flooded internally</t>
  </si>
  <si>
    <t>No. of properties flooded internally per year</t>
  </si>
  <si>
    <t>PR14NESWSWW_S-B3</t>
  </si>
  <si>
    <t>S-B3</t>
  </si>
  <si>
    <t>NES-19</t>
  </si>
  <si>
    <t>&gt;761</t>
  </si>
  <si>
    <t>&gt;620</t>
  </si>
  <si>
    <t>&lt;237</t>
  </si>
  <si>
    <t>&lt;140</t>
  </si>
  <si>
    <t>PR14NESWSWW_S-B4</t>
  </si>
  <si>
    <t>S-B4</t>
  </si>
  <si>
    <t>NES-20</t>
  </si>
  <si>
    <t>No. of sewer collapses per year - excluding TDSs</t>
  </si>
  <si>
    <t>&gt;80</t>
  </si>
  <si>
    <t>&gt;70</t>
  </si>
  <si>
    <t>PR14NESWSWW_S-B5</t>
  </si>
  <si>
    <t>S-B5</t>
  </si>
  <si>
    <t>NES-21</t>
  </si>
  <si>
    <t>S-B5: Transferred drains and sewers - internal sewer flooding</t>
  </si>
  <si>
    <t>&gt;381</t>
  </si>
  <si>
    <t>&gt;298</t>
  </si>
  <si>
    <t>&lt;158</t>
  </si>
  <si>
    <t>&lt;61</t>
  </si>
  <si>
    <t>PR14NESWSWW_S-B6</t>
  </si>
  <si>
    <t>S-B6</t>
  </si>
  <si>
    <t>NES-22</t>
  </si>
  <si>
    <t>S-B6: Transferred drains and sewers - external sewer flooding</t>
  </si>
  <si>
    <t>&gt;3548</t>
  </si>
  <si>
    <t>&gt;3381</t>
  </si>
  <si>
    <t>&lt;2481</t>
  </si>
  <si>
    <t>&lt;1981</t>
  </si>
  <si>
    <t>PR14NESWSWW_S-B7</t>
  </si>
  <si>
    <t>S-B7</t>
  </si>
  <si>
    <t>NES-23</t>
  </si>
  <si>
    <t>S-B7: Transferred drains and sewers - sewer collapses</t>
  </si>
  <si>
    <t>No. of sewer collapses per year - TDSs</t>
  </si>
  <si>
    <t>PR14NESWSWW_S-C1</t>
  </si>
  <si>
    <t>We help to improve the quality of rivers and coastal waters for the benefit of people, the environment and wildlife</t>
  </si>
  <si>
    <t>NES-24</t>
  </si>
  <si>
    <t>No. discharge permit condition failures per year</t>
  </si>
  <si>
    <t>&gt;2</t>
  </si>
  <si>
    <t>&gt;1</t>
  </si>
  <si>
    <t>PR14NESWSWW_S-C2</t>
  </si>
  <si>
    <t>NES-25</t>
  </si>
  <si>
    <t>&gt;191</t>
  </si>
  <si>
    <t>&gt;181</t>
  </si>
  <si>
    <t>&gt;170</t>
  </si>
  <si>
    <t>&gt;153</t>
  </si>
  <si>
    <t>&gt;143</t>
  </si>
  <si>
    <t>&gt;132</t>
  </si>
  <si>
    <t>&gt;122</t>
  </si>
  <si>
    <t>&lt;77</t>
  </si>
  <si>
    <t>&lt;57</t>
  </si>
  <si>
    <t>PR14NESWSWW_S-C3</t>
  </si>
  <si>
    <t>NES-26</t>
  </si>
  <si>
    <t>S-C3: Bathing water compliance</t>
  </si>
  <si>
    <t>No. of bathing waters per year</t>
  </si>
  <si>
    <t>&lt;31</t>
  </si>
  <si>
    <t>&lt;32</t>
  </si>
  <si>
    <t>&lt;33</t>
  </si>
  <si>
    <t>PR14NESWSWW_S-C4</t>
  </si>
  <si>
    <t>NES-27</t>
  </si>
  <si>
    <t>S-C4: Whitburn combined sewer overflow (CSO) scheme</t>
  </si>
  <si>
    <t>Delivery / non-delivery</t>
  </si>
  <si>
    <t>Non-delivery</t>
  </si>
  <si>
    <t>Delivery</t>
  </si>
  <si>
    <t>PR14NESWSWW_S-D1</t>
  </si>
  <si>
    <t>NES-28</t>
  </si>
  <si>
    <t>S-D1: NWL independent overall customer satisfaction score</t>
  </si>
  <si>
    <t>Customer satisfaction score out of 10</t>
  </si>
  <si>
    <t>PR14NESWSWW_S-D2</t>
  </si>
  <si>
    <t>NES-29</t>
  </si>
  <si>
    <t>PR14NESWSWW_S-D3</t>
  </si>
  <si>
    <t>S-D3</t>
  </si>
  <si>
    <t>NES-30</t>
  </si>
  <si>
    <t>S-D3: Domestic customer satisfaction, net promoter score</t>
  </si>
  <si>
    <t>PR14NESWSWW_S-E1</t>
  </si>
  <si>
    <t>NES-31</t>
  </si>
  <si>
    <t>S-E1: NWL independent survey on keeping customers informed</t>
  </si>
  <si>
    <t>PR14NESWSWW_S-F1</t>
  </si>
  <si>
    <t>We protect and enhance the environment in delivering our services, leading by example</t>
  </si>
  <si>
    <t>NES-32</t>
  </si>
  <si>
    <t>S-F1: Greenhouse gas emissions</t>
  </si>
  <si>
    <t>PR14NESWSWW_S-F2</t>
  </si>
  <si>
    <t>NES-33</t>
  </si>
  <si>
    <t>S-F2: Annual environmental performance report</t>
  </si>
  <si>
    <t>PR14NESHHR_R-B1</t>
  </si>
  <si>
    <t>NES-34</t>
  </si>
  <si>
    <t>R-B1: NWL independent overall customer satisfaction score</t>
  </si>
  <si>
    <t>PR14NESHHR_R-B2</t>
  </si>
  <si>
    <t>NES-35</t>
  </si>
  <si>
    <t>R-B2: Service incentive mechanism (SIM)</t>
  </si>
  <si>
    <t>PR14NESHHR_R-B3</t>
  </si>
  <si>
    <t>R-B3</t>
  </si>
  <si>
    <t>NES-36</t>
  </si>
  <si>
    <t>R-B3: Domestic customer satisfaction, net promoter score</t>
  </si>
  <si>
    <t>PR14NESHHR_R-C1</t>
  </si>
  <si>
    <t>Our customers consider the services they receive to be value for money</t>
  </si>
  <si>
    <t>NES-37</t>
  </si>
  <si>
    <t>R-C1: NWL independent value for money survey</t>
  </si>
  <si>
    <t>PR14NESHHR_R-C2</t>
  </si>
  <si>
    <t>NES-38</t>
  </si>
  <si>
    <t>R-C2: Satisfied with value for money of water services - Northumbrian region (CCWater research)</t>
  </si>
  <si>
    <t>PR14NESHHR_R-C3</t>
  </si>
  <si>
    <t>R-C3</t>
  </si>
  <si>
    <t>NES-39</t>
  </si>
  <si>
    <t>R-C3: Satisfied with value for money of sewerage services - Northumbrian region (CCWater research)</t>
  </si>
  <si>
    <t>PR14NESHHR_R-C4</t>
  </si>
  <si>
    <t>R-C4</t>
  </si>
  <si>
    <t>NES-40</t>
  </si>
  <si>
    <t>R-C4: Satisfied with value for money of water services - Essex &amp; Suffolk region (CCWater research)</t>
  </si>
  <si>
    <t>PR14NESHHR_R-D1</t>
  </si>
  <si>
    <t>NES-41</t>
  </si>
  <si>
    <t>R-D1: NWL independent survey on keeping customers informed</t>
  </si>
  <si>
    <t>PR14NESHHR_R-E1</t>
  </si>
  <si>
    <t>R-E1</t>
  </si>
  <si>
    <t>NES-42</t>
  </si>
  <si>
    <t>R-E1: Greenhouse gas emissions</t>
  </si>
  <si>
    <t>PR14NESHHR_R-E2</t>
  </si>
  <si>
    <t>R-E2</t>
  </si>
  <si>
    <t>NES-43</t>
  </si>
  <si>
    <t>R-E2: Annual environmental performance report</t>
  </si>
  <si>
    <t>PR14NESHHR_R-F1</t>
  </si>
  <si>
    <t>We are an efficient and innovative company</t>
  </si>
  <si>
    <t>R-F1</t>
  </si>
  <si>
    <t>NES-44</t>
  </si>
  <si>
    <t>R-F1: Delivering a consolidated Customer Information and Billing (CIB) system</t>
  </si>
  <si>
    <t>£m</t>
  </si>
  <si>
    <t>£ million cumulative depreciation</t>
  </si>
  <si>
    <t>See comment</t>
  </si>
  <si>
    <t>PRT</t>
  </si>
  <si>
    <t>PR14PRTWSW_A1</t>
  </si>
  <si>
    <t>Safe, secure and reliable drinking water</t>
  </si>
  <si>
    <t>PRT-01</t>
  </si>
  <si>
    <t>A1: Bursts</t>
  </si>
  <si>
    <t>PR14PRTWSW_A2</t>
  </si>
  <si>
    <t>PRT-02</t>
  </si>
  <si>
    <t>A2: Water quality standards</t>
  </si>
  <si>
    <t>PR14PRTWSW_A3</t>
  </si>
  <si>
    <t>PRT-03</t>
  </si>
  <si>
    <t>A3: Water quality contacts</t>
  </si>
  <si>
    <t>0.01 contacts</t>
  </si>
  <si>
    <t>PR14PRTWSW_A4</t>
  </si>
  <si>
    <t>PRT-04</t>
  </si>
  <si>
    <t>A4: Temporary usage bans</t>
  </si>
  <si>
    <t>PR14PRTWSW_B1</t>
  </si>
  <si>
    <t>Less water lost through leakage</t>
  </si>
  <si>
    <t>PRT-05</t>
  </si>
  <si>
    <t>B1: Leakage</t>
  </si>
  <si>
    <t>PR14PRTWSW_C1</t>
  </si>
  <si>
    <t>High quality service</t>
  </si>
  <si>
    <t>PRT-06</t>
  </si>
  <si>
    <t>C1: Interruptions to supply</t>
  </si>
  <si>
    <t>PR14PRTWSW_D1</t>
  </si>
  <si>
    <t>An improved environment supporting biodiversity</t>
  </si>
  <si>
    <t>PRT-07</t>
  </si>
  <si>
    <t>D1: Biodiversity</t>
  </si>
  <si>
    <t>% (completion of agreed actions)</t>
  </si>
  <si>
    <t>10%</t>
  </si>
  <si>
    <t>PR14PRTWSW_D2</t>
  </si>
  <si>
    <t>D2</t>
  </si>
  <si>
    <t>PRT-08</t>
  </si>
  <si>
    <t>D2: Water Framework Directive (WFD)</t>
  </si>
  <si>
    <t>Programme completion</t>
  </si>
  <si>
    <t>Target date</t>
  </si>
  <si>
    <t>Delivered</t>
  </si>
  <si>
    <t>PR14PRTWSW_D3</t>
  </si>
  <si>
    <t>D3</t>
  </si>
  <si>
    <t>PRT-09</t>
  </si>
  <si>
    <t>D3: Carbon</t>
  </si>
  <si>
    <t>PR14PRTWSW_E1</t>
  </si>
  <si>
    <t>Health and safety culture</t>
  </si>
  <si>
    <t>PRT-10</t>
  </si>
  <si>
    <t>E1: RoSPA Health and Safety accreditation</t>
  </si>
  <si>
    <t>Health &amp; safety</t>
  </si>
  <si>
    <t>Awarded</t>
  </si>
  <si>
    <t>PR14PRTHHR_A1</t>
  </si>
  <si>
    <t>PRT-11</t>
  </si>
  <si>
    <t>A1: Service incentive mechanism (SIM)</t>
  </si>
  <si>
    <t>UQ</t>
  </si>
  <si>
    <t>PR14PRTHHR_B1</t>
  </si>
  <si>
    <t>PRT-12</t>
  </si>
  <si>
    <t>B1: Reducing per capita consumption (PCC)</t>
  </si>
  <si>
    <t>PR14PRTHHR_C1</t>
  </si>
  <si>
    <t>Supporting the community</t>
  </si>
  <si>
    <t>PRT-13</t>
  </si>
  <si>
    <t>C1: Survey of developers</t>
  </si>
  <si>
    <t>SBW</t>
  </si>
  <si>
    <t>PR14SBWWSW_A1</t>
  </si>
  <si>
    <t>Safe and wholesome water</t>
  </si>
  <si>
    <t>SBW-01</t>
  </si>
  <si>
    <t>A1: Customer contacts: taste and appearance (water quality contacts)</t>
  </si>
  <si>
    <t>PR14SBWWSW_A2</t>
  </si>
  <si>
    <t>SBW-02</t>
  </si>
  <si>
    <t>A2: WS (WQ) regulation compliance - mean zonal compliance (compliance with DWI regulations)</t>
  </si>
  <si>
    <t>PR14SBWWSW_B1</t>
  </si>
  <si>
    <t>Reliable water supply</t>
  </si>
  <si>
    <t>SBW-03</t>
  </si>
  <si>
    <t>B1: Reduce leakage (to less than or equal to 20.00 Ml/d by 2020)</t>
  </si>
  <si>
    <t>0.1Ml/d</t>
  </si>
  <si>
    <t>PR14SBWWSW_B2</t>
  </si>
  <si>
    <t>SBW-04</t>
  </si>
  <si>
    <t>B2: Large scale interruptions (minimise risk of large scale interruption to 12,000 properties)</t>
  </si>
  <si>
    <t>1,000 properties</t>
  </si>
  <si>
    <t>PR14SBWWSW_B3</t>
  </si>
  <si>
    <t>SBW-05</t>
  </si>
  <si>
    <t>B3: Decreasing average interruptions &gt;3 hours</t>
  </si>
  <si>
    <t>PR14SBWWSW_B4</t>
  </si>
  <si>
    <t>SBW-06</t>
  </si>
  <si>
    <t>B4: Maintain serviceable assets</t>
  </si>
  <si>
    <t>PR14SBWWSW_B5</t>
  </si>
  <si>
    <t>B5</t>
  </si>
  <si>
    <t>SBW-07</t>
  </si>
  <si>
    <t>B5: Metering - continue current strategy</t>
  </si>
  <si>
    <t>No. of additional meters installed</t>
  </si>
  <si>
    <t>PR14SBWWSW_B6</t>
  </si>
  <si>
    <t>B6</t>
  </si>
  <si>
    <t>SBW-08</t>
  </si>
  <si>
    <t>PR14SBWWSW_C1</t>
  </si>
  <si>
    <t>Providing an excellent customer experience</t>
  </si>
  <si>
    <t>SBW-09</t>
  </si>
  <si>
    <t>C1: Repair visible leaks</t>
  </si>
  <si>
    <t>% visible leaks repaired within 7 days</t>
  </si>
  <si>
    <t>PR14SBWWSW_D1</t>
  </si>
  <si>
    <t>Environmentally sustainable operations</t>
  </si>
  <si>
    <t>SBW-10</t>
  </si>
  <si>
    <t>D1: Reduce energy used in water delivery</t>
  </si>
  <si>
    <t>kWh/Ml (kilowatt hours per megalitre)</t>
  </si>
  <si>
    <t>PR14SBWWSW_D2</t>
  </si>
  <si>
    <t>SBW-11</t>
  </si>
  <si>
    <t>D2: Help support a natural healthy water environment (in addition to NEP statutory obligation work)</t>
  </si>
  <si>
    <t>Annual review of environmental work</t>
  </si>
  <si>
    <t>Annual review</t>
  </si>
  <si>
    <t>Ann review</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</si>
  <si>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</si>
  <si>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</si>
  <si>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</si>
  <si>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</si>
  <si>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</si>
  <si>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</si>
  <si>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PR14SBWHHR_A1</t>
  </si>
  <si>
    <t>SBW-13</t>
  </si>
  <si>
    <t>Service incentive mechanism (SIM) score (average)</t>
  </si>
  <si>
    <t>PR14SBWHHR_A2</t>
  </si>
  <si>
    <t>SBW-14</t>
  </si>
  <si>
    <t>A2: New customer relationship management (CRM) system</t>
  </si>
  <si>
    <t>PR14SBWHHR_B1</t>
  </si>
  <si>
    <t>A financially stable business</t>
  </si>
  <si>
    <t>SBW-15</t>
  </si>
  <si>
    <t>B1: Fair customer bills (efficient debt management: % of average bill)</t>
  </si>
  <si>
    <t>% of average bill</t>
  </si>
  <si>
    <t>3.00 - 3.75</t>
  </si>
  <si>
    <t>SES</t>
  </si>
  <si>
    <t>PR14SESWSW_A1</t>
  </si>
  <si>
    <t>Provide a reliable and sufficient supply of safe, high quality drinking water</t>
  </si>
  <si>
    <t>SES-01</t>
  </si>
  <si>
    <t>A1: Security of supply index (SoSI) dry year average</t>
  </si>
  <si>
    <t>1 breach/AMP</t>
  </si>
  <si>
    <t>PR14SESWSW_A2</t>
  </si>
  <si>
    <t>SES-02</t>
  </si>
  <si>
    <t>A2: Security of supply index (SoSI) critical period</t>
  </si>
  <si>
    <t>PR14SESWSW_A3</t>
  </si>
  <si>
    <t>SES-03</t>
  </si>
  <si>
    <t>A3: Supply interruptions &gt;3 hours</t>
  </si>
  <si>
    <t>PR14SESWSW_A4</t>
  </si>
  <si>
    <t>SES-04</t>
  </si>
  <si>
    <t>A4: Condition and reliability of the mains network - number of burst pipes a year</t>
  </si>
  <si>
    <t>PR14SESWSW_A5</t>
  </si>
  <si>
    <t>A5</t>
  </si>
  <si>
    <t>SES-05</t>
  </si>
  <si>
    <t>A5: Drinking Water Inspectorate’s (DWI) index of water quality</t>
  </si>
  <si>
    <t>PR14SESWSW_A6</t>
  </si>
  <si>
    <t>A6</t>
  </si>
  <si>
    <t>SES-06</t>
  </si>
  <si>
    <t>A6: Taste, odour and discolouration (number of contacts received)</t>
  </si>
  <si>
    <t>PR14SESWSW_A7</t>
  </si>
  <si>
    <t>A7</t>
  </si>
  <si>
    <t>SES-07</t>
  </si>
  <si>
    <t>A7: Water softening programme</t>
  </si>
  <si>
    <t>Programme delivery</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</si>
  <si>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</si>
  <si>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</si>
  <si>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</si>
  <si>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</si>
  <si>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</si>
  <si>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PR14SESWSW_C2</t>
  </si>
  <si>
    <t>SES-09</t>
  </si>
  <si>
    <t>C2: Percentage of properties that are connected to more than one treatment works (resilience measure)</t>
  </si>
  <si>
    <t>% props can be supplied from &gt;1 WTW</t>
  </si>
  <si>
    <t>PR14SESWSW_E1</t>
  </si>
  <si>
    <t>Reducing our impact on the environment while seeking to make a positive contribution to its quality</t>
  </si>
  <si>
    <t>SES-10</t>
  </si>
  <si>
    <t>E1: Level of leakage measured in megalitres per day (including customer supply pipe leakage)</t>
  </si>
  <si>
    <t>PR14SESWSW_E2</t>
  </si>
  <si>
    <t>SES-11</t>
  </si>
  <si>
    <t>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</si>
  <si>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</si>
  <si>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</si>
  <si>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</si>
  <si>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</si>
  <si>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</si>
  <si>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</si>
  <si>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</si>
  <si>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PR14SESWSW_E4</t>
  </si>
  <si>
    <t>E4</t>
  </si>
  <si>
    <t>SES-13</t>
  </si>
  <si>
    <t>E4: Greenhouse gas emissions per million litres of water supplied</t>
  </si>
  <si>
    <t>kgCO2e/Ml</t>
  </si>
  <si>
    <t>PR14SESWSW_E5</t>
  </si>
  <si>
    <t>E5</t>
  </si>
  <si>
    <t>SES-14</t>
  </si>
  <si>
    <t>E5: Number of severe pollution incidents (category 3 or worse, as reported by the Environment Agency)</t>
  </si>
  <si>
    <t>No. of pollution incidents (cats 1, 2 and 3)</t>
  </si>
  <si>
    <t>PR14SESWSW_E6</t>
  </si>
  <si>
    <t>E6</t>
  </si>
  <si>
    <t>SES-15</t>
  </si>
  <si>
    <t>E6: Environmental investigations or catchment management schemes carried out as part of the NEP</t>
  </si>
  <si>
    <t>No. of NEP schemes</t>
  </si>
  <si>
    <t>PR14SESHHR_B1</t>
  </si>
  <si>
    <t>Offering good value for money and keeping bills at a fair and reasonable level</t>
  </si>
  <si>
    <t>SES-16</t>
  </si>
  <si>
    <t>B1: Number of customers that are in water poverty and receiving assistance</t>
  </si>
  <si>
    <t>No. of customers</t>
  </si>
  <si>
    <t>PR14SESHHR_B2</t>
  </si>
  <si>
    <t>SES-17</t>
  </si>
  <si>
    <t>B2: Effectiveness of bad debt recovery (bad debt expressed as a percentage of turnover)</t>
  </si>
  <si>
    <t>Bad debt as % of total turnover</t>
  </si>
  <si>
    <t>&lt;1.00</t>
  </si>
  <si>
    <t>PR14SESHHR_B3</t>
  </si>
  <si>
    <t>SES-18</t>
  </si>
  <si>
    <t>B3: Customer perception of value for money</t>
  </si>
  <si>
    <t>&lt;15</t>
  </si>
  <si>
    <t>PR14SESHHR_D1</t>
  </si>
  <si>
    <t>Delivering consistently high levels of service</t>
  </si>
  <si>
    <t>SES-19</t>
  </si>
  <si>
    <t>D1: Customer satisfaction (level of satisfaction in response to the tracker survey (overall quality score))</t>
  </si>
  <si>
    <t>PR14SESHHR_D2</t>
  </si>
  <si>
    <t>SES-20</t>
  </si>
  <si>
    <t>D2: Service incentive mechanism (SIM)</t>
  </si>
  <si>
    <t>PR14SESHHR_D3</t>
  </si>
  <si>
    <t>SES-21</t>
  </si>
  <si>
    <t>D3: Total number of complaints</t>
  </si>
  <si>
    <t>No. per 1,000 billed properties</t>
  </si>
  <si>
    <t>SEW</t>
  </si>
  <si>
    <t>PR14SEWWSW_A1</t>
  </si>
  <si>
    <t>Customers consider the appearance of their water to be acceptable</t>
  </si>
  <si>
    <t>SEW-01</t>
  </si>
  <si>
    <t>A1: Customer satisfaction - appearance of water</t>
  </si>
  <si>
    <t>Customer satisfaction score out of 5</t>
  </si>
  <si>
    <t>0.1 index point</t>
  </si>
  <si>
    <t>PR14SEWWSW_B1</t>
  </si>
  <si>
    <t>Customers consider the taste and odour of their water to be acceptable</t>
  </si>
  <si>
    <t>SEW-02</t>
  </si>
  <si>
    <t>B1: Customer satisfaction - taste and odour of water</t>
  </si>
  <si>
    <t>PR14SEWWSW_C1</t>
  </si>
  <si>
    <t>Customers consider the level of leakage to be acceptable</t>
  </si>
  <si>
    <t>SEW-03</t>
  </si>
  <si>
    <t>C1: Customer satisfaction - level of leakage</t>
  </si>
  <si>
    <t>PR14SEWWSW_C2</t>
  </si>
  <si>
    <t>SEW-04</t>
  </si>
  <si>
    <t>C2: Leakage (actual reported leakage per Ml/d per year)</t>
  </si>
  <si>
    <t>PR14SEWWSW_D1</t>
  </si>
  <si>
    <t>Customers consider their direct interaction experience to be positive</t>
  </si>
  <si>
    <t>SEW-05</t>
  </si>
  <si>
    <t>D1: Customer satisfaction - direct interaction experience</t>
  </si>
  <si>
    <t>PR14SEWWSW_D2</t>
  </si>
  <si>
    <t>SEW-06</t>
  </si>
  <si>
    <t>D2: Service Incentive Mechanism (SIM)</t>
  </si>
  <si>
    <t>PR14SEWWSW_E1</t>
  </si>
  <si>
    <t>Customers consider their bills to be value for money and affordable</t>
  </si>
  <si>
    <t>SEW-07</t>
  </si>
  <si>
    <t>E1: Customer satisfaction - bills are value for money and affordable</t>
  </si>
  <si>
    <t>PR14SEWWSW_F1</t>
  </si>
  <si>
    <t>Customers consider the water supply is of sufficient pressure</t>
  </si>
  <si>
    <t>SEW-08</t>
  </si>
  <si>
    <t>F1: Customer satisfaction - water supply is of sufficient pressure</t>
  </si>
  <si>
    <t>PR14SEWWSW_F2</t>
  </si>
  <si>
    <t>F2</t>
  </si>
  <si>
    <t>SEW-09</t>
  </si>
  <si>
    <t>F2: Number of properties at risk of low pressure, as recorded on the DG2 register</t>
  </si>
  <si>
    <t>No. of properties on DG2 register</t>
  </si>
  <si>
    <t>PR14SEWWSW_G1</t>
  </si>
  <si>
    <t>Customers consider the frequency and duration of supply interruptions is acceptable</t>
  </si>
  <si>
    <t>SEW-10</t>
  </si>
  <si>
    <t>G1: Customer satisfaction - frequency and duration of supply interruptions</t>
  </si>
  <si>
    <t>PR14SEWWSW_G2</t>
  </si>
  <si>
    <t>SEW-11</t>
  </si>
  <si>
    <t>G2: Average time lost per property (measured in minutes, per property served)</t>
  </si>
  <si>
    <t>PR14SEWWSW_H1</t>
  </si>
  <si>
    <t>Customers consider the frequency of water use restrictions to be acceptable</t>
  </si>
  <si>
    <t>SEW-12</t>
  </si>
  <si>
    <t>H1: Customer satisfaction - frequency of water use restrictions</t>
  </si>
  <si>
    <t>PR14SEWWSW_H2</t>
  </si>
  <si>
    <t>SEW-13</t>
  </si>
  <si>
    <t>H2: Meeting the water resource deficit</t>
  </si>
  <si>
    <t>Pass/fail</t>
  </si>
  <si>
    <t>PR14SEWWSW_I1</t>
  </si>
  <si>
    <t>We are compliant with water quality regulations</t>
  </si>
  <si>
    <t>SEW-14</t>
  </si>
  <si>
    <t>I1: Mean zonal compliance (MZC)</t>
  </si>
  <si>
    <t>PR14SEWWSW_J1</t>
  </si>
  <si>
    <t>We are compliant with environmental obligations</t>
  </si>
  <si>
    <t>SEW-15</t>
  </si>
  <si>
    <t>J1: Number of breaches of abstraction licences, discharge consents and environmental permits</t>
  </si>
  <si>
    <t>No. of breaches</t>
  </si>
  <si>
    <t>PR14SEWWSW_J2</t>
  </si>
  <si>
    <t>SEW-16</t>
  </si>
  <si>
    <t>J2: Number of pollution incidents (category 1-2)</t>
  </si>
  <si>
    <t>No. of pollution incidents (cat 1 and 2)</t>
  </si>
  <si>
    <t>PR14SEWWSW_K1</t>
  </si>
  <si>
    <t>We are compliant with health and safety regulations</t>
  </si>
  <si>
    <t>SEW-17</t>
  </si>
  <si>
    <t>K1: Number of breaches of health and safety regulations, as defined by the Health and Safety Executive</t>
  </si>
  <si>
    <t>No. of H&amp;S regulation breaches</t>
  </si>
  <si>
    <t>PR14SEWWSW_L1</t>
  </si>
  <si>
    <t>We are compliant with National Security obligations</t>
  </si>
  <si>
    <t>SEW-18</t>
  </si>
  <si>
    <t>L1: Number of breaches of National Security obligations (Security and Emergency Measures Direction)</t>
  </si>
  <si>
    <t>SEMD</t>
  </si>
  <si>
    <t>No. of SEMD compliance breaches</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</si>
  <si>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</si>
  <si>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</si>
  <si>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</si>
  <si>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</si>
  <si>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</si>
  <si>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</si>
  <si>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PR14SEWWSW_N1</t>
  </si>
  <si>
    <t>Our assets are capable of delivering outcomes in the future</t>
  </si>
  <si>
    <t>N1</t>
  </si>
  <si>
    <t>SEW-20</t>
  </si>
  <si>
    <t>N1: Discolouration contacts</t>
  </si>
  <si>
    <t>PR14SEWWSW_N2</t>
  </si>
  <si>
    <t>N2</t>
  </si>
  <si>
    <t>SEW-21</t>
  </si>
  <si>
    <t>N2: Above ground asset performance assessment</t>
  </si>
  <si>
    <t>See FD appendix</t>
  </si>
  <si>
    <t>PR14SEWWSW_N3</t>
  </si>
  <si>
    <t>N3</t>
  </si>
  <si>
    <t>SEW-22</t>
  </si>
  <si>
    <t>N3: Number of company sites at risk of flooding</t>
  </si>
  <si>
    <t>No. of SEW sites at risk of flooding</t>
  </si>
  <si>
    <t>PR14SEWWSW_N4</t>
  </si>
  <si>
    <t>N4</t>
  </si>
  <si>
    <t>SEW-23</t>
  </si>
  <si>
    <t>N4: Water mains bursts</t>
  </si>
  <si>
    <t>PR14SEWWSW_O1</t>
  </si>
  <si>
    <t>We will reduce our impact on the environment</t>
  </si>
  <si>
    <t>O1</t>
  </si>
  <si>
    <t>SEW-24</t>
  </si>
  <si>
    <t>O1: Kg of carbon emissions per customer per year</t>
  </si>
  <si>
    <t>Kg of carbon emissions per customer per year</t>
  </si>
  <si>
    <t>PR14SEWWSW_O2</t>
  </si>
  <si>
    <t>O2</t>
  </si>
  <si>
    <t>SEW-25</t>
  </si>
  <si>
    <t>O2: We will monitor our abstractions at low flows at environmentally sensitive sites (in line with AIM)</t>
  </si>
  <si>
    <t>TBC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</si>
  <si>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</si>
  <si>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</si>
  <si>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</si>
  <si>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</si>
  <si>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</si>
  <si>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</si>
  <si>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</si>
  <si>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</si>
  <si>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</si>
  <si>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</si>
  <si>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</si>
  <si>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</si>
  <si>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</si>
  <si>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</si>
  <si>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</si>
  <si>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</si>
  <si>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</si>
  <si>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</si>
  <si>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SRN</t>
  </si>
  <si>
    <t>PR14SRNWSW_1</t>
  </si>
  <si>
    <t>A constant supply of high quality drinking water</t>
  </si>
  <si>
    <t>SRN-01</t>
  </si>
  <si>
    <t>1: Water asset health (mains bursts, TIM, WSW &amp; WSR coliform compliance, turbidity compliance)</t>
  </si>
  <si>
    <t>PR14SRNWSW_2</t>
  </si>
  <si>
    <t>SRN-02</t>
  </si>
  <si>
    <t>2: Water use restrictions</t>
  </si>
  <si>
    <t>No. of properties affected per ban</t>
  </si>
  <si>
    <t>PR14SRNWSW_3</t>
  </si>
  <si>
    <t>SRN-03</t>
  </si>
  <si>
    <t>3: Leakage (including customer supply-pipe leakage) - five-year average target</t>
  </si>
  <si>
    <t>PR14SRNWSW_4</t>
  </si>
  <si>
    <t>SRN-04</t>
  </si>
  <si>
    <t>4: Interruptions to supply</t>
  </si>
  <si>
    <t>PR14SRNWSW_5</t>
  </si>
  <si>
    <t>SRN-05</t>
  </si>
  <si>
    <t>5: Mean Zonal Compliance (MZC)</t>
  </si>
  <si>
    <t>PR14SRNWSW_5a</t>
  </si>
  <si>
    <t>5a</t>
  </si>
  <si>
    <t>SRN-06</t>
  </si>
  <si>
    <t>5a: Drinking water quality - discolouration contacts</t>
  </si>
  <si>
    <t>PR14SRNWSW_6</t>
  </si>
  <si>
    <t>SRN-07</t>
  </si>
  <si>
    <t>6: Water pressure (number of properties on the DG2 low water pressure register)</t>
  </si>
  <si>
    <t>PR14SRNWSW_7</t>
  </si>
  <si>
    <t>Looking after the environment</t>
  </si>
  <si>
    <t>SRN-08</t>
  </si>
  <si>
    <t>7: Distribution input</t>
  </si>
  <si>
    <t>PR14SRNWSW_8</t>
  </si>
  <si>
    <t>Better information and advice</t>
  </si>
  <si>
    <t>SRN-09</t>
  </si>
  <si>
    <t>8: Per capita consumption (PCC) - five-year average target</t>
  </si>
  <si>
    <t>PR14SRNWSWW_1</t>
  </si>
  <si>
    <t>A reliable wastewater service</t>
  </si>
  <si>
    <t>SRN-10</t>
  </si>
  <si>
    <t>1: Wastewater asset health (sewer collapses, WwTW PE compliance, external flooding - other causes)</t>
  </si>
  <si>
    <t>PR14SRNWSWW_1a</t>
  </si>
  <si>
    <t>1a</t>
  </si>
  <si>
    <t>SRN-11</t>
  </si>
  <si>
    <t>1a: Category 3 pollution incidents (including transferred assets and excluding private pumping stations)</t>
  </si>
  <si>
    <t>PR14SRNWSWW_2</t>
  </si>
  <si>
    <t>SRN-12</t>
  </si>
  <si>
    <t>2: Internal flooding incidents</t>
  </si>
  <si>
    <t>No. of internal sewer flooding incidents</t>
  </si>
  <si>
    <t>PR14SRNWSWW_3</t>
  </si>
  <si>
    <t>SRN-13</t>
  </si>
  <si>
    <t>3: External flooding incidents</t>
  </si>
  <si>
    <t>No. of external sewer flooding incidents</t>
  </si>
  <si>
    <t>PR14SRNWSWW_4</t>
  </si>
  <si>
    <t>SRN-14</t>
  </si>
  <si>
    <t>4: Sewer blockages</t>
  </si>
  <si>
    <t>No. of sewer blockages per km</t>
  </si>
  <si>
    <t>PR14SRNWSWW_5</t>
  </si>
  <si>
    <t>SRN-15</t>
  </si>
  <si>
    <t>5: Odour complaints (Portswood and Tonbridge treatment works)</t>
  </si>
  <si>
    <t>WwTW odour</t>
  </si>
  <si>
    <t>No. of odour complaints</t>
  </si>
  <si>
    <t>PR14SRNWSWW_6</t>
  </si>
  <si>
    <t>SRN-16</t>
  </si>
  <si>
    <t>6: Wastewater treatment works numeric compliance</t>
  </si>
  <si>
    <t>% compliance with WwTW regulations</t>
  </si>
  <si>
    <t>0.1%</t>
  </si>
  <si>
    <t>PR14SRNWSWW_7</t>
  </si>
  <si>
    <t>SRN-17</t>
  </si>
  <si>
    <t>7: Proportion of energy from renewable sources</t>
  </si>
  <si>
    <t>% energy from renewable sources</t>
  </si>
  <si>
    <t>PR14SRNWSWW_8</t>
  </si>
  <si>
    <t>SRN-18</t>
  </si>
  <si>
    <t>8: Bathing waters with ‘excellent’ water quality (part 1)</t>
  </si>
  <si>
    <t>No. of bathing waters</t>
  </si>
  <si>
    <t>PR14SRNWSWW_9</t>
  </si>
  <si>
    <t>SRN-19</t>
  </si>
  <si>
    <t>9: Bathing waters with ‘excellent’ water quality (part 2)</t>
  </si>
  <si>
    <t>PR14SRNWSWW_10</t>
  </si>
  <si>
    <t>SRN-20</t>
  </si>
  <si>
    <t>10: Bathing waters with ‘excellent’ water quality (part 3)</t>
  </si>
  <si>
    <t>£ million estimated scheme costs</t>
  </si>
  <si>
    <t>PR14SRNWSWW_11</t>
  </si>
  <si>
    <t>SRN-21</t>
  </si>
  <si>
    <t>11: Serious pollution incidents (category 1 and 2 pollution incidents, as reported by the EA on MD109)</t>
  </si>
  <si>
    <t>No. of pollution incidents (cats 1 and 2)</t>
  </si>
  <si>
    <t>PR14SRNWSWW_12</t>
  </si>
  <si>
    <t>SRN-22</t>
  </si>
  <si>
    <t>12: Avoiding blocked drains</t>
  </si>
  <si>
    <t>% customers aware of avoidance measures</t>
  </si>
  <si>
    <t>PR14SRNWSWW_13</t>
  </si>
  <si>
    <t>Scheme ODIs</t>
  </si>
  <si>
    <t>SRN-23</t>
  </si>
  <si>
    <t>13: Thanet sewers</t>
  </si>
  <si>
    <t>Scheme delivery</t>
  </si>
  <si>
    <t>Not delivered</t>
  </si>
  <si>
    <t>PR14SRNWSWW_14</t>
  </si>
  <si>
    <t>SRN-24</t>
  </si>
  <si>
    <t>14: Woolston STW</t>
  </si>
  <si>
    <t>PR14SRNWSWW_15</t>
  </si>
  <si>
    <t>SRN-25</t>
  </si>
  <si>
    <t>15: Millbrook sludge</t>
  </si>
  <si>
    <t>Sludge</t>
  </si>
  <si>
    <t>Tonnes of dry solids removed</t>
  </si>
  <si>
    <t>PR14SRNHHR_1</t>
  </si>
  <si>
    <t>Responsive customer service</t>
  </si>
  <si>
    <t>SRN-26</t>
  </si>
  <si>
    <t>1: First time resolution of customer contacts</t>
  </si>
  <si>
    <t>% customer contacts resolved 1st time</t>
  </si>
  <si>
    <t>Improve</t>
  </si>
  <si>
    <t>PR14SRNHHR_2</t>
  </si>
  <si>
    <t>SRN-27</t>
  </si>
  <si>
    <t>2: Dealing with customers’ individual needs</t>
  </si>
  <si>
    <t>% customers agreeing with survey statement</t>
  </si>
  <si>
    <t>PR14SRNHHR_3</t>
  </si>
  <si>
    <t>SRN-28</t>
  </si>
  <si>
    <t>3: Awareness of water hardness measures</t>
  </si>
  <si>
    <t>% customers aware of water hardness measures</t>
  </si>
  <si>
    <t>PR14SRNHHR_4</t>
  </si>
  <si>
    <t>SRN-29</t>
  </si>
  <si>
    <t>4: Where your money goes</t>
  </si>
  <si>
    <t>% customers aware of where money goes</t>
  </si>
  <si>
    <t>PR14SRNHHR_5</t>
  </si>
  <si>
    <t>SRN-30</t>
  </si>
  <si>
    <t>5: Billing queries</t>
  </si>
  <si>
    <t>No. of billing queries</t>
  </si>
  <si>
    <t>Decrease</t>
  </si>
  <si>
    <t>PR14SRNHHR_6</t>
  </si>
  <si>
    <t>SRN-31</t>
  </si>
  <si>
    <t>6: Take up of assistance schemes (number of customers who are receiving support through one of our financial assistance schemes)</t>
  </si>
  <si>
    <t>No. of assistance scheme customers</t>
  </si>
  <si>
    <t>PR14SRNHHR_7</t>
  </si>
  <si>
    <t>SRN-32</t>
  </si>
  <si>
    <t>7: Value-for-money</t>
  </si>
  <si>
    <t>% of customers who feel they get vfm</t>
  </si>
  <si>
    <t>PR14SRNHHR_8</t>
  </si>
  <si>
    <t>SRN-33</t>
  </si>
  <si>
    <t>8: Service Incentive Mechanism (SIM)</t>
  </si>
  <si>
    <t>SSC</t>
  </si>
  <si>
    <t>PR14SSCWSW_1.1</t>
  </si>
  <si>
    <t>Excellent water quality now and in the future</t>
  </si>
  <si>
    <t>SSC-01</t>
  </si>
  <si>
    <t>1.1: Mean zonal compliance (MZC, combined company)</t>
  </si>
  <si>
    <t>PR14SSCWSW_1.2</t>
  </si>
  <si>
    <t>SSC-02</t>
  </si>
  <si>
    <t>1.2: Acceptability of water to customers (combined company)</t>
  </si>
  <si>
    <t>0.1 nr</t>
  </si>
  <si>
    <t>PR14SSCWSW_2.1</t>
  </si>
  <si>
    <t>Secure and reliable supplies now and in the future</t>
  </si>
  <si>
    <t>SSC-03</t>
  </si>
  <si>
    <t>2.1: Interruptions to supply (combined company)</t>
  </si>
  <si>
    <t>PR14SSCWSW_2.2</t>
  </si>
  <si>
    <t>SSC-04</t>
  </si>
  <si>
    <t>2.2: Serviceability infrastructure (combined company)</t>
  </si>
  <si>
    <t>PR14SSCWSW_2.3</t>
  </si>
  <si>
    <t>SSC-05</t>
  </si>
  <si>
    <t>2.3: Serviceability non-infrastructure (combined company)</t>
  </si>
  <si>
    <t>PR14SSCWSW_4.1</t>
  </si>
  <si>
    <t>Operations which are environmentally sustainable</t>
  </si>
  <si>
    <t>SSC-09</t>
  </si>
  <si>
    <t>4.1: Leakage (South Staffordshire operating region)</t>
  </si>
  <si>
    <t>PR14SSCWSW_4.2</t>
  </si>
  <si>
    <t>SSC-10</t>
  </si>
  <si>
    <t>4.2: Leakage (Cambridge operating region)</t>
  </si>
  <si>
    <t>PR14SSCWSW_4.3</t>
  </si>
  <si>
    <t>SSC-11</t>
  </si>
  <si>
    <t>4.3: Water efficiency (household per capita consumption (PCC) reported annually, combined company)</t>
  </si>
  <si>
    <t>PR14SSCWSW_4.4</t>
  </si>
  <si>
    <t>SSC-12</t>
  </si>
  <si>
    <t>4.4: Biodiversity (cumulative total hectares of land under management per year, combined company)</t>
  </si>
  <si>
    <t>Cumulative total hectares of land</t>
  </si>
  <si>
    <t>PR14SSCWSW_4.5</t>
  </si>
  <si>
    <t>SSC-13</t>
  </si>
  <si>
    <t>4.5: Carbon emissions from power consumption (tonnes, combined company)</t>
  </si>
  <si>
    <t>tCO2e (tonnes CO2e) in real savings</t>
  </si>
  <si>
    <t>PR14SSCWSW_5.1</t>
  </si>
  <si>
    <t>Fair customer bills and fair investor returns</t>
  </si>
  <si>
    <t>SSC-14</t>
  </si>
  <si>
    <t>5.1: Independent customer surveys of value for money and affordability (combined company)</t>
  </si>
  <si>
    <t>% customers satisfied with vfm &amp; affordability</t>
  </si>
  <si>
    <t>PR14SSCWSW_5.2</t>
  </si>
  <si>
    <t>SSC-15</t>
  </si>
  <si>
    <t>5.2: Support for customers in debt (combined company)</t>
  </si>
  <si>
    <t>No. of customers engaged with on debt</t>
  </si>
  <si>
    <t>PR14SSCHHR_3.1</t>
  </si>
  <si>
    <t>An excellent customer experience to customers and the community</t>
  </si>
  <si>
    <t>SSC-06</t>
  </si>
  <si>
    <t>3.1: Service incentive mechanism (SIM, combined company)</t>
  </si>
  <si>
    <t>PR14SSCHHR_3.2</t>
  </si>
  <si>
    <t>SSC-07</t>
  </si>
  <si>
    <t>3.2: Customer satisfaction surveys (combined company)</t>
  </si>
  <si>
    <t>PR14SSCHHR_3.3</t>
  </si>
  <si>
    <t>SSC-08</t>
  </si>
  <si>
    <t>3.3: Community engagement (combined company)</t>
  </si>
  <si>
    <t>No. of employee days per year</t>
  </si>
  <si>
    <t>SVT</t>
  </si>
  <si>
    <t>PR14SVTWSW_W-A1</t>
  </si>
  <si>
    <t>We provide water that is good to drink</t>
  </si>
  <si>
    <t>SVT-01</t>
  </si>
  <si>
    <t>W-A1: Number of complaints about drinking water quality</t>
  </si>
  <si>
    <t>No. of water quality complaints</t>
  </si>
  <si>
    <t>PR14SVTWSW_W-A2</t>
  </si>
  <si>
    <t>SVT-02</t>
  </si>
  <si>
    <t>W-A2: Compliance with drinking water quality standards</t>
  </si>
  <si>
    <t>PR14SVTWSW_W-A3</t>
  </si>
  <si>
    <t>SVT-03</t>
  </si>
  <si>
    <t>No. of sites with coliform failures per year</t>
  </si>
  <si>
    <t>&lt;8</t>
  </si>
  <si>
    <t>&lt;6</t>
  </si>
  <si>
    <t>PR14SVTWSW_W-A4</t>
  </si>
  <si>
    <t>SVT-04</t>
  </si>
  <si>
    <t>W-A4: Number of successful catchment management schemes</t>
  </si>
  <si>
    <t>Catchment management</t>
  </si>
  <si>
    <t>No. catchment management schemes</t>
  </si>
  <si>
    <t>PR14SVTWSW_W-B1</t>
  </si>
  <si>
    <t>We will ensure water is always there when you need it</t>
  </si>
  <si>
    <t>SVT-05</t>
  </si>
  <si>
    <t>W-B1: Resource efficiency (distribution input per customer) - amount of water taken out of the environment</t>
  </si>
  <si>
    <t>PR14SVTWSW_W-B2</t>
  </si>
  <si>
    <t>SVT-06</t>
  </si>
  <si>
    <t>W-B2: Leakage levels</t>
  </si>
  <si>
    <t>PR14SVTWSW_W-B3</t>
  </si>
  <si>
    <t>SVT-07</t>
  </si>
  <si>
    <t>W-B3: Speed of response in repairing leaks (% fixed within 24 hours)</t>
  </si>
  <si>
    <t>% visible leaks fixed within 24 hours</t>
  </si>
  <si>
    <t>PR14SVTWSW_W-B4</t>
  </si>
  <si>
    <t>W-B4</t>
  </si>
  <si>
    <t>SVT-08</t>
  </si>
  <si>
    <t>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</si>
  <si>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</si>
  <si>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</si>
  <si>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</si>
  <si>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</si>
  <si>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</si>
  <si>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PR14SVTWSW_W-B6</t>
  </si>
  <si>
    <t>W-B6</t>
  </si>
  <si>
    <t>SVT-10</t>
  </si>
  <si>
    <t>W-B6: Asset stewardship - mains bursts</t>
  </si>
  <si>
    <t>PR14SVTWSW_W-B7</t>
  </si>
  <si>
    <t>W-B7</t>
  </si>
  <si>
    <t>SVT-11</t>
  </si>
  <si>
    <t>W-B7: Customers at risk of low pressure</t>
  </si>
  <si>
    <t>No. customers at risk of low pressure</t>
  </si>
  <si>
    <t>PR14SVTWSW_W-B8</t>
  </si>
  <si>
    <t>W-B8</t>
  </si>
  <si>
    <t>SVT-12</t>
  </si>
  <si>
    <t>W-B8: Restrictions on water use</t>
  </si>
  <si>
    <t>No. water restrictions in five-year period</t>
  </si>
  <si>
    <t>PR14SVTWSW_W-B9</t>
  </si>
  <si>
    <t>W-B9</t>
  </si>
  <si>
    <t>SVT-13</t>
  </si>
  <si>
    <t>Scheme delivery (3 components)</t>
  </si>
  <si>
    <t>3 milestones</t>
  </si>
  <si>
    <t>3 complete</t>
  </si>
  <si>
    <t>PR14SVTWSW_W-B10</t>
  </si>
  <si>
    <t>W-B10</t>
  </si>
  <si>
    <t>SVT-14</t>
  </si>
  <si>
    <t>PR14SVTWSW_W-B11</t>
  </si>
  <si>
    <t>W-B11</t>
  </si>
  <si>
    <t>SVT-15</t>
  </si>
  <si>
    <t>2 complete</t>
  </si>
  <si>
    <t>1 complete</t>
  </si>
  <si>
    <t>PR14SVTWSW_W-B12</t>
  </si>
  <si>
    <t>W-B12</t>
  </si>
  <si>
    <t>SVT-16</t>
  </si>
  <si>
    <t>PR14SVTWSW_W-B13</t>
  </si>
  <si>
    <t>W-B13</t>
  </si>
  <si>
    <t>SVT-17</t>
  </si>
  <si>
    <t>Completion</t>
  </si>
  <si>
    <t>PR14SVTWSW_W-B14</t>
  </si>
  <si>
    <t>W-B14</t>
  </si>
  <si>
    <t>SVT-18</t>
  </si>
  <si>
    <t>PR14SVTWSW_W-C1</t>
  </si>
  <si>
    <t>We will have the lowest possible charges</t>
  </si>
  <si>
    <t>SVT-19</t>
  </si>
  <si>
    <t>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</si>
  <si>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</si>
  <si>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</si>
  <si>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</si>
  <si>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</si>
  <si>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</si>
  <si>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PR14SVTWSW_W-D2</t>
  </si>
  <si>
    <t>SVT-21</t>
  </si>
  <si>
    <t>W-D2: Asset stewardship - environmental compliance</t>
  </si>
  <si>
    <t>% environmental compliance</t>
  </si>
  <si>
    <t>PR14SVTWSW_W-D3</t>
  </si>
  <si>
    <t>SVT-22</t>
  </si>
  <si>
    <t>W-D3: Biodiversity</t>
  </si>
  <si>
    <t>No. of hectares improved</t>
  </si>
  <si>
    <t>PR14SVTWSW_W-D4</t>
  </si>
  <si>
    <t>SVT-23</t>
  </si>
  <si>
    <t>W-D4: Sites with eel protection at intakes</t>
  </si>
  <si>
    <t>No. sites with eel protection at intakes</t>
  </si>
  <si>
    <t>PR14SVTWSW_W-E1</t>
  </si>
  <si>
    <t>We will protect the wider environment</t>
  </si>
  <si>
    <t>SVT-24</t>
  </si>
  <si>
    <t>W-E1: Size of our carbon footprint</t>
  </si>
  <si>
    <t>PR14SVTWSW_W-F1</t>
  </si>
  <si>
    <t>We will make a positive difference in the community</t>
  </si>
  <si>
    <t>SVT-25</t>
  </si>
  <si>
    <t>W-F1: Improved understanding of our services through education</t>
  </si>
  <si>
    <t>No. of people - education programme</t>
  </si>
  <si>
    <t>PR14SVTWSWW_S-A1</t>
  </si>
  <si>
    <t>We will safely take your waste away</t>
  </si>
  <si>
    <t>SVT-26</t>
  </si>
  <si>
    <t>S-A1: Number of internal sewer flooding incidents</t>
  </si>
  <si>
    <t>PR14SVTWSWW_S-A2</t>
  </si>
  <si>
    <t>SVT-27</t>
  </si>
  <si>
    <t>S-A2: Number of external sewer flooding incidents</t>
  </si>
  <si>
    <t>PR14SVTWSWW_S-A3</t>
  </si>
  <si>
    <t>SVT-28</t>
  </si>
  <si>
    <t>S-A3: Partnership working</t>
  </si>
  <si>
    <t>No. of partnership working projects</t>
  </si>
  <si>
    <t>PR14SVTWSWW_S-A4</t>
  </si>
  <si>
    <t>SVT-29</t>
  </si>
  <si>
    <t>S-A4: Asset stewardship - blockages</t>
  </si>
  <si>
    <t>No. of sewer blockages per year</t>
  </si>
  <si>
    <t>&lt;50,470</t>
  </si>
  <si>
    <t>&lt;50,078</t>
  </si>
  <si>
    <t>&lt;49,685</t>
  </si>
  <si>
    <t>&lt;49,293</t>
  </si>
  <si>
    <t>&lt;48,900</t>
  </si>
  <si>
    <t>PR14SVTWSWW_S-A5</t>
  </si>
  <si>
    <t>S-A5</t>
  </si>
  <si>
    <t>SVT-30</t>
  </si>
  <si>
    <t>S-A5: Statutory obligations (Section 101A schemes)</t>
  </si>
  <si>
    <t>PR14SVTWSWW_S-B1</t>
  </si>
  <si>
    <t>SVT-31</t>
  </si>
  <si>
    <t>S-B1: Customers rating our services as good value for money (based on tracker survey)</t>
  </si>
  <si>
    <t>PR14SVTWSWW_S-C1</t>
  </si>
  <si>
    <t>SVT-32</t>
  </si>
  <si>
    <t>S-C1: Improvements in river water quality against WFD criteria</t>
  </si>
  <si>
    <t>No. of WFD classification improvements</t>
  </si>
  <si>
    <t>PR14SVTWSWW_S-C2</t>
  </si>
  <si>
    <t>SVT-33</t>
  </si>
  <si>
    <t>S-C2: The number of category 3 pollution incidents</t>
  </si>
  <si>
    <t>PR14SVTWSWW_S-C3</t>
  </si>
  <si>
    <t>SVT-34</t>
  </si>
  <si>
    <t>PR14SVTWSWW_S-C4</t>
  </si>
  <si>
    <t>SVT-35</t>
  </si>
  <si>
    <t>S-C4: Biodiversity</t>
  </si>
  <si>
    <t>PR14SVTWSWW_S-C5</t>
  </si>
  <si>
    <t>S-C5</t>
  </si>
  <si>
    <t>SVT-36</t>
  </si>
  <si>
    <t>S-C5: Sustainable sewage treatment</t>
  </si>
  <si>
    <t>No. of WwTWs avoiding investment</t>
  </si>
  <si>
    <t>PR14SVTWSWW_S-C6</t>
  </si>
  <si>
    <t>S-C6</t>
  </si>
  <si>
    <t>SVT-37</t>
  </si>
  <si>
    <t>S-C6: Serious pollution incidents</t>
  </si>
  <si>
    <t>PR14SVTWSWW_S-C7</t>
  </si>
  <si>
    <t>S-C7</t>
  </si>
  <si>
    <t>SVT-38</t>
  </si>
  <si>
    <t>S-C7: Overall environmental performance (basket of environmental measures)</t>
  </si>
  <si>
    <t>No. of environmental targets met</t>
  </si>
  <si>
    <t>PR14SVTWSWW_S-C8</t>
  </si>
  <si>
    <t>S-C8</t>
  </si>
  <si>
    <t>SVT-39</t>
  </si>
  <si>
    <t>S-C8: The number of category 4 pollution incidents</t>
  </si>
  <si>
    <t>No. of pollution incidents (cat 4)</t>
  </si>
  <si>
    <t>PR14SVTWSWW_S-D1</t>
  </si>
  <si>
    <t>SVT-40</t>
  </si>
  <si>
    <t>S-D1: Size of our carbon footprint</t>
  </si>
  <si>
    <t>PR14SVTWSWW_S-E1</t>
  </si>
  <si>
    <t>SVT-41</t>
  </si>
  <si>
    <t>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</si>
  <si>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</si>
  <si>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</si>
  <si>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</si>
  <si>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</si>
  <si>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</si>
  <si>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</si>
  <si>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PR14SVTHHR_R-A2</t>
  </si>
  <si>
    <t>SVT-43</t>
  </si>
  <si>
    <t>R-A2: Customers' experience of dealing with us (based on Ofwat's SIM)</t>
  </si>
  <si>
    <t>PR14SVTHHR_R-B1</t>
  </si>
  <si>
    <t>We will help you if you struggle</t>
  </si>
  <si>
    <t>SVT-44</t>
  </si>
  <si>
    <t>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</si>
  <si>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</si>
  <si>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</si>
  <si>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</si>
  <si>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</si>
  <si>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SWT</t>
  </si>
  <si>
    <t>PR14SWTWSW_W-A1</t>
  </si>
  <si>
    <t>Clean, safe and reliable supply of drinking water</t>
  </si>
  <si>
    <t>SWT-01</t>
  </si>
  <si>
    <t>PR14SWTWSW_W-A2</t>
  </si>
  <si>
    <t>SWT-02</t>
  </si>
  <si>
    <t>No. of contacts per 1,000 population</t>
  </si>
  <si>
    <t>PR14SWTWSW_W-A3</t>
  </si>
  <si>
    <t>SWT-03</t>
  </si>
  <si>
    <t>W-A3 Asset reliability (pipes)</t>
  </si>
  <si>
    <t>PR14SWTWSW_W-A4</t>
  </si>
  <si>
    <t>SWT-04</t>
  </si>
  <si>
    <t>W-A4 Asset reliability (process)</t>
  </si>
  <si>
    <t>PR14SWTWSW_W-A5</t>
  </si>
  <si>
    <t>SWT-05</t>
  </si>
  <si>
    <t>PR14SWTWSW_W-B1</t>
  </si>
  <si>
    <t>Available and sufficient water resources</t>
  </si>
  <si>
    <t>SWT-06</t>
  </si>
  <si>
    <t>No. of water restrictions</t>
  </si>
  <si>
    <t>PR14SWTWSW_W-B2</t>
  </si>
  <si>
    <t>SWT-07</t>
  </si>
  <si>
    <t>Limited / partial / increased / substantial</t>
  </si>
  <si>
    <t>Partial</t>
  </si>
  <si>
    <t>Increased</t>
  </si>
  <si>
    <t>PR14SWTWSW_W-B3</t>
  </si>
  <si>
    <t>SWT-08</t>
  </si>
  <si>
    <t>PR14SWTWSW_W-B4</t>
  </si>
  <si>
    <t>SWT-09</t>
  </si>
  <si>
    <t>No. of days taken to fix significant leaks</t>
  </si>
  <si>
    <t>&lt;3</t>
  </si>
  <si>
    <t>&lt;2</t>
  </si>
  <si>
    <t>PR14SWTWSW_W-B5</t>
  </si>
  <si>
    <t>SWT-10</t>
  </si>
  <si>
    <t>PR14SWTWSW_W-C1</t>
  </si>
  <si>
    <t>Resilience in extreme conditions</t>
  </si>
  <si>
    <t>SWT-11</t>
  </si>
  <si>
    <t>No. of events over AMP6</t>
  </si>
  <si>
    <t>PR14SWTWSW_W-D1</t>
  </si>
  <si>
    <t>Responsive to customers</t>
  </si>
  <si>
    <t>SWT-12</t>
  </si>
  <si>
    <t>PR14SWTWSW_W-E1</t>
  </si>
  <si>
    <t>Protecting the environment</t>
  </si>
  <si>
    <t>SWT-13</t>
  </si>
  <si>
    <t>No. sites where improvement required</t>
  </si>
  <si>
    <t>PR14SWTWSW_W-E2</t>
  </si>
  <si>
    <t>SWT-14</t>
  </si>
  <si>
    <t>Water scarcity status (defined by EA)</t>
  </si>
  <si>
    <t>Moderate</t>
  </si>
  <si>
    <t>Severe</t>
  </si>
  <si>
    <t>PR14SWTWSW_W-E3a</t>
  </si>
  <si>
    <t>W-E3a</t>
  </si>
  <si>
    <t>SWT-15a</t>
  </si>
  <si>
    <t>No. of acres (cumulative)</t>
  </si>
  <si>
    <t>PR14SWTWSW_W-E3b</t>
  </si>
  <si>
    <t>W-E3b</t>
  </si>
  <si>
    <t>SWT-15b</t>
  </si>
  <si>
    <t>No. of farms (cumulative)</t>
  </si>
  <si>
    <t>PR14SWTWSW_W-E4</t>
  </si>
  <si>
    <t>W-E4</t>
  </si>
  <si>
    <t>SWT-16</t>
  </si>
  <si>
    <t>PR14SWTWSW_W-E5</t>
  </si>
  <si>
    <t>W-E5</t>
  </si>
  <si>
    <t>SWT-17</t>
  </si>
  <si>
    <t>No. of pollution incidents (cats 3 and 4)</t>
  </si>
  <si>
    <t>PR14SWTWSW_W-E6</t>
  </si>
  <si>
    <t>W-E6</t>
  </si>
  <si>
    <t>SWT-18</t>
  </si>
  <si>
    <t>PR14SWTWSW_W-E7</t>
  </si>
  <si>
    <t>W-E7</t>
  </si>
  <si>
    <t>SWT-19</t>
  </si>
  <si>
    <t>PR14SWTWSW_W-F1</t>
  </si>
  <si>
    <t>Fair charging</t>
  </si>
  <si>
    <t>SWT-20</t>
  </si>
  <si>
    <t>% domestic customers with metered bill</t>
  </si>
  <si>
    <t>PR14SWTWSWW_S-A1</t>
  </si>
  <si>
    <t>Reliable wastewater service</t>
  </si>
  <si>
    <t>SWT-21</t>
  </si>
  <si>
    <t>PR14SWTWSWW_S-A2</t>
  </si>
  <si>
    <t>SWT-22</t>
  </si>
  <si>
    <t>PR14SWTWSWW_S-A3</t>
  </si>
  <si>
    <t>SWT-23</t>
  </si>
  <si>
    <t>No. of odour contacts (WwTWs)</t>
  </si>
  <si>
    <t>PR14SWTWSWW_S-A4</t>
  </si>
  <si>
    <t>SWT-24</t>
  </si>
  <si>
    <t>S-A4 Asset reliability (pipes)</t>
  </si>
  <si>
    <t>PR14SWTWSWW_S-A5</t>
  </si>
  <si>
    <t>SWT-25</t>
  </si>
  <si>
    <t>S-A5 Asset reliability (process)</t>
  </si>
  <si>
    <t>PR14SWTWSWW_S-A6</t>
  </si>
  <si>
    <t>S-A6</t>
  </si>
  <si>
    <t>SWT-26</t>
  </si>
  <si>
    <t>% satisfactory sludge disposal compliance</t>
  </si>
  <si>
    <t>PR14SWTWSWW_S-B1</t>
  </si>
  <si>
    <t>SWT-27</t>
  </si>
  <si>
    <t>PR14SWTWSWW_S-C1</t>
  </si>
  <si>
    <t>SWT-28</t>
  </si>
  <si>
    <t>% wastewater treatment numeric compliance</t>
  </si>
  <si>
    <t>PR14SWTWSWW_S-C2</t>
  </si>
  <si>
    <t>SWT-29</t>
  </si>
  <si>
    <t>% wastewater p.e. sanitary compliance</t>
  </si>
  <si>
    <t>PR14SWTWSWW_S-C3</t>
  </si>
  <si>
    <t>SWT-30</t>
  </si>
  <si>
    <t>% wastewater desc works permit compliance</t>
  </si>
  <si>
    <t>&lt;95</t>
  </si>
  <si>
    <t>PR14SWTWSWW_S-C4</t>
  </si>
  <si>
    <t>SWT-31</t>
  </si>
  <si>
    <t>PR14SWTWSWW_S-C5</t>
  </si>
  <si>
    <t>SWT-32</t>
  </si>
  <si>
    <t>PR14SWTWSWW_S-C6</t>
  </si>
  <si>
    <t>SWT-33</t>
  </si>
  <si>
    <t>PR14SWTWSWW_S-C7</t>
  </si>
  <si>
    <t>SWT-34</t>
  </si>
  <si>
    <t>PR14SWTWSWW_S-D1</t>
  </si>
  <si>
    <t>Benefiting the community</t>
  </si>
  <si>
    <t>SWT-35</t>
  </si>
  <si>
    <t>No. of bathing waters meeting or exceeding agreed standard</t>
  </si>
  <si>
    <t>PR14SWTWSWW_S-D2</t>
  </si>
  <si>
    <t>SWT-36</t>
  </si>
  <si>
    <t>No. of combined sewer overflow (CSO) spills per year</t>
  </si>
  <si>
    <t>Post 2020 incentive</t>
  </si>
  <si>
    <t>PR14SWTWSWW_S-D3</t>
  </si>
  <si>
    <t>SWT-37</t>
  </si>
  <si>
    <t>Kilometres (km) of river water quality improved</t>
  </si>
  <si>
    <t>PR14SWTHHR_R-A1</t>
  </si>
  <si>
    <t>SWT-38</t>
  </si>
  <si>
    <t>PR14SWTHHR_R-A2</t>
  </si>
  <si>
    <t>SWT-39</t>
  </si>
  <si>
    <t>PR14SWTHHR_R-A3</t>
  </si>
  <si>
    <t>SWT-40</t>
  </si>
  <si>
    <t>PR14SWTHHR_R-B1</t>
  </si>
  <si>
    <t>SWT-41</t>
  </si>
  <si>
    <t>No. of customers assisted by water poverty initiatives</t>
  </si>
  <si>
    <t>TMS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</si>
  <si>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</si>
  <si>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</si>
  <si>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</si>
  <si>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</si>
  <si>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</si>
  <si>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</si>
  <si>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PR14TMSWSW_WA2</t>
  </si>
  <si>
    <t>WA2</t>
  </si>
  <si>
    <t>TMS-02</t>
  </si>
  <si>
    <t>WA2: Number of written complaints per 10,000 connected properties</t>
  </si>
  <si>
    <t>No. written complaints / 10,000 properties</t>
  </si>
  <si>
    <t>PR14TMSWSW_WA3</t>
  </si>
  <si>
    <t>WA3</t>
  </si>
  <si>
    <t>TMS-03</t>
  </si>
  <si>
    <t>WA3: Customer satisfaction surveys (internal CSAT monitor)</t>
  </si>
  <si>
    <t>TW internal Customer satisfaction score (mean score out of 5)</t>
  </si>
  <si>
    <t>PR14TMSWSW_WA4</t>
  </si>
  <si>
    <t>WA4</t>
  </si>
  <si>
    <t>TMS-04</t>
  </si>
  <si>
    <t>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</si>
  <si>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</si>
  <si>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</si>
  <si>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</si>
  <si>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</si>
  <si>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</si>
  <si>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</si>
  <si>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PR14TMSWSW_WB1</t>
  </si>
  <si>
    <t>We will provide a safe and reliable water service that complies with all necessary standards and is available when our customers require it</t>
  </si>
  <si>
    <t>WB1</t>
  </si>
  <si>
    <t>TMS-06</t>
  </si>
  <si>
    <t>WB1: Asset health water infrastructure</t>
  </si>
  <si>
    <t>PR14TMSWSW_WB2</t>
  </si>
  <si>
    <t>WB2</t>
  </si>
  <si>
    <t>TMS-07</t>
  </si>
  <si>
    <t>WB2: Asset health water non-infrastructure</t>
  </si>
  <si>
    <t>PR14TMSWSW_WB3</t>
  </si>
  <si>
    <t>WB3</t>
  </si>
  <si>
    <t>TMS-08</t>
  </si>
  <si>
    <t>WB3: Compliance with drinking water quality standards (MZC) - Ofwat/ DWI KPI</t>
  </si>
  <si>
    <t>PR14TMSWSW_WB4</t>
  </si>
  <si>
    <t>WB4</t>
  </si>
  <si>
    <t>TMS-09</t>
  </si>
  <si>
    <t>WB4: Properties experiencing chronic low pressure (DG2)</t>
  </si>
  <si>
    <t>PR14TMSWSW_WB5</t>
  </si>
  <si>
    <t>WB5</t>
  </si>
  <si>
    <t>TMS-10</t>
  </si>
  <si>
    <t>WB5: Average hours lost supply per property served, due to interruptions &gt; 4 hours</t>
  </si>
  <si>
    <t>Hours lost supply per property served</t>
  </si>
  <si>
    <t>PR14TMSWSW_WB6</t>
  </si>
  <si>
    <t>WB6</t>
  </si>
  <si>
    <t>TMS-11</t>
  </si>
  <si>
    <t>WB6: Security of Supply Index - Ofwat KPI</t>
  </si>
  <si>
    <t>PR14TMSWSW_WB7</t>
  </si>
  <si>
    <t>WB7</t>
  </si>
  <si>
    <t>TMS-12</t>
  </si>
  <si>
    <t>WB7: Compliance with SEMD advice notes (with or without derogation)</t>
  </si>
  <si>
    <t>% compliance with SEMD advice notes</t>
  </si>
  <si>
    <t>PR14TMSWSW_WB8</t>
  </si>
  <si>
    <t>WB8</t>
  </si>
  <si>
    <t>TMS-13</t>
  </si>
  <si>
    <t>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</si>
  <si>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</si>
  <si>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</si>
  <si>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</si>
  <si>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</si>
  <si>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</si>
  <si>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PR14TMSWSW_WC2</t>
  </si>
  <si>
    <t>WC2</t>
  </si>
  <si>
    <t>TMS-15</t>
  </si>
  <si>
    <t>WC2: Leakage</t>
  </si>
  <si>
    <t>PR14TMSWSW_WC3</t>
  </si>
  <si>
    <t>WC3</t>
  </si>
  <si>
    <t>TMS-16</t>
  </si>
  <si>
    <t xml:space="preserve">WC3: Abstraction Incentive Mechanism (AIM) </t>
  </si>
  <si>
    <t>PR14TMSWSW_WC4</t>
  </si>
  <si>
    <t>WC4</t>
  </si>
  <si>
    <t>TMS-17</t>
  </si>
  <si>
    <t>WC4: We will educate our existing and future customers</t>
  </si>
  <si>
    <t>No. of children directly engaged</t>
  </si>
  <si>
    <t>PR14TMSWSW_WC5</t>
  </si>
  <si>
    <t>WC5</t>
  </si>
  <si>
    <t>TMS-18</t>
  </si>
  <si>
    <t>WC5: Deliver 100% of agreed measures to meet new environmental regulations</t>
  </si>
  <si>
    <t>% of agreed schemes completed</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</si>
  <si>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</si>
  <si>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</si>
  <si>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</si>
  <si>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</si>
  <si>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</si>
  <si>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</si>
  <si>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PR14TMSWSWW_SA1</t>
  </si>
  <si>
    <t>SA1</t>
  </si>
  <si>
    <t>TMS-20</t>
  </si>
  <si>
    <t>SA1: Improve handling of written complaints by increasing first time resolution</t>
  </si>
  <si>
    <t>PR14TMSWSWW_SA2</t>
  </si>
  <si>
    <t>SA2</t>
  </si>
  <si>
    <t>TMS-21</t>
  </si>
  <si>
    <t>SA2: Number of written complaints per 10,000 connected properties</t>
  </si>
  <si>
    <t>PR14TMSWSWW_SA3</t>
  </si>
  <si>
    <t>SA3</t>
  </si>
  <si>
    <t>TMS-22</t>
  </si>
  <si>
    <t>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</si>
  <si>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</si>
  <si>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</si>
  <si>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</si>
  <si>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</si>
  <si>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</si>
  <si>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PR14TMSWSWW_SB2</t>
  </si>
  <si>
    <t>SB2</t>
  </si>
  <si>
    <t>TMS-24</t>
  </si>
  <si>
    <t>SB2: Asset health wastewater infrastructure</t>
  </si>
  <si>
    <t>PR14TMSWSWW_SB3</t>
  </si>
  <si>
    <t>SB3</t>
  </si>
  <si>
    <t>TMS-25</t>
  </si>
  <si>
    <t>SB3: Properties protected from flooding due to rainfall (including Counters Creek project)</t>
  </si>
  <si>
    <t>No. properties protected from flooding due to rainfall</t>
  </si>
  <si>
    <t>PR14TMSWSWW_SB4</t>
  </si>
  <si>
    <t>SB4</t>
  </si>
  <si>
    <t>TMS-26</t>
  </si>
  <si>
    <t>SB4: Number of internal flooding incidents, excluding those due to overloaded sewers (SFOC)</t>
  </si>
  <si>
    <t>No. of internal sewer flooding (other causes) incidents</t>
  </si>
  <si>
    <t>PR14TMSWSWW_SB5</t>
  </si>
  <si>
    <t>SB5</t>
  </si>
  <si>
    <t>TMS-27</t>
  </si>
  <si>
    <t>SB5: Contributing area disconnected from combined sewers by retrofitting sustainable drainage</t>
  </si>
  <si>
    <t>No. of hectares (cumulative)</t>
  </si>
  <si>
    <t>PR14TMSWSWW_SB6</t>
  </si>
  <si>
    <t>SB6</t>
  </si>
  <si>
    <t>TMS-28</t>
  </si>
  <si>
    <t>SB6: Compliance with SEMD advice notes (with or without derogation)</t>
  </si>
  <si>
    <t>PR14TMSWSWW_SB7</t>
  </si>
  <si>
    <t>SB7</t>
  </si>
  <si>
    <t>TMS-29</t>
  </si>
  <si>
    <t>SB7: Population equivalent of sites made resilient to future extreme rainfall events</t>
  </si>
  <si>
    <t>Population equivalent (cumulative)</t>
  </si>
  <si>
    <t>PR14TMSWSWW_SB8</t>
  </si>
  <si>
    <t>SB8</t>
  </si>
  <si>
    <t>TMS-30</t>
  </si>
  <si>
    <t>SB8: Lee Tunnel including Shaft G</t>
  </si>
  <si>
    <t>Non delivery</t>
  </si>
  <si>
    <t>PR14TMSWSWW_SB9</t>
  </si>
  <si>
    <t>SB9</t>
  </si>
  <si>
    <t>TMS-31</t>
  </si>
  <si>
    <t>SB9: Deephams Wastewater Treatment Works</t>
  </si>
  <si>
    <t>PR14TMSWSWW_SC1</t>
  </si>
  <si>
    <t>SC1</t>
  </si>
  <si>
    <t>TMS-32</t>
  </si>
  <si>
    <t>SC1: Greenhouse gas emissions from wastewater operations</t>
  </si>
  <si>
    <t>PR14TMSWSWW_SC2</t>
  </si>
  <si>
    <t>SC2</t>
  </si>
  <si>
    <t>TMS-33</t>
  </si>
  <si>
    <t>SC2: Total category 1-3 pollution incidents from sewage related premises</t>
  </si>
  <si>
    <t>PR14TMSWSWW_SC3</t>
  </si>
  <si>
    <t>SC3</t>
  </si>
  <si>
    <t>TMS-34</t>
  </si>
  <si>
    <t>SC3: Sewage treatment works discharge compliance</t>
  </si>
  <si>
    <t>% WwTW discharge compliance</t>
  </si>
  <si>
    <t>PR14TMSWSWW_SC4</t>
  </si>
  <si>
    <t>SC4</t>
  </si>
  <si>
    <t>TMS-35</t>
  </si>
  <si>
    <t>SC4: Water bodies improved or protected from deterioration as a result of Thames Water's activities</t>
  </si>
  <si>
    <t>No. of water bodies improved or protected by catchment management</t>
  </si>
  <si>
    <t>PR14TMSWSWW_SC5</t>
  </si>
  <si>
    <t>SC5</t>
  </si>
  <si>
    <t>TMS-36</t>
  </si>
  <si>
    <t>SC5: Satisfactory sludge disposal compliance</t>
  </si>
  <si>
    <t>PR14TMSWSWW_SC6</t>
  </si>
  <si>
    <t>SC6</t>
  </si>
  <si>
    <t>TMS-37</t>
  </si>
  <si>
    <t>SC6: We will educate our existing and future customers</t>
  </si>
  <si>
    <t>PR14TMSWSWW_SC7</t>
  </si>
  <si>
    <t>SC7</t>
  </si>
  <si>
    <t>TMS-38</t>
  </si>
  <si>
    <t>SC7: Modelled reduction in properties affected by odour</t>
  </si>
  <si>
    <t>No. of properties (modelled cumulative reduction)</t>
  </si>
  <si>
    <t>PR14TMSWSWW_SC8</t>
  </si>
  <si>
    <t>SC8</t>
  </si>
  <si>
    <t>TMS-39</t>
  </si>
  <si>
    <t>SC8: Deliver 100% of agreed measures to meet new environmental regulations</t>
  </si>
  <si>
    <t>Non delivery of NEP5</t>
  </si>
  <si>
    <t>PR14TMSWSWW_SC9</t>
  </si>
  <si>
    <t>SC9</t>
  </si>
  <si>
    <t>TMS-40</t>
  </si>
  <si>
    <t>SC9: Reduce the amount of phosphorus entering rivers to help improve aquatic plant and wildlife</t>
  </si>
  <si>
    <t>Kilograms of phosphorus removed per day</t>
  </si>
  <si>
    <t>PR14TMSWSWW_SD1</t>
  </si>
  <si>
    <t>SD1</t>
  </si>
  <si>
    <t>TMS-41</t>
  </si>
  <si>
    <t>SD1: Energy imported less energy exported</t>
  </si>
  <si>
    <t>PR14TMSTTT_T1A</t>
  </si>
  <si>
    <t>Thames Tideway</t>
  </si>
  <si>
    <t>TTT</t>
  </si>
  <si>
    <t>T1A</t>
  </si>
  <si>
    <t>TMS-42</t>
  </si>
  <si>
    <t>T1A: Successful procurement of the Infrastructure Provider (IP)</t>
  </si>
  <si>
    <t>Infrastructure Provider (IP) procurement</t>
  </si>
  <si>
    <t>IP award</t>
  </si>
  <si>
    <t>PR14TMSTTT_T1B</t>
  </si>
  <si>
    <t>T1B</t>
  </si>
  <si>
    <t>TMS-43</t>
  </si>
  <si>
    <t>T1B: Thames Water will fulfil its land related commitments in line with the TTT programme requirements</t>
  </si>
  <si>
    <t>Land related commitments</t>
  </si>
  <si>
    <t>Fulfil</t>
  </si>
  <si>
    <t>PR14TMSTTT_T1C</t>
  </si>
  <si>
    <t>T1C</t>
  </si>
  <si>
    <t>TMS-44</t>
  </si>
  <si>
    <t>T1C: Completion of category 2 and 3 construction works and timely availability of sites to the IP</t>
  </si>
  <si>
    <t>No. of sites (cumulative)</t>
  </si>
  <si>
    <t>PR14TMSTTT_T2</t>
  </si>
  <si>
    <t>T2</t>
  </si>
  <si>
    <t>TMS-45</t>
  </si>
  <si>
    <t>T2: Thames Water will engage effectively with the IP, and other stakeholders, both in terms of integration and assurance</t>
  </si>
  <si>
    <t>Effective engagement with IP and stakeholders</t>
  </si>
  <si>
    <t>Engage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</si>
  <si>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</si>
  <si>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</si>
  <si>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</si>
  <si>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</si>
  <si>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</si>
  <si>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Improving</t>
  </si>
  <si>
    <t>PR14TMSHHR_RA1</t>
  </si>
  <si>
    <t>Improving customer service by doing the basics excellently and by getting things 'right first time'</t>
  </si>
  <si>
    <t>RA1</t>
  </si>
  <si>
    <t>TMS-47</t>
  </si>
  <si>
    <t>RA1: Minimise the number of written complaints received from customers (relating to charging and billing)</t>
  </si>
  <si>
    <t>PR14TMSHHR_RA2</t>
  </si>
  <si>
    <t>RA2</t>
  </si>
  <si>
    <t>TMS-48</t>
  </si>
  <si>
    <t>RA2: Improve handling of written complaints by increasing first time resolution - charging and billing</t>
  </si>
  <si>
    <t>PR14TMSHHR_RA3</t>
  </si>
  <si>
    <t>RA3</t>
  </si>
  <si>
    <t>TMS-49</t>
  </si>
  <si>
    <t>RA3: Improve customer satisfaction of retail customers - charging and billing service</t>
  </si>
  <si>
    <t>PR14TMSHHR_RA4</t>
  </si>
  <si>
    <t>RA4</t>
  </si>
  <si>
    <t>TMS-50</t>
  </si>
  <si>
    <t>RA4: Improve customer satisfaction of retail customers - operations contact centre</t>
  </si>
  <si>
    <t>PR14TMSHHR_RA5</t>
  </si>
  <si>
    <t>RA5</t>
  </si>
  <si>
    <t>TMS-51</t>
  </si>
  <si>
    <t>RA5: Increase the number of bills based on actual meter reads (in cycle)</t>
  </si>
  <si>
    <t>% bills based on actual meter reads</t>
  </si>
  <si>
    <t>PR14TMSHHR_RA6</t>
  </si>
  <si>
    <t>RA6</t>
  </si>
  <si>
    <t>TMS-52</t>
  </si>
  <si>
    <t>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</si>
  <si>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</si>
  <si>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</si>
  <si>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</si>
  <si>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</si>
  <si>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</si>
  <si>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</si>
  <si>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</si>
  <si>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</si>
  <si>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</si>
  <si>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</si>
  <si>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</si>
  <si>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</si>
  <si>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</si>
  <si>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</si>
  <si>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PR14TMSHHR_RC2</t>
  </si>
  <si>
    <t>RC2</t>
  </si>
  <si>
    <t>TMS-55</t>
  </si>
  <si>
    <t>RC2: Increase cash collection rates (excluding Thames Tideway Tunnel)</t>
  </si>
  <si>
    <t>% of cash collected from billing in the year</t>
  </si>
  <si>
    <t>UU</t>
  </si>
  <si>
    <t>PR14UUWSW_A1</t>
  </si>
  <si>
    <t>Your drinking water is safe and clean</t>
  </si>
  <si>
    <t>UU-01</t>
  </si>
  <si>
    <t>A1: Drinking Water Safety Plan risk score</t>
  </si>
  <si>
    <t>Drinking Water Safety Plan (DWSP) risk score</t>
  </si>
  <si>
    <t>PR14UUWSW_A2</t>
  </si>
  <si>
    <t>UU-02</t>
  </si>
  <si>
    <t>A2: Water quality events DWI category 3 or above</t>
  </si>
  <si>
    <t>RCV or Revenue</t>
  </si>
  <si>
    <t>No. water quality events DWI cat 3 or above</t>
  </si>
  <si>
    <t>PR14UUWSW_A3</t>
  </si>
  <si>
    <t>UU-03</t>
  </si>
  <si>
    <t>A3: Water Quality Service Index</t>
  </si>
  <si>
    <t>Water Quality Service Index (UU bespoke)</t>
  </si>
  <si>
    <t>PR14UUWSW_B1</t>
  </si>
  <si>
    <t>You have a reliable supply of water now and in the future</t>
  </si>
  <si>
    <t>UU-04</t>
  </si>
  <si>
    <t>B1: Average minutes supply lost per property (a year)</t>
  </si>
  <si>
    <t>Mins:secs supply lost per property per year</t>
  </si>
  <si>
    <t>PR14UUWSW_B2</t>
  </si>
  <si>
    <t>UU-05</t>
  </si>
  <si>
    <t>B2: Reliable water service index</t>
  </si>
  <si>
    <t>Reliable water service index (UU bespoke)</t>
  </si>
  <si>
    <t>PR14UUWSW_B3</t>
  </si>
  <si>
    <t>UU-06</t>
  </si>
  <si>
    <t>B3: Security of supply index (SoSI)</t>
  </si>
  <si>
    <t>PR14UUWSW_B4</t>
  </si>
  <si>
    <t>UU-07</t>
  </si>
  <si>
    <t>B4: Total leakage at or below target</t>
  </si>
  <si>
    <t>Megalitres per day (Ml/d) variance from target</t>
  </si>
  <si>
    <t>PR14UUWSW_B5</t>
  </si>
  <si>
    <t>UU-08</t>
  </si>
  <si>
    <t>B5: Resilience of impounding reservoirs</t>
  </si>
  <si>
    <t>Aggregate (cumulative) reduction in risk</t>
  </si>
  <si>
    <t>PR14UUWSW_B6</t>
  </si>
  <si>
    <t>UU-09</t>
  </si>
  <si>
    <t>B6: Thirlmere transfer into West Cumbria</t>
  </si>
  <si>
    <t>% project complete based on earned value tied to milestones</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</si>
  <si>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</si>
  <si>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</si>
  <si>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</si>
  <si>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</si>
  <si>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</si>
  <si>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PR14UUWSW_D1</t>
  </si>
  <si>
    <t>You're highly satisfied with our service and find it easy to do business with us</t>
  </si>
  <si>
    <t>UU-11</t>
  </si>
  <si>
    <t>D1: Delivering our commitments to developers, local authorities and highway authorities</t>
  </si>
  <si>
    <t>% of jobs completed within response times</t>
  </si>
  <si>
    <t>PR14UUWSW_E1</t>
  </si>
  <si>
    <t>Bills for you and future customers are fair</t>
  </si>
  <si>
    <t>UU-12</t>
  </si>
  <si>
    <t>E1: Number of free water meters installed</t>
  </si>
  <si>
    <t>No. of free water meters installed per year</t>
  </si>
  <si>
    <t>PR14UUWSWW_S-A1</t>
  </si>
  <si>
    <t>Your wastewater is removed and treated without you ever noticing</t>
  </si>
  <si>
    <t>UU-13</t>
  </si>
  <si>
    <t>S-A1: Private sewers service index</t>
  </si>
  <si>
    <t>Private sewers service index (UU bespoke)</t>
  </si>
  <si>
    <t>PR14UUWSWW_S-A2</t>
  </si>
  <si>
    <t>UU-14</t>
  </si>
  <si>
    <t>S-A2: Wastewater network performance index</t>
  </si>
  <si>
    <t>Wastewater network performance index (UU bespoke)</t>
  </si>
  <si>
    <t>PR14UUWSWW_S-B1</t>
  </si>
  <si>
    <t>The risk of sewer flooding for homes and businesses is reduced</t>
  </si>
  <si>
    <t>UU-15</t>
  </si>
  <si>
    <t>S-B1: Future flood risk</t>
  </si>
  <si>
    <t>No. of properties at risk</t>
  </si>
  <si>
    <t>PR14UUWSWW_S-B2</t>
  </si>
  <si>
    <t>UU-16</t>
  </si>
  <si>
    <t>S-B2: Sewer flooding index</t>
  </si>
  <si>
    <t>Sewer flooding index (UU bespoke)</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</si>
  <si>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</si>
  <si>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</si>
  <si>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</si>
  <si>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</si>
  <si>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</si>
  <si>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PR14UUWSWW_S-D1</t>
  </si>
  <si>
    <t>UU-18</t>
  </si>
  <si>
    <t>S-D1: Protecting rivers from deterioration due to population growth (includes Davyhulme non-delivery penalty)</t>
  </si>
  <si>
    <t>Kilometers (km) rivers protected from deterioration</t>
  </si>
  <si>
    <t>PR14UUWSWW_S-D2</t>
  </si>
  <si>
    <t>UU-19</t>
  </si>
  <si>
    <t>S-D2: Maintaining our wastewater treatment works (includes Oldham and Royton WwTWs special cost factor claims)</t>
  </si>
  <si>
    <t>Maintaining WwTWs index (UU bespoke)</t>
  </si>
  <si>
    <t>PR14UUWSWW_S-D3</t>
  </si>
  <si>
    <t>UU-20</t>
  </si>
  <si>
    <t>S-D3: Contribution to rivers improved - wastewater programme (includes Oldham, Royton and Windermere)</t>
  </si>
  <si>
    <t>PR14UUWSWW_S-D4a</t>
  </si>
  <si>
    <t>S-D4a</t>
  </si>
  <si>
    <t>UU-21</t>
  </si>
  <si>
    <t>S-D4a: Wastewater serious (category 1 and 2) pollution incidents</t>
  </si>
  <si>
    <t>PR14UUWSWW_S-D4b</t>
  </si>
  <si>
    <t>S-D4b</t>
  </si>
  <si>
    <t>UU-22</t>
  </si>
  <si>
    <t>S-D4b: Wastewater category 3 pollution incidents</t>
  </si>
  <si>
    <t>PR14UUWSWW_S-D5</t>
  </si>
  <si>
    <t>S-D5</t>
  </si>
  <si>
    <t>UU-23</t>
  </si>
  <si>
    <t>S-D5: Satisfactory sludge disposal</t>
  </si>
  <si>
    <t>PR14UUHHR_A-1</t>
  </si>
  <si>
    <t>You’re highly satisfied with our service and find it easy to do business with us</t>
  </si>
  <si>
    <t>A-1</t>
  </si>
  <si>
    <t>UU-24</t>
  </si>
  <si>
    <t>A-1: Service incentive mechanism (SIM)</t>
  </si>
  <si>
    <t>Upper quartile</t>
  </si>
  <si>
    <t>PR14UUHHR_R-A2</t>
  </si>
  <si>
    <t>UU-25</t>
  </si>
  <si>
    <t>R-A2: Customer experience programme</t>
  </si>
  <si>
    <t>PR14UUHHR_B1</t>
  </si>
  <si>
    <t>UU-26</t>
  </si>
  <si>
    <t>B1: Customers saying that we offer value for money</t>
  </si>
  <si>
    <t>PR14UUHHR_B2</t>
  </si>
  <si>
    <t>UU-27</t>
  </si>
  <si>
    <t>B2: Per household consumption</t>
  </si>
  <si>
    <t>WSH</t>
  </si>
  <si>
    <t>PR14WSHWSW_A1</t>
  </si>
  <si>
    <t>WSH-01</t>
  </si>
  <si>
    <t>A1: Safety of drinking water</t>
  </si>
  <si>
    <t>PR14WSHWSW_A2</t>
  </si>
  <si>
    <t>WSH-02</t>
  </si>
  <si>
    <t>A2: Customer acceptability (drinking water) - contacts per 1,000 population</t>
  </si>
  <si>
    <t>PR14WSHWSW_A3</t>
  </si>
  <si>
    <t>WSH-03</t>
  </si>
  <si>
    <t>A3: Reliability of supply - minutes lost per property per year</t>
  </si>
  <si>
    <t>Minutes of supply interruption per property per year</t>
  </si>
  <si>
    <t>PR14WSHWSW_B1</t>
  </si>
  <si>
    <t>Protecting our environment</t>
  </si>
  <si>
    <t>WSH-04</t>
  </si>
  <si>
    <t>B1: Abstraction for water for use - % compliance with abstraction licences, as regulated by NRW</t>
  </si>
  <si>
    <t>% compliance with abstraction licences (NRW regulated)</t>
  </si>
  <si>
    <t>PR14WSHWSW_C2</t>
  </si>
  <si>
    <t>Responding to climate change</t>
  </si>
  <si>
    <t>WSH-05</t>
  </si>
  <si>
    <t>C2: Carbon footprint - gigawatt-hours (GWh) of renewable energy generated</t>
  </si>
  <si>
    <t>PR14WSHWSW_D1</t>
  </si>
  <si>
    <t>Excellent customer service</t>
  </si>
  <si>
    <t>WSH-06</t>
  </si>
  <si>
    <t>D1: Service incentive mechanism (SIM)</t>
  </si>
  <si>
    <t>PR14WSHWSW_D2</t>
  </si>
  <si>
    <t>WSH-07</t>
  </si>
  <si>
    <t>D2: ‘At risk’ customer services - number of customers who have experienced poor service</t>
  </si>
  <si>
    <t>No. of properties/ incidents on the internal 'at risk' register</t>
  </si>
  <si>
    <t>PR14WSHWSW_D5</t>
  </si>
  <si>
    <t>D5</t>
  </si>
  <si>
    <t>WSH-08</t>
  </si>
  <si>
    <t>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</si>
  <si>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</si>
  <si>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</si>
  <si>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</si>
  <si>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</si>
  <si>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</si>
  <si>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</si>
  <si>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</si>
  <si>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PR14WSHWSW_F1</t>
  </si>
  <si>
    <t>Asset stewardship</t>
  </si>
  <si>
    <t>WSH-10</t>
  </si>
  <si>
    <t>F1: Asset serviceability</t>
  </si>
  <si>
    <t>PR14WSHWSW_F2</t>
  </si>
  <si>
    <t>WSH-11</t>
  </si>
  <si>
    <t>F2: Leakage</t>
  </si>
  <si>
    <t>PR14WSHWSW_F3</t>
  </si>
  <si>
    <t>F3</t>
  </si>
  <si>
    <t>WSH-12</t>
  </si>
  <si>
    <t>F3: Asset resilience - % of critical assets that are resilient against a set of criteria</t>
  </si>
  <si>
    <t>% critical assets that are resilient against a set of criteria</t>
  </si>
  <si>
    <t>PR14WSHWSWW_B2</t>
  </si>
  <si>
    <t>WSH-13</t>
  </si>
  <si>
    <t>B2: Treating used water - % compliance of WwTW</t>
  </si>
  <si>
    <t>% compliance against WwTW discharge permits</t>
  </si>
  <si>
    <t>PR14WSHWSWW_B3</t>
  </si>
  <si>
    <t>WSH-14</t>
  </si>
  <si>
    <t>PR14WSHWSWW_C1</t>
  </si>
  <si>
    <t>WSH-15</t>
  </si>
  <si>
    <t>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</si>
  <si>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</si>
  <si>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</si>
  <si>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</si>
  <si>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</si>
  <si>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</si>
  <si>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</si>
  <si>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</si>
  <si>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</si>
  <si>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</si>
  <si>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</si>
  <si>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</si>
  <si>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PR14WSHWSWW_D5</t>
  </si>
  <si>
    <t>WSH-20</t>
  </si>
  <si>
    <t>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</si>
  <si>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</si>
  <si>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</si>
  <si>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</si>
  <si>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</si>
  <si>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</si>
  <si>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</si>
  <si>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</si>
  <si>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</si>
  <si>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</si>
  <si>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</si>
  <si>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D4</t>
  </si>
  <si>
    <t>WSH-29</t>
  </si>
  <si>
    <t>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</si>
  <si>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</si>
  <si>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</si>
  <si>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</si>
  <si>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</si>
  <si>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</si>
  <si>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</si>
  <si>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</si>
  <si>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</si>
  <si>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</si>
  <si>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</si>
  <si>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</si>
  <si>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</si>
  <si>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</si>
  <si>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</si>
  <si>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WSX</t>
  </si>
  <si>
    <t>PR14WSXWSW_B4</t>
  </si>
  <si>
    <t>Rivers, lakes and estuaries</t>
  </si>
  <si>
    <t>WSX-01</t>
  </si>
  <si>
    <t>B4: Compliance with abstraction licences</t>
  </si>
  <si>
    <t>% compliance with EA abstraction licences</t>
  </si>
  <si>
    <t>PR14WSXWSW_B5</t>
  </si>
  <si>
    <t>WSX-02</t>
  </si>
  <si>
    <t>B5: Abstractions at Mere exported (follows principles of the AIM methodology)</t>
  </si>
  <si>
    <t>Megalitres per annum (Ml/a)</t>
  </si>
  <si>
    <t>PR14WSXWSW_B6</t>
  </si>
  <si>
    <t>WSX-03</t>
  </si>
  <si>
    <t>B6: BAP landholding assessed and managed for biodiversity</t>
  </si>
  <si>
    <t>% WSX landholding assessed &amp; managed for biodiversity</t>
  </si>
  <si>
    <t>PR14WSXWSW_B7</t>
  </si>
  <si>
    <t>B7</t>
  </si>
  <si>
    <t>WSX-04</t>
  </si>
  <si>
    <t>B7: Length of rivers with improved flows</t>
  </si>
  <si>
    <t>Kilometres (km) of river with improved flows (cumulative)</t>
  </si>
  <si>
    <t>PR14WSXWSW_D2</t>
  </si>
  <si>
    <t>Resilient services</t>
  </si>
  <si>
    <t>WSX-05</t>
  </si>
  <si>
    <t>D2: Restrictions on water use (hosepipe bans)</t>
  </si>
  <si>
    <t>No. of hosepipe bans (temporary use ban)</t>
  </si>
  <si>
    <t>PR14WSXWSW_D3</t>
  </si>
  <si>
    <t>WSX-06</t>
  </si>
  <si>
    <t>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</si>
  <si>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</si>
  <si>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</si>
  <si>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</si>
  <si>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</si>
  <si>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PR14WSXWSW_D5</t>
  </si>
  <si>
    <t>WSX-08</t>
  </si>
  <si>
    <t>D5: Water main bursts</t>
  </si>
  <si>
    <t>No. of water main bursts per year</t>
  </si>
  <si>
    <t>&lt;1,876</t>
  </si>
  <si>
    <t>&lt;1,993</t>
  </si>
  <si>
    <t>PR14WSXWSW_F1</t>
  </si>
  <si>
    <t>WSX-09</t>
  </si>
  <si>
    <t>F1: Volume of water leaked</t>
  </si>
  <si>
    <t>PR14WSXWSW_F2</t>
  </si>
  <si>
    <t>WSX-10</t>
  </si>
  <si>
    <t>F2: Customer reported leaks fixed within a day</t>
  </si>
  <si>
    <t>% customer reported leaks fixed within a day</t>
  </si>
  <si>
    <t>PR14WSXWSW_G1</t>
  </si>
  <si>
    <t>Highest quality drinking water</t>
  </si>
  <si>
    <t>WSX-11</t>
  </si>
  <si>
    <t>G1: Customer contacts about drinking water quality</t>
  </si>
  <si>
    <t>No. contacts in the year about drinking water quality</t>
  </si>
  <si>
    <t>PR14WSXWSW_G2</t>
  </si>
  <si>
    <t>WSX-12</t>
  </si>
  <si>
    <t>G2: Compliance with drinking water standards (MZC)</t>
  </si>
  <si>
    <t>&lt;99.95</t>
  </si>
  <si>
    <t>PR14WSXWSWW_A1</t>
  </si>
  <si>
    <t>Improved bathing waters</t>
  </si>
  <si>
    <t>WSX-13</t>
  </si>
  <si>
    <t>A1: Agreed schemes delivered (named outputs with bathing water drivers in the NEP)</t>
  </si>
  <si>
    <t>% of agreed schemes delivered (NEP bathing water)</t>
  </si>
  <si>
    <t>-</t>
  </si>
  <si>
    <t>PR14WSXWSWW_A2</t>
  </si>
  <si>
    <t>WSX-14</t>
  </si>
  <si>
    <t>A2: Beaches passing EU standards</t>
  </si>
  <si>
    <t>% bathing waters meeting the revised BWD standards</t>
  </si>
  <si>
    <t>PR14WSXWSWW_B1</t>
  </si>
  <si>
    <t>WSX-15</t>
  </si>
  <si>
    <t>EA’s Environmental Performance Assessment standing</t>
  </si>
  <si>
    <t>Industry leading</t>
  </si>
  <si>
    <t>Ind leading</t>
  </si>
  <si>
    <t>Below average</t>
  </si>
  <si>
    <t>Above average</t>
  </si>
  <si>
    <t>0/67</t>
  </si>
  <si>
    <t>0/0</t>
  </si>
  <si>
    <t>PR14WSXWSWW_B2</t>
  </si>
  <si>
    <t>WSX-16</t>
  </si>
  <si>
    <t>B2: Monitoring CSOs</t>
  </si>
  <si>
    <t>% CSOs presenting environmental risk with EDM installed</t>
  </si>
  <si>
    <t>PR14WSXWSWW_B3</t>
  </si>
  <si>
    <t>WSX-17</t>
  </si>
  <si>
    <t>B3: River water quality improved</t>
  </si>
  <si>
    <t>No. water bodies improved through WwTW investments</t>
  </si>
  <si>
    <t>PR14WSXWSWW_C1</t>
  </si>
  <si>
    <t>Sewer flooding</t>
  </si>
  <si>
    <t>WSX-18</t>
  </si>
  <si>
    <t>C1: Internal flooding incidents</t>
  </si>
  <si>
    <t>No. of internal sewer flooding incidents / 10,000 properties</t>
  </si>
  <si>
    <t>0.01 nr</t>
  </si>
  <si>
    <t>PR14WSXWSWW_C2</t>
  </si>
  <si>
    <t>WSX-19</t>
  </si>
  <si>
    <t>C2: Risk of flooding from public sewers due to hydraulic inadequacy</t>
  </si>
  <si>
    <t>Flooding risk as measured by sewer flooding risk grid</t>
  </si>
  <si>
    <t>&gt;60,781</t>
  </si>
  <si>
    <t>PR14WSXWSWW_C3a</t>
  </si>
  <si>
    <t>C3a</t>
  </si>
  <si>
    <t>WSX-20a</t>
  </si>
  <si>
    <t>C3a: North Bristol Sewer Scheme - Frome catchment</t>
  </si>
  <si>
    <t>Scheme delivery - Frome catchment</t>
  </si>
  <si>
    <t>PR14WSXWSWW_C3b</t>
  </si>
  <si>
    <t>C3b</t>
  </si>
  <si>
    <t>WSX-20b</t>
  </si>
  <si>
    <t>C3b: North Bristol Sewer Scheme - Trym catchment</t>
  </si>
  <si>
    <t>Scheme delivery - Trym catchment</t>
  </si>
  <si>
    <t>PR14WSXWSWW_D1</t>
  </si>
  <si>
    <t>WSX-21</t>
  </si>
  <si>
    <t>D1: Collapses and bursts on sewer network</t>
  </si>
  <si>
    <t>No. of sewer collapses and rising main bursts</t>
  </si>
  <si>
    <t>&lt;300</t>
  </si>
  <si>
    <t>PR14WSXWSWW_E1</t>
  </si>
  <si>
    <t>Carbon footprint</t>
  </si>
  <si>
    <t>WSX-22</t>
  </si>
  <si>
    <t>E1: Greenhouse gas emissions (annual greenhouse gas emissions from operational services)</t>
  </si>
  <si>
    <t>PR14WSXWSWW_E2</t>
  </si>
  <si>
    <t>WSX-23</t>
  </si>
  <si>
    <t>E2: Proportion of energy self-generated</t>
  </si>
  <si>
    <t>PR14WSXHHR_A1</t>
  </si>
  <si>
    <t>Excellent service for customers</t>
  </si>
  <si>
    <t>WSX-24</t>
  </si>
  <si>
    <t>A1: SIM service score</t>
  </si>
  <si>
    <t>&gt;86</t>
  </si>
  <si>
    <t>PR14WSXHHR_A2</t>
  </si>
  <si>
    <t>WSX-25</t>
  </si>
  <si>
    <t>A2: Percentage rating service good/very good</t>
  </si>
  <si>
    <t>&gt;95</t>
  </si>
  <si>
    <t>PR14WSXHHR_A3</t>
  </si>
  <si>
    <t>WSX-26</t>
  </si>
  <si>
    <t>A3: Percentage rating good value for money</t>
  </si>
  <si>
    <t>PR14WSXHHR_A4</t>
  </si>
  <si>
    <t>WSX-27</t>
  </si>
  <si>
    <t>A4: Percentage rating ease of resolution</t>
  </si>
  <si>
    <t>Improving trend</t>
  </si>
  <si>
    <t>PR14WSXHHR_A5</t>
  </si>
  <si>
    <t>WSX-28</t>
  </si>
  <si>
    <t>A5: Accessible communications</t>
  </si>
  <si>
    <t>Meet best practice</t>
  </si>
  <si>
    <t>Best practice met</t>
  </si>
  <si>
    <t>PR14WSXHHR_B1a</t>
  </si>
  <si>
    <t>B1a</t>
  </si>
  <si>
    <t>WSX-29a</t>
  </si>
  <si>
    <t>B1a: Volume of water used per person</t>
  </si>
  <si>
    <t>PR14WSXHHR_B1b</t>
  </si>
  <si>
    <t>B1b</t>
  </si>
  <si>
    <t>WSX-29b</t>
  </si>
  <si>
    <t>B1b: Volume of water saved by water efficiency promotion</t>
  </si>
  <si>
    <t>PR14WSXHHR_B2</t>
  </si>
  <si>
    <t>WSX-30</t>
  </si>
  <si>
    <t>B2: Bill as a proportion of disposable income</t>
  </si>
  <si>
    <t>Bill as a proportion (%) of disposable income</t>
  </si>
  <si>
    <t>Reducing trend</t>
  </si>
  <si>
    <t>YKY</t>
  </si>
  <si>
    <t>PR14YKYWSW_WA1</t>
  </si>
  <si>
    <t>We provide you with water that is clean and safe to drink</t>
  </si>
  <si>
    <t>YKY-01</t>
  </si>
  <si>
    <t>WA1: Drinking water quality</t>
  </si>
  <si>
    <t>SHLDER</t>
  </si>
  <si>
    <t>PR14YKYWSW_WA2</t>
  </si>
  <si>
    <t>YKY-02</t>
  </si>
  <si>
    <t>WA2: Significant drinking water events which require corrective action</t>
  </si>
  <si>
    <t>No. of corrective actions required by DWI with respect to potentially significant events notified</t>
  </si>
  <si>
    <t>PR14YKYWSW_WA3</t>
  </si>
  <si>
    <t>YKY-03</t>
  </si>
  <si>
    <t>WA3: Drinking water contacts</t>
  </si>
  <si>
    <t>Revenue or SHLDER</t>
  </si>
  <si>
    <t>No. of contacts (discolouration, taste &amp; odour and illness) in line with DWI reporting</t>
  </si>
  <si>
    <t>PR14YKYWSW_WA4</t>
  </si>
  <si>
    <t>YKY-04</t>
  </si>
  <si>
    <t>WA4: Water quality stability and reliability factor</t>
  </si>
  <si>
    <t>Up to 10% totex for outcome</t>
  </si>
  <si>
    <t>PR14YKYWSW_WB1</t>
  </si>
  <si>
    <t>We make sure that you always have enough water</t>
  </si>
  <si>
    <t>YKY-05</t>
  </si>
  <si>
    <t>WB1: Leakage</t>
  </si>
  <si>
    <t>PR14YKYWSW_WB2</t>
  </si>
  <si>
    <t>YKY-06</t>
  </si>
  <si>
    <t>WB2: Water supply interruptions</t>
  </si>
  <si>
    <t>Minutes lost per property per year</t>
  </si>
  <si>
    <t>PR14YKYWSW_WB3</t>
  </si>
  <si>
    <t>YKY-07</t>
  </si>
  <si>
    <t>WB3: Water use</t>
  </si>
  <si>
    <t>PR14YKYWSW_WB4</t>
  </si>
  <si>
    <t>YKY-08</t>
  </si>
  <si>
    <t>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</si>
  <si>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</si>
  <si>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</si>
  <si>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</si>
  <si>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</si>
  <si>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</si>
  <si>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</si>
  <si>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</si>
  <si>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</si>
  <si>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</si>
  <si>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</si>
  <si>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PR14YKYWSW_WC3</t>
  </si>
  <si>
    <t>YKY-11</t>
  </si>
  <si>
    <t>No. of hectares of land conserved &amp; enhanced (cumulative)</t>
  </si>
  <si>
    <t>PR14YKYWSW_WC4</t>
  </si>
  <si>
    <t>YKY-12</t>
  </si>
  <si>
    <t>WC4: Recreational visitor satisfaction</t>
  </si>
  <si>
    <t>Assessment</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</si>
  <si>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</si>
  <si>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</si>
  <si>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</si>
  <si>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</si>
  <si>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</si>
  <si>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PR14YKYWSW_WD2</t>
  </si>
  <si>
    <t>WD2</t>
  </si>
  <si>
    <t>YKY-14</t>
  </si>
  <si>
    <t>% of waste diverted from landfill (re-used and recycled)</t>
  </si>
  <si>
    <t>PR14YKYWSWW_SA1</t>
  </si>
  <si>
    <t>We take care of your wastewater and protect you and the environment from sewer flooding</t>
  </si>
  <si>
    <t>YKY-15</t>
  </si>
  <si>
    <t>SA1: Internal sewer flooding incidents</t>
  </si>
  <si>
    <t>PR14YKYWSWW_SA2</t>
  </si>
  <si>
    <t>YKY-16</t>
  </si>
  <si>
    <t>SA2: External sewer flooding incidents</t>
  </si>
  <si>
    <t>PR14YKYWSWW_SA3a</t>
  </si>
  <si>
    <t>SA3a</t>
  </si>
  <si>
    <t>YKY-17a</t>
  </si>
  <si>
    <t>SA3a: Pollution incidents - category 1 and 2</t>
  </si>
  <si>
    <t>PR14YKYWSWW_SA3b</t>
  </si>
  <si>
    <t>SA3b</t>
  </si>
  <si>
    <t>YKY-17b</t>
  </si>
  <si>
    <t>SA3b: Pollution incidents - category 3</t>
  </si>
  <si>
    <t>PR14YKYWSWW_SA4</t>
  </si>
  <si>
    <t>SA4</t>
  </si>
  <si>
    <t>YKY-18</t>
  </si>
  <si>
    <t>SA4: Sewer network stability and reliability factor</t>
  </si>
  <si>
    <t>PR14YKYWSWW_SB1</t>
  </si>
  <si>
    <t>YKY-19</t>
  </si>
  <si>
    <t>SB1: Number of Yorkshire's designated bathing waters that exceed the required quality standard</t>
  </si>
  <si>
    <t>No. of bathing waters exceeding required standard</t>
  </si>
  <si>
    <t>PR14YKYWSWW_SB2</t>
  </si>
  <si>
    <t>YKY-20</t>
  </si>
  <si>
    <t>SB2: Wastewater quality stability and reliability factor</t>
  </si>
  <si>
    <t>PR14YKYWSWW_SB3</t>
  </si>
  <si>
    <t>YKY-21</t>
  </si>
  <si>
    <t>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</si>
  <si>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</si>
  <si>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</si>
  <si>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</si>
  <si>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</si>
  <si>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</si>
  <si>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</si>
  <si>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</si>
  <si>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</si>
  <si>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</si>
  <si>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</si>
  <si>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</si>
  <si>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</si>
  <si>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PR14YKYHHR_RA1</t>
  </si>
  <si>
    <t>We provide the level of customer service you expect and value</t>
  </si>
  <si>
    <t>YKY-26</t>
  </si>
  <si>
    <t>&gt;2014-15</t>
  </si>
  <si>
    <t>&gt;2015-16</t>
  </si>
  <si>
    <t>&gt;2016-17</t>
  </si>
  <si>
    <t>&gt;2017-18</t>
  </si>
  <si>
    <t>&gt;2018-19</t>
  </si>
  <si>
    <t>PR14YKYHHR_RA2</t>
  </si>
  <si>
    <t>YKY-27</t>
  </si>
  <si>
    <t>RA2: Service commitment failures</t>
  </si>
  <si>
    <t>No. of GSS (Guaranteed Standards of Service) events</t>
  </si>
  <si>
    <t>Average of 2015-20 performance to be less than average of last 3 years of 2010-15 performance</t>
  </si>
  <si>
    <t>PR14YKYHHR_RA3</t>
  </si>
  <si>
    <t>YKY-28</t>
  </si>
  <si>
    <t>RA3: Overall customer satisfaction (CCWater annual tracking survey)</t>
  </si>
  <si>
    <t>% overall customer satisfaction (CCWater tracking survey)</t>
  </si>
  <si>
    <t>Average of 2015-20 performance to be better than average of 2010-15 performance</t>
  </si>
  <si>
    <t>PR14YKYHHR_RB1</t>
  </si>
  <si>
    <t>We keep your bills as low as possible</t>
  </si>
  <si>
    <t>YKY-29</t>
  </si>
  <si>
    <t>RB1: Cost of bad debt to customers (expressed as proportion of bill)</t>
  </si>
  <si>
    <t>Cost of bad debt as % of average annual bill</t>
  </si>
  <si>
    <t>PR14YKYHHR_RB2</t>
  </si>
  <si>
    <t>RB2</t>
  </si>
  <si>
    <t>YKY-30</t>
  </si>
  <si>
    <t>RB2: Number of people who we help to pay their bill</t>
  </si>
  <si>
    <t>No. of customers who are assisted to pay their bill</t>
  </si>
  <si>
    <t>PR14YKYHHR_RB3</t>
  </si>
  <si>
    <t>RB3</t>
  </si>
  <si>
    <t>YKY-31</t>
  </si>
  <si>
    <t>RB3: Value for money (CCWater annual tracking survey)</t>
  </si>
  <si>
    <t>% customer satisfaction (CCWater tracking survey)</t>
  </si>
  <si>
    <t>Average of 2015-20 performance to better than average of 2010-15 performance</t>
  </si>
  <si>
    <t>PR14YKYHHR_RC1</t>
  </si>
  <si>
    <t>YKY-32</t>
  </si>
  <si>
    <t>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</si>
  <si>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</si>
  <si>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</si>
  <si>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</si>
  <si>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Introduction</t>
  </si>
  <si>
    <t>Tables</t>
  </si>
  <si>
    <t>Companies should have particular regard to the regulatory accounting guidelines set out for each table when preparing their submission.</t>
  </si>
  <si>
    <t>The calculations are locked in the table template to prevent editing.</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</si>
  <si>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</si>
  <si>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</si>
  <si>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</si>
  <si>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Links to additional information / guidance</t>
  </si>
  <si>
    <t>Data validation checks</t>
  </si>
  <si>
    <t>Select company</t>
  </si>
  <si>
    <t>Select company from drop down list</t>
  </si>
  <si>
    <t>The data tables should only be submitted once all data checks pass the table below identifies where there are outstanding issues, these are shown as red cells below.</t>
  </si>
  <si>
    <t>All expected cells completed?</t>
  </si>
  <si>
    <t>Other validations</t>
  </si>
  <si>
    <t>Line definitions</t>
  </si>
  <si>
    <t>Completed</t>
  </si>
  <si>
    <t>1A - Income statement</t>
  </si>
  <si>
    <t>Data validation</t>
  </si>
  <si>
    <t>Line description</t>
  </si>
  <si>
    <t>Units</t>
  </si>
  <si>
    <t>DPs</t>
  </si>
  <si>
    <t>Statutory</t>
  </si>
  <si>
    <t>Adjustments</t>
  </si>
  <si>
    <t>Total appointed activities</t>
  </si>
  <si>
    <t>Differences between statutory and RAG definitions</t>
  </si>
  <si>
    <t>Non-appointed</t>
  </si>
  <si>
    <t>Total adjustments</t>
  </si>
  <si>
    <t>Completion checks</t>
  </si>
  <si>
    <t>Please complete all cells in row</t>
  </si>
  <si>
    <t>Revenue</t>
  </si>
  <si>
    <t>Operating costs</t>
  </si>
  <si>
    <t>Other operating income</t>
  </si>
  <si>
    <t>Operating profit</t>
  </si>
  <si>
    <t>Other income</t>
  </si>
  <si>
    <t>Interest income</t>
  </si>
  <si>
    <t>Interest expense</t>
  </si>
  <si>
    <t xml:space="preserve">Other interest expense </t>
  </si>
  <si>
    <t>Profit before tax and fair value movements</t>
  </si>
  <si>
    <t>Fair value gains/(losses) on financial instruments</t>
  </si>
  <si>
    <t>Profit before tax</t>
  </si>
  <si>
    <t>UK Corporation tax</t>
  </si>
  <si>
    <t>Deferred tax</t>
  </si>
  <si>
    <t>Profit for the year</t>
  </si>
  <si>
    <t xml:space="preserve">Key to cells: </t>
  </si>
  <si>
    <t>Input cell</t>
  </si>
  <si>
    <t>Calculation cell</t>
  </si>
  <si>
    <t>Line</t>
  </si>
  <si>
    <t>Definitions</t>
  </si>
  <si>
    <t>line spacing for definitions</t>
  </si>
  <si>
    <t>1
2
3</t>
  </si>
  <si>
    <t>Historical cost operating income includes profits or loss on disposal of fixed assets; income arising from exceptional items should also be included. Normally a positive number, but a loss should be negative.</t>
  </si>
  <si>
    <t>1
2</t>
  </si>
  <si>
    <t>Historical cost operating profit. Equal to the sum of table 1A lines 1 to 3.</t>
  </si>
  <si>
    <t>Interest income includes interest received on cash deposits, loans to group companies, etc.</t>
  </si>
  <si>
    <t>Interest expense includes interest paid on loans, leases, debenture, floating rate debt, overdrafts, preference shares and all other borrowings.</t>
  </si>
  <si>
    <t>1
2
3
4</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</si>
  <si>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</si>
  <si>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</si>
  <si>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</si>
  <si>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</si>
  <si>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</si>
  <si>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</si>
  <si>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t>1B - Statement of comprehensive income</t>
  </si>
  <si>
    <t>Actuarial gains/(losses) on post employment plans</t>
  </si>
  <si>
    <t>Other comprehensive income</t>
  </si>
  <si>
    <t>Total Comprehensive income for the year</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</si>
  <si>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</si>
  <si>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</si>
  <si>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</si>
  <si>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</si>
  <si>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 xml:space="preserve"> </t>
  </si>
  <si>
    <t>1C - Statement of financial position</t>
  </si>
  <si>
    <t>A</t>
  </si>
  <si>
    <t>Non-current assets</t>
  </si>
  <si>
    <t>Fixed assets</t>
  </si>
  <si>
    <t>Intangible assets</t>
  </si>
  <si>
    <t>Investments - loans to group companies</t>
  </si>
  <si>
    <t>Investments - other</t>
  </si>
  <si>
    <t>Financial instruments</t>
  </si>
  <si>
    <t>Retirement benefit assets</t>
  </si>
  <si>
    <t>Total non-current assets</t>
  </si>
  <si>
    <t>B</t>
  </si>
  <si>
    <t>Current assets</t>
  </si>
  <si>
    <t>Inventories</t>
  </si>
  <si>
    <t>Trade &amp; other receivables</t>
  </si>
  <si>
    <t>Cash &amp; cash equivalents</t>
  </si>
  <si>
    <t>Total current assets</t>
  </si>
  <si>
    <t>C</t>
  </si>
  <si>
    <t>Current liabilities</t>
  </si>
  <si>
    <t>Trade &amp; other payables</t>
  </si>
  <si>
    <t>Capex creditor</t>
  </si>
  <si>
    <t>Borrowings</t>
  </si>
  <si>
    <t>Current tax liabilities</t>
  </si>
  <si>
    <t>Provisions</t>
  </si>
  <si>
    <t>Total current liabilities</t>
  </si>
  <si>
    <t>Net current assets / (liabilities)</t>
  </si>
  <si>
    <t>D</t>
  </si>
  <si>
    <t>Non-Current liabilities</t>
  </si>
  <si>
    <t>Retirement benefit obligations</t>
  </si>
  <si>
    <t>Deferred income - G&amp;C's</t>
  </si>
  <si>
    <t>Preference share capital</t>
  </si>
  <si>
    <t>Total non-current liabilities</t>
  </si>
  <si>
    <t>Net assets</t>
  </si>
  <si>
    <t>E</t>
  </si>
  <si>
    <t>Equity</t>
  </si>
  <si>
    <t>Called up share capital</t>
  </si>
  <si>
    <t>Retained earnings &amp; other reserves</t>
  </si>
  <si>
    <t>Total Equity</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</si>
  <si>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</si>
  <si>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</si>
  <si>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</si>
  <si>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</si>
  <si>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</si>
  <si>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</si>
  <si>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</si>
  <si>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</si>
  <si>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Equal to the sum of table 1C lines 8 to 11.</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</si>
  <si>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</si>
  <si>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</si>
  <si>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1
2
3
4
5
6
7
8
9
10</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</si>
  <si>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</si>
  <si>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</si>
  <si>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</si>
  <si>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</si>
  <si>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</si>
  <si>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</si>
  <si>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</si>
  <si>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Total provisions for liabilities and charges due after one year not included elsewhere in the table. Includes restructuring or reorganisation provisions.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</si>
  <si>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</si>
  <si>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</si>
  <si>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Nominal value of the ordinary shares of the company which are issued and fully paid.</t>
  </si>
  <si>
    <t>Cumulative balance of historical cost profits retained and any other reserves, other than called up share capital.</t>
  </si>
  <si>
    <t>1D - Statement of cash flows</t>
  </si>
  <si>
    <t>Statement of cashflows</t>
  </si>
  <si>
    <t>Depreciation</t>
  </si>
  <si>
    <t>Amortisation - G&amp;C's</t>
  </si>
  <si>
    <t>Changes in working capital</t>
  </si>
  <si>
    <t>Pension contributions</t>
  </si>
  <si>
    <t>Movement in provisions</t>
  </si>
  <si>
    <t>Profit on sale of fixed assets</t>
  </si>
  <si>
    <t>Cash generated from operations</t>
  </si>
  <si>
    <t>Net interest paid</t>
  </si>
  <si>
    <t>Tax paid</t>
  </si>
  <si>
    <t>Net cash generated from operating activities</t>
  </si>
  <si>
    <t>Investing activities</t>
  </si>
  <si>
    <t>Capital expenditure</t>
  </si>
  <si>
    <t>Grants &amp; Contributions</t>
  </si>
  <si>
    <t>Disposal of fixed assets</t>
  </si>
  <si>
    <t>Other</t>
  </si>
  <si>
    <t>Net cash used in investing activities</t>
  </si>
  <si>
    <t>Net cash generated before financing activities</t>
  </si>
  <si>
    <t>Cashflows from financing activities</t>
  </si>
  <si>
    <t>Equity dividends paid</t>
  </si>
  <si>
    <t>Net loans received</t>
  </si>
  <si>
    <t>Cash inflow from equity financing</t>
  </si>
  <si>
    <t>Net cash generated from financing activities</t>
  </si>
  <si>
    <t>Increase (decrease) in net cash</t>
  </si>
  <si>
    <t>Operating profit before tax and interest. This is equal to table 1A line 4.</t>
  </si>
  <si>
    <t>The total movement in working capital.</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</si>
  <si>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</si>
  <si>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</si>
  <si>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</si>
  <si>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</si>
  <si>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</si>
  <si>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</si>
  <si>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</si>
  <si>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</si>
  <si>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</si>
  <si>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</si>
  <si>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</si>
  <si>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</si>
  <si>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</si>
  <si>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</si>
  <si>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Interest rate risk profile</t>
  </si>
  <si>
    <t>Fixed rate</t>
  </si>
  <si>
    <t>Floating rate</t>
  </si>
  <si>
    <t>Index linked</t>
  </si>
  <si>
    <t>Total</t>
  </si>
  <si>
    <t>Borrowings (excluding preference shares)</t>
  </si>
  <si>
    <t>Total borrowings</t>
  </si>
  <si>
    <t>Cash</t>
  </si>
  <si>
    <t>Short term deposits</t>
  </si>
  <si>
    <t>Net Debt</t>
  </si>
  <si>
    <t>Gearing</t>
  </si>
  <si>
    <t>Adjusted gearing</t>
  </si>
  <si>
    <t>Full year equivalent nominal interest cost</t>
  </si>
  <si>
    <t>Full year equivalent cash interest payment</t>
  </si>
  <si>
    <t>Indicative interest rates</t>
  </si>
  <si>
    <t>Indicative weighted average nominal interest rate</t>
  </si>
  <si>
    <t>Indicative weighted average cash interest rate</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</si>
  <si>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</si>
  <si>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</si>
  <si>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</si>
  <si>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</si>
  <si>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</si>
  <si>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
4
5
6
7
8
9
10
11
12
13
14 
15
16
17
18
19
20
21
22
23</t>
  </si>
  <si>
    <t>1
2
3
4
5
6</t>
  </si>
  <si>
    <t>2A - Segmental income statement</t>
  </si>
  <si>
    <t>Retail</t>
  </si>
  <si>
    <t>Wholesale</t>
  </si>
  <si>
    <t>Consistency validations</t>
  </si>
  <si>
    <t>Other validations calcs</t>
  </si>
  <si>
    <t>Household</t>
  </si>
  <si>
    <t>Non-Household</t>
  </si>
  <si>
    <t>Revenue - price control</t>
  </si>
  <si>
    <t>Revenue - non price control</t>
  </si>
  <si>
    <t>Operating profit before recharges</t>
  </si>
  <si>
    <t>Recharges from other segments</t>
  </si>
  <si>
    <t>Recharges to other segments</t>
  </si>
  <si>
    <t>Surface water drainage rebates</t>
  </si>
  <si>
    <t>Operating expenditure</t>
  </si>
  <si>
    <t>Power</t>
  </si>
  <si>
    <t>Income treated as negative expenditure</t>
  </si>
  <si>
    <t>Bulk supply/ Bulk discharge</t>
  </si>
  <si>
    <t>Other operating expenditure</t>
  </si>
  <si>
    <t>Total operating expenditure excluding third party services</t>
  </si>
  <si>
    <t>Third party services</t>
  </si>
  <si>
    <t>Total operating expenditure</t>
  </si>
  <si>
    <t>Capital Expenditure</t>
  </si>
  <si>
    <t>Maintaining the long term capability of the assets - infra</t>
  </si>
  <si>
    <t>Maintaining the long term capability of the assets - non- infra</t>
  </si>
  <si>
    <t>Other capital expenditure - infra</t>
  </si>
  <si>
    <t>Other capital expenditure - non-infra</t>
  </si>
  <si>
    <t>Total gross capital expenditure excluding third party services</t>
  </si>
  <si>
    <t>Total gross capital expenditure</t>
  </si>
  <si>
    <t>Totex</t>
  </si>
  <si>
    <t>Cash Expenditure</t>
  </si>
  <si>
    <t>Pension deficit recovery payments</t>
  </si>
  <si>
    <t>Other cash items</t>
  </si>
  <si>
    <t>Totex including cash items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</si>
  <si>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</si>
  <si>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</si>
  <si>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The cost of local authority rates. This should include both the local authority rates, cumulo rates and sewerage site rates (where appropriate).</t>
  </si>
  <si>
    <t>Operating expenditure for providing third party services. E.g. Bulk supplies, supplies of non-potable water and rechargeable works where the appointee is a monopoly supplier.</t>
  </si>
  <si>
    <t>Capital expenditure for providing third party services. E.g. Bulk supplies, supplies of non-potable water and rechargeable works where the appointee is a monopoly supplier.</t>
  </si>
  <si>
    <t>Actual pension deficit recovery payments including costs capitalised and any group recharges for pension deficit costs.</t>
  </si>
  <si>
    <t>Other cash items not including in the accounting charge.</t>
  </si>
  <si>
    <t>2C - Operating cost analysis - retail</t>
  </si>
  <si>
    <t>Non-household</t>
  </si>
  <si>
    <t>Customer services</t>
  </si>
  <si>
    <t>Debt management</t>
  </si>
  <si>
    <t>Doubtful debts</t>
  </si>
  <si>
    <t>Meter reading</t>
  </si>
  <si>
    <t>Services to developers</t>
  </si>
  <si>
    <t>Third party services operating expenditure</t>
  </si>
  <si>
    <t>Total operating costs</t>
  </si>
  <si>
    <t>Debt written off</t>
  </si>
  <si>
    <t>1
2
3
4
5</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</si>
  <si>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</si>
  <si>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</si>
  <si>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</si>
  <si>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</si>
  <si>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</si>
  <si>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</si>
  <si>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</si>
  <si>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</si>
  <si>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</si>
  <si>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2D - Historic cost analysis of fixed assets - wholesale &amp; retail</t>
  </si>
  <si>
    <t>Cost</t>
  </si>
  <si>
    <t>Disposals</t>
  </si>
  <si>
    <t>Additions</t>
  </si>
  <si>
    <t>Charge for the year</t>
  </si>
  <si>
    <t>The historical cost value of the assets brought forward from the previous year.</t>
  </si>
  <si>
    <t>The reduction in value of assets caused by disposal of assets, by type.</t>
  </si>
  <si>
    <t>Increase in value of assets by type caused by purchase.</t>
  </si>
  <si>
    <t>Current year</t>
  </si>
  <si>
    <t>Fully recognised in income statement</t>
  </si>
  <si>
    <t>Fully netted off capex</t>
  </si>
  <si>
    <t>Grants and contributions - water</t>
  </si>
  <si>
    <t>Grants and contributions - wastewater</t>
  </si>
  <si>
    <t>Brought forward</t>
  </si>
  <si>
    <t>Capitalised in year</t>
  </si>
  <si>
    <t>Amortisation (in income statement)</t>
  </si>
  <si>
    <t>Carried forward</t>
  </si>
  <si>
    <t>Land sales</t>
  </si>
  <si>
    <t>Proceeds from disposals of protected land</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</si>
  <si>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</si>
  <si>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</si>
  <si>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</si>
  <si>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</si>
  <si>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</si>
  <si>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</si>
  <si>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</si>
  <si>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</si>
  <si>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Unmeasured water only customer</t>
  </si>
  <si>
    <t>Unmeasured wastewater only customer</t>
  </si>
  <si>
    <t>Unmeasured water and wastewater customer</t>
  </si>
  <si>
    <t>Measured water only customer</t>
  </si>
  <si>
    <t>Measured wastewater only customer</t>
  </si>
  <si>
    <t>Measured water and wastewater customer</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</si>
  <si>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</si>
  <si>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</si>
  <si>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</si>
  <si>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</si>
  <si>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</si>
  <si>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</si>
  <si>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</si>
  <si>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Wholesale charges revenue 
£m</t>
  </si>
  <si>
    <t>Average non-household retail revenue per customer  £</t>
  </si>
  <si>
    <t>Non-Default tariffs</t>
  </si>
  <si>
    <t>Total non-default tariffs</t>
  </si>
  <si>
    <t>Default tariffs</t>
  </si>
  <si>
    <t>Total default tariffs</t>
  </si>
  <si>
    <t>Total revenue received from all customers on a non-default tariff.</t>
  </si>
  <si>
    <t>Total revenue received from all non-household customers on a default tariff.</t>
  </si>
  <si>
    <t>Total revenue received from all default and non-default tariffs.</t>
  </si>
  <si>
    <t>Wholesale charge - water</t>
  </si>
  <si>
    <t>Unmeasured</t>
  </si>
  <si>
    <t>Measured</t>
  </si>
  <si>
    <t>Third party revenue</t>
  </si>
  <si>
    <t>Wholesale charge - wastewater</t>
  </si>
  <si>
    <t>Wholesale Total</t>
  </si>
  <si>
    <t>Retail revenue</t>
  </si>
  <si>
    <t>Retail total</t>
  </si>
  <si>
    <t>Third party revenue - non-price control</t>
  </si>
  <si>
    <t>Other third party revenue</t>
  </si>
  <si>
    <t>Other appointed revenue</t>
  </si>
  <si>
    <t>Total appointed revenue</t>
  </si>
  <si>
    <t>Wholesale revenue governed by price control</t>
  </si>
  <si>
    <t>Grants &amp; contributions</t>
  </si>
  <si>
    <t>Total revenue governed by wholesale price control</t>
  </si>
  <si>
    <t>Amount assumed in wholesale determination</t>
  </si>
  <si>
    <t>Difference</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</si>
  <si>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</si>
  <si>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</si>
  <si>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</si>
  <si>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</si>
  <si>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</si>
  <si>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</si>
  <si>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</si>
  <si>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</si>
  <si>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</si>
  <si>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</si>
  <si>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</si>
  <si>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</si>
  <si>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</si>
  <si>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</si>
  <si>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Wholesale revenue governed by price control. Equal to table 2I line 9.</t>
  </si>
  <si>
    <t>Amount assumed in wholesale determination for the year.</t>
  </si>
  <si>
    <t>3A - Outcome performance table</t>
  </si>
  <si>
    <t>Row</t>
  </si>
  <si>
    <t>F</t>
  </si>
  <si>
    <t>G</t>
  </si>
  <si>
    <t>H</t>
  </si>
  <si>
    <t>I</t>
  </si>
  <si>
    <t>J</t>
  </si>
  <si>
    <t>K</t>
  </si>
  <si>
    <t>L</t>
  </si>
  <si>
    <t>M</t>
  </si>
  <si>
    <t>N</t>
  </si>
  <si>
    <t>4A - Non-financial information</t>
  </si>
  <si>
    <t>Number of void households</t>
  </si>
  <si>
    <t>Per capita consumption (excluding supply pipe leakage) l/h/d</t>
  </si>
  <si>
    <t>Bulk supply export</t>
  </si>
  <si>
    <t>Ml/d</t>
  </si>
  <si>
    <t>Bulk supply import</t>
  </si>
  <si>
    <t>Distribution input</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</si>
  <si>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</si>
  <si>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Volume of water (treated and untreated) exported to other companies in bulk supplies by the appointed business.</t>
  </si>
  <si>
    <t>Distribution input is the average amount of potable water entering the distribution network and supplied to customers within the company’s area of supply.</t>
  </si>
  <si>
    <t xml:space="preserve">4B - Wholesale totex analysis </t>
  </si>
  <si>
    <t>Cumulative 2015-20</t>
  </si>
  <si>
    <t>Actual totex</t>
  </si>
  <si>
    <t>Items excluded from the menu</t>
  </si>
  <si>
    <t>Third party costs</t>
  </si>
  <si>
    <t>The sum of table 4B lines 2 to 4.</t>
  </si>
  <si>
    <t>Projected 'shadow' RCV</t>
  </si>
  <si>
    <t>RCV at 31 March per the 2014 price determination inflated using the March RPI – as published on the OFWAT website annually in April.</t>
  </si>
  <si>
    <t>4D - Wholesale totex analysis - water</t>
  </si>
  <si>
    <t>Water resources</t>
  </si>
  <si>
    <t>Water treatment</t>
  </si>
  <si>
    <t>Treated water distribution</t>
  </si>
  <si>
    <t>Abstraction licences</t>
  </si>
  <si>
    <t>Raw water abstraction</t>
  </si>
  <si>
    <t>Raw water transport</t>
  </si>
  <si>
    <t>Raw water storage</t>
  </si>
  <si>
    <t>Maintaining the long term capability of the assets - non-infra</t>
  </si>
  <si>
    <t>Unit cost information (operating expenditure)</t>
  </si>
  <si>
    <t>Ml</t>
  </si>
  <si>
    <t>Tonnes</t>
  </si>
  <si>
    <t>m3</t>
  </si>
  <si>
    <t>Unit cost</t>
  </si>
  <si>
    <t>ttds</t>
  </si>
  <si>
    <t>4E - Wholesale totex analysis - wastewater</t>
  </si>
  <si>
    <t>Foul</t>
  </si>
  <si>
    <t>Surface water drainage</t>
  </si>
  <si>
    <t>Highway drainage</t>
  </si>
  <si>
    <t>Sewage treatment and disposal</t>
  </si>
  <si>
    <t>Sludge transport</t>
  </si>
  <si>
    <t>Sludge treatment</t>
  </si>
  <si>
    <t>Sludge disposal</t>
  </si>
  <si>
    <t>£/Ml</t>
  </si>
  <si>
    <t>Household unmeasured</t>
  </si>
  <si>
    <t>Water only</t>
  </si>
  <si>
    <t>Wastewater only</t>
  </si>
  <si>
    <t>Water and wastewater</t>
  </si>
  <si>
    <t>Demand-side water efficiency - gross expenditure</t>
  </si>
  <si>
    <t>Demand-side water efficiency - expenditure funded by wholesale</t>
  </si>
  <si>
    <t>Demand-side water efficiency - net retail expenditure</t>
  </si>
  <si>
    <t>Customer-side leak repairs - gross expenditure</t>
  </si>
  <si>
    <t>Customer-side leak repairs - expenditure funded by wholesale</t>
  </si>
  <si>
    <t>Customer-side leak repairs - net retail expenditure</t>
  </si>
  <si>
    <t>Households unmeasured</t>
  </si>
  <si>
    <t>Not applicable for unmeasured</t>
  </si>
  <si>
    <t>4G - Wholesale current cost financial performance</t>
  </si>
  <si>
    <t>Capital maintenance charges</t>
  </si>
  <si>
    <t>Current cost operating profit</t>
  </si>
  <si>
    <t>The sum of table 4G lines 1 to 4.</t>
  </si>
  <si>
    <t>The sum of table 4G lines 5 to 9</t>
  </si>
  <si>
    <t>The sum of table 4G lines 10 to 11</t>
  </si>
  <si>
    <t>4H - Financial metrics</t>
  </si>
  <si>
    <t>Net debt</t>
  </si>
  <si>
    <t>Regulated equity</t>
  </si>
  <si>
    <t>Regulated gearing</t>
  </si>
  <si>
    <t>Post tax return on regulated equity</t>
  </si>
  <si>
    <t>RORE (return on regulated equity)</t>
  </si>
  <si>
    <t>Dividend yield</t>
  </si>
  <si>
    <t>Retail profit margin - Household</t>
  </si>
  <si>
    <t>Retail profit margin - Non household</t>
  </si>
  <si>
    <t>Credit rating</t>
  </si>
  <si>
    <t>n/a</t>
  </si>
  <si>
    <t>Return on RCV</t>
  </si>
  <si>
    <t>Dividend cover</t>
  </si>
  <si>
    <t>dec</t>
  </si>
  <si>
    <t>Funds from operations (FFO)</t>
  </si>
  <si>
    <t>Interest cover (cash)</t>
  </si>
  <si>
    <t>Adjusted interest cover (cash)</t>
  </si>
  <si>
    <t>FFO/Debt</t>
  </si>
  <si>
    <t>Effective tax rate</t>
  </si>
  <si>
    <t>RCF/capex</t>
  </si>
  <si>
    <t>Revenue (actual)</t>
  </si>
  <si>
    <t>EBITDA (actual)</t>
  </si>
  <si>
    <t>Proportion of borrowings which are fixed rate</t>
  </si>
  <si>
    <t>Proportion of borrowings which are floating rate</t>
  </si>
  <si>
    <t>Proportion of borrowings which are index linked</t>
  </si>
  <si>
    <t>Proportion of borrowings due within 1 year or less</t>
  </si>
  <si>
    <t>Proportion of borrowings due in more than 1 year but no more than 2 years</t>
  </si>
  <si>
    <t>Proportion of borrowings due in more than 2 years but but no more than 5 years</t>
  </si>
  <si>
    <t>Proportion of borrowings due in more than 5 years but no more than 20 years</t>
  </si>
  <si>
    <t>Proportion of borrowings due in more than 20 years</t>
  </si>
  <si>
    <t>1
2
3
4
5
6
7</t>
  </si>
  <si>
    <t>Interest cover (cash) equal to (FFO as calculated above plus interest paid on borrowings)/ interest paid on borrowings. Interest paid on borrowings excludes any accretion of interest linked debt which is a non cash item.</t>
  </si>
  <si>
    <t>In these lines please provide details of the % of borrowings (table 1E line 3) which fall into each category.</t>
  </si>
  <si>
    <t>4I - Financial derivatives</t>
  </si>
  <si>
    <t>Nominal value by maturity (net)</t>
  </si>
  <si>
    <t>Completion &amp; consistency</t>
  </si>
  <si>
    <t>1 to 2 years</t>
  </si>
  <si>
    <t>2 to 5 years</t>
  </si>
  <si>
    <t>Over 5 years</t>
  </si>
  <si>
    <t>Nominal value (net)</t>
  </si>
  <si>
    <t>Mark to Market</t>
  </si>
  <si>
    <t>Payable</t>
  </si>
  <si>
    <t>Receivable</t>
  </si>
  <si>
    <t>Derivative type</t>
  </si>
  <si>
    <t>Interest rate swap (sterling)</t>
  </si>
  <si>
    <t>Foreign Exchange</t>
  </si>
  <si>
    <t>Cross currency swap USD</t>
  </si>
  <si>
    <t xml:space="preserve">£m </t>
  </si>
  <si>
    <t>Cross currency swap EUR</t>
  </si>
  <si>
    <t>Cross currency swap YEN</t>
  </si>
  <si>
    <t>Cross currency swap Other</t>
  </si>
  <si>
    <t xml:space="preserve">Currency interest rate </t>
  </si>
  <si>
    <t>Currency interest rate swaps USD</t>
  </si>
  <si>
    <t>Currency interest rate swaps EUR</t>
  </si>
  <si>
    <t>Currency interest rate swaps YEN</t>
  </si>
  <si>
    <t>Currency interest rate swaps Other</t>
  </si>
  <si>
    <t>Forward currency contracts</t>
  </si>
  <si>
    <t>Forward currency contracts USD</t>
  </si>
  <si>
    <t>Forward currency contracts EUR</t>
  </si>
  <si>
    <t>Forward currency contracts YEN</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</si>
  <si>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</si>
  <si>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</si>
  <si>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</si>
  <si>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</si>
  <si>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</si>
  <si>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</si>
  <si>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</si>
  <si>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</si>
  <si>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</si>
  <si>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</si>
  <si>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</si>
  <si>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currencies other than US Dollars, Euro or Yen into Pounds Sterling</t>
  </si>
  <si>
    <t>Lists etc</t>
  </si>
  <si>
    <t>Fountain name</t>
  </si>
  <si>
    <t>Name</t>
  </si>
  <si>
    <t>Acronym</t>
  </si>
  <si>
    <t>WaSC or Woc</t>
  </si>
  <si>
    <t>Table 3A drop down lists</t>
  </si>
  <si>
    <t>Anglian Water Services</t>
  </si>
  <si>
    <t>Anglian Water</t>
  </si>
  <si>
    <t>Column H</t>
  </si>
  <si>
    <t>Dwr Cymru Cyfyngedig (Welsh)</t>
  </si>
  <si>
    <t>Dŵr Cymru</t>
  </si>
  <si>
    <t>Northumbrian Water Ltd</t>
  </si>
  <si>
    <t>Northumbrian Water</t>
  </si>
  <si>
    <t>Severn Trent Water Ltd</t>
  </si>
  <si>
    <t>Severn Trent Water</t>
  </si>
  <si>
    <t>South West Water Ltd</t>
  </si>
  <si>
    <t>South West Water</t>
  </si>
  <si>
    <t>Southern Water Services Ltd</t>
  </si>
  <si>
    <t>Southern Water</t>
  </si>
  <si>
    <t>Column I &amp; K</t>
  </si>
  <si>
    <t>Thames Water Utilities Ltd</t>
  </si>
  <si>
    <t>Thames Water</t>
  </si>
  <si>
    <t>United Utilities Water Plc</t>
  </si>
  <si>
    <t>United Utilities</t>
  </si>
  <si>
    <t>NWT</t>
  </si>
  <si>
    <t>Wessex Water Services Ltd</t>
  </si>
  <si>
    <t>Wessex Water</t>
  </si>
  <si>
    <t>Yorkshire Water Services Ltd</t>
  </si>
  <si>
    <t>Yorkshire Water</t>
  </si>
  <si>
    <t>Affinity Water</t>
  </si>
  <si>
    <t>afw</t>
  </si>
  <si>
    <t>Not applicable</t>
  </si>
  <si>
    <t>Bristol Water plc</t>
  </si>
  <si>
    <t>Bristol Water</t>
  </si>
  <si>
    <t>brl</t>
  </si>
  <si>
    <t>Dee Valley Water Plc</t>
  </si>
  <si>
    <t>Dee Valley Water</t>
  </si>
  <si>
    <t>dvw</t>
  </si>
  <si>
    <t>Portsmouth Water Ltd</t>
  </si>
  <si>
    <t>Portsmouth Water</t>
  </si>
  <si>
    <t>prt</t>
  </si>
  <si>
    <t>Bournemouth Water</t>
  </si>
  <si>
    <t>sbw</t>
  </si>
  <si>
    <t>South East Water Ltd</t>
  </si>
  <si>
    <t>South East Water</t>
  </si>
  <si>
    <t>sew</t>
  </si>
  <si>
    <t>South Staffordshire Cambridge</t>
  </si>
  <si>
    <t>South Staffordshire / Cambridge Water</t>
  </si>
  <si>
    <t>ssc</t>
  </si>
  <si>
    <t>Sutton &amp; East Surrey Water Ltd</t>
  </si>
  <si>
    <t>Sutton &amp; East Surrey Water</t>
  </si>
  <si>
    <t>ses</t>
  </si>
  <si>
    <t>WSXPC</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</si>
  <si>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</si>
  <si>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</si>
  <si>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</si>
  <si>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</si>
  <si>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</si>
  <si>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</si>
  <si>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</si>
  <si>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</si>
  <si>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</si>
  <si>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</si>
  <si>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</si>
  <si>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</si>
  <si>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</si>
  <si>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</si>
  <si>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</si>
  <si>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</si>
  <si>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</si>
  <si>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</si>
  <si>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</si>
  <si>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</si>
  <si>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</si>
  <si>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</si>
  <si>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</si>
  <si>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</si>
  <si>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</si>
  <si>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</si>
  <si>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</si>
  <si>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</si>
  <si>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</si>
  <si>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</si>
  <si>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</si>
  <si>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</si>
  <si>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</si>
  <si>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</si>
  <si>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</si>
  <si>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</si>
  <si>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</si>
  <si>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</si>
  <si>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</si>
  <si>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</si>
  <si>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</si>
  <si>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</si>
  <si>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</si>
  <si>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</si>
  <si>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</si>
  <si>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</si>
  <si>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</si>
  <si>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</si>
  <si>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</si>
  <si>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</si>
  <si>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</si>
  <si>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</si>
  <si>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</si>
  <si>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</si>
  <si>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</si>
  <si>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</si>
  <si>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</si>
  <si>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</si>
  <si>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</si>
  <si>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</si>
  <si>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</si>
  <si>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</si>
  <si>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</si>
  <si>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</si>
  <si>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</si>
  <si>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</si>
  <si>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</si>
  <si>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</si>
  <si>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</si>
  <si>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</si>
  <si>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</si>
  <si>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</si>
  <si>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</si>
  <si>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</si>
  <si>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</si>
  <si>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</si>
  <si>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</si>
  <si>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</si>
  <si>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</si>
  <si>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</si>
  <si>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</si>
  <si>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</si>
  <si>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</si>
  <si>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</si>
  <si>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</si>
  <si>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</si>
  <si>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</si>
  <si>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</si>
  <si>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</si>
  <si>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</si>
  <si>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</si>
  <si>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</si>
  <si>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</si>
  <si>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</si>
  <si>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</si>
  <si>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</si>
  <si>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</si>
  <si>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</si>
  <si>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</si>
  <si>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</si>
  <si>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</si>
  <si>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</si>
  <si>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</si>
  <si>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</si>
  <si>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</si>
  <si>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</si>
  <si>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</si>
  <si>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</si>
  <si>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</si>
  <si>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</si>
  <si>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</si>
  <si>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</si>
  <si>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</si>
  <si>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</si>
  <si>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</si>
  <si>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</si>
  <si>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</si>
  <si>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</si>
  <si>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</si>
  <si>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</si>
  <si>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</si>
  <si>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</si>
  <si>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</si>
  <si>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</si>
  <si>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</si>
  <si>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</si>
  <si>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</si>
  <si>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</si>
  <si>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</si>
  <si>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</si>
  <si>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</si>
  <si>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</si>
  <si>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</si>
  <si>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15, Measured, Ind Water, Measured</t>
  </si>
  <si>
    <t>Streamline Orange (non-potable water) - (0.0Ml to 5.0Ml)</t>
  </si>
  <si>
    <t>M-W-100; 100-250Ml water metered</t>
  </si>
  <si>
    <t>[5,000 - 20,000 Business Assessed]  [5,000 - 20,000m3] [water] [unmetered]</t>
  </si>
  <si>
    <t>Water Large User &gt;1000 (Measured)</t>
  </si>
  <si>
    <t>Streamline Blue (non-potable water) - (5.0Ml to 10.0Ml)</t>
  </si>
  <si>
    <t>M-W-250; 250-500Ml water 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</si>
  <si>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</si>
  <si>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</si>
  <si>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</si>
  <si>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</si>
  <si>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</si>
  <si>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[Unmeasured RV + Fixed]  [N/A] [water] [unmetered]</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</si>
  <si>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</si>
  <si>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</si>
  <si>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</si>
  <si>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</si>
  <si>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</si>
  <si>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</si>
  <si>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</si>
  <si>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</si>
  <si>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</si>
  <si>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</si>
  <si>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</si>
  <si>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</si>
  <si>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10, Measured, Meas Water S f+, 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</si>
  <si>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</si>
  <si>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</si>
  <si>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</si>
  <si>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</si>
  <si>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</si>
  <si>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</si>
  <si>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</si>
  <si>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</si>
  <si>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</si>
  <si>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11, Unmeasured, Unmeas Sew, Unmeasured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</si>
  <si>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</si>
  <si>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</si>
  <si>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</si>
  <si>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</si>
  <si>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</si>
  <si>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</si>
  <si>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</si>
  <si>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</si>
  <si>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</si>
  <si>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12, Measured, Meas Sew - std,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</si>
  <si>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</si>
  <si>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</si>
  <si>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</si>
  <si>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</si>
  <si>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</si>
  <si>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</si>
  <si>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</si>
  <si>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</si>
  <si>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</si>
  <si>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13, Measured, Meas Sew - LU,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</si>
  <si>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</si>
  <si>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</si>
  <si>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</si>
  <si>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</si>
  <si>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</si>
  <si>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</si>
  <si>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</si>
  <si>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</si>
  <si>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</si>
  <si>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14, Measured, Trade Effluent - std,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</si>
  <si>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</si>
  <si>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</si>
  <si>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</si>
  <si>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</si>
  <si>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</si>
  <si>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</si>
  <si>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</si>
  <si>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</si>
  <si>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</si>
  <si>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Cust type 16, Measured, Trade Effluent - Special Agreement, measured</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</si>
  <si>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</si>
  <si>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</si>
  <si>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</si>
  <si>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</si>
  <si>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</si>
  <si>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</si>
  <si>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</si>
  <si>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</si>
  <si>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</si>
  <si>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</si>
  <si>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</si>
  <si>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</si>
  <si>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</si>
  <si>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</si>
  <si>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</si>
  <si>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</si>
  <si>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</si>
  <si>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</si>
  <si>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</si>
  <si>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</si>
  <si>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</si>
  <si>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</si>
  <si>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</si>
  <si>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</si>
  <si>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</si>
  <si>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</si>
  <si>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</si>
  <si>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</si>
  <si>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</si>
  <si>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</si>
  <si>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</si>
  <si>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</si>
  <si>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</si>
  <si>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</si>
  <si>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</si>
  <si>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</si>
  <si>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</si>
  <si>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</si>
  <si>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</si>
  <si>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</si>
  <si>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[Unmeasured RV + Fixed]  [N/A] [sewerage] [unmetered]</t>
  </si>
  <si>
    <t>M-S-250; 250-500Ml sewerage metered</t>
  </si>
  <si>
    <t>M-TE-250; 250-500Ml trade effluent metered</t>
  </si>
  <si>
    <t>M-TE-500; &gt;500Ml trade effluent metered</t>
  </si>
  <si>
    <t>Forward currency contracts Other</t>
  </si>
  <si>
    <t>Household measured</t>
  </si>
  <si>
    <t>Households measured</t>
  </si>
  <si>
    <t>[1,000 - 5,000 Business Assessed]  [1,000 - 5,000m3] [sewerage] [unmetered]</t>
  </si>
  <si>
    <t>[5,000 - 20,000 Business Assessed]  [5,000 - 20,000m3] [sewerage] [unmetered]</t>
  </si>
  <si>
    <t>Thames Tideway Tunnel</t>
  </si>
  <si>
    <t>Bazalgette Tunnel Ltd (Tideway)</t>
  </si>
  <si>
    <t>£/unit</t>
  </si>
  <si>
    <t>l/h/d</t>
  </si>
  <si>
    <t>Section 1 Regulatory financial reporting</t>
  </si>
  <si>
    <t>Section 2 Price review and other segmental reporting</t>
  </si>
  <si>
    <t>Section 3 Performance summary</t>
  </si>
  <si>
    <t>Section 4 Additional regulatory information</t>
  </si>
  <si>
    <t>3B - Sub-measure performance table</t>
  </si>
  <si>
    <t>3C - AIM table</t>
  </si>
  <si>
    <t>Other financial derivatives</t>
  </si>
  <si>
    <t>Dividends</t>
  </si>
  <si>
    <t>Weighted average years to maturity</t>
  </si>
  <si>
    <t>Depreciation - tangible fixed assets</t>
  </si>
  <si>
    <t>Water Network+</t>
  </si>
  <si>
    <t>Water Total</t>
  </si>
  <si>
    <t>Waste water Network+</t>
  </si>
  <si>
    <t>Wastewater total</t>
  </si>
  <si>
    <t>W-A1: Leakage</t>
  </si>
  <si>
    <t>W-A2: Average water use</t>
  </si>
  <si>
    <t>W-A3: Water available for use</t>
  </si>
  <si>
    <t>W-A4: Sustainable abstraction reductions</t>
  </si>
  <si>
    <t>W-A5: Abstraction incentive mechanism (AIM)</t>
  </si>
  <si>
    <t>W-B1: Compliance with water quality standards (mean zonal compliance)</t>
  </si>
  <si>
    <t>W-B2: Customer contacts for discolouration</t>
  </si>
  <si>
    <t>W-C1: Unplanned interruptions to supply over 12 hours</t>
  </si>
  <si>
    <t>W-C2: Number of burst mains</t>
  </si>
  <si>
    <t>W-C3: Affected customers not notified of planned interruptions</t>
  </si>
  <si>
    <t>W-C4: Planned work taking longer to complete than notified</t>
  </si>
  <si>
    <t>R-A1: SIM service score</t>
  </si>
  <si>
    <t>R-A2: Value for money survey</t>
  </si>
  <si>
    <t>CRAG report publication</t>
  </si>
  <si>
    <t>S-D2: Service incentive mechanism (SIM)</t>
  </si>
  <si>
    <t>No. contacts per 1,000 population served</t>
  </si>
  <si>
    <t>No. of temporary usage bans per year</t>
  </si>
  <si>
    <t>Energy sourced from renewables (% increase)</t>
  </si>
  <si>
    <t>RoSPA Gold award</t>
  </si>
  <si>
    <t>Satisfaction rate (%)</t>
  </si>
  <si>
    <t>W-A3: Asset stewardship - number of sites with coliform failures (WTWs)</t>
  </si>
  <si>
    <t>W-B9: Timing delays on Birmingham resilience scheme</t>
  </si>
  <si>
    <t>W-B10: Non-delivery of the outcome of the Birmingham resilience scheme</t>
  </si>
  <si>
    <t>W-B11: Timing delays on community risk schemes</t>
  </si>
  <si>
    <t>W-B12: Non-delivery of the community risk schemes</t>
  </si>
  <si>
    <t xml:space="preserve">W-B13: Timing delays on Elan Valley Aqueduct (EVA) maintenance </t>
  </si>
  <si>
    <t>W-B14: Non-delivery of the Elan Valley Aqueduct (EVA) maintenance</t>
  </si>
  <si>
    <t>S-C3: Asset stewardship - environmental compliance (basket of measures)</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</si>
  <si>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</si>
  <si>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</si>
  <si>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</si>
  <si>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</si>
  <si>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</si>
  <si>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</si>
  <si>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W-B2: Ability to move water around the network</t>
  </si>
  <si>
    <t>W-B3: Leakage levels (megalitres a day, Ml/d)</t>
  </si>
  <si>
    <t>W-B4: Time taken to fix significant leaks (days)</t>
  </si>
  <si>
    <t>W-B5: Security of supply index (SoSI)</t>
  </si>
  <si>
    <t>W-C1: Supplies interrupted due to flooded South West Water sites</t>
  </si>
  <si>
    <t>W-D1: Operational customer contacts resolved first time (%)</t>
  </si>
  <si>
    <t>W-E1: Sustainable abstractions (EA/WFD classification)</t>
  </si>
  <si>
    <t>W-E2: Sustainable abstractions (Environment Agency water stress status)</t>
  </si>
  <si>
    <t>W-E3a: Catchment management (number of acres)</t>
  </si>
  <si>
    <t>W-E3b: Catchment management (number of farms)</t>
  </si>
  <si>
    <t>W-E4: Pollution incidents (category 1 and 2)</t>
  </si>
  <si>
    <t>W-E5: Pollution incidents (category 3 and 4)</t>
  </si>
  <si>
    <t>W-E6: Operational carbon emissions (ktCO2e)</t>
  </si>
  <si>
    <t>W-E7: Energy from renewable sources (%)</t>
  </si>
  <si>
    <t>W-F1: Customers paying a metered bill</t>
  </si>
  <si>
    <t>S-A1: Internal sewer flooding incidents</t>
  </si>
  <si>
    <t>S-A2: External sewer flooding incidents</t>
  </si>
  <si>
    <t>S-A3: Odour contacts (wastewater treatment works)</t>
  </si>
  <si>
    <t>S-A4: Asset reliability (pipes)</t>
  </si>
  <si>
    <t>S-A5: Asset reliability (process)</t>
  </si>
  <si>
    <t>S-A6: Compliance with sludge standard (%)</t>
  </si>
  <si>
    <t>S-B1: Operational customer contacts resolved first time (%)</t>
  </si>
  <si>
    <t>S-C1: Wastewater treatment numeric compliance (%)</t>
  </si>
  <si>
    <t>S-C2: Wastewater population equivalent sanitary compliance (%)</t>
  </si>
  <si>
    <t>S-C3: Wastewater descriptive works permit compliance (%)</t>
  </si>
  <si>
    <t>S-C4: Pollution incidents (category 1 and 2)</t>
  </si>
  <si>
    <t>S-C5: Pollution incidents (category 3 and 4)</t>
  </si>
  <si>
    <t>S-C6: Operational carbon emissions (ktCO2e)</t>
  </si>
  <si>
    <t>S-C7: Energy from renewable sources (%)</t>
  </si>
  <si>
    <t>S-D1: Bathing water quality</t>
  </si>
  <si>
    <t>S-D2: Combined sewer overflow spills (number)</t>
  </si>
  <si>
    <t>S-D3: River water quality improved (km)</t>
  </si>
  <si>
    <t>R-A1: Customer overall satisfaction (%)</t>
  </si>
  <si>
    <t>R-A3: Customer satisfaction with value for money</t>
  </si>
  <si>
    <t>R-B1: Customers assisted by water poverty initiatives</t>
  </si>
  <si>
    <t>Ml/d reduced water consumption (cumulative)</t>
  </si>
  <si>
    <t>No. of properties with low pressure (DG2) at the end of the reporting year</t>
  </si>
  <si>
    <t>Megalitres per day (Ml/d) (annual average)</t>
  </si>
  <si>
    <t>Thames Water is committed to improving outcomes for customers and the environment, notably by intercepting significant sewage discharges into the tidal river Thames, working with the IP to ensure the timely and cost efficient delivery of the TTT project</t>
  </si>
  <si>
    <t>B3: Preventing pollution - number of category 3 pollution incidents</t>
  </si>
  <si>
    <t>RA1: Service incentive mechanism (SIM)</t>
  </si>
  <si>
    <t>Down</t>
  </si>
  <si>
    <t>Up</t>
  </si>
  <si>
    <t>TBC 2017</t>
  </si>
  <si>
    <t>Report publication</t>
  </si>
  <si>
    <t>Post 2020</t>
  </si>
  <si>
    <t>Publish data annually on the number of people who have been helped</t>
  </si>
  <si>
    <t>Scheme specific factors
(all or part)</t>
  </si>
  <si>
    <t>Asset health/ resilience
(all or part)</t>
  </si>
  <si>
    <t>NEP
(all or part)</t>
  </si>
  <si>
    <t>No. of
sub-measures</t>
  </si>
  <si>
    <t>2014-15 performance level
- actual</t>
  </si>
  <si>
    <t>2015-16 performance level
- actual</t>
  </si>
  <si>
    <t>ANH W-H1: Water infrastructure</t>
  </si>
  <si>
    <t>ANH W-H2: Water non-infrastructure</t>
  </si>
  <si>
    <t>ANH S-F1: Sewerage infrastructure</t>
  </si>
  <si>
    <t>ANH S-F2: Sewerage non-infrastructure</t>
  </si>
  <si>
    <t>3rd among the 10 WaSCs</t>
  </si>
  <si>
    <t>9/19</t>
  </si>
  <si>
    <t>9/15</t>
  </si>
  <si>
    <t>BRL A2: Asset reliability - infrastructure</t>
  </si>
  <si>
    <t>BRL A3: Asset reliability - non-infrastructure</t>
  </si>
  <si>
    <t>Pass</t>
  </si>
  <si>
    <t xml:space="preserve">Report published </t>
  </si>
  <si>
    <t>Report published</t>
  </si>
  <si>
    <t>8 min 44 secs</t>
  </si>
  <si>
    <t>3 min 30 secs</t>
  </si>
  <si>
    <t>Progress as planned</t>
  </si>
  <si>
    <t>&gt; 95%</t>
  </si>
  <si>
    <t>SBW B4: Maintain serviceable assets</t>
  </si>
  <si>
    <t>Annual report</t>
  </si>
  <si>
    <t>SEW N2: Above ground asset performance assessment</t>
  </si>
  <si>
    <t>SSC 2.2: Serviceability infrastructure (combined company)</t>
  </si>
  <si>
    <t>SSC 2.3: Serviceability non-infrastructure (combined company)</t>
  </si>
  <si>
    <t>Baseline year = 0</t>
  </si>
  <si>
    <t>Not reported</t>
  </si>
  <si>
    <t>NA</t>
  </si>
  <si>
    <t>SVT S-C3: Asset stewardship - environmental compliance (basket of measures)</t>
  </si>
  <si>
    <t>Calculated in 2018/19</t>
  </si>
  <si>
    <t>SVT S-C7: Overall environmental performance (basket of environmental measures)</t>
  </si>
  <si>
    <t>Not available</t>
  </si>
  <si>
    <t>TMS WB1: Asset health water infrastructure</t>
  </si>
  <si>
    <t>TMS WB2: Asset health water non-infrastructure</t>
  </si>
  <si>
    <t>TMS SB1: Asset health wastewater non-infrastructure</t>
  </si>
  <si>
    <t>TMS SB2: Asset health wastewater infrastructure</t>
  </si>
  <si>
    <t>Scheme delivered</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</si>
  <si>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</si>
  <si>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</si>
  <si>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UU A3: Water Quality Service Index</t>
  </si>
  <si>
    <t>13:25</t>
  </si>
  <si>
    <t>16:42</t>
  </si>
  <si>
    <t>UU B2: Reliable water service index</t>
  </si>
  <si>
    <t>UU S-A1: Private sewers service index</t>
  </si>
  <si>
    <t>UU S-A2: Wastewater network performance index</t>
  </si>
  <si>
    <t>UU S-B2: Sewer flooding index</t>
  </si>
  <si>
    <t>WSH F1: Asset serviceability</t>
  </si>
  <si>
    <t>Above Average</t>
  </si>
  <si>
    <t>BS18477 &amp; Customer Service Excellence Award</t>
  </si>
  <si>
    <t xml:space="preserve">Stable </t>
  </si>
  <si>
    <t>YKY WA4: Water quality stability and reliability factor</t>
  </si>
  <si>
    <t>YKY WB4: Water network stability and reliability factor</t>
  </si>
  <si>
    <t xml:space="preserve">Published </t>
  </si>
  <si>
    <t>YKY SA4: Sewer network stability and reliability factor</t>
  </si>
  <si>
    <t>YKY SB2: Wastewater quality stability and reliability factor</t>
  </si>
  <si>
    <t>AFWDP</t>
  </si>
  <si>
    <t>ANHDP</t>
  </si>
  <si>
    <t>BRLDP</t>
  </si>
  <si>
    <t>DVWDP</t>
  </si>
  <si>
    <t>NESDP</t>
  </si>
  <si>
    <t>PRTDP</t>
  </si>
  <si>
    <t>SBWDP</t>
  </si>
  <si>
    <t>SESDP</t>
  </si>
  <si>
    <t>SEWDP</t>
  </si>
  <si>
    <t>SRNDP</t>
  </si>
  <si>
    <t>SSCDP</t>
  </si>
  <si>
    <t>SVTDP</t>
  </si>
  <si>
    <t>SWTDP</t>
  </si>
  <si>
    <t>TMSDP</t>
  </si>
  <si>
    <t>NWTDP</t>
  </si>
  <si>
    <t>WSHDP</t>
  </si>
  <si>
    <t>WSXDP</t>
  </si>
  <si>
    <t>YKYDP</t>
  </si>
  <si>
    <t>1
2
3
4
5
6
7
8</t>
  </si>
  <si>
    <t>PC / sub-measure</t>
  </si>
  <si>
    <t>Unit</t>
  </si>
  <si>
    <t>Reference / performance level
(sub-measures)</t>
  </si>
  <si>
    <t>High
(sub-measures)</t>
  </si>
  <si>
    <t>Low
(sub-measures)</t>
  </si>
  <si>
    <t>PC
ODI type</t>
  </si>
  <si>
    <t>PC primary category</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</si>
  <si>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</si>
  <si>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</si>
  <si>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</si>
  <si>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</si>
  <si>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</si>
  <si>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</si>
  <si>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</si>
  <si>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</si>
  <si>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</si>
  <si>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00</t>
  </si>
  <si>
    <t>01</t>
  </si>
  <si>
    <t>Unplanned interruptions &gt;12 hours</t>
  </si>
  <si>
    <t>Supply interruptions &gt; 12 hours</t>
  </si>
  <si>
    <t>02</t>
  </si>
  <si>
    <t>Reactive mains bursts</t>
  </si>
  <si>
    <t>Burst mains</t>
  </si>
  <si>
    <t>+1.8%</t>
  </si>
  <si>
    <t>-10.0%</t>
  </si>
  <si>
    <t>03</t>
  </si>
  <si>
    <t>Customer contacts - discolouration</t>
  </si>
  <si>
    <t>Customer contacts (discolouration)</t>
  </si>
  <si>
    <t>04</t>
  </si>
  <si>
    <t>Distribution maintenance index</t>
  </si>
  <si>
    <t>Distribution index TIM</t>
  </si>
  <si>
    <t>WTW with coliforms detected</t>
  </si>
  <si>
    <t>WTW integrity (eg coliform samples)</t>
  </si>
  <si>
    <t>Percentage (%) service reservoirs with &gt;5% coliforms</t>
  </si>
  <si>
    <t>SR integrity (eg coliform samples)</t>
  </si>
  <si>
    <t>WTW turbidity</t>
  </si>
  <si>
    <t>Pollution incidents (ww infra)</t>
  </si>
  <si>
    <t>Sewer collapses</t>
  </si>
  <si>
    <t>Sewer collapses / rising main bursts</t>
  </si>
  <si>
    <t>Internal flooding (overloaded + other causes)</t>
  </si>
  <si>
    <t>Sewer flooding (internal)</t>
  </si>
  <si>
    <t>Sewer blockages</t>
  </si>
  <si>
    <t>Population equivalent (PE) WwTW in breach of consent</t>
  </si>
  <si>
    <t>WwTW p.e. (WRA or UWWTD breaches)</t>
  </si>
  <si>
    <t>WwTW failing numeric consent</t>
  </si>
  <si>
    <t>WwTW numeric consents</t>
  </si>
  <si>
    <t>Total bursts (number)</t>
  </si>
  <si>
    <t>DG2: low pressure (number of properties)</t>
  </si>
  <si>
    <t>Low pressure</t>
  </si>
  <si>
    <t>Turbidity performance at treatment works (number)</t>
  </si>
  <si>
    <t>Unplanned maintenance events (number)</t>
  </si>
  <si>
    <t>Unplanned maintenance (w non-infra)</t>
  </si>
  <si>
    <t>Total bursts</t>
  </si>
  <si>
    <t>Interruptions &gt; 12 hours</t>
  </si>
  <si>
    <t>Iron non-compliance (as 100-Mean Zonal Compliance)</t>
  </si>
  <si>
    <t>Iron</t>
  </si>
  <si>
    <t>DG2 pressure</t>
  </si>
  <si>
    <t>05</t>
  </si>
  <si>
    <t>Customer contacts - discolouration (number / 1,000 population)</t>
  </si>
  <si>
    <t>06</t>
  </si>
  <si>
    <t>Water treatment works coliforms non-compliance (%)</t>
  </si>
  <si>
    <t>07</t>
  </si>
  <si>
    <t>Service reservoir coliforms non-compliance (%)</t>
  </si>
  <si>
    <t>08</t>
  </si>
  <si>
    <t>Turbidity (number)</t>
  </si>
  <si>
    <t>09</t>
  </si>
  <si>
    <t>Enforcement (incident number)</t>
  </si>
  <si>
    <t>Enforcement</t>
  </si>
  <si>
    <t>10</t>
  </si>
  <si>
    <t>Unplanned maintenance (number)</t>
  </si>
  <si>
    <t>WTW coliforms non-compliance</t>
  </si>
  <si>
    <t>Service reservoir coliforms non-compliance</t>
  </si>
  <si>
    <t>Turbidity non-compliance</t>
  </si>
  <si>
    <t>Enforcement incidents</t>
  </si>
  <si>
    <t>1: Water asset health</t>
  </si>
  <si>
    <t>Number of mains bursts per year</t>
  </si>
  <si>
    <t>TIM distribution index</t>
  </si>
  <si>
    <t>Coliform compliance at WSW</t>
  </si>
  <si>
    <t>Coliform compliance at WSR</t>
  </si>
  <si>
    <t>Turbidity compliance</t>
  </si>
  <si>
    <t>1: Wastewater asset health</t>
  </si>
  <si>
    <t>WwTW population equivalent compliance</t>
  </si>
  <si>
    <t>External flooding - other causes</t>
  </si>
  <si>
    <t>Sewer flooding (external)</t>
  </si>
  <si>
    <t>Mains bursts</t>
  </si>
  <si>
    <t>Properties with persistent low pressure</t>
  </si>
  <si>
    <t>Discolouration contacts per 1,000 customers</t>
  </si>
  <si>
    <t>TIM index non-compliance</t>
  </si>
  <si>
    <t>WTW coliform non-compliance</t>
  </si>
  <si>
    <t>Service reservoir coliform non-compliance</t>
  </si>
  <si>
    <t>WTW turbidity non-compliance</t>
  </si>
  <si>
    <t>DWI enforcement actions</t>
  </si>
  <si>
    <t>Unplanned maintenance work orders</t>
  </si>
  <si>
    <t>% of sewage treatment works passing their numeric consents</t>
  </si>
  <si>
    <t>% of actions raised from EA regulatory site audits (actions raised as a % of total site visits)</t>
  </si>
  <si>
    <t>Audits</t>
  </si>
  <si>
    <t>% of sites that do not exceed their 90%ile flow on sewage treatment works or maximum daily flow on water treatment works</t>
  </si>
  <si>
    <t>Flows</t>
  </si>
  <si>
    <t>% of sites compliant with their abstraction permits</t>
  </si>
  <si>
    <t>Abstraction</t>
  </si>
  <si>
    <t>Calculated in 2018-19</t>
  </si>
  <si>
    <t>Improvements in river water quality against WFD criteria</t>
  </si>
  <si>
    <t>River improvements</t>
  </si>
  <si>
    <t>Asset stewardship - environmental compliance</t>
  </si>
  <si>
    <t>Environmental compliance</t>
  </si>
  <si>
    <t>Total number of category 1, 2, and 3 pollution incidents</t>
  </si>
  <si>
    <t>Biodiversity improvements</t>
  </si>
  <si>
    <t>Biodiversity</t>
  </si>
  <si>
    <t>Distribution Index TIM (as 100-Mean Zonal Compliance)</t>
  </si>
  <si>
    <t>Unplanned maintenance</t>
  </si>
  <si>
    <t>Pollution incidents (CSO + RM + FS)</t>
  </si>
  <si>
    <t>Properties flooded due to other causes</t>
  </si>
  <si>
    <t>Properties flooded due to overloaded sewers excluding severe weather</t>
  </si>
  <si>
    <t>Equipment failures</t>
  </si>
  <si>
    <t>Equipment failures (ww infra)</t>
  </si>
  <si>
    <t>Sewage treatment works (STW) non-compliance</t>
  </si>
  <si>
    <t>Population equivalent (PE) non-compliance</t>
  </si>
  <si>
    <t>Unplanned maintenance (ww non-infra)</t>
  </si>
  <si>
    <t>Unplanned interruptions to customer &gt;12 hours (DG3)</t>
  </si>
  <si>
    <t>Iron mean zonal non-compliance</t>
  </si>
  <si>
    <t>Inadequate pressure (DG2)</t>
  </si>
  <si>
    <t>Planned network rehabilitation (kilometres)</t>
  </si>
  <si>
    <t>Planned network rehabilitation (w)</t>
  </si>
  <si>
    <t>Customer complaints discolouration white water (nr per 1,000 population)</t>
  </si>
  <si>
    <t>Disinfection index (DWI)</t>
  </si>
  <si>
    <t>Reservoir integrity index</t>
  </si>
  <si>
    <t>DWQ compliance measures - turbidity (number of sites)</t>
  </si>
  <si>
    <t>Process control index</t>
  </si>
  <si>
    <t>WTW process control (company specific)</t>
  </si>
  <si>
    <t>DWQ compliance measures - enforcement actions</t>
  </si>
  <si>
    <t>Water quality complaints for chlorine (nr per 1,000 population)</t>
  </si>
  <si>
    <t>Water quality complaints</t>
  </si>
  <si>
    <t>Water quality complaints for hardness (nr per 1,000 population)</t>
  </si>
  <si>
    <t>Monitored only</t>
  </si>
  <si>
    <t>Unconsented pollution incidents (cat 1, 2 and 3) STWs, storm tanks, pumping stations and other</t>
  </si>
  <si>
    <t>Pollution incidents (ww non-infra)</t>
  </si>
  <si>
    <t>Sewage treatment works discharges failing numeric consents %</t>
  </si>
  <si>
    <t>Total population equivalent served by sewage treatment works failing look-up table consents</t>
  </si>
  <si>
    <t>Number of sewer collapses</t>
  </si>
  <si>
    <t>N/A (legacy assets)</t>
  </si>
  <si>
    <t>Number of sewer blockages</t>
  </si>
  <si>
    <t>Pollution incidents (cat 1-3)</t>
  </si>
  <si>
    <t>Properties internally flooded</t>
  </si>
  <si>
    <t>WTW coliform non-compliance (%)</t>
  </si>
  <si>
    <t>SR integrity index</t>
  </si>
  <si>
    <t>No. of WTW turbidity fails</t>
  </si>
  <si>
    <t>Mean Zonal Compliance (MZC)</t>
  </si>
  <si>
    <t>Distribution Maintenance Index (%)</t>
  </si>
  <si>
    <t>Customer contacts (other)</t>
  </si>
  <si>
    <t>Interruptions &gt;12hours (nr of properties/total nr of properties)</t>
  </si>
  <si>
    <t>Pressure (nr of properties on DG2 register/ total number of properties)</t>
  </si>
  <si>
    <t>Customer contacts for water availability (contacts/annum)</t>
  </si>
  <si>
    <t>sum / 1315538 * 100</t>
  </si>
  <si>
    <t>Blockages</t>
  </si>
  <si>
    <t>Collapses</t>
  </si>
  <si>
    <t>Properties flooded internally</t>
  </si>
  <si>
    <t>sum / 288266 * 100</t>
  </si>
  <si>
    <t>Rising main bursts</t>
  </si>
  <si>
    <t>sum / 258753 * 100</t>
  </si>
  <si>
    <t>Properties flooded due to hydraulic overload</t>
  </si>
  <si>
    <t>Areas flooded due to other causes</t>
  </si>
  <si>
    <t>Areas flooded due to hydraulic overload</t>
  </si>
  <si>
    <t>Incidents of repeat flooding</t>
  </si>
  <si>
    <t>Sewer flooding (repeat)</t>
  </si>
  <si>
    <t>S-D2: Maintaining our wastewater treatment works</t>
  </si>
  <si>
    <t>WwTWs failing EA permit - small (size band 1-4)</t>
  </si>
  <si>
    <t>WwTWs at risk or failing EA permit</t>
  </si>
  <si>
    <t>WwTWs failing EA permit - medium (size band 5)</t>
  </si>
  <si>
    <t>WwTWs failing EA permit - large (size band 6a)</t>
  </si>
  <si>
    <t>WwTWs failing EA permit - large (size band 6b)</t>
  </si>
  <si>
    <t>WwTWs at high risk of failing EA permit - small (size band 1-4)</t>
  </si>
  <si>
    <t>WwTWs at high risk of failing EA permit - medium (size band 5)</t>
  </si>
  <si>
    <t>WwTWs at high risk of failing EA permit - large (size band 6)</t>
  </si>
  <si>
    <t>WwTWs at medium risk of failing EA permit - small (size band 1-4)</t>
  </si>
  <si>
    <t>WwTWs at medium risk of failing EA permit - medium (size band 5)</t>
  </si>
  <si>
    <t>WwTWs at medium risk of failing EA permit - large (size band 6)</t>
  </si>
  <si>
    <t>Total bursts (nr)</t>
  </si>
  <si>
    <t>Interruptions &gt;12h (nr)</t>
  </si>
  <si>
    <t>Iron non-compliance (as 100-Mean Zonal Compliance) (%)</t>
  </si>
  <si>
    <t>Customer contacts - discolouration  (nr / 1000 population)</t>
  </si>
  <si>
    <t>Distribution Index TIM (as 100-Mean Zonal Compliance) (%)</t>
  </si>
  <si>
    <t>Water Treatment Works Coliforms non-compliance (%)</t>
  </si>
  <si>
    <t>Service Reservoir Coliforms non-compliance (%)</t>
  </si>
  <si>
    <t>Turbidity (nr)</t>
  </si>
  <si>
    <t>Enforcement (incidents number)</t>
  </si>
  <si>
    <t>11</t>
  </si>
  <si>
    <t>Unplanned maintenance (nr)</t>
  </si>
  <si>
    <t>Sewer collapses (nr)</t>
  </si>
  <si>
    <t>Pollution incidents category 1, 2 &amp; 3 (CSO+RM+FS) (nr)</t>
  </si>
  <si>
    <t>Properties flooded due to other causes (nr)</t>
  </si>
  <si>
    <t>Properties flooded due to overloaded sewers excluding severe weather (nr)</t>
  </si>
  <si>
    <t>Sewer blockages (nr)</t>
  </si>
  <si>
    <t>Equipment failures (nr)</t>
  </si>
  <si>
    <t>Sewage Treatment Works (STW) % non-compliance</t>
  </si>
  <si>
    <t>Population equivalent (PE) % non-compliance</t>
  </si>
  <si>
    <t>SR coliform non-compliance</t>
  </si>
  <si>
    <t>Turbidity</t>
  </si>
  <si>
    <t>Enforcements</t>
  </si>
  <si>
    <t>Reactive equipment failures</t>
  </si>
  <si>
    <t>Equipment failures (w non-infra)</t>
  </si>
  <si>
    <t>Interruptions &gt;12 hours</t>
  </si>
  <si>
    <t>DG2 low pressure</t>
  </si>
  <si>
    <t>Customer contacts for discolouration (nr per 1,000 population)</t>
  </si>
  <si>
    <t>Distribution index TIM (100 - mean zonal compliance)</t>
  </si>
  <si>
    <t>Equipment failures (w infra)</t>
  </si>
  <si>
    <t>Pollution incidents (CSO, RM, FS and SPS)</t>
  </si>
  <si>
    <t>Properties flooded due to overloaded sewers, excluding severe weather</t>
  </si>
  <si>
    <t>Sewage treatment works non-compliance</t>
  </si>
  <si>
    <t>Population equivalent non-compliance</t>
  </si>
  <si>
    <t>Equipment failures (ww non-infra)</t>
  </si>
  <si>
    <t>Other checks</t>
  </si>
  <si>
    <t>AFWID</t>
  </si>
  <si>
    <t>ANHID</t>
  </si>
  <si>
    <t>BRLID</t>
  </si>
  <si>
    <t>DVWID</t>
  </si>
  <si>
    <t>NESID</t>
  </si>
  <si>
    <t>PRTID</t>
  </si>
  <si>
    <t>SBWID</t>
  </si>
  <si>
    <t>SESID</t>
  </si>
  <si>
    <t>SEWID</t>
  </si>
  <si>
    <t>SRNID</t>
  </si>
  <si>
    <t>SSCID</t>
  </si>
  <si>
    <t>SVTID</t>
  </si>
  <si>
    <t>SWTID</t>
  </si>
  <si>
    <t>TMSID</t>
  </si>
  <si>
    <t>NWTID</t>
  </si>
  <si>
    <t>WSHID</t>
  </si>
  <si>
    <t>WSXID</t>
  </si>
  <si>
    <t>YKYID</t>
  </si>
  <si>
    <t>PC/sub-measure
ID</t>
  </si>
  <si>
    <t>Consistency</t>
  </si>
  <si>
    <t>Consistency check</t>
  </si>
  <si>
    <t>The value entered in table 3b does not correspond to the value entered in table 3a.</t>
  </si>
  <si>
    <t>Score</t>
  </si>
  <si>
    <t>Qualitative SIM score (out of 75)</t>
  </si>
  <si>
    <t>Total annual SIM score (out of 100)</t>
  </si>
  <si>
    <t>1st survey score</t>
  </si>
  <si>
    <t>2nd survey score</t>
  </si>
  <si>
    <t>3rd survey score</t>
  </si>
  <si>
    <t>4th survey score</t>
  </si>
  <si>
    <t>Qualitative performance</t>
  </si>
  <si>
    <t>Incorrect value</t>
  </si>
  <si>
    <t>Please fill in the cell</t>
  </si>
  <si>
    <t>Incorrect value check</t>
  </si>
  <si>
    <t>Please enter a number between 1 and 5</t>
  </si>
  <si>
    <t>Survey</t>
  </si>
  <si>
    <t>Quantitative</t>
  </si>
  <si>
    <t>Please enter a positive number</t>
  </si>
  <si>
    <t>3D - SIM table</t>
  </si>
  <si>
    <t>Quantitative SIM score (out of 25)</t>
  </si>
  <si>
    <t>Contextual information relating to AIM performance</t>
  </si>
  <si>
    <t>Consistency checks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</si>
  <si>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</si>
  <si>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Historical cost operating costs.</t>
  </si>
  <si>
    <t xml:space="preserve">Historical cost net book value of tangible fixed assets at the end of the financial year. </t>
  </si>
  <si>
    <t xml:space="preserve">Balance of deferred income relating to capitalised grants and contributions received. </t>
  </si>
  <si>
    <t>The negative value of depreciation and amortisation of tangible and intangible assets.</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</si>
  <si>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</si>
  <si>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</si>
  <si>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Amortisation - intangible fixed assets</t>
  </si>
  <si>
    <t>Amortisation of intangible fixed assets. The total of table 2A line 3, table 2A line 4 and table  2A line 5 should reconcile to table 1A line 2.</t>
  </si>
  <si>
    <t>Other operating income split over the price controls units. Total should reconcile to table 1A line 3.</t>
  </si>
  <si>
    <t>Sum of table 2A lines 7 to 9.</t>
  </si>
  <si>
    <t>Total value of surface water drainage rebates paid or credited to customers’ accounts in the year where the customer has challenged the proportion of their site that is connected for surface water.</t>
  </si>
  <si>
    <t>Water Resources</t>
  </si>
  <si>
    <t>Wastewater Network+</t>
  </si>
  <si>
    <t>Local authority and Cumulo rates</t>
  </si>
  <si>
    <t>Grants and contributions</t>
  </si>
  <si>
    <t>All energy costs, including the climate change levy and the carbon reduction commitment. Any cost savings from power generated internally should be netted off these costs.</t>
  </si>
  <si>
    <t>Assets adopted at nil cost</t>
  </si>
  <si>
    <t>Depreciation charge for year</t>
  </si>
  <si>
    <t>Principal services</t>
  </si>
  <si>
    <t>The fair value of any adopted assets.</t>
  </si>
  <si>
    <t>Accumulated depreciation brought forward on assets by type at the beginning of the year. This should be entered as a negative number.</t>
  </si>
  <si>
    <t>The reduction in accumulated depreciation caused by disposal of assets by type. Enter as a positive.</t>
  </si>
  <si>
    <t>Depreciation charge. Enter as a negative.</t>
  </si>
  <si>
    <t>Depreciation charge on assets used to deliver ‘principal services’ as set out in appendix 1. Enter as a negative.</t>
  </si>
  <si>
    <t>Depreciation charge on assets used to deliver ‘third party services’ as set out in appendix 1. Enter as a negative.</t>
  </si>
  <si>
    <t>Volume (Ml/d)</t>
  </si>
  <si>
    <t>000s</t>
  </si>
  <si>
    <t>Volume of water (treated and untreated) imported from other companies in bulk supplies by the appointed business. Tankered waste volumes, which is a non-appointed activity, should not be included in this line.</t>
  </si>
  <si>
    <t>Number of customers (000s)</t>
  </si>
  <si>
    <t>Revenue per customer</t>
  </si>
  <si>
    <t>Number of connections (000s)</t>
  </si>
  <si>
    <t>Average non-household retail revenue per connection  £</t>
  </si>
  <si>
    <t>Total revenue received from each non-household tariff type listed separately.</t>
  </si>
  <si>
    <t>Column</t>
  </si>
  <si>
    <t>Retail revenue 
£m</t>
  </si>
  <si>
    <t>Total revenue 
£m</t>
  </si>
  <si>
    <t>Average household retail revenue per customer 
£</t>
  </si>
  <si>
    <t>Number of customers 
(000s)</t>
  </si>
  <si>
    <t>Value of adopted assets</t>
  </si>
  <si>
    <t>Movements in capitalised grants and contributions</t>
  </si>
  <si>
    <t>The fair value of any adopted water assets</t>
  </si>
  <si>
    <t>The fair value of any adopted wastewater assets.</t>
  </si>
  <si>
    <t>Bulk Supplies - water</t>
  </si>
  <si>
    <t>Bulk Supplies - wastewater</t>
  </si>
  <si>
    <t>Adjustment for in-period ODI revenue</t>
  </si>
  <si>
    <t>Adjustment for WRFIM</t>
  </si>
  <si>
    <t>Total assumed revenue</t>
  </si>
  <si>
    <t>Principal services - non-price control</t>
  </si>
  <si>
    <t>Total revenue governed by wholesale price control. Sum of table 2I lines 19 and 20.</t>
  </si>
  <si>
    <t>Total of revenue assumed at the determination and that arising from any in-period ODI revenue reward. Sum of Table 2I lines 22 to 24.</t>
  </si>
  <si>
    <t>Table 2I line 21 minus line 25. Cross reference to a narrative explanation.</t>
  </si>
  <si>
    <t>4C - Impact of AMP performance to date on RCV</t>
  </si>
  <si>
    <t>RCV determined at FD at 31 March</t>
  </si>
  <si>
    <t>Other 'Rule book' adjustments</t>
  </si>
  <si>
    <t xml:space="preserve">Total items excluded from the menu </t>
  </si>
  <si>
    <t>Transition expenditure</t>
  </si>
  <si>
    <t>Adjusted Actual totex</t>
  </si>
  <si>
    <t>Adjusted Actual totex base year prices</t>
  </si>
  <si>
    <t>Allowed totex</t>
  </si>
  <si>
    <t>Allowed totex based on final menu choice – base year prices</t>
  </si>
  <si>
    <t>Actual costs relating to third party services.
Equal to third party capex and opex costs included in the inputs in section 3.1 of the inputs to the PR14 reconciliation rulebook wholesale totex spreadsheet.</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</si>
  <si>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</si>
  <si>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</si>
  <si>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Transition expenditure included in the inputs in section 3.1 of the inputs to the PR14 reconciliation rulebook wholesale totex spreadsheet.</t>
  </si>
  <si>
    <t>Equal to table 4B line 1 minus line 5 plus line 6.</t>
  </si>
  <si>
    <t>Bulk supply</t>
  </si>
  <si>
    <t>Total gross capital expenditure (excluding third party)</t>
  </si>
  <si>
    <t>Population</t>
  </si>
  <si>
    <t>£/pop</t>
  </si>
  <si>
    <t>Total payments for bulk imports. If a supply is a shared supply and is jointly owned, the costs associated with it should not be reported here but in the appropriate cost line.</t>
  </si>
  <si>
    <t>The cost of local authority rates. This should include both the local authority rates and cumulo rates.</t>
  </si>
  <si>
    <t>Operating expenditure for providing third party services. See RAG 4 appendix 1.</t>
  </si>
  <si>
    <t>Capital expenditure for providing third party services. See RAG 4 appendix 1.</t>
  </si>
  <si>
    <t>Units. See service level guidance in part 2 RAG 4 – ‘Disaggregation of wholesale activities – upstream services’</t>
  </si>
  <si>
    <t>Resident population in billed households and billed non-households. The population should be obtained from most recent ONS or local authority estimates, or the company's update of these estimates.</t>
  </si>
  <si>
    <t>Network+</t>
  </si>
  <si>
    <t>Network+ Sewage collection</t>
  </si>
  <si>
    <t>Network + Sewage treatment</t>
  </si>
  <si>
    <t>Bulk discharge</t>
  </si>
  <si>
    <t>Discharge consents</t>
  </si>
  <si>
    <t>Local authority rates and Cumulo rates</t>
  </si>
  <si>
    <t>Total gross capital expenditure (excluding third party services)</t>
  </si>
  <si>
    <t>Total cost of discharge consents by the environment agency or canal &amp; river trust.</t>
  </si>
  <si>
    <t>Total payments for bulk discharges.</t>
  </si>
  <si>
    <t>Capital expenditure for providing third party services. See RAG 4 appendix 1</t>
  </si>
  <si>
    <t>Other interest expense</t>
  </si>
  <si>
    <t>Current cost profit before tax and fair value movements</t>
  </si>
  <si>
    <t>Current cost profit before tax</t>
  </si>
  <si>
    <t>Appointed – Total wholesale revenue that is within the scope of the price control, together with revenue that is outside of the price control.
The totals for water and wastewater will agree to table 2A lines 1 and 2 for each control.</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</si>
  <si>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</si>
  <si>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</si>
  <si>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Financial indicators</t>
  </si>
  <si>
    <t>Revenue and earnings</t>
  </si>
  <si>
    <t>RCF</t>
  </si>
  <si>
    <t xml:space="preserve">The sum of table 1E lines 3 to 5. Equal to table 1E line 6. </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</si>
  <si>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</si>
  <si>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</si>
  <si>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</si>
  <si>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</si>
  <si>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</si>
  <si>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Ratio of FFO to net debt. We acknowledge that our approach to calculating this differs from some of the methodologies applied by the credit rating agencies.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</si>
  <si>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</si>
  <si>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</si>
  <si>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</si>
  <si>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</si>
  <si>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Equal to table 1E line 1 (fixed rate) plus table 1E line 2 divided by table 1E line 3.</t>
  </si>
  <si>
    <t>Floating to fixed rate</t>
  </si>
  <si>
    <t>Floating from fixed rate</t>
  </si>
  <si>
    <t>Floating to index linked</t>
  </si>
  <si>
    <t>Floating from index linked</t>
  </si>
  <si>
    <t>Fixed to index-linked</t>
  </si>
  <si>
    <t>Fixed from index-linked</t>
  </si>
  <si>
    <t>Total financial derivatives</t>
  </si>
  <si>
    <t>The total of the interest rate swaps. The sum of table 4I lines 1 to 6.</t>
  </si>
  <si>
    <t>Total of currency swap financial instruments. The sum of table 4I lines 8 to 11.</t>
  </si>
  <si>
    <t>Total of instruments which convert the currency in which interest is paid between sterling and another currency. The sum of table 4I lines 13 to 16.</t>
  </si>
  <si>
    <t>Total of forward contracts which convert debt between currencies. The sum of table 4I lines 18 to 21.</t>
  </si>
  <si>
    <t>Other financial derivatives (e.g. power) not already included in table 4I lines 1 to 22.</t>
  </si>
  <si>
    <t>Demand-side efficiency and customer-side leaks analysis - Household</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</si>
  <si>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</si>
  <si>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</si>
  <si>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</si>
  <si>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</si>
  <si>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</si>
  <si>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</si>
  <si>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Trade creditors, accrued interest and any other accruals or creditors due within one year that are not borrowings, tax creditors, capex creditor or  liabilities arising from derivative financial instruments.</t>
  </si>
  <si>
    <t>Trade creditors, accrued interest and any other accruals or creditors due after more than one year that are not borrowings, tax creditors, capex creditor or liabilities arising from derivative financial instruments.</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</si>
  <si>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</si>
  <si>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Capitalised and amortised (in income statement)</t>
  </si>
  <si>
    <t>2B - Totex analysis - wholesale water and wastewater</t>
  </si>
  <si>
    <t>The content of three tables (tables 2G, 2H, 3A and 3B) is tailored to each company. These tables will display the content for the company that is selected on the validation sheet.</t>
  </si>
  <si>
    <t>UK ICS Customer Satisfaction Index score ranking among utility companies</t>
  </si>
  <si>
    <t>No. of connectable properties, identified as polluting or likely to pollute, associated with new Section 101A schemes</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</si>
  <si>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</si>
  <si>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Total bursts (nr/annum)</t>
  </si>
  <si>
    <t>DG2 pressure (nr)</t>
  </si>
  <si>
    <t>Unit description</t>
  </si>
  <si>
    <t>O</t>
  </si>
  <si>
    <t>P</t>
  </si>
  <si>
    <t>Abstraction site</t>
  </si>
  <si>
    <t>Please enter a number between 1 and 75</t>
  </si>
  <si>
    <t>Qualitative - SIM</t>
  </si>
  <si>
    <t>3A - Table guidance</t>
  </si>
  <si>
    <t>4H - Table guidance</t>
  </si>
  <si>
    <t>1
2
3
4
5
6
7
8
9
10
11
12</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</si>
  <si>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</si>
  <si>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For the 12 months ended 31 March 2018</t>
  </si>
  <si>
    <t>At 1 April 2017</t>
  </si>
  <si>
    <t>At 31 March 2018</t>
  </si>
  <si>
    <t>Net book amount at 31 March 2018</t>
  </si>
  <si>
    <t>Net book amount at 1 April 2017</t>
  </si>
  <si>
    <t>SWB</t>
  </si>
  <si>
    <t>South West Water (including Bournemouth)</t>
  </si>
  <si>
    <t>South West Water (inc Bournemouth)</t>
  </si>
  <si>
    <t>Tax analysis</t>
  </si>
  <si>
    <t>Adjustments in respect of prior years</t>
  </si>
  <si>
    <t>Analysis of non-appointed revenue</t>
  </si>
  <si>
    <t>Imported sludge</t>
  </si>
  <si>
    <t>Tankered waste</t>
  </si>
  <si>
    <t>Other non-appointed revenue</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</si>
  <si>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</si>
  <si>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Total net interest expenses which are not directly related to deposits and borrowings as defined in lines 6 &amp; 7 of table 1A e.g Net interest cost of defined benefit pension schemes.</t>
  </si>
  <si>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</si>
  <si>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</si>
  <si>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</si>
  <si>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</si>
  <si>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</si>
  <si>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</si>
  <si>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</si>
  <si>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Deferred income - adopted assets</t>
  </si>
  <si>
    <t>The total amount due to employees in the pension scheme for all of the past service completed up to the balance sheet date, less scheme assets.
Where this calculation results in a net asset it should be shown in this line.</t>
  </si>
  <si>
    <t>Cash consists of cash in hand and at bank and short term deposits. Overdraft balances should not be netted off as it should be included separately in ‘Trade &amp; other payables’. Equal to the sum of table 1E lines 4 and 5.</t>
  </si>
  <si>
    <t>The total amount due to employees in the pension scheme for all of the past service completed up to the balance sheet date, less scheme assets.
Where this calculation results in a net liability it should be shown in this line.</t>
  </si>
  <si>
    <t>Balance of deferred income relating to adopted assets.</t>
  </si>
  <si>
    <t>Total creditors due after one year. Equal to the sum of table 1C lines 21 to 29.</t>
  </si>
  <si>
    <t>Total assets employed by the business under the historical cost accounting convention. Equal to the sum of table 1C lines 7, 20 and 30.</t>
  </si>
  <si>
    <t>Total of shareholders' funds. The sum of called up share capital, share premium, profit and loss account, and other reserves. This equals table 1C line 31.</t>
  </si>
  <si>
    <t>The cash impact of ‘other income’ in table 1A line 5.</t>
  </si>
  <si>
    <t>This line should not be used from 2017-18 as any amortisation will be recorded as ‘other income’.</t>
  </si>
  <si>
    <t>Any difference between the pension contributions paid in the year and the charge included in the total operating expenditure in table 2B line 11.</t>
  </si>
  <si>
    <t>The negative value of any other non-cash profit and loss items which affect operating profit.</t>
  </si>
  <si>
    <t>All grants and contributions which are accounted for as reductions in capital expenditure. This may not agree to grants and contributions recorded in tables 2B and 2E, which cover ALL grants and contributions.</t>
  </si>
  <si>
    <t>The receipts from any loans taken out in the year. These include the proceeds of any loans taken out from other group companies. Repayments should be netted off.</t>
  </si>
  <si>
    <t>Regulatory gearing calculated as net debt in table 1E line 6 divided by RCV in table 4C line 5.</t>
  </si>
  <si>
    <t>1
2
3
4
5
6
7
8
9
10
11
12
13
14
15
16
17</t>
  </si>
  <si>
    <t>Cumulative totex over/underspend so far in the price control period</t>
  </si>
  <si>
    <t>Customer share of cumulative totex over/underspend</t>
  </si>
  <si>
    <t>RCV element of customer share of cumulative totex over/underspend</t>
  </si>
  <si>
    <t>Recharges in respect of 'principal use' assets</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</si>
  <si>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</si>
  <si>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</si>
  <si>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</si>
  <si>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Abstraction charges/ discharge consents</t>
  </si>
  <si>
    <t>Other operating expenditure - renewals expensed in year (Infrastructure)</t>
  </si>
  <si>
    <t>Other operating expenditure - renewals expensed in year (Non-Infrastructure)</t>
  </si>
  <si>
    <t>Other operating expenditure - excluding renewals</t>
  </si>
  <si>
    <t>Infrastructure network reinforcement</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</si>
  <si>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</si>
  <si>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</si>
  <si>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</si>
  <si>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Total operating costs excluding third party services.   The sum of table 2B lines 1 to 8.</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</si>
  <si>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</si>
  <si>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</si>
  <si>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</si>
  <si>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</si>
  <si>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</si>
  <si>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</si>
  <si>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The sum of table 2B lines 17 and 18.</t>
  </si>
  <si>
    <t>The sum of table 2B lines 11 and 19 minus 20.</t>
  </si>
  <si>
    <t>Other cash items not included in totex.</t>
  </si>
  <si>
    <t>The sum of table 2B lines 21 to 23.</t>
  </si>
  <si>
    <t>Imported sludge liquor treatment</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</si>
  <si>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</si>
  <si>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</si>
  <si>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</si>
  <si>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All grants and contributions. E.g. from connection charges, infrastructure charges, requisitions and other contributions. Adopted assets should not be included.
This should agree to line 2B.20. Input as a positive number.</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</si>
  <si>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</si>
  <si>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</si>
  <si>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</si>
  <si>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</si>
  <si>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</si>
  <si>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</si>
  <si>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</si>
  <si>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</si>
  <si>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</si>
  <si>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</si>
  <si>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</si>
  <si>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</si>
  <si>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</si>
  <si>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</si>
  <si>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</si>
  <si>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Any adjustments to the ‘cost’ value, this will include revaluations.</t>
  </si>
  <si>
    <t>This is the historical cost value at the end of the year. The sum of table 2D lines 1 to 5.</t>
  </si>
  <si>
    <t>Any adjustments to the accumulated depreciation value, this will include the impact of any impairments.</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</si>
  <si>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</si>
  <si>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</si>
  <si>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</si>
  <si>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Total depreciation charge (sum of table 2D lines 14 and 15) which will agree to table 2D line 10.</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</si>
  <si>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</si>
  <si>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</si>
  <si>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</si>
  <si>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</si>
  <si>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</si>
  <si>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</si>
  <si>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</si>
  <si>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</si>
  <si>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</si>
  <si>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</si>
  <si>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</si>
  <si>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</si>
  <si>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</si>
  <si>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</si>
  <si>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</si>
  <si>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</si>
  <si>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Other contributions (price control)</t>
  </si>
  <si>
    <t>Other contributions (non-price control)</t>
  </si>
  <si>
    <t>Other contributions received from organisations towards the construction of water specific capital projects which were included in the price control.</t>
  </si>
  <si>
    <t>Other contributions received from organisations towards the construction of water specific capital projects which were not included in the price control.</t>
  </si>
  <si>
    <t>The sum of table 2E lines 1 to 6.</t>
  </si>
  <si>
    <t>Other contributions received from organisations towards the construction of specific wastewater capital projects which were not included in the price control.</t>
  </si>
  <si>
    <t>The sum of table 2E lines 9 to 13.</t>
  </si>
  <si>
    <t>Total value of capitalised grants and contributions carried forward as at 31 March. This should represent the wholesale element of table 1C line 26. The sum of table 2E lines 16 to 18.</t>
  </si>
  <si>
    <t>The sum of table 2I lines 9, 13, 14, 15, 16 and 17. This should equal table 1A line 1 (appointed business activities column).</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</si>
  <si>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</si>
  <si>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</si>
  <si>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</si>
  <si>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Total contact score</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</si>
  <si>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</si>
  <si>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</si>
  <si>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</si>
  <si>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</si>
  <si>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total contact score (C) is calculated to 2 decimal places as follows:
[(unwanted phone contacts x 1) + (written complaints x 5)
+ (escalated written complaints x 100)
+ (CCWater investigated complaints x 1000)] / (connected household properties / 1000)</t>
  </si>
  <si>
    <t>The total annual SIM score is calculated to 2 decimal places as follows:
Qualitative score (table 3D line 5) + Quantitative score (table 3D line 7)</t>
  </si>
  <si>
    <t>The quantitative score is calculated to 2 decimal places as follows:
[1 - [(C - CL) / (CH - CL)]] * WC
where:
C = total contact score (see table 3D line 6 above) 
CL = contact score minimum (set at 0) 
CH = contact score maximum (set at 500) 
WC = contact score weighting (set at 25)</t>
  </si>
  <si>
    <t>The name of the abstraction site. This can be anonymised if it is necessary for national security reasons.</t>
  </si>
  <si>
    <t>Enter the number of decimal places.</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</si>
  <si>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</si>
  <si>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1
2
3
4
5
6
7
8
9
10
11
12
13</t>
  </si>
  <si>
    <t>1
2 
3
4</t>
  </si>
  <si>
    <t>2017-18 performance level - actual</t>
  </si>
  <si>
    <t>1
2
3
4
5
6
7
8
9
10
11
12
13
14
15
16
17
18
19
20
21
22
23
24
25
26
27
28</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</si>
  <si>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</si>
  <si>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</si>
  <si>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Depreciation - tangible fixed assets (on assets existing at 31 March 2015)</t>
  </si>
  <si>
    <t>Depreciation - tangible fixed assets (on assets acquired since 1 April 2015)</t>
  </si>
  <si>
    <t>Amortisation - intangible fixed assets (on assets existing at 31 March 2015)</t>
  </si>
  <si>
    <t>Amortisation - intangible fixed assets (on assets acquired since 1 April 2015)</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</si>
  <si>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</si>
  <si>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</si>
  <si>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</si>
  <si>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</si>
  <si>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</si>
  <si>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</si>
  <si>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</si>
  <si>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</si>
  <si>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</si>
  <si>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</si>
  <si>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</si>
  <si>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</si>
  <si>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</si>
  <si>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</si>
  <si>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</si>
  <si>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</si>
  <si>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</si>
  <si>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</si>
  <si>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</si>
  <si>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</si>
  <si>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</si>
  <si>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</si>
  <si>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</si>
  <si>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retail operating costs of providing water efficiency services (as defined in table 4F line 15) to household customers that are funded by the wholesale business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</si>
  <si>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</si>
  <si>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</si>
  <si>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The retail operating costs of providing water efficiency services (as defined in table 4F line 15) to household customers net of any operating costs that are funded by the wholesale business table  4F line 15 less line 16.</t>
  </si>
  <si>
    <t>Equal to table 1A line 6.</t>
  </si>
  <si>
    <t>Equal to table 1A line 7.</t>
  </si>
  <si>
    <t>Equal to table 1A line 8.</t>
  </si>
  <si>
    <t>Equal to table 1A line 10.</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</si>
  <si>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</si>
  <si>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</si>
  <si>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</si>
  <si>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</si>
  <si>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</si>
  <si>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Effective tax rate is the current tax charge for the appointed business before any adjustments in respect of prior period, as a % of the profit before tax and fair value movements for the appointed business.</t>
  </si>
  <si>
    <t>Interest rate
(weighted average for 12 months to 31 March 2018)</t>
  </si>
  <si>
    <t>Total value at 31 March 2018</t>
  </si>
  <si>
    <t>Total accretion at 31 March 2018</t>
  </si>
  <si>
    <t>The sum of table 4I lines 7, 12, 17, 22 and 23. The 'Mark to Market' should equal the 'Financial instruments' totals from table 1C (i.e. the sum of lines 1C.5, 1C.10, 1C.16 and 1C.23).</t>
  </si>
  <si>
    <t>Please provide explanation why 'Mark to Market' does not equal the 'Financial instruments' totals from table 1C.</t>
  </si>
  <si>
    <t>JN</t>
  </si>
  <si>
    <t>Company agreement to share information as described above:</t>
  </si>
  <si>
    <t>Performance levels</t>
  </si>
  <si>
    <t>All supply interruptions &gt; 3 hours</t>
  </si>
  <si>
    <t>Hours:mins:secs
per property per year</t>
  </si>
  <si>
    <t>Internal sewer flooding incidents</t>
  </si>
  <si>
    <t>External sewer flooding incidents</t>
  </si>
  <si>
    <t>Title</t>
  </si>
  <si>
    <t>Guidance</t>
  </si>
  <si>
    <t>1</t>
  </si>
  <si>
    <t>Leakage region 1 or whole company</t>
  </si>
  <si>
    <t>2</t>
  </si>
  <si>
    <t>Leakage region 2</t>
  </si>
  <si>
    <t>As above for leakage region 2, if applicable</t>
  </si>
  <si>
    <t>3</t>
  </si>
  <si>
    <t>Leakage region 3</t>
  </si>
  <si>
    <t>As above for leakage region 3, if applicable</t>
  </si>
  <si>
    <t>4</t>
  </si>
  <si>
    <t>Leakage region 4</t>
  </si>
  <si>
    <t>As above for leakage region 4, if applicable</t>
  </si>
  <si>
    <t>Red/amber/green assessment codes used in the drop down lists in table 3s</t>
  </si>
  <si>
    <t>Yes/No indicator used in the drop down lists in table 3s</t>
  </si>
  <si>
    <t>Red</t>
  </si>
  <si>
    <t>Amber</t>
  </si>
  <si>
    <t>Please select yes/no option</t>
  </si>
  <si>
    <t xml:space="preserve">Red </t>
  </si>
  <si>
    <t>Shortcomings against guidance having a material impact on leakage reporting</t>
  </si>
  <si>
    <t>Some minor non-compliance, no material impact on leakage reporting</t>
  </si>
  <si>
    <t>Fully compliant</t>
  </si>
  <si>
    <t>Non-compliant</t>
  </si>
  <si>
    <t>Some minor non-compliance</t>
  </si>
  <si>
    <t>5</t>
  </si>
  <si>
    <t>6</t>
  </si>
  <si>
    <t>7</t>
  </si>
  <si>
    <t>8</t>
  </si>
  <si>
    <t>9</t>
  </si>
  <si>
    <t>Column checks</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</si>
  <si>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</si>
  <si>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</si>
  <si>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</si>
  <si>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</si>
  <si>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</si>
  <si>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</si>
  <si>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</si>
  <si>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</si>
  <si>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</si>
  <si>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</si>
  <si>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</si>
  <si>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</si>
  <si>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</si>
  <si>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</si>
  <si>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</si>
  <si>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</si>
  <si>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</si>
  <si>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</si>
  <si>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</si>
  <si>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</si>
  <si>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</si>
  <si>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</si>
  <si>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</si>
  <si>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</si>
  <si>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</si>
  <si>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</si>
  <si>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</si>
  <si>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</si>
  <si>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</si>
  <si>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</si>
  <si>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</si>
  <si>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</si>
  <si>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</si>
  <si>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</si>
  <si>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</si>
  <si>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</si>
  <si>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</si>
  <si>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</si>
  <si>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</si>
  <si>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</si>
  <si>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</si>
  <si>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</si>
  <si>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</si>
  <si>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</si>
  <si>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</si>
  <si>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</si>
  <si>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</si>
  <si>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</si>
  <si>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</si>
  <si>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</si>
  <si>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</si>
  <si>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</si>
  <si>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</si>
  <si>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</si>
  <si>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</si>
  <si>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</si>
  <si>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</si>
  <si>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2J - Infrastructure network reinforcement costs</t>
  </si>
  <si>
    <t>Network reinforcement capex</t>
  </si>
  <si>
    <t>On site / site specific capex (memo only)</t>
  </si>
  <si>
    <t>Wholesale water network+ (treated water distribution)</t>
  </si>
  <si>
    <t>Distribution and trunk mains</t>
  </si>
  <si>
    <t>Pumping and storage facilities</t>
  </si>
  <si>
    <t>Wholesale wastewater network+ (sewage collection)</t>
  </si>
  <si>
    <t>Foul and combined systems</t>
  </si>
  <si>
    <t>Surface water only systems</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</si>
  <si>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</si>
  <si>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Any other capital expenditure other than defined in table 4D lines 14 and 15 and in table 2J lines 1 and 2.</t>
  </si>
  <si>
    <t>The sum of table 2J line 1 to 3.</t>
  </si>
  <si>
    <t>Capital expenditure on new or upsized surface water only public sewers other than defined in table 4E lines 14 and 15, and excluding third party capex.</t>
  </si>
  <si>
    <t>Capital expenditure on new or upsized public foul and combined sewers other than defined in table 4E lines 14 and 15, and excluding third party capex.</t>
  </si>
  <si>
    <t>Capital expenditure on new or upgrading of pumps and the installation of small service reservoirs or towers other than defined in table 4D lines 14 and 15, and excluding third party capex.</t>
  </si>
  <si>
    <t>Capital expenditure on new or upsized distribution and trunk mains other than defined in table 4D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</si>
  <si>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</si>
  <si>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</si>
  <si>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</si>
  <si>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Please complete columns D to H.</t>
  </si>
  <si>
    <t>Please enter a numeric value in columns D to H.</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</si>
  <si>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</si>
  <si>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Text</t>
  </si>
  <si>
    <t xml:space="preserve">1
2
3
</t>
  </si>
  <si>
    <t>1
2
3
4
5
6
7
8
9
10
11
12
13
14
15
16</t>
  </si>
  <si>
    <t>4J - Atypical expenditure by business unit - Wholesale water</t>
  </si>
  <si>
    <t>Company commentary (if required)</t>
  </si>
  <si>
    <t>Operating expenditure (excl. atypicals)</t>
  </si>
  <si>
    <t>- Renewals expensed in year (Infrastructure)</t>
  </si>
  <si>
    <t>- Renewals expensed in year (Non-Infrastructure)</t>
  </si>
  <si>
    <t>- Other operating expenditure excluding renewals</t>
  </si>
  <si>
    <t>Total operating expenditure (excluding third party services)</t>
  </si>
  <si>
    <t>Capital expenditure (excl. atypicals)</t>
  </si>
  <si>
    <t>Cash expenditure (excl. atypicals)</t>
  </si>
  <si>
    <t>Atypical expenditure</t>
  </si>
  <si>
    <t>Item 1</t>
  </si>
  <si>
    <t>Item 2</t>
  </si>
  <si>
    <t>Item 3</t>
  </si>
  <si>
    <t>Item 4</t>
  </si>
  <si>
    <t>Item 5</t>
  </si>
  <si>
    <t>Total atypical expenditure</t>
  </si>
  <si>
    <t xml:space="preserve">Total expenditure </t>
  </si>
  <si>
    <t>Total expenditure</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</si>
  <si>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</si>
  <si>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</si>
  <si>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</si>
  <si>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</si>
  <si>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The cost of local authority rates. This should include both the local authority rates and cumulo rates</t>
  </si>
  <si>
    <t>Operating expenditure for providing third party services. See appendix 1of RAG 4.</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</si>
  <si>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</si>
  <si>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</si>
  <si>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</si>
  <si>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Capital expenditure for providing third party services. See appendix 1 RAG 4.</t>
  </si>
  <si>
    <t>All grants and contributions. E.g. from connection charges, infrastructure charges, requisitions and other contributions. Adopted assets should not be included. This should agree to line 2B.20. Input as a positive number.</t>
  </si>
  <si>
    <t>Additional guidance</t>
  </si>
  <si>
    <t>4K - Atypical expenditure by business unit - Wholesale wastewater</t>
  </si>
  <si>
    <t>Item description</t>
  </si>
  <si>
    <t>Network+       Sewage Collection</t>
  </si>
  <si>
    <t>Network+       Sewage Treatment</t>
  </si>
  <si>
    <t>Sludge liquor treatment</t>
  </si>
  <si>
    <t>Discharge Consents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</si>
  <si>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</si>
  <si>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</si>
  <si>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</si>
  <si>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</si>
  <si>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Operating expenditure for providing third party services. See appendix 1 of RAG 4.</t>
  </si>
  <si>
    <t>Capital expenditure for providing third party services. See appendix 1</t>
  </si>
  <si>
    <t>All grants and contributions. E.g. from connection charges, infrastructure charges, requisitions and other contributions. Adopted assets should not be included.</t>
  </si>
  <si>
    <t>Additional guidance to this table:</t>
  </si>
  <si>
    <t>4L - Enhancement expenditure by purpose - Wholesale water</t>
  </si>
  <si>
    <t>Enhancement expenditure by purpose</t>
  </si>
  <si>
    <t>NEP - Making ecological improvements at abstractions (Habitats Directive, SSSI, NERC, BAPs)</t>
  </si>
  <si>
    <t>NEP - Eels Regulations (measures at intakes)</t>
  </si>
  <si>
    <t>Addressing low pressure</t>
  </si>
  <si>
    <t>Improving taste / odour / colour</t>
  </si>
  <si>
    <t>Meeting lead standards</t>
  </si>
  <si>
    <t>Supply side enhancements to the supply/demand balance (dry year critical / peak conditions)</t>
  </si>
  <si>
    <t>Supply side enhancements to the supply/demand balance (dry year annual average conditions)</t>
  </si>
  <si>
    <t>Demand side enhancements to the supply/demand balance (dry year critical / peak conditions)</t>
  </si>
  <si>
    <t>Demand side enhancements to the supply/demand balance (dry year annual average conditions)</t>
  </si>
  <si>
    <t>New developments</t>
  </si>
  <si>
    <t>New connections element of new development (CPs, meters)</t>
  </si>
  <si>
    <t>Investment to address raw water deterioration (THM, nitrates, Crypto, pesticides, others)</t>
  </si>
  <si>
    <t>NEP - Investigations</t>
  </si>
  <si>
    <t>Improvements to river flows</t>
  </si>
  <si>
    <t>Metering (excluding cost of providing metering to new service connections) - meters requested by optants</t>
  </si>
  <si>
    <t>Metering (excluding cost of providing metering to new service connections)- meters introduced by companies</t>
  </si>
  <si>
    <t>Metering (excluding cost of providing metering to new service connections) - other</t>
  </si>
  <si>
    <t>Capital expenditure purpose - WATER additional line 1 [Other categories]</t>
  </si>
  <si>
    <t>Capital expenditure purpose - WATER additional line 2 [Other categories]</t>
  </si>
  <si>
    <t>Capital expenditure purpose - WATER additional line 3 [Other categories]</t>
  </si>
  <si>
    <t>Capital expenditure purpose - WATER additional line 4 [Other categories]</t>
  </si>
  <si>
    <t>Capital expenditure purpose - WATER additional line 5 [Other categories]</t>
  </si>
  <si>
    <t>Capital expenditure purpose - WATER additional line 6 [Other categories]</t>
  </si>
  <si>
    <t>Capital expenditure purpose - WATER additional line 7 [Other categories]</t>
  </si>
  <si>
    <t>Capital expenditure purpose - WATER additional line 8 [Other categories]</t>
  </si>
  <si>
    <t>Capital expenditure purpose - WATER additional line 9 [Other categories]</t>
  </si>
  <si>
    <t>Capital expenditure purpose - WATER additional line 10 [Other categories]</t>
  </si>
  <si>
    <t xml:space="preserve">Total enhancement capital expenditure </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</si>
  <si>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</si>
  <si>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</si>
  <si>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</si>
  <si>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</si>
  <si>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</si>
  <si>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</si>
  <si>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</si>
  <si>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</si>
  <si>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</si>
  <si>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</si>
  <si>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</si>
  <si>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</si>
  <si>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</si>
  <si>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</si>
  <si>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</si>
  <si>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</si>
  <si>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</si>
  <si>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</si>
  <si>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Other capital expenditure by purpose. Regard should be had for the desirability of maintaining consistency with corresponding lines in previous data submissions when using these lines.</t>
  </si>
  <si>
    <t>Additional Guidance</t>
  </si>
  <si>
    <t>4M - Enhancement expenditure by purpose - Wholesale wastewater</t>
  </si>
  <si>
    <t>Network+Sewage Collection</t>
  </si>
  <si>
    <t>Network+Sewage Treatment</t>
  </si>
  <si>
    <t>Enhancement capital expenditure by purpose</t>
  </si>
  <si>
    <t>First time sewerage (s101A)</t>
  </si>
  <si>
    <t>Sludge enhancement (quality)</t>
  </si>
  <si>
    <t>Sludge enhancement (growth)</t>
  </si>
  <si>
    <t>NEP - Conservation drivers</t>
  </si>
  <si>
    <t>NEP - Eels Regulations (measures at outfalls)</t>
  </si>
  <si>
    <t>NEP - Event Duration Monitoring at intermittent discharges</t>
  </si>
  <si>
    <t>NEP - Flow monitoring at sewage treatment works</t>
  </si>
  <si>
    <t>NEP - Monitoring of pass forward flows at CSOs</t>
  </si>
  <si>
    <t>NEP - Schemes to increase flow to full treatment</t>
  </si>
  <si>
    <t>NEP - Schemes to increase storm tank capacity</t>
  </si>
  <si>
    <t>NEP - Storage schemes to reduce spill frequency at CSOs, storm tanks, etc</t>
  </si>
  <si>
    <t>NEP - Chemicals monitoring/ investigations/ options appraisals</t>
  </si>
  <si>
    <t>NEP - National phosphorus removal technology investigations</t>
  </si>
  <si>
    <t>NEP - Groundwater schemes</t>
  </si>
  <si>
    <t>NEP - Nutrients (N removal)</t>
  </si>
  <si>
    <t>NEP - Nutrients (P removal at activated sludge STWs)</t>
  </si>
  <si>
    <t>NEP - Nutrients (P removal at filter bed STWs)</t>
  </si>
  <si>
    <t>NEP - Reduction of sanitary parameters</t>
  </si>
  <si>
    <t>NEP - UV disinfection (or similar)</t>
  </si>
  <si>
    <t>NEP - Discharge relocation</t>
  </si>
  <si>
    <t>NEP - Flow 1 schemes</t>
  </si>
  <si>
    <t>Odour</t>
  </si>
  <si>
    <t>New development and growth</t>
  </si>
  <si>
    <t>Growth at sewage treatment works (excluding sludge treatment)</t>
  </si>
  <si>
    <t>Reduce flooding risk for properties</t>
  </si>
  <si>
    <t>Capital expenditure purpose - WASTEWATER additional line 1 [Other categories]</t>
  </si>
  <si>
    <t>Capital expenditure purpose - WASTEWATER additional line 2 [Other categories]</t>
  </si>
  <si>
    <t>Capital expenditure purpose - WASTEWATER additional line 3 [Other categories]</t>
  </si>
  <si>
    <t>Capital expenditure purpose - WASTEWATER additional line 4 [Other categories]</t>
  </si>
  <si>
    <t>Capital expenditure purpose - WASTEWATER additional line 5 [Other categories]</t>
  </si>
  <si>
    <t>Capital expenditure purpose - WASTEWATER additional line 6 [Other categories]</t>
  </si>
  <si>
    <t>Capital expenditure purpose - WASTEWATER additional line 7 [Other categories]</t>
  </si>
  <si>
    <t>Capital expenditure purpose - WASTEWATER additional line 8 [Other categories]</t>
  </si>
  <si>
    <t>Capital expenditure purpose - WASTEWATER additional line 9 [Other categories]</t>
  </si>
  <si>
    <t>Capital expenditure purpose - WASTEWATER additional line 10 [Other categories]</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</si>
  <si>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</si>
  <si>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</si>
  <si>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</si>
  <si>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</si>
  <si>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</si>
  <si>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</si>
  <si>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</si>
  <si>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</si>
  <si>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</si>
  <si>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</si>
  <si>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</si>
  <si>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</si>
  <si>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</si>
  <si>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</si>
  <si>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</si>
  <si>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</si>
  <si>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</si>
  <si>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</si>
  <si>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</si>
  <si>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</si>
  <si>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</si>
  <si>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Other capital expenditure purpose [Company to insert other purposes as required and explain in commentary]. Regard should be had for the desirability of maintaining consistency with corresponding lines in previous data submissions when using these lines.</t>
  </si>
  <si>
    <t>BON code</t>
  </si>
  <si>
    <t>Direct costs of STWs in size band 1</t>
  </si>
  <si>
    <t>STWF011</t>
  </si>
  <si>
    <t>£000</t>
  </si>
  <si>
    <t>Direct costs of STWs in size band 2</t>
  </si>
  <si>
    <t>STWF025</t>
  </si>
  <si>
    <t>Direct costs of STWs in size band 3</t>
  </si>
  <si>
    <t>STWF039</t>
  </si>
  <si>
    <t>Direct costs of STWs in size band 4</t>
  </si>
  <si>
    <t>STWF053</t>
  </si>
  <si>
    <t>Direct costs of STWs in size band 5</t>
  </si>
  <si>
    <t>STWF067</t>
  </si>
  <si>
    <t>General &amp; support costs of STWs in size bands 1 to 5</t>
  </si>
  <si>
    <t>Direct costs of STWs in size band 6</t>
  </si>
  <si>
    <t>General &amp; support costs of STWs in size band 6</t>
  </si>
  <si>
    <t>Service charges for STWs in size band 6</t>
  </si>
  <si>
    <t>Estimated terminal pumping costs size band 6 works</t>
  </si>
  <si>
    <t>input cell</t>
  </si>
  <si>
    <t>Sum of direct costs of STWs in band 1. See additional guidance below for STW banding</t>
  </si>
  <si>
    <t>Sum of direct costs of STWs in band 2. See additional guidance below for STW banding</t>
  </si>
  <si>
    <t>Sum of direct costs of STWs in band 3. See additional guidance below for STW banding</t>
  </si>
  <si>
    <t>Sum of direct costs of STWs in band 4. See additional guidance below for STW banding</t>
  </si>
  <si>
    <t>Sum of direct costs of STWs in band 5. See additional guidance below for STW banding</t>
  </si>
  <si>
    <t>The sum of general and support expenditure for all STWs in bands 1 to 5 (see additional guidance). Where possible, such expenditure should be attributed on a causal basis; otherwise it should be apportioned in proportion to direct costs.</t>
  </si>
  <si>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</si>
  <si>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</si>
  <si>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</si>
  <si>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</si>
  <si>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</si>
  <si>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</si>
  <si>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</si>
  <si>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</si>
  <si>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</si>
  <si>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</si>
  <si>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</si>
  <si>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</si>
  <si>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</si>
  <si>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</si>
  <si>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</si>
  <si>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</si>
  <si>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</si>
  <si>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</si>
  <si>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</si>
  <si>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</si>
  <si>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</si>
  <si>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</si>
  <si>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</si>
  <si>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</si>
  <si>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</si>
  <si>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</si>
  <si>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</si>
  <si>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</si>
  <si>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</si>
  <si>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</si>
  <si>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</si>
  <si>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</si>
  <si>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</si>
  <si>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</si>
  <si>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</si>
  <si>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</si>
  <si>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</si>
  <si>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</si>
  <si>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</si>
  <si>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</si>
  <si>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</si>
  <si>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</si>
  <si>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</si>
  <si>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</si>
  <si>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</si>
  <si>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</si>
  <si>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</si>
  <si>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</si>
  <si>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</si>
  <si>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</si>
  <si>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</si>
  <si>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</si>
  <si>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</si>
  <si>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</si>
  <si>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</si>
  <si>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</si>
  <si>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</si>
  <si>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</si>
  <si>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</si>
  <si>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</si>
  <si>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</si>
  <si>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</si>
  <si>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</si>
  <si>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</si>
  <si>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</si>
  <si>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</si>
  <si>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</si>
  <si>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</si>
  <si>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</si>
  <si>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</si>
  <si>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</si>
  <si>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</si>
  <si>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</si>
  <si>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</si>
  <si>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</si>
  <si>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</si>
  <si>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</si>
  <si>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</si>
  <si>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</si>
  <si>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</si>
  <si>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</si>
  <si>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</si>
  <si>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Works name</t>
  </si>
  <si>
    <t>Classification of treatment works</t>
  </si>
  <si>
    <t>STWB045</t>
  </si>
  <si>
    <t>Population equivalent of total load received</t>
  </si>
  <si>
    <t>STWB005</t>
  </si>
  <si>
    <t>000</t>
  </si>
  <si>
    <t>Suspended solids consent</t>
  </si>
  <si>
    <t>STWB011</t>
  </si>
  <si>
    <t>mg/l</t>
  </si>
  <si>
    <r>
      <t>BOD</t>
    </r>
    <r>
      <rPr>
        <vertAlign val="subscript"/>
        <sz val="10"/>
        <color indexed="8"/>
        <rFont val="Gill Sans MT"/>
        <family val="2"/>
      </rPr>
      <t>5</t>
    </r>
    <r>
      <rPr>
        <sz val="10"/>
        <color indexed="8"/>
        <rFont val="Gill Sans MT"/>
        <family val="2"/>
      </rPr>
      <t xml:space="preserve"> consent</t>
    </r>
  </si>
  <si>
    <t>STWB012</t>
  </si>
  <si>
    <t>Ammonia consent</t>
  </si>
  <si>
    <t>STWB014</t>
  </si>
  <si>
    <t>Phosphorus consent</t>
  </si>
  <si>
    <t>STWB015</t>
  </si>
  <si>
    <t>UV consent</t>
  </si>
  <si>
    <r>
      <t>mW/s/cm</t>
    </r>
    <r>
      <rPr>
        <vertAlign val="superscript"/>
        <sz val="8"/>
        <rFont val="Gill Sans MT"/>
        <family val="2"/>
      </rPr>
      <t>2</t>
    </r>
  </si>
  <si>
    <t>Load received by STW</t>
  </si>
  <si>
    <r>
      <t>kgBOD</t>
    </r>
    <r>
      <rPr>
        <vertAlign val="subscript"/>
        <sz val="8"/>
        <rFont val="Gill Sans MT"/>
        <family val="2"/>
      </rPr>
      <t>5</t>
    </r>
    <r>
      <rPr>
        <sz val="8"/>
        <rFont val="Gill Sans MT"/>
        <family val="2"/>
      </rPr>
      <t>/d</t>
    </r>
  </si>
  <si>
    <t>Flow passed to full treatment</t>
  </si>
  <si>
    <t>STWB033</t>
  </si>
  <si>
    <t>General and support expenditure</t>
  </si>
  <si>
    <t>STWB036</t>
  </si>
  <si>
    <t>Functional expenditure</t>
  </si>
  <si>
    <t>STWB037</t>
  </si>
  <si>
    <t>Service charges</t>
  </si>
  <si>
    <t>STWB040</t>
  </si>
  <si>
    <t>Estimated terminal pumping expenditure</t>
  </si>
  <si>
    <t>STWB038</t>
  </si>
  <si>
    <t>Name of sewage treatment works</t>
  </si>
  <si>
    <t xml:space="preserve">Classification of treatment works
P = Primary treatment;           SAS = Secondary Activated Sludge;
SB = Secondary Biological;    TA1 = Tertiary A1;
TA2 = Tertiary A2;           TB1 = Tertiary B1;
TB2 = Tertiary B2
Where a works' load is split into two treatment streams, the works should be reported in this line as the higher of the two proportions. For example, a works with a split of 60% Secondary Activated Sludge and 40% Secondary Biological should be classed as Secondary Activated Sludge (SAS) in this line. </t>
  </si>
  <si>
    <t>The average equivalent population of the total load received by the treatment works during the report year. Total load will be comprised of both resident and non-resident population loads.</t>
  </si>
  <si>
    <t>The value of the effluent consent standard (95%ile) with respect to suspended solids. This figure must be as determined by the Environment Agency and not a company's own assessment of the consent standard.</t>
  </si>
  <si>
    <r>
      <t>The value of the effluent consent standard (95%ile) with respect to BOD</t>
    </r>
    <r>
      <rPr>
        <vertAlign val="subscript"/>
        <sz val="9"/>
        <rFont val="Arial"/>
        <family val="2"/>
      </rPr>
      <t>5</t>
    </r>
    <r>
      <rPr>
        <sz val="9"/>
        <rFont val="Arial"/>
        <family val="2"/>
      </rPr>
      <t>. This figure must be as determined by the Environment Agency and not a company's own assessment of the consent standard.</t>
    </r>
  </si>
  <si>
    <t>The value of the effluent consent standard (95%ile) with respect to ammonia, if applicable at the works in question. This figure must be as determined by the Environment Agency and not a company's own assessment of the consent standard.</t>
  </si>
  <si>
    <t>The value of the effluent consent standard with respect to phosphorus (annual mean), if applicable at the works in question. This figure must be as determined by the Environment Agency and not a company's own assessment of the consent standard.</t>
  </si>
  <si>
    <t>The value of the consent process standard with respect to intensity of UV irradiation, if applicable at the works in question. This figure must be as determined by the Environment Agency and not a company's own assessment of the consent standard.</t>
  </si>
  <si>
    <r>
      <t>The average daily organic load (in kgBOD</t>
    </r>
    <r>
      <rPr>
        <vertAlign val="subscript"/>
        <sz val="9"/>
        <rFont val="Arial"/>
        <family val="2"/>
      </rPr>
      <t>5</t>
    </r>
    <r>
      <rPr>
        <sz val="9"/>
        <rFont val="Arial"/>
        <family val="2"/>
      </rPr>
      <t>) received by the treatment works during the report year. Calculated on the basis of a contribution of 60g BOD</t>
    </r>
    <r>
      <rPr>
        <vertAlign val="subscript"/>
        <sz val="9"/>
        <rFont val="Arial"/>
        <family val="2"/>
      </rPr>
      <t>5</t>
    </r>
    <r>
      <rPr>
        <sz val="9"/>
        <rFont val="Arial"/>
        <family val="2"/>
      </rPr>
      <t xml:space="preserve"> per head of equivalent population per day. Calculated values should agree with those reported in Table 4S line 6.</t>
    </r>
  </si>
  <si>
    <r>
      <t>The average daily flow (in m</t>
    </r>
    <r>
      <rPr>
        <vertAlign val="superscript"/>
        <sz val="9"/>
        <rFont val="Arial"/>
        <family val="2"/>
      </rPr>
      <t>3</t>
    </r>
    <r>
      <rPr>
        <sz val="9"/>
        <rFont val="Arial"/>
        <family val="2"/>
      </rPr>
      <t>/d) passed to full treatment at the treatment works during the report year.</t>
    </r>
  </si>
  <si>
    <t>In accordance with RAG 4.06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</si>
  <si>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</si>
  <si>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</si>
  <si>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</si>
  <si>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</si>
  <si>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</si>
  <si>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</si>
  <si>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</si>
  <si>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</si>
  <si>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</si>
  <si>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</si>
  <si>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</si>
  <si>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</si>
  <si>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</si>
  <si>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</si>
  <si>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t xml:space="preserve">IT and data processing </t>
  </si>
  <si>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</si>
  <si>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</si>
  <si>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</si>
  <si>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</si>
  <si>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</si>
  <si>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</si>
  <si>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</si>
  <si>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</si>
  <si>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</si>
  <si>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Proportion of distribution input derived from impounding reservoirs</t>
  </si>
  <si>
    <t>Propn 0 to 1</t>
  </si>
  <si>
    <t>Proportion of distribution input derived from pumped storage reservoirs</t>
  </si>
  <si>
    <t>Proportion of distribution input derived from river abstractions</t>
  </si>
  <si>
    <t>Proportion of distribution input derived from groundwater works,excluding managed aquifer recharge (MAR) water supply schemes</t>
  </si>
  <si>
    <t>Proportion of distribution input derived from artificial recharge (AR) water supply schemes</t>
  </si>
  <si>
    <t>Proportion of distribution input derived from aquifer storage and recovery (ASR) water supply schemes</t>
  </si>
  <si>
    <t>Number of impounding reservoirs</t>
  </si>
  <si>
    <t>BN4830</t>
  </si>
  <si>
    <t>Number of pumped storage reservoirs</t>
  </si>
  <si>
    <t>Number of river abstractions</t>
  </si>
  <si>
    <t>BN4835</t>
  </si>
  <si>
    <t>Number of groundwater works excluding managed aquifer recharge (MAR) water supply schemes</t>
  </si>
  <si>
    <t>Number of artificial recharge (AR) water supply schemes</t>
  </si>
  <si>
    <t>Number of aquifer storage and recovery (ASR) water supply schemes</t>
  </si>
  <si>
    <t>Total number of sources</t>
  </si>
  <si>
    <t>BN4843</t>
  </si>
  <si>
    <t>Total number of water reservoirs</t>
  </si>
  <si>
    <t>BN10190</t>
  </si>
  <si>
    <t>Total capacity of water reservoirs</t>
  </si>
  <si>
    <t>BN10290</t>
  </si>
  <si>
    <t>Total number of intake and source pumping stations</t>
  </si>
  <si>
    <t>Total capacity of intake and source pumping stations</t>
  </si>
  <si>
    <t>kW</t>
  </si>
  <si>
    <t>Total capacity of raw water transfer pumping stations</t>
  </si>
  <si>
    <t>km</t>
  </si>
  <si>
    <t>m.hd</t>
  </si>
  <si>
    <t>Average pumping head – raw water transport</t>
  </si>
  <si>
    <t>Total water treated at all SW simple disinfection works</t>
  </si>
  <si>
    <t>Total water treated at all SW1 works</t>
  </si>
  <si>
    <t>Total water treated at all SW2 works</t>
  </si>
  <si>
    <t>CPMW0110</t>
  </si>
  <si>
    <t>Total water treated at all SW3 works</t>
  </si>
  <si>
    <t>CPMW0116</t>
  </si>
  <si>
    <t>Total water treated at all SW4 works</t>
  </si>
  <si>
    <t>Total water treated at all SW5 works</t>
  </si>
  <si>
    <t>Total water treated at all SW6 works</t>
  </si>
  <si>
    <t>Total water treated at all GW simple disinfection works</t>
  </si>
  <si>
    <t>Total water treated at all GW1 works</t>
  </si>
  <si>
    <t>Total water treated at all GW2 works</t>
  </si>
  <si>
    <t>CPMW0039</t>
  </si>
  <si>
    <t>Total water treated at all GW3 works</t>
  </si>
  <si>
    <t>CPMW0045</t>
  </si>
  <si>
    <t>Total water treated at all GW4 works</t>
  </si>
  <si>
    <t>Total water treated at all GW5 works</t>
  </si>
  <si>
    <t>Total water treated at all GW6 works</t>
  </si>
  <si>
    <t>Total water treated at more than one type of works</t>
  </si>
  <si>
    <t>Total number of SW simple disinfection works</t>
  </si>
  <si>
    <t>Total number of SW1 works</t>
  </si>
  <si>
    <t>Total number of SW2 works</t>
  </si>
  <si>
    <t>BN10490</t>
  </si>
  <si>
    <t>Total number of SW3 works</t>
  </si>
  <si>
    <t>BN10590</t>
  </si>
  <si>
    <t>Total number of SW4 works</t>
  </si>
  <si>
    <t>BN10597</t>
  </si>
  <si>
    <t>Total number of SW5 works</t>
  </si>
  <si>
    <t>Total number of SW6 works</t>
  </si>
  <si>
    <t>Total number of GW simple disinfection works</t>
  </si>
  <si>
    <t>Total number of GW1 works</t>
  </si>
  <si>
    <t>Total number of GW2 works</t>
  </si>
  <si>
    <t>BN10790</t>
  </si>
  <si>
    <t>Total number of GW3 works</t>
  </si>
  <si>
    <t>BN10890</t>
  </si>
  <si>
    <t>Total number of GW4 works</t>
  </si>
  <si>
    <t>BN10897</t>
  </si>
  <si>
    <t>Total number of GW5 works</t>
  </si>
  <si>
    <t>Total number of GW6 works</t>
  </si>
  <si>
    <t>Number of treatment works requiring remedial action because of raw water deterioration</t>
  </si>
  <si>
    <t>W4005</t>
  </si>
  <si>
    <t>Zonal population receiving water treated with orthophosphate</t>
  </si>
  <si>
    <t>Water distribution</t>
  </si>
  <si>
    <t>Total length of potable mains as at 31 March</t>
  </si>
  <si>
    <t>BN1100</t>
  </si>
  <si>
    <t>BN1204</t>
  </si>
  <si>
    <t>BN1200</t>
  </si>
  <si>
    <t>BN1208</t>
  </si>
  <si>
    <t>Capacity of booster pumping stations</t>
  </si>
  <si>
    <t>Capacity of service reservoirs</t>
  </si>
  <si>
    <t>Capacity of water towers</t>
  </si>
  <si>
    <t>BN1000</t>
  </si>
  <si>
    <t>Water delivered (non-potable)</t>
  </si>
  <si>
    <t>BN2350</t>
  </si>
  <si>
    <t>Water delivered (potable)</t>
  </si>
  <si>
    <t>BN2330</t>
  </si>
  <si>
    <t>Water delivered (billed measured residential)</t>
  </si>
  <si>
    <t>BN2000</t>
  </si>
  <si>
    <t>Water delivered (billed measured business)</t>
  </si>
  <si>
    <t>BN2010</t>
  </si>
  <si>
    <t>Total leakage</t>
  </si>
  <si>
    <t>BN2345</t>
  </si>
  <si>
    <t>Distribution losses</t>
  </si>
  <si>
    <t>Water taken unbilled</t>
  </si>
  <si>
    <t>Number of lead communication pipes</t>
  </si>
  <si>
    <t>BN11600</t>
  </si>
  <si>
    <t>Number of galvanised iron communication pipes</t>
  </si>
  <si>
    <t>BN11610</t>
  </si>
  <si>
    <t>Number of other communication pipes</t>
  </si>
  <si>
    <t>BN11620</t>
  </si>
  <si>
    <t>Number of booster pumping stations</t>
  </si>
  <si>
    <t>BN11390</t>
  </si>
  <si>
    <t>Total number of service reservoirs</t>
  </si>
  <si>
    <t>BN10990</t>
  </si>
  <si>
    <t>Number of water towers</t>
  </si>
  <si>
    <t>BN11090</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</si>
  <si>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</si>
  <si>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</si>
  <si>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</si>
  <si>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</si>
  <si>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</si>
  <si>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</si>
  <si>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</si>
  <si>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</si>
  <si>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Band Disclosure (nr)</t>
  </si>
  <si>
    <t>WTWs in size band 1</t>
  </si>
  <si>
    <t>WTWs in size band 2</t>
  </si>
  <si>
    <t>WTWs in size band 3</t>
  </si>
  <si>
    <t>WTWs in size band 4</t>
  </si>
  <si>
    <t>WTWs in size band 5</t>
  </si>
  <si>
    <t>WTWs in size band 6</t>
  </si>
  <si>
    <t>WTWs in size band 7</t>
  </si>
  <si>
    <t>WTWs in size band 8</t>
  </si>
  <si>
    <t>Band Disclosure (%)</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</si>
  <si>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</si>
  <si>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</si>
  <si>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</si>
  <si>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</si>
  <si>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</si>
  <si>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</si>
  <si>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</si>
  <si>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</si>
  <si>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</si>
  <si>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</si>
  <si>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</si>
  <si>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</si>
  <si>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</si>
  <si>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</si>
  <si>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</si>
  <si>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</si>
  <si>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</si>
  <si>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</si>
  <si>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</si>
  <si>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</si>
  <si>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</si>
  <si>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</si>
  <si>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</si>
  <si>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</si>
  <si>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</si>
  <si>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</si>
  <si>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</si>
  <si>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</si>
  <si>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</si>
  <si>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</si>
  <si>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</si>
  <si>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</si>
  <si>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</si>
  <si>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</si>
  <si>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</si>
  <si>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</si>
  <si>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</si>
  <si>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</si>
  <si>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</si>
  <si>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</si>
  <si>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</si>
  <si>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</si>
  <si>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</si>
  <si>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The total length of potable water mains on 31 March of report year</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</si>
  <si>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</si>
  <si>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</si>
  <si>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</si>
  <si>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All non-potable water supplied as part of the appointed business. Include all non-potable water charged at standard and non-standard rates.</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</si>
  <si>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</si>
  <si>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</si>
  <si>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</si>
  <si>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</si>
  <si>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</si>
  <si>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</si>
  <si>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</si>
  <si>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</si>
  <si>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</si>
  <si>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Please disclose the number of WTW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</si>
  <si>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</si>
  <si>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</si>
  <si>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</si>
  <si>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</si>
  <si>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</si>
  <si>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</si>
  <si>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</si>
  <si>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</si>
  <si>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</si>
  <si>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</si>
  <si>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</si>
  <si>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</si>
  <si>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</si>
  <si>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</si>
  <si>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</si>
  <si>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</si>
  <si>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</si>
  <si>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</si>
  <si>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</si>
  <si>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</si>
  <si>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</si>
  <si>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</si>
  <si>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</si>
  <si>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</si>
  <si>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</si>
  <si>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</si>
  <si>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</si>
  <si>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</si>
  <si>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</si>
  <si>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</si>
  <si>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</si>
  <si>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</si>
  <si>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</si>
  <si>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Residential properties billed for measured water (external meter)</t>
  </si>
  <si>
    <t>BN2110</t>
  </si>
  <si>
    <t>Residential properties billed for measured water (not external meter)</t>
  </si>
  <si>
    <t>BN2115</t>
  </si>
  <si>
    <t>Business properties billed measured water</t>
  </si>
  <si>
    <t>BN2210</t>
  </si>
  <si>
    <t>Residential properties billed for unmeasured water</t>
  </si>
  <si>
    <t>BN2100</t>
  </si>
  <si>
    <t>Business properties billed unmeasured water</t>
  </si>
  <si>
    <t>BN2200</t>
  </si>
  <si>
    <t>Total business connected properties at year end</t>
  </si>
  <si>
    <t>BP3405</t>
  </si>
  <si>
    <t>Total residential connected properties at year end</t>
  </si>
  <si>
    <t>BP3400</t>
  </si>
  <si>
    <t>Total connected properties at year end</t>
  </si>
  <si>
    <t>Number of residential meters renewed</t>
  </si>
  <si>
    <t>BN1765</t>
  </si>
  <si>
    <t>Number of business meters renewed</t>
  </si>
  <si>
    <t>Number of meters installed at request of optants</t>
  </si>
  <si>
    <t>BN1715</t>
  </si>
  <si>
    <t>Number of selective meters installed</t>
  </si>
  <si>
    <t>BN1711</t>
  </si>
  <si>
    <t>Total number of new business connections</t>
  </si>
  <si>
    <r>
      <t xml:space="preserve">Total number of new </t>
    </r>
    <r>
      <rPr>
        <sz val="10"/>
        <rFont val="Arial"/>
        <family val="2"/>
      </rPr>
      <t>residential</t>
    </r>
    <r>
      <rPr>
        <sz val="10"/>
        <color indexed="8"/>
        <rFont val="Arial"/>
        <family val="2"/>
      </rPr>
      <t xml:space="preserve"> connections</t>
    </r>
  </si>
  <si>
    <t>Total population served</t>
  </si>
  <si>
    <t>BN2590</t>
  </si>
  <si>
    <t>Number of business meters (billed properties)</t>
  </si>
  <si>
    <t>BN11630</t>
  </si>
  <si>
    <t>Number of residential meters (billed properties)</t>
  </si>
  <si>
    <t>BN11640</t>
  </si>
  <si>
    <t>Company area</t>
  </si>
  <si>
    <t>km2</t>
  </si>
  <si>
    <t>Number of lead communication pipes replaced for water quality</t>
  </si>
  <si>
    <t>BN1231</t>
  </si>
  <si>
    <t>Total supply side enhancements to the supply demand balance (dry year critical / peak conditions)</t>
  </si>
  <si>
    <t>Total supply side enhancements to the supply demand balance (dry year annual average conditions)</t>
  </si>
  <si>
    <t>Total demand side enhancements to the supply demand balance (dry year critical / peak conditions)</t>
  </si>
  <si>
    <t>Total demand side enhancements to the supply demand balance (dry year annual average conditions)</t>
  </si>
  <si>
    <t>Energy consumption - network plus</t>
  </si>
  <si>
    <t>MWh</t>
  </si>
  <si>
    <t>Energy consumption - water resources</t>
  </si>
  <si>
    <t>Energy consumption - wholesale</t>
  </si>
  <si>
    <t>Mean Zonal Compliance</t>
  </si>
  <si>
    <t>Volume of Leakage above or below the sustainable economic Level</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</si>
  <si>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</si>
  <si>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</si>
  <si>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</si>
  <si>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</si>
  <si>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</si>
  <si>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</si>
  <si>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</si>
  <si>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</si>
  <si>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</si>
  <si>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</si>
  <si>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</si>
  <si>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</si>
  <si>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</si>
  <si>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</si>
  <si>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Area of company in km2</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</si>
  <si>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</si>
  <si>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</si>
  <si>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</si>
  <si>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</si>
  <si>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</si>
  <si>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DWI measure</t>
  </si>
  <si>
    <t>Lines 22 and 23 should exclude any costs incurred by the retail business unit. All demand management savings delivered in the reporting year should be included (whether funded as enhancement or maintenance).</t>
  </si>
  <si>
    <t>4R - Non-financial data - Wastewater network and sludge - Wholesale wastewater</t>
  </si>
  <si>
    <t>Wastewater network</t>
  </si>
  <si>
    <t>Connectable properties served by s101A schemes completed in the report year</t>
  </si>
  <si>
    <t>Number of s101A schemes completed in the report year</t>
  </si>
  <si>
    <t>Total pumping station capacity</t>
  </si>
  <si>
    <t>S4029</t>
  </si>
  <si>
    <t>Number of network pumping stations</t>
  </si>
  <si>
    <t>S6019</t>
  </si>
  <si>
    <t>Total number of sewer blockages</t>
  </si>
  <si>
    <t>BN13522</t>
  </si>
  <si>
    <t>Total number of gravity sewer collapses</t>
  </si>
  <si>
    <t>BN13521</t>
  </si>
  <si>
    <t>Total number of sewer rising main bursts / collapses</t>
  </si>
  <si>
    <t>BN13520</t>
  </si>
  <si>
    <t>Number of combined sewer overflows</t>
  </si>
  <si>
    <t>Number of emergency overflows</t>
  </si>
  <si>
    <t xml:space="preserve">Number of settled storm overflows </t>
  </si>
  <si>
    <r>
      <t xml:space="preserve">Sewer age </t>
    </r>
    <r>
      <rPr>
        <sz val="10"/>
        <rFont val="Gill Sans MT"/>
        <family val="2"/>
      </rPr>
      <t>profile (constructed post 2001)</t>
    </r>
  </si>
  <si>
    <t xml:space="preserve">Volume of trade effluent </t>
  </si>
  <si>
    <t>Ml/yr</t>
  </si>
  <si>
    <t>Volume of wastewater receiving treatment at sewage treatment works</t>
  </si>
  <si>
    <t>Length of gravity sewers rehabilitated</t>
  </si>
  <si>
    <t>Length of rising mains replaced or structurally refurbished</t>
  </si>
  <si>
    <t>Length of foul (only) public sewers</t>
  </si>
  <si>
    <t>Length of surface water (only) public sewers</t>
  </si>
  <si>
    <t>Length of combined public sewers</t>
  </si>
  <si>
    <t>Length of rising mains</t>
  </si>
  <si>
    <t>Length of other wastewater network pipework</t>
  </si>
  <si>
    <t>Total length of "legacy" public sewers as at 31 March</t>
  </si>
  <si>
    <t>Length of formerly private sewers and lateral drains (s105A sewers)</t>
  </si>
  <si>
    <t>Total sewage sludge produced, treated by incumbents</t>
  </si>
  <si>
    <t>ttds/ year</t>
  </si>
  <si>
    <t>Total sewage sludge produced, treated by 3rd party sludge service provider</t>
  </si>
  <si>
    <t xml:space="preserve">Total sewage sludge produced </t>
  </si>
  <si>
    <t>MP05611</t>
  </si>
  <si>
    <t>Percentage of sludge produced and treated at a site of STW and STC co-location</t>
  </si>
  <si>
    <t>Total sewage sludge disposed by incumbents</t>
  </si>
  <si>
    <t>Total sewage sludge disposed by 3rd party sludge service provider</t>
  </si>
  <si>
    <t>Total sewage sludge disposed</t>
  </si>
  <si>
    <t>BN1621</t>
  </si>
  <si>
    <t>Total measure of intersiting 'work' done by pipeline</t>
  </si>
  <si>
    <t>ttds*km/year</t>
  </si>
  <si>
    <t>Total measure of intersiting 'work' done by tanker</t>
  </si>
  <si>
    <t>Total measure of intersiting 'work' done by truck</t>
  </si>
  <si>
    <t>Total measure of intersiting 'work' done (all forms of transportation)</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</si>
  <si>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</si>
  <si>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</si>
  <si>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</si>
  <si>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</si>
  <si>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</si>
  <si>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</si>
  <si>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</si>
  <si>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</si>
  <si>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</si>
  <si>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</si>
  <si>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</si>
  <si>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</si>
  <si>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</si>
  <si>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</si>
  <si>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</si>
  <si>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</si>
  <si>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</si>
  <si>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</si>
  <si>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</si>
  <si>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</si>
  <si>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</si>
  <si>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</si>
  <si>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</si>
  <si>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</si>
  <si>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</si>
  <si>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</si>
  <si>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Total length of formerly private sewers and lateral drains (s105A sewers) transferred into the company's ownership on (or in the case of rising mains, from) 1 October 2011.</t>
  </si>
  <si>
    <t>WWW Sludge  - Line definitions</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</si>
  <si>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</si>
  <si>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</si>
  <si>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</si>
  <si>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</si>
  <si>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</si>
  <si>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</si>
  <si>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4S - Non-financial data - sewage treatment - Wholesale wastewater</t>
  </si>
  <si>
    <t>BoN Code</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</si>
  <si>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</si>
  <si>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</si>
  <si>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</si>
  <si>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</si>
  <si>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</si>
  <si>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</si>
  <si>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</si>
  <si>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</si>
  <si>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</si>
  <si>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</si>
  <si>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</si>
  <si>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</si>
  <si>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</si>
  <si>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</si>
  <si>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</si>
  <si>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</si>
  <si>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</si>
  <si>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</si>
  <si>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</si>
  <si>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</si>
  <si>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</si>
  <si>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</si>
  <si>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2017-18</t>
  </si>
  <si>
    <t>Load received by STWs in size band 1</t>
  </si>
  <si>
    <r>
      <t>kg BOD</t>
    </r>
    <r>
      <rPr>
        <vertAlign val="subscript"/>
        <sz val="10"/>
        <color indexed="8"/>
        <rFont val="Gill Sans MT"/>
        <family val="2"/>
      </rPr>
      <t>5</t>
    </r>
    <r>
      <rPr>
        <sz val="10"/>
        <color indexed="8"/>
        <rFont val="Gill Sans MT"/>
        <family val="2"/>
      </rPr>
      <t>/day</t>
    </r>
  </si>
  <si>
    <t>Load received by STWs in size band 2</t>
  </si>
  <si>
    <t>Load received by STWs in size band 3</t>
  </si>
  <si>
    <t>Load received by STWs in size band 4</t>
  </si>
  <si>
    <t>Load received by STWs in size band 5</t>
  </si>
  <si>
    <t>Load received by STWs above size band 5</t>
  </si>
  <si>
    <t>Total load received</t>
  </si>
  <si>
    <t xml:space="preserve">Load received from trade effluent customers at treatment works </t>
  </si>
  <si>
    <t>Number of sewage treatment works at 31 March 2018</t>
  </si>
  <si>
    <t>STWs in size band 1</t>
  </si>
  <si>
    <t>STWs in size band 2</t>
  </si>
  <si>
    <t>STWs in size band 3</t>
  </si>
  <si>
    <t>STWs in size band 4</t>
  </si>
  <si>
    <t>STWs in size band 5</t>
  </si>
  <si>
    <t>STWs above size band 5</t>
  </si>
  <si>
    <t>Total number of works</t>
  </si>
  <si>
    <t>Population equivalent</t>
  </si>
  <si>
    <t>Current population equivalent served by STWs</t>
  </si>
  <si>
    <t>Current population equivalent served by discharge relocation schemes</t>
  </si>
  <si>
    <t>Current population equivalent served by filter bed STWs with tightened/new P consents</t>
  </si>
  <si>
    <t>Current population equivalent served by activated sludge STWs with tightened/new P consents</t>
  </si>
  <si>
    <t>Current population equivalent served by groundwater protection schemes</t>
  </si>
  <si>
    <t>Current population equivalent served by STWs with a Flow1 driver scheme</t>
  </si>
  <si>
    <t>Current population equivalent served by STWs with tightened/new N consents</t>
  </si>
  <si>
    <t>Current population equivalent served by STWs with tightened/new sanitary parameter consents</t>
  </si>
  <si>
    <t>Current population equivalent served by STWs with tightened/new UV consents</t>
  </si>
  <si>
    <t>Population equivalent treatment capacity enhancement</t>
  </si>
  <si>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</si>
  <si>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</si>
  <si>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</si>
  <si>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</si>
  <si>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</si>
  <si>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</si>
  <si>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</si>
  <si>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</si>
  <si>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</si>
  <si>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</si>
  <si>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</si>
  <si>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</si>
  <si>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</si>
  <si>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</si>
  <si>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</si>
  <si>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</si>
  <si>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</si>
  <si>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</si>
  <si>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</si>
  <si>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</si>
  <si>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</si>
  <si>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</si>
  <si>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</si>
  <si>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 xml:space="preserve">Sludge treatment process  </t>
  </si>
  <si>
    <t>% Sludge - untreated</t>
  </si>
  <si>
    <t>% Sludge treatment process - raw sludge liming</t>
  </si>
  <si>
    <t>% Sludge treatment process - conventional AD</t>
  </si>
  <si>
    <t>% Sludge treatment process- advanced AD</t>
  </si>
  <si>
    <t>% Sludge treatment process - incineration of raw sludge</t>
  </si>
  <si>
    <t>% Sludge treatment process - incineration of digested sludge</t>
  </si>
  <si>
    <t>% Sludge treatment process - phyto-conditioning/composting</t>
  </si>
  <si>
    <t>% Sludge treatment process - other (specify)</t>
  </si>
  <si>
    <t>% Sludge treatment process - Total</t>
  </si>
  <si>
    <t>(Un-incinerated) sludge disposal route</t>
  </si>
  <si>
    <t>% Sludge disposal route - landfill, raw</t>
  </si>
  <si>
    <t>% Sludge disposal route - landfill, partly treated</t>
  </si>
  <si>
    <t>% Sludge disposal route - land restoration / reclamation</t>
  </si>
  <si>
    <t>% Sludge disposal route - sludge recycled to farmland</t>
  </si>
  <si>
    <t>% Sludge disposal route - other (specify)</t>
  </si>
  <si>
    <t>% Sludge disposal route - Total</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</si>
  <si>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</si>
  <si>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</si>
  <si>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</si>
  <si>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</si>
  <si>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</si>
  <si>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</si>
  <si>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</si>
  <si>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</si>
  <si>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</si>
  <si>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</si>
  <si>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</si>
  <si>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</si>
  <si>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</si>
  <si>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</si>
  <si>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</si>
  <si>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Residential properties connected during the year</t>
  </si>
  <si>
    <t>BP3410</t>
  </si>
  <si>
    <t>Business properties connected during the year</t>
  </si>
  <si>
    <t>BP3415</t>
  </si>
  <si>
    <t>Residential properties billed unmeasured sewage</t>
  </si>
  <si>
    <t>Residential properties billed measured sewage</t>
  </si>
  <si>
    <t>BN2140</t>
  </si>
  <si>
    <t>Residential properties billed for sewage</t>
  </si>
  <si>
    <t>BN2150</t>
  </si>
  <si>
    <t>Business properties billed unmeasured sewage</t>
  </si>
  <si>
    <t>Business properties billed measured sewage</t>
  </si>
  <si>
    <t>BN2260</t>
  </si>
  <si>
    <t>Business properties billed for sewage</t>
  </si>
  <si>
    <t>Void properties</t>
  </si>
  <si>
    <t>BN2285</t>
  </si>
  <si>
    <t>Total number of properties</t>
  </si>
  <si>
    <t>Resident population</t>
  </si>
  <si>
    <t>BN2630</t>
  </si>
  <si>
    <t>Non-resident population</t>
  </si>
  <si>
    <t>Energy consumption - sludge</t>
  </si>
  <si>
    <t>Population resident in National Parks, SSSIs and Areas of Outstanding Natural Beauty (AONBs)</t>
  </si>
  <si>
    <t>Total sewerage catchment area</t>
  </si>
  <si>
    <t>Designated bathing waters</t>
  </si>
  <si>
    <t>Number of intermittent discharge sites with event duration monitoring</t>
  </si>
  <si>
    <t>S4016</t>
  </si>
  <si>
    <t>Number of monitors for flow monitoring at STWs</t>
  </si>
  <si>
    <t>Number of odour related complaints</t>
  </si>
  <si>
    <t>Volume of storage provided at CSOs, storm tanks, etc to meet spill frequency objectives</t>
  </si>
  <si>
    <t xml:space="preserve">Total volume of network storage </t>
  </si>
  <si>
    <t>S4026</t>
  </si>
  <si>
    <t>The number of new residential properties added for each period within the company's sewerage area during the report year.</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</si>
  <si>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</si>
  <si>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</si>
  <si>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Average number of business properties billed for unmeasured sewerage. Exclude void properties.</t>
  </si>
  <si>
    <t>Average number of business properties billed for measured sewerage, include trade effluent customers. Exclude void properties.</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</si>
  <si>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</si>
  <si>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</si>
  <si>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</si>
  <si>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</si>
  <si>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</si>
  <si>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</si>
  <si>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</si>
  <si>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</si>
  <si>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</si>
  <si>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</si>
  <si>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</si>
  <si>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</si>
  <si>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</si>
  <si>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</si>
  <si>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</si>
  <si>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</si>
  <si>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</si>
  <si>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</si>
  <si>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</si>
  <si>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</si>
  <si>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Opex analysis</t>
  </si>
  <si>
    <t>Income Treated as negative expenditure</t>
  </si>
  <si>
    <t>Total operating costs (excluding 3rd party)</t>
  </si>
  <si>
    <t>Raw water distribution</t>
  </si>
  <si>
    <t>Other expenditure - wholesale water</t>
  </si>
  <si>
    <t>Costs asscociated with Traffic Management Act</t>
  </si>
  <si>
    <t>Canal &amp; River Trust service charges and discharge consents</t>
  </si>
  <si>
    <t>Environment Agency service charges/ discharge consents</t>
  </si>
  <si>
    <t>Other service charges / permits</t>
  </si>
  <si>
    <t>Statutory water softening</t>
  </si>
  <si>
    <t>Historcial Deprection charge for relevant fixed asset</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</si>
  <si>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</si>
  <si>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</si>
  <si>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</si>
  <si>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</si>
  <si>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</si>
  <si>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</si>
  <si>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</si>
  <si>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treatment</t>
  </si>
  <si>
    <t>Untreated sludge</t>
  </si>
  <si>
    <t>Raw sludge liming</t>
  </si>
  <si>
    <t>Conventional AD</t>
  </si>
  <si>
    <t>Incineration of raw sludge</t>
  </si>
  <si>
    <t>Incineration of digested Sludge</t>
  </si>
  <si>
    <t>Photo-conditioning / composting</t>
  </si>
  <si>
    <t>Sludge treatment type</t>
  </si>
  <si>
    <t>Sludge disposal route</t>
  </si>
  <si>
    <t>Other expenditure - Wholesale wastewater</t>
  </si>
  <si>
    <t>Network plus  sewage collection</t>
  </si>
  <si>
    <t>Network plus  sewage treatment</t>
  </si>
  <si>
    <t>Costs associated with Industrial Emissions Directive</t>
  </si>
  <si>
    <t>Environment Agency service charges / discharge consents</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</si>
  <si>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</si>
  <si>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</si>
  <si>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</si>
  <si>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</si>
  <si>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</si>
  <si>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</si>
  <si>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r>
      <t>m</t>
    </r>
    <r>
      <rPr>
        <vertAlign val="superscript"/>
        <sz val="8"/>
        <rFont val="Arial"/>
        <family val="2"/>
      </rPr>
      <t>3</t>
    </r>
    <r>
      <rPr>
        <sz val="8"/>
        <rFont val="Arial"/>
        <family val="2"/>
      </rPr>
      <t>/d</t>
    </r>
  </si>
  <si>
    <t>Other direct operating expenditure</t>
  </si>
  <si>
    <t>Other indirect operating expenditure</t>
  </si>
  <si>
    <t>Total operating expenditure (excluding 3rd party)</t>
  </si>
  <si>
    <t>Employment costs - directly allocated</t>
  </si>
  <si>
    <t>Employment costs - indirectly allocated</t>
  </si>
  <si>
    <t>Number FTEs consistent with 4V.10 above</t>
  </si>
  <si>
    <t>Number FTEs consistent with 4V.9 above</t>
  </si>
  <si>
    <t>Costs associated with Traffic Management Act</t>
  </si>
  <si>
    <t>JA</t>
  </si>
  <si>
    <t>0</t>
  </si>
  <si>
    <t>Unplanned outage</t>
  </si>
  <si>
    <t>Per capita consumption</t>
  </si>
  <si>
    <t>Risk of severe restrictions in a drought</t>
  </si>
  <si>
    <t>Risk of sewer flooding in a storm</t>
  </si>
  <si>
    <t>12</t>
  </si>
  <si>
    <t>13</t>
  </si>
  <si>
    <t>Per capita consumption (PCC)</t>
  </si>
  <si>
    <t>Proportion of unplanned outage of the total company production capacity</t>
  </si>
  <si>
    <t>1A.1</t>
  </si>
  <si>
    <t>1A.2</t>
  </si>
  <si>
    <t>1A.3</t>
  </si>
  <si>
    <t>1A.4</t>
  </si>
  <si>
    <t>1A.5</t>
  </si>
  <si>
    <t>1A.6</t>
  </si>
  <si>
    <t>1A.7</t>
  </si>
  <si>
    <t>1A.8</t>
  </si>
  <si>
    <t>1A.9</t>
  </si>
  <si>
    <t>1A.10</t>
  </si>
  <si>
    <t>1A.11</t>
  </si>
  <si>
    <t>1A.12</t>
  </si>
  <si>
    <t>1A.13</t>
  </si>
  <si>
    <t>1A.14</t>
  </si>
  <si>
    <t>1A.15</t>
  </si>
  <si>
    <t>1A.16</t>
  </si>
  <si>
    <t>1A.17</t>
  </si>
  <si>
    <t>1A.18</t>
  </si>
  <si>
    <t>1A.19</t>
  </si>
  <si>
    <t>1A.20</t>
  </si>
  <si>
    <t>1A.21</t>
  </si>
  <si>
    <t>1A.22</t>
  </si>
  <si>
    <t>1B.1</t>
  </si>
  <si>
    <t>1B.2</t>
  </si>
  <si>
    <t>1B.3</t>
  </si>
  <si>
    <t>1B.4</t>
  </si>
  <si>
    <t>1C.1</t>
  </si>
  <si>
    <t>1C.2</t>
  </si>
  <si>
    <t>1C.3</t>
  </si>
  <si>
    <t>1C.4</t>
  </si>
  <si>
    <t>1C.5</t>
  </si>
  <si>
    <t>1C.6</t>
  </si>
  <si>
    <t>1C.7</t>
  </si>
  <si>
    <t>1C.8</t>
  </si>
  <si>
    <t>1C.9</t>
  </si>
  <si>
    <t>1C.10</t>
  </si>
  <si>
    <t>1C.11</t>
  </si>
  <si>
    <t>1C.12</t>
  </si>
  <si>
    <t>1C.13</t>
  </si>
  <si>
    <t>1C.14</t>
  </si>
  <si>
    <t>1C.15</t>
  </si>
  <si>
    <t>1C.16</t>
  </si>
  <si>
    <t>1C.17</t>
  </si>
  <si>
    <t>1C.18</t>
  </si>
  <si>
    <t>1C.19</t>
  </si>
  <si>
    <t>1C.20</t>
  </si>
  <si>
    <t>1C.21</t>
  </si>
  <si>
    <t>1C.23</t>
  </si>
  <si>
    <t>1C.24</t>
  </si>
  <si>
    <t>1C.25</t>
  </si>
  <si>
    <t>1C.26</t>
  </si>
  <si>
    <t>1C.27</t>
  </si>
  <si>
    <t>1C.28</t>
  </si>
  <si>
    <t>1C.29</t>
  </si>
  <si>
    <t>1C.22</t>
  </si>
  <si>
    <t>1C.30</t>
  </si>
  <si>
    <t>1C.31</t>
  </si>
  <si>
    <t>1C.32</t>
  </si>
  <si>
    <t>1C.34</t>
  </si>
  <si>
    <t>1C.33</t>
  </si>
  <si>
    <t>1D.1</t>
  </si>
  <si>
    <t>1D.2</t>
  </si>
  <si>
    <t>1D.3</t>
  </si>
  <si>
    <t>1D.4</t>
  </si>
  <si>
    <t>1D.6</t>
  </si>
  <si>
    <t>1D.5</t>
  </si>
  <si>
    <t>1D.7</t>
  </si>
  <si>
    <t>1D.8</t>
  </si>
  <si>
    <t>1D.9</t>
  </si>
  <si>
    <t>1D.10</t>
  </si>
  <si>
    <t>1D.12</t>
  </si>
  <si>
    <t>1D.13</t>
  </si>
  <si>
    <t>1D.14</t>
  </si>
  <si>
    <t>1D.15</t>
  </si>
  <si>
    <t>1D.16</t>
  </si>
  <si>
    <t>1D.17</t>
  </si>
  <si>
    <t>1D.18</t>
  </si>
  <si>
    <t>1D.19</t>
  </si>
  <si>
    <t>1D.11</t>
  </si>
  <si>
    <t>1D.20</t>
  </si>
  <si>
    <t>1D.21</t>
  </si>
  <si>
    <t>1D.23</t>
  </si>
  <si>
    <t>1D.22</t>
  </si>
  <si>
    <t>1E.1</t>
  </si>
  <si>
    <t>1E.2</t>
  </si>
  <si>
    <t>1E.3</t>
  </si>
  <si>
    <t>1E.4</t>
  </si>
  <si>
    <t>1E.5</t>
  </si>
  <si>
    <t>1E.6</t>
  </si>
  <si>
    <t>1E.7</t>
  </si>
  <si>
    <t>1E.8</t>
  </si>
  <si>
    <t>1E.9</t>
  </si>
  <si>
    <t>1E.10</t>
  </si>
  <si>
    <t>1E.11</t>
  </si>
  <si>
    <t>1E.12</t>
  </si>
  <si>
    <t>1E.13</t>
  </si>
  <si>
    <t>2A.1</t>
  </si>
  <si>
    <t>2A.2</t>
  </si>
  <si>
    <t>2A.3</t>
  </si>
  <si>
    <t>2A.4</t>
  </si>
  <si>
    <t>2A.5</t>
  </si>
  <si>
    <t>2A.6</t>
  </si>
  <si>
    <t>2A.7</t>
  </si>
  <si>
    <t>2A.8</t>
  </si>
  <si>
    <t>2A.9</t>
  </si>
  <si>
    <t>2A.10</t>
  </si>
  <si>
    <t>2A.11</t>
  </si>
  <si>
    <t>2B.1</t>
  </si>
  <si>
    <t>2B.3</t>
  </si>
  <si>
    <t>2B.2</t>
  </si>
  <si>
    <t>2B.4</t>
  </si>
  <si>
    <t>2B.5</t>
  </si>
  <si>
    <t>2B.7</t>
  </si>
  <si>
    <t>2B.6</t>
  </si>
  <si>
    <t>2B.8</t>
  </si>
  <si>
    <t>2B.9</t>
  </si>
  <si>
    <t>2B.10</t>
  </si>
  <si>
    <t>2B.12</t>
  </si>
  <si>
    <t>2B.13</t>
  </si>
  <si>
    <t>2B.14</t>
  </si>
  <si>
    <t>2B.15</t>
  </si>
  <si>
    <t>2B.16</t>
  </si>
  <si>
    <t>2B.17</t>
  </si>
  <si>
    <t>2B.18</t>
  </si>
  <si>
    <t>2B.19</t>
  </si>
  <si>
    <t>2B.11</t>
  </si>
  <si>
    <t>2B.20</t>
  </si>
  <si>
    <t>2B.21</t>
  </si>
  <si>
    <t>2B.23</t>
  </si>
  <si>
    <t>2B.24</t>
  </si>
  <si>
    <t>2B.22</t>
  </si>
  <si>
    <t>2C.1</t>
  </si>
  <si>
    <t>2C.2</t>
  </si>
  <si>
    <t>2C.3</t>
  </si>
  <si>
    <t>2C.4</t>
  </si>
  <si>
    <t>2C.5</t>
  </si>
  <si>
    <t>2C.6</t>
  </si>
  <si>
    <t>2C.7</t>
  </si>
  <si>
    <t>2C.8</t>
  </si>
  <si>
    <t>2C.9</t>
  </si>
  <si>
    <t>2C.10</t>
  </si>
  <si>
    <t>2C.11</t>
  </si>
  <si>
    <t>2C.12</t>
  </si>
  <si>
    <t>2C.13</t>
  </si>
  <si>
    <t>2D.1</t>
  </si>
  <si>
    <t>2D.2</t>
  </si>
  <si>
    <t>2D.3</t>
  </si>
  <si>
    <t>2D.5</t>
  </si>
  <si>
    <t>2D.4</t>
  </si>
  <si>
    <t>2D.6</t>
  </si>
  <si>
    <t>2D.7</t>
  </si>
  <si>
    <t>2D.8</t>
  </si>
  <si>
    <t>2D.9</t>
  </si>
  <si>
    <t>2D.11</t>
  </si>
  <si>
    <t>2D.10</t>
  </si>
  <si>
    <t>2D.13</t>
  </si>
  <si>
    <t>2D.12</t>
  </si>
  <si>
    <t>2D.15</t>
  </si>
  <si>
    <t>2D.16</t>
  </si>
  <si>
    <t>2D.14</t>
  </si>
  <si>
    <t>2E.1</t>
  </si>
  <si>
    <t>2E.2</t>
  </si>
  <si>
    <t>2E.3</t>
  </si>
  <si>
    <t>2E.4</t>
  </si>
  <si>
    <t>2E.5</t>
  </si>
  <si>
    <t>2E.6</t>
  </si>
  <si>
    <t>2E.7</t>
  </si>
  <si>
    <t>2E.8</t>
  </si>
  <si>
    <t>2E.9</t>
  </si>
  <si>
    <t>2E.11</t>
  </si>
  <si>
    <t>2E.10</t>
  </si>
  <si>
    <t>2E.12</t>
  </si>
  <si>
    <t>2E.13</t>
  </si>
  <si>
    <t>2E.14</t>
  </si>
  <si>
    <t>2E.15</t>
  </si>
  <si>
    <t>2E.16</t>
  </si>
  <si>
    <t>2E.17</t>
  </si>
  <si>
    <t>2E.18</t>
  </si>
  <si>
    <t>2E.19</t>
  </si>
  <si>
    <t>2E.20</t>
  </si>
  <si>
    <t>2F.1</t>
  </si>
  <si>
    <t>2F.2</t>
  </si>
  <si>
    <t>2F.3</t>
  </si>
  <si>
    <t>2F.4</t>
  </si>
  <si>
    <t>2F.6</t>
  </si>
  <si>
    <t>2F.5</t>
  </si>
  <si>
    <t>2F.7</t>
  </si>
  <si>
    <t>2I.1</t>
  </si>
  <si>
    <t>2I.2</t>
  </si>
  <si>
    <t>2I.3</t>
  </si>
  <si>
    <t>2I.4</t>
  </si>
  <si>
    <t>2I.5</t>
  </si>
  <si>
    <t>2I.6</t>
  </si>
  <si>
    <t>2I.7</t>
  </si>
  <si>
    <t>2I.8</t>
  </si>
  <si>
    <t>2I.9</t>
  </si>
  <si>
    <t>2I.10</t>
  </si>
  <si>
    <t>2I.11</t>
  </si>
  <si>
    <t>2I.12</t>
  </si>
  <si>
    <t>2I.13</t>
  </si>
  <si>
    <t>2I.14</t>
  </si>
  <si>
    <t>2I.15</t>
  </si>
  <si>
    <t>2I.16</t>
  </si>
  <si>
    <t>2I.17</t>
  </si>
  <si>
    <t>2I.18</t>
  </si>
  <si>
    <t>2I.19</t>
  </si>
  <si>
    <t>2I.20</t>
  </si>
  <si>
    <t>2I.21</t>
  </si>
  <si>
    <t>2I.23</t>
  </si>
  <si>
    <t>2I.24</t>
  </si>
  <si>
    <t>2I.25</t>
  </si>
  <si>
    <t>2I.26</t>
  </si>
  <si>
    <t>2I.22</t>
  </si>
  <si>
    <t>2J.1</t>
  </si>
  <si>
    <t>2J.2</t>
  </si>
  <si>
    <t>2J.3</t>
  </si>
  <si>
    <t>2J.4</t>
  </si>
  <si>
    <t>2J.5</t>
  </si>
  <si>
    <t>2J.8</t>
  </si>
  <si>
    <t>2J.6</t>
  </si>
  <si>
    <t>2J.7</t>
  </si>
  <si>
    <t>2J.9</t>
  </si>
  <si>
    <t>3D.1</t>
  </si>
  <si>
    <t>3D.2</t>
  </si>
  <si>
    <t>3D.3</t>
  </si>
  <si>
    <t>3D.5</t>
  </si>
  <si>
    <t>3D.4</t>
  </si>
  <si>
    <t>3D.7</t>
  </si>
  <si>
    <t>3D.6</t>
  </si>
  <si>
    <t>3D.8</t>
  </si>
  <si>
    <t>4A.1</t>
  </si>
  <si>
    <t>4A.2</t>
  </si>
  <si>
    <t>4A.3</t>
  </si>
  <si>
    <t>4A.5</t>
  </si>
  <si>
    <t>4A.4</t>
  </si>
  <si>
    <t>4B.1</t>
  </si>
  <si>
    <t>4B.2</t>
  </si>
  <si>
    <t>4B.3</t>
  </si>
  <si>
    <t>4B.5</t>
  </si>
  <si>
    <t>4B.4</t>
  </si>
  <si>
    <t>4B.6</t>
  </si>
  <si>
    <t>4B.8</t>
  </si>
  <si>
    <t>4B.7</t>
  </si>
  <si>
    <t>4B.9</t>
  </si>
  <si>
    <t>4C.1</t>
  </si>
  <si>
    <t>4C.2</t>
  </si>
  <si>
    <t>4C.3</t>
  </si>
  <si>
    <t>4C.4</t>
  </si>
  <si>
    <t>4C.5</t>
  </si>
  <si>
    <t>4C.6</t>
  </si>
  <si>
    <t>4D.1</t>
  </si>
  <si>
    <t>4D.2</t>
  </si>
  <si>
    <t>4D.3</t>
  </si>
  <si>
    <t>4D.5</t>
  </si>
  <si>
    <t>4D.7</t>
  </si>
  <si>
    <t>4D.4</t>
  </si>
  <si>
    <t>4D.6</t>
  </si>
  <si>
    <t>4D.9</t>
  </si>
  <si>
    <t>4D.8</t>
  </si>
  <si>
    <t>4D.10</t>
  </si>
  <si>
    <t>4D.12</t>
  </si>
  <si>
    <t>4D.13</t>
  </si>
  <si>
    <t>4D.14</t>
  </si>
  <si>
    <t>4D.15</t>
  </si>
  <si>
    <t>4D.16</t>
  </si>
  <si>
    <t>4D.17</t>
  </si>
  <si>
    <t>4D.18</t>
  </si>
  <si>
    <t>4D.19</t>
  </si>
  <si>
    <t>4D.11</t>
  </si>
  <si>
    <t>4D.20</t>
  </si>
  <si>
    <t>4D.21</t>
  </si>
  <si>
    <t>4D.23</t>
  </si>
  <si>
    <t>4D.24</t>
  </si>
  <si>
    <t>4D.25</t>
  </si>
  <si>
    <t>4D.26</t>
  </si>
  <si>
    <t>4D.27</t>
  </si>
  <si>
    <t>4D.28</t>
  </si>
  <si>
    <t>4D.22</t>
  </si>
  <si>
    <t>4E.1</t>
  </si>
  <si>
    <t>4E.2</t>
  </si>
  <si>
    <t>4E.3</t>
  </si>
  <si>
    <t>4E.4</t>
  </si>
  <si>
    <t>4E.5</t>
  </si>
  <si>
    <t>4E.6</t>
  </si>
  <si>
    <t>4E.7</t>
  </si>
  <si>
    <t>4E.8</t>
  </si>
  <si>
    <t>4E.9</t>
  </si>
  <si>
    <t>4E.10</t>
  </si>
  <si>
    <t>4E.12</t>
  </si>
  <si>
    <t>4E.13</t>
  </si>
  <si>
    <t>4E.14</t>
  </si>
  <si>
    <t>4E.15</t>
  </si>
  <si>
    <t>4E.16</t>
  </si>
  <si>
    <t>4E.17</t>
  </si>
  <si>
    <t>4E.18</t>
  </si>
  <si>
    <t>4E.19</t>
  </si>
  <si>
    <t>4E.11</t>
  </si>
  <si>
    <t>4E.20</t>
  </si>
  <si>
    <t>4E.21</t>
  </si>
  <si>
    <t>4E.23</t>
  </si>
  <si>
    <t>4E.24</t>
  </si>
  <si>
    <t>4E.25</t>
  </si>
  <si>
    <t>4E.26</t>
  </si>
  <si>
    <t>4E.27</t>
  </si>
  <si>
    <t>4E.28</t>
  </si>
  <si>
    <t>4E.22</t>
  </si>
  <si>
    <t>4F.1</t>
  </si>
  <si>
    <t>4F.2</t>
  </si>
  <si>
    <t>4F.3</t>
  </si>
  <si>
    <t>4F.4</t>
  </si>
  <si>
    <t>4F.5</t>
  </si>
  <si>
    <t>4F.6</t>
  </si>
  <si>
    <t>4F.7</t>
  </si>
  <si>
    <t>4F.8</t>
  </si>
  <si>
    <t>4F.9</t>
  </si>
  <si>
    <t>4F.10</t>
  </si>
  <si>
    <t>4F.12</t>
  </si>
  <si>
    <t>4F.13</t>
  </si>
  <si>
    <t>4F.14</t>
  </si>
  <si>
    <t>4F.15</t>
  </si>
  <si>
    <t>4F.16</t>
  </si>
  <si>
    <t>4F.17</t>
  </si>
  <si>
    <t>4F.18</t>
  </si>
  <si>
    <t>4F.19</t>
  </si>
  <si>
    <t>4F.11</t>
  </si>
  <si>
    <t>4F.20</t>
  </si>
  <si>
    <t>4G.1</t>
  </si>
  <si>
    <t>4G.2</t>
  </si>
  <si>
    <t>4G.3</t>
  </si>
  <si>
    <t>4G.5</t>
  </si>
  <si>
    <t>4G.4</t>
  </si>
  <si>
    <t>4G.7</t>
  </si>
  <si>
    <t>4G.6</t>
  </si>
  <si>
    <t>4G.9</t>
  </si>
  <si>
    <t>4G.8</t>
  </si>
  <si>
    <t>4G.11</t>
  </si>
  <si>
    <t>4G.10</t>
  </si>
  <si>
    <t>4G.12</t>
  </si>
  <si>
    <t>4H.1</t>
  </si>
  <si>
    <t>4H.2</t>
  </si>
  <si>
    <t>4H.3</t>
  </si>
  <si>
    <t>4H.8</t>
  </si>
  <si>
    <t>4H.6</t>
  </si>
  <si>
    <t>4H.4</t>
  </si>
  <si>
    <t>4H.5</t>
  </si>
  <si>
    <t>4H.7</t>
  </si>
  <si>
    <t>4H.9</t>
  </si>
  <si>
    <t>4H.10</t>
  </si>
  <si>
    <t>4H.12</t>
  </si>
  <si>
    <t>4H.13</t>
  </si>
  <si>
    <t>4H.14</t>
  </si>
  <si>
    <t>4H.15</t>
  </si>
  <si>
    <t>4H.16</t>
  </si>
  <si>
    <t>4H.17</t>
  </si>
  <si>
    <t>4H.18</t>
  </si>
  <si>
    <t>4H.19</t>
  </si>
  <si>
    <t>4H.11</t>
  </si>
  <si>
    <t>4H.20</t>
  </si>
  <si>
    <t>4H.21</t>
  </si>
  <si>
    <t>4H.23</t>
  </si>
  <si>
    <t>4H.24</t>
  </si>
  <si>
    <t>4H.25</t>
  </si>
  <si>
    <t>4H.26</t>
  </si>
  <si>
    <t>4H.27</t>
  </si>
  <si>
    <t>4H.28</t>
  </si>
  <si>
    <t>4H.22</t>
  </si>
  <si>
    <t>4I.1</t>
  </si>
  <si>
    <t>4I.2</t>
  </si>
  <si>
    <t>4I.5</t>
  </si>
  <si>
    <t>4I.4</t>
  </si>
  <si>
    <t>4I.3</t>
  </si>
  <si>
    <t>4I.6</t>
  </si>
  <si>
    <t>4I.7</t>
  </si>
  <si>
    <t>4I.8</t>
  </si>
  <si>
    <t>4I.9</t>
  </si>
  <si>
    <t>4I.10</t>
  </si>
  <si>
    <t>4I.12</t>
  </si>
  <si>
    <t>4I.13</t>
  </si>
  <si>
    <t>4I.14</t>
  </si>
  <si>
    <t>4I.15</t>
  </si>
  <si>
    <t>4I.16</t>
  </si>
  <si>
    <t>4I.17</t>
  </si>
  <si>
    <t>4I.18</t>
  </si>
  <si>
    <t>4I.19</t>
  </si>
  <si>
    <t>4I.11</t>
  </si>
  <si>
    <t>4I.20</t>
  </si>
  <si>
    <t>4I.21</t>
  </si>
  <si>
    <t>4I.23</t>
  </si>
  <si>
    <t>4I.24</t>
  </si>
  <si>
    <t>4I.22</t>
  </si>
  <si>
    <t>4J.1</t>
  </si>
  <si>
    <t>4J.2</t>
  </si>
  <si>
    <t>4J.3</t>
  </si>
  <si>
    <t>4J.4</t>
  </si>
  <si>
    <t>4J.5</t>
  </si>
  <si>
    <t>4J.6</t>
  </si>
  <si>
    <t>4J.8</t>
  </si>
  <si>
    <t>4J.9</t>
  </si>
  <si>
    <t>4J.7</t>
  </si>
  <si>
    <t>4J.10</t>
  </si>
  <si>
    <t>4J.12</t>
  </si>
  <si>
    <t>4J.13</t>
  </si>
  <si>
    <t>4J.14</t>
  </si>
  <si>
    <t>4J.15</t>
  </si>
  <si>
    <t>4J.16</t>
  </si>
  <si>
    <t>4J.17</t>
  </si>
  <si>
    <t>4J.18</t>
  </si>
  <si>
    <t>4J.19</t>
  </si>
  <si>
    <t>4J.11</t>
  </si>
  <si>
    <t>4J.20</t>
  </si>
  <si>
    <t>4J.21</t>
  </si>
  <si>
    <t>4J.23</t>
  </si>
  <si>
    <t>4J.24</t>
  </si>
  <si>
    <t>4J.25</t>
  </si>
  <si>
    <t>4J.26</t>
  </si>
  <si>
    <t>4J.27</t>
  </si>
  <si>
    <t>4J.28</t>
  </si>
  <si>
    <t>4J.29</t>
  </si>
  <si>
    <t>4J.22</t>
  </si>
  <si>
    <t>Item 6</t>
  </si>
  <si>
    <t>Item 7</t>
  </si>
  <si>
    <t>Item 8</t>
  </si>
  <si>
    <t>Item 9</t>
  </si>
  <si>
    <t>Item 10</t>
  </si>
  <si>
    <t>4J.30</t>
  </si>
  <si>
    <t>4J.31</t>
  </si>
  <si>
    <t>&lt;-----------   AMP6 performance commitment levels   -------------&gt;</t>
  </si>
  <si>
    <t>&lt;-----------  PR14 comparative assessments  -----------&gt;</t>
  </si>
  <si>
    <t>Underperformance penalty collar</t>
  </si>
  <si>
    <t>Underperformance penalty deadband</t>
  </si>
  <si>
    <t>Outperformance payment deadband</t>
  </si>
  <si>
    <t>Outperformance payment cap</t>
  </si>
  <si>
    <t>Underperformance penalty 1</t>
  </si>
  <si>
    <t>Underperformance penalty 2</t>
  </si>
  <si>
    <t>Underperformance penalty 3</t>
  </si>
  <si>
    <t>Underperformance penalty 4</t>
  </si>
  <si>
    <t>Outperformance payment 1</t>
  </si>
  <si>
    <t>Outperformance payment 2</t>
  </si>
  <si>
    <t>2017 APR submission data (monetary amounts in 2012-13 prices)</t>
  </si>
  <si>
    <t>ODI form</t>
  </si>
  <si>
    <t>Direction of improving performance</t>
  </si>
  <si>
    <t>2015-16
PCL</t>
  </si>
  <si>
    <t>2016-17
PCL</t>
  </si>
  <si>
    <t>2017-18
PCL</t>
  </si>
  <si>
    <t>2018-19
PCL</t>
  </si>
  <si>
    <t>2019-20
PCL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</si>
  <si>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</si>
  <si>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</si>
  <si>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</si>
  <si>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</si>
  <si>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</si>
  <si>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</si>
  <si>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</si>
  <si>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</si>
  <si>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</si>
  <si>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</si>
  <si>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</si>
  <si>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Out &amp; under</t>
  </si>
  <si>
    <t>AFW  W-A1: Leakage</t>
  </si>
  <si>
    <t>Under</t>
  </si>
  <si>
    <t>AFW  W-A2: Average water use</t>
  </si>
  <si>
    <t>AFW  W-A3: Water available for use</t>
  </si>
  <si>
    <t>AFW  W-A4: Sustainable abstraction reductions</t>
  </si>
  <si>
    <t>AFW  W-A5: Abstraction incentive mechanism (AIM)</t>
  </si>
  <si>
    <t>AFW  W-B1: Compliance with water quality standards (mean zonal compliance)</t>
  </si>
  <si>
    <t>AFW  W-B2: Customer contacts for discolouration</t>
  </si>
  <si>
    <t>Underperformance penalty</t>
  </si>
  <si>
    <t>AFW  W-C1: Unplanned interruptions to supply over 12 hours</t>
  </si>
  <si>
    <t>AFW  W-C2: Number of burst mains</t>
  </si>
  <si>
    <t>AFW  W-C3: Affected customers not notified of planned interruptions</t>
  </si>
  <si>
    <t>AFW  W-C4: Planned work taking longer to complete than notified</t>
  </si>
  <si>
    <t>AFW  R-A1: SIM service score</t>
  </si>
  <si>
    <t>Score out of 100</t>
  </si>
  <si>
    <t>69.5</t>
  </si>
  <si>
    <t>AFW  R-A2: Value for money survey</t>
  </si>
  <si>
    <t>W-A2: Water supply interruptions</t>
  </si>
  <si>
    <t>Outperformance payment</t>
  </si>
  <si>
    <t>ANH  W-A2: Water supply interruptions</t>
  </si>
  <si>
    <t>ANH  W-A3: Properties at risk of persistent low pressure</t>
  </si>
  <si>
    <t>ANH  W-A4: Water quality contacts</t>
  </si>
  <si>
    <t>ANH  W-B1: Value for money perception - variation from baseline against WaSCs (water)</t>
  </si>
  <si>
    <t>ANH  W-C1: Percentage of population supplied by single supply system</t>
  </si>
  <si>
    <t>ANH  W-C2: Frequency of service level restrictions (hosepipe bans)</t>
  </si>
  <si>
    <t>ANH  W-D1: Security of Supply Index (SoSI) - dry year annual average</t>
  </si>
  <si>
    <t>ANH  W-D2: Security of Supply Index (SoSI) - critical period (peak) demand</t>
  </si>
  <si>
    <t>ANH  W-D3: Per property consumption (PPC) (litres/household/day reduction)</t>
  </si>
  <si>
    <t>ANH  W-D4: Leakage - three-year average</t>
  </si>
  <si>
    <t>ANH  W-E1: Percentage of SSSIs (by area) with favourable status</t>
  </si>
  <si>
    <t>ANH  W-E2: Environmental compliance (water)</t>
  </si>
  <si>
    <t>ANH  W-F1: Operational carbon (% reduction from 2015 baseline)</t>
  </si>
  <si>
    <t>ANH  W-F2: Embodied carbon (% reduction from 2010 baseline)</t>
  </si>
  <si>
    <t>ANH  W-G1: Survey of community perception</t>
  </si>
  <si>
    <t>ANH  W-H1: Water infrastructure</t>
  </si>
  <si>
    <t>ANH  W-H2: Water non-infrastructure</t>
  </si>
  <si>
    <t>ANH  W-I1: Mean zonal compliance (MZC)</t>
  </si>
  <si>
    <t>ANH  S-A2: Properties flooded internally from sewers - three-year average (reduction)</t>
  </si>
  <si>
    <t>ANH  S-A3: Properties flooded externally from sewers - three-year average (reduction)</t>
  </si>
  <si>
    <t>ANH  S-A4: Percentage of sewerage capacity schemes incorporating sustainable solutions</t>
  </si>
  <si>
    <t>ANH  S-B1: Value for money perception variation from baseline against WaSCs (wastewater)</t>
  </si>
  <si>
    <t>ANH  S-C1: Percentage of bathing waters attaining excellent status</t>
  </si>
  <si>
    <t>ANH  S-C2: Percentage of SSSIs (by area) with favourable status</t>
  </si>
  <si>
    <t>ANH  S-C3: Pollution incidents (category 3)</t>
  </si>
  <si>
    <t>ANH  S-C4: Environmental compliance (wastewater)</t>
  </si>
  <si>
    <t>ANH  S-D1: Operational carbon (% reduction from 2015 baseline)</t>
  </si>
  <si>
    <t>ANH  S-D2: Embodied carbon (% reduction from 2010 baseline)</t>
  </si>
  <si>
    <t>ANH  S-E1: Survey of community perception</t>
  </si>
  <si>
    <t>ANH  S-F1: Sewerage infrastructure</t>
  </si>
  <si>
    <t>ANH  S-F2: Sewerage non-infrastructure</t>
  </si>
  <si>
    <t>6th among the 10 WaSCs</t>
  </si>
  <si>
    <t>ANH  R-A1: Qualitative service incentive mechanism (SIM) score</t>
  </si>
  <si>
    <t>ANH  R-A2: Service incentive mechanism (SIM)</t>
  </si>
  <si>
    <t>rank</t>
  </si>
  <si>
    <t>9/23</t>
  </si>
  <si>
    <t>ANH  R-A3: Customer Satisfaction Index prepared by UK Institute of Customer Service</t>
  </si>
  <si>
    <t>ANH  R-B1: Fairness of bills perception - variation from baseline against WaSCs</t>
  </si>
  <si>
    <t>ANH  R-B2: Affordability perception - variation from baseline against WaSCs</t>
  </si>
  <si>
    <t>ANH  R-C1: Operational carbon (% reduction from 2015 baseline)</t>
  </si>
  <si>
    <t>ANH  R-C2: Embodied carbon (% reduction from 2010 baseline)</t>
  </si>
  <si>
    <t>ANH  R-D1: Survey of community perception</t>
  </si>
  <si>
    <t>BRL  A1: Unplanned customer minutes lost</t>
  </si>
  <si>
    <t>BRL  A2: Asset reliability - infrastructure</t>
  </si>
  <si>
    <t>BRL  A3: Asset reliability - non-infrastructure</t>
  </si>
  <si>
    <t>BRL  B1: Population in centres &gt;25,000 at risk from asset failure</t>
  </si>
  <si>
    <t>BRL  C1: Security of supply index (SOSI)</t>
  </si>
  <si>
    <t>BRL  C2: Hosepipe ban frequency</t>
  </si>
  <si>
    <t>BRL  D1: Mean zonal compliance (MZC)</t>
  </si>
  <si>
    <t>BRL  E1: Negative water quality contacts</t>
  </si>
  <si>
    <t>BRL  F1: Leakage</t>
  </si>
  <si>
    <t>BRL  G1: Meter penetration</t>
  </si>
  <si>
    <t>BRL  H1: Total carbon emissions</t>
  </si>
  <si>
    <t>BRL  H2: Raw water quality of sources</t>
  </si>
  <si>
    <t>BRL  H3: Biodiversity index</t>
  </si>
  <si>
    <t>BRL  H4: Waste disposal compliance</t>
  </si>
  <si>
    <t>BRL  G2: Per capita consumption (PCC), measured as litres per head per day (l/h/d)</t>
  </si>
  <si>
    <t>BRL  I1: Percentage of customers in water poverty</t>
  </si>
  <si>
    <t>BRL  J1: Service incentive mechanism (SIM)</t>
  </si>
  <si>
    <t>BRL  J2: General satisfaction from surveys</t>
  </si>
  <si>
    <t>BRL  J3: Value for money</t>
  </si>
  <si>
    <t>BRL  K1: Ease of contact from surveys</t>
  </si>
  <si>
    <t>BRL  L1: Negative billing contacts</t>
  </si>
  <si>
    <t>DVW  A1: Discoloured water contacts</t>
  </si>
  <si>
    <t>DVW  A2: Mean zonal compliance (MZC)</t>
  </si>
  <si>
    <t>DVW  A3: Delivery of the outcomes of the Legacy water treatment works (south west Wrexham) major scheme</t>
  </si>
  <si>
    <t>DVW  A4: Delivery of the outcomes of the service reservoir water quality risk management schemes</t>
  </si>
  <si>
    <t>DVW  B1: Average duration of interruptions - 3 hours or longer (planned and unplanned interruptions)</t>
  </si>
  <si>
    <t>B2: Sustainable economic level of leakage</t>
  </si>
  <si>
    <t>DVW  B2: Sustainable economic level of leakage</t>
  </si>
  <si>
    <t>DVW  B3: Security of supply index (SOSI)</t>
  </si>
  <si>
    <t>DVW  B4: Number of bursts</t>
  </si>
  <si>
    <t>DVW  C1: Gross operational greenhouse gas emissions</t>
  </si>
  <si>
    <t>DVW  D1: Customers’ perception based on market research</t>
  </si>
  <si>
    <t>DVW  F1: Non-household Service incentive mechanism (SIM)</t>
  </si>
  <si>
    <t>DVW  E1: Per capita consumption and water efficiency</t>
  </si>
  <si>
    <t>DVW  E2: Service incentive mechanism (SIM)</t>
  </si>
  <si>
    <t>NES  W-A1: Asset health measures - water</t>
  </si>
  <si>
    <t>NES  W-B1: Satisfaction with taste and odour of tap water</t>
  </si>
  <si>
    <t>W-B2: Overall drinking water compliance (3-year average)</t>
  </si>
  <si>
    <t>NES  W-B2: Overall drinking water compliance (3-year average)</t>
  </si>
  <si>
    <t>W-B3: Discoloured water complaints (3-year average)</t>
  </si>
  <si>
    <t>NES  W-B3: Discoloured water complaints (3-year average)</t>
  </si>
  <si>
    <t>NES  W-C1: Interruptions to water supply for more than 3 hours (average time per property per year)</t>
  </si>
  <si>
    <t>W-C2: Properties experiencing poor water pressure (3-year average)</t>
  </si>
  <si>
    <t>NES  W-C2: Properties experiencing poor water pressure (3-year average)</t>
  </si>
  <si>
    <t>W-C3: Water mains bursts (3-year average)</t>
  </si>
  <si>
    <t>NES  W-C3: Water mains bursts (3-year average)</t>
  </si>
  <si>
    <t>NES  W-C4: Leakage (Ml/d) Northumbrian area</t>
  </si>
  <si>
    <t>NES  W-C5: Leakage (Ml/d) Essex &amp; Suffolk area</t>
  </si>
  <si>
    <t>NES  W-D1: NWL independent overall customer satisfaction score</t>
  </si>
  <si>
    <t>NES  W-D2: Service incentive mechanism (SIM)</t>
  </si>
  <si>
    <t>NES  W-D3: Domestic customer satisfaction, net promoter score</t>
  </si>
  <si>
    <t>NES  W-E1: NWL independent survey on keeping customers informed</t>
  </si>
  <si>
    <t>NES  W-F1: Greenhouse gas emissions</t>
  </si>
  <si>
    <t>NES  W-F2: Annual environmental performance report</t>
  </si>
  <si>
    <t>NES  S-A1: Asset health measures - wastewater</t>
  </si>
  <si>
    <t>NES  S-B1: Properties flooded externally</t>
  </si>
  <si>
    <t>NES  S-B2: Properties flooded internally</t>
  </si>
  <si>
    <t>S-B3: Repeat sewer flooding (3-year average)</t>
  </si>
  <si>
    <t>NES  S-B3: Repeat sewer flooding (3-year average)</t>
  </si>
  <si>
    <t>S-B4: Sewer collapses (3-year average)</t>
  </si>
  <si>
    <t>NES  S-B4: Sewer collapses (3-year average)</t>
  </si>
  <si>
    <t>NES  S-B5: Transferred drains and sewers - internal sewer flooding</t>
  </si>
  <si>
    <t>NES  S-B6: Transferred drains and sewers - external sewer flooding</t>
  </si>
  <si>
    <t>NES  S-B7: Transferred drains and sewers - sewer collapses</t>
  </si>
  <si>
    <t>S-C1: Sewage treatment works discharge compliance (3-year average)</t>
  </si>
  <si>
    <t>NES  S-C1: Sewage treatment works discharge compliance (3-year average)</t>
  </si>
  <si>
    <t>S-C2: Pollution incidents - category 3 (3-year average)</t>
  </si>
  <si>
    <t>NES  S-C2: Pollution incidents - category 3 (3-year average)</t>
  </si>
  <si>
    <t>NES  S-C3: Bathing water compliance</t>
  </si>
  <si>
    <t>NES  S-C4: Whitburn combined sewer overflow (CSO) scheme</t>
  </si>
  <si>
    <t>NES  S-D1: NWL independent overall customer satisfaction score</t>
  </si>
  <si>
    <t>NES  S-D2: Service incentive mechanism (SIM)</t>
  </si>
  <si>
    <t>NES  S-D3: Domestic customer satisfaction, net promoter score</t>
  </si>
  <si>
    <t>NES  S-E1: NWL independent survey on keeping customers informed</t>
  </si>
  <si>
    <t>NES  S-F1: Greenhouse gas emissions</t>
  </si>
  <si>
    <t>NES  S-F2: Annual environmental performance report</t>
  </si>
  <si>
    <t>NES  R-B1: NWL independent overall customer satisfaction score</t>
  </si>
  <si>
    <t>NES  R-B2: Service incentive mechanism (SIM)</t>
  </si>
  <si>
    <t>NES  R-B3: Domestic customer satisfaction, net promoter score</t>
  </si>
  <si>
    <t>NES  R-C1: NWL independent value for money survey</t>
  </si>
  <si>
    <t>NES  R-C2: Satisfied with value for money of water services - Northumbrian region (CCWater research)</t>
  </si>
  <si>
    <t>NES  R-C3: Satisfied with value for money of sewerage services - Northumbrian region (CCWater research)</t>
  </si>
  <si>
    <t>NES  R-C4: Satisfied with value for money of water services - Essex &amp; Suffolk region (CCWater research)</t>
  </si>
  <si>
    <t>NES  R-D1: NWL independent survey on keeping customers informed</t>
  </si>
  <si>
    <t>NES  R-E1: Greenhouse gas emissions</t>
  </si>
  <si>
    <t>NES  R-E2: Annual environmental performance report</t>
  </si>
  <si>
    <t>NES  R-F1: Delivering a consolidated Customer Information and Billing (CIB) system</t>
  </si>
  <si>
    <t>PRT  A1: Bursts</t>
  </si>
  <si>
    <t>PRT  A2: Water quality standards</t>
  </si>
  <si>
    <t>PRT  A3: Water quality contacts</t>
  </si>
  <si>
    <t>PRT  A4: Temporary usage bans</t>
  </si>
  <si>
    <t>PRT  B1: Leakage</t>
  </si>
  <si>
    <t>4 min 9 secs</t>
  </si>
  <si>
    <t>PRT  C1: Interruptions to supply</t>
  </si>
  <si>
    <t>PRT  D1: Biodiversity</t>
  </si>
  <si>
    <t>PRT  D2: Water Framework Directive (WFD)</t>
  </si>
  <si>
    <t>PRT  D3: Carbon</t>
  </si>
  <si>
    <t>PRT  E1: RoSPA Health and Safety accreditation</t>
  </si>
  <si>
    <t>PRT  A1: Service incentive mechanism (SIM)</t>
  </si>
  <si>
    <t>PRT  B1: Reducing per capita consumption (PCC)</t>
  </si>
  <si>
    <t>PRT  C1: Survey of developers</t>
  </si>
  <si>
    <t>SBW  A1: Customer contacts: taste and appearance (water quality contacts)</t>
  </si>
  <si>
    <t>SBW  A2: WS (WQ) regulation compliance - mean zonal compliance (compliance with DWI regulations)</t>
  </si>
  <si>
    <t>SBW  B1: Reduce leakage (to less than or equal to 20.00 Ml/d by 2020)</t>
  </si>
  <si>
    <t>SBW  B2: Large scale interruptions (minimise risk of large scale interruption to 12,000 properties)</t>
  </si>
  <si>
    <t>SBW  B3: Decreasing average interruptions &gt;3 hours</t>
  </si>
  <si>
    <t>SBW  B4: Maintain serviceable assets</t>
  </si>
  <si>
    <t>SBW  B5: Metering - continue current strategy</t>
  </si>
  <si>
    <t>SBW  B6: Reduce per capita consumption (PCC) to 136 litres/head/day by March 2020</t>
  </si>
  <si>
    <t>SBW  C1: Repair visible leaks</t>
  </si>
  <si>
    <t>SBW  D1: Reduce energy used in water delivery</t>
  </si>
  <si>
    <t>Met</t>
  </si>
  <si>
    <t>SBW  D2: Help support a natural healthy water environment (in addition to NEP statutory obligation work)</t>
  </si>
  <si>
    <t>SBW  E1: Contribute to our community (increase educational visits to schools, and working days for volunteer and charity work)</t>
  </si>
  <si>
    <t>SBW  A1: Service incentive mechanism (SIM)</t>
  </si>
  <si>
    <t>SBW  A2: New customer relationship management (CRM) system</t>
  </si>
  <si>
    <t>SBW  B1: Fair customer bills (efficient debt management: % of average bill)</t>
  </si>
  <si>
    <t>SES  A1: Security of supply index (SoSI) dry year average</t>
  </si>
  <si>
    <t>SES  A2: Security of supply index (SoSI) critical period</t>
  </si>
  <si>
    <t>SES  A3: Supply interruptions &gt;3 hours</t>
  </si>
  <si>
    <t>SES  A4: Condition and reliability of the mains network - number of burst pipes a year</t>
  </si>
  <si>
    <t>SES  A5: Drinking Water Inspectorate’s (DWI) index of water quality</t>
  </si>
  <si>
    <t>SES  A6: Taste, odour and discolouration (number of contacts received)</t>
  </si>
  <si>
    <t>SES  A7: Water softening programme</t>
  </si>
  <si>
    <t>SES  C1: The number of times on average the Company has to impose restrictions on the use of water</t>
  </si>
  <si>
    <t>SES  C2: Percentage of properties that are connected to more than one treatment works (resilience measure)</t>
  </si>
  <si>
    <t>SES  E1: Level of leakage measured in megalitres per day (including customer supply pipe leakage)</t>
  </si>
  <si>
    <t>SES  E2: Per capita consumption (PCC), measured in litres per head per day (l/h/d)</t>
  </si>
  <si>
    <t>SES  E3: The number of children and adults engaged in environmental education activities</t>
  </si>
  <si>
    <t>SES  E4: Greenhouse gas emissions per million litres of water supplied</t>
  </si>
  <si>
    <t>SES  E5: Number of severe pollution incidents (category 3 or worse, as reported by the Environment Agency)</t>
  </si>
  <si>
    <t>SES  E6: Environmental investigations or catchment management schemes carried out as part of the NEP</t>
  </si>
  <si>
    <t>SES  B1: Number of customers that are in water poverty and receiving assistance</t>
  </si>
  <si>
    <t>SES  B2: Effectiveness of bad debt recovery (bad debt expressed as a percentage of turnover)</t>
  </si>
  <si>
    <t>SES  B3: Customer perception of value for money</t>
  </si>
  <si>
    <t>SES  D1: Customer satisfaction (level of satisfaction in response to the tracker survey (overall quality score))</t>
  </si>
  <si>
    <t>SES  D2: Service incentive mechanism (SIM)</t>
  </si>
  <si>
    <t>SES  D3: Total number of complaints</t>
  </si>
  <si>
    <t>SEW  A1: Customer satisfaction - appearance of water</t>
  </si>
  <si>
    <t>SEW  B1: Customer satisfaction - taste and odour of water</t>
  </si>
  <si>
    <t>SEW  C1: Customer satisfaction - level of leakage</t>
  </si>
  <si>
    <t>SEW  C2: Leakage (actual reported leakage per Ml/d per year)</t>
  </si>
  <si>
    <t>SEW  D1: Customer satisfaction - direct interaction experience</t>
  </si>
  <si>
    <t>SEW  D2: Service Incentive Mechanism (SIM)</t>
  </si>
  <si>
    <t>SEW  E1: Customer satisfaction - bills are value for money and affordable</t>
  </si>
  <si>
    <t>SEW  F1: Customer satisfaction - water supply is of sufficient pressure</t>
  </si>
  <si>
    <t>SEW  F2: Number of properties at risk of low pressure, as recorded on the DG2 register</t>
  </si>
  <si>
    <t>SEW  G1: Customer satisfaction - frequency and duration of supply interruptions</t>
  </si>
  <si>
    <t>SEW  G2: Average time lost per property (measured in minutes, per property served)</t>
  </si>
  <si>
    <t>SEW  H1: Customer satisfaction - frequency of water use restrictions</t>
  </si>
  <si>
    <t>SEW  H2: Meeting the water resource deficit</t>
  </si>
  <si>
    <t>SEW  I1: Mean zonal compliance (MZC)</t>
  </si>
  <si>
    <t>SEW  J1: Number of breaches of abstraction licences, discharge consents and environmental permits</t>
  </si>
  <si>
    <t>SEW  J2: Number of pollution incidents (category 1-2)</t>
  </si>
  <si>
    <t>SEW  K1: Number of breaches of health and safety regulations, as defined by the Health and Safety Executive</t>
  </si>
  <si>
    <t>SEW  L1: Number of breaches of National Security obligations (Security and Emergency Measures Direction)</t>
  </si>
  <si>
    <t>SEW  M1: Number of compliance breaches with statutory obligations and licence conditions, not already reported in performance on outcomes I through to K</t>
  </si>
  <si>
    <t>SEW  N1: Discolouration contacts</t>
  </si>
  <si>
    <t>SEW  N2: Above ground asset performance assessment</t>
  </si>
  <si>
    <t>SEW  N3: Number of company sites at risk of flooding</t>
  </si>
  <si>
    <t>SEW  N4: Water mains bursts</t>
  </si>
  <si>
    <t>SEW  O1: Kg of carbon emissions per customer per year</t>
  </si>
  <si>
    <t>SEW  O2: We will monitor our abstractions at low flows at environmentally sensitive sites (in line with AIM)</t>
  </si>
  <si>
    <t>SRN  1: Water asset health (mains bursts, TIM, WSW &amp; WSR coliform compliance, turbidity compliance)</t>
  </si>
  <si>
    <t>SRN  2: Water use restrictions</t>
  </si>
  <si>
    <t>SRN  3: Leakage (including customer supply-pipe leakage) - five-year average target</t>
  </si>
  <si>
    <t>SRN  4: Interruptions to supply</t>
  </si>
  <si>
    <t>SRN  5: Mean Zonal Compliance (MZC)</t>
  </si>
  <si>
    <t>SRN  5a: Drinking water quality - discolouration contacts</t>
  </si>
  <si>
    <t>SRN  6: Water pressure (number of properties on the DG2 low water pressure register)</t>
  </si>
  <si>
    <t>SRN  7: Distribution input</t>
  </si>
  <si>
    <t>SRN  8: Per capita consumption (PCC) - five-year average target</t>
  </si>
  <si>
    <t>SRN  1: Wastewater asset health (sewer collapses, WwTW PE compliance, external flooding - other causes)</t>
  </si>
  <si>
    <t>SRN  1a: Category 3 pollution incidents (including transferred assets and excluding private pumping stations)</t>
  </si>
  <si>
    <t>SRN  2: Internal flooding incidents</t>
  </si>
  <si>
    <t>SRN  3: External flooding incidents</t>
  </si>
  <si>
    <t>SRN  4: Sewer blockages</t>
  </si>
  <si>
    <t>SRN  5: Odour complaints (Portswood and Tonbridge treatment works)</t>
  </si>
  <si>
    <t>SRN  6: Wastewater treatment works numeric compliance</t>
  </si>
  <si>
    <t>SRN  7: Proportion of energy from renewable sources</t>
  </si>
  <si>
    <t>SRN  8: Bathing waters with ‘excellent’ water quality (part 1)</t>
  </si>
  <si>
    <t>SRN  9: Bathing waters with ‘excellent’ water quality (part 2)</t>
  </si>
  <si>
    <t>SRN  10: Bathing waters with ‘excellent’ water quality (part 3)</t>
  </si>
  <si>
    <t>SRN  11: Serious pollution incidents (category 1 and 2 pollution incidents, as reported by the EA on MD109)</t>
  </si>
  <si>
    <t>SRN  12: Avoiding blocked drains</t>
  </si>
  <si>
    <t>SRN  13: Thanet sewers</t>
  </si>
  <si>
    <t>SRN  14: Woolston STW</t>
  </si>
  <si>
    <t>SRN  15: Millbrook sludge</t>
  </si>
  <si>
    <t>SRN  1: First time resolution of customer contacts</t>
  </si>
  <si>
    <t>SRN  2: Dealing with customers’ individual needs</t>
  </si>
  <si>
    <t>SRN  3: Awareness of water hardness measures</t>
  </si>
  <si>
    <t>SRN  4: Where your money goes</t>
  </si>
  <si>
    <t>SRN  5: Billing queries</t>
  </si>
  <si>
    <t>SRN  6: Take up of assistance schemes (number of customers who are receiving support through one of our financial assistance schemes)</t>
  </si>
  <si>
    <t>SRN  7: Value-for-money</t>
  </si>
  <si>
    <t>SRN  8: Service Incentive Mechanism (SIM)</t>
  </si>
  <si>
    <t>SSC  1.1: Mean zonal compliance (MZC, combined company)</t>
  </si>
  <si>
    <t>SSC  1.2: Acceptability of water to customers (combined company)</t>
  </si>
  <si>
    <t>SSC  2.1: Interruptions to supply (combined company)</t>
  </si>
  <si>
    <t>SSC  2.2: Serviceability infrastructure (combined company)</t>
  </si>
  <si>
    <t>SSC  2.3: Serviceability non-infrastructure (combined company)</t>
  </si>
  <si>
    <t>SSC  4.1: Leakage (South Staffordshire operating region)</t>
  </si>
  <si>
    <t>SSC  4.2: Leakage (Cambridge operating region)</t>
  </si>
  <si>
    <t>SSC  4.3: Water efficiency (household per capita consumption (PCC) reported annually, combined company)</t>
  </si>
  <si>
    <t>SSC  4.4: Biodiversity (cumulative total hectares of land under management per year, combined company)</t>
  </si>
  <si>
    <t>SSC  4.5: Carbon emissions from power consumption (tonnes, combined company)</t>
  </si>
  <si>
    <t>SSC  5.1: Independent customer surveys of value for money and affordability (combined company)</t>
  </si>
  <si>
    <t>SSC  5.2: Support for customers in debt (combined company)</t>
  </si>
  <si>
    <t>SSC  3.1: Service incentive mechanism (SIM, combined company)</t>
  </si>
  <si>
    <t>SSC  3.2: Customer satisfaction surveys (combined company)</t>
  </si>
  <si>
    <t>SSC  3.3: Community engagement (combined company)</t>
  </si>
  <si>
    <t>SVT  W-A1: Number of complaints about drinking water quality</t>
  </si>
  <si>
    <t>SVT  W-A2: Compliance with drinking water quality standards</t>
  </si>
  <si>
    <t>SVT  W-A3: Asset stewardship - number of sites with coliform failures (WTWs)</t>
  </si>
  <si>
    <t>SVT  W-A4: Number of successful catchment management schemes</t>
  </si>
  <si>
    <t>SVT  W-B1: Resource efficiency (distribution input per customer) - amount of water taken out of the environment</t>
  </si>
  <si>
    <t>SVT  W-B2: Leakage levels</t>
  </si>
  <si>
    <t>SVT  W-B3: Speed of response in repairing leaks (% fixed within 24 hours)</t>
  </si>
  <si>
    <t>SVT  W-B4: Number of minutes customers go without supply each year (interruptions to supply &gt; 3 hours)</t>
  </si>
  <si>
    <t>SVT  W-B5: % of customers with resilient supplies (those that benefit from a second source of supply)</t>
  </si>
  <si>
    <t>&lt;6,905</t>
  </si>
  <si>
    <t>SVT  W-B6: Asset stewardship - mains bursts</t>
  </si>
  <si>
    <t>SVT  W-B7: Customers at risk of low pressure</t>
  </si>
  <si>
    <t>SVT  W-B8: Restrictions on water use</t>
  </si>
  <si>
    <t>On track</t>
  </si>
  <si>
    <t>SVT  W-B9: Timing delays on Birmingham resilience scheme</t>
  </si>
  <si>
    <t>SVT  W-B10: Non-delivery of the outcome of the Birmingham resilience scheme</t>
  </si>
  <si>
    <t>SVT  W-B11: Timing delays on community risk schemes</t>
  </si>
  <si>
    <t>SVT  W-B12: Non-delivery of the community risk schemes</t>
  </si>
  <si>
    <t>Milestone complete</t>
  </si>
  <si>
    <t xml:space="preserve">SVT  W-B13: Timing delays on Elan Valley Aqueduct (EVA) maintenance </t>
  </si>
  <si>
    <t>SVT  W-B14: Non-delivery of the Elan Valley Aqueduct (EVA) maintenance</t>
  </si>
  <si>
    <t>SVT  W-C1: Customers rating our services as good value for money (based on tracker survey)</t>
  </si>
  <si>
    <t>SVT  W-D1: Improvements in river water quality against WFD criteria</t>
  </si>
  <si>
    <t>SVT  W-D2: Asset stewardship - environmental compliance</t>
  </si>
  <si>
    <t>SVT  W-D3: Biodiversity</t>
  </si>
  <si>
    <t>SVT  W-D4: Sites with eel protection at intakes</t>
  </si>
  <si>
    <t>SVT  W-E1: Size of our carbon footprint</t>
  </si>
  <si>
    <t>SVT  W-F1: Improved understanding of our services through education</t>
  </si>
  <si>
    <t>SVT  S-A1: Number of internal sewer flooding incidents</t>
  </si>
  <si>
    <t>SVT  S-A2: Number of external sewer flooding incidents</t>
  </si>
  <si>
    <t>SVT  S-A3: Partnership working</t>
  </si>
  <si>
    <t>SVT  S-A4: Asset stewardship - blockages</t>
  </si>
  <si>
    <t>SVT  S-A5: Statutory obligations (Section 101A schemes)</t>
  </si>
  <si>
    <t>SVT  S-B1: Customers rating our services as good value for money (based on tracker survey)</t>
  </si>
  <si>
    <t>SVT  S-C1: Improvements in river water quality against WFD criteria</t>
  </si>
  <si>
    <t>SVT  S-C2: The number of category 3 pollution incidents</t>
  </si>
  <si>
    <t>SVT  S-C3: Asset stewardship - environmental compliance (basket of measures)</t>
  </si>
  <si>
    <t>SVT  S-C4: Biodiversity</t>
  </si>
  <si>
    <t>Out</t>
  </si>
  <si>
    <t>SVT  S-C5: Sustainable sewage treatment</t>
  </si>
  <si>
    <t>SVT  S-C6: Serious pollution incidents</t>
  </si>
  <si>
    <t>Cannot be calculated until APR19</t>
  </si>
  <si>
    <t>SVT  S-C7: Overall environmental performance (basket of environmental measures)</t>
  </si>
  <si>
    <t>SVT  S-C8: The number of category 4 pollution incidents</t>
  </si>
  <si>
    <t>SVT  S-D1: Size of our carbon footprint</t>
  </si>
  <si>
    <t>SVT  S-E1: Improved understanding of our services through education</t>
  </si>
  <si>
    <t>SVT  R-A1: Customer satisfaction with their service (based on a survey)</t>
  </si>
  <si>
    <t>SVT  R-A2: Customers' experience of dealing with us (based on Ofwat's SIM)</t>
  </si>
  <si>
    <t>SVT  R-B1: Customers helped by a review of their tariff &amp; water usage &amp;/or supported by SVT social fund</t>
  </si>
  <si>
    <t>SVT  R-B2: Percentage of customers who do not pay (household bad debt divided by total household revenue)</t>
  </si>
  <si>
    <t>SWT  W-A1: Compliance with water quality standard</t>
  </si>
  <si>
    <t>SWT  W-A2: Taste, smell and colour contacts</t>
  </si>
  <si>
    <t>SWT  W-A3: Asset reliability (pipes)</t>
  </si>
  <si>
    <t>SWT  W-A4: Asset reliability (process)</t>
  </si>
  <si>
    <t>SWT  W-A5: Duration of interruptions in supply (hours/property)</t>
  </si>
  <si>
    <t>SWT  W-B1: Water restrictions placed on customers (number)</t>
  </si>
  <si>
    <t>SWT  W-B2: Ability to move water around the network</t>
  </si>
  <si>
    <t>SWT  W-B3: Leakage levels (megalitres a day, Ml/d)</t>
  </si>
  <si>
    <t>SWT  W-B4: Time taken to fix significant leaks (days)</t>
  </si>
  <si>
    <t>SWT  W-B5: Security of supply index (SoSI)</t>
  </si>
  <si>
    <t>SWT  W-C1: Supplies interrupted due to flooded South West Water sites</t>
  </si>
  <si>
    <t>SWT  W-D1: Operational customer contacts resolved first time (%)</t>
  </si>
  <si>
    <t>SWT  W-E1: Sustainable abstractions (EA/WFD classification)</t>
  </si>
  <si>
    <t>Not serious</t>
  </si>
  <si>
    <t>SWT  W-E2: Sustainable abstractions (Environment Agency water stress status)</t>
  </si>
  <si>
    <t>SWT  W-E3a: Catchment management (number of acres)</t>
  </si>
  <si>
    <t>SWT  W-E3b: Catchment management (number of farms)</t>
  </si>
  <si>
    <t>SWT  W-E4: Pollution incidents (category 1 and 2)</t>
  </si>
  <si>
    <t>SWT  W-E5: Pollution incidents (category 3 and 4)</t>
  </si>
  <si>
    <t>SWT  W-E6: Operational carbon emissions (ktCO2e)</t>
  </si>
  <si>
    <t>SWT  W-E7: Energy from renewable sources (%)</t>
  </si>
  <si>
    <t>SWT  W-F1: Customers paying a metered bill</t>
  </si>
  <si>
    <t>SWT  S-A1: Internal sewer flooding incidents</t>
  </si>
  <si>
    <t>SWT  S-A2: External sewer flooding incidents</t>
  </si>
  <si>
    <t>SWT  S-A3: Odour contacts (wastewater treatment works)</t>
  </si>
  <si>
    <t>SWT  S-A4: Asset reliability (pipes)</t>
  </si>
  <si>
    <t>SWT  S-A5: Asset reliability (process)</t>
  </si>
  <si>
    <t>SWT  S-A6: Compliance with sludge standard (%)</t>
  </si>
  <si>
    <t>SWT  S-B1: Operational customer contacts resolved first time (%)</t>
  </si>
  <si>
    <t>SWT  S-C1: Wastewater treatment numeric compliance (%)</t>
  </si>
  <si>
    <t>SWT  S-C2: Wastewater population equivalent sanitary compliance (%)</t>
  </si>
  <si>
    <t>SWT  S-C3: Wastewater descriptive works permit compliance (%)</t>
  </si>
  <si>
    <t>SWT  S-C4: Pollution incidents (category 1 and 2)</t>
  </si>
  <si>
    <t>SWT  S-C5: Pollution incidents (category 3 and 4)</t>
  </si>
  <si>
    <t>SWT  S-C6: Operational carbon emissions (ktCO2e)</t>
  </si>
  <si>
    <t>SWT  S-C7: Energy from renewable sources (%)</t>
  </si>
  <si>
    <t>SWT  S-D1: Bathing water quality</t>
  </si>
  <si>
    <t>SWT  S-D2: Combined sewer overflow spills (number)</t>
  </si>
  <si>
    <t>SWT  S-D3: River water quality improved (km)</t>
  </si>
  <si>
    <t>SWT  R-A1: Customer overall satisfaction (%)</t>
  </si>
  <si>
    <t>SWT  R-A2: Service incentive mechanism (SIM)</t>
  </si>
  <si>
    <t>SWT  R-A3: Customer satisfaction with value for money</t>
  </si>
  <si>
    <t>SWT  R-B1: Customers assisted by water poverty initiatives</t>
  </si>
  <si>
    <t>TMS  WA1: Improve handling of written complaints by increasing 1st time resolution</t>
  </si>
  <si>
    <t>TMS  WA2: Number of written complaints per 10,000 connected properties</t>
  </si>
  <si>
    <t>TMS  WA3: Customer satisfaction surveys (internal CSAT monitor)</t>
  </si>
  <si>
    <t>TMS  WA4: Reduced water consumption from issuing water efficiency devices to customers</t>
  </si>
  <si>
    <t>TMS  WA5: Provide a free repair service for customers with a customer side leak outside of the property</t>
  </si>
  <si>
    <t>TMS  WB1: Asset health water infrastructure</t>
  </si>
  <si>
    <t>TMS  WB2: Asset health water non-infrastructure</t>
  </si>
  <si>
    <t>TMS  WB3: Compliance with drinking water quality standards (MZC) - Ofwat/ DWI KPI</t>
  </si>
  <si>
    <t>TMS  WB4: Properties experiencing chronic low pressure (DG2)</t>
  </si>
  <si>
    <t>TMS  WB5: Average hours lost supply per property served, due to interruptions &gt; 4 hours</t>
  </si>
  <si>
    <t>TMS  WB6: Security of Supply Index - Ofwat KPI</t>
  </si>
  <si>
    <t>TMS  WB7: Compliance with SEMD advice notes (with or without derogation)</t>
  </si>
  <si>
    <t>TMS  WB8: Ml/d of sites made resilient to future extreme rainfall events</t>
  </si>
  <si>
    <t>TMS  WC1: Greenhouse gas emissions from water operations</t>
  </si>
  <si>
    <t>TMS  WC2: Leakage</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</si>
  <si>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</si>
  <si>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</si>
  <si>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</si>
  <si>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</si>
  <si>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TMS  WC4: We will educate our existing and future customers</t>
  </si>
  <si>
    <t>TMS  WC5: Deliver 100% of agreed measures to meet new environmental regulations</t>
  </si>
  <si>
    <t>TMS  WD1: Energy imported less energy exported</t>
  </si>
  <si>
    <t>TMS  SA1: Improve handling of written complaints by increasing first time resolution</t>
  </si>
  <si>
    <t>TMS  SA2: Number of written complaints per 10,000 connected properties</t>
  </si>
  <si>
    <t>TMS  SA3: Customer satisfaction surveys (internal CSAT monitor)</t>
  </si>
  <si>
    <t>TMS  SB1: Asset health wastewater non-infrastructure</t>
  </si>
  <si>
    <t>TMS  SB2: Asset health wastewater infrastructure</t>
  </si>
  <si>
    <t>TMS  SB3: Properties protected from flooding due to rainfall (including Counters Creek project)</t>
  </si>
  <si>
    <t>TMS  SB4: Number of internal flooding incidents, excluding those due to overloaded sewers (SFOC)</t>
  </si>
  <si>
    <t>TMS  SB5: Contributing area disconnected from combined sewers by retrofitting sustainable drainage</t>
  </si>
  <si>
    <t>TMS  SB6: Compliance with SEMD advice notes (with or without derogation)</t>
  </si>
  <si>
    <t>TMS  SB7: Population equivalent of sites made resilient to future extreme rainfall events</t>
  </si>
  <si>
    <t>Scheme delivered 2015-16</t>
  </si>
  <si>
    <t>TMS  SB8: Lee Tunnel including Shaft G</t>
  </si>
  <si>
    <t>Performance commitment delivered</t>
  </si>
  <si>
    <t>TMS  SB9: Deephams Wastewater Treatment Works</t>
  </si>
  <si>
    <t>TMS  SC1: Greenhouse gas emissions from wastewater operations</t>
  </si>
  <si>
    <t>TMS  SC2: Total category 1-3 pollution incidents from sewage related premises</t>
  </si>
  <si>
    <t>TMS  SC3: Sewage treatment works discharge compliance</t>
  </si>
  <si>
    <t>TMS  SC4: Water bodies improved or protected from deterioration as a result of Thames Water's activities</t>
  </si>
  <si>
    <t>TMS  SC5: Satisfactory sludge disposal compliance</t>
  </si>
  <si>
    <t>TMS  SC6: We will educate our existing and future customers</t>
  </si>
  <si>
    <t>TMS  SC7: Modelled reduction in properties affected by odour</t>
  </si>
  <si>
    <t>TMS  SC8: Deliver 100% of agreed measures to meet new environmental regulations</t>
  </si>
  <si>
    <t>TMS  SC9: Reduce the amount of phosphorus entering rivers to help improve aquatic plant and wildlife</t>
  </si>
  <si>
    <t>TMS  SD1: Energy imported less energy exported</t>
  </si>
  <si>
    <t>Delivered 2015-16</t>
  </si>
  <si>
    <t>TMS  T1A: Successful procurement of the Infrastructure Provider (IP)</t>
  </si>
  <si>
    <t>Additional 13 sites access granted in year.  In line with Tideway requirements</t>
  </si>
  <si>
    <t>TMS  T1B: Thames Water will fulfil its land related commitments in line with the TTT programme requirements</t>
  </si>
  <si>
    <t>TMS  T1C: Completion of category 2 and 3 construction works and timely availability of sites to the IP</t>
  </si>
  <si>
    <t>Engagement effective rating 4.9 / 6.0</t>
  </si>
  <si>
    <t>TMS  T2: Thames Water will engage effectively with the IP, and other stakeholders, both in terms of integration and assurance</t>
  </si>
  <si>
    <t>Household customers: % aware of TTT = 36; % understand project = 31.
Non-household customers: % aware of TTT = 36; % understand project = 27.</t>
  </si>
  <si>
    <t>TMS  T3: Thames Water will engage with its customers to build understanding of the TTT project. Thames Water will liaise with the IP on its surveys of local communities impacted by construction</t>
  </si>
  <si>
    <t>TMS  RA1: Minimise the number of written complaints received from customers (relating to charging and billing)</t>
  </si>
  <si>
    <t>TMS  RA2: Improve handling of written complaints by increasing first time resolution - charging and billing</t>
  </si>
  <si>
    <t>TMS  RA3: Improve customer satisfaction of retail customers - charging and billing service</t>
  </si>
  <si>
    <t>TMS  RA4: Improve customer satisfaction of retail customers - operations contact centre</t>
  </si>
  <si>
    <t>TMS  RA5: Increase the number of bills based on actual meter reads (in cycle)</t>
  </si>
  <si>
    <t>TMS  RA6: Service incentive mechanism (SIM)</t>
  </si>
  <si>
    <t>Limited Online</t>
  </si>
  <si>
    <t>TMS  RB1: Implement new online account management for customers supported by web-chat</t>
  </si>
  <si>
    <t>TMS  RC1: Increase the number of customers on payment plans (excluding Thames Tideway Tunnel)</t>
  </si>
  <si>
    <t>TMS  RC2: Increase cash collection rates (excluding Thames Tideway Tunnel)</t>
  </si>
  <si>
    <t>UU  A1: Drinking Water Safety Plan risk score</t>
  </si>
  <si>
    <t>UU  A2: Water quality events DWI category 3 or above</t>
  </si>
  <si>
    <t>UU  A3: Water Quality Service Index</t>
  </si>
  <si>
    <t>13:33</t>
  </si>
  <si>
    <t>UU  B1: Average minutes supply lost per property (a year)</t>
  </si>
  <si>
    <t>UU  B2: Reliable water service index</t>
  </si>
  <si>
    <t>UU  B3: Security of supply index (SoSI)</t>
  </si>
  <si>
    <t>UU  B4: Total leakage at or below target</t>
  </si>
  <si>
    <t>UU  B5: Resilience of impounding reservoirs</t>
  </si>
  <si>
    <t>UU  B6: Thirlmere transfer into West Cumbria</t>
  </si>
  <si>
    <t>UU  C1: Contribution to rivers improved - water programme (NEP schemes and abstraction changes at 4 AIM sites)</t>
  </si>
  <si>
    <t>UU  D1: Delivering our commitments to developers, local authorities and highway authorities</t>
  </si>
  <si>
    <t>UU  E1: Number of free water meters installed</t>
  </si>
  <si>
    <t>UU  S-A1: Private sewers service index</t>
  </si>
  <si>
    <t>UU  S-A2: Wastewater network performance index</t>
  </si>
  <si>
    <t>UU  S-B1: Future flood risk</t>
  </si>
  <si>
    <t>UU  S-B2: Sewer flooding index</t>
  </si>
  <si>
    <t>UU  S-C1: Contribution to bathing waters improved (includes NEP phase 3&amp;4 bathing water intermittent discharge projects)</t>
  </si>
  <si>
    <t>UU  S-D1: Protecting rivers from deterioration due to population growth (includes Davyhulme non-delivery penalty)</t>
  </si>
  <si>
    <t>UU  S-D2: Maintaining our wastewater treatment works (includes Oldham and Royton WwTWs special cost factor claims)</t>
  </si>
  <si>
    <t>UU  S-D3: Contribution to rivers improved - wastewater programme (includes Oldham, Royton and Windermere)</t>
  </si>
  <si>
    <t>UU  S-D4a: Wastewater serious (category 1 and 2) pollution incidents</t>
  </si>
  <si>
    <t>UU  S-D4b: Wastewater category 3 pollution incidents</t>
  </si>
  <si>
    <t>UU  S-D5: Satisfactory sludge disposal</t>
  </si>
  <si>
    <t>UU  A-1: Service incentive mechanism (SIM)</t>
  </si>
  <si>
    <t>UU  R-A2: Customer experience programme</t>
  </si>
  <si>
    <t>UU  B1: Customers saying that we offer value for money</t>
  </si>
  <si>
    <t>UU  B2: Per household consumption</t>
  </si>
  <si>
    <t>WSH  A1: Safety of drinking water</t>
  </si>
  <si>
    <t>WSH  A2: Customer acceptability (drinking water) - contacts per 1,000 population</t>
  </si>
  <si>
    <t>WSH  A3: Reliability of supply - minutes lost per property per year</t>
  </si>
  <si>
    <t>WSH  B1: Abstraction for water for use - % compliance with abstraction licences, as regulated by NRW</t>
  </si>
  <si>
    <t>WSH  C2: Carbon footprint - gigawatt-hours (GWh) of renewable energy generated</t>
  </si>
  <si>
    <t>WSH  D1: Service incentive mechanism (SIM)</t>
  </si>
  <si>
    <t>WSH  D2: ‘At risk’ customer services - number of customers who have experienced poor service</t>
  </si>
  <si>
    <t>WSH  D5: Earning the trust of customers - % of customers surveyed that say they trust the company</t>
  </si>
  <si>
    <t>WSH  E1: Affordable bills - annual increase</t>
  </si>
  <si>
    <t>WSH  F1: Asset serviceability</t>
  </si>
  <si>
    <t>WSH  F2: Leakage</t>
  </si>
  <si>
    <t>WSH  F3: Asset resilience - % of critical assets that are resilient against a set of criteria</t>
  </si>
  <si>
    <t>WSH  B2: Treating used water - % compliance of WwTW</t>
  </si>
  <si>
    <t>WSH  B3: Preventing pollution - number of category 3 pollution incidents</t>
  </si>
  <si>
    <t>Surface water removed expressed in no. props equivalent (cumulative)</t>
  </si>
  <si>
    <t>WSH  C1: Adapting to climate change - the volume of surface water removed from the system, expressed in number of properties equivalent</t>
  </si>
  <si>
    <t>WSH  D3: Internal sewer flooding - properties flooded in the year</t>
  </si>
  <si>
    <t>WSH  D5: Earning the trust of customers  - % of customers surveyed that say they trust the company</t>
  </si>
  <si>
    <t>WSH  D4: Business customer satisfaction</t>
  </si>
  <si>
    <t>WSH  E2: Help for disadvantaged customers (customers benefiting from social tariffs)</t>
  </si>
  <si>
    <t>WSX  B4: Compliance with abstraction licences</t>
  </si>
  <si>
    <t>WSX  B5: Abstractions at Mere exported (follows principles of the AIM methodology)</t>
  </si>
  <si>
    <t>WSX  B6: BAP landholding assessed and managed for biodiversity</t>
  </si>
  <si>
    <t>WSX  B7: Length of rivers with improved flows</t>
  </si>
  <si>
    <t>WSX  D2: Restrictions on water use (hosepipe bans)</t>
  </si>
  <si>
    <t>WSX  D3: Water supply interruptions (&gt; 3 hours including planned, unplanned and third party interruptions)</t>
  </si>
  <si>
    <t>WSX  D4: Properties supplied by a single source (including the integrated supply grid)</t>
  </si>
  <si>
    <t>WSX  D5: Water main bursts</t>
  </si>
  <si>
    <t>WSX  F1: Volume of water leaked</t>
  </si>
  <si>
    <t>WSX  F2: Customer reported leaks fixed within a day</t>
  </si>
  <si>
    <t>WSX  G1: Customer contacts about drinking water quality</t>
  </si>
  <si>
    <t>WSX  G2: Compliance with drinking water standards (MZC)</t>
  </si>
  <si>
    <t>WSX  A1: Agreed schemes delivered (named outputs with bathing water drivers in the NEP)</t>
  </si>
  <si>
    <t>WSX  A2: Beaches passing EU standards</t>
  </si>
  <si>
    <t>B1: The EA’s Environmental Performance Assessment (ODI based on pollution incidents)</t>
  </si>
  <si>
    <t>WSX  B1: The EA’s Environmental Performance Assessment (ODI based on pollution incidents)</t>
  </si>
  <si>
    <t>WSX  B2: Monitoring CSOs</t>
  </si>
  <si>
    <t>WSX  B3: River water quality improved</t>
  </si>
  <si>
    <t>WSX  C1: Internal flooding incidents</t>
  </si>
  <si>
    <t>WSX  C2: Risk of flooding from public sewers due to hydraulic inadequacy</t>
  </si>
  <si>
    <t>WSX  C3a: North Bristol Sewer Scheme - Frome catchment</t>
  </si>
  <si>
    <t>WSX  C3b: North Bristol Sewer Scheme - Trym catchment</t>
  </si>
  <si>
    <t>WSX  D1: Collapses and bursts on sewer network</t>
  </si>
  <si>
    <t>WSX  E1: Greenhouse gas emissions (annual greenhouse gas emissions from operational services)</t>
  </si>
  <si>
    <t>% of energy (electricity and gas) self-generated</t>
  </si>
  <si>
    <t>WSX  E2: Proportion of energy self-generated</t>
  </si>
  <si>
    <t>WSX  A1: SIM service score</t>
  </si>
  <si>
    <t>WSX  A2: Percentage rating service good/very good</t>
  </si>
  <si>
    <t>WSX  A3: Percentage rating good value for money</t>
  </si>
  <si>
    <t>WSX  A4: Percentage rating ease of resolution</t>
  </si>
  <si>
    <t>WSX  A5: Accessible communications</t>
  </si>
  <si>
    <t>WSX  B1a: Volume of water used per person</t>
  </si>
  <si>
    <t>WSX  B1b: Volume of water saved by water efficiency promotion</t>
  </si>
  <si>
    <t>WSX  B2: Bill as a proportion of disposable income</t>
  </si>
  <si>
    <t>YKY  WA1: Drinking water quality</t>
  </si>
  <si>
    <t>YKY  WA2: Significant drinking water events which require corrective action</t>
  </si>
  <si>
    <t>YKY  WA3: Drinking water contacts</t>
  </si>
  <si>
    <t>YKY  WA4: Water quality stability and reliability factor</t>
  </si>
  <si>
    <t>YKY  WB1: Leakage</t>
  </si>
  <si>
    <t>YKY  WB2: Water supply interruptions</t>
  </si>
  <si>
    <t>YKY  WB3: Water use</t>
  </si>
  <si>
    <t>YKY  WB4: Water network stability and reliability factor</t>
  </si>
  <si>
    <t>YKY  WC1: Length of river improved (note: PC is part of a total commitment at Appointee level - see also SB4)</t>
  </si>
  <si>
    <t>YKY  WC2: Solutions delivered by working with others (note: PC is part of a total commitment at Appointee level - see also SB3)</t>
  </si>
  <si>
    <t>WC3: Amount of land conserved and enhanced (total cumulative area) (note: PC is part of a total commitment at Appointee level - see also SB5)</t>
  </si>
  <si>
    <t>YKY  WC3: Amount of land conserved and enhanced (total cumulative area) (note: PC is part of a total commitment at Appointee level - see also SB5)</t>
  </si>
  <si>
    <t>Assessment of customer satisfaction (qualitative survey)</t>
  </si>
  <si>
    <t>YKY  WC4: Recreational visitor satisfaction</t>
  </si>
  <si>
    <t>YKY  WD1: Proportion of energy use generated by renewable technology (note: PC is part of a total commitment at Appointee level - see also SC1 and RC1)</t>
  </si>
  <si>
    <t>WD2: Proportion of waste diverted from landfill (re-used and recycled) (note: PC is part of a total commitment at Appointee level - see also SC2 and RC2)</t>
  </si>
  <si>
    <t>YKY  WD2: Proportion of waste diverted from landfill (re-used and recycled) (note: PC is part of a total commitment at Appointee level - see also SC2 and RC2)</t>
  </si>
  <si>
    <t>YKY  SA1: Internal sewer flooding incidents</t>
  </si>
  <si>
    <t>YKY  SA2: External sewer flooding incidents</t>
  </si>
  <si>
    <t>YKY  SA3a: Pollution incidents - category 1 and 2</t>
  </si>
  <si>
    <t>YKY  SA3b: Pollution incidents - category 3</t>
  </si>
  <si>
    <t>YKY  SA4: Sewer network stability and reliability factor</t>
  </si>
  <si>
    <t>YKY  SB1: Number of Yorkshire's designated bathing waters that exceed the required quality standard</t>
  </si>
  <si>
    <t>YKY  SB2: Wastewater quality stability and reliability factor</t>
  </si>
  <si>
    <t>YKY  SB3: Solutions delivered by working with others (note: PC is part of a total commitment at Appointee level - see also WC2)</t>
  </si>
  <si>
    <t>YKY  SB4: Length of river improved (against WFD component measures) (note: PC is part of a total commitment at Appointee level - see also WC1)</t>
  </si>
  <si>
    <t>YKY  SB5: Amount of land conserved and enhanced (total cumulative area) (note: PC is part of a total commitment at Appointee level - see also WC3)</t>
  </si>
  <si>
    <t>YKY  SC1: Proportion of energy use generated by renewable technology (note: PC is part of a total commitment at Appointee level - see also WD1 and RC1)</t>
  </si>
  <si>
    <t>YKY  SC2: Proportion of waste diverted from landfill (re-used and recycled) (note: PC is part of a total commitment at Appointee level - see also WD2 and RC2)</t>
  </si>
  <si>
    <t>YKY  RA1: Service incentive mechanism (SIM)</t>
  </si>
  <si>
    <t>YKY  RA2: Service commitment failures</t>
  </si>
  <si>
    <t>94% (water), 89% (wastewater)</t>
  </si>
  <si>
    <t>95% (water), 92% (wastewater)</t>
  </si>
  <si>
    <t>93% (water), 91% (wastewater)</t>
  </si>
  <si>
    <t>YKY  RA3: Overall customer satisfaction (CCWater annual tracking survey)</t>
  </si>
  <si>
    <t>YKY  RB1: Cost of bad debt to customers (expressed as proportion of bill)</t>
  </si>
  <si>
    <t>PC assessed at year 5: average of 2015-20 performance to be less than average of 2010-15 performance.
Data published annually on the number of people who have been helped.</t>
  </si>
  <si>
    <t>YKY  RB2: Number of people who we help to pay their bill</t>
  </si>
  <si>
    <t>76% (water), 77% (wastewater)</t>
  </si>
  <si>
    <t>82% (water), 83% (wastewater)</t>
  </si>
  <si>
    <t>79% (water), 82% (wastewater)</t>
  </si>
  <si>
    <t>YKY  RB3: Value for money (CCWater annual tracking survey)</t>
  </si>
  <si>
    <t>YKY  RC1: Proportion of energy use generated by renewable technology (note: PC is part of a total commitment at Appointee level - see also WD1 and SC1)</t>
  </si>
  <si>
    <t>YKY  RC2: Proportion of waste diverted from landfill (re-used and recycled) (note: PC is part of a total commitment at Appointee level - see also WD2 and SC2)</t>
  </si>
  <si>
    <t>&lt;----------   AMP6 performance commitment levels   -----------&gt;
(for the main PC)</t>
  </si>
  <si>
    <t>2014-15 &amp; 2015-16 actual performance levels
(PCs and sub-measures)</t>
  </si>
  <si>
    <t>2016-17 actual performance levels
(PCs and sub-measures)</t>
  </si>
  <si>
    <t>2016-17
performance level
- actual</t>
  </si>
  <si>
    <t>2016-17
performance level met?</t>
  </si>
  <si>
    <t>ANH Unplanned interruptions &gt;12 hours</t>
  </si>
  <si>
    <t>+10.0%</t>
  </si>
  <si>
    <t>ANH Reactive mains bursts</t>
  </si>
  <si>
    <t>ANH Customer contacts - discolouration</t>
  </si>
  <si>
    <t>ANH Distribution maintenance index</t>
  </si>
  <si>
    <t>ANH WTW with coliforms detected</t>
  </si>
  <si>
    <t>ANH Percentage (%) service reservoirs with &gt;5% coliforms</t>
  </si>
  <si>
    <t>ANH WTW turbidity</t>
  </si>
  <si>
    <t>ANH Pollution incidents</t>
  </si>
  <si>
    <t>ANH Sewer collapses</t>
  </si>
  <si>
    <t>ANH Internal flooding (overloaded + other causes)</t>
  </si>
  <si>
    <t>ANH Sewer blockages</t>
  </si>
  <si>
    <t>ANH Population equivalent (PE) WwTW in breach of consent</t>
  </si>
  <si>
    <t>ANH WwTW failing numeric consent</t>
  </si>
  <si>
    <t>BRL Total bursts (number)</t>
  </si>
  <si>
    <t>BRL DG2: low pressure (number of properties)</t>
  </si>
  <si>
    <t>BRL Turbidity performance at treatment works (number)</t>
  </si>
  <si>
    <t>BRL Unplanned maintenance events (number)</t>
  </si>
  <si>
    <t>SBW Total bursts</t>
  </si>
  <si>
    <t>SBW Interruptions &gt; 12 hours</t>
  </si>
  <si>
    <t>SBW Iron non-compliance (as 100-Mean Zonal Compliance)</t>
  </si>
  <si>
    <t>SBW DG2 pressure</t>
  </si>
  <si>
    <t>SBW Customer contacts - discolouration (number / 1,000 population)</t>
  </si>
  <si>
    <t>SBW Water treatment works coliforms non-compliance (%)</t>
  </si>
  <si>
    <t>SBW Service reservoir coliforms non-compliance (%)</t>
  </si>
  <si>
    <t>SBW Turbidity (number)</t>
  </si>
  <si>
    <t>SBW Enforcement (incident number)</t>
  </si>
  <si>
    <t>SBW Unplanned maintenance (number)</t>
  </si>
  <si>
    <t>SEW WTW coliforms non-compliance</t>
  </si>
  <si>
    <t>SEW Service reservoir coliforms non-compliance</t>
  </si>
  <si>
    <t>SEW Turbidity non-compliance</t>
  </si>
  <si>
    <t>SEW Enforcement incidents</t>
  </si>
  <si>
    <t>SRN 1: Water asset health</t>
  </si>
  <si>
    <t>SRN Number of mains bursts per year</t>
  </si>
  <si>
    <t>SRN TIM distribution index</t>
  </si>
  <si>
    <t>SRN Coliform compliance at WSW</t>
  </si>
  <si>
    <t>SRN Coliform compliance at WSR</t>
  </si>
  <si>
    <t>SRN Turbidity compliance</t>
  </si>
  <si>
    <t>SRN 1: Wastewater asset health</t>
  </si>
  <si>
    <t>SRN Sewer collapses</t>
  </si>
  <si>
    <t>SRN WwTW population equivalent compliance</t>
  </si>
  <si>
    <t>SRN External flooding - other causes</t>
  </si>
  <si>
    <t>SSC Mains bursts</t>
  </si>
  <si>
    <t>SSC Supply interruptions &gt; 12 hours</t>
  </si>
  <si>
    <t>SSC Properties with persistent low pressure</t>
  </si>
  <si>
    <t>SSC Discolouration contacts per 1,000 customers</t>
  </si>
  <si>
    <t>SSC TIM index non-compliance</t>
  </si>
  <si>
    <t>SSC WTW coliform non-compliance</t>
  </si>
  <si>
    <t>SSC Service reservoir coliform non-compliance</t>
  </si>
  <si>
    <t>SSC WTW turbidity non-compliance</t>
  </si>
  <si>
    <t>SSC DWI enforcement actions</t>
  </si>
  <si>
    <t>SSC Unplanned maintenance work orders</t>
  </si>
  <si>
    <t>SVT % of sewage treatment works passing their numeric consents</t>
  </si>
  <si>
    <t>SVT % of actions raised from EA regulatory site audits (actions raised as a % of total site visits)</t>
  </si>
  <si>
    <t>SVT % of sites that do not exceed their 90%ile flow on sewage treatment works or maximum daily flow on water treatment works</t>
  </si>
  <si>
    <t>SVT % of sites compliant with their abstraction permits</t>
  </si>
  <si>
    <t>SVT Improvements in river water quality against WFD criteria</t>
  </si>
  <si>
    <t>SVT Asset stewardship - environmental compliance</t>
  </si>
  <si>
    <t>SVT Total number of category 1, 2, and 3 pollution incidents</t>
  </si>
  <si>
    <t>SVT Biodiversity improvements</t>
  </si>
  <si>
    <t>SWT W-A3 Asset reliability (pipes)</t>
  </si>
  <si>
    <t>SWT Total bursts</t>
  </si>
  <si>
    <t>SWT Interruptions &gt; 12 hours</t>
  </si>
  <si>
    <t>SWT Iron non-compliance (as 100-Mean Zonal Compliance)</t>
  </si>
  <si>
    <t>SWT DG2 pressure</t>
  </si>
  <si>
    <t>SWT Customer contacts - discolouration</t>
  </si>
  <si>
    <t>SWT Distribution Index TIM (as 100-Mean Zonal Compliance)</t>
  </si>
  <si>
    <t>SWT W-A4 Asset reliability (process)</t>
  </si>
  <si>
    <t>SWT WTW coliforms non-compliance</t>
  </si>
  <si>
    <t>SWT Service reservoir coliforms non-compliance</t>
  </si>
  <si>
    <t>SWT Turbidity non-compliance</t>
  </si>
  <si>
    <t>SWT Enforcement incidents</t>
  </si>
  <si>
    <t>SWT Unplanned maintenance</t>
  </si>
  <si>
    <t>SWT S-A4 Asset reliability (pipes)</t>
  </si>
  <si>
    <t>SWT Sewer collapses</t>
  </si>
  <si>
    <t>SWT Pollution incidents (CSO + RM + FS)</t>
  </si>
  <si>
    <t>SWT Properties flooded due to other causes</t>
  </si>
  <si>
    <t>SWT Properties flooded due to overloaded sewers excluding severe weather</t>
  </si>
  <si>
    <t>SWT Sewer blockages</t>
  </si>
  <si>
    <t>SWT Equipment failures</t>
  </si>
  <si>
    <t>SWT S-A5 Asset reliability (process)</t>
  </si>
  <si>
    <t>SWT Sewage treatment works (STW) non-compliance</t>
  </si>
  <si>
    <t>SWT Population equivalent (PE) non-compliance</t>
  </si>
  <si>
    <t>TMS Total bursts</t>
  </si>
  <si>
    <t>TMS Unplanned interruptions to customer &gt;12 hours (DG3)</t>
  </si>
  <si>
    <t>TMS Iron mean zonal non-compliance</t>
  </si>
  <si>
    <t>TMS Inadequate pressure (DG2)</t>
  </si>
  <si>
    <t>TMS Planned network rehabilitation (kilometres)</t>
  </si>
  <si>
    <t>TMS Customer complaints discolouration white water (nr per 1,000 population)</t>
  </si>
  <si>
    <t>TMS Disinfection index (DWI)</t>
  </si>
  <si>
    <t>TMS Reservoir integrity index</t>
  </si>
  <si>
    <t>TMS DWQ compliance measures - turbidity (number of sites)</t>
  </si>
  <si>
    <t>TMS Process control index</t>
  </si>
  <si>
    <t>TMS DWQ compliance measures - enforcement actions</t>
  </si>
  <si>
    <t>TMS Water quality complaints for chlorine (nr per 1,000 population)</t>
  </si>
  <si>
    <t>TMS Water quality complaints for hardness (nr per 1,000 population)</t>
  </si>
  <si>
    <t>TMS Unconsented pollution incidents (cat 1, 2 and 3) STWs, storm tanks, pumping stations and other</t>
  </si>
  <si>
    <t>TMS Sewage treatment works discharges failing numeric consents %</t>
  </si>
  <si>
    <t>TMS Total population equivalent served by sewage treatment works failing look-up table consents</t>
  </si>
  <si>
    <t>TMS Number of sewer collapses</t>
  </si>
  <si>
    <t>TMS Number of sewer blockages</t>
  </si>
  <si>
    <t>TMS Pollution incidents (cat 1-3)</t>
  </si>
  <si>
    <t>TMS Properties internally flooded</t>
  </si>
  <si>
    <t>UU WTW coliform non-compliance (%)</t>
  </si>
  <si>
    <t>UU SR integrity index</t>
  </si>
  <si>
    <t>UU No. of WTW turbidity fails</t>
  </si>
  <si>
    <t>UU Mean Zonal Compliance (MZC)</t>
  </si>
  <si>
    <t>UU Distribution Maintenance Index (%)</t>
  </si>
  <si>
    <t>Unwanted customer contacts for water quality (nr per year)</t>
  </si>
  <si>
    <t>UU Unwanted customer contacts for water quality (nr per year)</t>
  </si>
  <si>
    <t>UU Total bursts (nr/annum)</t>
  </si>
  <si>
    <t>UU Interruptions &gt;12hours (nr of properties/total nr of properties)</t>
  </si>
  <si>
    <t>UU Pressure (nr of properties on DG2 register/ total number of properties)</t>
  </si>
  <si>
    <t>UU Customer contacts for water availability (contacts/annum)</t>
  </si>
  <si>
    <t>UU Blockages</t>
  </si>
  <si>
    <t>UU Collapses</t>
  </si>
  <si>
    <t>UU Pollution incidents</t>
  </si>
  <si>
    <t>UU Properties flooded internally</t>
  </si>
  <si>
    <t>Areas flooded externally</t>
  </si>
  <si>
    <t>UU Areas flooded externally</t>
  </si>
  <si>
    <t>UU Rising main bursts</t>
  </si>
  <si>
    <t>UU Equipment failures</t>
  </si>
  <si>
    <t>UU Properties flooded due to other causes</t>
  </si>
  <si>
    <t>UU Properties flooded due to hydraulic overload</t>
  </si>
  <si>
    <t>UU Areas flooded due to other causes</t>
  </si>
  <si>
    <t>UU Areas flooded due to hydraulic overload</t>
  </si>
  <si>
    <t>UU Incidents of repeat flooding</t>
  </si>
  <si>
    <t>UU S-D2: Maintaining our wastewater treatment works</t>
  </si>
  <si>
    <t>UU WwTWs failing EA permit - small (size band 1-4)</t>
  </si>
  <si>
    <t>UU WwTWs failing EA permit - medium (size band 5)</t>
  </si>
  <si>
    <t>UU WwTWs failing EA permit - large (size band 6a)</t>
  </si>
  <si>
    <t>UU WwTWs failing EA permit - large (size band 6b)</t>
  </si>
  <si>
    <t>UU WwTWs at high risk of failing EA permit - small (size band 1-4)</t>
  </si>
  <si>
    <t>UU WwTWs at high risk of failing EA permit - medium (size band 5)</t>
  </si>
  <si>
    <t>UU WwTWs at high risk of failing EA permit - large (size band 6)</t>
  </si>
  <si>
    <t>UU WwTWs at medium risk of failing EA permit - small (size band 1-4)</t>
  </si>
  <si>
    <t>UU WwTWs at medium risk of failing EA permit - medium (size band 5)</t>
  </si>
  <si>
    <t>UU WwTWs at medium risk of failing EA permit - large (size band 6)</t>
  </si>
  <si>
    <t>WSH Total bursts (nr)</t>
  </si>
  <si>
    <t>WSH Interruptions &gt;12h (nr)</t>
  </si>
  <si>
    <t>WSH Iron non-compliance (as 100-Mean Zonal Compliance) (%)</t>
  </si>
  <si>
    <t>WSH DG2 pressure (nr)</t>
  </si>
  <si>
    <t>WSH Customer contacts - discolouration  (nr / 1000 population)</t>
  </si>
  <si>
    <t>WSH Distribution Index TIM (as 100-Mean Zonal Compliance) (%)</t>
  </si>
  <si>
    <t>WSH Water Treatment Works Coliforms non-compliance (%)</t>
  </si>
  <si>
    <t>WSH Service Reservoir Coliforms non-compliance (%)</t>
  </si>
  <si>
    <t>WSH Turbidity (nr)</t>
  </si>
  <si>
    <t>WSH Enforcement (incidents number)</t>
  </si>
  <si>
    <t>WSH Unplanned maintenance (nr)</t>
  </si>
  <si>
    <t>WSH Sewer collapses (nr)</t>
  </si>
  <si>
    <t>WSH Pollution incidents category 1, 2 &amp; 3 (CSO+RM+FS) (nr)</t>
  </si>
  <si>
    <t>WSH Properties flooded due to other causes (nr)</t>
  </si>
  <si>
    <t>WSH Properties flooded due to overloaded sewers excluding severe weather (nr)</t>
  </si>
  <si>
    <t>WSH Sewer blockages (nr)</t>
  </si>
  <si>
    <t>WSH Equipment failures (nr)</t>
  </si>
  <si>
    <t>WSH Sewage Treatment Works (STW) % non-compliance</t>
  </si>
  <si>
    <t>WSH Population equivalent (PE) % non-compliance</t>
  </si>
  <si>
    <t>YKY WTW coliform non-compliance</t>
  </si>
  <si>
    <t>YKY SR coliform non-compliance</t>
  </si>
  <si>
    <t>YKY Turbidity</t>
  </si>
  <si>
    <t>YKY Enforcements</t>
  </si>
  <si>
    <t>YKY Reactive equipment failures</t>
  </si>
  <si>
    <t>YKY Total bursts</t>
  </si>
  <si>
    <t>YKY Interruptions &gt;12 hours</t>
  </si>
  <si>
    <t>YKY DG2 low pressure</t>
  </si>
  <si>
    <t>YKY Customer contacts for discolouration (nr per 1,000 population)</t>
  </si>
  <si>
    <t>YKY Distribution index TIM (100 - mean zonal compliance)</t>
  </si>
  <si>
    <t>YKY Sewer collapses</t>
  </si>
  <si>
    <t>YKY Pollution incidents (CSO, RM, FS and SPS)</t>
  </si>
  <si>
    <t>YKY Properties flooded due to other causes</t>
  </si>
  <si>
    <t>YKY Properties flooded due to overloaded sewers, excluding severe weather</t>
  </si>
  <si>
    <t>YKY Sewer blockages</t>
  </si>
  <si>
    <t>YKY Sewage treatment works non-compliance</t>
  </si>
  <si>
    <t>YKY Population equivalent non-compliance</t>
  </si>
  <si>
    <t>Outperformance payments should be entered as positive numbers</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</si>
  <si>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</si>
  <si>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EM</t>
  </si>
  <si>
    <t>Summary of market activity</t>
  </si>
  <si>
    <t>Total number of contracts held with a third party at end of the financial year</t>
  </si>
  <si>
    <t>Total amount paid on contracts during the financial year</t>
  </si>
  <si>
    <t>Number of different suppliers at the year end</t>
  </si>
  <si>
    <t>Number of contracts ended during the year</t>
  </si>
  <si>
    <t>Number of contracts renewed during the year</t>
  </si>
  <si>
    <t>Number of new contracts that have been agreed during the year</t>
  </si>
  <si>
    <t>Formal tender process</t>
  </si>
  <si>
    <t xml:space="preserve">Number of formal tenders you issued during the year </t>
  </si>
  <si>
    <t>Total number of bids received on all your tenders</t>
  </si>
  <si>
    <t>Number of tenders you awarded during the year</t>
  </si>
  <si>
    <t>Informal bidding process</t>
  </si>
  <si>
    <t>Number of offers made by a third party outside the formal tender process during the financial year</t>
  </si>
  <si>
    <t>The number of successful offers</t>
  </si>
  <si>
    <t>Treatment of sludge</t>
  </si>
  <si>
    <t xml:space="preserve">Total quantity of sludge produced in performance of the company’s functions as a sewerage undertaker </t>
  </si>
  <si>
    <t>Quantity of sludge treated in-house</t>
  </si>
  <si>
    <t>Quantity of sludge treated by a third party</t>
  </si>
  <si>
    <t>Number of contracts to provide sludge treatment</t>
  </si>
  <si>
    <t>Number of suppliers with contracts for sludge treatment</t>
  </si>
  <si>
    <t>Sludge transported</t>
  </si>
  <si>
    <t>Total quantity of sludge transported by road</t>
  </si>
  <si>
    <t>Quantity of sludge transported by road in-house by your own bioresources service</t>
  </si>
  <si>
    <t>Quantity of sludge transported by road by a third party</t>
  </si>
  <si>
    <t>Number of contracts to provide sludge transport services</t>
  </si>
  <si>
    <t>Number of suppliers with contracts for sludge transportation</t>
  </si>
  <si>
    <t>Sludge recycled or disposed</t>
  </si>
  <si>
    <t>Total quantity of sludge recycled or disposed</t>
  </si>
  <si>
    <t>Quantity of sludge recycled or disposed in-house by your own bioresources service</t>
  </si>
  <si>
    <t>Quantity of sludge recycled by a third party</t>
  </si>
  <si>
    <t>Number of contracts held to provide sludge recycling or disposal services</t>
  </si>
  <si>
    <t>Number of suppliers with contracts for sludge recycling or disposal</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</si>
  <si>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</si>
  <si>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</si>
  <si>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</si>
  <si>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</si>
  <si>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</si>
  <si>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</si>
  <si>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</si>
  <si>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</si>
  <si>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</si>
  <si>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</si>
  <si>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</si>
  <si>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</si>
  <si>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</si>
  <si>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</si>
  <si>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</si>
  <si>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</si>
  <si>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</si>
  <si>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</si>
  <si>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</si>
  <si>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</si>
  <si>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</si>
  <si>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</si>
  <si>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</si>
  <si>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F4</t>
  </si>
  <si>
    <t>The number of current contracts held with third parties to provide sludge recycling or disposal services.</t>
  </si>
  <si>
    <t>F5</t>
  </si>
  <si>
    <t xml:space="preserve">The number of different third-party suppliers that hold contracts to dispose of or recycle sludge at the end of the financial year. The company should not include its own bioresources business as a supplier.  </t>
  </si>
  <si>
    <t>Expenditure in report year</t>
  </si>
  <si>
    <t>Cumulative expenditure on schemes completed in the report year</t>
  </si>
  <si>
    <t>Capital expenditure purpose - WATER additional line 11 [Other categories]</t>
  </si>
  <si>
    <t>Capital expenditure purpose - WATER additional line 12 [Other categories]</t>
  </si>
  <si>
    <t>Capital expenditure purpose - WATER additional line 13 [Other categories]</t>
  </si>
  <si>
    <t>Capital expenditure purpose - WATER additional line 14 [Other categories]</t>
  </si>
  <si>
    <t>Capital expenditure purpose - WATER additional line 15 [Other categories]</t>
  </si>
  <si>
    <t>Capital expenditure purpose - WASTEWATER additional line 11 [Other categories]</t>
  </si>
  <si>
    <t>Capital expenditure purpose - WASTEWATER additional line 12 [Other categories]</t>
  </si>
  <si>
    <t>Capital expenditure purpose - WASTEWATER additional line 13 [Other categories]</t>
  </si>
  <si>
    <t>Capital expenditure purpose - WASTEWATER additional line 14 [Other categories]</t>
  </si>
  <si>
    <t>Capital expenditure purpose - WASTEWATER additional line 15 [Other categories]</t>
  </si>
  <si>
    <t>4W.1</t>
  </si>
  <si>
    <t>4W.2</t>
  </si>
  <si>
    <t>4W.3</t>
  </si>
  <si>
    <t>4W.4</t>
  </si>
  <si>
    <t>4W.5</t>
  </si>
  <si>
    <t>4W.6</t>
  </si>
  <si>
    <t>4W.7</t>
  </si>
  <si>
    <t>4W.8</t>
  </si>
  <si>
    <t>4W.9</t>
  </si>
  <si>
    <t>4W.10</t>
  </si>
  <si>
    <t>4W.11</t>
  </si>
  <si>
    <t>4W.12</t>
  </si>
  <si>
    <t>4W.13</t>
  </si>
  <si>
    <t>4W.14</t>
  </si>
  <si>
    <t>4W.15</t>
  </si>
  <si>
    <t>4W.16</t>
  </si>
  <si>
    <t>4W.17</t>
  </si>
  <si>
    <t>4W.18</t>
  </si>
  <si>
    <t>4W.19</t>
  </si>
  <si>
    <t>4W.20</t>
  </si>
  <si>
    <t>4W.21</t>
  </si>
  <si>
    <t>4W.22</t>
  </si>
  <si>
    <t>4W.23</t>
  </si>
  <si>
    <t>4W.24</t>
  </si>
  <si>
    <t>4W.25</t>
  </si>
  <si>
    <t>4V.1</t>
  </si>
  <si>
    <t>4V.2</t>
  </si>
  <si>
    <t>4V.3</t>
  </si>
  <si>
    <t>4V.4</t>
  </si>
  <si>
    <t>4V.5</t>
  </si>
  <si>
    <t>4V.6</t>
  </si>
  <si>
    <t>4V.7</t>
  </si>
  <si>
    <t>4V.8</t>
  </si>
  <si>
    <t>4V.9</t>
  </si>
  <si>
    <t>4V.10</t>
  </si>
  <si>
    <t>4V.11</t>
  </si>
  <si>
    <t>4V.12</t>
  </si>
  <si>
    <t>4V.13</t>
  </si>
  <si>
    <t>4V.14</t>
  </si>
  <si>
    <t>4V.15</t>
  </si>
  <si>
    <t>4V.16</t>
  </si>
  <si>
    <t>4V.17</t>
  </si>
  <si>
    <t>4U.1</t>
  </si>
  <si>
    <t>4U.2</t>
  </si>
  <si>
    <t>4U.3</t>
  </si>
  <si>
    <t>4U.4</t>
  </si>
  <si>
    <t>4U.5</t>
  </si>
  <si>
    <t>4U.6</t>
  </si>
  <si>
    <t>4U.7</t>
  </si>
  <si>
    <t>4U.8</t>
  </si>
  <si>
    <t>4U.9</t>
  </si>
  <si>
    <t>4U.10</t>
  </si>
  <si>
    <t>4U.11</t>
  </si>
  <si>
    <t>4U.12</t>
  </si>
  <si>
    <t>4U.13</t>
  </si>
  <si>
    <t>4U.14</t>
  </si>
  <si>
    <t>4U.15</t>
  </si>
  <si>
    <t>4U.16</t>
  </si>
  <si>
    <t>4U.17</t>
  </si>
  <si>
    <t>4U.18</t>
  </si>
  <si>
    <t>4U.19</t>
  </si>
  <si>
    <t>4U.20</t>
  </si>
  <si>
    <t>4U.21</t>
  </si>
  <si>
    <t>4U.22</t>
  </si>
  <si>
    <t>4U.23</t>
  </si>
  <si>
    <t>4T.1</t>
  </si>
  <si>
    <t>4T.2</t>
  </si>
  <si>
    <t>4T.3</t>
  </si>
  <si>
    <t>4T.4</t>
  </si>
  <si>
    <t>4T.5</t>
  </si>
  <si>
    <t>4T.6</t>
  </si>
  <si>
    <t>4T.7</t>
  </si>
  <si>
    <t>4T.8</t>
  </si>
  <si>
    <t>4T.9</t>
  </si>
  <si>
    <t>4T.10</t>
  </si>
  <si>
    <t>4T.11</t>
  </si>
  <si>
    <t>4T.12</t>
  </si>
  <si>
    <t>4T.13</t>
  </si>
  <si>
    <t>4T.14</t>
  </si>
  <si>
    <t>4T.15</t>
  </si>
  <si>
    <t>4S.1</t>
  </si>
  <si>
    <t>4S.2</t>
  </si>
  <si>
    <t>4S.3</t>
  </si>
  <si>
    <t>4S.4</t>
  </si>
  <si>
    <t>4S.5</t>
  </si>
  <si>
    <t>4S.6</t>
  </si>
  <si>
    <t>4S.7</t>
  </si>
  <si>
    <t>4S.8</t>
  </si>
  <si>
    <t>4S.9</t>
  </si>
  <si>
    <t>4S.10</t>
  </si>
  <si>
    <t>4S.11</t>
  </si>
  <si>
    <t>4S.12</t>
  </si>
  <si>
    <t>4S.13</t>
  </si>
  <si>
    <t>4S.14</t>
  </si>
  <si>
    <t>4S.15</t>
  </si>
  <si>
    <t>4S.16</t>
  </si>
  <si>
    <t>4S.17</t>
  </si>
  <si>
    <t>4S.18</t>
  </si>
  <si>
    <t>4S.19</t>
  </si>
  <si>
    <t>4S.20</t>
  </si>
  <si>
    <t>4S.21</t>
  </si>
  <si>
    <t>4S.22</t>
  </si>
  <si>
    <t>4S.23</t>
  </si>
  <si>
    <t>4S.24</t>
  </si>
  <si>
    <t>4S.25</t>
  </si>
  <si>
    <t>4R.1</t>
  </si>
  <si>
    <t>4R.2</t>
  </si>
  <si>
    <t>4R.3</t>
  </si>
  <si>
    <t>4R.4</t>
  </si>
  <si>
    <t>4R.5</t>
  </si>
  <si>
    <t>4R.6</t>
  </si>
  <si>
    <t>4R.7</t>
  </si>
  <si>
    <t>4R.8</t>
  </si>
  <si>
    <t>4R.9</t>
  </si>
  <si>
    <t>4R.10</t>
  </si>
  <si>
    <t>4R.11</t>
  </si>
  <si>
    <t>4R.12</t>
  </si>
  <si>
    <t>4R.13</t>
  </si>
  <si>
    <t>4R.14</t>
  </si>
  <si>
    <t>4R.15</t>
  </si>
  <si>
    <t>4R.16</t>
  </si>
  <si>
    <t>4R.17</t>
  </si>
  <si>
    <t>4R.18</t>
  </si>
  <si>
    <t>4R.19</t>
  </si>
  <si>
    <t>4R.20</t>
  </si>
  <si>
    <t>4R.21</t>
  </si>
  <si>
    <t>4R.22</t>
  </si>
  <si>
    <t>4R.23</t>
  </si>
  <si>
    <t>4R.24</t>
  </si>
  <si>
    <t>4R.25</t>
  </si>
  <si>
    <t>4R.26</t>
  </si>
  <si>
    <t>4R.27</t>
  </si>
  <si>
    <t>4R.28</t>
  </si>
  <si>
    <t>4R.29</t>
  </si>
  <si>
    <t>4R.30</t>
  </si>
  <si>
    <t>4R.31</t>
  </si>
  <si>
    <t>4R.32</t>
  </si>
  <si>
    <t>4R.33</t>
  </si>
  <si>
    <t>4R.34</t>
  </si>
  <si>
    <t>4R.35</t>
  </si>
  <si>
    <t>4R.36</t>
  </si>
  <si>
    <t>4R.37</t>
  </si>
  <si>
    <t>4R.38</t>
  </si>
  <si>
    <t>4R.39</t>
  </si>
  <si>
    <t>4R.40</t>
  </si>
  <si>
    <t>4Q.1</t>
  </si>
  <si>
    <t>4Q.2</t>
  </si>
  <si>
    <t>4Q.3</t>
  </si>
  <si>
    <t>4Q.4</t>
  </si>
  <si>
    <t>4Q.5</t>
  </si>
  <si>
    <t>4Q.6</t>
  </si>
  <si>
    <t>4Q.7</t>
  </si>
  <si>
    <t>4Q.8</t>
  </si>
  <si>
    <t>4Q.9</t>
  </si>
  <si>
    <t>4Q.10</t>
  </si>
  <si>
    <t>4Q.11</t>
  </si>
  <si>
    <t>4Q.12</t>
  </si>
  <si>
    <t>4Q.13</t>
  </si>
  <si>
    <t>4Q.14</t>
  </si>
  <si>
    <t>4Q.15</t>
  </si>
  <si>
    <t>4Q.16</t>
  </si>
  <si>
    <t>4Q.17</t>
  </si>
  <si>
    <t>4Q.18</t>
  </si>
  <si>
    <t>4Q.19</t>
  </si>
  <si>
    <t>4Q.20</t>
  </si>
  <si>
    <t>4Q.21</t>
  </si>
  <si>
    <t>4Q.22</t>
  </si>
  <si>
    <t>4Q.23</t>
  </si>
  <si>
    <t>4Q.24</t>
  </si>
  <si>
    <t>4Q.25</t>
  </si>
  <si>
    <t>4Q.26</t>
  </si>
  <si>
    <t>4Q.27</t>
  </si>
  <si>
    <t>4Q.28</t>
  </si>
  <si>
    <t>4P.1</t>
  </si>
  <si>
    <t>4P.2</t>
  </si>
  <si>
    <t>4P.3</t>
  </si>
  <si>
    <t>4P.4</t>
  </si>
  <si>
    <t>4P.5</t>
  </si>
  <si>
    <t>4P.6</t>
  </si>
  <si>
    <t>4P.7</t>
  </si>
  <si>
    <t>4P.8</t>
  </si>
  <si>
    <t>4P.9</t>
  </si>
  <si>
    <t>4P.10</t>
  </si>
  <si>
    <t>4P.11</t>
  </si>
  <si>
    <t>4P.12</t>
  </si>
  <si>
    <t>4P.13</t>
  </si>
  <si>
    <t>4P.14</t>
  </si>
  <si>
    <t>4P.15</t>
  </si>
  <si>
    <t>4P.16</t>
  </si>
  <si>
    <t>4P.17</t>
  </si>
  <si>
    <t>4P.18</t>
  </si>
  <si>
    <t>4P.19</t>
  </si>
  <si>
    <t>4P.20</t>
  </si>
  <si>
    <t>4P.21</t>
  </si>
  <si>
    <t>4P.22</t>
  </si>
  <si>
    <t>4P.23</t>
  </si>
  <si>
    <t>4P.24</t>
  </si>
  <si>
    <t>4P.25</t>
  </si>
  <si>
    <t>4P.26</t>
  </si>
  <si>
    <t>4P.27</t>
  </si>
  <si>
    <t>4P.28</t>
  </si>
  <si>
    <t>4P.29</t>
  </si>
  <si>
    <t>4P.30</t>
  </si>
  <si>
    <t>4P.31</t>
  </si>
  <si>
    <t>4P.32</t>
  </si>
  <si>
    <t>4P.33</t>
  </si>
  <si>
    <t>4P.34</t>
  </si>
  <si>
    <t>4P.35</t>
  </si>
  <si>
    <t>4P.36</t>
  </si>
  <si>
    <t>4P.37</t>
  </si>
  <si>
    <t>4P.38</t>
  </si>
  <si>
    <t>4P.39</t>
  </si>
  <si>
    <t>4P.40</t>
  </si>
  <si>
    <t>4P.41</t>
  </si>
  <si>
    <t>4P.42</t>
  </si>
  <si>
    <t>4P.43</t>
  </si>
  <si>
    <t>4P.44</t>
  </si>
  <si>
    <t>4P.45</t>
  </si>
  <si>
    <t>4P.46</t>
  </si>
  <si>
    <t>4P.47</t>
  </si>
  <si>
    <t>4P.48</t>
  </si>
  <si>
    <t>4P.49</t>
  </si>
  <si>
    <t>4P.50</t>
  </si>
  <si>
    <t>4P.51</t>
  </si>
  <si>
    <t>4P.52</t>
  </si>
  <si>
    <t>4P.53</t>
  </si>
  <si>
    <t>4P.54</t>
  </si>
  <si>
    <t>4P.55</t>
  </si>
  <si>
    <t>4P.56</t>
  </si>
  <si>
    <t>4P.57</t>
  </si>
  <si>
    <t>4P.58</t>
  </si>
  <si>
    <t>4P.59</t>
  </si>
  <si>
    <t>4P.60</t>
  </si>
  <si>
    <t>4P.61</t>
  </si>
  <si>
    <t>4P.62</t>
  </si>
  <si>
    <t>4P.63</t>
  </si>
  <si>
    <t>4P.64</t>
  </si>
  <si>
    <t>4P.65</t>
  </si>
  <si>
    <t>4P.66</t>
  </si>
  <si>
    <t>4P.67</t>
  </si>
  <si>
    <t>4P.68</t>
  </si>
  <si>
    <t>4P.69</t>
  </si>
  <si>
    <t>4P.70</t>
  </si>
  <si>
    <t>4P.71</t>
  </si>
  <si>
    <t>4P.72</t>
  </si>
  <si>
    <t>4P.73</t>
  </si>
  <si>
    <t>4P.74</t>
  </si>
  <si>
    <t>4P.75</t>
  </si>
  <si>
    <t>4P.76</t>
  </si>
  <si>
    <t>4P.77</t>
  </si>
  <si>
    <t>4P.78</t>
  </si>
  <si>
    <t>4P.79</t>
  </si>
  <si>
    <t>4P.80</t>
  </si>
  <si>
    <t>4P.81</t>
  </si>
  <si>
    <t>4P.82</t>
  </si>
  <si>
    <t>4P.83</t>
  </si>
  <si>
    <t>4P.84</t>
  </si>
  <si>
    <t>4P.85</t>
  </si>
  <si>
    <t>4P.86</t>
  </si>
  <si>
    <t>4P.87</t>
  </si>
  <si>
    <t>4P.88</t>
  </si>
  <si>
    <t>4P.89</t>
  </si>
  <si>
    <t>4P.90</t>
  </si>
  <si>
    <t>4P.91</t>
  </si>
  <si>
    <t>4P.92</t>
  </si>
  <si>
    <t>4P.93</t>
  </si>
  <si>
    <t>4P.94</t>
  </si>
  <si>
    <t>4P.95</t>
  </si>
  <si>
    <t>4P.96</t>
  </si>
  <si>
    <t>4P.97</t>
  </si>
  <si>
    <t>4P.98</t>
  </si>
  <si>
    <t>4P.99</t>
  </si>
  <si>
    <t>4P.100</t>
  </si>
  <si>
    <t>4P.101</t>
  </si>
  <si>
    <t>4P.102</t>
  </si>
  <si>
    <t>4P.103</t>
  </si>
  <si>
    <t>4P.104</t>
  </si>
  <si>
    <t>4P.105</t>
  </si>
  <si>
    <t>4P.106</t>
  </si>
  <si>
    <t>Bon Code</t>
  </si>
  <si>
    <t>BoN code</t>
  </si>
  <si>
    <t>Bidding activity: bioresources market</t>
  </si>
  <si>
    <t xml:space="preserve">The total amount paid to third parties on bioresources service contracts during the financial year. This is for all contracts. It includes any amount of money paid out on contracts that ended during the year. 
</t>
  </si>
  <si>
    <t>Advanced AD</t>
  </si>
  <si>
    <t>Table 4L does not equal table 4J, please provide reasoning and reconciliation in your commentary</t>
  </si>
  <si>
    <t>Table 4L does not equal table 4D, please provide reasoning and reconciliation in your commentary</t>
  </si>
  <si>
    <t>Signage checks</t>
  </si>
  <si>
    <t>If table 4K does not equal 4E, please provide reasoning and reconciliation in your commentary</t>
  </si>
  <si>
    <t>Table 4M does not equal table 4E, please provide reasoning and reconciliation in your commentary</t>
  </si>
  <si>
    <t>Table 4M does not equal table 4K, please provide reasoning and reconciliation in your commentary</t>
  </si>
  <si>
    <t xml:space="preserve">Grants and contributions </t>
  </si>
  <si>
    <t xml:space="preserve">Distribution losses represent the losses on the company's potable water distribution system and so excludes supply pipe leakage. </t>
  </si>
  <si>
    <t>If table 4K does not equal table 2B, please provide reasoning and reconciliation in your commentary</t>
  </si>
  <si>
    <t xml:space="preserve">This table is closely associated with pro forma 4D in the APR (as per RAG4).  </t>
  </si>
  <si>
    <t xml:space="preserve">This table is closely associated with pro forma 4E in the APR (as per RAG4.07).  </t>
  </si>
  <si>
    <t>EW</t>
  </si>
  <si>
    <t>JK</t>
  </si>
  <si>
    <t>GW</t>
  </si>
  <si>
    <t>Table 4J does not equal table 2B, please provide reasoning and reconciliation in your commentary</t>
  </si>
  <si>
    <t>Table 4J does not equal table 4D, please provide reasoning and reconciliation in your commentary</t>
  </si>
  <si>
    <t>4J.32</t>
  </si>
  <si>
    <t>4J.33</t>
  </si>
  <si>
    <t>4J.34</t>
  </si>
  <si>
    <t>4J.35</t>
  </si>
  <si>
    <t>4J.36</t>
  </si>
  <si>
    <t>4K.30</t>
  </si>
  <si>
    <t>4K.31</t>
  </si>
  <si>
    <t>4K.32</t>
  </si>
  <si>
    <t>4K.33</t>
  </si>
  <si>
    <t>4K.34</t>
  </si>
  <si>
    <t>4K.35</t>
  </si>
  <si>
    <t>4K.36</t>
  </si>
  <si>
    <t>4K.1</t>
  </si>
  <si>
    <t>4K.2</t>
  </si>
  <si>
    <t>4K.3</t>
  </si>
  <si>
    <t>4K.4</t>
  </si>
  <si>
    <t>4K.5</t>
  </si>
  <si>
    <t>4K.6</t>
  </si>
  <si>
    <t>4K.7</t>
  </si>
  <si>
    <t>4K.8</t>
  </si>
  <si>
    <t>4K.9</t>
  </si>
  <si>
    <t>4K.10</t>
  </si>
  <si>
    <t>4K.11</t>
  </si>
  <si>
    <t>4K.12</t>
  </si>
  <si>
    <t>4K.13</t>
  </si>
  <si>
    <t>4K.14</t>
  </si>
  <si>
    <t>4K.15</t>
  </si>
  <si>
    <t>4K.16</t>
  </si>
  <si>
    <t>4K.17</t>
  </si>
  <si>
    <t>4K.18</t>
  </si>
  <si>
    <t>4K.19</t>
  </si>
  <si>
    <t>4K.20</t>
  </si>
  <si>
    <t>4K.21</t>
  </si>
  <si>
    <t>4K.22</t>
  </si>
  <si>
    <t>4K.23</t>
  </si>
  <si>
    <t>4K.24</t>
  </si>
  <si>
    <t>4K.25</t>
  </si>
  <si>
    <t>4K.26</t>
  </si>
  <si>
    <t>4K.27</t>
  </si>
  <si>
    <t>4K.28</t>
  </si>
  <si>
    <t>4K.29</t>
  </si>
  <si>
    <t>4L.1</t>
  </si>
  <si>
    <t>4L.2</t>
  </si>
  <si>
    <t>4L.3</t>
  </si>
  <si>
    <t>4L.4</t>
  </si>
  <si>
    <t>4L.5</t>
  </si>
  <si>
    <t>4L.6</t>
  </si>
  <si>
    <t>4L.7</t>
  </si>
  <si>
    <t>4L.8</t>
  </si>
  <si>
    <t>4L.9</t>
  </si>
  <si>
    <t>4L.10</t>
  </si>
  <si>
    <t>4L.11</t>
  </si>
  <si>
    <t>4L.12</t>
  </si>
  <si>
    <t>4L.13</t>
  </si>
  <si>
    <t>4L.14</t>
  </si>
  <si>
    <t>4L.15</t>
  </si>
  <si>
    <t>4L.16</t>
  </si>
  <si>
    <t>4L.17</t>
  </si>
  <si>
    <t>4L.18</t>
  </si>
  <si>
    <t>4L.19</t>
  </si>
  <si>
    <t>4L.20</t>
  </si>
  <si>
    <t>4L.21</t>
  </si>
  <si>
    <t>4L.22</t>
  </si>
  <si>
    <t>4L.23</t>
  </si>
  <si>
    <t>4L.24</t>
  </si>
  <si>
    <t>4L.25</t>
  </si>
  <si>
    <t>4L.26</t>
  </si>
  <si>
    <t>4L.27</t>
  </si>
  <si>
    <t>4L.28</t>
  </si>
  <si>
    <t>4L.29</t>
  </si>
  <si>
    <t>4L.30</t>
  </si>
  <si>
    <t>4L.31</t>
  </si>
  <si>
    <t>4L.32</t>
  </si>
  <si>
    <t>4L.33</t>
  </si>
  <si>
    <t>4L.34</t>
  </si>
  <si>
    <t>4L.35</t>
  </si>
  <si>
    <t>4N.1</t>
  </si>
  <si>
    <t>4N.2</t>
  </si>
  <si>
    <t>4N.3</t>
  </si>
  <si>
    <t>4N.4</t>
  </si>
  <si>
    <t>4N.5</t>
  </si>
  <si>
    <t>4N.6</t>
  </si>
  <si>
    <t>4N.7</t>
  </si>
  <si>
    <t>4N.8</t>
  </si>
  <si>
    <t>4N.9</t>
  </si>
  <si>
    <t>4N.10</t>
  </si>
  <si>
    <t>4N.11</t>
  </si>
  <si>
    <t>4N.12</t>
  </si>
  <si>
    <t>4O.1</t>
  </si>
  <si>
    <t>4O.2</t>
  </si>
  <si>
    <t>4O.3</t>
  </si>
  <si>
    <t>4O.4</t>
  </si>
  <si>
    <t>4O.5</t>
  </si>
  <si>
    <t>4O.6</t>
  </si>
  <si>
    <t>4O.7</t>
  </si>
  <si>
    <t>4O.8</t>
  </si>
  <si>
    <t>4O.9</t>
  </si>
  <si>
    <t>4O.10</t>
  </si>
  <si>
    <t>4O.11</t>
  </si>
  <si>
    <t>4O.12</t>
  </si>
  <si>
    <t>4O.13</t>
  </si>
  <si>
    <t>4O.14</t>
  </si>
  <si>
    <t>4O.15</t>
  </si>
  <si>
    <t>4M.1</t>
  </si>
  <si>
    <t>4M.2</t>
  </si>
  <si>
    <t>4M.3</t>
  </si>
  <si>
    <t>4M.4</t>
  </si>
  <si>
    <t>4M.5</t>
  </si>
  <si>
    <t>4M.6</t>
  </si>
  <si>
    <t>4M.7</t>
  </si>
  <si>
    <t>4M.8</t>
  </si>
  <si>
    <t>4M.9</t>
  </si>
  <si>
    <t>4M.10</t>
  </si>
  <si>
    <t>4M.11</t>
  </si>
  <si>
    <t>4M.12</t>
  </si>
  <si>
    <t>4M.13</t>
  </si>
  <si>
    <t>4M.14</t>
  </si>
  <si>
    <t>4M.15</t>
  </si>
  <si>
    <t>4M.16</t>
  </si>
  <si>
    <t>4M.17</t>
  </si>
  <si>
    <t>4M.18</t>
  </si>
  <si>
    <t>4M.19</t>
  </si>
  <si>
    <t>4M.20</t>
  </si>
  <si>
    <t>4M.21</t>
  </si>
  <si>
    <t>4M.22</t>
  </si>
  <si>
    <t>4M.23</t>
  </si>
  <si>
    <t>4M.24</t>
  </si>
  <si>
    <t>4M.25</t>
  </si>
  <si>
    <t>4M.26</t>
  </si>
  <si>
    <t>4M.27</t>
  </si>
  <si>
    <t>4M.28</t>
  </si>
  <si>
    <t>4M.29</t>
  </si>
  <si>
    <t>4M.30</t>
  </si>
  <si>
    <t>4M.31</t>
  </si>
  <si>
    <t>4M.32</t>
  </si>
  <si>
    <t>4M.33</t>
  </si>
  <si>
    <t>4M.34</t>
  </si>
  <si>
    <t>4M.35</t>
  </si>
  <si>
    <t>4M.36</t>
  </si>
  <si>
    <t>4M.37</t>
  </si>
  <si>
    <t>4M.38</t>
  </si>
  <si>
    <t>4M.39</t>
  </si>
  <si>
    <t>4M.40</t>
  </si>
  <si>
    <t>4M.41</t>
  </si>
  <si>
    <t>4M.42</t>
  </si>
  <si>
    <t>4M.43</t>
  </si>
  <si>
    <t>4M.44</t>
  </si>
  <si>
    <t>3C.1</t>
  </si>
  <si>
    <t>3C.2</t>
  </si>
  <si>
    <t>3C.3</t>
  </si>
  <si>
    <t>3C.4</t>
  </si>
  <si>
    <t>3C.5</t>
  </si>
  <si>
    <t>3C.6</t>
  </si>
  <si>
    <t>3C.7</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</si>
  <si>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</si>
  <si>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BON CODE ALLOCATION</t>
  </si>
  <si>
    <t>BO1180STAT</t>
  </si>
  <si>
    <t>BO1180DSR</t>
  </si>
  <si>
    <t>BO1180NA</t>
  </si>
  <si>
    <t>BO1180ADJ</t>
  </si>
  <si>
    <t>BO1180</t>
  </si>
  <si>
    <t>BO2560STAT</t>
  </si>
  <si>
    <t>BO2560DSR</t>
  </si>
  <si>
    <t>BO2560NA</t>
  </si>
  <si>
    <t>BO2560ADJ</t>
  </si>
  <si>
    <t>BO2560</t>
  </si>
  <si>
    <t>BO1980STAT</t>
  </si>
  <si>
    <t>BO1980DSR</t>
  </si>
  <si>
    <t>BO1980NA</t>
  </si>
  <si>
    <t>BO1980ADJ</t>
  </si>
  <si>
    <t>BO1980</t>
  </si>
  <si>
    <t>BO2060STAT</t>
  </si>
  <si>
    <t>BO2060DSR</t>
  </si>
  <si>
    <t>BO2060NA</t>
  </si>
  <si>
    <t>BO2060ADJ</t>
  </si>
  <si>
    <t>BO2060</t>
  </si>
  <si>
    <t>BO3301STAT</t>
  </si>
  <si>
    <t>BO3301DSR</t>
  </si>
  <si>
    <t>BO3301NA</t>
  </si>
  <si>
    <t>BO3301ADJ</t>
  </si>
  <si>
    <t>BO3301</t>
  </si>
  <si>
    <t>A10008STAT</t>
  </si>
  <si>
    <t>A10008DSR</t>
  </si>
  <si>
    <t>A10008NA</t>
  </si>
  <si>
    <t>A10008ADJ</t>
  </si>
  <si>
    <t>A10008APP</t>
  </si>
  <si>
    <t>A10009STAT</t>
  </si>
  <si>
    <t>A10009DSR</t>
  </si>
  <si>
    <t>A10009NA</t>
  </si>
  <si>
    <t>A10009ADJ</t>
  </si>
  <si>
    <t>A10009APP</t>
  </si>
  <si>
    <t>FT01641STAT</t>
  </si>
  <si>
    <t>FT01641DSR</t>
  </si>
  <si>
    <t>FT01641NA</t>
  </si>
  <si>
    <t>FT01641ADJ</t>
  </si>
  <si>
    <t>FT01641</t>
  </si>
  <si>
    <t>A10011STAT</t>
  </si>
  <si>
    <t>A10011DSR</t>
  </si>
  <si>
    <t>A10011NA</t>
  </si>
  <si>
    <t>A10011ADJ</t>
  </si>
  <si>
    <t>A10011APP</t>
  </si>
  <si>
    <t>A10012STAT</t>
  </si>
  <si>
    <t>A10012DSR</t>
  </si>
  <si>
    <t>A10012NA</t>
  </si>
  <si>
    <t>A10012ADJ</t>
  </si>
  <si>
    <t>A10012APP</t>
  </si>
  <si>
    <t>BO3305STAT</t>
  </si>
  <si>
    <t>BO3305DSR</t>
  </si>
  <si>
    <t>BO3305NA</t>
  </si>
  <si>
    <t>BO3305ADJ</t>
  </si>
  <si>
    <t>BO3305</t>
  </si>
  <si>
    <t>BO3351STAT</t>
  </si>
  <si>
    <t>BO3351DSR</t>
  </si>
  <si>
    <t>BO3351NA</t>
  </si>
  <si>
    <t>BO3351ADJ</t>
  </si>
  <si>
    <t>BO3351</t>
  </si>
  <si>
    <t>BO3352STAT</t>
  </si>
  <si>
    <t>BO3352DSR</t>
  </si>
  <si>
    <t>BO3352NA</t>
  </si>
  <si>
    <t>BO3352ADJ</t>
  </si>
  <si>
    <t>BO3352</t>
  </si>
  <si>
    <t>BO2530STAT</t>
  </si>
  <si>
    <t>BO2530DSR</t>
  </si>
  <si>
    <t>BO2530NA</t>
  </si>
  <si>
    <t>BO2530ADJ</t>
  </si>
  <si>
    <t>BO2530</t>
  </si>
  <si>
    <t>BO3402STAT</t>
  </si>
  <si>
    <t>BO3402DSR</t>
  </si>
  <si>
    <t>BO3402NA</t>
  </si>
  <si>
    <t>BO3402ADJ</t>
  </si>
  <si>
    <t>BO3402</t>
  </si>
  <si>
    <t>BO2550STAT</t>
  </si>
  <si>
    <t>BO2550DSR</t>
  </si>
  <si>
    <t>BO2550NA</t>
  </si>
  <si>
    <t>BO2550ADJ</t>
  </si>
  <si>
    <t>BO2550</t>
  </si>
  <si>
    <t>BO2553STAT</t>
  </si>
  <si>
    <t>BO2553DSR</t>
  </si>
  <si>
    <t>BO2553NA</t>
  </si>
  <si>
    <t>BO2553ADJ</t>
  </si>
  <si>
    <t>BO2553</t>
  </si>
  <si>
    <t>BO2554STAT</t>
  </si>
  <si>
    <t>BO2554DSR</t>
  </si>
  <si>
    <t>BO2554NA</t>
  </si>
  <si>
    <t>BO2554ADJ</t>
  </si>
  <si>
    <t>BO2554</t>
  </si>
  <si>
    <t>BO4008STAT</t>
  </si>
  <si>
    <t>BO4008DSR</t>
  </si>
  <si>
    <t>BO4008NA</t>
  </si>
  <si>
    <t>BO4008ADJ</t>
  </si>
  <si>
    <t>BO4008</t>
  </si>
  <si>
    <t>A11002STAT</t>
  </si>
  <si>
    <t>A11002DSR</t>
  </si>
  <si>
    <t>A11002NA</t>
  </si>
  <si>
    <t>A11002ADJ</t>
  </si>
  <si>
    <t>A11002</t>
  </si>
  <si>
    <t>FT01670STAT</t>
  </si>
  <si>
    <t>FT01670DSR</t>
  </si>
  <si>
    <t>FT01670NA</t>
  </si>
  <si>
    <t>FT01670ADJ</t>
  </si>
  <si>
    <t>FT01670</t>
  </si>
  <si>
    <t>FT01680STAT</t>
  </si>
  <si>
    <t>FT01680DSR</t>
  </si>
  <si>
    <t>FT01680NA</t>
  </si>
  <si>
    <t>FT01680ADJ</t>
  </si>
  <si>
    <t>FT01680</t>
  </si>
  <si>
    <t>A11005STAT</t>
  </si>
  <si>
    <t>A11005DSR</t>
  </si>
  <si>
    <t>A11005NA</t>
  </si>
  <si>
    <t>A11005ADJ</t>
  </si>
  <si>
    <t>A11005</t>
  </si>
  <si>
    <t>FT01751STAT</t>
  </si>
  <si>
    <t>FT01751DSR</t>
  </si>
  <si>
    <t>FT01751NA</t>
  </si>
  <si>
    <t>FT01751ADJ</t>
  </si>
  <si>
    <t>FT01751</t>
  </si>
  <si>
    <t>A11006STAT</t>
  </si>
  <si>
    <t>A11006DSR</t>
  </si>
  <si>
    <t>A11006NA</t>
  </si>
  <si>
    <t>A11006ADJ</t>
  </si>
  <si>
    <t>A11006</t>
  </si>
  <si>
    <t>BO4084STAT</t>
  </si>
  <si>
    <t>BO4084DSR</t>
  </si>
  <si>
    <t>BO4084NA</t>
  </si>
  <si>
    <t>BO4084ADJ</t>
  </si>
  <si>
    <t>BO4084</t>
  </si>
  <si>
    <t>A11008STAT</t>
  </si>
  <si>
    <t>A11008DSR</t>
  </si>
  <si>
    <t>A11008NA</t>
  </si>
  <si>
    <t>A11008ADJ</t>
  </si>
  <si>
    <t>A11008</t>
  </si>
  <si>
    <t>A11009STAT</t>
  </si>
  <si>
    <t>A11009DSR</t>
  </si>
  <si>
    <t>A11009NA</t>
  </si>
  <si>
    <t>A11009ADJ</t>
  </si>
  <si>
    <t>A11009</t>
  </si>
  <si>
    <t>A11010STAT</t>
  </si>
  <si>
    <t>A11010DSR</t>
  </si>
  <si>
    <t>A11010NA</t>
  </si>
  <si>
    <t>A11010ADJ</t>
  </si>
  <si>
    <t>A11010</t>
  </si>
  <si>
    <t>BO4092STAT</t>
  </si>
  <si>
    <t>BO4092DSR</t>
  </si>
  <si>
    <t>BO4092NA</t>
  </si>
  <si>
    <t>BO4092ADJ</t>
  </si>
  <si>
    <t>BO4092</t>
  </si>
  <si>
    <t>A11012STAT</t>
  </si>
  <si>
    <t>A11012DSR</t>
  </si>
  <si>
    <t>A11012NA</t>
  </si>
  <si>
    <t>A11012ADJ</t>
  </si>
  <si>
    <t>A11012</t>
  </si>
  <si>
    <t>A11013STAT</t>
  </si>
  <si>
    <t>A11013DSR</t>
  </si>
  <si>
    <t>A11013NA</t>
  </si>
  <si>
    <t>A11013ADJ</t>
  </si>
  <si>
    <t>A11013</t>
  </si>
  <si>
    <t>BO4093STAT</t>
  </si>
  <si>
    <t>BO4093DSR</t>
  </si>
  <si>
    <t>BO4093NA</t>
  </si>
  <si>
    <t>BO4093ADJ</t>
  </si>
  <si>
    <t>BO4093</t>
  </si>
  <si>
    <t>A11015STAT</t>
  </si>
  <si>
    <t>A11015DSR</t>
  </si>
  <si>
    <t>A11015NA</t>
  </si>
  <si>
    <t>A11015ADJ</t>
  </si>
  <si>
    <t>A11015</t>
  </si>
  <si>
    <t>A11016STAT</t>
  </si>
  <si>
    <t>A11016DSR</t>
  </si>
  <si>
    <t>A11016NA</t>
  </si>
  <si>
    <t>A11016ADJ</t>
  </si>
  <si>
    <t>A11016</t>
  </si>
  <si>
    <t>A11017STAT</t>
  </si>
  <si>
    <t>A11017DSR</t>
  </si>
  <si>
    <t>A11017NA</t>
  </si>
  <si>
    <t>A11017ADJ</t>
  </si>
  <si>
    <t>A11017</t>
  </si>
  <si>
    <t>A11018STAT</t>
  </si>
  <si>
    <t>A11018DSR</t>
  </si>
  <si>
    <t>A11018NA</t>
  </si>
  <si>
    <t>A11018ADJ</t>
  </si>
  <si>
    <t>A11018</t>
  </si>
  <si>
    <t>BO4096STAT</t>
  </si>
  <si>
    <t>BO4096DSR</t>
  </si>
  <si>
    <t>BO4096NA</t>
  </si>
  <si>
    <t>BO4096ADJ</t>
  </si>
  <si>
    <t>BO4096</t>
  </si>
  <si>
    <t>A11020STAT</t>
  </si>
  <si>
    <t>A11020DSR</t>
  </si>
  <si>
    <t>A11020NA</t>
  </si>
  <si>
    <t>A11020ADJ</t>
  </si>
  <si>
    <t>A11020</t>
  </si>
  <si>
    <t>BO4051STAT</t>
  </si>
  <si>
    <t>BO4051DSR</t>
  </si>
  <si>
    <t>BO4051NA</t>
  </si>
  <si>
    <t>BO4051ADJ</t>
  </si>
  <si>
    <t>BO4051</t>
  </si>
  <si>
    <t>A11022STAT</t>
  </si>
  <si>
    <t>A11022DSR</t>
  </si>
  <si>
    <t>A11022NA</t>
  </si>
  <si>
    <t>A11022ADJ</t>
  </si>
  <si>
    <t>A11022</t>
  </si>
  <si>
    <t>A11023STAT</t>
  </si>
  <si>
    <t>A11023DSR</t>
  </si>
  <si>
    <t>A11023NA</t>
  </si>
  <si>
    <t>A11023ADJ</t>
  </si>
  <si>
    <t>A11023</t>
  </si>
  <si>
    <t>A11024STAT</t>
  </si>
  <si>
    <t>A11024DSR</t>
  </si>
  <si>
    <t>A11024NA</t>
  </si>
  <si>
    <t>A11024ADJ</t>
  </si>
  <si>
    <t>A11024</t>
  </si>
  <si>
    <t>BB1300APSTAT</t>
  </si>
  <si>
    <t>BB1300APDSR</t>
  </si>
  <si>
    <t>BB1300APNA</t>
  </si>
  <si>
    <t>BB1300APADJ</t>
  </si>
  <si>
    <t>BB1300AP</t>
  </si>
  <si>
    <t>BO4063STAT</t>
  </si>
  <si>
    <t>BO4063DSR</t>
  </si>
  <si>
    <t>BO4063NA</t>
  </si>
  <si>
    <t>BO4063ADJ</t>
  </si>
  <si>
    <t>BO4063</t>
  </si>
  <si>
    <t>A11025STAT</t>
  </si>
  <si>
    <t>A11025DSR</t>
  </si>
  <si>
    <t>A11025NA</t>
  </si>
  <si>
    <t>A11025ADJ</t>
  </si>
  <si>
    <t>A11025</t>
  </si>
  <si>
    <t>BO4070STAT</t>
  </si>
  <si>
    <t>BO4070DSR</t>
  </si>
  <si>
    <t>BO4070NA</t>
  </si>
  <si>
    <t>BO4070ADJ</t>
  </si>
  <si>
    <t>BO4070</t>
  </si>
  <si>
    <t>BO4100STAT</t>
  </si>
  <si>
    <t>BO4100DSR</t>
  </si>
  <si>
    <t>BO4100NA</t>
  </si>
  <si>
    <t>BO4100ADJ</t>
  </si>
  <si>
    <t>BO4100</t>
  </si>
  <si>
    <t>A11030STAT</t>
  </si>
  <si>
    <t>A11030DSR</t>
  </si>
  <si>
    <t>A11030NA</t>
  </si>
  <si>
    <t>A11030ADJ</t>
  </si>
  <si>
    <t>A11030</t>
  </si>
  <si>
    <t>BO4130STAT</t>
  </si>
  <si>
    <t>BO4130DSR</t>
  </si>
  <si>
    <t>BO4130NA</t>
  </si>
  <si>
    <t>BO4130ADJ</t>
  </si>
  <si>
    <t>BO4130</t>
  </si>
  <si>
    <t>BO5002STAT</t>
  </si>
  <si>
    <t>BO5002DSR</t>
  </si>
  <si>
    <t>BO5002NA</t>
  </si>
  <si>
    <t>BO5002ADJ</t>
  </si>
  <si>
    <t>BO5002</t>
  </si>
  <si>
    <t>A14002STAT</t>
  </si>
  <si>
    <t>A14002DSR</t>
  </si>
  <si>
    <t>A14002NA</t>
  </si>
  <si>
    <t>A14002ADJ</t>
  </si>
  <si>
    <t>A14002</t>
  </si>
  <si>
    <t>A3028STAT</t>
  </si>
  <si>
    <t>A3028DSR</t>
  </si>
  <si>
    <t>A3028NA</t>
  </si>
  <si>
    <t>A3028ADJ</t>
  </si>
  <si>
    <t>A3028</t>
  </si>
  <si>
    <t>FT01810STAT</t>
  </si>
  <si>
    <t>FT01810DSR</t>
  </si>
  <si>
    <t>FT01810NA</t>
  </si>
  <si>
    <t>FT01810ADJ</t>
  </si>
  <si>
    <t>FT01810</t>
  </si>
  <si>
    <t>A14005STAT</t>
  </si>
  <si>
    <t>A14005DSR</t>
  </si>
  <si>
    <t>A14005NA</t>
  </si>
  <si>
    <t>A14005ADJ</t>
  </si>
  <si>
    <t>A14005</t>
  </si>
  <si>
    <t>BO5020STAT</t>
  </si>
  <si>
    <t>BO5020DSR</t>
  </si>
  <si>
    <t>BO5020NA</t>
  </si>
  <si>
    <t>BO5020ADJ</t>
  </si>
  <si>
    <t>BO5020</t>
  </si>
  <si>
    <t>BO5004STAT</t>
  </si>
  <si>
    <t>BO5004DSR</t>
  </si>
  <si>
    <t>BO5004NA</t>
  </si>
  <si>
    <t>BO5004ADJ</t>
  </si>
  <si>
    <t>BO5004</t>
  </si>
  <si>
    <t>BO5040STAT</t>
  </si>
  <si>
    <t>BO5040DSR</t>
  </si>
  <si>
    <t>BO5040NA</t>
  </si>
  <si>
    <t>BO5040ADJ</t>
  </si>
  <si>
    <t>BO5040</t>
  </si>
  <si>
    <t>A14008STAT</t>
  </si>
  <si>
    <t>A14008DSR</t>
  </si>
  <si>
    <t>A14008NA</t>
  </si>
  <si>
    <t>A14008ADJ</t>
  </si>
  <si>
    <t>A14008</t>
  </si>
  <si>
    <t>BO5070STAT</t>
  </si>
  <si>
    <t>BO5070DSR</t>
  </si>
  <si>
    <t>BO5070NA</t>
  </si>
  <si>
    <t>BO5070ADJ</t>
  </si>
  <si>
    <t>BO5070</t>
  </si>
  <si>
    <t>A14010STAT</t>
  </si>
  <si>
    <t>A14010DSR</t>
  </si>
  <si>
    <t>A14010NA</t>
  </si>
  <si>
    <t>A14010ADJ</t>
  </si>
  <si>
    <t>A14010</t>
  </si>
  <si>
    <t>BO5080STAT</t>
  </si>
  <si>
    <t>BO5080DSR</t>
  </si>
  <si>
    <t>BO5080NA</t>
  </si>
  <si>
    <t>BO5080ADJ</t>
  </si>
  <si>
    <t>BO5080</t>
  </si>
  <si>
    <t>BO5081STAT</t>
  </si>
  <si>
    <t>BO5081DSR</t>
  </si>
  <si>
    <t>BO5081NA</t>
  </si>
  <si>
    <t>BO5081ADJ</t>
  </si>
  <si>
    <t>BO5081</t>
  </si>
  <si>
    <t>BO5084STAT</t>
  </si>
  <si>
    <t>BO5084DSR</t>
  </si>
  <si>
    <t>BO5084NA</t>
  </si>
  <si>
    <t>BO5084ADJ</t>
  </si>
  <si>
    <t>BO5084</t>
  </si>
  <si>
    <t>BO5085STAT</t>
  </si>
  <si>
    <t>BO5085DSR</t>
  </si>
  <si>
    <t>BO5085NA</t>
  </si>
  <si>
    <t>BO5085ADJ</t>
  </si>
  <si>
    <t>BO5085</t>
  </si>
  <si>
    <t>BO5086STAT</t>
  </si>
  <si>
    <t>BO5086DSR</t>
  </si>
  <si>
    <t>BO5086NA</t>
  </si>
  <si>
    <t>BO5086ADJ</t>
  </si>
  <si>
    <t>BO5086</t>
  </si>
  <si>
    <t>A14017STAT</t>
  </si>
  <si>
    <t>A14017DSR</t>
  </si>
  <si>
    <t>A14017NA</t>
  </si>
  <si>
    <t>A14017ADJ</t>
  </si>
  <si>
    <t>A14017</t>
  </si>
  <si>
    <t>BO5204STAT</t>
  </si>
  <si>
    <t>BO5204DSR</t>
  </si>
  <si>
    <t>BO5204NA</t>
  </si>
  <si>
    <t>BO5204ADJ</t>
  </si>
  <si>
    <t>BO5204</t>
  </si>
  <si>
    <t>A14019STAT</t>
  </si>
  <si>
    <t>A14019DSR</t>
  </si>
  <si>
    <t>A14019NA</t>
  </si>
  <si>
    <t>A14019ADJ</t>
  </si>
  <si>
    <t>A14019</t>
  </si>
  <si>
    <t>BO5095STAT</t>
  </si>
  <si>
    <t>BO5095DSR</t>
  </si>
  <si>
    <t>BO5095NA</t>
  </si>
  <si>
    <t>BO5095ADJ</t>
  </si>
  <si>
    <t>BO5095</t>
  </si>
  <si>
    <t>BO5096STAT</t>
  </si>
  <si>
    <t>BO5096DSR</t>
  </si>
  <si>
    <t>BO5096NA</t>
  </si>
  <si>
    <t>BO5096ADJ</t>
  </si>
  <si>
    <t>BO5096</t>
  </si>
  <si>
    <t>BO5098STAT</t>
  </si>
  <si>
    <t>BO5098DSR</t>
  </si>
  <si>
    <t>BO5098NA</t>
  </si>
  <si>
    <t>BO5098ADJ</t>
  </si>
  <si>
    <t>BO5098</t>
  </si>
  <si>
    <t>BO5332FX</t>
  </si>
  <si>
    <t>BO5332FR</t>
  </si>
  <si>
    <t>BO5332IL</t>
  </si>
  <si>
    <t>BO5332A</t>
  </si>
  <si>
    <t>BB1300ND</t>
  </si>
  <si>
    <t>BO5348T</t>
  </si>
  <si>
    <t>FT01690</t>
  </si>
  <si>
    <t>PP0021</t>
  </si>
  <si>
    <t>BO4075</t>
  </si>
  <si>
    <t>FI00300</t>
  </si>
  <si>
    <t>FI00300CV</t>
  </si>
  <si>
    <t>BO130FXI</t>
  </si>
  <si>
    <t>BO130FRI</t>
  </si>
  <si>
    <t>BO130ILI</t>
  </si>
  <si>
    <t>BO160TLI</t>
  </si>
  <si>
    <t>BO135FXI</t>
  </si>
  <si>
    <t>BO135FRI</t>
  </si>
  <si>
    <t>BO135ILI</t>
  </si>
  <si>
    <t>BO165TLI</t>
  </si>
  <si>
    <t>FI00500FX</t>
  </si>
  <si>
    <t>FI00500FR</t>
  </si>
  <si>
    <t>FI00500IL</t>
  </si>
  <si>
    <t>FI00500</t>
  </si>
  <si>
    <t>FI00510FX</t>
  </si>
  <si>
    <t>FI00510FR</t>
  </si>
  <si>
    <t>FI00510IL</t>
  </si>
  <si>
    <t>FI00510</t>
  </si>
  <si>
    <t>FI00560FX</t>
  </si>
  <si>
    <t>FI00560FR</t>
  </si>
  <si>
    <t>FI00560IL</t>
  </si>
  <si>
    <t>FI00560</t>
  </si>
  <si>
    <t>A19016RHPC</t>
  </si>
  <si>
    <t>A19016RNHPC</t>
  </si>
  <si>
    <t>A19016RHNPC</t>
  </si>
  <si>
    <t>A19016RNHNPC</t>
  </si>
  <si>
    <t>BM9023H</t>
  </si>
  <si>
    <t>BM9223NH</t>
  </si>
  <si>
    <t>A19030WNPC</t>
  </si>
  <si>
    <t>A19030WWPC</t>
  </si>
  <si>
    <t>A19030WNKPC</t>
  </si>
  <si>
    <t>A19030TASPC</t>
  </si>
  <si>
    <t>A19030WNNPC</t>
  </si>
  <si>
    <t>A19030WWNPC</t>
  </si>
  <si>
    <t>A19030WNKNPC</t>
  </si>
  <si>
    <t>A19030TASNPC</t>
  </si>
  <si>
    <t>BM352WR</t>
  </si>
  <si>
    <t>BM352WN</t>
  </si>
  <si>
    <t>BM352TAS</t>
  </si>
  <si>
    <t>BM852WNK</t>
  </si>
  <si>
    <t>BM852SL</t>
  </si>
  <si>
    <t>BM852TAS</t>
  </si>
  <si>
    <t>A1931PC</t>
  </si>
  <si>
    <t>A1931NPC</t>
  </si>
  <si>
    <t>BM952TAS</t>
  </si>
  <si>
    <t>BM212TAS</t>
  </si>
  <si>
    <t>BM812TAS</t>
  </si>
  <si>
    <t>BM912TAS</t>
  </si>
  <si>
    <t>BM9027H</t>
  </si>
  <si>
    <t>BM9027NH</t>
  </si>
  <si>
    <t>BM320WR</t>
  </si>
  <si>
    <t>BM320WN</t>
  </si>
  <si>
    <t>BM320TAS</t>
  </si>
  <si>
    <t>A19015RH</t>
  </si>
  <si>
    <t>A19015RNH</t>
  </si>
  <si>
    <t>A19015WR</t>
  </si>
  <si>
    <t>A19015WN</t>
  </si>
  <si>
    <t>A19015WSW</t>
  </si>
  <si>
    <t>BM820WNK</t>
  </si>
  <si>
    <t>BM820SL</t>
  </si>
  <si>
    <t>BM820TAS</t>
  </si>
  <si>
    <t>A19015WNK</t>
  </si>
  <si>
    <t>A19015SL</t>
  </si>
  <si>
    <t>BM920TAS</t>
  </si>
  <si>
    <t>A19015CTOT</t>
  </si>
  <si>
    <t>BO2010RH</t>
  </si>
  <si>
    <t>BO2010RNH</t>
  </si>
  <si>
    <t>BO2010WW</t>
  </si>
  <si>
    <t>BO2010TAS</t>
  </si>
  <si>
    <t>BO2010CTOT</t>
  </si>
  <si>
    <t>BM9037</t>
  </si>
  <si>
    <t>BM9337</t>
  </si>
  <si>
    <t>BM338WR</t>
  </si>
  <si>
    <t>BM338WN</t>
  </si>
  <si>
    <t>BM338TAS</t>
  </si>
  <si>
    <t>BM838WNK</t>
  </si>
  <si>
    <t>BM838SL</t>
  </si>
  <si>
    <t>BM838TAS</t>
  </si>
  <si>
    <t>BM9036</t>
  </si>
  <si>
    <t>BM9336</t>
  </si>
  <si>
    <t>BM337WR</t>
  </si>
  <si>
    <t>BM337WN</t>
  </si>
  <si>
    <t>BM337TAS</t>
  </si>
  <si>
    <t>BM837WNK</t>
  </si>
  <si>
    <t>BM837SL</t>
  </si>
  <si>
    <t>BM837TAS</t>
  </si>
  <si>
    <t>BM938CTOT</t>
  </si>
  <si>
    <t>BM937CTOT</t>
  </si>
  <si>
    <t>HP00030RH</t>
  </si>
  <si>
    <t>HP00030RNH</t>
  </si>
  <si>
    <t>HP00030WW</t>
  </si>
  <si>
    <t>HP00030WS</t>
  </si>
  <si>
    <t>HP00030CTOT</t>
  </si>
  <si>
    <t>BR75033</t>
  </si>
  <si>
    <t>WS1001AL</t>
  </si>
  <si>
    <t>WS1001RWA</t>
  </si>
  <si>
    <t>WS1001RWT</t>
  </si>
  <si>
    <t>WS1001RWS</t>
  </si>
  <si>
    <t>WS1001WT</t>
  </si>
  <si>
    <t>WS1001TWD</t>
  </si>
  <si>
    <t>WS1001CAW</t>
  </si>
  <si>
    <t>WS1002AL</t>
  </si>
  <si>
    <t>WS1002RWA</t>
  </si>
  <si>
    <t>WS1002RWT</t>
  </si>
  <si>
    <t>WS1002RWS</t>
  </si>
  <si>
    <t>WS1002WT</t>
  </si>
  <si>
    <t>WS1002TWD</t>
  </si>
  <si>
    <t>WS1002CAW</t>
  </si>
  <si>
    <t>WS1003AL</t>
  </si>
  <si>
    <t>WS1003RWA</t>
  </si>
  <si>
    <t>WS1003RWT</t>
  </si>
  <si>
    <t>WS1003RWS</t>
  </si>
  <si>
    <t>WS1003WT</t>
  </si>
  <si>
    <t>WS1003TWD</t>
  </si>
  <si>
    <t>WS1003CAW</t>
  </si>
  <si>
    <t>WS1004AL</t>
  </si>
  <si>
    <t>WS1004RWA</t>
  </si>
  <si>
    <t>WS1004RWT</t>
  </si>
  <si>
    <t>WS1004RWS</t>
  </si>
  <si>
    <t>WS1004WT</t>
  </si>
  <si>
    <t>WS1004TWD</t>
  </si>
  <si>
    <t>WS1004CAW</t>
  </si>
  <si>
    <t>WS1005AL</t>
  </si>
  <si>
    <t>WS1005RWA</t>
  </si>
  <si>
    <t>WS1005RWT</t>
  </si>
  <si>
    <t>WS1005RWS</t>
  </si>
  <si>
    <t>WS1005WT</t>
  </si>
  <si>
    <t>WS1005TWD</t>
  </si>
  <si>
    <t>WS1005CAW</t>
  </si>
  <si>
    <t>WS1006AL</t>
  </si>
  <si>
    <t>WS1006RWA</t>
  </si>
  <si>
    <t>WS1006RWT</t>
  </si>
  <si>
    <t>WS1006RWS</t>
  </si>
  <si>
    <t>WS1006WT</t>
  </si>
  <si>
    <t>WS1006TWD</t>
  </si>
  <si>
    <t>WS1006CAW</t>
  </si>
  <si>
    <t>WS1007AL</t>
  </si>
  <si>
    <t>WS1007RWA</t>
  </si>
  <si>
    <t>WS1007RWT</t>
  </si>
  <si>
    <t>WS1007RWS</t>
  </si>
  <si>
    <t>WS1007WT</t>
  </si>
  <si>
    <t>WS1007TWD</t>
  </si>
  <si>
    <t>WS1007CAW</t>
  </si>
  <si>
    <t>WS1008AL</t>
  </si>
  <si>
    <t>WS1008RWA</t>
  </si>
  <si>
    <t>WS1008RWT</t>
  </si>
  <si>
    <t>WS1008RWS</t>
  </si>
  <si>
    <t>WS1008WT</t>
  </si>
  <si>
    <t>WS1008TWD</t>
  </si>
  <si>
    <t>WS1008CAW</t>
  </si>
  <si>
    <t>WS1009AL</t>
  </si>
  <si>
    <t>WS1009RWA</t>
  </si>
  <si>
    <t>WS1009RWT</t>
  </si>
  <si>
    <t>WS1009RWS</t>
  </si>
  <si>
    <t>WS1009WT</t>
  </si>
  <si>
    <t>WS1009TWD</t>
  </si>
  <si>
    <t>WS1009CAW</t>
  </si>
  <si>
    <t>WS1010AL</t>
  </si>
  <si>
    <t>WS1010RWA</t>
  </si>
  <si>
    <t>WS1010RWT</t>
  </si>
  <si>
    <t>WS1010RWS</t>
  </si>
  <si>
    <t>WS1010WT</t>
  </si>
  <si>
    <t>WS1010TWD</t>
  </si>
  <si>
    <t>WS1010CAW</t>
  </si>
  <si>
    <t>WS1011AL</t>
  </si>
  <si>
    <t>WS1011RWA</t>
  </si>
  <si>
    <t>WS1011RWT</t>
  </si>
  <si>
    <t>WS1011RWS</t>
  </si>
  <si>
    <t>WS1011WT</t>
  </si>
  <si>
    <t>WS1011TWD</t>
  </si>
  <si>
    <t>WS1011CAW</t>
  </si>
  <si>
    <t>WS1012AL</t>
  </si>
  <si>
    <t>WS1012RWA</t>
  </si>
  <si>
    <t>WS1012RWT</t>
  </si>
  <si>
    <t>WS1012RWS</t>
  </si>
  <si>
    <t>WS1012WT</t>
  </si>
  <si>
    <t>WS1012TWD</t>
  </si>
  <si>
    <t>WS1012CAW</t>
  </si>
  <si>
    <t>WS1013AL</t>
  </si>
  <si>
    <t>WS1013RWA</t>
  </si>
  <si>
    <t>WS1013RWT</t>
  </si>
  <si>
    <t>WS1013RWS</t>
  </si>
  <si>
    <t>WS1013WT</t>
  </si>
  <si>
    <t>WS1013TWD</t>
  </si>
  <si>
    <t>WS1013CAW</t>
  </si>
  <si>
    <t>WS1014AL</t>
  </si>
  <si>
    <t>WS1014RWA</t>
  </si>
  <si>
    <t>WS1014RWT</t>
  </si>
  <si>
    <t>WS1014RWS</t>
  </si>
  <si>
    <t>WS1014WT</t>
  </si>
  <si>
    <t>WS1014TWD</t>
  </si>
  <si>
    <t>WS1014CAW</t>
  </si>
  <si>
    <t>WS1015AL</t>
  </si>
  <si>
    <t>WS1015RWA</t>
  </si>
  <si>
    <t>WS1015RWT</t>
  </si>
  <si>
    <t>WS1015RWS</t>
  </si>
  <si>
    <t>WS1015WT</t>
  </si>
  <si>
    <t>WS1015TWD</t>
  </si>
  <si>
    <t>WS1015CAW</t>
  </si>
  <si>
    <t>WS1016AL</t>
  </si>
  <si>
    <t>WS1016RWA</t>
  </si>
  <si>
    <t>WS1016RWT</t>
  </si>
  <si>
    <t>WS1016RWS</t>
  </si>
  <si>
    <t>WS1016WT</t>
  </si>
  <si>
    <t>WS1016TWD</t>
  </si>
  <si>
    <t>WS1016CAW</t>
  </si>
  <si>
    <t>WS1017AL</t>
  </si>
  <si>
    <t>WS1017RWA</t>
  </si>
  <si>
    <t>WS1017RWT</t>
  </si>
  <si>
    <t>WS1017RWS</t>
  </si>
  <si>
    <t>WS1017WT</t>
  </si>
  <si>
    <t>WS1017TWD</t>
  </si>
  <si>
    <t>WS1017CAW</t>
  </si>
  <si>
    <t>WS1018AL</t>
  </si>
  <si>
    <t>WS1018RWA</t>
  </si>
  <si>
    <t>WS1018RWT</t>
  </si>
  <si>
    <t>WS1018RWS</t>
  </si>
  <si>
    <t>WS1018WT</t>
  </si>
  <si>
    <t>WS1018TWD</t>
  </si>
  <si>
    <t>WS1018CAW</t>
  </si>
  <si>
    <t>WS1019AL</t>
  </si>
  <si>
    <t>WS1019RWA</t>
  </si>
  <si>
    <t>WS1019RWT</t>
  </si>
  <si>
    <t>WS1019RWS</t>
  </si>
  <si>
    <t>WS1019WT</t>
  </si>
  <si>
    <t>WS1019TWD</t>
  </si>
  <si>
    <t>WS1019CAW</t>
  </si>
  <si>
    <t>WS1020AL</t>
  </si>
  <si>
    <t>WS1020RWA</t>
  </si>
  <si>
    <t>WS1020RWT</t>
  </si>
  <si>
    <t>WS1020RWS</t>
  </si>
  <si>
    <t>WS1020WT</t>
  </si>
  <si>
    <t>WS1020TWD</t>
  </si>
  <si>
    <t>WS1020CAW</t>
  </si>
  <si>
    <t>WS1021AL</t>
  </si>
  <si>
    <t>WS1021RWA</t>
  </si>
  <si>
    <t>WS1021RWT</t>
  </si>
  <si>
    <t>WS1021RWS</t>
  </si>
  <si>
    <t>WS1021WT</t>
  </si>
  <si>
    <t>WS1021TWD</t>
  </si>
  <si>
    <t>WS1021CAW</t>
  </si>
  <si>
    <t>WS1022AL</t>
  </si>
  <si>
    <t>WS1022RWA</t>
  </si>
  <si>
    <t>WS1022RWT</t>
  </si>
  <si>
    <t>WS1022RWS</t>
  </si>
  <si>
    <t>WS1022WT</t>
  </si>
  <si>
    <t>WS1022TWD</t>
  </si>
  <si>
    <t>WS1022CAW</t>
  </si>
  <si>
    <t>WS1023AL</t>
  </si>
  <si>
    <t>WS1023RWA</t>
  </si>
  <si>
    <t>WS1023RWT</t>
  </si>
  <si>
    <t>WS1023RWS</t>
  </si>
  <si>
    <t>WS1023WT</t>
  </si>
  <si>
    <t>WS1023TWD</t>
  </si>
  <si>
    <t>WS1023CAW</t>
  </si>
  <si>
    <t>WS1024AL</t>
  </si>
  <si>
    <t>WS1024RWA</t>
  </si>
  <si>
    <t>WS1024RWT</t>
  </si>
  <si>
    <t>WS1024RWS</t>
  </si>
  <si>
    <t>WS1024WT</t>
  </si>
  <si>
    <t>WS1024TWD</t>
  </si>
  <si>
    <t>WS1024CAW</t>
  </si>
  <si>
    <t>BP3357001AL</t>
  </si>
  <si>
    <t>BP3357001RWA</t>
  </si>
  <si>
    <t>BP3357001RWT</t>
  </si>
  <si>
    <t>BP3357001RWS</t>
  </si>
  <si>
    <t>BP3357001WT</t>
  </si>
  <si>
    <t>BP3357001TWD</t>
  </si>
  <si>
    <t>BP3357001CAW</t>
  </si>
  <si>
    <t>BP3357002AL</t>
  </si>
  <si>
    <t>BP3357002RWA</t>
  </si>
  <si>
    <t>BP3357002RWT</t>
  </si>
  <si>
    <t>BP3357002RWS</t>
  </si>
  <si>
    <t>BP3357002WT</t>
  </si>
  <si>
    <t>BP3357002TWD</t>
  </si>
  <si>
    <t>BP3357002CAW</t>
  </si>
  <si>
    <t>BP3357003AL</t>
  </si>
  <si>
    <t>BP3357003RWA</t>
  </si>
  <si>
    <t>BP3357003RWT</t>
  </si>
  <si>
    <t>BP3357003RWS</t>
  </si>
  <si>
    <t>BP3357003WT</t>
  </si>
  <si>
    <t>BP3357003TWD</t>
  </si>
  <si>
    <t>BP3357003CAW</t>
  </si>
  <si>
    <t>BP3357004AL</t>
  </si>
  <si>
    <t>BP3357004RWA</t>
  </si>
  <si>
    <t>BP3357004RWT</t>
  </si>
  <si>
    <t>BP3357004RWS</t>
  </si>
  <si>
    <t>BP3357004WT</t>
  </si>
  <si>
    <t>BP3357004TWD</t>
  </si>
  <si>
    <t>BP3357004CAW</t>
  </si>
  <si>
    <t>BP3357005AL</t>
  </si>
  <si>
    <t>BP3357005RWA</t>
  </si>
  <si>
    <t>BP3357005RWT</t>
  </si>
  <si>
    <t>BP3357005RWS</t>
  </si>
  <si>
    <t>BP3357005WT</t>
  </si>
  <si>
    <t>BP3357005TWD</t>
  </si>
  <si>
    <t>BP3357005CAW</t>
  </si>
  <si>
    <t>BP3357006AL</t>
  </si>
  <si>
    <t>BP3357006RWA</t>
  </si>
  <si>
    <t>BP3357006RWT</t>
  </si>
  <si>
    <t>BP3357006RWS</t>
  </si>
  <si>
    <t>BP3357006WT</t>
  </si>
  <si>
    <t>BP3357006TWD</t>
  </si>
  <si>
    <t>BP3357006CAW</t>
  </si>
  <si>
    <t>BP3357007AL</t>
  </si>
  <si>
    <t>BP3357007RWA</t>
  </si>
  <si>
    <t>BP3357007RWT</t>
  </si>
  <si>
    <t>BP3357007RWS</t>
  </si>
  <si>
    <t>BP3357007WT</t>
  </si>
  <si>
    <t>BP3357007TWD</t>
  </si>
  <si>
    <t>BP3357007CAW</t>
  </si>
  <si>
    <t>BP3357008AL</t>
  </si>
  <si>
    <t>BP3357008RWA</t>
  </si>
  <si>
    <t>BP3357008RWT</t>
  </si>
  <si>
    <t>BP3357008RWS</t>
  </si>
  <si>
    <t>BP3357008WT</t>
  </si>
  <si>
    <t>BP3357008TWD</t>
  </si>
  <si>
    <t>BP3357008CAW</t>
  </si>
  <si>
    <t>BP3357009AL</t>
  </si>
  <si>
    <t>BP3357009RWA</t>
  </si>
  <si>
    <t>BP3357009RWT</t>
  </si>
  <si>
    <t>BP3357009RWS</t>
  </si>
  <si>
    <t>BP3357009WT</t>
  </si>
  <si>
    <t>BP3357009TWD</t>
  </si>
  <si>
    <t>BP3357009CAW</t>
  </si>
  <si>
    <t>BP3357010AL</t>
  </si>
  <si>
    <t>BP3357010RWA</t>
  </si>
  <si>
    <t>BP3357010RWT</t>
  </si>
  <si>
    <t>BP3357010RWS</t>
  </si>
  <si>
    <t>BP3357010WT</t>
  </si>
  <si>
    <t>BP3357010TWD</t>
  </si>
  <si>
    <t>BP3357010CAW</t>
  </si>
  <si>
    <t>BP3357020AL</t>
  </si>
  <si>
    <t>BP3357020RWA</t>
  </si>
  <si>
    <t>BP3357020RWT</t>
  </si>
  <si>
    <t>BP3357020RWS</t>
  </si>
  <si>
    <t>BP3357020WT</t>
  </si>
  <si>
    <t>BP3357020TWD</t>
  </si>
  <si>
    <t>BP3357020CAW</t>
  </si>
  <si>
    <t>W3026TEAL</t>
  </si>
  <si>
    <t>W3026TERWA</t>
  </si>
  <si>
    <t>W3026TERWT</t>
  </si>
  <si>
    <t>W3026TERWS</t>
  </si>
  <si>
    <t>W3026TEWT</t>
  </si>
  <si>
    <t>W3026TETWD</t>
  </si>
  <si>
    <t>W3026TECAW</t>
  </si>
  <si>
    <t>WWS1001FL</t>
  </si>
  <si>
    <t>WWS1001SWD</t>
  </si>
  <si>
    <t>WWS1001HD</t>
  </si>
  <si>
    <t>WWS1001STD</t>
  </si>
  <si>
    <t>WWS1001SLT</t>
  </si>
  <si>
    <t>WWS1001STP</t>
  </si>
  <si>
    <t>WWS1001SDT</t>
  </si>
  <si>
    <t>WWS1001SDD</t>
  </si>
  <si>
    <t>WWS1001CAS</t>
  </si>
  <si>
    <t>WWS1002FL</t>
  </si>
  <si>
    <t>WWS1002SWD</t>
  </si>
  <si>
    <t>WWS1002HD</t>
  </si>
  <si>
    <t>WWS1002STD</t>
  </si>
  <si>
    <t>WWS1002SLT</t>
  </si>
  <si>
    <t>WWS1002STP</t>
  </si>
  <si>
    <t>WWS1002SDT</t>
  </si>
  <si>
    <t>WWS1002SDD</t>
  </si>
  <si>
    <t>WWS1002CAS</t>
  </si>
  <si>
    <t>WWS1003FL</t>
  </si>
  <si>
    <t>WWS1003SWD</t>
  </si>
  <si>
    <t>WWS1003HD</t>
  </si>
  <si>
    <t>WWS1003STD</t>
  </si>
  <si>
    <t>WWS1003SLT</t>
  </si>
  <si>
    <t>WWS1003STP</t>
  </si>
  <si>
    <t>WWS1003SDT</t>
  </si>
  <si>
    <t>WWS1003SDD</t>
  </si>
  <si>
    <t>WWS1003CAS</t>
  </si>
  <si>
    <t>WWS1004FL</t>
  </si>
  <si>
    <t>WWS1004SWD</t>
  </si>
  <si>
    <t>WWS1004HD</t>
  </si>
  <si>
    <t>WWS1004STD</t>
  </si>
  <si>
    <t>WWS1004SLT</t>
  </si>
  <si>
    <t>WWS1004STP</t>
  </si>
  <si>
    <t>WWS1004SDT</t>
  </si>
  <si>
    <t>WWS1004SDD</t>
  </si>
  <si>
    <t>WWS1004CAS</t>
  </si>
  <si>
    <t>WWS1005FL</t>
  </si>
  <si>
    <t>WWS1005SWD</t>
  </si>
  <si>
    <t>WWS1005HD</t>
  </si>
  <si>
    <t>WWS1005STD</t>
  </si>
  <si>
    <t>WWS1005SLT</t>
  </si>
  <si>
    <t>WWS1005STP</t>
  </si>
  <si>
    <t>WWS1005SDT</t>
  </si>
  <si>
    <t>WWS1005SDD</t>
  </si>
  <si>
    <t>WWS1005CAS</t>
  </si>
  <si>
    <t>WWS1006FL</t>
  </si>
  <si>
    <t>WWS1006SWD</t>
  </si>
  <si>
    <t>WWS1006HD</t>
  </si>
  <si>
    <t>WWS1006STD</t>
  </si>
  <si>
    <t>WWS1006SLT</t>
  </si>
  <si>
    <t>WWS1006STP</t>
  </si>
  <si>
    <t>WWS1006SDT</t>
  </si>
  <si>
    <t>WWS1006SDD</t>
  </si>
  <si>
    <t>WWS1006CAS</t>
  </si>
  <si>
    <t>WWS1007FL</t>
  </si>
  <si>
    <t>WWS1007SWD</t>
  </si>
  <si>
    <t>WWS1007HD</t>
  </si>
  <si>
    <t>WWS1007STD</t>
  </si>
  <si>
    <t>WWS1007SLT</t>
  </si>
  <si>
    <t>WWS1007STP</t>
  </si>
  <si>
    <t>WWS1007SDT</t>
  </si>
  <si>
    <t>WWS1007SDD</t>
  </si>
  <si>
    <t>WWS1007CAS</t>
  </si>
  <si>
    <t>WWS1008FL</t>
  </si>
  <si>
    <t>WWS1008SWD</t>
  </si>
  <si>
    <t>WWS1008HD</t>
  </si>
  <si>
    <t>WWS1008STD</t>
  </si>
  <si>
    <t>WWS1008SLT</t>
  </si>
  <si>
    <t>WWS1008STP</t>
  </si>
  <si>
    <t>WWS1008SDT</t>
  </si>
  <si>
    <t>WWS1008SDD</t>
  </si>
  <si>
    <t>WWS1008CAS</t>
  </si>
  <si>
    <t>WWS1009FL</t>
  </si>
  <si>
    <t>WWS1009SWD</t>
  </si>
  <si>
    <t>WWS1009HD</t>
  </si>
  <si>
    <t>WWS1009STD</t>
  </si>
  <si>
    <t>WWS1009SLT</t>
  </si>
  <si>
    <t>WWS1009STP</t>
  </si>
  <si>
    <t>WWS1009SDT</t>
  </si>
  <si>
    <t>WWS1009SDD</t>
  </si>
  <si>
    <t>WWS1009CAS</t>
  </si>
  <si>
    <t>WWS1010FL</t>
  </si>
  <si>
    <t>WWS1010SWD</t>
  </si>
  <si>
    <t>WWS1010HD</t>
  </si>
  <si>
    <t>WWS1010STD</t>
  </si>
  <si>
    <t>WWS1010SLT</t>
  </si>
  <si>
    <t>WWS1010STP</t>
  </si>
  <si>
    <t>WWS1010SDT</t>
  </si>
  <si>
    <t>WWS1010SDD</t>
  </si>
  <si>
    <t>WWS1010CAS</t>
  </si>
  <si>
    <t>WWS1011FL</t>
  </si>
  <si>
    <t>WWS1011SWD</t>
  </si>
  <si>
    <t>WWS1011HD</t>
  </si>
  <si>
    <t>WWS1011STD</t>
  </si>
  <si>
    <t>WWS1011SLT</t>
  </si>
  <si>
    <t>WWS1011STP</t>
  </si>
  <si>
    <t>WWS1011SDT</t>
  </si>
  <si>
    <t>WWS1011SDD</t>
  </si>
  <si>
    <t>WWS1011CAS</t>
  </si>
  <si>
    <t>WWS1012FL</t>
  </si>
  <si>
    <t>WWS1012SWD</t>
  </si>
  <si>
    <t>WWS1012HD</t>
  </si>
  <si>
    <t>WWS1012STD</t>
  </si>
  <si>
    <t>WWS1012SLT</t>
  </si>
  <si>
    <t>WWS1012STP</t>
  </si>
  <si>
    <t>WWS1012SDT</t>
  </si>
  <si>
    <t>WWS1012SDD</t>
  </si>
  <si>
    <t>WWS1012CAS</t>
  </si>
  <si>
    <t>WWS1013FL</t>
  </si>
  <si>
    <t>WWS1013SWD</t>
  </si>
  <si>
    <t>WWS1013HD</t>
  </si>
  <si>
    <t>WWS1013STD</t>
  </si>
  <si>
    <t>WWS1013SLT</t>
  </si>
  <si>
    <t>WWS1013STP</t>
  </si>
  <si>
    <t>WWS1013SDT</t>
  </si>
  <si>
    <t>WWS1013SDD</t>
  </si>
  <si>
    <t>WWS1013CAS</t>
  </si>
  <si>
    <t>WWS1014FL</t>
  </si>
  <si>
    <t>WWS1014SWD</t>
  </si>
  <si>
    <t>WWS1014HD</t>
  </si>
  <si>
    <t>WWS1014STD</t>
  </si>
  <si>
    <t>WWS1014SLT</t>
  </si>
  <si>
    <t>WWS1014STP</t>
  </si>
  <si>
    <t>WWS1014SDT</t>
  </si>
  <si>
    <t>WWS1014SDD</t>
  </si>
  <si>
    <t>WWS1014CAS</t>
  </si>
  <si>
    <t>WWS1015FL</t>
  </si>
  <si>
    <t>WWS1015SWD</t>
  </si>
  <si>
    <t>WWS1015HD</t>
  </si>
  <si>
    <t>WWS1015STD</t>
  </si>
  <si>
    <t>WWS1015SLT</t>
  </si>
  <si>
    <t>WWS1015STP</t>
  </si>
  <si>
    <t>WWS1015SDT</t>
  </si>
  <si>
    <t>WWS1015SDD</t>
  </si>
  <si>
    <t>WWS1015CAS</t>
  </si>
  <si>
    <t>WWS1016FL</t>
  </si>
  <si>
    <t>WWS1016SWD</t>
  </si>
  <si>
    <t>WWS1016HD</t>
  </si>
  <si>
    <t>WWS1016STD</t>
  </si>
  <si>
    <t>WWS1016SLT</t>
  </si>
  <si>
    <t>WWS1016STP</t>
  </si>
  <si>
    <t>WWS1016SDT</t>
  </si>
  <si>
    <t>WWS1016SDD</t>
  </si>
  <si>
    <t>WWS1016CAS</t>
  </si>
  <si>
    <t>WWS1017FL</t>
  </si>
  <si>
    <t>WWS1017SWD</t>
  </si>
  <si>
    <t>WWS1017HD</t>
  </si>
  <si>
    <t>WWS1017STD</t>
  </si>
  <si>
    <t>WWS1017SLT</t>
  </si>
  <si>
    <t>WWS1017STP</t>
  </si>
  <si>
    <t>WWS1017SDT</t>
  </si>
  <si>
    <t>WWS1017SDD</t>
  </si>
  <si>
    <t>WWS1017CAS</t>
  </si>
  <si>
    <t>WWS1018FL</t>
  </si>
  <si>
    <t>WWS1018SWD</t>
  </si>
  <si>
    <t>WWS1018HD</t>
  </si>
  <si>
    <t>WWS1018STD</t>
  </si>
  <si>
    <t>WWS1018SLT</t>
  </si>
  <si>
    <t>WWS1018STP</t>
  </si>
  <si>
    <t>WWS1018SDT</t>
  </si>
  <si>
    <t>WWS1018SDD</t>
  </si>
  <si>
    <t>WWS1018CAS</t>
  </si>
  <si>
    <t>WWS1019FL</t>
  </si>
  <si>
    <t>WWS1019SWD</t>
  </si>
  <si>
    <t>WWS1019HD</t>
  </si>
  <si>
    <t>WWS1019STD</t>
  </si>
  <si>
    <t>WWS1019SLT</t>
  </si>
  <si>
    <t>WWS1019STP</t>
  </si>
  <si>
    <t>WWS1019SDT</t>
  </si>
  <si>
    <t>WWS1019SDD</t>
  </si>
  <si>
    <t>WWS1019CAS</t>
  </si>
  <si>
    <t>WWS1020FL</t>
  </si>
  <si>
    <t>WWS1020SWD</t>
  </si>
  <si>
    <t>WWS1020HD</t>
  </si>
  <si>
    <t>WWS1020STD</t>
  </si>
  <si>
    <t>WWS1020SLT</t>
  </si>
  <si>
    <t>WWS1020STP</t>
  </si>
  <si>
    <t>WWS1020SDT</t>
  </si>
  <si>
    <t>WWS1020SDD</t>
  </si>
  <si>
    <t>WWS1020CAS</t>
  </si>
  <si>
    <t>WWS1021FL</t>
  </si>
  <si>
    <t>WWS1021SWD</t>
  </si>
  <si>
    <t>WWS1021HD</t>
  </si>
  <si>
    <t>WWS1021STD</t>
  </si>
  <si>
    <t>WWS1021SLT</t>
  </si>
  <si>
    <t>WWS1021STP</t>
  </si>
  <si>
    <t>WWS1021SDT</t>
  </si>
  <si>
    <t>WWS1021SDD</t>
  </si>
  <si>
    <t>WWS1021CAS</t>
  </si>
  <si>
    <t>WWS1022FL</t>
  </si>
  <si>
    <t>WWS1022SWD</t>
  </si>
  <si>
    <t>WWS1022HD</t>
  </si>
  <si>
    <t>WWS1022STD</t>
  </si>
  <si>
    <t>WWS1022SLT</t>
  </si>
  <si>
    <t>WWS1022STP</t>
  </si>
  <si>
    <t>WWS1022SDT</t>
  </si>
  <si>
    <t>WWS1022SDD</t>
  </si>
  <si>
    <t>WWS1022CAS</t>
  </si>
  <si>
    <t>WWS1023FL</t>
  </si>
  <si>
    <t>WWS1023SWD</t>
  </si>
  <si>
    <t>WWS1023HD</t>
  </si>
  <si>
    <t>WWS1023STD</t>
  </si>
  <si>
    <t>WWS1023SLT</t>
  </si>
  <si>
    <t>WWS1023STP</t>
  </si>
  <si>
    <t>WWS1023SDT</t>
  </si>
  <si>
    <t>WWS1023SDD</t>
  </si>
  <si>
    <t>WWS1023CAS</t>
  </si>
  <si>
    <t>WWS1024FL</t>
  </si>
  <si>
    <t>WWS1024SWD</t>
  </si>
  <si>
    <t>WWS1024HD</t>
  </si>
  <si>
    <t>WWS1024STD</t>
  </si>
  <si>
    <t>WWS1024SLT</t>
  </si>
  <si>
    <t>WWS1024STP</t>
  </si>
  <si>
    <t>WWS1024SDT</t>
  </si>
  <si>
    <t>WWS1024SDD</t>
  </si>
  <si>
    <t>WWS1024CAS</t>
  </si>
  <si>
    <t>BP3357001FL</t>
  </si>
  <si>
    <t>BP3357001SWD</t>
  </si>
  <si>
    <t>BP3357001HD</t>
  </si>
  <si>
    <t>BP3357001STD</t>
  </si>
  <si>
    <t>BP3357001SLT</t>
  </si>
  <si>
    <t>BP3357001STP</t>
  </si>
  <si>
    <t>BP3357001SDT</t>
  </si>
  <si>
    <t>BP3357001SDD</t>
  </si>
  <si>
    <t>BP3357001CAS</t>
  </si>
  <si>
    <t>BP3357002FL</t>
  </si>
  <si>
    <t>BP3357002SWD</t>
  </si>
  <si>
    <t>BP3357002HD</t>
  </si>
  <si>
    <t>BP3357002STD</t>
  </si>
  <si>
    <t>BP3357002SLT</t>
  </si>
  <si>
    <t>BP3357002STP</t>
  </si>
  <si>
    <t>BP3357002SDT</t>
  </si>
  <si>
    <t>BP3357002SDD</t>
  </si>
  <si>
    <t>BP3357002CAS</t>
  </si>
  <si>
    <t>BP3357003FL</t>
  </si>
  <si>
    <t>BP3357003SWD</t>
  </si>
  <si>
    <t>BP3357003HD</t>
  </si>
  <si>
    <t>BP3357003STD</t>
  </si>
  <si>
    <t>BP3357003SLT</t>
  </si>
  <si>
    <t>BP3357003STP</t>
  </si>
  <si>
    <t>BP3357003SDT</t>
  </si>
  <si>
    <t>BP3357003SDD</t>
  </si>
  <si>
    <t>BP3357003CAS</t>
  </si>
  <si>
    <t>BP3357004FL</t>
  </si>
  <si>
    <t>BP3357004SWD</t>
  </si>
  <si>
    <t>BP3357004HD</t>
  </si>
  <si>
    <t>BP3357004STD</t>
  </si>
  <si>
    <t>BP3357004SLT</t>
  </si>
  <si>
    <t>BP3357004STP</t>
  </si>
  <si>
    <t>BP3357004SDT</t>
  </si>
  <si>
    <t>BP3357004SDD</t>
  </si>
  <si>
    <t>BP3357004CAS</t>
  </si>
  <si>
    <t>BP3357005FL</t>
  </si>
  <si>
    <t>BP3357005SWD</t>
  </si>
  <si>
    <t>BP3357005HD</t>
  </si>
  <si>
    <t>BP3357005STD</t>
  </si>
  <si>
    <t>BP3357005SLT</t>
  </si>
  <si>
    <t>BP3357005STP</t>
  </si>
  <si>
    <t>BP3357005SDT</t>
  </si>
  <si>
    <t>BP3357005SDD</t>
  </si>
  <si>
    <t>BP3357005CAS</t>
  </si>
  <si>
    <t>BP3357006FL</t>
  </si>
  <si>
    <t>BP3357006SWD</t>
  </si>
  <si>
    <t>BP3357006HD</t>
  </si>
  <si>
    <t>BP3357006STD</t>
  </si>
  <si>
    <t>BP3357006SLT</t>
  </si>
  <si>
    <t>BP3357006STP</t>
  </si>
  <si>
    <t>BP3357006SDT</t>
  </si>
  <si>
    <t>BP3357006SDD</t>
  </si>
  <si>
    <t>BP3357006CAS</t>
  </si>
  <si>
    <t>BP3357007FL</t>
  </si>
  <si>
    <t>BP3357007SWD</t>
  </si>
  <si>
    <t>BP3357007HD</t>
  </si>
  <si>
    <t>BP3357007STD</t>
  </si>
  <si>
    <t>BP3357007SLT</t>
  </si>
  <si>
    <t>BP3357007STP</t>
  </si>
  <si>
    <t>BP3357007SDT</t>
  </si>
  <si>
    <t>BP3357007SDD</t>
  </si>
  <si>
    <t>BP3357007CAS</t>
  </si>
  <si>
    <t>BP3357008FL</t>
  </si>
  <si>
    <t>BP3357008SWD</t>
  </si>
  <si>
    <t>BP3357008HD</t>
  </si>
  <si>
    <t>BP3357008STD</t>
  </si>
  <si>
    <t>BP3357008SLT</t>
  </si>
  <si>
    <t>BP3357008STP</t>
  </si>
  <si>
    <t>BP3357008SDT</t>
  </si>
  <si>
    <t>BP3357008SDD</t>
  </si>
  <si>
    <t>BP3357008CAS</t>
  </si>
  <si>
    <t>BP3357009FL</t>
  </si>
  <si>
    <t>BP3357009SWD</t>
  </si>
  <si>
    <t>BP3357009HD</t>
  </si>
  <si>
    <t>BP3357009STD</t>
  </si>
  <si>
    <t>BP3357009SLT</t>
  </si>
  <si>
    <t>BP3357009STP</t>
  </si>
  <si>
    <t>BP3357009SDT</t>
  </si>
  <si>
    <t>BP3357009SDD</t>
  </si>
  <si>
    <t>BP3357009CAS</t>
  </si>
  <si>
    <t>BP3357010FL</t>
  </si>
  <si>
    <t>BP3357010SWD</t>
  </si>
  <si>
    <t>BP3357010HD</t>
  </si>
  <si>
    <t>BP3357010STD</t>
  </si>
  <si>
    <t>BP3357010SLT</t>
  </si>
  <si>
    <t>BP3357010STP</t>
  </si>
  <si>
    <t>BP3357010SDT</t>
  </si>
  <si>
    <t>BP3357010SDD</t>
  </si>
  <si>
    <t>BP3357010CAS</t>
  </si>
  <si>
    <t>BP3357020FL</t>
  </si>
  <si>
    <t>BP3357020SWD</t>
  </si>
  <si>
    <t>BP3357020HD</t>
  </si>
  <si>
    <t>BP3357020STD</t>
  </si>
  <si>
    <t>BP3357020SLT</t>
  </si>
  <si>
    <t>BP3357020STP</t>
  </si>
  <si>
    <t>BP3357020SDT</t>
  </si>
  <si>
    <t>BP3357020SDD</t>
  </si>
  <si>
    <t>BP3357020CAS</t>
  </si>
  <si>
    <t>S3040TCAFL</t>
  </si>
  <si>
    <t>S3040TCASWD</t>
  </si>
  <si>
    <t>S3040TCAHD</t>
  </si>
  <si>
    <t>S3040TCASTD</t>
  </si>
  <si>
    <t>S3040TCASLT</t>
  </si>
  <si>
    <t>S3040TCASTP</t>
  </si>
  <si>
    <t>S3040TCASDT</t>
  </si>
  <si>
    <t>S3040TCASDD</t>
  </si>
  <si>
    <t>S3040TCACAS</t>
  </si>
  <si>
    <t>W3001RWA</t>
  </si>
  <si>
    <t>W3001RWT</t>
  </si>
  <si>
    <t>W3001RWS</t>
  </si>
  <si>
    <t>W3001WT</t>
  </si>
  <si>
    <t>W3001TWD</t>
  </si>
  <si>
    <t>W3001CAW</t>
  </si>
  <si>
    <t>W3001RWACUM</t>
  </si>
  <si>
    <t>W3001RWTCUM</t>
  </si>
  <si>
    <t>W3001RWSCUM</t>
  </si>
  <si>
    <t>W3001WTCUM</t>
  </si>
  <si>
    <t>W3001TWDCUM</t>
  </si>
  <si>
    <t>W3001CAWCUM</t>
  </si>
  <si>
    <t>WS2002RWA</t>
  </si>
  <si>
    <t>WS2002RWT</t>
  </si>
  <si>
    <t>WS2002RWS</t>
  </si>
  <si>
    <t>WS2002WT</t>
  </si>
  <si>
    <t>WS2002TWD</t>
  </si>
  <si>
    <t>WS2002CAW</t>
  </si>
  <si>
    <t>WS2002RWACUM</t>
  </si>
  <si>
    <t>WS2002RWTCUM</t>
  </si>
  <si>
    <t>WS2002RWSCUM</t>
  </si>
  <si>
    <t>WS2002WTCUM</t>
  </si>
  <si>
    <t>WS2002TWDCUM</t>
  </si>
  <si>
    <t>WS2002CAWCUM</t>
  </si>
  <si>
    <t>W3002RWA</t>
  </si>
  <si>
    <t>W3002RWT</t>
  </si>
  <si>
    <t>W3002RWS</t>
  </si>
  <si>
    <t>W3002WT</t>
  </si>
  <si>
    <t>W3002TWD</t>
  </si>
  <si>
    <t>W3002CAW</t>
  </si>
  <si>
    <t>W3002RWACUM</t>
  </si>
  <si>
    <t>W3002RWTCUM</t>
  </si>
  <si>
    <t>W3002RWSCUM</t>
  </si>
  <si>
    <t>W3002WTCUM</t>
  </si>
  <si>
    <t>W3002TWDCUM</t>
  </si>
  <si>
    <t>W3002CAWCUM</t>
  </si>
  <si>
    <t>W3003RWA</t>
  </si>
  <si>
    <t>W3003RWT</t>
  </si>
  <si>
    <t>W3003RWS</t>
  </si>
  <si>
    <t>W3003WT</t>
  </si>
  <si>
    <t>W3003TWD</t>
  </si>
  <si>
    <t>W3003CAW</t>
  </si>
  <si>
    <t>W3003RWACUM</t>
  </si>
  <si>
    <t>W3003RWTCUM</t>
  </si>
  <si>
    <t>W3003RWSCUM</t>
  </si>
  <si>
    <t>W3003WTCUM</t>
  </si>
  <si>
    <t>W3003TWDCUM</t>
  </si>
  <si>
    <t>W3003CAWCUM</t>
  </si>
  <si>
    <t>W3006RWA</t>
  </si>
  <si>
    <t>W3006RWT</t>
  </si>
  <si>
    <t>W3006RWS</t>
  </si>
  <si>
    <t>W3006WT</t>
  </si>
  <si>
    <t>W3006TWD</t>
  </si>
  <si>
    <t>W3006CAW</t>
  </si>
  <si>
    <t>W3006RWACUM</t>
  </si>
  <si>
    <t>W3006RWTCUM</t>
  </si>
  <si>
    <t>W3006RWSCUM</t>
  </si>
  <si>
    <t>W3006WTCUM</t>
  </si>
  <si>
    <t>W3006TWDCUM</t>
  </si>
  <si>
    <t>W3006CAWCUM</t>
  </si>
  <si>
    <t>W3007SRWA</t>
  </si>
  <si>
    <t>W3007SRWT</t>
  </si>
  <si>
    <t>W3007SRWS</t>
  </si>
  <si>
    <t>W3007SWT</t>
  </si>
  <si>
    <t>W3007STWD</t>
  </si>
  <si>
    <t>W3007SCAW</t>
  </si>
  <si>
    <t>W3007SRWACUM</t>
  </si>
  <si>
    <t>W3007SRWTCUM</t>
  </si>
  <si>
    <t>W3007SRWSCUM</t>
  </si>
  <si>
    <t>W3007SWTCUM</t>
  </si>
  <si>
    <t>W3007STWDCUM</t>
  </si>
  <si>
    <t>W3007SCAWCUM</t>
  </si>
  <si>
    <t>W3008SRWA</t>
  </si>
  <si>
    <t>W3008SRWT</t>
  </si>
  <si>
    <t>W3008SRWS</t>
  </si>
  <si>
    <t>W3008SWT</t>
  </si>
  <si>
    <t>W3008STWD</t>
  </si>
  <si>
    <t>W3008SCAW</t>
  </si>
  <si>
    <t>W3008SRWACUM</t>
  </si>
  <si>
    <t>W3008SRWTCUM</t>
  </si>
  <si>
    <t>W3008SRWSCUM</t>
  </si>
  <si>
    <t>W3008SWTCUM</t>
  </si>
  <si>
    <t>W3008STWDCUM</t>
  </si>
  <si>
    <t>W3008SCAWCUM</t>
  </si>
  <si>
    <t>W3007DRWA</t>
  </si>
  <si>
    <t>W3007DRWT</t>
  </si>
  <si>
    <t>W3007DRWS</t>
  </si>
  <si>
    <t>W3007DWT</t>
  </si>
  <si>
    <t>W3007DTWD</t>
  </si>
  <si>
    <t>W3007DCAW</t>
  </si>
  <si>
    <t>W3007DRWACUM</t>
  </si>
  <si>
    <t>W3007DRWTCUM</t>
  </si>
  <si>
    <t>W3007DRWSCUM</t>
  </si>
  <si>
    <t>W3007DWTCUM</t>
  </si>
  <si>
    <t>W3007DTWDCUM</t>
  </si>
  <si>
    <t>W3007DCAWCUM</t>
  </si>
  <si>
    <t>W3008DRWA</t>
  </si>
  <si>
    <t>W3008DRWT</t>
  </si>
  <si>
    <t>W3008DRWS</t>
  </si>
  <si>
    <t>W3008DWT</t>
  </si>
  <si>
    <t>W3008DTWD</t>
  </si>
  <si>
    <t>W3008DCAW</t>
  </si>
  <si>
    <t>W3008DRWACUM</t>
  </si>
  <si>
    <t>W3008DRWTCUM</t>
  </si>
  <si>
    <t>W3008DRWSCUM</t>
  </si>
  <si>
    <t>W3008DWTCUM</t>
  </si>
  <si>
    <t>W3008DTWDCUM</t>
  </si>
  <si>
    <t>W3008DCAWCUM</t>
  </si>
  <si>
    <t>W3009RWA</t>
  </si>
  <si>
    <t>W3009RWT</t>
  </si>
  <si>
    <t>W3009RWS</t>
  </si>
  <si>
    <t>W3009WT</t>
  </si>
  <si>
    <t>W3009TWD</t>
  </si>
  <si>
    <t>W3009CAW</t>
  </si>
  <si>
    <t>W3009RWACUM</t>
  </si>
  <si>
    <t>W3009RWTCUM</t>
  </si>
  <si>
    <t>W3009RWSCUM</t>
  </si>
  <si>
    <t>W3009WTCUM</t>
  </si>
  <si>
    <t>W3009TWDCUM</t>
  </si>
  <si>
    <t>W3009CAWCUM</t>
  </si>
  <si>
    <t>WS2004RWA</t>
  </si>
  <si>
    <t>WS2004RWT</t>
  </si>
  <si>
    <t>WS2004RWS</t>
  </si>
  <si>
    <t>WS2004WT</t>
  </si>
  <si>
    <t>WS2004TWD</t>
  </si>
  <si>
    <t>WS2004CAW</t>
  </si>
  <si>
    <t>WS2004RWACUM</t>
  </si>
  <si>
    <t>WS2004RWTCUM</t>
  </si>
  <si>
    <t>WS2004RWSCUM</t>
  </si>
  <si>
    <t>WS2004WTCUM</t>
  </si>
  <si>
    <t>WS2004TWDCUM</t>
  </si>
  <si>
    <t>WS2004CAWCUM</t>
  </si>
  <si>
    <t>W3010RWA</t>
  </si>
  <si>
    <t>W3010RWT</t>
  </si>
  <si>
    <t>W3010RWS</t>
  </si>
  <si>
    <t>W3010WT</t>
  </si>
  <si>
    <t>W3010TWD</t>
  </si>
  <si>
    <t>W3010CAW</t>
  </si>
  <si>
    <t>W3010RWACUM</t>
  </si>
  <si>
    <t>W3010RWTCUM</t>
  </si>
  <si>
    <t>W3010RWSCUM</t>
  </si>
  <si>
    <t>W3010WTCUM</t>
  </si>
  <si>
    <t>W3010TWDCUM</t>
  </si>
  <si>
    <t>W3010CAWCUM</t>
  </si>
  <si>
    <t>W3011RWA</t>
  </si>
  <si>
    <t>W3011RWT</t>
  </si>
  <si>
    <t>W3011RWS</t>
  </si>
  <si>
    <t>W3011WT</t>
  </si>
  <si>
    <t>W3011TWD</t>
  </si>
  <si>
    <t>W3011CAW</t>
  </si>
  <si>
    <t>W3011RWACUM</t>
  </si>
  <si>
    <t>W3011RWTCUM</t>
  </si>
  <si>
    <t>W3011RWSCUM</t>
  </si>
  <si>
    <t>W3011WTCUM</t>
  </si>
  <si>
    <t>W3011TWDCUM</t>
  </si>
  <si>
    <t>W3011CAWCUM</t>
  </si>
  <si>
    <t>W3012RWA</t>
  </si>
  <si>
    <t>W3012RWT</t>
  </si>
  <si>
    <t>W3012RWS</t>
  </si>
  <si>
    <t>W3012WT</t>
  </si>
  <si>
    <t>W3012TWD</t>
  </si>
  <si>
    <t>W3012CAW</t>
  </si>
  <si>
    <t>W3012RWACUM</t>
  </si>
  <si>
    <t>W3012RWTCUM</t>
  </si>
  <si>
    <t>W3012RWSCUM</t>
  </si>
  <si>
    <t>W3012WTCUM</t>
  </si>
  <si>
    <t>W3012TWDCUM</t>
  </si>
  <si>
    <t>W3012CAWCUM</t>
  </si>
  <si>
    <t>WS2008RWA</t>
  </si>
  <si>
    <t>WS2008RWT</t>
  </si>
  <si>
    <t>WS2008RWS</t>
  </si>
  <si>
    <t>WS2008WT</t>
  </si>
  <si>
    <t>WS2008TWD</t>
  </si>
  <si>
    <t>WS2008CAW</t>
  </si>
  <si>
    <t>WS2008RWACUM</t>
  </si>
  <si>
    <t>WS2008RWTCUM</t>
  </si>
  <si>
    <t>WS2008RWSCUM</t>
  </si>
  <si>
    <t>WS2008WTCUM</t>
  </si>
  <si>
    <t>WS2008TWDCUM</t>
  </si>
  <si>
    <t>WS2008CAWCUM</t>
  </si>
  <si>
    <t>W3027RWA</t>
  </si>
  <si>
    <t>W3027RWT</t>
  </si>
  <si>
    <t>W3027RWS</t>
  </si>
  <si>
    <t>W3027WT</t>
  </si>
  <si>
    <t>W3027TWD</t>
  </si>
  <si>
    <t>W3027CAW</t>
  </si>
  <si>
    <t>W3027RWACUM</t>
  </si>
  <si>
    <t>W3027RWTCUM</t>
  </si>
  <si>
    <t>W3027RWSCUM</t>
  </si>
  <si>
    <t>W3027WTCUM</t>
  </si>
  <si>
    <t>W3027TWDCUM</t>
  </si>
  <si>
    <t>W3027CAWCUM</t>
  </si>
  <si>
    <t>W3028OPTRWA</t>
  </si>
  <si>
    <t>W3028OPTRWT</t>
  </si>
  <si>
    <t>W3028OPTRWS</t>
  </si>
  <si>
    <t>W3028OPTWT</t>
  </si>
  <si>
    <t>W3028OPTTWD</t>
  </si>
  <si>
    <t>W3028OPTCAW</t>
  </si>
  <si>
    <t>W3028OPTRWACUM</t>
  </si>
  <si>
    <t>W3028OPTRWTCUM</t>
  </si>
  <si>
    <t>W3028OPTRWSCUM</t>
  </si>
  <si>
    <t>W3028OPTWTCUM</t>
  </si>
  <si>
    <t>W3028OPTTWDCUM</t>
  </si>
  <si>
    <t>W3028OPTCAWCUM</t>
  </si>
  <si>
    <t>W3028COMRWA</t>
  </si>
  <si>
    <t>W3028COMRWT</t>
  </si>
  <si>
    <t>W3028COMRWS</t>
  </si>
  <si>
    <t>W3028COMWT</t>
  </si>
  <si>
    <t>W3028COMTWD</t>
  </si>
  <si>
    <t>W3028COMCAW</t>
  </si>
  <si>
    <t>W3028COMRWACUM</t>
  </si>
  <si>
    <t>W3028COMRWTCUM</t>
  </si>
  <si>
    <t>W3028COMRWSCUM</t>
  </si>
  <si>
    <t>W3028COMWTCUM</t>
  </si>
  <si>
    <t>W3028COMTWDCUM</t>
  </si>
  <si>
    <t>W3028COMCAWCUM</t>
  </si>
  <si>
    <t>W3028NHORWA</t>
  </si>
  <si>
    <t>W3028NHORWT</t>
  </si>
  <si>
    <t>W3028NHORWS</t>
  </si>
  <si>
    <t>W3028NHOWT</t>
  </si>
  <si>
    <t>W3028NHOTWD</t>
  </si>
  <si>
    <t>W3028NHOCAW</t>
  </si>
  <si>
    <t>W3028NHORWACUM</t>
  </si>
  <si>
    <t>W3028NHORWTCUM</t>
  </si>
  <si>
    <t>W3028NHORWSCUM</t>
  </si>
  <si>
    <t>W3028NHOWTCUM</t>
  </si>
  <si>
    <t>W3028NHOTWDCUM</t>
  </si>
  <si>
    <t>W3028NHOCAWCUM</t>
  </si>
  <si>
    <t>W3A00001RWA</t>
  </si>
  <si>
    <t>W3A00001RWT</t>
  </si>
  <si>
    <t>W3A00001RWS</t>
  </si>
  <si>
    <t>W3A00001WT</t>
  </si>
  <si>
    <t>W3A00001TWD</t>
  </si>
  <si>
    <t>W3A00001CAW</t>
  </si>
  <si>
    <t>W3A00001RWACUM</t>
  </si>
  <si>
    <t>W3A00001RWTCUM</t>
  </si>
  <si>
    <t>W3A00001RWSCUM</t>
  </si>
  <si>
    <t>W3A00001WTCUM</t>
  </si>
  <si>
    <t>W3A00001TWDCUM</t>
  </si>
  <si>
    <t>W3A00001CAWCUM</t>
  </si>
  <si>
    <t>W3A00002RWA</t>
  </si>
  <si>
    <t>W3A00002RWT</t>
  </si>
  <si>
    <t>W3A00002RWS</t>
  </si>
  <si>
    <t>W3A00002WT</t>
  </si>
  <si>
    <t>W3A00002TWD</t>
  </si>
  <si>
    <t>W3A00002CAW</t>
  </si>
  <si>
    <t>W3A00002RWACUM</t>
  </si>
  <si>
    <t>W3A00002RWTCUM</t>
  </si>
  <si>
    <t>W3A00002RWSCUM</t>
  </si>
  <si>
    <t>W3A00002WTCUM</t>
  </si>
  <si>
    <t>W3A00002TWDCUM</t>
  </si>
  <si>
    <t>W3A00002CAWCUM</t>
  </si>
  <si>
    <t>W3A00003RWA</t>
  </si>
  <si>
    <t>W3A00003RWT</t>
  </si>
  <si>
    <t>W3A00003RWS</t>
  </si>
  <si>
    <t>W3A00003WT</t>
  </si>
  <si>
    <t>W3A00003TWD</t>
  </si>
  <si>
    <t>W3A00003CAW</t>
  </si>
  <si>
    <t>W3A00003RWACUM</t>
  </si>
  <si>
    <t>W3A00003RWTCUM</t>
  </si>
  <si>
    <t>W3A00003RWSCUM</t>
  </si>
  <si>
    <t>W3A00003WTCUM</t>
  </si>
  <si>
    <t>W3A00003TWDCUM</t>
  </si>
  <si>
    <t>W3A00003CAWCUM</t>
  </si>
  <si>
    <t>W3A00004RWA</t>
  </si>
  <si>
    <t>W3A00004RWT</t>
  </si>
  <si>
    <t>W3A00004RWS</t>
  </si>
  <si>
    <t>W3A00004WT</t>
  </si>
  <si>
    <t>W3A00004TWD</t>
  </si>
  <si>
    <t>W3A00004CAW</t>
  </si>
  <si>
    <t>W3A00004RWACUM</t>
  </si>
  <si>
    <t>W3A00004RWTCUM</t>
  </si>
  <si>
    <t>W3A00004RWSCUM</t>
  </si>
  <si>
    <t>W3A00004WTCUM</t>
  </si>
  <si>
    <t>W3A00004TWDCUM</t>
  </si>
  <si>
    <t>W3A00004CAWCUM</t>
  </si>
  <si>
    <t>W3A00005RWA</t>
  </si>
  <si>
    <t>W3A00005RWT</t>
  </si>
  <si>
    <t>W3A00005RWS</t>
  </si>
  <si>
    <t>W3A00005WT</t>
  </si>
  <si>
    <t>W3A00005TWD</t>
  </si>
  <si>
    <t>W3A00005CAW</t>
  </si>
  <si>
    <t>W3A00005RWACUM</t>
  </si>
  <si>
    <t>W3A00005RWTCUM</t>
  </si>
  <si>
    <t>W3A00005RWSCUM</t>
  </si>
  <si>
    <t>W3A00005WTCUM</t>
  </si>
  <si>
    <t>W3A00005TWDCUM</t>
  </si>
  <si>
    <t>W3A00005CAWCUM</t>
  </si>
  <si>
    <t>W3A00006RWA</t>
  </si>
  <si>
    <t>W3A00006RWT</t>
  </si>
  <si>
    <t>W3A00006RWS</t>
  </si>
  <si>
    <t>W3A00006WT</t>
  </si>
  <si>
    <t>W3A00006TWD</t>
  </si>
  <si>
    <t>W3A00006CAW</t>
  </si>
  <si>
    <t>W3A00006RWACUM</t>
  </si>
  <si>
    <t>W3A00006RWTCUM</t>
  </si>
  <si>
    <t>W3A00006RWSCUM</t>
  </si>
  <si>
    <t>W3A00006WTCUM</t>
  </si>
  <si>
    <t>W3A00006TWDCUM</t>
  </si>
  <si>
    <t>W3A00006CAWCUM</t>
  </si>
  <si>
    <t>W3A00007RWA</t>
  </si>
  <si>
    <t>W3A00007RWT</t>
  </si>
  <si>
    <t>W3A00007RWS</t>
  </si>
  <si>
    <t>W3A00007WT</t>
  </si>
  <si>
    <t>W3A00007TWD</t>
  </si>
  <si>
    <t>W3A00007CAW</t>
  </si>
  <si>
    <t>W3A00007RWACUM</t>
  </si>
  <si>
    <t>W3A00007RWTCUM</t>
  </si>
  <si>
    <t>W3A00007RWSCUM</t>
  </si>
  <si>
    <t>W3A00007WTCUM</t>
  </si>
  <si>
    <t>W3A00007TWDCUM</t>
  </si>
  <si>
    <t>W3A00007CAWCUM</t>
  </si>
  <si>
    <t>W3A00008RWA</t>
  </si>
  <si>
    <t>W3A00008RWT</t>
  </si>
  <si>
    <t>W3A00008RWS</t>
  </si>
  <si>
    <t>W3A00008WT</t>
  </si>
  <si>
    <t>W3A00008TWD</t>
  </si>
  <si>
    <t>W3A00008CAW</t>
  </si>
  <si>
    <t>W3A00008RWACUM</t>
  </si>
  <si>
    <t>W3A00008RWTCUM</t>
  </si>
  <si>
    <t>W3A00008RWSCUM</t>
  </si>
  <si>
    <t>W3A00008WTCUM</t>
  </si>
  <si>
    <t>W3A00008TWDCUM</t>
  </si>
  <si>
    <t>W3A00008CAWCUM</t>
  </si>
  <si>
    <t>W3A00009RWA</t>
  </si>
  <si>
    <t>W3A00009RWT</t>
  </si>
  <si>
    <t>W3A00009RWS</t>
  </si>
  <si>
    <t>W3A00009WT</t>
  </si>
  <si>
    <t>W3A00009TWD</t>
  </si>
  <si>
    <t>W3A00009CAW</t>
  </si>
  <si>
    <t>W3A00009RWACUM</t>
  </si>
  <si>
    <t>W3A00009RWTCUM</t>
  </si>
  <si>
    <t>W3A00009RWSCUM</t>
  </si>
  <si>
    <t>W3A00009WTCUM</t>
  </si>
  <si>
    <t>W3A00009TWDCUM</t>
  </si>
  <si>
    <t>W3A00009CAWCUM</t>
  </si>
  <si>
    <t>W3A00010RWA</t>
  </si>
  <si>
    <t>W3A00010RWT</t>
  </si>
  <si>
    <t>W3A00010RWS</t>
  </si>
  <si>
    <t>W3A00010WT</t>
  </si>
  <si>
    <t>W3A00010TWD</t>
  </si>
  <si>
    <t>W3A00010CAW</t>
  </si>
  <si>
    <t>W3A00010RWACUM</t>
  </si>
  <si>
    <t>W3A00010RWTCUM</t>
  </si>
  <si>
    <t>W3A00010RWSCUM</t>
  </si>
  <si>
    <t>W3A00010WTCUM</t>
  </si>
  <si>
    <t>W3A00010TWDCUM</t>
  </si>
  <si>
    <t>W3A00010CAWCUM</t>
  </si>
  <si>
    <t>W3A00011RWA</t>
  </si>
  <si>
    <t>W3A00011RWT</t>
  </si>
  <si>
    <t>W3A00011RWS</t>
  </si>
  <si>
    <t>W3A00011WT</t>
  </si>
  <si>
    <t>W3A00011TWD</t>
  </si>
  <si>
    <t>W3A00011CAW</t>
  </si>
  <si>
    <t>W3A00011RWACUM</t>
  </si>
  <si>
    <t>W3A00011RWTCUM</t>
  </si>
  <si>
    <t>W3A00011RWSCUM</t>
  </si>
  <si>
    <t>W3A00011WTCUM</t>
  </si>
  <si>
    <t>W3A00011TWDCUM</t>
  </si>
  <si>
    <t>W3A00011CAWCUM</t>
  </si>
  <si>
    <t>W3A00012RWA</t>
  </si>
  <si>
    <t>W3A00012RWT</t>
  </si>
  <si>
    <t>W3A00012RWS</t>
  </si>
  <si>
    <t>W3A00012WT</t>
  </si>
  <si>
    <t>W3A00012TWD</t>
  </si>
  <si>
    <t>W3A00012CAW</t>
  </si>
  <si>
    <t>W3A00012RWACUM</t>
  </si>
  <si>
    <t>W3A00012RWTCUM</t>
  </si>
  <si>
    <t>W3A00012RWSCUM</t>
  </si>
  <si>
    <t>W3A00012WTCUM</t>
  </si>
  <si>
    <t>W3A00012TWDCUM</t>
  </si>
  <si>
    <t>W3A00012CAWCUM</t>
  </si>
  <si>
    <t>W3A00013RWA</t>
  </si>
  <si>
    <t>W3A00013RWT</t>
  </si>
  <si>
    <t>W3A00013RWS</t>
  </si>
  <si>
    <t>W3A00013WT</t>
  </si>
  <si>
    <t>W3A00013TWD</t>
  </si>
  <si>
    <t>W3A00013CAW</t>
  </si>
  <si>
    <t>W3A00013RWACUM</t>
  </si>
  <si>
    <t>W3A00013RWTCUM</t>
  </si>
  <si>
    <t>W3A00013RWSCUM</t>
  </si>
  <si>
    <t>W3A00013WTCUM</t>
  </si>
  <si>
    <t>W3A00013TWDCUM</t>
  </si>
  <si>
    <t>W3A00013CAWCUM</t>
  </si>
  <si>
    <t>W3A00014RWA</t>
  </si>
  <si>
    <t>W3A00014RWT</t>
  </si>
  <si>
    <t>W3A00014RWS</t>
  </si>
  <si>
    <t>W3A00014WT</t>
  </si>
  <si>
    <t>W3A00014TWD</t>
  </si>
  <si>
    <t>W3A00014CAW</t>
  </si>
  <si>
    <t>W3A00014RWACUM</t>
  </si>
  <si>
    <t>W3A00014RWTCUM</t>
  </si>
  <si>
    <t>W3A00014RWSCUM</t>
  </si>
  <si>
    <t>W3A00014WTCUM</t>
  </si>
  <si>
    <t>W3A00014TWDCUM</t>
  </si>
  <si>
    <t>W3A00014CAWCUM</t>
  </si>
  <si>
    <t>W3A00015RWA</t>
  </si>
  <si>
    <t>W3A00015RWT</t>
  </si>
  <si>
    <t>W3A00015RWS</t>
  </si>
  <si>
    <t>W3A00015WT</t>
  </si>
  <si>
    <t>W3A00015TWD</t>
  </si>
  <si>
    <t>W3A00015CAW</t>
  </si>
  <si>
    <t>W3A00015RWACUM</t>
  </si>
  <si>
    <t>W3A00015RWTCUM</t>
  </si>
  <si>
    <t>W3A00015RWSCUM</t>
  </si>
  <si>
    <t>W3A00015WTCUM</t>
  </si>
  <si>
    <t>W3A00015TWDCUM</t>
  </si>
  <si>
    <t>W3A00015CAWCUM</t>
  </si>
  <si>
    <t>BA2070RWA</t>
  </si>
  <si>
    <t>BA2070RWT</t>
  </si>
  <si>
    <t>BA2070RWS</t>
  </si>
  <si>
    <t>BA2070WT</t>
  </si>
  <si>
    <t>BA2070TWD</t>
  </si>
  <si>
    <t>BA2070CAW</t>
  </si>
  <si>
    <t>BA2070RWACUM</t>
  </si>
  <si>
    <t>BA2070RWTCUM</t>
  </si>
  <si>
    <t>BA2070RWSCUM</t>
  </si>
  <si>
    <t>BA2070WTCUM</t>
  </si>
  <si>
    <t>BA2070TWDCUM</t>
  </si>
  <si>
    <t>BA2070CAWCUM</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</si>
  <si>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</si>
  <si>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</si>
  <si>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</si>
  <si>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</si>
  <si>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</si>
  <si>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</si>
  <si>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</si>
  <si>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</si>
  <si>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</si>
  <si>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</si>
  <si>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</si>
  <si>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</si>
  <si>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</si>
  <si>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</si>
  <si>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</si>
  <si>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</si>
  <si>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</si>
  <si>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</si>
  <si>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</si>
  <si>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</si>
  <si>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</si>
  <si>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</si>
  <si>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</si>
  <si>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</si>
  <si>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</si>
  <si>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</si>
  <si>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</si>
  <si>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</si>
  <si>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</si>
  <si>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</si>
  <si>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</si>
  <si>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</si>
  <si>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</si>
  <si>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</si>
  <si>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</si>
  <si>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</si>
  <si>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</si>
  <si>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</si>
  <si>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</si>
  <si>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</si>
  <si>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</si>
  <si>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</si>
  <si>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</si>
  <si>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</si>
  <si>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</si>
  <si>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</si>
  <si>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</si>
  <si>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</si>
  <si>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</si>
  <si>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</si>
  <si>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</si>
  <si>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</si>
  <si>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</si>
  <si>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</si>
  <si>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</si>
  <si>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</si>
  <si>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</si>
  <si>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</si>
  <si>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</si>
  <si>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</si>
  <si>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</si>
  <si>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</si>
  <si>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</si>
  <si>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</si>
  <si>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</si>
  <si>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</si>
  <si>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</si>
  <si>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</si>
  <si>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</si>
  <si>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</si>
  <si>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</si>
  <si>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</si>
  <si>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</si>
  <si>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</si>
  <si>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</si>
  <si>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</si>
  <si>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</si>
  <si>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</si>
  <si>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</si>
  <si>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</si>
  <si>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</si>
  <si>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</si>
  <si>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</si>
  <si>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</si>
  <si>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</si>
  <si>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</si>
  <si>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</si>
  <si>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</si>
  <si>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</si>
  <si>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</si>
  <si>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</si>
  <si>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</si>
  <si>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</si>
  <si>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</si>
  <si>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</si>
  <si>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</si>
  <si>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</si>
  <si>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</si>
  <si>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</si>
  <si>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</si>
  <si>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</si>
  <si>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</si>
  <si>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</si>
  <si>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</si>
  <si>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</si>
  <si>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</si>
  <si>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</si>
  <si>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</si>
  <si>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</si>
  <si>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</si>
  <si>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</si>
  <si>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</si>
  <si>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</si>
  <si>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</si>
  <si>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</si>
  <si>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</si>
  <si>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</si>
  <si>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</si>
  <si>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</si>
  <si>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</si>
  <si>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</si>
  <si>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</si>
  <si>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</si>
  <si>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</si>
  <si>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</si>
  <si>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</si>
  <si>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</si>
  <si>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</si>
  <si>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</si>
  <si>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</si>
  <si>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</si>
  <si>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</si>
  <si>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</si>
  <si>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</si>
  <si>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</si>
  <si>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</si>
  <si>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</si>
  <si>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</si>
  <si>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</si>
  <si>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</si>
  <si>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</si>
  <si>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</si>
  <si>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</si>
  <si>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</si>
  <si>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</si>
  <si>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</si>
  <si>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</si>
  <si>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</si>
  <si>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</si>
  <si>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</si>
  <si>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</si>
  <si>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</si>
  <si>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</si>
  <si>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</si>
  <si>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</si>
  <si>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</si>
  <si>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</si>
  <si>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</si>
  <si>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</si>
  <si>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</si>
  <si>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</si>
  <si>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</si>
  <si>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</si>
  <si>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</si>
  <si>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</si>
  <si>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</si>
  <si>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</si>
  <si>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</si>
  <si>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</si>
  <si>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</si>
  <si>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</si>
  <si>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</si>
  <si>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</si>
  <si>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</si>
  <si>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</si>
  <si>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</si>
  <si>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</si>
  <si>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</si>
  <si>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</si>
  <si>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</si>
  <si>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</si>
  <si>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</si>
  <si>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</si>
  <si>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</si>
  <si>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</si>
  <si>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</si>
  <si>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</si>
  <si>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</si>
  <si>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</si>
  <si>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</si>
  <si>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</si>
  <si>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</si>
  <si>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</si>
  <si>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</si>
  <si>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</si>
  <si>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</si>
  <si>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</si>
  <si>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</si>
  <si>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</si>
  <si>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</si>
  <si>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</si>
  <si>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</si>
  <si>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</si>
  <si>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</si>
  <si>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</si>
  <si>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</si>
  <si>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</si>
  <si>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</si>
  <si>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</si>
  <si>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</si>
  <si>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</si>
  <si>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</si>
  <si>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</si>
  <si>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</si>
  <si>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</si>
  <si>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</si>
  <si>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</si>
  <si>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</si>
  <si>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</si>
  <si>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</si>
  <si>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</si>
  <si>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</si>
  <si>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</si>
  <si>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</si>
  <si>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</si>
  <si>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</si>
  <si>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</si>
  <si>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</si>
  <si>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</si>
  <si>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</si>
  <si>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</si>
  <si>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</si>
  <si>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</si>
  <si>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</si>
  <si>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</si>
  <si>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</si>
  <si>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</si>
  <si>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</si>
  <si>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</si>
  <si>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</si>
  <si>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</si>
  <si>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</si>
  <si>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</si>
  <si>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</si>
  <si>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</si>
  <si>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</si>
  <si>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</si>
  <si>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</si>
  <si>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</si>
  <si>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</si>
  <si>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</si>
  <si>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</si>
  <si>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</si>
  <si>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</si>
  <si>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</si>
  <si>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</si>
  <si>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</si>
  <si>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</si>
  <si>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</si>
  <si>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</si>
  <si>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</si>
  <si>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</si>
  <si>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</si>
  <si>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</si>
  <si>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</si>
  <si>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</si>
  <si>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</si>
  <si>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</si>
  <si>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</si>
  <si>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</si>
  <si>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</si>
  <si>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</si>
  <si>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</si>
  <si>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</si>
  <si>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</si>
  <si>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</si>
  <si>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</si>
  <si>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</si>
  <si>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</si>
  <si>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</si>
  <si>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</si>
  <si>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</si>
  <si>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</si>
  <si>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</si>
  <si>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</si>
  <si>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</si>
  <si>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</si>
  <si>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</si>
  <si>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</si>
  <si>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</si>
  <si>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</si>
  <si>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</si>
  <si>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</si>
  <si>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</si>
  <si>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</si>
  <si>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</si>
  <si>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</si>
  <si>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</si>
  <si>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</si>
  <si>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</si>
  <si>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</si>
  <si>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</si>
  <si>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</si>
  <si>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</si>
  <si>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</si>
  <si>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</si>
  <si>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</si>
  <si>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</si>
  <si>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</si>
  <si>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</si>
  <si>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</si>
  <si>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</si>
  <si>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</si>
  <si>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</si>
  <si>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</si>
  <si>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</si>
  <si>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</si>
  <si>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</si>
  <si>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</si>
  <si>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</si>
  <si>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</si>
  <si>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</si>
  <si>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</si>
  <si>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</si>
  <si>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</si>
  <si>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</si>
  <si>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</si>
  <si>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</si>
  <si>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</si>
  <si>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</si>
  <si>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</si>
  <si>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</si>
  <si>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</si>
  <si>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</si>
  <si>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</si>
  <si>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</si>
  <si>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</si>
  <si>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</si>
  <si>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</si>
  <si>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</si>
  <si>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</si>
  <si>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</si>
  <si>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</si>
  <si>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</si>
  <si>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</si>
  <si>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</si>
  <si>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</si>
  <si>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</si>
  <si>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</si>
  <si>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</si>
  <si>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</si>
  <si>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</si>
  <si>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</si>
  <si>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</si>
  <si>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</si>
  <si>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</si>
  <si>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</si>
  <si>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</si>
  <si>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</si>
  <si>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</si>
  <si>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</si>
  <si>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</si>
  <si>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</si>
  <si>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</si>
  <si>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</si>
  <si>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</si>
  <si>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</si>
  <si>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</si>
  <si>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</si>
  <si>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</si>
  <si>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</si>
  <si>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</si>
  <si>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</si>
  <si>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</si>
  <si>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</si>
  <si>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</si>
  <si>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</si>
  <si>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</si>
  <si>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</si>
  <si>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</si>
  <si>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</si>
  <si>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</si>
  <si>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</si>
  <si>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</si>
  <si>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</si>
  <si>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</si>
  <si>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</si>
  <si>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</si>
  <si>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</si>
  <si>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</si>
  <si>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</si>
  <si>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</si>
  <si>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</si>
  <si>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</si>
  <si>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</si>
  <si>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</si>
  <si>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</si>
  <si>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</si>
  <si>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</si>
  <si>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</si>
  <si>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</si>
  <si>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</si>
  <si>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</si>
  <si>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</si>
  <si>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</si>
  <si>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</si>
  <si>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</si>
  <si>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</si>
  <si>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</si>
  <si>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</si>
  <si>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</si>
  <si>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</si>
  <si>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</si>
  <si>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</si>
  <si>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</si>
  <si>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</si>
  <si>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</si>
  <si>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</si>
  <si>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</si>
  <si>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</si>
  <si>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</si>
  <si>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</si>
  <si>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</si>
  <si>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</si>
  <si>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</si>
  <si>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</si>
  <si>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</si>
  <si>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</si>
  <si>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</si>
  <si>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</si>
  <si>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</si>
  <si>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</si>
  <si>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</si>
  <si>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</si>
  <si>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</si>
  <si>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</si>
  <si>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</si>
  <si>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</si>
  <si>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</si>
  <si>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</si>
  <si>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</si>
  <si>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</si>
  <si>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</si>
  <si>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</si>
  <si>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</si>
  <si>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</si>
  <si>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</si>
  <si>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</si>
  <si>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</si>
  <si>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</si>
  <si>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</si>
  <si>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</si>
  <si>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</si>
  <si>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</si>
  <si>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</si>
  <si>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</si>
  <si>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</si>
  <si>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</si>
  <si>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</si>
  <si>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</si>
  <si>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</si>
  <si>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</si>
  <si>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</si>
  <si>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</si>
  <si>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</si>
  <si>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</si>
  <si>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</si>
  <si>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</si>
  <si>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</si>
  <si>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</si>
  <si>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</si>
  <si>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</si>
  <si>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</si>
  <si>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</si>
  <si>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</si>
  <si>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</si>
  <si>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</si>
  <si>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</si>
  <si>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</si>
  <si>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</si>
  <si>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</si>
  <si>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</si>
  <si>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</si>
  <si>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</si>
  <si>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</si>
  <si>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</si>
  <si>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</si>
  <si>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</si>
  <si>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</si>
  <si>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</si>
  <si>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</si>
  <si>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</si>
  <si>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</si>
  <si>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</si>
  <si>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</si>
  <si>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</si>
  <si>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</si>
  <si>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</si>
  <si>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</si>
  <si>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</si>
  <si>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</si>
  <si>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</si>
  <si>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</si>
  <si>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</si>
  <si>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</si>
  <si>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</si>
  <si>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</si>
  <si>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</si>
  <si>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</si>
  <si>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</si>
  <si>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</si>
  <si>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</si>
  <si>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</si>
  <si>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</si>
  <si>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</si>
  <si>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</si>
  <si>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</si>
  <si>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</si>
  <si>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</si>
  <si>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</si>
  <si>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</si>
  <si>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</si>
  <si>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</si>
  <si>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</si>
  <si>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</si>
  <si>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</si>
  <si>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</si>
  <si>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</si>
  <si>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</si>
  <si>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</si>
  <si>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</si>
  <si>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</si>
  <si>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</si>
  <si>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</si>
  <si>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</si>
  <si>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</si>
  <si>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</si>
  <si>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</si>
  <si>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</si>
  <si>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</si>
  <si>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</si>
  <si>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</si>
  <si>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</si>
  <si>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</si>
  <si>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</si>
  <si>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</si>
  <si>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</si>
  <si>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</si>
  <si>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</si>
  <si>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</si>
  <si>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</si>
  <si>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</si>
  <si>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</si>
  <si>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</si>
  <si>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</si>
  <si>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</si>
  <si>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</si>
  <si>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</si>
  <si>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</si>
  <si>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</si>
  <si>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</si>
  <si>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</si>
  <si>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</si>
  <si>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</si>
  <si>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</si>
  <si>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</si>
  <si>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</si>
  <si>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</si>
  <si>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</si>
  <si>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</si>
  <si>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</si>
  <si>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</si>
  <si>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</si>
  <si>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</si>
  <si>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</si>
  <si>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</si>
  <si>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</si>
  <si>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</si>
  <si>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</si>
  <si>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</si>
  <si>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</si>
  <si>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</si>
  <si>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</si>
  <si>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</si>
  <si>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</si>
  <si>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</si>
  <si>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</si>
  <si>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</si>
  <si>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</si>
  <si>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</si>
  <si>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</si>
  <si>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</si>
  <si>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</si>
  <si>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</si>
  <si>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</si>
  <si>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</si>
  <si>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</si>
  <si>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</si>
  <si>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</si>
  <si>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</si>
  <si>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</si>
  <si>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</si>
  <si>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</si>
  <si>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</si>
  <si>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</si>
  <si>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</si>
  <si>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</si>
  <si>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</si>
  <si>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</si>
  <si>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</si>
  <si>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</si>
  <si>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</si>
  <si>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</si>
  <si>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</si>
  <si>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</si>
  <si>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</si>
  <si>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</si>
  <si>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</si>
  <si>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</si>
  <si>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</si>
  <si>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</si>
  <si>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</si>
  <si>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</si>
  <si>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</si>
  <si>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</si>
  <si>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</si>
  <si>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</si>
  <si>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</si>
  <si>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</si>
  <si>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</si>
  <si>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</si>
  <si>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</si>
  <si>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</si>
  <si>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</si>
  <si>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</si>
  <si>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</si>
  <si>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</si>
  <si>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</si>
  <si>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</si>
  <si>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</si>
  <si>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</si>
  <si>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</si>
  <si>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</si>
  <si>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</si>
  <si>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</si>
  <si>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</si>
  <si>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</si>
  <si>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</si>
  <si>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</si>
  <si>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</si>
  <si>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</si>
  <si>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</si>
  <si>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</si>
  <si>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</si>
  <si>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</si>
  <si>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</si>
  <si>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</si>
  <si>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</si>
  <si>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</si>
  <si>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</si>
  <si>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</si>
  <si>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</si>
  <si>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</si>
  <si>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</si>
  <si>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</si>
  <si>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</si>
  <si>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</si>
  <si>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</si>
  <si>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</si>
  <si>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</si>
  <si>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</si>
  <si>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</si>
  <si>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</si>
  <si>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</si>
  <si>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</si>
  <si>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</si>
  <si>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</si>
  <si>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</si>
  <si>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</si>
  <si>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</si>
  <si>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</si>
  <si>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</si>
  <si>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</si>
  <si>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</si>
  <si>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</si>
  <si>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</si>
  <si>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</si>
  <si>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</si>
  <si>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</si>
  <si>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</si>
  <si>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</si>
  <si>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</si>
  <si>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</si>
  <si>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</si>
  <si>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</si>
  <si>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</si>
  <si>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</si>
  <si>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</si>
  <si>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</si>
  <si>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</si>
  <si>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</si>
  <si>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</si>
  <si>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</si>
  <si>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</si>
  <si>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</si>
  <si>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</si>
  <si>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</si>
  <si>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</si>
  <si>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</si>
  <si>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</si>
  <si>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</si>
  <si>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</si>
  <si>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</si>
  <si>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</si>
  <si>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</si>
  <si>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</si>
  <si>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</si>
  <si>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</si>
  <si>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</si>
  <si>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</si>
  <si>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</si>
  <si>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</si>
  <si>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</si>
  <si>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</si>
  <si>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</si>
  <si>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</si>
  <si>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</si>
  <si>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</si>
  <si>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</si>
  <si>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</si>
  <si>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</si>
  <si>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</si>
  <si>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</si>
  <si>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</si>
  <si>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</si>
  <si>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</si>
  <si>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</si>
  <si>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</si>
  <si>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</si>
  <si>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</si>
  <si>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</si>
  <si>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</si>
  <si>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</si>
  <si>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</si>
  <si>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</si>
  <si>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</si>
  <si>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</si>
  <si>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</si>
  <si>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</si>
  <si>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</si>
  <si>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</si>
  <si>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</si>
  <si>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</si>
  <si>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</si>
  <si>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</si>
  <si>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</si>
  <si>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</si>
  <si>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</si>
  <si>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</si>
  <si>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</si>
  <si>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</si>
  <si>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</si>
  <si>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</si>
  <si>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</si>
  <si>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</si>
  <si>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</si>
  <si>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</si>
  <si>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</si>
  <si>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</si>
  <si>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</si>
  <si>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</si>
  <si>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</si>
  <si>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</si>
  <si>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</si>
  <si>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</si>
  <si>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</si>
  <si>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</si>
  <si>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</si>
  <si>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</si>
  <si>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</si>
  <si>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</si>
  <si>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</si>
  <si>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</si>
  <si>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</si>
  <si>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</si>
  <si>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</si>
  <si>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</si>
  <si>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</si>
  <si>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</si>
  <si>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</si>
  <si>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</si>
  <si>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</si>
  <si>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S3026</t>
  </si>
  <si>
    <t>STWB033TOT</t>
  </si>
  <si>
    <t>STWB036TOT</t>
  </si>
  <si>
    <t>STWB040TOT</t>
  </si>
  <si>
    <t>STWB038TOT</t>
  </si>
  <si>
    <t>STWB016</t>
  </si>
  <si>
    <t>STWB017</t>
  </si>
  <si>
    <t>STWB018</t>
  </si>
  <si>
    <t>BN4833</t>
  </si>
  <si>
    <t>BN4834</t>
  </si>
  <si>
    <t>BN4838</t>
  </si>
  <si>
    <t>BN4848</t>
  </si>
  <si>
    <t>BN4846</t>
  </si>
  <si>
    <t>BN4847</t>
  </si>
  <si>
    <t>BN4849</t>
  </si>
  <si>
    <t>BN4851</t>
  </si>
  <si>
    <t>BN4852</t>
  </si>
  <si>
    <t>BN4853</t>
  </si>
  <si>
    <t>BN10191</t>
  </si>
  <si>
    <t>W5003</t>
  </si>
  <si>
    <t>WR001</t>
  </si>
  <si>
    <t>W5003CAP</t>
  </si>
  <si>
    <t>WR002</t>
  </si>
  <si>
    <t>BN4861</t>
  </si>
  <si>
    <t>BN4862</t>
  </si>
  <si>
    <t>CPMW0098</t>
  </si>
  <si>
    <t>CPMW0104</t>
  </si>
  <si>
    <t>CPMW0165</t>
  </si>
  <si>
    <t>CPMW0166</t>
  </si>
  <si>
    <t>CPMW0167</t>
  </si>
  <si>
    <t>CPMW0027</t>
  </si>
  <si>
    <t>CPMW0033</t>
  </si>
  <si>
    <t>CPMW0185</t>
  </si>
  <si>
    <t>CPMW0197</t>
  </si>
  <si>
    <t>CPMW0198</t>
  </si>
  <si>
    <t>CPMW001A</t>
  </si>
  <si>
    <t>CPMW0015</t>
  </si>
  <si>
    <t>BN10491</t>
  </si>
  <si>
    <t>BN10598</t>
  </si>
  <si>
    <t>BN10599</t>
  </si>
  <si>
    <t>CPMW0021</t>
  </si>
  <si>
    <t>BN10791</t>
  </si>
  <si>
    <t>BN10898</t>
  </si>
  <si>
    <t>BN10899</t>
  </si>
  <si>
    <t>BN10901</t>
  </si>
  <si>
    <t>BN10902</t>
  </si>
  <si>
    <t>BN14990</t>
  </si>
  <si>
    <t>BN14890</t>
  </si>
  <si>
    <t>BN14790</t>
  </si>
  <si>
    <t>BN14690</t>
  </si>
  <si>
    <t>BN11300CAP</t>
  </si>
  <si>
    <t>BN10900CAP</t>
  </si>
  <si>
    <t>BN11030CAP</t>
  </si>
  <si>
    <t>BN2340</t>
  </si>
  <si>
    <t>BN2327</t>
  </si>
  <si>
    <t>BB13000</t>
  </si>
  <si>
    <t>BB13010</t>
  </si>
  <si>
    <t>BB13020</t>
  </si>
  <si>
    <t>BB13030</t>
  </si>
  <si>
    <t>BB13040</t>
  </si>
  <si>
    <t>BB13050</t>
  </si>
  <si>
    <t>BB13060</t>
  </si>
  <si>
    <t>BB13070</t>
  </si>
  <si>
    <t>BN4870</t>
  </si>
  <si>
    <t>WTW001NR</t>
  </si>
  <si>
    <t>WTW002NR</t>
  </si>
  <si>
    <t>WTW003NR</t>
  </si>
  <si>
    <t>WTW004NR</t>
  </si>
  <si>
    <t>WTW005NR</t>
  </si>
  <si>
    <t>WTW006NR</t>
  </si>
  <si>
    <t>WTW007NR</t>
  </si>
  <si>
    <t>WTW008NR</t>
  </si>
  <si>
    <t>WTW001PN</t>
  </si>
  <si>
    <t>WTW002PN</t>
  </si>
  <si>
    <t>WTW003PN</t>
  </si>
  <si>
    <t>WTW004PN</t>
  </si>
  <si>
    <t>WTW005PN</t>
  </si>
  <si>
    <t>WTW006PN</t>
  </si>
  <si>
    <t>WTW007PN</t>
  </si>
  <si>
    <t>WTW008PN</t>
  </si>
  <si>
    <t>BN2221</t>
  </si>
  <si>
    <t>BN2161</t>
  </si>
  <si>
    <t>BN1001</t>
  </si>
  <si>
    <t>BN1767</t>
  </si>
  <si>
    <t>SYS03</t>
  </si>
  <si>
    <t>W3007SO</t>
  </si>
  <si>
    <t>W3008SO</t>
  </si>
  <si>
    <t>W3007DO</t>
  </si>
  <si>
    <t>W3008DO</t>
  </si>
  <si>
    <t>BM902ECNP</t>
  </si>
  <si>
    <t>QEBW0180</t>
  </si>
  <si>
    <t>BN2341</t>
  </si>
  <si>
    <t>S4002</t>
  </si>
  <si>
    <t>S4002A</t>
  </si>
  <si>
    <t>CPMS2005</t>
  </si>
  <si>
    <t>CPMS2004</t>
  </si>
  <si>
    <t>CPMS2014</t>
  </si>
  <si>
    <t>BB2370</t>
  </si>
  <si>
    <t>CPMS2012</t>
  </si>
  <si>
    <t>CPMS2015</t>
  </si>
  <si>
    <t>BN13519</t>
  </si>
  <si>
    <t>BN13523</t>
  </si>
  <si>
    <t>BN13524</t>
  </si>
  <si>
    <t>BN13525</t>
  </si>
  <si>
    <t>BN13526</t>
  </si>
  <si>
    <t>BN13527</t>
  </si>
  <si>
    <t>BN13534</t>
  </si>
  <si>
    <t>BN13535</t>
  </si>
  <si>
    <t>BN13528</t>
  </si>
  <si>
    <t>BP05613</t>
  </si>
  <si>
    <t>MP05614</t>
  </si>
  <si>
    <t>MP05615</t>
  </si>
  <si>
    <t>BN1623</t>
  </si>
  <si>
    <t>BN1622</t>
  </si>
  <si>
    <t>BN1640</t>
  </si>
  <si>
    <t>BN1641</t>
  </si>
  <si>
    <t>BN1642</t>
  </si>
  <si>
    <t>BN1643</t>
  </si>
  <si>
    <t>BN1644</t>
  </si>
  <si>
    <t>BN1648</t>
  </si>
  <si>
    <t>BN1645</t>
  </si>
  <si>
    <t>BN1646</t>
  </si>
  <si>
    <t>BN1647</t>
  </si>
  <si>
    <t>BN1649</t>
  </si>
  <si>
    <t>MP05616</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</si>
  <si>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</si>
  <si>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</si>
  <si>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</si>
  <si>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</si>
  <si>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</si>
  <si>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</si>
  <si>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</si>
  <si>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</si>
  <si>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</si>
  <si>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</si>
  <si>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</si>
  <si>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</si>
  <si>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</si>
  <si>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</si>
  <si>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</si>
  <si>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</si>
  <si>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</si>
  <si>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</si>
  <si>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</si>
  <si>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</si>
  <si>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</si>
  <si>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</si>
  <si>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</si>
  <si>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</si>
  <si>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</si>
  <si>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</si>
  <si>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</si>
  <si>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</si>
  <si>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</si>
  <si>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</si>
  <si>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</si>
  <si>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</si>
  <si>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</si>
  <si>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</si>
  <si>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</si>
  <si>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</si>
  <si>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</si>
  <si>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</si>
  <si>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</si>
  <si>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</si>
  <si>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</si>
  <si>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</si>
  <si>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</si>
  <si>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</si>
  <si>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</si>
  <si>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</si>
  <si>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</si>
  <si>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</si>
  <si>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</si>
  <si>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</si>
  <si>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</si>
  <si>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</si>
  <si>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</si>
  <si>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</si>
  <si>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</si>
  <si>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</si>
  <si>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</si>
  <si>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</si>
  <si>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</si>
  <si>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</si>
  <si>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</si>
  <si>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</si>
  <si>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</si>
  <si>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</si>
  <si>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</si>
  <si>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</si>
  <si>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</si>
  <si>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</si>
  <si>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</si>
  <si>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</si>
  <si>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</si>
  <si>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</si>
  <si>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</si>
  <si>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</si>
  <si>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</si>
  <si>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</si>
  <si>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</si>
  <si>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</si>
  <si>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</si>
  <si>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</si>
  <si>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</si>
  <si>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</si>
  <si>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</si>
  <si>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</si>
  <si>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</si>
  <si>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</si>
  <si>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</si>
  <si>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</si>
  <si>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</si>
  <si>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</si>
  <si>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</si>
  <si>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</si>
  <si>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</si>
  <si>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</si>
  <si>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</si>
  <si>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</si>
  <si>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</si>
  <si>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</si>
  <si>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</si>
  <si>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</si>
  <si>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</si>
  <si>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</si>
  <si>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</si>
  <si>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</si>
  <si>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</si>
  <si>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</si>
  <si>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</si>
  <si>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</si>
  <si>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</si>
  <si>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</si>
  <si>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</si>
  <si>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</si>
  <si>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</si>
  <si>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</si>
  <si>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</si>
  <si>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</si>
  <si>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</si>
  <si>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</si>
  <si>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</si>
  <si>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</si>
  <si>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</si>
  <si>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</si>
  <si>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</si>
  <si>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</si>
  <si>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</si>
  <si>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</si>
  <si>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</si>
  <si>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</si>
  <si>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</si>
  <si>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</si>
  <si>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</si>
  <si>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</si>
  <si>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</si>
  <si>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</si>
  <si>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</si>
  <si>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</si>
  <si>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</si>
  <si>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</si>
  <si>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</si>
  <si>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</si>
  <si>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</si>
  <si>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</si>
  <si>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</si>
  <si>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</si>
  <si>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</si>
  <si>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</si>
  <si>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</si>
  <si>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</si>
  <si>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</si>
  <si>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</si>
  <si>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</si>
  <si>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</si>
  <si>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</si>
  <si>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</si>
  <si>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</si>
  <si>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</si>
  <si>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</si>
  <si>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</si>
  <si>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</si>
  <si>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</si>
  <si>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</si>
  <si>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</si>
  <si>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</si>
  <si>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</si>
  <si>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</si>
  <si>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</si>
  <si>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</si>
  <si>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</si>
  <si>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</si>
  <si>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</si>
  <si>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</si>
  <si>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</si>
  <si>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</si>
  <si>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</si>
  <si>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</si>
  <si>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STWD130</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</si>
  <si>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</si>
  <si>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</si>
  <si>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</si>
  <si>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</si>
  <si>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</si>
  <si>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</si>
  <si>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</si>
  <si>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</si>
  <si>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</si>
  <si>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</si>
  <si>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</si>
  <si>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</si>
  <si>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</si>
  <si>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</si>
  <si>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</si>
  <si>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</si>
  <si>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</si>
  <si>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</si>
  <si>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</si>
  <si>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</si>
  <si>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</si>
  <si>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</si>
  <si>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</si>
  <si>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</si>
  <si>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</si>
  <si>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</si>
  <si>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</si>
  <si>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</si>
  <si>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</si>
  <si>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</si>
  <si>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</si>
  <si>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</si>
  <si>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</si>
  <si>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</si>
  <si>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</si>
  <si>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</si>
  <si>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</si>
  <si>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</si>
  <si>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</si>
  <si>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</si>
  <si>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</si>
  <si>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</si>
  <si>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</si>
  <si>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</si>
  <si>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</si>
  <si>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</si>
  <si>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</si>
  <si>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</si>
  <si>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</si>
  <si>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</si>
  <si>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</si>
  <si>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</si>
  <si>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</si>
  <si>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</si>
  <si>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</si>
  <si>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</si>
  <si>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</si>
  <si>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</si>
  <si>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</si>
  <si>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</si>
  <si>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</si>
  <si>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</si>
  <si>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</si>
  <si>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</si>
  <si>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</si>
  <si>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</si>
  <si>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</si>
  <si>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</si>
  <si>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</si>
  <si>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</si>
  <si>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</si>
  <si>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</si>
  <si>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</si>
  <si>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</si>
  <si>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</si>
  <si>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</si>
  <si>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</si>
  <si>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</si>
  <si>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</si>
  <si>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</si>
  <si>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</si>
  <si>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</si>
  <si>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</si>
  <si>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</si>
  <si>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</si>
  <si>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</si>
  <si>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</si>
  <si>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</si>
  <si>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</si>
  <si>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</si>
  <si>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</si>
  <si>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</si>
  <si>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</si>
  <si>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</si>
  <si>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</si>
  <si>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</si>
  <si>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</si>
  <si>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</si>
  <si>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</si>
  <si>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</si>
  <si>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</si>
  <si>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</si>
  <si>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</si>
  <si>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</si>
  <si>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</si>
  <si>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</si>
  <si>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</si>
  <si>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</si>
  <si>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</si>
  <si>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</si>
  <si>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</si>
  <si>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</si>
  <si>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</si>
  <si>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</si>
  <si>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</si>
  <si>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</si>
  <si>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</si>
  <si>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</si>
  <si>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</si>
  <si>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</si>
  <si>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</si>
  <si>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</si>
  <si>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</si>
  <si>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</si>
  <si>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</si>
  <si>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</si>
  <si>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</si>
  <si>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</si>
  <si>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</si>
  <si>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</si>
  <si>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</si>
  <si>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</si>
  <si>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</si>
  <si>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</si>
  <si>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</si>
  <si>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</si>
  <si>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</si>
  <si>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</si>
  <si>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</si>
  <si>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</si>
  <si>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</si>
  <si>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</si>
  <si>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</si>
  <si>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</si>
  <si>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</si>
  <si>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</si>
  <si>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</si>
  <si>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</si>
  <si>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</si>
  <si>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</si>
  <si>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</si>
  <si>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</si>
  <si>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</si>
  <si>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</si>
  <si>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</si>
  <si>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</si>
  <si>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</si>
  <si>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</si>
  <si>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</si>
  <si>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</si>
  <si>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</si>
  <si>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</si>
  <si>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</si>
  <si>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</si>
  <si>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</si>
  <si>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</si>
  <si>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</si>
  <si>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</si>
  <si>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</si>
  <si>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</si>
  <si>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</si>
  <si>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</si>
  <si>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</si>
  <si>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</si>
  <si>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</si>
  <si>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BN1603</t>
  </si>
  <si>
    <t>S4019</t>
  </si>
  <si>
    <t>S4020</t>
  </si>
  <si>
    <t>S4018</t>
  </si>
  <si>
    <t>S4021</t>
  </si>
  <si>
    <t>S4022</t>
  </si>
  <si>
    <t>S4023</t>
  </si>
  <si>
    <t>S4024</t>
  </si>
  <si>
    <t>S4025</t>
  </si>
  <si>
    <t>S4027</t>
  </si>
  <si>
    <t>BN5611</t>
  </si>
  <si>
    <t>BN5612</t>
  </si>
  <si>
    <t>BN5613</t>
  </si>
  <si>
    <t>BN5614</t>
  </si>
  <si>
    <t>BN5615</t>
  </si>
  <si>
    <t>BN5616</t>
  </si>
  <si>
    <t>BN5617</t>
  </si>
  <si>
    <t>BN5618</t>
  </si>
  <si>
    <t>BN5619</t>
  </si>
  <si>
    <t>BN5620</t>
  </si>
  <si>
    <t>BN5621</t>
  </si>
  <si>
    <t>BN5622</t>
  </si>
  <si>
    <t>BN5623</t>
  </si>
  <si>
    <t>BN5624</t>
  </si>
  <si>
    <t>BN5625</t>
  </si>
  <si>
    <t>BN2130</t>
  </si>
  <si>
    <t>BN2250</t>
  </si>
  <si>
    <t>BN2270</t>
  </si>
  <si>
    <t>BN1178</t>
  </si>
  <si>
    <t>BN2620</t>
  </si>
  <si>
    <t>BM902ECNPS</t>
  </si>
  <si>
    <t>BM602EC</t>
  </si>
  <si>
    <t>BM902ECWS</t>
  </si>
  <si>
    <t>BN1609</t>
  </si>
  <si>
    <t>BN1176CA</t>
  </si>
  <si>
    <t>BN1615</t>
  </si>
  <si>
    <t>STWM001</t>
  </si>
  <si>
    <t>S4017</t>
  </si>
  <si>
    <t>CPMS2016</t>
  </si>
  <si>
    <t>BM102</t>
  </si>
  <si>
    <t>BM836</t>
  </si>
  <si>
    <t>BM817</t>
  </si>
  <si>
    <t>BM316</t>
  </si>
  <si>
    <t>FT00865</t>
  </si>
  <si>
    <t>BM319</t>
  </si>
  <si>
    <t>BM3010</t>
  </si>
  <si>
    <t>BM3011</t>
  </si>
  <si>
    <t>W3030</t>
  </si>
  <si>
    <t>W3031</t>
  </si>
  <si>
    <t>W3032</t>
  </si>
  <si>
    <t>W3033</t>
  </si>
  <si>
    <t>W3034</t>
  </si>
  <si>
    <t>W3035</t>
  </si>
  <si>
    <t>W3036</t>
  </si>
  <si>
    <t>BM402STUTS</t>
  </si>
  <si>
    <t>BM402STRSL</t>
  </si>
  <si>
    <t>BM402STCAD</t>
  </si>
  <si>
    <t>BM402STAD</t>
  </si>
  <si>
    <t>BM402STIRS</t>
  </si>
  <si>
    <t>BM402STIDS</t>
  </si>
  <si>
    <t>BM402STPCC</t>
  </si>
  <si>
    <t>BM402STSLOT</t>
  </si>
  <si>
    <t>BM402STTOT</t>
  </si>
  <si>
    <t>BM836STUTS</t>
  </si>
  <si>
    <t>BM836STRSL</t>
  </si>
  <si>
    <t>BM836STCAD</t>
  </si>
  <si>
    <t>BM836STAD</t>
  </si>
  <si>
    <t>BM836STIRS</t>
  </si>
  <si>
    <t>BM836STIDS</t>
  </si>
  <si>
    <t>BM836STPCC</t>
  </si>
  <si>
    <t>BM836STSLOT</t>
  </si>
  <si>
    <t>BM836STTOT</t>
  </si>
  <si>
    <t>BM817STUTS</t>
  </si>
  <si>
    <t>BM817STRSL</t>
  </si>
  <si>
    <t>BM817STCAD</t>
  </si>
  <si>
    <t>BM817STAD</t>
  </si>
  <si>
    <t>BM817STIRS</t>
  </si>
  <si>
    <t>BM817STIDS</t>
  </si>
  <si>
    <t>BM817STPCC</t>
  </si>
  <si>
    <t>BM817STSLOT</t>
  </si>
  <si>
    <t>BM817STTOT</t>
  </si>
  <si>
    <t>BM408STUTS</t>
  </si>
  <si>
    <t>BM408STRSL</t>
  </si>
  <si>
    <t>BM408STCAD</t>
  </si>
  <si>
    <t>BM408STAD</t>
  </si>
  <si>
    <t>BM408STIRS</t>
  </si>
  <si>
    <t>BM408STIDS</t>
  </si>
  <si>
    <t>BM408STPCC</t>
  </si>
  <si>
    <t>BM408STSLOT</t>
  </si>
  <si>
    <t>BM408STTOT</t>
  </si>
  <si>
    <t>BM410STUTS</t>
  </si>
  <si>
    <t>BM410STRSL</t>
  </si>
  <si>
    <t>BM410STCAD</t>
  </si>
  <si>
    <t>BM410STAD</t>
  </si>
  <si>
    <t>BM410STIRS</t>
  </si>
  <si>
    <t>BM410STIDS</t>
  </si>
  <si>
    <t>BM410STPCC</t>
  </si>
  <si>
    <t>BM410STSLOT</t>
  </si>
  <si>
    <t>BM410STTOT</t>
  </si>
  <si>
    <t>BM8390STUTS</t>
  </si>
  <si>
    <t>BM8390STRSL</t>
  </si>
  <si>
    <t>BM8390STCAD</t>
  </si>
  <si>
    <t>BM8390STAD</t>
  </si>
  <si>
    <t>BM8390STIRS</t>
  </si>
  <si>
    <t>BM8390STIDS</t>
  </si>
  <si>
    <t>BM8390STPCC</t>
  </si>
  <si>
    <t>BM8390STSLOT</t>
  </si>
  <si>
    <t>BM8390STTOT</t>
  </si>
  <si>
    <t>FT00865STUTS</t>
  </si>
  <si>
    <t>FT00865STRSL</t>
  </si>
  <si>
    <t>FT00865STCAD</t>
  </si>
  <si>
    <t>FT00865STAD</t>
  </si>
  <si>
    <t>FT00865STIRS</t>
  </si>
  <si>
    <t>FT00865STIDS</t>
  </si>
  <si>
    <t>FT00865STPCC</t>
  </si>
  <si>
    <t>FT00865STSLOT</t>
  </si>
  <si>
    <t>FT00865STTOT</t>
  </si>
  <si>
    <t>BM319STUTS</t>
  </si>
  <si>
    <t>BM319STRSL</t>
  </si>
  <si>
    <t>BM319STCAD</t>
  </si>
  <si>
    <t>BM319STAD</t>
  </si>
  <si>
    <t>BM319STIRS</t>
  </si>
  <si>
    <t>BM319STIDS</t>
  </si>
  <si>
    <t>BM319STPCC</t>
  </si>
  <si>
    <t>BM319STSLOT</t>
  </si>
  <si>
    <t>BM319STTOT</t>
  </si>
  <si>
    <t>BM3010NPSC</t>
  </si>
  <si>
    <t>BM3010NPST</t>
  </si>
  <si>
    <t>BM3010SL</t>
  </si>
  <si>
    <t>BM3010OTHTOT</t>
  </si>
  <si>
    <t>BM3011NPSC</t>
  </si>
  <si>
    <t>BM3011NPST</t>
  </si>
  <si>
    <t>BM3011SL</t>
  </si>
  <si>
    <t>BM3011OTHTOT</t>
  </si>
  <si>
    <t>W3030NPSC</t>
  </si>
  <si>
    <t>W3030NPST</t>
  </si>
  <si>
    <t>W3030SL</t>
  </si>
  <si>
    <t>W3030OTHTOT</t>
  </si>
  <si>
    <t>W3031NPSC</t>
  </si>
  <si>
    <t>W3031NPST</t>
  </si>
  <si>
    <t>W3031SL</t>
  </si>
  <si>
    <t>W3031OTHTOT</t>
  </si>
  <si>
    <t>W3032NPSC</t>
  </si>
  <si>
    <t>W3032NPST</t>
  </si>
  <si>
    <t>W3032SL</t>
  </si>
  <si>
    <t>W3032OTHTOT</t>
  </si>
  <si>
    <t>W3036NPSC</t>
  </si>
  <si>
    <t>W3036NPST</t>
  </si>
  <si>
    <t>W3036SL</t>
  </si>
  <si>
    <t>W3036OTHTOT</t>
  </si>
  <si>
    <t>W3033NPSC</t>
  </si>
  <si>
    <t>W3033NPST</t>
  </si>
  <si>
    <t>W3033SL</t>
  </si>
  <si>
    <t>W3033OTHTOT</t>
  </si>
  <si>
    <t>W3034NPSC</t>
  </si>
  <si>
    <t>W3034NPST</t>
  </si>
  <si>
    <t>W3034SL</t>
  </si>
  <si>
    <t>W3034OTHTOT</t>
  </si>
  <si>
    <t>W3035NPSC</t>
  </si>
  <si>
    <t>W3035NPST</t>
  </si>
  <si>
    <t>W3035SL</t>
  </si>
  <si>
    <t>W3035OTHTOT</t>
  </si>
  <si>
    <t>BM102WR</t>
  </si>
  <si>
    <t>BM102WN</t>
  </si>
  <si>
    <t>BM802WNK</t>
  </si>
  <si>
    <t>BM802SG</t>
  </si>
  <si>
    <t>BM902TAS</t>
  </si>
  <si>
    <t>BM336WR</t>
  </si>
  <si>
    <t>BM336WN</t>
  </si>
  <si>
    <t>BM836WNK</t>
  </si>
  <si>
    <t>BM836SG</t>
  </si>
  <si>
    <t>BM936TAS</t>
  </si>
  <si>
    <t>BM131WR</t>
  </si>
  <si>
    <t>BM131WN</t>
  </si>
  <si>
    <t>BM831WNK</t>
  </si>
  <si>
    <t>BM831SG</t>
  </si>
  <si>
    <t>BM931TAS</t>
  </si>
  <si>
    <t>BM140WR</t>
  </si>
  <si>
    <t>BM140WN</t>
  </si>
  <si>
    <t>BM140WNK</t>
  </si>
  <si>
    <t>BM140SG</t>
  </si>
  <si>
    <t>BM943TAS</t>
  </si>
  <si>
    <t>BM317WR</t>
  </si>
  <si>
    <t>BM317WN</t>
  </si>
  <si>
    <t>BM817WNK</t>
  </si>
  <si>
    <t>BM817SG</t>
  </si>
  <si>
    <t>BM917TAS</t>
  </si>
  <si>
    <t>BM319WR</t>
  </si>
  <si>
    <t>BM319WN</t>
  </si>
  <si>
    <t>BM844WNK</t>
  </si>
  <si>
    <t>BM844SG</t>
  </si>
  <si>
    <t>BM950TAS</t>
  </si>
  <si>
    <t>BM323WR</t>
  </si>
  <si>
    <t>BM323WN</t>
  </si>
  <si>
    <t>BM823WNK</t>
  </si>
  <si>
    <t>BM823SG</t>
  </si>
  <si>
    <t>BM923TAS</t>
  </si>
  <si>
    <t>BM351WR</t>
  </si>
  <si>
    <t>BM351WN</t>
  </si>
  <si>
    <t>BM850WNK</t>
  </si>
  <si>
    <t>BM850SG</t>
  </si>
  <si>
    <t>BM951TAS</t>
  </si>
  <si>
    <t>BC30445WR</t>
  </si>
  <si>
    <t>BC30445WN</t>
  </si>
  <si>
    <t>BC30945WNK</t>
  </si>
  <si>
    <t>BC30945SG</t>
  </si>
  <si>
    <t>BC30448</t>
  </si>
  <si>
    <t>CW00036WR</t>
  </si>
  <si>
    <t>CW00036WN</t>
  </si>
  <si>
    <t>CS00036WNK</t>
  </si>
  <si>
    <t>CS00036SG</t>
  </si>
  <si>
    <t>CT00036</t>
  </si>
  <si>
    <t>BC30444WR</t>
  </si>
  <si>
    <t>BC30444WN</t>
  </si>
  <si>
    <t>BC30944WNK</t>
  </si>
  <si>
    <t>BC30944SG</t>
  </si>
  <si>
    <t>BA2053</t>
  </si>
  <si>
    <t>CW00037WR</t>
  </si>
  <si>
    <t>CW00037WN</t>
  </si>
  <si>
    <t>CS00037WNK</t>
  </si>
  <si>
    <t>CS00037SG</t>
  </si>
  <si>
    <t>BA2063</t>
  </si>
  <si>
    <t>BC30498WR</t>
  </si>
  <si>
    <t>BC30498WN</t>
  </si>
  <si>
    <t>BC30998WNK</t>
  </si>
  <si>
    <t>BC30998SG</t>
  </si>
  <si>
    <t>BM916</t>
  </si>
  <si>
    <t>BM333WR</t>
  </si>
  <si>
    <t>BM333WN</t>
  </si>
  <si>
    <t>BM833WNK</t>
  </si>
  <si>
    <t>BM833SG</t>
  </si>
  <si>
    <t>BM923CET</t>
  </si>
  <si>
    <t>BA1070WR</t>
  </si>
  <si>
    <t>BA1070WN</t>
  </si>
  <si>
    <t>BA2120WNK</t>
  </si>
  <si>
    <t>BA2120SG</t>
  </si>
  <si>
    <t>BA3000</t>
  </si>
  <si>
    <t>BA1071WR</t>
  </si>
  <si>
    <t>BA1071WN</t>
  </si>
  <si>
    <t>BA2121WNK</t>
  </si>
  <si>
    <t>BA2121SG</t>
  </si>
  <si>
    <t>BA3001</t>
  </si>
  <si>
    <t>BM325WR</t>
  </si>
  <si>
    <t>BM325WN</t>
  </si>
  <si>
    <t>BM825WNK</t>
  </si>
  <si>
    <t>BM825SG</t>
  </si>
  <si>
    <t>T3039</t>
  </si>
  <si>
    <t>CR00558WR</t>
  </si>
  <si>
    <t>CR00558WN</t>
  </si>
  <si>
    <t>CR00559WNK</t>
  </si>
  <si>
    <t>CR00559SG</t>
  </si>
  <si>
    <t>CR00560</t>
  </si>
  <si>
    <t>CR00561WR</t>
  </si>
  <si>
    <t>CR00561WN</t>
  </si>
  <si>
    <t>CR00562WNK</t>
  </si>
  <si>
    <t>CR00562SG</t>
  </si>
  <si>
    <t>CR00563</t>
  </si>
  <si>
    <t>W3026WR</t>
  </si>
  <si>
    <t>W3026WN</t>
  </si>
  <si>
    <t>S3040WNK</t>
  </si>
  <si>
    <t>S3040SG</t>
  </si>
  <si>
    <t>CR00564</t>
  </si>
  <si>
    <t>02:26</t>
  </si>
  <si>
    <t>BM9031</t>
  </si>
  <si>
    <t>BM9032</t>
  </si>
  <si>
    <t>BM9202</t>
  </si>
  <si>
    <t>BM9502</t>
  </si>
  <si>
    <t>BM9203</t>
  </si>
  <si>
    <t>BM9503</t>
  </si>
  <si>
    <t>BM9207</t>
  </si>
  <si>
    <t>BM9507</t>
  </si>
  <si>
    <t>BM9230</t>
  </si>
  <si>
    <t>BM9530</t>
  </si>
  <si>
    <t>BM9034</t>
  </si>
  <si>
    <t>BM9035</t>
  </si>
  <si>
    <t>BM9221</t>
  </si>
  <si>
    <t>BM9521</t>
  </si>
  <si>
    <t>BM9222</t>
  </si>
  <si>
    <t>BM9522</t>
  </si>
  <si>
    <t>BM9223</t>
  </si>
  <si>
    <t>BM9523</t>
  </si>
  <si>
    <t>BM9225</t>
  </si>
  <si>
    <t>BM9525</t>
  </si>
  <si>
    <t>BM9227</t>
  </si>
  <si>
    <t>BM9527</t>
  </si>
  <si>
    <t>BM9229</t>
  </si>
  <si>
    <t>BM9529</t>
  </si>
  <si>
    <t>BM9038</t>
  </si>
  <si>
    <t>BM9338</t>
  </si>
  <si>
    <t>BM9538</t>
  </si>
  <si>
    <t>BM4012WR</t>
  </si>
  <si>
    <t>BM4012WN</t>
  </si>
  <si>
    <t>BM4012WNK</t>
  </si>
  <si>
    <t>BM4012SG</t>
  </si>
  <si>
    <t>BM4016WR</t>
  </si>
  <si>
    <t>BM4016WN</t>
  </si>
  <si>
    <t>BM4016WNK</t>
  </si>
  <si>
    <t>BM4016SG</t>
  </si>
  <si>
    <t>BM4017WR</t>
  </si>
  <si>
    <t>BM4017WN</t>
  </si>
  <si>
    <t>BM4017WNK</t>
  </si>
  <si>
    <t>BM4017SG</t>
  </si>
  <si>
    <t>BM4019WR</t>
  </si>
  <si>
    <t>BM4019WN</t>
  </si>
  <si>
    <t>BM4019WNK</t>
  </si>
  <si>
    <t>BM4019SG</t>
  </si>
  <si>
    <t>BM4018WR</t>
  </si>
  <si>
    <t>BM4018WN</t>
  </si>
  <si>
    <t>BM4018WNK</t>
  </si>
  <si>
    <t>BM4018SG</t>
  </si>
  <si>
    <t>BM4041WR</t>
  </si>
  <si>
    <t>BM4041WN</t>
  </si>
  <si>
    <t>BM4041WNK</t>
  </si>
  <si>
    <t>BM4041SG</t>
  </si>
  <si>
    <t>BM4045WR</t>
  </si>
  <si>
    <t>BM4045WN</t>
  </si>
  <si>
    <t>BM4045WNK</t>
  </si>
  <si>
    <t>BM4045SG</t>
  </si>
  <si>
    <t>BM4046WR</t>
  </si>
  <si>
    <t>BM4046WN</t>
  </si>
  <si>
    <t>BM4046WNK</t>
  </si>
  <si>
    <t>BM4046SG</t>
  </si>
  <si>
    <t>BM4047WR</t>
  </si>
  <si>
    <t>BM4047WN</t>
  </si>
  <si>
    <t>BM4047WNK</t>
  </si>
  <si>
    <t>BM4047SG</t>
  </si>
  <si>
    <t>BM4048WR</t>
  </si>
  <si>
    <t>BM4048WN</t>
  </si>
  <si>
    <t>BM4048WNK</t>
  </si>
  <si>
    <t>BM4048SG</t>
  </si>
  <si>
    <t>BM4049WR</t>
  </si>
  <si>
    <t>BM4049WN</t>
  </si>
  <si>
    <t>BM4049WNK</t>
  </si>
  <si>
    <t>BM4049SG</t>
  </si>
  <si>
    <t>BM4051WR</t>
  </si>
  <si>
    <t>BM4051WN</t>
  </si>
  <si>
    <t>BM4051WNK</t>
  </si>
  <si>
    <t>BM4051SG</t>
  </si>
  <si>
    <t>BM334WR</t>
  </si>
  <si>
    <t>BM334WN</t>
  </si>
  <si>
    <t>BM334WNK</t>
  </si>
  <si>
    <t>BM334SG</t>
  </si>
  <si>
    <t>BM4052WR</t>
  </si>
  <si>
    <t>BM4052WN</t>
  </si>
  <si>
    <t>BM4052WNK</t>
  </si>
  <si>
    <t>BM4052SG</t>
  </si>
  <si>
    <t>BM4012H</t>
  </si>
  <si>
    <t>BM4012NH</t>
  </si>
  <si>
    <t>BM4012CTOT</t>
  </si>
  <si>
    <t>BM4016H</t>
  </si>
  <si>
    <t>BM4016NH</t>
  </si>
  <si>
    <t>BM4016CTOT</t>
  </si>
  <si>
    <t>BM4017H</t>
  </si>
  <si>
    <t>BM4017NH</t>
  </si>
  <si>
    <t>BM4017CTOT</t>
  </si>
  <si>
    <t>BM4019H</t>
  </si>
  <si>
    <t>BM4019NH</t>
  </si>
  <si>
    <t>BM4019CTOT</t>
  </si>
  <si>
    <t>BM4018H</t>
  </si>
  <si>
    <t>BM4018NH</t>
  </si>
  <si>
    <t>BM4018CTOT</t>
  </si>
  <si>
    <t>BM4041H</t>
  </si>
  <si>
    <t>BM4041NH</t>
  </si>
  <si>
    <t>BM041CTOT</t>
  </si>
  <si>
    <t>BM4045H</t>
  </si>
  <si>
    <t>BM4045NH</t>
  </si>
  <si>
    <t>BM4045CTOT</t>
  </si>
  <si>
    <t>BM4046H</t>
  </si>
  <si>
    <t>BM4046NH</t>
  </si>
  <si>
    <t>BM4046CTOT</t>
  </si>
  <si>
    <t>BM4047H</t>
  </si>
  <si>
    <t>BM4047NH</t>
  </si>
  <si>
    <t>BM4047CTOT</t>
  </si>
  <si>
    <t>BM4048H</t>
  </si>
  <si>
    <t>BM4048NH</t>
  </si>
  <si>
    <t>BM4048CTOT</t>
  </si>
  <si>
    <t>BM4049H</t>
  </si>
  <si>
    <t>BM4049NH</t>
  </si>
  <si>
    <t>BM4049CTOT</t>
  </si>
  <si>
    <t>BM4051H</t>
  </si>
  <si>
    <t>BM4051NH</t>
  </si>
  <si>
    <t>BM4051CTOT</t>
  </si>
  <si>
    <t>BM334H</t>
  </si>
  <si>
    <t>BM334NH</t>
  </si>
  <si>
    <t>BM334CTOT</t>
  </si>
  <si>
    <t>BM4052H</t>
  </si>
  <si>
    <t>BM4052NH</t>
  </si>
  <si>
    <t>BM4052CTOT</t>
  </si>
  <si>
    <t>BC11271REV</t>
  </si>
  <si>
    <t>BC11271CAP</t>
  </si>
  <si>
    <t>BC11271NET</t>
  </si>
  <si>
    <t>BC11271</t>
  </si>
  <si>
    <t>BC11270REV</t>
  </si>
  <si>
    <t>BC11270CAP</t>
  </si>
  <si>
    <t>BC11270NET</t>
  </si>
  <si>
    <t>BC11270</t>
  </si>
  <si>
    <t>BC11272REV</t>
  </si>
  <si>
    <t>BC11272CAP</t>
  </si>
  <si>
    <t>BC11272NET</t>
  </si>
  <si>
    <t>BC11272</t>
  </si>
  <si>
    <t>BA1085REVPC</t>
  </si>
  <si>
    <t>BA1086CAPPC</t>
  </si>
  <si>
    <t>BA1085NETPC</t>
  </si>
  <si>
    <t>BA1086PC</t>
  </si>
  <si>
    <t>BC11273REV</t>
  </si>
  <si>
    <t>BC11273CAP</t>
  </si>
  <si>
    <t>BC11273NET</t>
  </si>
  <si>
    <t>BC11273</t>
  </si>
  <si>
    <t>BA1085REVNPC</t>
  </si>
  <si>
    <t>BA1086CAPNPC</t>
  </si>
  <si>
    <t>BA1085NETNPC</t>
  </si>
  <si>
    <t>BA1086NPC</t>
  </si>
  <si>
    <t>BA1090REV</t>
  </si>
  <si>
    <t>BA1091CAP</t>
  </si>
  <si>
    <t>BA1090NET</t>
  </si>
  <si>
    <t>BA1091</t>
  </si>
  <si>
    <t>BC30460WCAP</t>
  </si>
  <si>
    <t>BC11370REV</t>
  </si>
  <si>
    <t>BC11370CAP</t>
  </si>
  <si>
    <t>BC11370NET</t>
  </si>
  <si>
    <t>BC11370</t>
  </si>
  <si>
    <t>BC11372REV</t>
  </si>
  <si>
    <t>BC11372CAP</t>
  </si>
  <si>
    <t>BC11372NET</t>
  </si>
  <si>
    <t>BC11372</t>
  </si>
  <si>
    <t>BC11373REV</t>
  </si>
  <si>
    <t>BC11373CAP</t>
  </si>
  <si>
    <t>BC11373NET</t>
  </si>
  <si>
    <t>BC11373</t>
  </si>
  <si>
    <t>BA2085REVPC</t>
  </si>
  <si>
    <t>BA2086CAPPC</t>
  </si>
  <si>
    <t>BA2085NETPC</t>
  </si>
  <si>
    <t>BA2086PC</t>
  </si>
  <si>
    <t>BA2085REVNPC</t>
  </si>
  <si>
    <t>BA2086CAPNPC</t>
  </si>
  <si>
    <t>BA2085NETNPC</t>
  </si>
  <si>
    <t>BA2086NPC</t>
  </si>
  <si>
    <t>BA2090REV</t>
  </si>
  <si>
    <t>BA2091CAP</t>
  </si>
  <si>
    <t>BA2090NET</t>
  </si>
  <si>
    <t>BA2091</t>
  </si>
  <si>
    <t>BC30460WWCAP</t>
  </si>
  <si>
    <t>BA1090BFWD</t>
  </si>
  <si>
    <t>BA2090BFWD</t>
  </si>
  <si>
    <t>BA3001BFWD</t>
  </si>
  <si>
    <t>BA3091CAP</t>
  </si>
  <si>
    <t>BA1090AMORT</t>
  </si>
  <si>
    <t>BA2090AMORT</t>
  </si>
  <si>
    <t>BA3001AMORT</t>
  </si>
  <si>
    <t>BA1091CFWD</t>
  </si>
  <si>
    <t>BA2091CFWD</t>
  </si>
  <si>
    <t>BA3091CFWD</t>
  </si>
  <si>
    <t>BT39301PW</t>
  </si>
  <si>
    <t>BT39301PS</t>
  </si>
  <si>
    <t>BT39301P</t>
  </si>
  <si>
    <t>R3017WCR</t>
  </si>
  <si>
    <t>R3017RR</t>
  </si>
  <si>
    <t>R3017TR</t>
  </si>
  <si>
    <t>R3017</t>
  </si>
  <si>
    <t>R3017RPC</t>
  </si>
  <si>
    <t>R3019WCR</t>
  </si>
  <si>
    <t>R3019RR</t>
  </si>
  <si>
    <t>R3019TR</t>
  </si>
  <si>
    <t>R3019</t>
  </si>
  <si>
    <t>R3019RPC</t>
  </si>
  <si>
    <t>R3021WCR</t>
  </si>
  <si>
    <t>R3021RR</t>
  </si>
  <si>
    <t>R3021TR</t>
  </si>
  <si>
    <t>R3021</t>
  </si>
  <si>
    <t>R3021RPC</t>
  </si>
  <si>
    <t>R3018WCR</t>
  </si>
  <si>
    <t>R3018RR</t>
  </si>
  <si>
    <t>R3018TR</t>
  </si>
  <si>
    <t>R3018</t>
  </si>
  <si>
    <t>R3018RPC</t>
  </si>
  <si>
    <t>R3020WCR</t>
  </si>
  <si>
    <t>R3020RR</t>
  </si>
  <si>
    <t>R3020TR</t>
  </si>
  <si>
    <t>R3020</t>
  </si>
  <si>
    <t>R3020RPC</t>
  </si>
  <si>
    <t>R3022WCR</t>
  </si>
  <si>
    <t>R3022RR</t>
  </si>
  <si>
    <t>R3022TR</t>
  </si>
  <si>
    <t>R3022</t>
  </si>
  <si>
    <t>R3022RPC</t>
  </si>
  <si>
    <t>R3100WCRTOT</t>
  </si>
  <si>
    <t>R3100RRTOT</t>
  </si>
  <si>
    <t>R3100TRTOT</t>
  </si>
  <si>
    <t>R3100TOT</t>
  </si>
  <si>
    <t>R3100RPCTOT</t>
  </si>
  <si>
    <t>CR1001WWCR</t>
  </si>
  <si>
    <t>CR1001WRR</t>
  </si>
  <si>
    <t>CR1001WTR</t>
  </si>
  <si>
    <t>CR1041WCO</t>
  </si>
  <si>
    <t>CR1041WRPC</t>
  </si>
  <si>
    <t>CR1002WWCR</t>
  </si>
  <si>
    <t>CR1002WRR</t>
  </si>
  <si>
    <t>CR1002WTR</t>
  </si>
  <si>
    <t>CR1042WCO</t>
  </si>
  <si>
    <t>CR1042WRPC</t>
  </si>
  <si>
    <t>CR1003WWCR</t>
  </si>
  <si>
    <t>CR1003WRR</t>
  </si>
  <si>
    <t>CR1003WTR</t>
  </si>
  <si>
    <t>CR1043WCO</t>
  </si>
  <si>
    <t>CR1043WRPC</t>
  </si>
  <si>
    <t>CR1004WWCR</t>
  </si>
  <si>
    <t>CR1004WRR</t>
  </si>
  <si>
    <t>CR1004WTR</t>
  </si>
  <si>
    <t>CR1044WCO</t>
  </si>
  <si>
    <t>CR1044WRPC</t>
  </si>
  <si>
    <t>CR1005WWCR</t>
  </si>
  <si>
    <t>CR1005WRR</t>
  </si>
  <si>
    <t>CR1005WTR</t>
  </si>
  <si>
    <t>CR1045WCO</t>
  </si>
  <si>
    <t>CR1045WRPC</t>
  </si>
  <si>
    <t>CR1006WWCR</t>
  </si>
  <si>
    <t>CR1006WRR</t>
  </si>
  <si>
    <t>CR1006WTR</t>
  </si>
  <si>
    <t>CR1046WCO</t>
  </si>
  <si>
    <t>CR1046WRPC</t>
  </si>
  <si>
    <t>CR1007WWCR</t>
  </si>
  <si>
    <t>CR1007WRR</t>
  </si>
  <si>
    <t>CR1007WTR</t>
  </si>
  <si>
    <t>CR1047WCO</t>
  </si>
  <si>
    <t>CR1047WRPC</t>
  </si>
  <si>
    <t>CR1008WWCR</t>
  </si>
  <si>
    <t>CR1008WRR</t>
  </si>
  <si>
    <t>CR1008WTR</t>
  </si>
  <si>
    <t>CR1048WCO</t>
  </si>
  <si>
    <t>CR1048WRPC</t>
  </si>
  <si>
    <t>CR1009WWCR</t>
  </si>
  <si>
    <t>CR1009WRR</t>
  </si>
  <si>
    <t>CR1009WTR</t>
  </si>
  <si>
    <t>CR1049WCO</t>
  </si>
  <si>
    <t>CR1049WRPC</t>
  </si>
  <si>
    <t>CR1010WWCR</t>
  </si>
  <si>
    <t>CR1010WRR</t>
  </si>
  <si>
    <t>CR1010WTR</t>
  </si>
  <si>
    <t>CR1050WCO</t>
  </si>
  <si>
    <t>CR1050WRPC</t>
  </si>
  <si>
    <t>CR1011WWCR</t>
  </si>
  <si>
    <t>CR1011WRR</t>
  </si>
  <si>
    <t>CR1011WTR</t>
  </si>
  <si>
    <t>CR1051WCO</t>
  </si>
  <si>
    <t>CR1051WRPC</t>
  </si>
  <si>
    <t>CR1012WWCR</t>
  </si>
  <si>
    <t>CR1012WRR</t>
  </si>
  <si>
    <t>CR1012WTR</t>
  </si>
  <si>
    <t>CR1052WCO</t>
  </si>
  <si>
    <t>CR1052WRPC</t>
  </si>
  <si>
    <t>CR1013WWCR</t>
  </si>
  <si>
    <t>CR1013WRR</t>
  </si>
  <si>
    <t>CR1013WTR</t>
  </si>
  <si>
    <t>CR1053WCO</t>
  </si>
  <si>
    <t>CR1053WRPC</t>
  </si>
  <si>
    <t>CR1014WWCR</t>
  </si>
  <si>
    <t>CR1014WRR</t>
  </si>
  <si>
    <t>CR1014WTR</t>
  </si>
  <si>
    <t>CR1054WCO</t>
  </si>
  <si>
    <t>CR1054WRPC</t>
  </si>
  <si>
    <t>CR1015WWCR</t>
  </si>
  <si>
    <t>CR1015WRR</t>
  </si>
  <si>
    <t>CR1015WTR</t>
  </si>
  <si>
    <t>CR1055WCO</t>
  </si>
  <si>
    <t>CR1055WRPC</t>
  </si>
  <si>
    <t>CR1016WWCR</t>
  </si>
  <si>
    <t>CR1016WRR</t>
  </si>
  <si>
    <t>CR1016WTR</t>
  </si>
  <si>
    <t>CR1056WCO</t>
  </si>
  <si>
    <t>CR1056WRPC</t>
  </si>
  <si>
    <t>CR1017WWCR</t>
  </si>
  <si>
    <t>CR1017WRR</t>
  </si>
  <si>
    <t>CR1017WTR</t>
  </si>
  <si>
    <t>CR1057WCO</t>
  </si>
  <si>
    <t>CR1057WRPC</t>
  </si>
  <si>
    <t>CR1018WWCR</t>
  </si>
  <si>
    <t>CR1018WRR</t>
  </si>
  <si>
    <t>CR1018WTR</t>
  </si>
  <si>
    <t>CR1058WCO</t>
  </si>
  <si>
    <t>CR1058WRPC</t>
  </si>
  <si>
    <t>CR1019WWCR</t>
  </si>
  <si>
    <t>CR1019WRR</t>
  </si>
  <si>
    <t>CR1019WTR</t>
  </si>
  <si>
    <t>CR1059WCO</t>
  </si>
  <si>
    <t>CR1059WRPC</t>
  </si>
  <si>
    <t>CR1025WWCR</t>
  </si>
  <si>
    <t>CR1025WRR</t>
  </si>
  <si>
    <t>CR1025WTR</t>
  </si>
  <si>
    <t>CR1065WCO</t>
  </si>
  <si>
    <t>CR1065WRPC</t>
  </si>
  <si>
    <t>CR1030WWCR</t>
  </si>
  <si>
    <t>CR1030WRR</t>
  </si>
  <si>
    <t>CR1030WTR</t>
  </si>
  <si>
    <t>CR1066WCO</t>
  </si>
  <si>
    <t>CR1066WRPC</t>
  </si>
  <si>
    <t>CR1030WCU</t>
  </si>
  <si>
    <t>CR1030WRPC</t>
  </si>
  <si>
    <t>CR1001SWCR</t>
  </si>
  <si>
    <t>CR1001SRR</t>
  </si>
  <si>
    <t>CR1001STR</t>
  </si>
  <si>
    <t>CR1041SCO</t>
  </si>
  <si>
    <t>CR1041SRPC</t>
  </si>
  <si>
    <t>CR1002SWCR</t>
  </si>
  <si>
    <t>CR1002SRR</t>
  </si>
  <si>
    <t>CR1002STR</t>
  </si>
  <si>
    <t>CR1042SCO</t>
  </si>
  <si>
    <t>CR1042SRPC</t>
  </si>
  <si>
    <t>CR1003SWCR</t>
  </si>
  <si>
    <t>CR1003SRR</t>
  </si>
  <si>
    <t>CR1003STR</t>
  </si>
  <si>
    <t>CR1043SCO</t>
  </si>
  <si>
    <t>CR1043SRPC</t>
  </si>
  <si>
    <t>CR1004SWCR</t>
  </si>
  <si>
    <t>CR1004SRR</t>
  </si>
  <si>
    <t>CR1004STR</t>
  </si>
  <si>
    <t>CR1044SCO</t>
  </si>
  <si>
    <t>CR1044SRPC</t>
  </si>
  <si>
    <t>CR1005SWCR</t>
  </si>
  <si>
    <t>CR1005SRR</t>
  </si>
  <si>
    <t>CR1005STR</t>
  </si>
  <si>
    <t>CR1045SCO</t>
  </si>
  <si>
    <t>CR1045SRPC</t>
  </si>
  <si>
    <t>CR1006SWCR</t>
  </si>
  <si>
    <t>CR1006SRR</t>
  </si>
  <si>
    <t>CR1006STR</t>
  </si>
  <si>
    <t>CR1046SCO</t>
  </si>
  <si>
    <t>CR1046SRPC</t>
  </si>
  <si>
    <t>CR1007SWCR</t>
  </si>
  <si>
    <t>CR1007SRR</t>
  </si>
  <si>
    <t>CR1007STR</t>
  </si>
  <si>
    <t>CR1047SCO</t>
  </si>
  <si>
    <t>CR1047SRPC</t>
  </si>
  <si>
    <t>CR1008SWCR</t>
  </si>
  <si>
    <t>CR1008SRR</t>
  </si>
  <si>
    <t>CR1008STR</t>
  </si>
  <si>
    <t>CR1048SCO</t>
  </si>
  <si>
    <t>CR1048SRPC</t>
  </si>
  <si>
    <t>CR1009SWCR</t>
  </si>
  <si>
    <t>CR1009SRR</t>
  </si>
  <si>
    <t>CR1009STR</t>
  </si>
  <si>
    <t>CR1049SCO</t>
  </si>
  <si>
    <t>CR1049SRPC</t>
  </si>
  <si>
    <t>CR1010SWCR</t>
  </si>
  <si>
    <t>CR1010SRR</t>
  </si>
  <si>
    <t>CR1010STR</t>
  </si>
  <si>
    <t>CR1050SCO</t>
  </si>
  <si>
    <t>CR1050SRPC</t>
  </si>
  <si>
    <t>CR1011SWCR</t>
  </si>
  <si>
    <t>CR1011SRR</t>
  </si>
  <si>
    <t>CR1011STR</t>
  </si>
  <si>
    <t>CR1051SCO</t>
  </si>
  <si>
    <t>CR1051SRPC</t>
  </si>
  <si>
    <t>CR1012SWCR</t>
  </si>
  <si>
    <t>CR1012SRR</t>
  </si>
  <si>
    <t>CR1012STR</t>
  </si>
  <si>
    <t>CR1052SCO</t>
  </si>
  <si>
    <t>CR1052SRPC</t>
  </si>
  <si>
    <t>CR1013SWCR</t>
  </si>
  <si>
    <t>CR1013SRR</t>
  </si>
  <si>
    <t>CR1013STR</t>
  </si>
  <si>
    <t>CR1053SCO</t>
  </si>
  <si>
    <t>CR1053SRPC</t>
  </si>
  <si>
    <t>CR1014SWCR</t>
  </si>
  <si>
    <t>CR1014SRR</t>
  </si>
  <si>
    <t>CR1014STR</t>
  </si>
  <si>
    <t>CR1054SCO</t>
  </si>
  <si>
    <t>CR1054SRPC</t>
  </si>
  <si>
    <t>CR1015SWCR</t>
  </si>
  <si>
    <t>CR1015SRR</t>
  </si>
  <si>
    <t>CR1015STR</t>
  </si>
  <si>
    <t>CR1055SCO</t>
  </si>
  <si>
    <t>CR1055SRPC</t>
  </si>
  <si>
    <t>CR1016SWCR</t>
  </si>
  <si>
    <t>CR1016SRR</t>
  </si>
  <si>
    <t>CR1016STR</t>
  </si>
  <si>
    <t>CR1056SCO</t>
  </si>
  <si>
    <t>CR1056SRPC</t>
  </si>
  <si>
    <t>CR1017SWCR</t>
  </si>
  <si>
    <t>CR1017SRR</t>
  </si>
  <si>
    <t>CR1017STR</t>
  </si>
  <si>
    <t>CR1057SCO</t>
  </si>
  <si>
    <t>CR1057SRPC</t>
  </si>
  <si>
    <t>CR1018SWCR</t>
  </si>
  <si>
    <t>CR1018SRR</t>
  </si>
  <si>
    <t>CR1018STR</t>
  </si>
  <si>
    <t>CR1058SCO</t>
  </si>
  <si>
    <t>CR1058SRPC</t>
  </si>
  <si>
    <t>CR1019SWCR</t>
  </si>
  <si>
    <t>CR1019SRR</t>
  </si>
  <si>
    <t>CR1019STR</t>
  </si>
  <si>
    <t>CR1059SCO</t>
  </si>
  <si>
    <t>CR1059SRPC</t>
  </si>
  <si>
    <t>CR1020SWCR</t>
  </si>
  <si>
    <t>CR1020SRR</t>
  </si>
  <si>
    <t>CR1020STR</t>
  </si>
  <si>
    <t>CR1060SCO</t>
  </si>
  <si>
    <t>CR1060SRPC</t>
  </si>
  <si>
    <t>CR1021SWCR</t>
  </si>
  <si>
    <t>CR1021SRR</t>
  </si>
  <si>
    <t>CR1021STR</t>
  </si>
  <si>
    <t>CR1061SCO</t>
  </si>
  <si>
    <t>CR1061SRPC</t>
  </si>
  <si>
    <t>CR1025SWCR</t>
  </si>
  <si>
    <t>CR1025SRR</t>
  </si>
  <si>
    <t>CR1025STR</t>
  </si>
  <si>
    <t>CR1065SCO</t>
  </si>
  <si>
    <t>CR1065SRPC</t>
  </si>
  <si>
    <t>CR1030SWCR</t>
  </si>
  <si>
    <t>CR1030SRR</t>
  </si>
  <si>
    <t>CR1030STR</t>
  </si>
  <si>
    <t>CR1066SCO</t>
  </si>
  <si>
    <t>CR1066SRPC</t>
  </si>
  <si>
    <t>CR1030SCU</t>
  </si>
  <si>
    <t>CR1030SRPC</t>
  </si>
  <si>
    <t>CR581</t>
  </si>
  <si>
    <t>CR583</t>
  </si>
  <si>
    <t>CR585</t>
  </si>
  <si>
    <t>CR582</t>
  </si>
  <si>
    <t>CR584</t>
  </si>
  <si>
    <t>CR586</t>
  </si>
  <si>
    <t>W9008HH</t>
  </si>
  <si>
    <t>W9008NHH</t>
  </si>
  <si>
    <t>W9008WW</t>
  </si>
  <si>
    <t>BR586</t>
  </si>
  <si>
    <t>BR588</t>
  </si>
  <si>
    <t>BR589</t>
  </si>
  <si>
    <t>CR881</t>
  </si>
  <si>
    <t>CR883</t>
  </si>
  <si>
    <t>CR885</t>
  </si>
  <si>
    <t>CR882</t>
  </si>
  <si>
    <t>CR884</t>
  </si>
  <si>
    <t>CR886</t>
  </si>
  <si>
    <t>S9008HH</t>
  </si>
  <si>
    <t>S9008NHH</t>
  </si>
  <si>
    <t>S9008WS</t>
  </si>
  <si>
    <t>BR886</t>
  </si>
  <si>
    <t>BR888</t>
  </si>
  <si>
    <t>BR689</t>
  </si>
  <si>
    <t>BR986</t>
  </si>
  <si>
    <t>BR988</t>
  </si>
  <si>
    <t>BR989</t>
  </si>
  <si>
    <t>A19002RRH</t>
  </si>
  <si>
    <t>A19002RRNH</t>
  </si>
  <si>
    <t>A19002RRA</t>
  </si>
  <si>
    <t>A19003RRH</t>
  </si>
  <si>
    <t>A19003RRNH</t>
  </si>
  <si>
    <t>A19003RRA</t>
  </si>
  <si>
    <t>A19039RRH</t>
  </si>
  <si>
    <t>A19039RRNH</t>
  </si>
  <si>
    <t>A19039RRA</t>
  </si>
  <si>
    <t>A19004RRH</t>
  </si>
  <si>
    <t>A19004RRNH</t>
  </si>
  <si>
    <t>A19004RRA</t>
  </si>
  <si>
    <t>BM340NPCW</t>
  </si>
  <si>
    <t>BM340NPCWW</t>
  </si>
  <si>
    <t>A19039NPC</t>
  </si>
  <si>
    <t>BR973NPC</t>
  </si>
  <si>
    <t>BO1183</t>
  </si>
  <si>
    <t>BR589PC</t>
  </si>
  <si>
    <t>BR689PC</t>
  </si>
  <si>
    <t>BR989PC</t>
  </si>
  <si>
    <t>BC11274</t>
  </si>
  <si>
    <t>BC11374</t>
  </si>
  <si>
    <t>BC11474</t>
  </si>
  <si>
    <t>W9014</t>
  </si>
  <si>
    <t>S9014</t>
  </si>
  <si>
    <t>T9014</t>
  </si>
  <si>
    <t>CRW001</t>
  </si>
  <si>
    <t>CRS001</t>
  </si>
  <si>
    <t>CRW008</t>
  </si>
  <si>
    <t>CRS008</t>
  </si>
  <si>
    <t>CRW009</t>
  </si>
  <si>
    <t>CRS009</t>
  </si>
  <si>
    <t>CRW010</t>
  </si>
  <si>
    <t>CRS010</t>
  </si>
  <si>
    <t>CRT001</t>
  </si>
  <si>
    <t>CRT008</t>
  </si>
  <si>
    <t>CRT009</t>
  </si>
  <si>
    <t>CRT010</t>
  </si>
  <si>
    <t>CRW002</t>
  </si>
  <si>
    <t>CRS002</t>
  </si>
  <si>
    <t>CRT002</t>
  </si>
  <si>
    <t>AIMAMP6_AS</t>
  </si>
  <si>
    <t>AIMAMP6_AP</t>
  </si>
  <si>
    <t>AIMAMP6_NAP</t>
  </si>
  <si>
    <t>AIMAMP6_CAP</t>
  </si>
  <si>
    <t>AIMAMP6_CNAP</t>
  </si>
  <si>
    <t>AIMAMP6_TEXT</t>
  </si>
  <si>
    <t>2017-18 normalised AIM performance
[nr]</t>
  </si>
  <si>
    <t>Cumulative normalised AIM performance 2016-17 onwards 
[nr]</t>
  </si>
  <si>
    <t>2017-18 AIM performance
[Ml]</t>
  </si>
  <si>
    <r>
      <t xml:space="preserve">Cumulative AIM performance 2016-17 onwards
</t>
    </r>
    <r>
      <rPr>
        <sz val="9"/>
        <color rgb="FF0078C9"/>
        <rFont val="Franklin Gothic Demi"/>
        <family val="2"/>
      </rPr>
      <t>[Ml]</t>
    </r>
  </si>
  <si>
    <t>SIMAMP6_QL1</t>
  </si>
  <si>
    <t>SIMAMP6_QL2</t>
  </si>
  <si>
    <t>SIMAMP6_QL3</t>
  </si>
  <si>
    <t>SIMAMP6_QL4</t>
  </si>
  <si>
    <t>SIMAMP6_QLS</t>
  </si>
  <si>
    <t>SIMAMP6_CS</t>
  </si>
  <si>
    <t>SIMAMP6_QNS</t>
  </si>
  <si>
    <t>KI001U</t>
  </si>
  <si>
    <t>WHV001U</t>
  </si>
  <si>
    <t>WHV001M</t>
  </si>
  <si>
    <t>BN2304</t>
  </si>
  <si>
    <t>BN2305</t>
  </si>
  <si>
    <t>BN2370</t>
  </si>
  <si>
    <t>BN2370S</t>
  </si>
  <si>
    <t>BN2360</t>
  </si>
  <si>
    <t>BN2360S</t>
  </si>
  <si>
    <t>W3026MT</t>
  </si>
  <si>
    <t>S3040MT</t>
  </si>
  <si>
    <t>W3026MTCUM</t>
  </si>
  <si>
    <t>S3040MTCUM</t>
  </si>
  <si>
    <t>CRW004</t>
  </si>
  <si>
    <t>CRS004</t>
  </si>
  <si>
    <t>CRW004CUM</t>
  </si>
  <si>
    <t>CRS004CUM</t>
  </si>
  <si>
    <t>CRW003</t>
  </si>
  <si>
    <t>CRS003</t>
  </si>
  <si>
    <t>CRW003CUM</t>
  </si>
  <si>
    <t>CRS003CUM</t>
  </si>
  <si>
    <t>CRW005</t>
  </si>
  <si>
    <t>CRS005</t>
  </si>
  <si>
    <t>CRW005CUM</t>
  </si>
  <si>
    <t>CRS005CUM</t>
  </si>
  <si>
    <t>CRW006</t>
  </si>
  <si>
    <t>CRS006</t>
  </si>
  <si>
    <t>CRW006CUM</t>
  </si>
  <si>
    <t>CRS006CUM</t>
  </si>
  <si>
    <t>CRW011</t>
  </si>
  <si>
    <t>CRS011</t>
  </si>
  <si>
    <t>CRW011CUM</t>
  </si>
  <si>
    <t>CRS011CUM</t>
  </si>
  <si>
    <t>CRW012</t>
  </si>
  <si>
    <t>CRS012</t>
  </si>
  <si>
    <t>CRW012CUM</t>
  </si>
  <si>
    <t>CRS012CUM</t>
  </si>
  <si>
    <t>CRW013</t>
  </si>
  <si>
    <t>CRS013</t>
  </si>
  <si>
    <t>CRW013CUM</t>
  </si>
  <si>
    <t>CRS013CUM</t>
  </si>
  <si>
    <t>CRW014</t>
  </si>
  <si>
    <t>CRS014</t>
  </si>
  <si>
    <t>CRW014CUM</t>
  </si>
  <si>
    <t>CRS014CUM</t>
  </si>
  <si>
    <t>RCT00587WT</t>
  </si>
  <si>
    <t>RCT00587WWT</t>
  </si>
  <si>
    <t>RCT00587WTC</t>
  </si>
  <si>
    <t>RCT00587WWTC</t>
  </si>
  <si>
    <t>RCT00587WTCR</t>
  </si>
  <si>
    <t>RCT00587WWTCR</t>
  </si>
  <si>
    <t>RCT00588W</t>
  </si>
  <si>
    <t>RCT00588WW</t>
  </si>
  <si>
    <t>RCT00586W</t>
  </si>
  <si>
    <t>RCT00586WW</t>
  </si>
  <si>
    <t>RCT00589W</t>
  </si>
  <si>
    <t>RCT00589WW</t>
  </si>
  <si>
    <t>BON CODE ALLOCATION - Group items</t>
  </si>
  <si>
    <t>BM102AL</t>
  </si>
  <si>
    <t>BM102RWA</t>
  </si>
  <si>
    <t>BM202RWT</t>
  </si>
  <si>
    <t>BM202RWS</t>
  </si>
  <si>
    <t>BM102WT</t>
  </si>
  <si>
    <t>BM202TWD</t>
  </si>
  <si>
    <t>BM302TAS</t>
  </si>
  <si>
    <t>BM336AL</t>
  </si>
  <si>
    <t>BM336RWA</t>
  </si>
  <si>
    <t>BM336RWT</t>
  </si>
  <si>
    <t>BM336RWS</t>
  </si>
  <si>
    <t>BM336WT</t>
  </si>
  <si>
    <t>BM336TWD</t>
  </si>
  <si>
    <t>BM336TAS</t>
  </si>
  <si>
    <t>BM131AL</t>
  </si>
  <si>
    <t>BM131RWA</t>
  </si>
  <si>
    <t>BM231RWT</t>
  </si>
  <si>
    <t>BM231RWS</t>
  </si>
  <si>
    <t>BM131WT</t>
  </si>
  <si>
    <t>BM231TWD</t>
  </si>
  <si>
    <t>BM331TAS</t>
  </si>
  <si>
    <t>BM140AL</t>
  </si>
  <si>
    <t>BM140RWA</t>
  </si>
  <si>
    <t>BM240RWT</t>
  </si>
  <si>
    <t>BM240RWS</t>
  </si>
  <si>
    <t>BM140WT</t>
  </si>
  <si>
    <t>BM240TWD</t>
  </si>
  <si>
    <t>BM340TAS</t>
  </si>
  <si>
    <t>BM317AL</t>
  </si>
  <si>
    <t>BM317RWA</t>
  </si>
  <si>
    <t>BM317RWT</t>
  </si>
  <si>
    <t>BM317RWS</t>
  </si>
  <si>
    <t>BM317WT</t>
  </si>
  <si>
    <t>BM317TWD</t>
  </si>
  <si>
    <t>BM317TAS</t>
  </si>
  <si>
    <t>BM319AL</t>
  </si>
  <si>
    <t>BM319RWA</t>
  </si>
  <si>
    <t>BM319RWT</t>
  </si>
  <si>
    <t>BM319RWS</t>
  </si>
  <si>
    <t>BM319WT</t>
  </si>
  <si>
    <t>BM319TWD</t>
  </si>
  <si>
    <t>BM319TAS</t>
  </si>
  <si>
    <t>BM323AL</t>
  </si>
  <si>
    <t>BM323RWA</t>
  </si>
  <si>
    <t>BM323RWT</t>
  </si>
  <si>
    <t>BM323RWS</t>
  </si>
  <si>
    <t>BM323WT</t>
  </si>
  <si>
    <t>BM323TWD</t>
  </si>
  <si>
    <t>BM323TAS</t>
  </si>
  <si>
    <t>BM351AL</t>
  </si>
  <si>
    <t>BM351RWA</t>
  </si>
  <si>
    <t>BM351RWT</t>
  </si>
  <si>
    <t>BM351RWS</t>
  </si>
  <si>
    <t>BM351WT</t>
  </si>
  <si>
    <t>BM351TWD</t>
  </si>
  <si>
    <t>BM351TAS</t>
  </si>
  <si>
    <t>BC30445AL</t>
  </si>
  <si>
    <t>BC30445RWA</t>
  </si>
  <si>
    <t>BC30445RWT</t>
  </si>
  <si>
    <t>BC30445RWS</t>
  </si>
  <si>
    <t>BC30445WT</t>
  </si>
  <si>
    <t>BC30445TWD</t>
  </si>
  <si>
    <t>BC30445</t>
  </si>
  <si>
    <t>CW00036AL</t>
  </si>
  <si>
    <t>CW00036RWA</t>
  </si>
  <si>
    <t>CW00036RWT</t>
  </si>
  <si>
    <t>CW00036RWS</t>
  </si>
  <si>
    <t>CW00036WT</t>
  </si>
  <si>
    <t>CW00036TWD</t>
  </si>
  <si>
    <t>CW00036</t>
  </si>
  <si>
    <t>BC30444AL</t>
  </si>
  <si>
    <t>BC30444RWA</t>
  </si>
  <si>
    <t>BC30444RWT</t>
  </si>
  <si>
    <t>BC30444RWS</t>
  </si>
  <si>
    <t>BC30444WT</t>
  </si>
  <si>
    <t>BC30444TWD</t>
  </si>
  <si>
    <t>BC30444TAS</t>
  </si>
  <si>
    <t>CW00037AL</t>
  </si>
  <si>
    <t>CW00037RWA</t>
  </si>
  <si>
    <t>CW00037RWT</t>
  </si>
  <si>
    <t>CW00037RWS</t>
  </si>
  <si>
    <t>CW00037WT</t>
  </si>
  <si>
    <t>CW00037TWD</t>
  </si>
  <si>
    <t>CW00037TAS</t>
  </si>
  <si>
    <t>BC30498AL</t>
  </si>
  <si>
    <t>BC30498RWA</t>
  </si>
  <si>
    <t>BC30498RWT</t>
  </si>
  <si>
    <t>BC30498RWS</t>
  </si>
  <si>
    <t>BC30498WT</t>
  </si>
  <si>
    <t>BC30498TWD</t>
  </si>
  <si>
    <t>BC30498TAS</t>
  </si>
  <si>
    <t>BM333AL</t>
  </si>
  <si>
    <t>BM333RWA</t>
  </si>
  <si>
    <t>BM333RWT</t>
  </si>
  <si>
    <t>BM333RWS</t>
  </si>
  <si>
    <t>BM333WT</t>
  </si>
  <si>
    <t>BM333TWD</t>
  </si>
  <si>
    <t>BM333TAS</t>
  </si>
  <si>
    <t>BA1070AL</t>
  </si>
  <si>
    <t>BA1070RWA</t>
  </si>
  <si>
    <t>BA1070RWT</t>
  </si>
  <si>
    <t>BA1070RWS</t>
  </si>
  <si>
    <t>BA1070WT</t>
  </si>
  <si>
    <t>BA1070TWD</t>
  </si>
  <si>
    <t>BA1070TAS</t>
  </si>
  <si>
    <t>BA1071AL</t>
  </si>
  <si>
    <t>BA1071RWA</t>
  </si>
  <si>
    <t>BA1071RWT</t>
  </si>
  <si>
    <t>BA1071RWS</t>
  </si>
  <si>
    <t>BA1071WT</t>
  </si>
  <si>
    <t>BA1071TWD</t>
  </si>
  <si>
    <t>BA1071TAS</t>
  </si>
  <si>
    <t>BM325AL</t>
  </si>
  <si>
    <t>BM325RWA</t>
  </si>
  <si>
    <t>BM325RWT</t>
  </si>
  <si>
    <t>BM325RWS</t>
  </si>
  <si>
    <t>BM325WT</t>
  </si>
  <si>
    <t>BM325TWD</t>
  </si>
  <si>
    <t>BM325TAS</t>
  </si>
  <si>
    <t>CR00558AL</t>
  </si>
  <si>
    <t>CR00558RWA</t>
  </si>
  <si>
    <t>CR00558RWT</t>
  </si>
  <si>
    <t>CR00558RWS</t>
  </si>
  <si>
    <t>CR00558WT</t>
  </si>
  <si>
    <t>CR00558TWD</t>
  </si>
  <si>
    <t>CR00558TOT</t>
  </si>
  <si>
    <t>CR00561AL</t>
  </si>
  <si>
    <t>CR00561RWA</t>
  </si>
  <si>
    <t>CR00561RWT</t>
  </si>
  <si>
    <t>CR00561RWS</t>
  </si>
  <si>
    <t>CR00561WT</t>
  </si>
  <si>
    <t>CR00561TWD</t>
  </si>
  <si>
    <t>CR00561TOT</t>
  </si>
  <si>
    <t>W3026AL</t>
  </si>
  <si>
    <t>W3026RWA</t>
  </si>
  <si>
    <t>W3026RWT</t>
  </si>
  <si>
    <t>W3026RWS</t>
  </si>
  <si>
    <t>W3026WT</t>
  </si>
  <si>
    <t>W3026TWD</t>
  </si>
  <si>
    <t>W3026TOT</t>
  </si>
  <si>
    <t>CRASAL005</t>
  </si>
  <si>
    <t>CRASREA005</t>
  </si>
  <si>
    <t>CRASRWT005</t>
  </si>
  <si>
    <t>CRASRWS005</t>
  </si>
  <si>
    <t>CRASWT001D</t>
  </si>
  <si>
    <t>CRASTWD005</t>
  </si>
  <si>
    <t>CRASAL006</t>
  </si>
  <si>
    <t>CRASRWA006</t>
  </si>
  <si>
    <t>CRASRWT006</t>
  </si>
  <si>
    <t>CRASRWS006</t>
  </si>
  <si>
    <t>CRASWT001C</t>
  </si>
  <si>
    <t>CRASTWD006</t>
  </si>
  <si>
    <t>BN2590AL</t>
  </si>
  <si>
    <t>BN2590RWA</t>
  </si>
  <si>
    <t>BN2590RWT</t>
  </si>
  <si>
    <t>BN2590RWS</t>
  </si>
  <si>
    <t>BN2590WT</t>
  </si>
  <si>
    <t>BN2590TWD</t>
  </si>
  <si>
    <t>BN2591AL</t>
  </si>
  <si>
    <t>BN2591RWA</t>
  </si>
  <si>
    <t>BN2591RWT</t>
  </si>
  <si>
    <t>BN2591RWS</t>
  </si>
  <si>
    <t>BN2591WT</t>
  </si>
  <si>
    <t>BN2591TWD</t>
  </si>
  <si>
    <t>BM339ALIR</t>
  </si>
  <si>
    <t>BM339RWAIR</t>
  </si>
  <si>
    <t>BM339RWTIR</t>
  </si>
  <si>
    <t>BM339RWSIR</t>
  </si>
  <si>
    <t>BM339WTIR</t>
  </si>
  <si>
    <t>BM339TWDIR</t>
  </si>
  <si>
    <t>BM339TASIR</t>
  </si>
  <si>
    <t>BM339ALNIR</t>
  </si>
  <si>
    <t>BM339RWANIR</t>
  </si>
  <si>
    <t>BM339RWTNIR</t>
  </si>
  <si>
    <t>BM339RWSNIR</t>
  </si>
  <si>
    <t>BM339WTNIR</t>
  </si>
  <si>
    <t>BM339TWDNIR</t>
  </si>
  <si>
    <t>BM339TASNIR</t>
  </si>
  <si>
    <t>BM339ALER</t>
  </si>
  <si>
    <t>BM339RWAER</t>
  </si>
  <si>
    <t>BM339RWTER</t>
  </si>
  <si>
    <t>BM339RWSER</t>
  </si>
  <si>
    <t>BM339WTER</t>
  </si>
  <si>
    <t>BM339TWDER</t>
  </si>
  <si>
    <t>BM339TASER</t>
  </si>
  <si>
    <t>BM402F</t>
  </si>
  <si>
    <t>BM402SWD</t>
  </si>
  <si>
    <t>BM402HD</t>
  </si>
  <si>
    <t>BM502STD</t>
  </si>
  <si>
    <t>BM502SLT</t>
  </si>
  <si>
    <t>BM602STP</t>
  </si>
  <si>
    <t>BM602SDT</t>
  </si>
  <si>
    <t>BM602SDD</t>
  </si>
  <si>
    <t>BM802TAS</t>
  </si>
  <si>
    <t>BM836F</t>
  </si>
  <si>
    <t>BM836SWD</t>
  </si>
  <si>
    <t>BM836HD</t>
  </si>
  <si>
    <t>BM836STD</t>
  </si>
  <si>
    <t>BM836SLT</t>
  </si>
  <si>
    <t>BM836STP</t>
  </si>
  <si>
    <t>BM836SDT</t>
  </si>
  <si>
    <t>BM836SDD</t>
  </si>
  <si>
    <t>BM836TAS</t>
  </si>
  <si>
    <t>BM131F</t>
  </si>
  <si>
    <t>BM131SWD</t>
  </si>
  <si>
    <t>BM131HD</t>
  </si>
  <si>
    <t>BM231STD</t>
  </si>
  <si>
    <t>BM231SLT</t>
  </si>
  <si>
    <t>BM631STP</t>
  </si>
  <si>
    <t>BM631SDT</t>
  </si>
  <si>
    <t>BM631SDD</t>
  </si>
  <si>
    <t>BM831TAS</t>
  </si>
  <si>
    <t>BM140F</t>
  </si>
  <si>
    <t>BM140SWD</t>
  </si>
  <si>
    <t>BM140HD</t>
  </si>
  <si>
    <t>BM140STD</t>
  </si>
  <si>
    <t>BM140SLT</t>
  </si>
  <si>
    <t>BM140STP</t>
  </si>
  <si>
    <t>BM140SDT</t>
  </si>
  <si>
    <t>BM140SDD</t>
  </si>
  <si>
    <t>BM140TAS</t>
  </si>
  <si>
    <t>BM817F</t>
  </si>
  <si>
    <t>BM817SWD</t>
  </si>
  <si>
    <t>BM817HD</t>
  </si>
  <si>
    <t>BM817STD</t>
  </si>
  <si>
    <t>BM817SLT</t>
  </si>
  <si>
    <t>BM817STP</t>
  </si>
  <si>
    <t>BM817SDT</t>
  </si>
  <si>
    <t>BM817SDD</t>
  </si>
  <si>
    <t>BM817TAS</t>
  </si>
  <si>
    <t>BM844F</t>
  </si>
  <si>
    <t>BM844SWD</t>
  </si>
  <si>
    <t>BM844HD</t>
  </si>
  <si>
    <t>BM844STD</t>
  </si>
  <si>
    <t>BM844SLT</t>
  </si>
  <si>
    <t>BM844STP</t>
  </si>
  <si>
    <t>BM844SDT</t>
  </si>
  <si>
    <t>BM844SDD</t>
  </si>
  <si>
    <t>BM844TAS</t>
  </si>
  <si>
    <t>BM823F</t>
  </si>
  <si>
    <t>BM823SWD</t>
  </si>
  <si>
    <t>BM823HD</t>
  </si>
  <si>
    <t>BM823STD</t>
  </si>
  <si>
    <t>BM823SLT</t>
  </si>
  <si>
    <t>BM823STP</t>
  </si>
  <si>
    <t>BM823SDT</t>
  </si>
  <si>
    <t>BM823SDD</t>
  </si>
  <si>
    <t>BM823TAS</t>
  </si>
  <si>
    <t>BM850F</t>
  </si>
  <si>
    <t>BM850SWD</t>
  </si>
  <si>
    <t>BM850HD</t>
  </si>
  <si>
    <t>BM850STD</t>
  </si>
  <si>
    <t>BM850SLT</t>
  </si>
  <si>
    <t>BM850STP</t>
  </si>
  <si>
    <t>BM850SDT</t>
  </si>
  <si>
    <t>BM850SDD</t>
  </si>
  <si>
    <t>BM850TAS</t>
  </si>
  <si>
    <t>BC30945F</t>
  </si>
  <si>
    <t>BC30945SWD</t>
  </si>
  <si>
    <t>BC30945HD</t>
  </si>
  <si>
    <t>BC30945STD</t>
  </si>
  <si>
    <t>BC30945SLT</t>
  </si>
  <si>
    <t>BC30945STP</t>
  </si>
  <si>
    <t>BC30945SDT</t>
  </si>
  <si>
    <t>BC30945SDD</t>
  </si>
  <si>
    <t>BC30945</t>
  </si>
  <si>
    <t>CS00036F</t>
  </si>
  <si>
    <t>CS00036SWD</t>
  </si>
  <si>
    <t>CS00036HD</t>
  </si>
  <si>
    <t>CS00036STD</t>
  </si>
  <si>
    <t>CS00036SLT</t>
  </si>
  <si>
    <t>CS00036STP</t>
  </si>
  <si>
    <t>CS00036SDT</t>
  </si>
  <si>
    <t>CS00036SDD</t>
  </si>
  <si>
    <t>CS00036</t>
  </si>
  <si>
    <t>BC30944F</t>
  </si>
  <si>
    <t>BC30944SWD</t>
  </si>
  <si>
    <t>BC30944HD</t>
  </si>
  <si>
    <t>BC30944STD</t>
  </si>
  <si>
    <t>BC30944SLT</t>
  </si>
  <si>
    <t>BC30944STP</t>
  </si>
  <si>
    <t>BC30944SDT</t>
  </si>
  <si>
    <t>BC30944SDD</t>
  </si>
  <si>
    <t>BC30944TAS</t>
  </si>
  <si>
    <t>CS00037F</t>
  </si>
  <si>
    <t>CS00037SWD</t>
  </si>
  <si>
    <t>CS00037HD</t>
  </si>
  <si>
    <t>CS00037STD</t>
  </si>
  <si>
    <t>CS00037SLT</t>
  </si>
  <si>
    <t>CS00037STP</t>
  </si>
  <si>
    <t>CS00037SDT</t>
  </si>
  <si>
    <t>CS00037SDD</t>
  </si>
  <si>
    <t>CS00037TAS</t>
  </si>
  <si>
    <t>BC30998F</t>
  </si>
  <si>
    <t>BC30998SWD</t>
  </si>
  <si>
    <t>BC30998HD</t>
  </si>
  <si>
    <t>BC30998STD</t>
  </si>
  <si>
    <t>BC30998SLT</t>
  </si>
  <si>
    <t>BC30998STP</t>
  </si>
  <si>
    <t>BC30998SDT</t>
  </si>
  <si>
    <t>BC30998SDD</t>
  </si>
  <si>
    <t>BC30998TAS</t>
  </si>
  <si>
    <t>BM833F</t>
  </si>
  <si>
    <t>BM833SWD</t>
  </si>
  <si>
    <t>BM833HD</t>
  </si>
  <si>
    <t>BM833STD</t>
  </si>
  <si>
    <t>BM833SLT</t>
  </si>
  <si>
    <t>BM833STP</t>
  </si>
  <si>
    <t>BM833SDT</t>
  </si>
  <si>
    <t>BM833SDD</t>
  </si>
  <si>
    <t>BM833TAS</t>
  </si>
  <si>
    <t>BA2120F</t>
  </si>
  <si>
    <t>BA2120SWD</t>
  </si>
  <si>
    <t>BA2120HD</t>
  </si>
  <si>
    <t>BA2120STD</t>
  </si>
  <si>
    <t>BA2120SLT</t>
  </si>
  <si>
    <t>BA2120STP</t>
  </si>
  <si>
    <t>BA2120SDT</t>
  </si>
  <si>
    <t>BA2120SDD</t>
  </si>
  <si>
    <t>BA2120TAS</t>
  </si>
  <si>
    <t>BA2121F</t>
  </si>
  <si>
    <t>BA2121SWD</t>
  </si>
  <si>
    <t>BA2121HD</t>
  </si>
  <si>
    <t>BA2121STD</t>
  </si>
  <si>
    <t>BA2121SLT</t>
  </si>
  <si>
    <t>BA2121STP</t>
  </si>
  <si>
    <t>BA2121SDT</t>
  </si>
  <si>
    <t>BA2121SDD</t>
  </si>
  <si>
    <t>BA2121TAS</t>
  </si>
  <si>
    <t>BM825F</t>
  </si>
  <si>
    <t>BM825SWD</t>
  </si>
  <si>
    <t>BM825HD</t>
  </si>
  <si>
    <t>BM825STD</t>
  </si>
  <si>
    <t>BM825SLT</t>
  </si>
  <si>
    <t>BM825STP</t>
  </si>
  <si>
    <t>BM825SDT</t>
  </si>
  <si>
    <t>BM825SDD</t>
  </si>
  <si>
    <t>BM825TAS</t>
  </si>
  <si>
    <t>CR00559F</t>
  </si>
  <si>
    <t>CR00559SWD</t>
  </si>
  <si>
    <t>CR00559HD</t>
  </si>
  <si>
    <t>CR00559STD</t>
  </si>
  <si>
    <t>CR00559SLT</t>
  </si>
  <si>
    <t>CR00559STP</t>
  </si>
  <si>
    <t>CR00559SDT</t>
  </si>
  <si>
    <t>CR00559SDD</t>
  </si>
  <si>
    <t>CR00559TOT</t>
  </si>
  <si>
    <t>CR00562F</t>
  </si>
  <si>
    <t>CR00562SWD</t>
  </si>
  <si>
    <t>CR00562HD</t>
  </si>
  <si>
    <t>CR00562STD</t>
  </si>
  <si>
    <t>CR00562SLT</t>
  </si>
  <si>
    <t>CR00562STP</t>
  </si>
  <si>
    <t>CR00562SDT</t>
  </si>
  <si>
    <t>CR00562SDD</t>
  </si>
  <si>
    <t>CR00562TOT</t>
  </si>
  <si>
    <t>S3040F</t>
  </si>
  <si>
    <t>S3040SWD</t>
  </si>
  <si>
    <t>S3040HD</t>
  </si>
  <si>
    <t>S3040STD</t>
  </si>
  <si>
    <t>S3040SLT</t>
  </si>
  <si>
    <t>S3040STP</t>
  </si>
  <si>
    <t>S3040SDT</t>
  </si>
  <si>
    <t>S3040SDD</t>
  </si>
  <si>
    <t>S3040TOT</t>
  </si>
  <si>
    <t>CRASF005</t>
  </si>
  <si>
    <t>CRASSWD005</t>
  </si>
  <si>
    <t>CRASHD005</t>
  </si>
  <si>
    <t>CRSTSERV01D</t>
  </si>
  <si>
    <t>CRASLT005</t>
  </si>
  <si>
    <t>CRASST005</t>
  </si>
  <si>
    <t>CRASSTS005</t>
  </si>
  <si>
    <t>CRSDSERV01D</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</si>
  <si>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</si>
  <si>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</si>
  <si>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</si>
  <si>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</si>
  <si>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</si>
  <si>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</si>
  <si>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</si>
  <si>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</si>
  <si>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</si>
  <si>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</si>
  <si>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</si>
  <si>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</si>
  <si>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</si>
  <si>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</si>
  <si>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</si>
  <si>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</si>
  <si>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</si>
  <si>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</si>
  <si>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</si>
  <si>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</si>
  <si>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</si>
  <si>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</si>
  <si>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</si>
  <si>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</si>
  <si>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BM839FIR</t>
  </si>
  <si>
    <t>BM839SWDIR</t>
  </si>
  <si>
    <t>BM839HDIR</t>
  </si>
  <si>
    <t>BM839STDIR</t>
  </si>
  <si>
    <t>BM839SLTIR</t>
  </si>
  <si>
    <t>BM839STPIR</t>
  </si>
  <si>
    <t>BM839SDTIR</t>
  </si>
  <si>
    <t>BM839SDDIR</t>
  </si>
  <si>
    <t>BM839TASIR</t>
  </si>
  <si>
    <t>BM839FNIR</t>
  </si>
  <si>
    <t>BM839SWDNIR</t>
  </si>
  <si>
    <t>BM839HDNIR</t>
  </si>
  <si>
    <t>BM839STDNIR</t>
  </si>
  <si>
    <t>BM839SLTNIR</t>
  </si>
  <si>
    <t>BM839STPNIR</t>
  </si>
  <si>
    <t>BM839SDTNIR</t>
  </si>
  <si>
    <t>BM839SDDNIR</t>
  </si>
  <si>
    <t>BM839TASNIR</t>
  </si>
  <si>
    <t>BM839FER</t>
  </si>
  <si>
    <t>BM839SWDER</t>
  </si>
  <si>
    <t>BM839HDER</t>
  </si>
  <si>
    <t>BM839STDER</t>
  </si>
  <si>
    <t>BM839SLTER</t>
  </si>
  <si>
    <t>BM839STPER</t>
  </si>
  <si>
    <t>BM839SDTER</t>
  </si>
  <si>
    <t>BM839SDDER</t>
  </si>
  <si>
    <t>BM839TASER</t>
  </si>
  <si>
    <t>BM9030UWO</t>
  </si>
  <si>
    <t>BM9030USO</t>
  </si>
  <si>
    <t>BM9030UWS</t>
  </si>
  <si>
    <t>BM9030UTOT</t>
  </si>
  <si>
    <t>BM9002UWO</t>
  </si>
  <si>
    <t>BM9002USO</t>
  </si>
  <si>
    <t>BM9002UWS</t>
  </si>
  <si>
    <t>BM9002UTOT</t>
  </si>
  <si>
    <t>BM9003UWO</t>
  </si>
  <si>
    <t>BM9003USO</t>
  </si>
  <si>
    <t>BM9003UWS</t>
  </si>
  <si>
    <t>BM9003UTOT</t>
  </si>
  <si>
    <t>BM9033UWO</t>
  </si>
  <si>
    <t>BM9033USO</t>
  </si>
  <si>
    <t>BM9033UWS</t>
  </si>
  <si>
    <t>BM9033UTOT</t>
  </si>
  <si>
    <t>BM9021UWO</t>
  </si>
  <si>
    <t>BM9021USO</t>
  </si>
  <si>
    <t>BM9021UWS</t>
  </si>
  <si>
    <t>BM9021UTOT</t>
  </si>
  <si>
    <t>BM9022UWO</t>
  </si>
  <si>
    <t>BM9022USO</t>
  </si>
  <si>
    <t>BM9022UWS</t>
  </si>
  <si>
    <t>BM9022UTOT</t>
  </si>
  <si>
    <t>BM9023UWO</t>
  </si>
  <si>
    <t>BM9023USO</t>
  </si>
  <si>
    <t>BM9023UWS</t>
  </si>
  <si>
    <t>BM9023UTOT</t>
  </si>
  <si>
    <t>BM9029UWO</t>
  </si>
  <si>
    <t>BM9029USO</t>
  </si>
  <si>
    <t>BM9029UWS</t>
  </si>
  <si>
    <t>BM9029UTOT</t>
  </si>
  <si>
    <t>BM9030MWO</t>
  </si>
  <si>
    <t>BM9030MSO</t>
  </si>
  <si>
    <t>BM9030MWS</t>
  </si>
  <si>
    <t>BM9030MTOT</t>
  </si>
  <si>
    <t>BM9030</t>
  </si>
  <si>
    <t>BM9002MWO</t>
  </si>
  <si>
    <t>BM9002MSO</t>
  </si>
  <si>
    <t>BM9002MWS</t>
  </si>
  <si>
    <t>BM9002MTOT</t>
  </si>
  <si>
    <t>BM9002</t>
  </si>
  <si>
    <t>BM9003MWO</t>
  </si>
  <si>
    <t>BM9003MSO</t>
  </si>
  <si>
    <t>BM9003MWS</t>
  </si>
  <si>
    <t>BM9003MTOT</t>
  </si>
  <si>
    <t>BM9003</t>
  </si>
  <si>
    <t>BM9007MWO</t>
  </si>
  <si>
    <t>BM9007MSO</t>
  </si>
  <si>
    <t>BM9007MWS</t>
  </si>
  <si>
    <t>BM9007MTOT</t>
  </si>
  <si>
    <t>BM9007</t>
  </si>
  <si>
    <t>BM9033MWO</t>
  </si>
  <si>
    <t>BM9033MSO</t>
  </si>
  <si>
    <t>BM9033MWS</t>
  </si>
  <si>
    <t>BM9033MTOT</t>
  </si>
  <si>
    <t>BM9033</t>
  </si>
  <si>
    <t>BM9021MWO</t>
  </si>
  <si>
    <t>BM9021MSO</t>
  </si>
  <si>
    <t>BM9021MWS</t>
  </si>
  <si>
    <t>BM9021MTOT</t>
  </si>
  <si>
    <t>BM9021</t>
  </si>
  <si>
    <t>BM9022MWO</t>
  </si>
  <si>
    <t>BM9022MSO</t>
  </si>
  <si>
    <t>BM9022MWS</t>
  </si>
  <si>
    <t>BM9022MTOT</t>
  </si>
  <si>
    <t>BM9022</t>
  </si>
  <si>
    <t>BM9023MWO</t>
  </si>
  <si>
    <t>BM9023MSO</t>
  </si>
  <si>
    <t>BM9023MWS</t>
  </si>
  <si>
    <t>BM9023MTOT</t>
  </si>
  <si>
    <t>BM9023</t>
  </si>
  <si>
    <t>BM9029MWO</t>
  </si>
  <si>
    <t>BM9029MSO</t>
  </si>
  <si>
    <t>BM9029MWS</t>
  </si>
  <si>
    <t>BM9029MTOT</t>
  </si>
  <si>
    <t>BM9029</t>
  </si>
  <si>
    <t>R3006</t>
  </si>
  <si>
    <t>R3007</t>
  </si>
  <si>
    <t>R3008</t>
  </si>
  <si>
    <t>R3009</t>
  </si>
  <si>
    <t>R3010</t>
  </si>
  <si>
    <t>R3011</t>
  </si>
  <si>
    <t>W9010</t>
  </si>
  <si>
    <t>S9010</t>
  </si>
  <si>
    <t>BM351TASN</t>
  </si>
  <si>
    <t>BM850TASN</t>
  </si>
  <si>
    <t>T9010</t>
  </si>
  <si>
    <t>BM924TAS</t>
  </si>
  <si>
    <t>BM349TAS</t>
  </si>
  <si>
    <t>BM815TAS</t>
  </si>
  <si>
    <t>BM915TAS</t>
  </si>
  <si>
    <t>BO3166WPL</t>
  </si>
  <si>
    <t>BO3166SPL</t>
  </si>
  <si>
    <t>BO3166PL</t>
  </si>
  <si>
    <t>A10007WW</t>
  </si>
  <si>
    <t>A10007WS</t>
  </si>
  <si>
    <t>A10007</t>
  </si>
  <si>
    <t>A10008WW</t>
  </si>
  <si>
    <t>A10008WS</t>
  </si>
  <si>
    <t>A10008</t>
  </si>
  <si>
    <t>A10009WW</t>
  </si>
  <si>
    <t>A10009WS</t>
  </si>
  <si>
    <t>A10009</t>
  </si>
  <si>
    <t>A10010WW</t>
  </si>
  <si>
    <t>A10010WS</t>
  </si>
  <si>
    <t>A10010</t>
  </si>
  <si>
    <t>A10011WW</t>
  </si>
  <si>
    <t>A10011WS</t>
  </si>
  <si>
    <t>A10011</t>
  </si>
  <si>
    <t>A10012WW</t>
  </si>
  <si>
    <t>A10012WS</t>
  </si>
  <si>
    <t>A10013WW</t>
  </si>
  <si>
    <t>A10013WS</t>
  </si>
  <si>
    <t>A10012</t>
  </si>
  <si>
    <t>A10013</t>
  </si>
  <si>
    <t>RCT00600</t>
  </si>
  <si>
    <t>T19004PT</t>
  </si>
  <si>
    <t>T19004</t>
  </si>
  <si>
    <t>CR1050</t>
  </si>
  <si>
    <t>R5004HH</t>
  </si>
  <si>
    <t>R5004NH</t>
  </si>
  <si>
    <t>A8012FM</t>
  </si>
  <si>
    <t>CR19006</t>
  </si>
  <si>
    <t>CR2610</t>
  </si>
  <si>
    <t>A14025</t>
  </si>
  <si>
    <t>CR1051</t>
  </si>
  <si>
    <t>CR1052</t>
  </si>
  <si>
    <t>CR1053</t>
  </si>
  <si>
    <t>CR1054</t>
  </si>
  <si>
    <t>CR1055</t>
  </si>
  <si>
    <t>CR1056</t>
  </si>
  <si>
    <t>CR1057</t>
  </si>
  <si>
    <t>CR1058</t>
  </si>
  <si>
    <t>CR1059</t>
  </si>
  <si>
    <t>CR1060</t>
  </si>
  <si>
    <t>CR1061</t>
  </si>
  <si>
    <t>CR1062</t>
  </si>
  <si>
    <t>CR1063</t>
  </si>
  <si>
    <t>CR1064</t>
  </si>
  <si>
    <t>CR1065</t>
  </si>
  <si>
    <t>CR2021N1</t>
  </si>
  <si>
    <t>CR2021N2</t>
  </si>
  <si>
    <t>CR2021N5</t>
  </si>
  <si>
    <t>CR2021N6</t>
  </si>
  <si>
    <t>CR2021MM</t>
  </si>
  <si>
    <t>CR2021TA</t>
  </si>
  <si>
    <t>CR2022N1</t>
  </si>
  <si>
    <t>CR2022N2</t>
  </si>
  <si>
    <t>CR2022N5</t>
  </si>
  <si>
    <t>CR2022N6</t>
  </si>
  <si>
    <t>CR2022MM</t>
  </si>
  <si>
    <t>CR2022TA</t>
  </si>
  <si>
    <t>CR2023N1</t>
  </si>
  <si>
    <t>CR2023N2</t>
  </si>
  <si>
    <t>CR2023N5</t>
  </si>
  <si>
    <t>CR2023N6</t>
  </si>
  <si>
    <t>CR2023MM</t>
  </si>
  <si>
    <t>CR2023TA</t>
  </si>
  <si>
    <t>CR2024N1</t>
  </si>
  <si>
    <t>CR2024N2</t>
  </si>
  <si>
    <t>CR2024N5</t>
  </si>
  <si>
    <t>CR2024N6</t>
  </si>
  <si>
    <t>CR2024MM</t>
  </si>
  <si>
    <t>CR2024TA</t>
  </si>
  <si>
    <t>CR2025N1</t>
  </si>
  <si>
    <t>CR2025N2</t>
  </si>
  <si>
    <t>CR2025N5</t>
  </si>
  <si>
    <t>CR2025N6</t>
  </si>
  <si>
    <t>CR2025MM</t>
  </si>
  <si>
    <t>CR2025TA</t>
  </si>
  <si>
    <t>CR2026N1</t>
  </si>
  <si>
    <t>CR2026N2</t>
  </si>
  <si>
    <t>CR2026N5</t>
  </si>
  <si>
    <t>CR2026N6</t>
  </si>
  <si>
    <t>CR2026MM</t>
  </si>
  <si>
    <t>CR2026TA</t>
  </si>
  <si>
    <t>CR2027N1</t>
  </si>
  <si>
    <t>CR2027N2</t>
  </si>
  <si>
    <t>CR2027N5</t>
  </si>
  <si>
    <t>CR2027N6</t>
  </si>
  <si>
    <t>CR2027MM</t>
  </si>
  <si>
    <t>CR2027TA</t>
  </si>
  <si>
    <t>CR2021IRP</t>
  </si>
  <si>
    <t>CR2021IRR</t>
  </si>
  <si>
    <t>CR2022IRP</t>
  </si>
  <si>
    <t>CR2022IRR</t>
  </si>
  <si>
    <t>CR2023IRP</t>
  </si>
  <si>
    <t>CR2023IRR</t>
  </si>
  <si>
    <t>CR2024IRP</t>
  </si>
  <si>
    <t>CR2024IRR</t>
  </si>
  <si>
    <t>CR2025IRP</t>
  </si>
  <si>
    <t>CR2025IRR</t>
  </si>
  <si>
    <t>CR2026IRP</t>
  </si>
  <si>
    <t>CR2026IRR</t>
  </si>
  <si>
    <t>CR2005N1</t>
  </si>
  <si>
    <t>CR2005N2</t>
  </si>
  <si>
    <t>CR2005N5</t>
  </si>
  <si>
    <t>CR2005N6</t>
  </si>
  <si>
    <t>CR2005MM</t>
  </si>
  <si>
    <t>CR2005TA</t>
  </si>
  <si>
    <t>CR2006N1</t>
  </si>
  <si>
    <t>CR2006N2</t>
  </si>
  <si>
    <t>CR2006N5</t>
  </si>
  <si>
    <t>CR2006N6</t>
  </si>
  <si>
    <t>CR2006MM</t>
  </si>
  <si>
    <t>CR2006TA</t>
  </si>
  <si>
    <t>CR2007N1</t>
  </si>
  <si>
    <t>CR2007N2</t>
  </si>
  <si>
    <t>CR2007N5</t>
  </si>
  <si>
    <t>CR2007N6</t>
  </si>
  <si>
    <t>CR2007MM</t>
  </si>
  <si>
    <t>CR2007TA</t>
  </si>
  <si>
    <t>CR2008N1</t>
  </si>
  <si>
    <t>CR2008N2</t>
  </si>
  <si>
    <t>CR2008N5</t>
  </si>
  <si>
    <t>CR2008N6</t>
  </si>
  <si>
    <t>CR2008MM</t>
  </si>
  <si>
    <t>CR2008TA</t>
  </si>
  <si>
    <t>CR2009N1</t>
  </si>
  <si>
    <t>CR2009N2</t>
  </si>
  <si>
    <t>CR2009N5</t>
  </si>
  <si>
    <t>CR2009N6</t>
  </si>
  <si>
    <t>CR2009MM</t>
  </si>
  <si>
    <t>CR2009TA</t>
  </si>
  <si>
    <t>CR2005IRP</t>
  </si>
  <si>
    <t>CR2005IRR</t>
  </si>
  <si>
    <t>CR2006IRP</t>
  </si>
  <si>
    <t>CR2006IRR</t>
  </si>
  <si>
    <t>CR2007IRP</t>
  </si>
  <si>
    <t>CR2007IRR</t>
  </si>
  <si>
    <t>CR2008IRP</t>
  </si>
  <si>
    <t>CR2008IRR</t>
  </si>
  <si>
    <t>CR20010N1</t>
  </si>
  <si>
    <t>CR20010N2</t>
  </si>
  <si>
    <t>CR20010N5</t>
  </si>
  <si>
    <t>CR20010N6</t>
  </si>
  <si>
    <t>CR20010MM</t>
  </si>
  <si>
    <t>CR20010TA</t>
  </si>
  <si>
    <t>CR20011N1</t>
  </si>
  <si>
    <t>CR20011N2</t>
  </si>
  <si>
    <t>CR20011N5</t>
  </si>
  <si>
    <t>CR20011N6</t>
  </si>
  <si>
    <t>CR20011MM</t>
  </si>
  <si>
    <t>CR20011TA</t>
  </si>
  <si>
    <t>CR20012N1</t>
  </si>
  <si>
    <t>CR20012N2</t>
  </si>
  <si>
    <t>CR20012N5</t>
  </si>
  <si>
    <t>CR20012N6</t>
  </si>
  <si>
    <t>CR20012MM</t>
  </si>
  <si>
    <t>CR20012TA</t>
  </si>
  <si>
    <t>CR20013N1</t>
  </si>
  <si>
    <t>CR20013N2</t>
  </si>
  <si>
    <t>CR20013N5</t>
  </si>
  <si>
    <t>CR20013N6</t>
  </si>
  <si>
    <t>CR20013MM</t>
  </si>
  <si>
    <t>CR20013TA</t>
  </si>
  <si>
    <t>CR20014N1</t>
  </si>
  <si>
    <t>CR20014N2</t>
  </si>
  <si>
    <t>CR20014N5</t>
  </si>
  <si>
    <t>CR20014N6</t>
  </si>
  <si>
    <t>CR20014MM</t>
  </si>
  <si>
    <t>CR20014TA</t>
  </si>
  <si>
    <t>CR20010IRP</t>
  </si>
  <si>
    <t>CR20010IRR</t>
  </si>
  <si>
    <t>CR20011IRP</t>
  </si>
  <si>
    <t>CR20011IRR</t>
  </si>
  <si>
    <t>CR20012IRP</t>
  </si>
  <si>
    <t>CR20012IRR</t>
  </si>
  <si>
    <t>CR20013IRP</t>
  </si>
  <si>
    <t>CR20013IRR</t>
  </si>
  <si>
    <t>CR20015N1</t>
  </si>
  <si>
    <t>CR20015N2</t>
  </si>
  <si>
    <t>CR20015N5</t>
  </si>
  <si>
    <t>CR20015N6</t>
  </si>
  <si>
    <t>CR20015MM</t>
  </si>
  <si>
    <t>CR20015TA</t>
  </si>
  <si>
    <t>CR20016N1</t>
  </si>
  <si>
    <t>CR20016N2</t>
  </si>
  <si>
    <t>CR20016N5</t>
  </si>
  <si>
    <t>CR20016N6</t>
  </si>
  <si>
    <t>CR20016MM</t>
  </si>
  <si>
    <t>CR20016TA</t>
  </si>
  <si>
    <t>CR20017N1</t>
  </si>
  <si>
    <t>CR20017N2</t>
  </si>
  <si>
    <t>CR20017N5</t>
  </si>
  <si>
    <t>CR20017N6</t>
  </si>
  <si>
    <t>CR20017MM</t>
  </si>
  <si>
    <t>CR20017TA</t>
  </si>
  <si>
    <t>CR20018N1</t>
  </si>
  <si>
    <t>CR20018N2</t>
  </si>
  <si>
    <t>CR20018N5</t>
  </si>
  <si>
    <t>CR20018N6</t>
  </si>
  <si>
    <t>CR20018MM</t>
  </si>
  <si>
    <t>CR20018TA</t>
  </si>
  <si>
    <t>CR20019N1</t>
  </si>
  <si>
    <t>CR20019N2</t>
  </si>
  <si>
    <t>CR20019N5</t>
  </si>
  <si>
    <t>CR20019N6</t>
  </si>
  <si>
    <t>CR20019MM</t>
  </si>
  <si>
    <t>CR20019TA</t>
  </si>
  <si>
    <t>CR20015IRP</t>
  </si>
  <si>
    <t>CR20015IRR</t>
  </si>
  <si>
    <t>CR20016IRP</t>
  </si>
  <si>
    <t>CR20016IRR</t>
  </si>
  <si>
    <t>CR20017IRP</t>
  </si>
  <si>
    <t>CR20017IRR</t>
  </si>
  <si>
    <t>CR20018IRP</t>
  </si>
  <si>
    <t>CR20018IRR</t>
  </si>
  <si>
    <t>CR2028N1</t>
  </si>
  <si>
    <t>CR2028N2</t>
  </si>
  <si>
    <t>CR2028N5</t>
  </si>
  <si>
    <t>CR2028N6</t>
  </si>
  <si>
    <t>CR2028MM</t>
  </si>
  <si>
    <t>CR2028TA</t>
  </si>
  <si>
    <t>CR2028IRP</t>
  </si>
  <si>
    <t>CR2028IRR</t>
  </si>
  <si>
    <t>CR20020N1</t>
  </si>
  <si>
    <t>CR20020N2</t>
  </si>
  <si>
    <t>CR20020N5</t>
  </si>
  <si>
    <t>CR20020N6</t>
  </si>
  <si>
    <t>CR20020MM</t>
  </si>
  <si>
    <t>CR20020TA</t>
  </si>
  <si>
    <t>Group entry</t>
  </si>
  <si>
    <t>Reference</t>
  </si>
  <si>
    <t>Model</t>
  </si>
  <si>
    <t>Abstraction sites</t>
  </si>
  <si>
    <t>Cyclical Foundation</t>
  </si>
  <si>
    <t>AIM performance (Ml)</t>
  </si>
  <si>
    <t>Normalised AIM performance</t>
  </si>
  <si>
    <t>Cumulative AIM performance (Ml)</t>
  </si>
  <si>
    <t>Cumulative normalised AIM performance</t>
  </si>
  <si>
    <t>AIMAMP6_DP</t>
  </si>
  <si>
    <t>Description_input</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</si>
  <si>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</si>
  <si>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BO3353STAT</t>
  </si>
  <si>
    <t>BO3353DSR</t>
  </si>
  <si>
    <t>BO3353NA</t>
  </si>
  <si>
    <t>BO3353ADJ</t>
  </si>
  <si>
    <t>BO3353</t>
  </si>
  <si>
    <t>BO3354STAT</t>
  </si>
  <si>
    <t>BO3355STAT</t>
  </si>
  <si>
    <t>BO3354DSR</t>
  </si>
  <si>
    <t>BO3355DSR</t>
  </si>
  <si>
    <t>BO3354NA</t>
  </si>
  <si>
    <t>BO3355NA</t>
  </si>
  <si>
    <t>BO3354ADJ</t>
  </si>
  <si>
    <t>BO3355ADJ</t>
  </si>
  <si>
    <t>BO3354</t>
  </si>
  <si>
    <t>BO3355</t>
  </si>
  <si>
    <t>BO1180NAT</t>
  </si>
  <si>
    <t>BO1180NAIS</t>
  </si>
  <si>
    <t>BO1180NATW</t>
  </si>
  <si>
    <t>BO1180NAO</t>
  </si>
  <si>
    <t>BO4065GC</t>
  </si>
  <si>
    <t>BO4065AA</t>
  </si>
  <si>
    <t>Please complete cell in column G</t>
  </si>
  <si>
    <t>Licenced volume available</t>
  </si>
  <si>
    <t>Volume abstracted</t>
  </si>
  <si>
    <t xml:space="preserve">Volume transported </t>
  </si>
  <si>
    <t>Average volume stored</t>
  </si>
  <si>
    <t>Distribution input volume</t>
  </si>
  <si>
    <t>Volume collected</t>
  </si>
  <si>
    <t>Biochemical Oxygen Demand (BOD)</t>
  </si>
  <si>
    <t>Volume transported</t>
  </si>
  <si>
    <t>Dried solid mass treated</t>
  </si>
  <si>
    <t>Dried solid mass disposed</t>
  </si>
  <si>
    <t>BBn Code</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</si>
  <si>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</si>
  <si>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</si>
  <si>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</si>
  <si>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</si>
  <si>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</si>
  <si>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</si>
  <si>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CR3001BIOM</t>
  </si>
  <si>
    <t>CR3002BIOM</t>
  </si>
  <si>
    <t>CR3003BIOM</t>
  </si>
  <si>
    <t>CR3004BIOM</t>
  </si>
  <si>
    <t>CR3005BIOM</t>
  </si>
  <si>
    <t>CR3006BIOM</t>
  </si>
  <si>
    <t>CR3007BIOM</t>
  </si>
  <si>
    <t>CR3008BIOM</t>
  </si>
  <si>
    <t>CR3009BIOM</t>
  </si>
  <si>
    <t>CR3010BIOM</t>
  </si>
  <si>
    <t>CR3011BIOM</t>
  </si>
  <si>
    <t>CR3012BIOM</t>
  </si>
  <si>
    <t>CR3013BIOM</t>
  </si>
  <si>
    <t>CR3014BIOM</t>
  </si>
  <si>
    <t>CR3015BIOM</t>
  </si>
  <si>
    <t>CR3016BIOM</t>
  </si>
  <si>
    <t>CR3017BIOM</t>
  </si>
  <si>
    <t>CR3018BIOM</t>
  </si>
  <si>
    <t>CR3019BIOM</t>
  </si>
  <si>
    <t>CR3020BIOM</t>
  </si>
  <si>
    <t>CR3021BIOM</t>
  </si>
  <si>
    <t>CR3022BIOM</t>
  </si>
  <si>
    <t>CR3023BIOM</t>
  </si>
  <si>
    <t>CR3024BIOM</t>
  </si>
  <si>
    <t>CR3025BIOM</t>
  </si>
  <si>
    <t>CR3026BIOM</t>
  </si>
  <si>
    <t>INC</t>
  </si>
  <si>
    <t>TPS</t>
  </si>
  <si>
    <t>IR</t>
  </si>
  <si>
    <t>PS</t>
  </si>
  <si>
    <t>RS</t>
  </si>
  <si>
    <t>ASR</t>
  </si>
  <si>
    <t>WRTOT</t>
  </si>
  <si>
    <t>WR</t>
  </si>
  <si>
    <t>RWD</t>
  </si>
  <si>
    <t>WT</t>
  </si>
  <si>
    <t>TWD</t>
  </si>
  <si>
    <t>CAW</t>
  </si>
  <si>
    <t>BM339WRIR</t>
  </si>
  <si>
    <t>BM339WNIR</t>
  </si>
  <si>
    <t>BM839WNKIR</t>
  </si>
  <si>
    <t>BM839SGIR</t>
  </si>
  <si>
    <t>BM939TASIR</t>
  </si>
  <si>
    <t>BM339WRNIR</t>
  </si>
  <si>
    <t>BM339WNNIR</t>
  </si>
  <si>
    <t>BM839WNKNIR</t>
  </si>
  <si>
    <t>BM839SGNIR</t>
  </si>
  <si>
    <t>BM939TASNIR</t>
  </si>
  <si>
    <t>BM339WRER</t>
  </si>
  <si>
    <t>BM339WNER</t>
  </si>
  <si>
    <t>BM839WNKER</t>
  </si>
  <si>
    <t>BM839SGER</t>
  </si>
  <si>
    <t>BM939TASER</t>
  </si>
  <si>
    <t>BC30449WR</t>
  </si>
  <si>
    <t>BC30449WN</t>
  </si>
  <si>
    <t>BC30849WNK</t>
  </si>
  <si>
    <t>BC30849SG</t>
  </si>
  <si>
    <t>BC30949</t>
  </si>
  <si>
    <t>BO4065STATGC</t>
  </si>
  <si>
    <t>BO4065DSRGC</t>
  </si>
  <si>
    <t>BO4065NAGC</t>
  </si>
  <si>
    <t>BO4065ADJGC</t>
  </si>
  <si>
    <t>BO4065STATAA</t>
  </si>
  <si>
    <t>BO4065DSRAA</t>
  </si>
  <si>
    <t>BO4065NAAA</t>
  </si>
  <si>
    <t>BO4065ADJAA</t>
  </si>
  <si>
    <t>BM4021WR</t>
  </si>
  <si>
    <t>BM4021WN</t>
  </si>
  <si>
    <t>BM4021WNK</t>
  </si>
  <si>
    <t>BM4021SG</t>
  </si>
  <si>
    <t>BM4021H</t>
  </si>
  <si>
    <t>BM4021NH</t>
  </si>
  <si>
    <t>BM4021CTOT</t>
  </si>
  <si>
    <t>BM4053WR</t>
  </si>
  <si>
    <t>BM4053WN</t>
  </si>
  <si>
    <t>BM4053WWNK</t>
  </si>
  <si>
    <t>BM4053SG</t>
  </si>
  <si>
    <t>BM4053H</t>
  </si>
  <si>
    <t>BM4053NH</t>
  </si>
  <si>
    <t>BM4053TOT</t>
  </si>
  <si>
    <t>BC30449AL</t>
  </si>
  <si>
    <t>BC30449RWA</t>
  </si>
  <si>
    <t>BC30449RWT</t>
  </si>
  <si>
    <t>BC30449RWS</t>
  </si>
  <si>
    <t>BC30449WT</t>
  </si>
  <si>
    <t>BC30449TWD</t>
  </si>
  <si>
    <t>BC30449</t>
  </si>
  <si>
    <t>BC30849F</t>
  </si>
  <si>
    <t>BC30849SWD</t>
  </si>
  <si>
    <t>BC30849HD</t>
  </si>
  <si>
    <t>BC30849STD</t>
  </si>
  <si>
    <t>BC30849SLT</t>
  </si>
  <si>
    <t>BC30849STP</t>
  </si>
  <si>
    <t>BC30849SDT</t>
  </si>
  <si>
    <t>BC30849SDD</t>
  </si>
  <si>
    <t>BC30849</t>
  </si>
  <si>
    <t>BC30449TWDT</t>
  </si>
  <si>
    <t>BC30449DT</t>
  </si>
  <si>
    <t>BC30449DTM</t>
  </si>
  <si>
    <t>BC30449PS</t>
  </si>
  <si>
    <t>BC30449PSM</t>
  </si>
  <si>
    <t>BC30449O</t>
  </si>
  <si>
    <t>BC30449OM</t>
  </si>
  <si>
    <t>BC30449TM</t>
  </si>
  <si>
    <t>BC30849FC</t>
  </si>
  <si>
    <t>BC30849SW</t>
  </si>
  <si>
    <t>BC30849PS</t>
  </si>
  <si>
    <t>BC30849O</t>
  </si>
  <si>
    <t>BC30849SCT</t>
  </si>
  <si>
    <t>BC30849FCM</t>
  </si>
  <si>
    <t>BC30849SWM</t>
  </si>
  <si>
    <t>BC30849PSM</t>
  </si>
  <si>
    <t>BC30849OM</t>
  </si>
  <si>
    <t>BC30849SCTM</t>
  </si>
  <si>
    <t>4F - Cost analysis - household retail</t>
  </si>
  <si>
    <t>2G.1</t>
  </si>
  <si>
    <t>2G.2</t>
  </si>
  <si>
    <t>2G.3</t>
  </si>
  <si>
    <t>2G.4</t>
  </si>
  <si>
    <t>2G.5</t>
  </si>
  <si>
    <t>2G.6</t>
  </si>
  <si>
    <t>2G.7</t>
  </si>
  <si>
    <t>2G.8</t>
  </si>
  <si>
    <t>2G.9</t>
  </si>
  <si>
    <t>2G.10</t>
  </si>
  <si>
    <t>2G.11</t>
  </si>
  <si>
    <t>2G.12</t>
  </si>
  <si>
    <t>2G.13</t>
  </si>
  <si>
    <t>2G.14</t>
  </si>
  <si>
    <t>2G.15</t>
  </si>
  <si>
    <t>2G.16</t>
  </si>
  <si>
    <t>2G.17</t>
  </si>
  <si>
    <t>2G.18</t>
  </si>
  <si>
    <t>2G.19</t>
  </si>
  <si>
    <t>2G.20</t>
  </si>
  <si>
    <t>2G.21</t>
  </si>
  <si>
    <t>2G.22</t>
  </si>
  <si>
    <t>2H.1</t>
  </si>
  <si>
    <t>2H.2</t>
  </si>
  <si>
    <t>2H.3</t>
  </si>
  <si>
    <t>2H.4</t>
  </si>
  <si>
    <t>2H.5</t>
  </si>
  <si>
    <t>2H.6</t>
  </si>
  <si>
    <t>2H.7</t>
  </si>
  <si>
    <t>2H.8</t>
  </si>
  <si>
    <t>2H.9</t>
  </si>
  <si>
    <t>2H.10</t>
  </si>
  <si>
    <t>2H.11</t>
  </si>
  <si>
    <t>2H.12</t>
  </si>
  <si>
    <t>2H.13</t>
  </si>
  <si>
    <t>2H.14</t>
  </si>
  <si>
    <t>2H.15</t>
  </si>
  <si>
    <t>2H.16</t>
  </si>
  <si>
    <t>2H.17</t>
  </si>
  <si>
    <t>2H.18</t>
  </si>
  <si>
    <t>2H.19</t>
  </si>
  <si>
    <t>2H.20</t>
  </si>
  <si>
    <t>2H.21</t>
  </si>
  <si>
    <t>2H.22</t>
  </si>
  <si>
    <t>2H.23</t>
  </si>
  <si>
    <t>2H.24</t>
  </si>
  <si>
    <t>3S - Shadow reporting of new definition data</t>
  </si>
  <si>
    <t>Company name</t>
  </si>
  <si>
    <t>Water mains bursts per 1,000 kilometres of pipe</t>
  </si>
  <si>
    <t>litres/person/day</t>
  </si>
  <si>
    <t>Percentage of the population the company serves that would experience severe supply restrictions (for example, standpipes or rota cuts) in a 1 in 200 year drought</t>
  </si>
  <si>
    <t>Sewer collapses per 1,000 kilometres of sewers</t>
  </si>
  <si>
    <t>Percentage of population at risk of sewer flooding in a 1-in-50 year storm</t>
  </si>
  <si>
    <t>Key to cells</t>
  </si>
  <si>
    <t>BM4290EXUWO</t>
  </si>
  <si>
    <t>BM4290AQUWO</t>
  </si>
  <si>
    <t>BM9027EXUWO</t>
  </si>
  <si>
    <t>BM9027AQUWO</t>
  </si>
  <si>
    <t>BM4017UWO</t>
  </si>
  <si>
    <t>BM4017</t>
  </si>
  <si>
    <t>BM4290EXUSO</t>
  </si>
  <si>
    <t>BM4290AQUSO</t>
  </si>
  <si>
    <t>BM9027EXUSO</t>
  </si>
  <si>
    <t>BM9027AQUSO</t>
  </si>
  <si>
    <t>BM4290EXUWS</t>
  </si>
  <si>
    <t>BM4290AQUWS</t>
  </si>
  <si>
    <t>BM9027EXUWS</t>
  </si>
  <si>
    <t>BM9027AQUWS</t>
  </si>
  <si>
    <t>BM4017USO</t>
  </si>
  <si>
    <t>BM4017UWS</t>
  </si>
  <si>
    <t>BM4290EX</t>
  </si>
  <si>
    <t>BM4290AQ</t>
  </si>
  <si>
    <t>BM9027EX</t>
  </si>
  <si>
    <t>BM9027AQ</t>
  </si>
  <si>
    <t>BM4290EXMWS</t>
  </si>
  <si>
    <t>BM4290AQMWS</t>
  </si>
  <si>
    <t>BM9027EXMWS</t>
  </si>
  <si>
    <t>BM9027AQMWS</t>
  </si>
  <si>
    <t>BM4290EXMSO</t>
  </si>
  <si>
    <t>BM4290AQMSO</t>
  </si>
  <si>
    <t>BM9027EXMSO</t>
  </si>
  <si>
    <t>BM9027AQMSO</t>
  </si>
  <si>
    <t>BM4290EXMWO</t>
  </si>
  <si>
    <t>BM4290AQMWO</t>
  </si>
  <si>
    <t>BM9027EXMWO</t>
  </si>
  <si>
    <t>BM9027AQMWO</t>
  </si>
  <si>
    <t>BM4290EXUTOT</t>
  </si>
  <si>
    <t>BM4290AQUTOT</t>
  </si>
  <si>
    <t>BM9027EXUTOT</t>
  </si>
  <si>
    <t>BM9027AQUTOT</t>
  </si>
  <si>
    <t>BM4017UTOT</t>
  </si>
  <si>
    <t>BM4017MWO</t>
  </si>
  <si>
    <t>BM4017MSO</t>
  </si>
  <si>
    <t>BM4017MWS</t>
  </si>
  <si>
    <t>BM4017MTOT</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</si>
  <si>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</si>
  <si>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</si>
  <si>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</si>
  <si>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</si>
  <si>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</si>
  <si>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</si>
  <si>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</si>
  <si>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</si>
  <si>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</si>
  <si>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</si>
  <si>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</si>
  <si>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</si>
  <si>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</si>
  <si>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</si>
  <si>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</si>
  <si>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</si>
  <si>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</si>
  <si>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</si>
  <si>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</si>
  <si>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</si>
  <si>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</si>
  <si>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</si>
  <si>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</si>
  <si>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</si>
  <si>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</si>
  <si>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</si>
  <si>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</si>
  <si>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</si>
  <si>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</si>
  <si>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</si>
  <si>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</si>
  <si>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</si>
  <si>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</si>
  <si>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</si>
  <si>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</si>
  <si>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</si>
  <si>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</si>
  <si>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</si>
  <si>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</si>
  <si>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</si>
  <si>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</si>
  <si>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</si>
  <si>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</si>
  <si>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</si>
  <si>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</si>
  <si>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</si>
  <si>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</si>
  <si>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</si>
  <si>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</si>
  <si>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</si>
  <si>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</si>
  <si>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</si>
  <si>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</si>
  <si>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</si>
  <si>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</si>
  <si>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</si>
  <si>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</si>
  <si>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</si>
  <si>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</si>
  <si>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</si>
  <si>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</si>
  <si>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</si>
  <si>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</si>
  <si>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</si>
  <si>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</si>
  <si>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</si>
  <si>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</si>
  <si>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</si>
  <si>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</si>
  <si>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</si>
  <si>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</si>
  <si>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</si>
  <si>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</si>
  <si>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</si>
  <si>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</si>
  <si>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</si>
  <si>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</si>
  <si>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</si>
  <si>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</si>
  <si>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</si>
  <si>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</si>
  <si>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</si>
  <si>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</si>
  <si>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</si>
  <si>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</si>
  <si>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</si>
  <si>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</si>
  <si>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</si>
  <si>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</si>
  <si>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</si>
  <si>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</si>
  <si>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</si>
  <si>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</si>
  <si>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</si>
  <si>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</si>
  <si>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</si>
  <si>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</si>
  <si>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</si>
  <si>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</si>
  <si>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</si>
  <si>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</si>
  <si>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</si>
  <si>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</si>
  <si>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</si>
  <si>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</si>
  <si>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</si>
  <si>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</si>
  <si>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</si>
  <si>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</si>
  <si>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</si>
  <si>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</si>
  <si>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</si>
  <si>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</si>
  <si>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</si>
  <si>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</si>
  <si>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</si>
  <si>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</si>
  <si>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</si>
  <si>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</si>
  <si>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</si>
  <si>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</si>
  <si>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</si>
  <si>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</si>
  <si>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</si>
  <si>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</si>
  <si>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</si>
  <si>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</si>
  <si>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</si>
  <si>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</si>
  <si>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</si>
  <si>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</si>
  <si>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</si>
  <si>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</si>
  <si>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</si>
  <si>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</si>
  <si>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</si>
  <si>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</si>
  <si>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</si>
  <si>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</si>
  <si>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</si>
  <si>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</si>
  <si>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</si>
  <si>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</si>
  <si>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</si>
  <si>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</si>
  <si>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</si>
  <si>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</si>
  <si>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</si>
  <si>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</si>
  <si>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</si>
  <si>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</si>
  <si>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</si>
  <si>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</si>
  <si>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</si>
  <si>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</si>
  <si>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</si>
  <si>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</si>
  <si>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</si>
  <si>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</si>
  <si>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</si>
  <si>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</si>
  <si>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</si>
  <si>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</si>
  <si>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</si>
  <si>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</si>
  <si>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</si>
  <si>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</si>
  <si>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</si>
  <si>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</si>
  <si>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</si>
  <si>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</si>
  <si>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</si>
  <si>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</si>
  <si>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</si>
  <si>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</si>
  <si>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</si>
  <si>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</si>
  <si>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</si>
  <si>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</si>
  <si>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</si>
  <si>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</si>
  <si>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</si>
  <si>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</si>
  <si>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</si>
  <si>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</si>
  <si>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</si>
  <si>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</si>
  <si>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</si>
  <si>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</si>
  <si>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</si>
  <si>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</si>
  <si>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</si>
  <si>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</si>
  <si>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</si>
  <si>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</si>
  <si>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</si>
  <si>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</si>
  <si>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</si>
  <si>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</si>
  <si>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</si>
  <si>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</si>
  <si>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</si>
  <si>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</si>
  <si>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</si>
  <si>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</si>
  <si>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</si>
  <si>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</si>
  <si>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</si>
  <si>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</si>
  <si>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</si>
  <si>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</si>
  <si>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</si>
  <si>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</si>
  <si>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</si>
  <si>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</si>
  <si>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</si>
  <si>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</si>
  <si>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</si>
  <si>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</si>
  <si>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</si>
  <si>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</si>
  <si>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</si>
  <si>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</si>
  <si>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</si>
  <si>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</si>
  <si>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</si>
  <si>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</si>
  <si>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</si>
  <si>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</si>
  <si>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</si>
  <si>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</si>
  <si>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</si>
  <si>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</si>
  <si>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</si>
  <si>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</si>
  <si>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</si>
  <si>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</si>
  <si>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</si>
  <si>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</si>
  <si>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</si>
  <si>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</si>
  <si>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</si>
  <si>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</si>
  <si>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</si>
  <si>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</si>
  <si>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</si>
  <si>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</si>
  <si>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</si>
  <si>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</si>
  <si>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</si>
  <si>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</si>
  <si>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</si>
  <si>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</si>
  <si>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</si>
  <si>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</si>
  <si>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</si>
  <si>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</si>
  <si>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</si>
  <si>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</si>
  <si>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</si>
  <si>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</si>
  <si>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</si>
  <si>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</si>
  <si>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</si>
  <si>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</si>
  <si>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</si>
  <si>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</si>
  <si>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</si>
  <si>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</si>
  <si>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</si>
  <si>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</si>
  <si>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</si>
  <si>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</si>
  <si>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</si>
  <si>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</si>
  <si>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</si>
  <si>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</si>
  <si>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</si>
  <si>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</si>
  <si>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</si>
  <si>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</si>
  <si>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</si>
  <si>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</si>
  <si>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</si>
  <si>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</si>
  <si>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</si>
  <si>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</si>
  <si>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</si>
  <si>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</si>
  <si>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</si>
  <si>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</si>
  <si>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</si>
  <si>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</si>
  <si>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</si>
  <si>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</si>
  <si>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</si>
  <si>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</si>
  <si>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</si>
  <si>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</si>
  <si>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</si>
  <si>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</si>
  <si>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</si>
  <si>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</si>
  <si>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</si>
  <si>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</si>
  <si>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</si>
  <si>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</si>
  <si>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</si>
  <si>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</si>
  <si>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</si>
  <si>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</si>
  <si>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</si>
  <si>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</si>
  <si>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</si>
  <si>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</si>
  <si>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</si>
  <si>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</si>
  <si>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</si>
  <si>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</si>
  <si>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</si>
  <si>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</si>
  <si>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</si>
  <si>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</si>
  <si>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</si>
  <si>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</si>
  <si>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</si>
  <si>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</si>
  <si>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</si>
  <si>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</si>
  <si>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</si>
  <si>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</si>
  <si>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</si>
  <si>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</si>
  <si>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</si>
  <si>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</si>
  <si>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</si>
  <si>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</si>
  <si>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</si>
  <si>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</si>
  <si>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</si>
  <si>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</si>
  <si>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</si>
  <si>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</si>
  <si>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</si>
  <si>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</si>
  <si>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</si>
  <si>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</si>
  <si>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</si>
  <si>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</si>
  <si>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</si>
  <si>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</si>
  <si>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</si>
  <si>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</si>
  <si>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</si>
  <si>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</si>
  <si>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</si>
  <si>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</si>
  <si>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</si>
  <si>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</si>
  <si>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</si>
  <si>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</si>
  <si>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</si>
  <si>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</si>
  <si>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</si>
  <si>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</si>
  <si>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</si>
  <si>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</si>
  <si>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</si>
  <si>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</si>
  <si>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</si>
  <si>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</si>
  <si>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</si>
  <si>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</si>
  <si>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</si>
  <si>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</si>
  <si>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</si>
  <si>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</si>
  <si>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</si>
  <si>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</si>
  <si>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</si>
  <si>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</si>
  <si>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</si>
  <si>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</si>
  <si>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</si>
  <si>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</si>
  <si>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</si>
  <si>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</si>
  <si>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</si>
  <si>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</si>
  <si>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</si>
  <si>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</si>
  <si>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</si>
  <si>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</si>
  <si>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</si>
  <si>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</si>
  <si>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</si>
  <si>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</si>
  <si>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</si>
  <si>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</si>
  <si>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</si>
  <si>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</si>
  <si>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</si>
  <si>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</si>
  <si>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</si>
  <si>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</si>
  <si>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</si>
  <si>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</si>
  <si>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</si>
  <si>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</si>
  <si>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</si>
  <si>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</si>
  <si>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</si>
  <si>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</si>
  <si>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</si>
  <si>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</si>
  <si>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</si>
  <si>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</si>
  <si>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</si>
  <si>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</si>
  <si>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</si>
  <si>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</si>
  <si>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</si>
  <si>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</si>
  <si>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</si>
  <si>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</si>
  <si>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</si>
  <si>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</si>
  <si>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</si>
  <si>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</si>
  <si>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</si>
  <si>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</si>
  <si>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</si>
  <si>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</si>
  <si>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</si>
  <si>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</si>
  <si>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</si>
  <si>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</si>
  <si>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</si>
  <si>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</si>
  <si>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</si>
  <si>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</si>
  <si>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</si>
  <si>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</si>
  <si>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</si>
  <si>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Provide description in column C for data entered</t>
  </si>
  <si>
    <t>Large wastewater teatment works</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</si>
  <si>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</si>
  <si>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HJ</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</si>
  <si>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</si>
  <si>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BM4290</t>
  </si>
  <si>
    <t>BM9027</t>
  </si>
  <si>
    <t>25-34</t>
  </si>
  <si>
    <t>Component / sub-component</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</si>
  <si>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</si>
  <si>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</si>
  <si>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</si>
  <si>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</si>
  <si>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</si>
  <si>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</si>
  <si>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</si>
  <si>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</si>
  <si>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</si>
  <si>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</si>
  <si>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</si>
  <si>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</si>
  <si>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</si>
  <si>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</si>
  <si>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</si>
  <si>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</si>
  <si>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</si>
  <si>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</si>
  <si>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</si>
  <si>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</si>
  <si>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</si>
  <si>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</si>
  <si>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</si>
  <si>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</si>
  <si>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</si>
  <si>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</si>
  <si>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</si>
  <si>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</si>
  <si>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</si>
  <si>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</si>
  <si>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</si>
  <si>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</si>
  <si>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</si>
  <si>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</si>
  <si>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</si>
  <si>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</si>
  <si>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</si>
  <si>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</si>
  <si>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</si>
  <si>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</si>
  <si>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</si>
  <si>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</si>
  <si>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</si>
  <si>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</si>
  <si>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</si>
  <si>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</si>
  <si>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</si>
  <si>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</si>
  <si>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</si>
  <si>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</si>
  <si>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</si>
  <si>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</si>
  <si>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</si>
  <si>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</si>
  <si>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</si>
  <si>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</si>
  <si>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</si>
  <si>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</si>
  <si>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</si>
  <si>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</si>
  <si>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</si>
  <si>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</si>
  <si>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</si>
  <si>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</si>
  <si>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</si>
  <si>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</si>
  <si>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</si>
  <si>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</si>
  <si>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</si>
  <si>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EN</t>
  </si>
  <si>
    <t>EO</t>
  </si>
  <si>
    <t>EP</t>
  </si>
  <si>
    <t>EQ</t>
  </si>
  <si>
    <t>ER</t>
  </si>
  <si>
    <t>ES</t>
  </si>
  <si>
    <t>ET</t>
  </si>
  <si>
    <t>EU</t>
  </si>
  <si>
    <t>EV</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</si>
  <si>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</si>
  <si>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</si>
  <si>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</si>
  <si>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</si>
  <si>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</si>
  <si>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</si>
  <si>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</si>
  <si>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</si>
  <si>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</si>
  <si>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</si>
  <si>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</si>
  <si>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</si>
  <si>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</si>
  <si>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</si>
  <si>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</si>
  <si>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</si>
  <si>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</si>
  <si>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</si>
  <si>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</si>
  <si>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</si>
  <si>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</si>
  <si>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</si>
  <si>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</si>
  <si>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</si>
  <si>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</si>
  <si>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</si>
  <si>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</si>
  <si>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</si>
  <si>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</si>
  <si>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</si>
  <si>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</si>
  <si>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</si>
  <si>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</si>
  <si>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</si>
  <si>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</si>
  <si>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</si>
  <si>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</si>
  <si>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</si>
  <si>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</si>
  <si>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</si>
  <si>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</si>
  <si>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</si>
  <si>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</si>
  <si>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</si>
  <si>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</si>
  <si>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</si>
  <si>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</si>
  <si>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</si>
  <si>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</si>
  <si>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</si>
  <si>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</si>
  <si>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GX</t>
  </si>
  <si>
    <t>GY</t>
  </si>
  <si>
    <t>GZ</t>
  </si>
  <si>
    <t>HA</t>
  </si>
  <si>
    <t>HB</t>
  </si>
  <si>
    <t>HC</t>
  </si>
  <si>
    <t>HD</t>
  </si>
  <si>
    <t>HE</t>
  </si>
  <si>
    <t>HF</t>
  </si>
  <si>
    <t>HG</t>
  </si>
  <si>
    <t>HH</t>
  </si>
  <si>
    <t>HI</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</si>
  <si>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</si>
  <si>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</si>
  <si>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</si>
  <si>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</si>
  <si>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</si>
  <si>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</si>
  <si>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</si>
  <si>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</si>
  <si>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</si>
  <si>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</si>
  <si>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</si>
  <si>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</si>
  <si>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</si>
  <si>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</si>
  <si>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</si>
  <si>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</si>
  <si>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</si>
  <si>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</si>
  <si>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</si>
  <si>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</si>
  <si>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</si>
  <si>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</si>
  <si>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</si>
  <si>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</si>
  <si>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</si>
  <si>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</si>
  <si>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</si>
  <si>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</si>
  <si>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</si>
  <si>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</si>
  <si>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</si>
  <si>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</si>
  <si>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</si>
  <si>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IS</t>
  </si>
  <si>
    <t>IT</t>
  </si>
  <si>
    <t>IU</t>
  </si>
  <si>
    <t>IV</t>
  </si>
  <si>
    <t>IW</t>
  </si>
  <si>
    <t>IX</t>
  </si>
  <si>
    <t>IY</t>
  </si>
  <si>
    <t>IZ</t>
  </si>
  <si>
    <t>JB</t>
  </si>
  <si>
    <t>JC</t>
  </si>
  <si>
    <t>JD</t>
  </si>
  <si>
    <t>JE</t>
  </si>
  <si>
    <t>JF</t>
  </si>
  <si>
    <t>JG</t>
  </si>
  <si>
    <t>JH</t>
  </si>
  <si>
    <t>JI</t>
  </si>
  <si>
    <t>JJ</t>
  </si>
  <si>
    <t>JL</t>
  </si>
  <si>
    <t>JM</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</si>
  <si>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</si>
  <si>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</si>
  <si>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</si>
  <si>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</si>
  <si>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</si>
  <si>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</si>
  <si>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</si>
  <si>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</si>
  <si>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</si>
  <si>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</si>
  <si>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</si>
  <si>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</si>
  <si>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</si>
  <si>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</si>
  <si>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</si>
  <si>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</si>
  <si>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</si>
  <si>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</si>
  <si>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</si>
  <si>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</si>
  <si>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</si>
  <si>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</si>
  <si>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</si>
  <si>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</si>
  <si>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</si>
  <si>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</si>
  <si>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</si>
  <si>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</si>
  <si>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</si>
  <si>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</si>
  <si>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</si>
  <si>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</si>
  <si>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</si>
  <si>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</si>
  <si>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</si>
  <si>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</si>
  <si>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</si>
  <si>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</si>
  <si>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</si>
  <si>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</si>
  <si>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</si>
  <si>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</si>
  <si>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</si>
  <si>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</si>
  <si>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</si>
  <si>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</si>
  <si>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</si>
  <si>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</si>
  <si>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</si>
  <si>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</si>
  <si>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</si>
  <si>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</si>
  <si>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</si>
  <si>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</si>
  <si>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</si>
  <si>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2a</t>
  </si>
  <si>
    <t>3a</t>
  </si>
  <si>
    <t>3b</t>
  </si>
  <si>
    <t>3c</t>
  </si>
  <si>
    <t>3d</t>
  </si>
  <si>
    <t>3e</t>
  </si>
  <si>
    <t>4a</t>
  </si>
  <si>
    <t>4b</t>
  </si>
  <si>
    <t>4c</t>
  </si>
  <si>
    <t>4d</t>
  </si>
  <si>
    <t>4e</t>
  </si>
  <si>
    <t>4f</t>
  </si>
  <si>
    <t>4g</t>
  </si>
  <si>
    <t>4h</t>
  </si>
  <si>
    <t>4i</t>
  </si>
  <si>
    <t>4j</t>
  </si>
  <si>
    <t>4k</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</si>
  <si>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</si>
  <si>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</si>
  <si>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</si>
  <si>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</si>
  <si>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</si>
  <si>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</si>
  <si>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</si>
  <si>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</si>
  <si>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</si>
  <si>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</si>
  <si>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</si>
  <si>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</si>
  <si>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</si>
  <si>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</si>
  <si>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</si>
  <si>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</si>
  <si>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</si>
  <si>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</si>
  <si>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</si>
  <si>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</si>
  <si>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</si>
  <si>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</si>
  <si>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</si>
  <si>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</si>
  <si>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</si>
  <si>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</si>
  <si>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</si>
  <si>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</si>
  <si>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</si>
  <si>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</si>
  <si>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</si>
  <si>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</si>
  <si>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</si>
  <si>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</si>
  <si>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</si>
  <si>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</si>
  <si>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</si>
  <si>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</si>
  <si>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</si>
  <si>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</si>
  <si>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</si>
  <si>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</si>
  <si>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</si>
  <si>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</si>
  <si>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</si>
  <si>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</si>
  <si>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</si>
  <si>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</si>
  <si>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</si>
  <si>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</si>
  <si>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</si>
  <si>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</si>
  <si>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</si>
  <si>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</si>
  <si>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</si>
  <si>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</si>
  <si>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</si>
  <si>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</si>
  <si>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</si>
  <si>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</si>
  <si>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</si>
  <si>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</si>
  <si>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</si>
  <si>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</si>
  <si>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</si>
  <si>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</si>
  <si>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</si>
  <si>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</si>
  <si>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</si>
  <si>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</si>
  <si>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</si>
  <si>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</si>
  <si>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</si>
  <si>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</si>
  <si>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</si>
  <si>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</si>
  <si>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</si>
  <si>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</si>
  <si>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</si>
  <si>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</si>
  <si>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</si>
  <si>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</si>
  <si>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</si>
  <si>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</si>
  <si>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</si>
  <si>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</si>
  <si>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</si>
  <si>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</si>
  <si>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</si>
  <si>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</si>
  <si>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</si>
  <si>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</si>
  <si>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</si>
  <si>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</si>
  <si>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</si>
  <si>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</si>
  <si>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</si>
  <si>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</si>
  <si>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</si>
  <si>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</si>
  <si>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</si>
  <si>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</si>
  <si>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</si>
  <si>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</si>
  <si>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</si>
  <si>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</si>
  <si>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</si>
  <si>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</si>
  <si>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</si>
  <si>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</si>
  <si>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</si>
  <si>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</si>
  <si>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</si>
  <si>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</si>
  <si>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</si>
  <si>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</si>
  <si>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</si>
  <si>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</si>
  <si>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</si>
  <si>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</si>
  <si>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</si>
  <si>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</si>
  <si>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</si>
  <si>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</si>
  <si>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</si>
  <si>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</si>
  <si>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</si>
  <si>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</si>
  <si>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</si>
  <si>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</si>
  <si>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</si>
  <si>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</si>
  <si>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</si>
  <si>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</si>
  <si>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</si>
  <si>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</si>
  <si>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</si>
  <si>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</si>
  <si>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</si>
  <si>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</si>
  <si>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</si>
  <si>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</si>
  <si>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</si>
  <si>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</si>
  <si>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</si>
  <si>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</si>
  <si>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</si>
  <si>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</si>
  <si>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1. Mains bursts repair work</t>
  </si>
  <si>
    <t>2. Mains length</t>
  </si>
  <si>
    <t>3. Records</t>
  </si>
  <si>
    <t>4. Methodology statement</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</si>
  <si>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</si>
  <si>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</si>
  <si>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</si>
  <si>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</si>
  <si>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</si>
  <si>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</si>
  <si>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</si>
  <si>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</si>
  <si>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</si>
  <si>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</si>
  <si>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</si>
  <si>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</si>
  <si>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</si>
  <si>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</si>
  <si>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</si>
  <si>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</si>
  <si>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</si>
  <si>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</si>
  <si>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</si>
  <si>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</si>
  <si>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</si>
  <si>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</si>
  <si>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</si>
  <si>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</si>
  <si>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</si>
  <si>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</si>
  <si>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</si>
  <si>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</si>
  <si>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</si>
  <si>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</si>
  <si>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</si>
  <si>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</si>
  <si>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</si>
  <si>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</si>
  <si>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</si>
  <si>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</si>
  <si>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</si>
  <si>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</si>
  <si>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</si>
  <si>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</si>
  <si>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</si>
  <si>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</si>
  <si>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</si>
  <si>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</si>
  <si>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</si>
  <si>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</si>
  <si>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</si>
  <si>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</si>
  <si>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</si>
  <si>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</si>
  <si>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</si>
  <si>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</si>
  <si>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</si>
  <si>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</si>
  <si>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</si>
  <si>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</si>
  <si>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</si>
  <si>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</si>
  <si>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</si>
  <si>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</si>
  <si>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</si>
  <si>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</si>
  <si>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1. Number of collapses</t>
  </si>
  <si>
    <t>2. Sewer length</t>
  </si>
  <si>
    <t>2a (length excluding transferred sewers)</t>
  </si>
  <si>
    <t>2b (length of sewers transferred under the Private Sewer Regulations 2011)</t>
  </si>
  <si>
    <t>3S line guidance</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</si>
  <si>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</si>
  <si>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Enter the performance level for the current reporting year and red/amber/green assessments
Performance level cells are in time hh:mm:ss format (for example, enter 00:09:45 for 9 minutes and 45 seconds)</t>
  </si>
  <si>
    <t xml:space="preserve">3S table guidance </t>
  </si>
  <si>
    <t>https://www.ofwat.gov.uk/outcomes-definitions-pr19/</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</si>
  <si>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</si>
  <si>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</si>
  <si>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r>
      <t>1.</t>
    </r>
    <r>
      <rPr>
        <sz val="7"/>
        <color indexed="8"/>
        <rFont val="Times New Roman"/>
        <family val="1"/>
      </rPr>
      <t xml:space="preserve">        </t>
    </r>
    <r>
      <rPr>
        <sz val="10"/>
        <color indexed="8"/>
        <rFont val="Arial"/>
        <family val="2"/>
      </rPr>
      <t>Usage of mainframe by system type
2.        Number of computers
3.        Number of full time equivalents (FTEs)</t>
    </r>
  </si>
  <si>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</si>
  <si>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Nr</t>
  </si>
  <si>
    <t>Km</t>
  </si>
  <si>
    <t>FOUNTAIN_INSTANCE_URL</t>
  </si>
  <si>
    <t>Grants and contributions - TTT</t>
  </si>
  <si>
    <t>Wholesale charge - TTT</t>
  </si>
  <si>
    <t>South West Water – South West area</t>
  </si>
  <si>
    <t>South West Water – Bournemouth area</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</si>
  <si>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</si>
  <si>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</si>
  <si>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</si>
  <si>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</si>
  <si>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The total of lines 2A.1 and 2A.2 should equal line 1A.1.</t>
  </si>
  <si>
    <t>The total of lines 2A.3, 2A.4 and 2A.5 should equal line 1A.2.</t>
  </si>
  <si>
    <t>The total of line 2A.4 should equal line 2D.8.</t>
  </si>
  <si>
    <t>The total of line 2A.6 should equal line 1A.3.</t>
  </si>
  <si>
    <t>Total depreciation charge should agree to line 2D.10.</t>
  </si>
  <si>
    <t>The total of column 1 should be equal to the sum of lines 2I.1 and 2I.2.</t>
  </si>
  <si>
    <t>The total of column 1 should be equal to the sum of lines 2I.5 and 2I.6.</t>
  </si>
  <si>
    <t>The total for water for the network reinforcement column should equal line 4D.16.</t>
  </si>
  <si>
    <t xml:space="preserve">The total for wastewater for the network reinforcement column should equal line 4E.16. </t>
  </si>
  <si>
    <t>The total column of line 4D.20 should equal the total column of line 2E.7</t>
  </si>
  <si>
    <t>The total of line 4F.6 should equal the household total of line 2C.7</t>
  </si>
  <si>
    <t>The total of line 4F.8 should equal the household total of line 2C.9</t>
  </si>
  <si>
    <t>The total of line 4F.13 should equal the household total of line 2C.12</t>
  </si>
  <si>
    <t>Total should equal to line 1A.6 on the assumption that there is no material debt in retail business.</t>
  </si>
  <si>
    <t>Total should equal to line 1A.8 on the assumption that there is no material debt in retail business.</t>
  </si>
  <si>
    <t>Total should equal to line 1A.7 on the assumption that there is no material debt in retail business.</t>
  </si>
  <si>
    <t>Total should equal to line 1A.10 on the assumption that there is no material debt in retail business.</t>
  </si>
  <si>
    <t>(The sum of lines 2I.9 and 2I.13 less line 2C.9 less line 2I.4 less line 2I.9) / (The sum of lines 2I.9 and 2I.13), expressed as a percentage</t>
  </si>
  <si>
    <t>(The sum of lines 2I.9 and 2I.13 less line 2C.9 less line 2I.4 less line 2I. 9) / (The sum of lines 2I.9 and 2I.13), expressed as a percentage</t>
  </si>
  <si>
    <t>The total of lines 4H.21 to 4H.23 should equal 100%</t>
  </si>
  <si>
    <t>The total of lines 4H.24 to 4H.28 should equal 100%</t>
  </si>
  <si>
    <t>Total of lines 4T.1 to 4T.8 do not equal 100%.</t>
  </si>
  <si>
    <t>Total of lines 4T.10 to 4T.14 do not equal 100%.</t>
  </si>
  <si>
    <t>Lines 4W.23 to 4W.25 do not equal line 4E.3 please provide reasoning and reconciliation in your commentary</t>
  </si>
  <si>
    <t>Streamline Orange (non-potable) - (0.0Ml to 5.0Ml)</t>
  </si>
  <si>
    <t>Water supplies 5 to 50 MI</t>
  </si>
  <si>
    <t>Water supplies 50 MI and over</t>
  </si>
  <si>
    <t>Wastewater services 5 to 50 MI</t>
  </si>
  <si>
    <t>Wastewater services 50 MI and over</t>
  </si>
  <si>
    <t>Water:
Unmeasured and
0-5 Ml/a</t>
  </si>
  <si>
    <t>Waste Water:
Unmeasured and
0-5 Ml/a</t>
  </si>
  <si>
    <t>Water supplies 5
to 50 MI</t>
  </si>
  <si>
    <t>Water supplies
50 MI and over</t>
  </si>
  <si>
    <t>Wastewater
services 5 to
50 MI</t>
  </si>
  <si>
    <t>Wastewater
services 50 MI
and over</t>
  </si>
  <si>
    <t>Water 0 to 5Ml</t>
  </si>
  <si>
    <t>Wastewater 0 to 5Ml</t>
  </si>
  <si>
    <t>water unmetered</t>
  </si>
  <si>
    <t>Water 0 - 5 Ml</t>
  </si>
  <si>
    <t>sewerage unmetered</t>
  </si>
  <si>
    <t>Wastewater 0 - 5 Ml</t>
  </si>
  <si>
    <t>Trade Effluent 0 - 5 Ml</t>
  </si>
  <si>
    <t>&lt; 50MI Water</t>
  </si>
  <si>
    <t>Sewerage</t>
  </si>
  <si>
    <t>Unmeasured, Unmeasured Water, Unmeasured</t>
  </si>
  <si>
    <t>Measured, Measured Water 0-5Ml/yr, Measured</t>
  </si>
  <si>
    <t>Water supplies 50 MI and
over</t>
  </si>
  <si>
    <t>Unmeasured, Unmeasured Sew, Unmeasured</t>
  </si>
  <si>
    <t>Measured, Measured Sew 0-5Ml/yr, Measured</t>
  </si>
  <si>
    <t>Standard measured water &lt;5Ml</t>
  </si>
  <si>
    <t>Standard measured sewerage &lt;5Ml inc TE</t>
  </si>
  <si>
    <t>Wastewater
services 50 MI and over</t>
  </si>
  <si>
    <t>Standard measured water &lt;5 Ml</t>
  </si>
  <si>
    <t>Water supplies 5 to
50 MI</t>
  </si>
  <si>
    <t>AFW Metered 0-5 Ml, including assessed customers and unmeasured RV customers</t>
  </si>
  <si>
    <t>Water Measured Non-Household &lt; 5Ml</t>
  </si>
  <si>
    <t>Portable Water - Unmetered</t>
  </si>
  <si>
    <t>Potable Water - Metered 0-2.5 Ml/a</t>
  </si>
  <si>
    <t>Potable Water - Metered 2.5-5 Ml/a</t>
  </si>
  <si>
    <t>Unmeasured and measured 0-5 Ml/a</t>
  </si>
  <si>
    <t>0 to 5 Ml measured</t>
  </si>
  <si>
    <t>A19030TTTPC</t>
  </si>
  <si>
    <t>A19030TTTNPC</t>
  </si>
  <si>
    <t>BM852TTT</t>
  </si>
  <si>
    <t>BM4046STTT</t>
  </si>
  <si>
    <t>BM820TTT</t>
  </si>
  <si>
    <t>A19015TTT</t>
  </si>
  <si>
    <t>BO2010TTT</t>
  </si>
  <si>
    <t>BM838TTT</t>
  </si>
  <si>
    <t>BM837TTT</t>
  </si>
  <si>
    <t>HP00030TTT</t>
  </si>
  <si>
    <t>BM802TTT</t>
  </si>
  <si>
    <t>BM836TTT</t>
  </si>
  <si>
    <t>BM831TTT</t>
  </si>
  <si>
    <t>BM140TTT</t>
  </si>
  <si>
    <t>BM817TTT</t>
  </si>
  <si>
    <t>BM844TTT</t>
  </si>
  <si>
    <t>BM823TTT</t>
  </si>
  <si>
    <t>BM850TTT</t>
  </si>
  <si>
    <t>BC30945TTT</t>
  </si>
  <si>
    <t>CS00036TTT</t>
  </si>
  <si>
    <t>BA2051TTT</t>
  </si>
  <si>
    <t>BA2061TTT</t>
  </si>
  <si>
    <t>BM815TTT</t>
  </si>
  <si>
    <t>BM833TTT</t>
  </si>
  <si>
    <t>BA2120TTT</t>
  </si>
  <si>
    <t>BA2090PCTTT</t>
  </si>
  <si>
    <t>S3039TTT</t>
  </si>
  <si>
    <t>CR0559TTT</t>
  </si>
  <si>
    <t>CR00562TTT</t>
  </si>
  <si>
    <t>S3040TOTTTT</t>
  </si>
  <si>
    <t>BC30849TTT</t>
  </si>
  <si>
    <t>BM839TTTIR</t>
  </si>
  <si>
    <t>BM839TTTNIR</t>
  </si>
  <si>
    <t>BM839TTTER</t>
  </si>
  <si>
    <t>BM4012STTT</t>
  </si>
  <si>
    <t>BM4016STTT</t>
  </si>
  <si>
    <t>BM4017STTT</t>
  </si>
  <si>
    <t>BM4019STTT</t>
  </si>
  <si>
    <t>BM4018STTT</t>
  </si>
  <si>
    <t>BM4041STTT</t>
  </si>
  <si>
    <t>BM4045STTT</t>
  </si>
  <si>
    <t>BM4047STTT</t>
  </si>
  <si>
    <t>BM4048STTT</t>
  </si>
  <si>
    <t>BM4049STTT</t>
  </si>
  <si>
    <t>BM4051STTT</t>
  </si>
  <si>
    <t>BM334STTT</t>
  </si>
  <si>
    <t>BM4052STTT</t>
  </si>
  <si>
    <t>BM4021STTT</t>
  </si>
  <si>
    <t>BM4053STTT</t>
  </si>
  <si>
    <t>BC11370TTTREV</t>
  </si>
  <si>
    <t>BC11370TTTCAP</t>
  </si>
  <si>
    <t>BC11370TTTNET</t>
  </si>
  <si>
    <t>BC11370TTT</t>
  </si>
  <si>
    <t>BC11372TTTREV</t>
  </si>
  <si>
    <t>BC11372TTTCAP</t>
  </si>
  <si>
    <t>BC11372TTTNET</t>
  </si>
  <si>
    <t>BC11372TTT</t>
  </si>
  <si>
    <t>BC11373TTTREV</t>
  </si>
  <si>
    <t>BC11373TTTCAP</t>
  </si>
  <si>
    <t>BC11373TTTNET</t>
  </si>
  <si>
    <t>BC11373TTT</t>
  </si>
  <si>
    <t>BA2090TTTREV</t>
  </si>
  <si>
    <t>BA2091TTTCAP</t>
  </si>
  <si>
    <t>BA2090TTTNET</t>
  </si>
  <si>
    <t>BA2091TTT</t>
  </si>
  <si>
    <t>BA2085TTTREVNPC</t>
  </si>
  <si>
    <t>BA2086TTTCAPNPC</t>
  </si>
  <si>
    <t>BA2085TTTNETNPC</t>
  </si>
  <si>
    <t>BA2086TTTNPC</t>
  </si>
  <si>
    <t>BA2085TTTREVPC</t>
  </si>
  <si>
    <t>BA2086TTTCAPPC</t>
  </si>
  <si>
    <t>BA2085TTTNETPC</t>
  </si>
  <si>
    <t>BA2086TTTPC</t>
  </si>
  <si>
    <t>BC30460TTTCAP</t>
  </si>
  <si>
    <t>BA2090TTTBFWD</t>
  </si>
  <si>
    <t>BA2090TTTAMORT</t>
  </si>
  <si>
    <t>BA2091TTTCFWD</t>
  </si>
  <si>
    <t>BT39301PTTT</t>
  </si>
  <si>
    <t>BR881TTT</t>
  </si>
  <si>
    <t>BR883TTT</t>
  </si>
  <si>
    <t>BO1130TTT</t>
  </si>
  <si>
    <t>BR882TTT</t>
  </si>
  <si>
    <t>BR884TTT</t>
  </si>
  <si>
    <t>BO1120TTT</t>
  </si>
  <si>
    <t>S9008HHTTT</t>
  </si>
  <si>
    <t>S9008NHHTTT</t>
  </si>
  <si>
    <t>S9008WSTTT</t>
  </si>
  <si>
    <t>BR886TTT</t>
  </si>
  <si>
    <t>BR888TTT</t>
  </si>
  <si>
    <t>BR689TTT</t>
  </si>
  <si>
    <t>BR689TTTPC</t>
  </si>
  <si>
    <t>BC11374TTT</t>
  </si>
  <si>
    <t>S9014TTT</t>
  </si>
  <si>
    <t>CRS001TTT</t>
  </si>
  <si>
    <t>CRS008TTT</t>
  </si>
  <si>
    <t>CRS009TTT</t>
  </si>
  <si>
    <t>CRS010TTT</t>
  </si>
  <si>
    <t>CRS002TTT</t>
  </si>
  <si>
    <t>CRS004TTT</t>
  </si>
  <si>
    <t>CRS003TTT</t>
  </si>
  <si>
    <t>CRS005TTT</t>
  </si>
  <si>
    <t>CRS006TTT</t>
  </si>
  <si>
    <t>CRS011TTT</t>
  </si>
  <si>
    <t>CRS012TTT</t>
  </si>
  <si>
    <t>CRS013TTT</t>
  </si>
  <si>
    <t>CRS014TTT</t>
  </si>
  <si>
    <t>S3040TOTTTTCUM</t>
  </si>
  <si>
    <t>CRS004TTTCUM</t>
  </si>
  <si>
    <t>CRS003TTTCUM</t>
  </si>
  <si>
    <t>CRS005TTTCUM</t>
  </si>
  <si>
    <t>CRS006TTTCUM</t>
  </si>
  <si>
    <t>CRS011TTTCUM</t>
  </si>
  <si>
    <t>CRS012TTTCUM</t>
  </si>
  <si>
    <t>CRS013TTTCUM</t>
  </si>
  <si>
    <t>CRS014TTTCUM</t>
  </si>
  <si>
    <t>RCT00588TTT</t>
  </si>
  <si>
    <t>RCT00589TTT</t>
  </si>
  <si>
    <t>RCT00587TTTTC</t>
  </si>
  <si>
    <t>RCT00587TTTT</t>
  </si>
  <si>
    <t>RCT00587TTTTCR</t>
  </si>
  <si>
    <t>S9010TTT</t>
  </si>
  <si>
    <t>BM850TTTN</t>
  </si>
  <si>
    <t>BM815TASTTT</t>
  </si>
  <si>
    <t>BO3166SPLTTT</t>
  </si>
  <si>
    <t>A10007WSTTT</t>
  </si>
  <si>
    <t>A10008WSTTT</t>
  </si>
  <si>
    <t>A10009WSTTT</t>
  </si>
  <si>
    <t>A10010WSTTT</t>
  </si>
  <si>
    <t>A10011WSTTT</t>
  </si>
  <si>
    <t>A10012WSTTT</t>
  </si>
  <si>
    <t>A10013WSTTT</t>
  </si>
  <si>
    <t>2G.23</t>
  </si>
  <si>
    <t>CR1020WWCR</t>
  </si>
  <si>
    <t>CR1020WRR</t>
  </si>
  <si>
    <t>CR1020WTR</t>
  </si>
  <si>
    <t>CR1060WCO</t>
  </si>
  <si>
    <t>CR1060WRPC</t>
  </si>
  <si>
    <t>2H.25</t>
  </si>
  <si>
    <t>2H.26</t>
  </si>
  <si>
    <t>CR1022SWCR</t>
  </si>
  <si>
    <t>CR1023SWCR</t>
  </si>
  <si>
    <t>CR1022SRR</t>
  </si>
  <si>
    <t>CR1023SRR</t>
  </si>
  <si>
    <t>CR1022STR</t>
  </si>
  <si>
    <t>CR1023STR</t>
  </si>
  <si>
    <t>CR1062SCO</t>
  </si>
  <si>
    <t>CR1063SCO</t>
  </si>
  <si>
    <t>CR1062SRPC</t>
  </si>
  <si>
    <t>CR1063SRPC</t>
  </si>
  <si>
    <t xml:space="preserve">Wholesale TTT column should be equal to TTT line 2I.8. </t>
  </si>
  <si>
    <t>The total of line 2B.20 should be equal to the sum of lines 2E.7 for water, 2E.14 for wastewater and 2E.14 for TTT.</t>
  </si>
  <si>
    <t xml:space="preserve">Line 2I.20 should equal the sum of lines 2E.1, 2E.2, 2E.3 and 2E.4 (column 4) for water and lines 2E.9, 2E.10 and 2E.11 (column 4) for wastewater and lines 2E.9, 2E.10 and 2E.11 (column 4) for TTT. </t>
  </si>
  <si>
    <t>£</t>
  </si>
  <si>
    <t>RCT00586TTT</t>
  </si>
  <si>
    <t>The sum of table 2I lines 4 and 8 (wastewater and TTT).</t>
  </si>
  <si>
    <t>Change history</t>
  </si>
  <si>
    <t>Version</t>
  </si>
  <si>
    <t>Description of change</t>
  </si>
  <si>
    <t>m3*km/year</t>
  </si>
  <si>
    <t>The sum of table 4D lines 21 to 23.</t>
  </si>
  <si>
    <t>STWNAME01</t>
  </si>
  <si>
    <t>W3001AL</t>
  </si>
  <si>
    <t>WS2002AL</t>
  </si>
  <si>
    <t>W3002AL</t>
  </si>
  <si>
    <t>W3003AL</t>
  </si>
  <si>
    <t>W3006AL</t>
  </si>
  <si>
    <t>W3007SAL</t>
  </si>
  <si>
    <t>W3008SAL</t>
  </si>
  <si>
    <t>W3007DAL</t>
  </si>
  <si>
    <t>W3008DAL</t>
  </si>
  <si>
    <t>W3009AL</t>
  </si>
  <si>
    <t>WS2004AL</t>
  </si>
  <si>
    <t>W3010AL</t>
  </si>
  <si>
    <t>W3011AL</t>
  </si>
  <si>
    <t>W3012AL</t>
  </si>
  <si>
    <t>WS2008AL</t>
  </si>
  <si>
    <t>W3027AL</t>
  </si>
  <si>
    <t>W3028OPTAL</t>
  </si>
  <si>
    <t>W3028COMAL</t>
  </si>
  <si>
    <t>W3028NHOAL</t>
  </si>
  <si>
    <t>W3A00001AL</t>
  </si>
  <si>
    <t>W3A00002AL</t>
  </si>
  <si>
    <t>W3A00003AL</t>
  </si>
  <si>
    <t>W3A00004AL</t>
  </si>
  <si>
    <t>W3A00005AL</t>
  </si>
  <si>
    <t>W3A00006AL</t>
  </si>
  <si>
    <t>W3A00007AL</t>
  </si>
  <si>
    <t>W3A00008AL</t>
  </si>
  <si>
    <t>W3A00009AL</t>
  </si>
  <si>
    <t>W3A00010AL</t>
  </si>
  <si>
    <t>W3A00011AL</t>
  </si>
  <si>
    <t>W3A00012AL</t>
  </si>
  <si>
    <t>W3A00013AL</t>
  </si>
  <si>
    <t>W3A00014AL</t>
  </si>
  <si>
    <t>W3A00015AL</t>
  </si>
  <si>
    <t>BA2070AL</t>
  </si>
  <si>
    <t>W3001ALCUM</t>
  </si>
  <si>
    <t>WS2002ALCUM</t>
  </si>
  <si>
    <t>W3002ALCUM</t>
  </si>
  <si>
    <t>W3003ALCUM</t>
  </si>
  <si>
    <t>W3006ALCUM</t>
  </si>
  <si>
    <t>W3007SALCUM</t>
  </si>
  <si>
    <t>W3008SALCUM</t>
  </si>
  <si>
    <t>W3007DALCUM</t>
  </si>
  <si>
    <t>W3008DALCUM</t>
  </si>
  <si>
    <t>W3009ALCUM</t>
  </si>
  <si>
    <t>WS2004ALCUM</t>
  </si>
  <si>
    <t>W3010ALCUM</t>
  </si>
  <si>
    <t>W3011ALCUM</t>
  </si>
  <si>
    <t>W3012ALCUM</t>
  </si>
  <si>
    <t>WS2008ALCUM</t>
  </si>
  <si>
    <t>W3027ALCUM</t>
  </si>
  <si>
    <t>W3028OPTALCUM</t>
  </si>
  <si>
    <t>W3028COMALCUM</t>
  </si>
  <si>
    <t>W3028NHOALCUM</t>
  </si>
  <si>
    <t>W3A00001ALCUM</t>
  </si>
  <si>
    <t>W3A00002ALCUM</t>
  </si>
  <si>
    <t>W3A00003ALCUM</t>
  </si>
  <si>
    <t>W3A00004ALCUM</t>
  </si>
  <si>
    <t>W3A00005ALCUM</t>
  </si>
  <si>
    <t>W3A00006ALCUM</t>
  </si>
  <si>
    <t>W3A00007ALCUM</t>
  </si>
  <si>
    <t>W3A00008ALCUM</t>
  </si>
  <si>
    <t>W3A00009ALCUM</t>
  </si>
  <si>
    <t>W3A00010ALCUM</t>
  </si>
  <si>
    <t>W3A00011ALCUM</t>
  </si>
  <si>
    <t>W3A00012ALCUM</t>
  </si>
  <si>
    <t>W3A00013ALCUM</t>
  </si>
  <si>
    <t>W3A00014ALCUM</t>
  </si>
  <si>
    <t>W3A00015ALCUM</t>
  </si>
  <si>
    <t>BA2070ALCUM</t>
  </si>
  <si>
    <t>A19015TAS</t>
  </si>
  <si>
    <t>BM4290EXMTOT</t>
  </si>
  <si>
    <t>BM4290AQMTOT</t>
  </si>
  <si>
    <t>BM9027EXMTOT</t>
  </si>
  <si>
    <t>BM9027AQMTOT</t>
  </si>
  <si>
    <t>A10005</t>
  </si>
  <si>
    <t>2019 Annual performance report tables</t>
  </si>
  <si>
    <t>Companies have to publish an annual performance report for which we have set out the minimum requirement in the Regulatory Accounting Guidelines. The purpose of this spreadsheet is to help Ofwat process the actual data for 2018-19 data from all companies. Companies should complete these tables and return them to us at the same time as they publish their annual performance report on their own websites, and no later than 15 July 2019.</t>
  </si>
  <si>
    <t>Please refer to RAG 4 - Guideline for the table definitions in the annual performance report for the reporting year 2018-19.</t>
  </si>
  <si>
    <t>We expect companies to complete the tables with actual data for 2018-19.</t>
  </si>
  <si>
    <t>Companies should return their completed tables at the same time as they publish their annual performance report on their own websites, and no later than 15 July 2019.</t>
  </si>
  <si>
    <t xml:space="preserve">Companies should complete and upload the 2019 annual performance report tables template to our data capture portal. All queries should be sent to: </t>
  </si>
  <si>
    <t>For the 12 months ended 31 March 2019</t>
  </si>
  <si>
    <t>1E - Net debt analysis at 31 March 2019</t>
  </si>
  <si>
    <t>Notional returns and notional regulatory equity</t>
  </si>
  <si>
    <t>Actual returns and notional regulatory equity</t>
  </si>
  <si>
    <t>Actual returns and actual regulatory equity</t>
  </si>
  <si>
    <t>Return on regulatory equity</t>
  </si>
  <si>
    <t>Actual performance adjustment 2010-15</t>
  </si>
  <si>
    <t>Adjusted Return on regulatory equity</t>
  </si>
  <si>
    <t>Regulatory equity</t>
  </si>
  <si>
    <t>Financing</t>
  </si>
  <si>
    <t>Variance in corporation tax</t>
  </si>
  <si>
    <t>Group relief</t>
  </si>
  <si>
    <t>Cost of debt</t>
  </si>
  <si>
    <t>Hedging instruments</t>
  </si>
  <si>
    <t>Financing total</t>
  </si>
  <si>
    <t>Operational performance</t>
  </si>
  <si>
    <t>Totex out / (under) performance</t>
  </si>
  <si>
    <t>ODI out / (under) performance</t>
  </si>
  <si>
    <t>Retail out / (under) performance</t>
  </si>
  <si>
    <t>Operational performance total</t>
  </si>
  <si>
    <t>Total earnings</t>
  </si>
  <si>
    <t>Total shareholder return</t>
  </si>
  <si>
    <t>Net dividend</t>
  </si>
  <si>
    <t>Dividends reconciliation</t>
  </si>
  <si>
    <t>Gross dividend</t>
  </si>
  <si>
    <t>Interest received on intercompany loans</t>
  </si>
  <si>
    <t>1F.1</t>
  </si>
  <si>
    <t>1F.2</t>
  </si>
  <si>
    <t>1F.3</t>
  </si>
  <si>
    <t>1F.4</t>
  </si>
  <si>
    <t>1F.5</t>
  </si>
  <si>
    <t>1F.6</t>
  </si>
  <si>
    <t>1F.7</t>
  </si>
  <si>
    <t>1F.8</t>
  </si>
  <si>
    <t>1F.9</t>
  </si>
  <si>
    <t>1F.11</t>
  </si>
  <si>
    <t>1F.10</t>
  </si>
  <si>
    <t>1F.12</t>
  </si>
  <si>
    <t>1F.13</t>
  </si>
  <si>
    <t>1F.14</t>
  </si>
  <si>
    <t>1F.15</t>
  </si>
  <si>
    <t>1F.16</t>
  </si>
  <si>
    <t>1F.17</t>
  </si>
  <si>
    <t>1F.18</t>
  </si>
  <si>
    <t>1F.19</t>
  </si>
  <si>
    <t>1F.20</t>
  </si>
  <si>
    <t>1F.21</t>
  </si>
  <si>
    <t>1F.22</t>
  </si>
  <si>
    <t>Please refer to RAG 4.08 - Guideline for the table definitions in the annual performance report for the reporting year 2018-19</t>
  </si>
  <si>
    <t>At 1 April 2018</t>
  </si>
  <si>
    <t>At 31 March 2019</t>
  </si>
  <si>
    <t>Net book amount at 31 March 2019</t>
  </si>
  <si>
    <t>Net book amount at 1 April 2018</t>
  </si>
  <si>
    <t>2E - Analysis of 'grants and contributions' and land sales - wholesale</t>
  </si>
  <si>
    <t>Connection charges</t>
  </si>
  <si>
    <t>Infrastructure charge receipts</t>
  </si>
  <si>
    <t>Requisitioned mains</t>
  </si>
  <si>
    <t>Diversions</t>
  </si>
  <si>
    <t>Requisitioned sewers</t>
  </si>
  <si>
    <t>2G - Non-household water - revenues by tariff type</t>
  </si>
  <si>
    <t>2H - Non-household wastewater - revenues by tariff type</t>
  </si>
  <si>
    <t>2I - Revenue analysis</t>
  </si>
  <si>
    <t>Impact of infrastructure charge discounts</t>
  </si>
  <si>
    <t>Infrastructure charges</t>
  </si>
  <si>
    <t>Discounts applied to infrastructure charges</t>
  </si>
  <si>
    <t>Gross infrastructure charges</t>
  </si>
  <si>
    <t>Comparison of revenue and costs</t>
  </si>
  <si>
    <t>2K.1</t>
  </si>
  <si>
    <t>2K.2</t>
  </si>
  <si>
    <t>2K.3</t>
  </si>
  <si>
    <t>2K.4</t>
  </si>
  <si>
    <t>2K.5</t>
  </si>
  <si>
    <t>2K.6</t>
  </si>
  <si>
    <t>2K.7</t>
  </si>
  <si>
    <t>Variance brought forward</t>
  </si>
  <si>
    <t>Costs</t>
  </si>
  <si>
    <t>Variance carried forward</t>
  </si>
  <si>
    <r>
      <t>2017-18 performance level - actual</t>
    </r>
    <r>
      <rPr>
        <sz val="10"/>
        <color rgb="FF0078C9"/>
        <rFont val="Arial"/>
        <family val="2"/>
      </rPr>
      <t xml:space="preserve">
(for information)</t>
    </r>
  </si>
  <si>
    <t>2018-19 performance level - actual</t>
  </si>
  <si>
    <t>2018-19 AIM performance
[Ml]</t>
  </si>
  <si>
    <t>2018-19 normalised AIM performance
[nr]</t>
  </si>
  <si>
    <t>RCV element of cumulative totex over/underspend</t>
  </si>
  <si>
    <t>Adjustment for ODI outperformance payment or underperformance payment</t>
  </si>
  <si>
    <t>AMP to date</t>
  </si>
  <si>
    <t>Movement in RORE</t>
  </si>
  <si>
    <t>Base return</t>
  </si>
  <si>
    <t>Retail cost out / (under) performance</t>
  </si>
  <si>
    <t>Financing out / (under) performance</t>
  </si>
  <si>
    <t>Regulatory return for the year</t>
  </si>
  <si>
    <t>4H.29</t>
  </si>
  <si>
    <t>4H.30</t>
  </si>
  <si>
    <t>4H.31</t>
  </si>
  <si>
    <t>4H.32</t>
  </si>
  <si>
    <t>4H.33</t>
  </si>
  <si>
    <t>4H.34</t>
  </si>
  <si>
    <t>Total value at 31 March 2019</t>
  </si>
  <si>
    <t>Total accretion at 31 March 2019</t>
  </si>
  <si>
    <t>Interest rate
(weighted average for 12 months to 31 March 2019)</t>
  </si>
  <si>
    <t>NEP - Invasive Non Native Species</t>
  </si>
  <si>
    <t>NEP - Drinking Water Protected Areas (schemes)</t>
  </si>
  <si>
    <t>NEP - Water Framework Directive measure</t>
  </si>
  <si>
    <t>4L.36</t>
  </si>
  <si>
    <t>4L.37</t>
  </si>
  <si>
    <t>4L.38</t>
  </si>
  <si>
    <t>01/01/2019 Pre-consultation</t>
  </si>
  <si>
    <t>Add new table 2K - New connections - infrastructure charges reconciliation</t>
  </si>
  <si>
    <t>Table 2E - removed section references from descriptions</t>
  </si>
  <si>
    <t>Table 4C - change item descriptions</t>
  </si>
  <si>
    <t>Transferred private sewers and pumping stations</t>
  </si>
  <si>
    <t>4M.45</t>
  </si>
  <si>
    <t>Table 4M - add new line 'Transferred private sewers and pumping stations'.</t>
  </si>
  <si>
    <t>Table 4L - add three new NEP items. 'NEP - Invasive Non Native Species', 'NEP - Drinking Water Protected Areas (schemes)' and 'NEP - Water Framework Directive measure'.</t>
  </si>
  <si>
    <t>Costs of STWs in size bands 1 to 5</t>
  </si>
  <si>
    <t>Functional expenditure of STWs in size bands 1 to 5</t>
  </si>
  <si>
    <t>Costs of STWs in size band 6</t>
  </si>
  <si>
    <t>Other direct costs of STWs in size band 6</t>
  </si>
  <si>
    <t>Functional expenditure of STWs in size band 6</t>
  </si>
  <si>
    <t>4N.13</t>
  </si>
  <si>
    <t>4N.14</t>
  </si>
  <si>
    <t>Total Functional expenditure for Sewage treatment</t>
  </si>
  <si>
    <t>Table 4N - added sub-totals and removed two columns for Sludge and Total.</t>
  </si>
  <si>
    <t>Sewage treatment works - Functional expenditure</t>
  </si>
  <si>
    <t>Total direct expenditure</t>
  </si>
  <si>
    <t>4O.16</t>
  </si>
  <si>
    <t>Table 4O - Re-ordered rows to align with Table 4N.</t>
  </si>
  <si>
    <t>Proportion of distribution input derived from saline abstractions</t>
  </si>
  <si>
    <t>Proportion of distribution input derived from water reuse schemes</t>
  </si>
  <si>
    <t>Number of saline abstraction schemes</t>
  </si>
  <si>
    <t>Number of reuse schemes</t>
  </si>
  <si>
    <t>Total number of raw water transport stations</t>
  </si>
  <si>
    <t>Total length of raw water abstraction mains and other conveyors</t>
  </si>
  <si>
    <t>Average pumping head – raw water abstraction</t>
  </si>
  <si>
    <t>Water resources capacity (measured using water resources yield)</t>
  </si>
  <si>
    <t>Total length of raw and pre-treated (non-potable) water transport mains</t>
  </si>
  <si>
    <t>Average pumping head – water treatment</t>
  </si>
  <si>
    <t>Total length of potable mains relined</t>
  </si>
  <si>
    <t>Total length of potable mains renewed</t>
  </si>
  <si>
    <t>Total length of new potable mains</t>
  </si>
  <si>
    <t>Total length of potable water mains (&lt;=320mm)</t>
  </si>
  <si>
    <t>Total length of potable water mains &gt;320mm - &lt;=450mm</t>
  </si>
  <si>
    <t>Total length of potable water mains &gt;450mm - &lt;=610mm</t>
  </si>
  <si>
    <t>Total length of potable water mains  &gt; 610mm</t>
  </si>
  <si>
    <t>Total length of potable mains laid or structurally refurbished pre-1880</t>
  </si>
  <si>
    <t>Total length of potable mains laid or structurally refurbished between 1881 and 1900</t>
  </si>
  <si>
    <t>Total length of potable mains laid or structurally refurbished between 1901 and 1920</t>
  </si>
  <si>
    <t>Total length of potable mains laid or structurally refurbished between 1921 and 1940</t>
  </si>
  <si>
    <t>Total length of potable mains laid or structurally refurbished between 1941 and 1960</t>
  </si>
  <si>
    <t>Total length of potable mains laid or structurally refurbished between 1961 and 1980</t>
  </si>
  <si>
    <t>Total length of potable mains laid or structurally refurbished between 1981 and 2000</t>
  </si>
  <si>
    <t>Total length of potable mains laid or structurally refurbished post 2001</t>
  </si>
  <si>
    <t>Average pumping head – treated water distribution</t>
  </si>
  <si>
    <t>4P.107</t>
  </si>
  <si>
    <t>4P.108</t>
  </si>
  <si>
    <t>4P.109</t>
  </si>
  <si>
    <t>4P.110</t>
  </si>
  <si>
    <t>Compliance Risk Index</t>
  </si>
  <si>
    <t>Event Risk Index</t>
  </si>
  <si>
    <t>4Q.30</t>
  </si>
  <si>
    <t>Total sewage sludge produced from non-appointed liquid waste treatment</t>
  </si>
  <si>
    <t>4R.41</t>
  </si>
  <si>
    <t>Load received at sewage treatment works in 2018-19</t>
  </si>
  <si>
    <t>Number of sewage treatment works at 31 March 2019</t>
  </si>
  <si>
    <t>4U - Non-financial data - Properties, population and other - Wholesale wastewater</t>
  </si>
  <si>
    <t xml:space="preserve"> - Other operating expenditure excluding renewals - direct</t>
  </si>
  <si>
    <t xml:space="preserve"> - Other operating expenditure excluding renewals - indirect</t>
  </si>
  <si>
    <t>Total functional expenditure</t>
  </si>
  <si>
    <t>Number FTEs consistent - directly allocated</t>
  </si>
  <si>
    <t>Number FTEs consistent - indirectly allocated</t>
  </si>
  <si>
    <t>Other abstraction charges/ discharge consents</t>
  </si>
  <si>
    <t>4V.18</t>
  </si>
  <si>
    <t>4V.19</t>
  </si>
  <si>
    <t>4V.20</t>
  </si>
  <si>
    <t>4V.21</t>
  </si>
  <si>
    <t>4V.22</t>
  </si>
  <si>
    <t>4W - Operating cost analysis - sludge transport, treatment and disposal</t>
  </si>
  <si>
    <t>Sludge transport method</t>
  </si>
  <si>
    <t>Pipeline</t>
  </si>
  <si>
    <t>Tanker</t>
  </si>
  <si>
    <t>Truck</t>
  </si>
  <si>
    <t>Other direct operating expenditure (New cods? Check def'n)</t>
  </si>
  <si>
    <t>Other indirect operating expenditure (new code? Check def'n.)</t>
  </si>
  <si>
    <t>4W.26</t>
  </si>
  <si>
    <t>Landfill, raw</t>
  </si>
  <si>
    <t>Landfill, partly treated</t>
  </si>
  <si>
    <t>Land restoration / reclamation</t>
  </si>
  <si>
    <t>Sludge recycled to farmland</t>
  </si>
  <si>
    <t>4W.27</t>
  </si>
  <si>
    <t>4W.28</t>
  </si>
  <si>
    <t>4W.29</t>
  </si>
  <si>
    <t>4W.30</t>
  </si>
  <si>
    <t>4W.31</t>
  </si>
  <si>
    <t>4W.32</t>
  </si>
  <si>
    <t>4W.33</t>
  </si>
  <si>
    <t>4W.34</t>
  </si>
  <si>
    <t>4W.35</t>
  </si>
  <si>
    <t>4W.36</t>
  </si>
  <si>
    <t>4W.37</t>
  </si>
  <si>
    <t>4W.38</t>
  </si>
  <si>
    <t>4W.39</t>
  </si>
  <si>
    <t>Number FTEs - directly allocated</t>
  </si>
  <si>
    <t>Number FTEs - indirectly allocated</t>
  </si>
  <si>
    <t>4W.40</t>
  </si>
  <si>
    <t>4W.41</t>
  </si>
  <si>
    <t>4W.42</t>
  </si>
  <si>
    <t>4W.43</t>
  </si>
  <si>
    <t>4W.44</t>
  </si>
  <si>
    <t>4W.45</t>
  </si>
  <si>
    <t>4W.46</t>
  </si>
  <si>
    <t>4W.47</t>
  </si>
  <si>
    <t>4W.48</t>
  </si>
  <si>
    <t>Table 4Q - Removed 'Peak factor' line. Added two items 'Compliance Risk Index' and 'Event Risk Index' to section B.</t>
  </si>
  <si>
    <t>Table 4R - Add new item 'Total sewage sludge produced from non-appointed liquid waste treatment'</t>
  </si>
  <si>
    <t>Table 4V- Add 5 new lines to opex analysis. Add extra column for 'Other' type of analysis.</t>
  </si>
  <si>
    <t>Table 4W - Add new section for 'Sludge transport method'. Add 5 new lines to opex analysis for 'Sludge treatment type' and 'Sludge disposal route' sections.</t>
  </si>
  <si>
    <r>
      <t xml:space="preserve">Dividends </t>
    </r>
    <r>
      <rPr>
        <sz val="9"/>
        <color rgb="FFFF0000"/>
        <rFont val="Arial"/>
        <family val="2"/>
      </rPr>
      <t>declared</t>
    </r>
    <r>
      <rPr>
        <sz val="9"/>
        <rFont val="Arial"/>
        <family val="2"/>
      </rPr>
      <t xml:space="preserve"> by the company in the year.</t>
    </r>
  </si>
  <si>
    <t>Nominal value of the preference share capital. This should equal ‘Preference share capital' as reported in column ‘Total appointed activities’ of table 1C (i.e. table 1C line 28).</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</si>
  <si>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</si>
  <si>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</si>
  <si>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</si>
  <si>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</si>
  <si>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12 Months ended 31 March 2019</t>
  </si>
  <si>
    <t>Average 2015-19</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</si>
  <si>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</si>
  <si>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</si>
  <si>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</si>
  <si>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</si>
  <si>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</si>
  <si>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</si>
  <si>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</si>
  <si>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</si>
  <si>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</si>
  <si>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</si>
  <si>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</si>
  <si>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</si>
  <si>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</si>
  <si>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</si>
  <si>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</si>
  <si>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</si>
  <si>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</si>
  <si>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1F.22.</t>
  </si>
  <si>
    <t>Line 1F.17 minus line 1F.17</t>
  </si>
  <si>
    <t>The total amount of dividends paid during the period for the appointee business only.</t>
  </si>
  <si>
    <t>The total amount of interest income received on inter-company loans (as included in the P&amp;L Account)</t>
  </si>
  <si>
    <t>Line 1F.20 minus line 1F.21</t>
  </si>
  <si>
    <t>Other operating costs not covered by table 4D lines 5 and 6.</t>
  </si>
  <si>
    <t>Total operating costs excluding third party services.   The sum of table 4D lines 1 to 8.</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</si>
  <si>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</si>
  <si>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</si>
  <si>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</si>
  <si>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Total gross capital expenditure excluding third party services -  the sum of table 4D lines 12 to 16.</t>
  </si>
  <si>
    <t>The sum of table 4D lines 17 and 18.</t>
  </si>
  <si>
    <t>The sum of table 4D lines 11 and 19 minus 20.</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</si>
  <si>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</si>
  <si>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</si>
  <si>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</si>
  <si>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</si>
  <si>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</si>
  <si>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</si>
  <si>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4H.30-34</t>
  </si>
  <si>
    <t>Current year to equal line 4H.5</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</si>
  <si>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</si>
  <si>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</si>
  <si>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Capital expenditure on schemes listed in the NEP required to deal with invasive non native species.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</si>
  <si>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</si>
  <si>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</si>
  <si>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</si>
  <si>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23-37</t>
  </si>
  <si>
    <t>Check desc in RAG '151' &gt; '11'</t>
  </si>
  <si>
    <t>Check desc in RAG line nos?</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</si>
  <si>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</si>
  <si>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</si>
  <si>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Total functional expenditure of STWs in size bands 1 to 5. Calculated as the sum of 4N.1 to 4N.6 inclusive.</t>
  </si>
  <si>
    <t>Sum of service charges (EA and BWB) of STWs in band 6. Calculated from Table 4O.11.</t>
  </si>
  <si>
    <t>The sum of estimated costs of terminal pumping stations pumping to STWs in band 6 included in the direct costs (Line 4N.7) above.</t>
  </si>
  <si>
    <t>Direct costs of STWs in band 6 which are not included in lines 4N.8 and 4N.9 above.</t>
  </si>
  <si>
    <t>Total direct costs of STWs in band 6. Calculated as the sum of 4N.8 to 4N.10 inclusive.</t>
  </si>
  <si>
    <t>The sum of general and support expenditure for all STWs in band 6. Where possible, such expenditure should be attributed on a causal basis; otherwise it should be apportioned in proportion to direct costs.</t>
  </si>
  <si>
    <t>Functional expenditure of STWs in size band 6. Calculated as the sum of 4N.11 and 4N.12.</t>
  </si>
  <si>
    <t>Total operating functional expenditure (excluding 3rd party services). Calculated as the sum of 4N.7 and 4N.13.</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</si>
  <si>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</si>
  <si>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The total service charges (EA and BWB) for the STW.</t>
  </si>
  <si>
    <t>The estimated direct cost of terminal pumping stations pumping to the STW.</t>
  </si>
  <si>
    <t>Direct expenditure at the STW (the costs directly attributable to each works) excluding service charges and terminal pumping costs. Where the works also undertakes sludge treatment, the costs associated with sludge treatment should be excluded.</t>
  </si>
  <si>
    <t>Sum of lines 4O.11 to 4O.13.</t>
  </si>
  <si>
    <t>The general and support expenditure allocated to each sewage treatment works (see additional guidance). Where possible, such expenditure should be allocated on a causal basis; otherwise it should be apportioned in line with direct costs.</t>
  </si>
  <si>
    <t>The sum of direct expenditure and general and support expenditure. Sum of lines 4O.14 and 4O.15.</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</si>
  <si>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</si>
  <si>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</si>
  <si>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</si>
  <si>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</si>
  <si>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</si>
  <si>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</si>
  <si>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</si>
  <si>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</si>
  <si>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</si>
  <si>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</si>
  <si>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intake, raw water transport and source pumping stations associated with potable, non-potable and raw water systems. For the avoidance of doubt this is the number of sites as opposed to the number of individual pumps.</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</si>
  <si>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</si>
  <si>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</si>
  <si>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</si>
  <si>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</si>
  <si>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</si>
  <si>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Where water is treated at more than one type of works shown in lines 24 to 37 above, the average daily input which is recorded more than once in rows 24 to 37 above, entered as a negative.</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</si>
  <si>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</si>
  <si>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</si>
  <si>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</si>
  <si>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</si>
  <si>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</si>
  <si>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Distribution input is the average amount of potable water entering the distribution system. Please refer to the additional guidance for a diagrammatic representation of what this should include.</t>
  </si>
  <si>
    <t>Check para lettering in RAG 4.08</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</si>
  <si>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</si>
  <si>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The number of booster pumping stations within the distribution system (potable only). Include those relating to peak network capacity provision and those designed to provide resilience and back up for pump failure.</t>
  </si>
  <si>
    <t>RAG 4.08 description appears incomplete</t>
  </si>
  <si>
    <t>Average pumping head for the treated water distribution business unit as defined in RAG 4 and RAG 2 This is to be calculated using actual pumping head rather than the rating of the pumps.</t>
  </si>
  <si>
    <t>95 - 102</t>
  </si>
  <si>
    <t>103 - 110</t>
  </si>
  <si>
    <t>• Companies should include in Lines 44-57 water treatment works that have not been used in the year but have not been decommissioned and state in their commentary any instances where this is the case.</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</si>
  <si>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</si>
  <si>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</si>
  <si>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Total of lines 4P.1 to 4P.8 do not equal 1.</t>
  </si>
  <si>
    <t>Average number of business properties billed for measured water within the supply area. Exclude miscellaneous users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</si>
  <si>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</si>
  <si>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</si>
  <si>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</si>
  <si>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</si>
  <si>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DWI measure of Compliance Risk.</t>
  </si>
  <si>
    <t>DWI measure of Event Risk.</t>
  </si>
  <si>
    <t>The variance between actual leakage and sustainable economic level of leakage. Leakage below the economic level will have a negative value. To be disclosed as MI/d.</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</si>
  <si>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</si>
  <si>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</si>
  <si>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</si>
  <si>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</si>
  <si>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</si>
  <si>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</si>
  <si>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</si>
  <si>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</si>
  <si>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</si>
  <si>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</si>
  <si>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</si>
  <si>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</si>
  <si>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</si>
  <si>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</si>
  <si>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</si>
  <si>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</si>
  <si>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</si>
  <si>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</si>
  <si>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</si>
  <si>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</si>
  <si>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</si>
  <si>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</si>
  <si>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</si>
  <si>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 xml:space="preserve">The quantity of sludge produced to which the percentages reported in lines 1 to 9 (inclusive) relate should be that reported in Table 4R, line 25. </t>
  </si>
  <si>
    <t>The number of new business properties added for each period within the company's sewerage area during the report year. This should be the number of new connections; disconnections and demolished properties should not be netted off.</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</si>
  <si>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</si>
  <si>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</si>
  <si>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</si>
  <si>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</si>
  <si>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</si>
  <si>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</si>
  <si>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1, 14, 27</t>
  </si>
  <si>
    <t>2, 15, 28</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</si>
  <si>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</si>
  <si>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</si>
  <si>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</si>
  <si>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</si>
  <si>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</si>
  <si>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</si>
  <si>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</si>
  <si>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</si>
  <si>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</si>
  <si>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</si>
  <si>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Total operating expenditure excluding 3rd party costs recorded in table 4E. The sum of lines;
• 4W.9 to 4W.10 (S tran)
• 4W.22 to 4W.23 (S treat)
• 4W.35 to 4W.36 (S disp)</t>
  </si>
  <si>
    <t>11, 24, 37</t>
  </si>
  <si>
    <t>12, 25, 38</t>
  </si>
  <si>
    <t>Historical Deprecation charge for relevant fixed asset.</t>
  </si>
  <si>
    <t>13, 26, 39</t>
  </si>
  <si>
    <t>Total of operating expenditure (excluding 3rd party costs) and depreciation costs. The sum of lines;
• 4W.11 to 4W.12 (S tran)
• 4W.24 to 4W.25 (S treat)
• 4W.37 to 4W.38 (S disp)</t>
  </si>
  <si>
    <t>Number of full time equivalents consistent with the employment costs reported in line 4W.40 and averaged over the year.</t>
  </si>
  <si>
    <t>Number of full time equivalents consistent with the employment costs reported in line 4W.41 and averaged over the year.</t>
  </si>
  <si>
    <t>New note on APP20 is not required - check with table owner</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</si>
  <si>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</si>
  <si>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Any capital expenditure on non-infrastructure assets other than defined in table 2B line 13 or 16 excluding third party capex.</t>
  </si>
  <si>
    <t>All grants and contributions E.g. from connection charges, infrastructure charges, requisitions and other contributions. Adopted assets should not be included. Equal to table 2E line 7 for water and table 2E line 14 for wastewater.</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</si>
  <si>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</si>
  <si>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</si>
  <si>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</si>
  <si>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Contributions received from local authorities, highway authorities and private companies to divert water mains.</t>
  </si>
  <si>
    <t>Infrastructure charges received in the year for new connections. This reflects a contribution to the costs of enhancing the local sewerage network.</t>
  </si>
  <si>
    <t>Contributions received from developers to requisition a new sewer.</t>
  </si>
  <si>
    <t>Contributions received from local authorities, highway authorities and private companies to divert sewers.</t>
  </si>
  <si>
    <t>2 to 20</t>
  </si>
  <si>
    <t>2 to 23</t>
  </si>
  <si>
    <t>The value of the discount applied to infrastructure charges.</t>
  </si>
  <si>
    <t>Value of grants and contributions receivable before any discounts are applied. E.g. for water efficient properties. Calculated as the sum of 2K lines 1 and 2.</t>
  </si>
  <si>
    <t>If the performance commitment level for the current reporting year has been met select ‘Yes’, where it has not been met select ‘No’.
If a committed performance level has not been set for the current reporting year select "-" (hyphen).</t>
  </si>
  <si>
    <t>The customer share of the difference in line 4C.1. This should be calculated using the formula;
(‘menu baseline totex’ – ‘actual menu totex’) * (1 – ‘cost sharing rate’).</t>
  </si>
  <si>
    <t>RCV impact of the outperformance payment or underperformance payment from the ODI.</t>
  </si>
  <si>
    <t>The sum of table 4C lines 3 to 5.</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</si>
  <si>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</si>
  <si>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Unit cost. This is equal to total operating expenditure (table 4D line 11) divided by the unit for the column (table 4D line 25).</t>
  </si>
  <si>
    <t>Unit cost. This is equal to total operating expenditure (table 4D line 11) divided by table 4D line 27.</t>
  </si>
  <si>
    <t>Unit cost. This is equal to total operating expenditure (table 4E line 11) divided by the unit for the column (table 4E line 25).</t>
  </si>
  <si>
    <t>Unit cost. This is equal to total operating expenditure (table 4E line 11) divided by table 4E line 27.</t>
  </si>
  <si>
    <t>Other operating costs not covered by 4J lines 5 and 6.</t>
  </si>
  <si>
    <t>Total operating costs excluding third party services. The sum of 4J lines 1 to 8.</t>
  </si>
  <si>
    <t xml:space="preserve">Total operating expenditure for the wholesale business only within each business category. The sum of 4J lines 9 and 10. </t>
  </si>
  <si>
    <t>Any capital expenditure on infrastructure assets other than defined in 4J line 12 excluding third party capex.</t>
  </si>
  <si>
    <t>Any capital expenditure on non-infrastructure assets other than defined in 4J line 13 excluding third party capex.</t>
  </si>
  <si>
    <t>Total gross capital expenditure excluding third party services -  the sum of 4J lines 12 to 16.</t>
  </si>
  <si>
    <t>The sum of 4J lines 17 and 18.</t>
  </si>
  <si>
    <t>The sum of 4J lines 11  and 19 minus 20.</t>
  </si>
  <si>
    <t>The sum of 4J lines 21 to 23.</t>
  </si>
  <si>
    <t>Total atypical expenditure. Calculated as the sum of 4J lines 25 to 34.</t>
  </si>
  <si>
    <t>Total expenditure. Calculated as the sum of 4J lines 24 and 35.</t>
  </si>
  <si>
    <t>Any other operating costs not covered by 4K lines 5 and 6.</t>
  </si>
  <si>
    <t>Total operating costs excluding third party services. Calculated as the sum of 4K lines 1 to 8.</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</si>
  <si>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</si>
  <si>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</si>
  <si>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</si>
  <si>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</si>
  <si>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Total gross capital expenditure. Calculated as the sum of 4K lines 17 and 18.</t>
  </si>
  <si>
    <t>Totex. Calculated as the sum of 4K lines 11 and 19 minus line 20.</t>
  </si>
  <si>
    <t>Totex including cash items. Calculated as the sum of 4K lines 21 to 23.</t>
  </si>
  <si>
    <t>Total atypical expenditure. Calculated as the sum of 4K lines 25 to 34.</t>
  </si>
  <si>
    <t>Total expenditure. Calculated as the sum of 4K lines 24 and 35.</t>
  </si>
  <si>
    <t>Total of 4L lines 1 to 37</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</si>
  <si>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</si>
  <si>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</si>
  <si>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Capital expenditure on investigations listed in the NEP for AMP5 or AMP6 over and above that on investigations for which expenditure is required to be reported elsewhere in this table (principally 4M lines 12 and 13).</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</si>
  <si>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</si>
  <si>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</si>
  <si>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</si>
  <si>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Total enhancement capital expenditure. Calculated as the sum of 4M lines 1 to 44 inclusive.</t>
  </si>
  <si>
    <t>Total length of "legacy" public sewers as at 31 March. Calculated as the sum of 4R lines 16 to 20 inclusive.</t>
  </si>
  <si>
    <t>Length of other wastewater network pipework on 31 March of report year excluding formerly private sewers transferred into the company's ownership on 1 October 2011 that are not captured in 4R lines 16 to 19 (eg sludge mains, overflow pipes, etc).</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</si>
  <si>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</si>
  <si>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</si>
  <si>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</si>
  <si>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</si>
  <si>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</si>
  <si>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</si>
  <si>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</si>
  <si>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</si>
  <si>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Calculated as the sum of 4R lines 31, 32  and 33.</t>
  </si>
  <si>
    <t>Calculated as the sum of 4R lines 36, 37 and 38.</t>
  </si>
  <si>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</si>
  <si>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</si>
  <si>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</si>
  <si>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t>Total number of sewage treatment works of all sizes. Calculated as sum of 4S lines 9 to 14.</t>
  </si>
  <si>
    <t>Residential properties billed for sewage. Calculated as the sum of 4U lines 3 and 4.</t>
  </si>
  <si>
    <t>Business properties billed for sewage. Calculated as the sum of 4U lines 6 and 7.</t>
  </si>
  <si>
    <t>Total number of connected properties. Calculated as the sum of 4U lines 5, 8 and 9.</t>
  </si>
  <si>
    <t>Energy consumption – wholesale wastewater business. Calculated as the sum of 4U Lines 13 and 14.</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</si>
  <si>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</si>
  <si>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Total operating expenditure for the wholesale business only within each business category. The sum of 4V lines 11 to 12.</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</si>
  <si>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</si>
  <si>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</si>
  <si>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Total revenue received from all non-household customers on default and non-default tariffs.</t>
  </si>
  <si>
    <t>Value of grants and contributions receivable, as recorded in table 2E, lines 2 and 9</t>
  </si>
  <si>
    <t>Water: Value derived above in 2K line 3 (column 1)
Wastewater: Value derived above in 2K line 3 (column 2)</t>
  </si>
  <si>
    <t>The sum of lines 2K lines 4 to 6</t>
  </si>
  <si>
    <t>Other direct expenditure</t>
  </si>
  <si>
    <t>Energy consumption – wholesale water business. Calculated as the sum of 4Q lines 24 and 25.</t>
  </si>
  <si>
    <t>- Other operating expenditure excluding renewals - direct</t>
  </si>
  <si>
    <t>- Other operating expenditure excluding renewals - indirect</t>
  </si>
  <si>
    <t>CR1066</t>
  </si>
  <si>
    <t>CR1067</t>
  </si>
  <si>
    <t>CR1068</t>
  </si>
  <si>
    <t>CR1069</t>
  </si>
  <si>
    <t>CR1070</t>
  </si>
  <si>
    <t>CR1071</t>
  </si>
  <si>
    <t>CR1076</t>
  </si>
  <si>
    <t>CR1077</t>
  </si>
  <si>
    <t>CR1078</t>
  </si>
  <si>
    <t>CR1079</t>
  </si>
  <si>
    <t>CR1080</t>
  </si>
  <si>
    <t>CR1081</t>
  </si>
  <si>
    <t>CR12501</t>
  </si>
  <si>
    <t>CR12502</t>
  </si>
  <si>
    <t>CR12503</t>
  </si>
  <si>
    <t>CR12504</t>
  </si>
  <si>
    <t>CR12505</t>
  </si>
  <si>
    <t>CR12506</t>
  </si>
  <si>
    <t>CR12507</t>
  </si>
  <si>
    <t>CR12508</t>
  </si>
  <si>
    <t>CR12509</t>
  </si>
  <si>
    <t>CR12510</t>
  </si>
  <si>
    <t>CR12511</t>
  </si>
  <si>
    <t>CR12512</t>
  </si>
  <si>
    <t>CR12513</t>
  </si>
  <si>
    <t>CR12514</t>
  </si>
  <si>
    <t>CR12516</t>
  </si>
  <si>
    <t>CR12517</t>
  </si>
  <si>
    <t>CR12518</t>
  </si>
  <si>
    <t>CR12519</t>
  </si>
  <si>
    <t>CR12520</t>
  </si>
  <si>
    <t>CR12521</t>
  </si>
  <si>
    <t>CR12522</t>
  </si>
  <si>
    <t>NNP</t>
  </si>
  <si>
    <t>ANP</t>
  </si>
  <si>
    <t>AAP</t>
  </si>
  <si>
    <t>NNV</t>
  </si>
  <si>
    <t>ANV</t>
  </si>
  <si>
    <t>AAV</t>
  </si>
  <si>
    <t>NNPA</t>
  </si>
  <si>
    <t>ANPA</t>
  </si>
  <si>
    <t>AAPA</t>
  </si>
  <si>
    <t>NNVA</t>
  </si>
  <si>
    <t>ANVA</t>
  </si>
  <si>
    <t>AAVA</t>
  </si>
  <si>
    <t>BC11270DIS</t>
  </si>
  <si>
    <t>BC11370DIS</t>
  </si>
  <si>
    <t>BC11270GROSS</t>
  </si>
  <si>
    <t>BC11370GROSS</t>
  </si>
  <si>
    <t>BC11270VARCFWD</t>
  </si>
  <si>
    <t>BC11370VARCFWD</t>
  </si>
  <si>
    <t>WS2003AL</t>
  </si>
  <si>
    <t>WS2003RWA</t>
  </si>
  <si>
    <t>WS2003RWT</t>
  </si>
  <si>
    <t>WS2003RWS</t>
  </si>
  <si>
    <t>WS2003WT</t>
  </si>
  <si>
    <t>WS2003TWD</t>
  </si>
  <si>
    <t>WS2003CAW</t>
  </si>
  <si>
    <t>WS2003ALCUM</t>
  </si>
  <si>
    <t>WS2003RWACUM</t>
  </si>
  <si>
    <t>WS2003RWTCUM</t>
  </si>
  <si>
    <t>WS2003RWSCUM</t>
  </si>
  <si>
    <t>WS2003WTCUM</t>
  </si>
  <si>
    <t>WS2003TWDCUM</t>
  </si>
  <si>
    <t>WS2003CAWCUM</t>
  </si>
  <si>
    <t>WS2006AL</t>
  </si>
  <si>
    <t>WS2006RWA</t>
  </si>
  <si>
    <t>WS2006RWT</t>
  </si>
  <si>
    <t>WS2006RWS</t>
  </si>
  <si>
    <t>WS2006WT</t>
  </si>
  <si>
    <t>WS2006TWD</t>
  </si>
  <si>
    <t>WS2006CAW</t>
  </si>
  <si>
    <t>WS2006ALCUM</t>
  </si>
  <si>
    <t>WS2006RWACUM</t>
  </si>
  <si>
    <t>WS2006RWTCUM</t>
  </si>
  <si>
    <t>WS2006RWSCUM</t>
  </si>
  <si>
    <t>WS2006WTCUM</t>
  </si>
  <si>
    <t>WS2006TWDCUM</t>
  </si>
  <si>
    <t>WS2006CAWCUM</t>
  </si>
  <si>
    <t>WS2007AL</t>
  </si>
  <si>
    <t>WS2007RWA</t>
  </si>
  <si>
    <t>WS2007RWT</t>
  </si>
  <si>
    <t>WS2007RWS</t>
  </si>
  <si>
    <t>WS2007WT</t>
  </si>
  <si>
    <t>WS2007TWD</t>
  </si>
  <si>
    <t>WS2007CAW</t>
  </si>
  <si>
    <t>WS2007ALCUM</t>
  </si>
  <si>
    <t>WS2007RWACUM</t>
  </si>
  <si>
    <t>WS2007RWTCUM</t>
  </si>
  <si>
    <t>WS2007RWSCUM</t>
  </si>
  <si>
    <t>WS2007WTCUM</t>
  </si>
  <si>
    <t>WS2007TWDCUM</t>
  </si>
  <si>
    <t>WS2007CAWCUM</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</si>
  <si>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</si>
  <si>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</si>
  <si>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</si>
  <si>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</si>
  <si>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</si>
  <si>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</si>
  <si>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</si>
  <si>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</si>
  <si>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</si>
  <si>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</si>
  <si>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</si>
  <si>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</si>
  <si>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</si>
  <si>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</si>
  <si>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</si>
  <si>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</si>
  <si>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</si>
  <si>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</si>
  <si>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STWF012</t>
  </si>
  <si>
    <t>BN4854</t>
  </si>
  <si>
    <t>BN4855</t>
  </si>
  <si>
    <t>BN4856</t>
  </si>
  <si>
    <t>BN4857</t>
  </si>
  <si>
    <t>BN4858</t>
  </si>
  <si>
    <t>BN4859</t>
  </si>
  <si>
    <t>QEBW0183</t>
  </si>
  <si>
    <t>QEBW0184</t>
  </si>
  <si>
    <t>MP05613</t>
  </si>
  <si>
    <t>Definition for line 18 to 24 are repeated in RAG 4.08</t>
  </si>
  <si>
    <t>BM240</t>
  </si>
  <si>
    <t>STUTS</t>
  </si>
  <si>
    <t>STRSL</t>
  </si>
  <si>
    <t>STCAD</t>
  </si>
  <si>
    <t>STAD</t>
  </si>
  <si>
    <t>STIRS</t>
  </si>
  <si>
    <t>STIDS</t>
  </si>
  <si>
    <t>STPCC</t>
  </si>
  <si>
    <t>STSLOT</t>
  </si>
  <si>
    <t>STTOT</t>
  </si>
  <si>
    <t>WS1005</t>
  </si>
  <si>
    <t>WS1006</t>
  </si>
  <si>
    <t>BM816</t>
  </si>
  <si>
    <t>BM402</t>
  </si>
  <si>
    <t>BM8390</t>
  </si>
  <si>
    <t>STPTK</t>
  </si>
  <si>
    <t>STPPP</t>
  </si>
  <si>
    <t>STPTR</t>
  </si>
  <si>
    <t>STPTOT</t>
  </si>
  <si>
    <t>WWS1005</t>
  </si>
  <si>
    <t>WWS1006</t>
  </si>
  <si>
    <t>WWS1007DI</t>
  </si>
  <si>
    <t>WWS1007IN</t>
  </si>
  <si>
    <t>WWS1003</t>
  </si>
  <si>
    <t>WWS1004</t>
  </si>
  <si>
    <t>WWS1001</t>
  </si>
  <si>
    <t>WWS1002</t>
  </si>
  <si>
    <t>WWS1008</t>
  </si>
  <si>
    <t>WWS1009</t>
  </si>
  <si>
    <t>WROT</t>
  </si>
  <si>
    <t>BM108</t>
  </si>
  <si>
    <t>BM110</t>
  </si>
  <si>
    <t>WS1003</t>
  </si>
  <si>
    <t>BM408</t>
  </si>
  <si>
    <t>BM410</t>
  </si>
  <si>
    <t>SDLFR</t>
  </si>
  <si>
    <t>SDLFP</t>
  </si>
  <si>
    <t>SDLRR</t>
  </si>
  <si>
    <t>SDRTF</t>
  </si>
  <si>
    <t>SDSOT</t>
  </si>
  <si>
    <t>SDTOT</t>
  </si>
  <si>
    <t>WS1004</t>
  </si>
  <si>
    <t>3, 16, 29</t>
  </si>
  <si>
    <t>APR_2018-19</t>
  </si>
  <si>
    <t>BC11470</t>
  </si>
  <si>
    <t>BC11470DIS</t>
  </si>
  <si>
    <t>BC11470GROSS</t>
  </si>
  <si>
    <t>BC11470VARBFWD</t>
  </si>
  <si>
    <t>BC11470VARCFWD</t>
  </si>
  <si>
    <t>BC11470NRC</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</si>
  <si>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</si>
  <si>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</si>
  <si>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Bulk supply charges received for providing a bulk supply (for potable or non-potable supplies) to another water undertaker.</t>
  </si>
  <si>
    <t>Bulk supply charges for providing wastewater connection agreements with another wastewater undertaker.</t>
  </si>
  <si>
    <t>Actual performance for the previous reporting year (pre-populated data)</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</si>
  <si>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</si>
  <si>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I
2018-19 performance level - actual</t>
  </si>
  <si>
    <t>J
2018-19 CPL met?</t>
  </si>
  <si>
    <r>
      <t xml:space="preserve">31 March 2020 forecast - 
total AMP6 outperformance payment or underperformance payment
</t>
    </r>
    <r>
      <rPr>
        <sz val="10"/>
        <color rgb="FF0078C9"/>
        <rFont val="Arial"/>
        <family val="2"/>
      </rPr>
      <t>(indicator)</t>
    </r>
  </si>
  <si>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</si>
  <si>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</si>
  <si>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r>
      <t xml:space="preserve">31 March 2020 forecast -
total AMP6 outperformance payment or underperformance payment
</t>
    </r>
    <r>
      <rPr>
        <sz val="10"/>
        <color rgb="FF0078C9"/>
        <rFont val="Arial"/>
        <family val="2"/>
      </rPr>
      <t xml:space="preserve">(£m, to </t>
    </r>
    <r>
      <rPr>
        <sz val="9"/>
        <color rgb="FF0078C9"/>
        <rFont val="Arial"/>
        <family val="2"/>
      </rPr>
      <t>4 dp)</t>
    </r>
  </si>
  <si>
    <r>
      <t xml:space="preserve">2018-19
outperformance payment
or underperformance payment -
in-period ODIs 
</t>
    </r>
    <r>
      <rPr>
        <sz val="10"/>
        <color rgb="FF0078C9"/>
        <rFont val="Arial"/>
        <family val="2"/>
      </rPr>
      <t>(indicator)</t>
    </r>
  </si>
  <si>
    <t>K
2018-19
outperformance payment
or underperformance payment -
in-period ODIs 
(indicator)</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</si>
  <si>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</si>
  <si>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</si>
  <si>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t>O
31 March 2020 forecast - 
total AMP6 outperformance payment or underperformance payment
(indicator)</t>
  </si>
  <si>
    <r>
      <t xml:space="preserve">2018-19 outperformance payment or underperformance payment - 
in-period ODIs 
</t>
    </r>
    <r>
      <rPr>
        <sz val="10"/>
        <color rgb="FF0078C9"/>
        <rFont val="Arial"/>
        <family val="2"/>
      </rPr>
      <t>(</t>
    </r>
    <r>
      <rPr>
        <sz val="9"/>
        <color rgb="FF0078C9"/>
        <rFont val="Arial"/>
        <family val="2"/>
      </rPr>
      <t>£m, to 4 dp)</t>
    </r>
  </si>
  <si>
    <t>P
31 March 2020 forecast -
total AMP6 outperformance payment or underperformance payment</t>
  </si>
  <si>
    <r>
      <t xml:space="preserve">2018-19
outperformance payment
or underperformance payment - 
ODIs payable at the end of AMP6 
</t>
    </r>
    <r>
      <rPr>
        <sz val="10"/>
        <color rgb="FF0078C9"/>
        <rFont val="Arial"/>
        <family val="2"/>
      </rPr>
      <t>(indicator)</t>
    </r>
  </si>
  <si>
    <t>N
2018-19 outperformance payment or underperformance payment - ODIs payable at the end of AMP6</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</si>
  <si>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</si>
  <si>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r>
      <t xml:space="preserve">2018-19 outperformance payment or underperformance payment - ODIs payable at the end of AMP6
</t>
    </r>
    <r>
      <rPr>
        <sz val="10"/>
        <color rgb="FF0078C9"/>
        <rFont val="Arial"/>
        <family val="2"/>
      </rPr>
      <t>(£m, to 4 dp)</t>
    </r>
  </si>
  <si>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</si>
  <si>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Underperformance payments should be entered as negative numbers</t>
  </si>
  <si>
    <t>L
2018-19 outperformance payment or underperformance payment - 
in-period ODIs</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</si>
  <si>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</si>
  <si>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Reported total wholesale operating expenditure and capital expenditure including cash items as reported in table 2B line 24.</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</si>
  <si>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</si>
  <si>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</si>
  <si>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Total number of number of raw water transport stations. For the avoidance of doubt this is the number of sites as opposed to the number of individual pumps.</t>
  </si>
  <si>
    <t>Total length of potable mains relined in report year. Include all spray applied lining.</t>
  </si>
  <si>
    <t>Total length of new potable mains laid in report year. Include new mains and mains renewals involving upsizing, whose prime justification is the requirement for additional capacity.</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</si>
  <si>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</si>
  <si>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</si>
  <si>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</si>
  <si>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</si>
  <si>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https://fnttest201sprint/Fountain/rest-services_XLSPF</t>
  </si>
  <si>
    <t>outputRunName</t>
  </si>
  <si>
    <t>outputRunId</t>
  </si>
  <si>
    <t>companyName</t>
  </si>
  <si>
    <t>A Water and Sewerage Company_XLSPF</t>
  </si>
  <si>
    <t>companyId</t>
  </si>
  <si>
    <t>2_XLSPF</t>
  </si>
  <si>
    <t>Cyclical base run_XLSPF</t>
  </si>
  <si>
    <t>96_XLSPF</t>
  </si>
  <si>
    <t>F_Outputs_TABLE_ID</t>
  </si>
  <si>
    <t>F_Outputs_TEAM</t>
  </si>
  <si>
    <t>_XLSPF</t>
  </si>
  <si>
    <t>F_Outputs_USER</t>
  </si>
  <si>
    <t>F_Outputs_NAME</t>
  </si>
  <si>
    <t>F_Outputs_TITLE</t>
  </si>
  <si>
    <t>EXTERNAL_MODEL_NAME</t>
  </si>
  <si>
    <t>EXTERNAL_MODEL_CODE</t>
  </si>
  <si>
    <t>EXTERNAL_MODEL_FAMILY</t>
  </si>
  <si>
    <t>JR_XLSPF</t>
  </si>
  <si>
    <t>FOUNTAIN_REPORT</t>
  </si>
  <si>
    <t>outputSheetLastSent</t>
  </si>
  <si>
    <t>APR 2019_XLSPF</t>
  </si>
  <si>
    <t>12615_XLSPF</t>
  </si>
  <si>
    <t>2785_XLSPF</t>
  </si>
  <si>
    <t>19/02/2019 13:06:32_XLSPF</t>
  </si>
  <si>
    <t>Hafren Dyfrdwy</t>
  </si>
  <si>
    <t>HDD</t>
  </si>
  <si>
    <t>SVE</t>
  </si>
  <si>
    <t>Hafren Dyfrdwy Cyfyngedig</t>
  </si>
  <si>
    <t>Severn Trent Water (England)</t>
  </si>
  <si>
    <t>Severn Trent Water Ltd (England)</t>
  </si>
  <si>
    <t>PR14HDDWSW_A1</t>
  </si>
  <si>
    <t>PR14HDDWSW_A2</t>
  </si>
  <si>
    <t>PR14HDDWSW_A3</t>
  </si>
  <si>
    <t>PR14HDDWSW_A4</t>
  </si>
  <si>
    <t>PR14HDDWSW_B1</t>
  </si>
  <si>
    <t>PR14HDDWSW_B2</t>
  </si>
  <si>
    <t>PR14HDDWSW_B3</t>
  </si>
  <si>
    <t>PR14HDDWSW_B4</t>
  </si>
  <si>
    <t>PR14HDDWSW_C1</t>
  </si>
  <si>
    <t>PR14HDDWSW_D1</t>
  </si>
  <si>
    <t>PR14HDDNHHR_F1</t>
  </si>
  <si>
    <t>PR14HDDHHR_E1</t>
  </si>
  <si>
    <t>PR14HDDHHR_E2</t>
  </si>
  <si>
    <t>PR14HDDWSW_W-A1</t>
  </si>
  <si>
    <t>PR14HDDWSW_W-A2</t>
  </si>
  <si>
    <t>PR14HDDWSW_W-A3</t>
  </si>
  <si>
    <t>PR14HDDWSW_W-B1</t>
  </si>
  <si>
    <t>PR14HDDWSW_W-B2</t>
  </si>
  <si>
    <t>PR14HDDWSW_W-B3</t>
  </si>
  <si>
    <t>PR14HDDWSW_W-B4</t>
  </si>
  <si>
    <t>PR14HDDWSW_W-B5</t>
  </si>
  <si>
    <t>PR14HDDWSW_W-B6</t>
  </si>
  <si>
    <t>PR14HDDWSW_W-B7</t>
  </si>
  <si>
    <t>PR14HDDWSW_W-B8</t>
  </si>
  <si>
    <t>PR14HDDWSW_W-C1</t>
  </si>
  <si>
    <t>PR14HDDWSW_W-D2</t>
  </si>
  <si>
    <t>PR14HDDWSW_W-E1</t>
  </si>
  <si>
    <t>PR14HDDWSW_W-F1</t>
  </si>
  <si>
    <t>PR14HDDWSWW_S-A1</t>
  </si>
  <si>
    <t>PR14HDDWSWW_S-A2</t>
  </si>
  <si>
    <t>PR14HDDWSWW_S-A3</t>
  </si>
  <si>
    <t>PR14HDDWSWW_S-A4</t>
  </si>
  <si>
    <t>PR14HDDWSWW_S-A5</t>
  </si>
  <si>
    <t>PR14HDDWSWW_S-B1</t>
  </si>
  <si>
    <t>PR14HDDWSWW_S-C2</t>
  </si>
  <si>
    <t>PR14HDDWSWW_S-C3</t>
  </si>
  <si>
    <t>PR14HDDWSWW_S-C5</t>
  </si>
  <si>
    <t>PR14HDDWSWW_S-C6</t>
  </si>
  <si>
    <t>PR14HDDWSWW_S-C7</t>
  </si>
  <si>
    <t>PR14HDDWSWW_S-C8</t>
  </si>
  <si>
    <t>PR14HDDWSWW_S-D1</t>
  </si>
  <si>
    <t>PR14HDDWSWW_S-E1</t>
  </si>
  <si>
    <t>PR14HDDHHR_R-A1</t>
  </si>
  <si>
    <t>PR14HDDHHR_R-A2</t>
  </si>
  <si>
    <t>PR14HDDHHR_R-B1</t>
  </si>
  <si>
    <t>PR14HDDHHR_R-B2</t>
  </si>
  <si>
    <t>PR14SVEWSW_W-A1</t>
  </si>
  <si>
    <t>PR14SVEWSW_W-A2</t>
  </si>
  <si>
    <t>PR14SVEWSW_W-A3</t>
  </si>
  <si>
    <t>PR14SVEWSW_W-A4</t>
  </si>
  <si>
    <t>PR14SVEWSW_W-B1</t>
  </si>
  <si>
    <t>PR14SVEWSW_W-B2</t>
  </si>
  <si>
    <t>PR14SVEWSW_W-B3</t>
  </si>
  <si>
    <t>PR14SVEWSW_W-B4</t>
  </si>
  <si>
    <t>PR14SVEWSW_W-B5</t>
  </si>
  <si>
    <t>PR14SVEWSW_W-B6</t>
  </si>
  <si>
    <t>PR14SVEWSW_W-B7</t>
  </si>
  <si>
    <t>PR14SVEWSW_W-B8</t>
  </si>
  <si>
    <t>PR14SVEWSW_W-B9</t>
  </si>
  <si>
    <t>PR14SVEWSW_W-B10</t>
  </si>
  <si>
    <t>PR14SVEWSW_W-B11</t>
  </si>
  <si>
    <t>PR14SVEWSW_W-B12</t>
  </si>
  <si>
    <t>PR14SVEWSW_W-B13</t>
  </si>
  <si>
    <t>PR14SVEWSW_W-B14</t>
  </si>
  <si>
    <t>PR14SVEWSW_W-C1</t>
  </si>
  <si>
    <t>PR14SVEWSW_W-D1</t>
  </si>
  <si>
    <t>PR14SVEWSW_W-D2</t>
  </si>
  <si>
    <t>PR14SVEWSW_W-D3</t>
  </si>
  <si>
    <t>PR14SVEWSW_W-D4</t>
  </si>
  <si>
    <t>PR14SVEWSW_W-E1</t>
  </si>
  <si>
    <t>PR14SVEWSW_W-F1</t>
  </si>
  <si>
    <t>PR14SVEWSWW_S-A1</t>
  </si>
  <si>
    <t>PR14SVEWSWW_S-A2</t>
  </si>
  <si>
    <t>PR14SVEWSWW_S-A3</t>
  </si>
  <si>
    <t>PR14SVEWSWW_S-A4</t>
  </si>
  <si>
    <t>PR14SVEWSWW_S-A5</t>
  </si>
  <si>
    <t>PR14SVEWSWW_S-B1</t>
  </si>
  <si>
    <t>PR14SVEWSWW_S-C1</t>
  </si>
  <si>
    <t>PR14SVEWSWW_S-C2</t>
  </si>
  <si>
    <t>PR14SVEWSWW_S-C3</t>
  </si>
  <si>
    <t>PR14SVEWSWW_S-C4</t>
  </si>
  <si>
    <t>PR14SVEWSWW_S-C5</t>
  </si>
  <si>
    <t>PR14SVEWSWW_S-C6</t>
  </si>
  <si>
    <t>PR14SVEWSWW_S-C7</t>
  </si>
  <si>
    <t>PR14SVEWSWW_S-C8</t>
  </si>
  <si>
    <t>PR14SVEWSWW_S-D1</t>
  </si>
  <si>
    <t>PR14SVEWSWW_S-E1</t>
  </si>
  <si>
    <t>PR14SVEHHR_R-A1</t>
  </si>
  <si>
    <t>PR14SVEHHR_R-A2</t>
  </si>
  <si>
    <t>PR14SVEHHR_R-B1</t>
  </si>
  <si>
    <t>PR14SVEHHR_R-B2</t>
  </si>
  <si>
    <t>PR14SVEWSW_A1</t>
  </si>
  <si>
    <t>PR14SVEWSW_A2</t>
  </si>
  <si>
    <t>PR14SVEWSW_B1</t>
  </si>
  <si>
    <t>PR14SVEWSW_B2</t>
  </si>
  <si>
    <t>PR14SVEWSW_B3</t>
  </si>
  <si>
    <t>PR14SVEWSW_B4</t>
  </si>
  <si>
    <t>PR14SVEWSW_C1</t>
  </si>
  <si>
    <t>PR14SVEWSW_D1</t>
  </si>
  <si>
    <t>PR14SVENHHR_F1</t>
  </si>
  <si>
    <t>PR14SVEHHR_E1</t>
  </si>
  <si>
    <t>PR14SVEHHR_E2</t>
  </si>
  <si>
    <t>Raw water quality indicator
(reported as deteriorating, marginal, stable or improving)</t>
  </si>
  <si>
    <t>B6: Reduce per capita consumption (PCC) to 140 litres/head/day by March 2020</t>
  </si>
  <si>
    <t>Ml/d of WTWs made resilient (cumulative)</t>
  </si>
  <si>
    <t>HDD A1: Discoloured water contacts</t>
  </si>
  <si>
    <t>HDD A2: Mean zonal compliance (MZC)</t>
  </si>
  <si>
    <t>HDD A3: Delivery of the outcomes of the Legacy water treatment works (south west Wrexham) major scheme</t>
  </si>
  <si>
    <t>HDD A4: Delivery of the outcomes of the service reservoir water quality risk management schemes</t>
  </si>
  <si>
    <t>HDD B1: Average duration of interruptions - 3 hours or longer (planned and unplanned interruptions)</t>
  </si>
  <si>
    <t>HDD B2: Sustainable economic level of leakage</t>
  </si>
  <si>
    <t>HDD B3: Security of supply index (SOSI)</t>
  </si>
  <si>
    <t>HDD B4: Number of bursts</t>
  </si>
  <si>
    <t>HDD C1: Gross operational greenhouse gas emissions</t>
  </si>
  <si>
    <t>HDD D1: Customers’ perception based on market research</t>
  </si>
  <si>
    <t>HDD F1: Non-household Service incentive mechanism (SIM)</t>
  </si>
  <si>
    <t>HDD E1: Per capita consumption and water efficiency</t>
  </si>
  <si>
    <t>HDD E2: Service incentive mechanism (SIM)</t>
  </si>
  <si>
    <t>HDD W-A1: Number of complaints about drinking water quality</t>
  </si>
  <si>
    <t>HDD W-A2: Compliance with drinking water quality standards</t>
  </si>
  <si>
    <t>HDD W-A3: Asset stewardship - number of sites with coliform failures (WTWs)</t>
  </si>
  <si>
    <t>HDD W-B1: Resource efficiency (distribution input per customer) - amount of water taken out of the environment</t>
  </si>
  <si>
    <t>HDD W-B2: Leakage levels</t>
  </si>
  <si>
    <t>HDD W-B3: Speed of response in repairing leaks (% fixed within 24 hours)</t>
  </si>
  <si>
    <t>HDD W-B4: Number of minutes customers go without supply each year (interruptions to supply &gt; 3 hours)</t>
  </si>
  <si>
    <t>HDD W-B5: % of customers with resilient supplies (those that benefit from a second source of supply)</t>
  </si>
  <si>
    <t>HDD W-B6: Asset stewardship - mains bursts</t>
  </si>
  <si>
    <t>HDD W-B7: Customers at risk of low pressure</t>
  </si>
  <si>
    <t>HDD W-B8: Restrictions on water use</t>
  </si>
  <si>
    <t>HDD W-C1: Customers rating our services as good value for money (based on tracker survey)</t>
  </si>
  <si>
    <t>HDD W-D2: Asset stewardship - environmental compliance</t>
  </si>
  <si>
    <t>HDD W-E1: Size of our carbon footprint</t>
  </si>
  <si>
    <t>HDD W-F1: Improved understanding of our services through education</t>
  </si>
  <si>
    <t>HDD S-A1: Number of internal sewer flooding incidents</t>
  </si>
  <si>
    <t>HDD S-A2: Number of external sewer flooding incidents</t>
  </si>
  <si>
    <t>HDD S-A3: Partnership working</t>
  </si>
  <si>
    <t>HDD S-A4: Asset stewardship - blockages</t>
  </si>
  <si>
    <t>HDD S-A5: Statutory obligations (Section 101A schemes)</t>
  </si>
  <si>
    <t>HDD S-B1: Customers rating our services as good value for money (based on tracker survey)</t>
  </si>
  <si>
    <t>HDD S-C2: The number of category 3 pollution incidents</t>
  </si>
  <si>
    <t>HDD S-C3: Asset stewardship - environmental compliance (basket of measures)</t>
  </si>
  <si>
    <t>HDD S-C5: Sustainable sewage treatment</t>
  </si>
  <si>
    <t>HDD S-C6: Serious pollution incidents</t>
  </si>
  <si>
    <t>HDD S-C7: Overall environmental performance (basket of environmental measures)</t>
  </si>
  <si>
    <t>HDD S-C8: The number of category 4 pollution incidents</t>
  </si>
  <si>
    <t>HDD S-D1: Size of our carbon footprint</t>
  </si>
  <si>
    <t>HDD S-E1: Improved understanding of our services through education</t>
  </si>
  <si>
    <t>HDD R-A1: Customer satisfaction with their service (based on a survey)</t>
  </si>
  <si>
    <t>HDD R-A2: Customers' experience of dealing with us (based on Ofwat's SIM)</t>
  </si>
  <si>
    <t>HDD R-B1: Customers helped by a review of their tariff &amp; water usage &amp;/or supported by SVT social fund</t>
  </si>
  <si>
    <t>HDD R-B2: Percentage of customers who do not pay (household bad debt divided by total household revenue)</t>
  </si>
  <si>
    <t>SVE W-A1: Number of complaints about drinking water quality</t>
  </si>
  <si>
    <t>SVE W-A2: Compliance with drinking water quality standards</t>
  </si>
  <si>
    <t>SVE W-A3: Asset stewardship - number of sites with coliform failures (WTWs)</t>
  </si>
  <si>
    <t>SVE W-A4: Number of successful catchment management schemes</t>
  </si>
  <si>
    <t>SVE W-B1: Resource efficiency (distribution input per customer) - amount of water taken out of the environment</t>
  </si>
  <si>
    <t>SVE W-B2: Leakage levels</t>
  </si>
  <si>
    <t>SVE W-B3: Speed of response in repairing leaks (% fixed within 24 hours)</t>
  </si>
  <si>
    <t>SVE W-B4: Number of minutes customers go without supply each year (interruptions to supply &gt; 3 hours)</t>
  </si>
  <si>
    <t>SVE W-B5: % of customers with resilient supplies (those that benefit from a second source of supply)</t>
  </si>
  <si>
    <t>SVE W-B6: Asset stewardship - mains bursts</t>
  </si>
  <si>
    <t>SVE W-B7: Customers at risk of low pressure</t>
  </si>
  <si>
    <t>SVE W-B8: Restrictions on water use</t>
  </si>
  <si>
    <t>SVE W-B9: Timing delays on Birmingham resilience scheme</t>
  </si>
  <si>
    <t>SVE W-B10: Non-delivery of the outcome of the Birmingham resilience scheme</t>
  </si>
  <si>
    <t>SVE W-B11: Timing delays on community risk schemes</t>
  </si>
  <si>
    <t>SVE W-B12: Non-delivery of the community risk schemes</t>
  </si>
  <si>
    <t xml:space="preserve">SVE W-B13: Timing delays on Elan Valley Aqueduct (EVA) maintenance </t>
  </si>
  <si>
    <t>SVE W-B14: Non-delivery of the Elan Valley Aqueduct (EVA) maintenance</t>
  </si>
  <si>
    <t>SVE W-C1: Customers rating our services as good value for money (based on tracker survey)</t>
  </si>
  <si>
    <t>SVE W-D1: Improvements in river water quality against WFD criteria</t>
  </si>
  <si>
    <t>SVE W-D2: Asset stewardship - environmental compliance</t>
  </si>
  <si>
    <t>SVE W-D3: Biodiversity</t>
  </si>
  <si>
    <t>SVE W-D4: Sites with eel protection at intakes</t>
  </si>
  <si>
    <t>SVE W-E1: Size of our carbon footprint</t>
  </si>
  <si>
    <t>SVE W-F1: Improved understanding of our services through education</t>
  </si>
  <si>
    <t>SVE S-A1: Number of internal sewer flooding incidents</t>
  </si>
  <si>
    <t>SVE S-A2: Number of external sewer flooding incidents</t>
  </si>
  <si>
    <t>SVE S-A3: Partnership working</t>
  </si>
  <si>
    <t>SVE S-A4: Asset stewardship - blockages</t>
  </si>
  <si>
    <t>SVE S-A5: Statutory obligations (Section 101A schemes)</t>
  </si>
  <si>
    <t>SVE S-B1: Customers rating our services as good value for money (based on tracker survey)</t>
  </si>
  <si>
    <t>SVE S-C1: Improvements in river water quality against WFD criteria</t>
  </si>
  <si>
    <t>SVE S-C2: The number of category 3 pollution incidents</t>
  </si>
  <si>
    <t>SVE S-C3: Asset stewardship - environmental compliance (basket of measures)</t>
  </si>
  <si>
    <t>SVE S-C4: Biodiversity</t>
  </si>
  <si>
    <t>SVE S-C5: Sustainable sewage treatment</t>
  </si>
  <si>
    <t>SVE S-C6: Serious pollution incidents</t>
  </si>
  <si>
    <t>SVE S-C7: Overall environmental performance (basket of environmental measures)</t>
  </si>
  <si>
    <t>SVE S-C8: The number of category 4 pollution incidents</t>
  </si>
  <si>
    <t>SVE S-D1: Size of our carbon footprint</t>
  </si>
  <si>
    <t>SVE S-E1: Improved understanding of our services through education</t>
  </si>
  <si>
    <t>SVE R-A1: Customer satisfaction with their service (based on a survey)</t>
  </si>
  <si>
    <t>SVE R-A2: Customers' experience of dealing with us (based on Ofwat's SIM)</t>
  </si>
  <si>
    <t>SVE R-B1: Customers helped by a review of their tariff &amp; water usage &amp;/or supported by SVT social fund</t>
  </si>
  <si>
    <t>SVE R-B2: Percentage of customers who do not pay (household bad debt divided by total household revenue)</t>
  </si>
  <si>
    <t>SVE A1: Discoloured water contacts</t>
  </si>
  <si>
    <t>SVE A2: Mean zonal compliance (MZC)</t>
  </si>
  <si>
    <t>SVE B1: Average duration of interruptions - 3 hours or longer (planned and unplanned interruptions)</t>
  </si>
  <si>
    <t>SVE B2: Sustainable economic level of leakage</t>
  </si>
  <si>
    <t>SVE B3: Security of supply index (SOSI)</t>
  </si>
  <si>
    <t>SVE B4: Number of bursts</t>
  </si>
  <si>
    <t>SVE C1: Gross operational greenhouse gas emissions</t>
  </si>
  <si>
    <t>SVE D1: Customers’ perception based on market research</t>
  </si>
  <si>
    <t>SVE F1: Non-household Service incentive mechanism (SIM)</t>
  </si>
  <si>
    <t>SVE E1: Per capita consumption and water efficiency</t>
  </si>
  <si>
    <t>SVE E2: Service incentive mechanism (SIM)</t>
  </si>
  <si>
    <t>2016 APR submission data (monetary amounts in 2012-13 prices)</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</si>
  <si>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</si>
  <si>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</si>
  <si>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</si>
  <si>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</si>
  <si>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2017</t>
  </si>
  <si>
    <t>2017-18 notional outperformance payment or underperformance penalty accrued at 31 March 2017 (£m)</t>
  </si>
  <si>
    <t>2018 APR submission data (monetary amounts in 2012-13 prices)</t>
  </si>
  <si>
    <t>Underperformance payment</t>
  </si>
  <si>
    <t>Underperformance payment deadband</t>
  </si>
  <si>
    <t>1st among the 10 WaSCs</t>
  </si>
  <si>
    <t>6/25</t>
  </si>
  <si>
    <t>The Forums have prepared their statement and it will be published in the Our Contribution document.</t>
  </si>
  <si>
    <t>Delivered late</t>
  </si>
  <si>
    <t>4 min 17 secs</t>
  </si>
  <si>
    <t>Completed and signed off by EA</t>
  </si>
  <si>
    <t>Scheme delivered 2015/16</t>
  </si>
  <si>
    <t>Scheme delivered 2016/17</t>
  </si>
  <si>
    <t xml:space="preserve">No </t>
  </si>
  <si>
    <t xml:space="preserve">New online self serve channel       </t>
  </si>
  <si>
    <t>Interim milestone met</t>
  </si>
  <si>
    <t>Achieved</t>
  </si>
  <si>
    <t>Published</t>
  </si>
  <si>
    <t>HDDDP</t>
  </si>
  <si>
    <t>SVEDP</t>
  </si>
  <si>
    <t>76% (water), 79% (wastewater)</t>
  </si>
  <si>
    <t>2017-18 actual performance levels
(PCs and sub-measures)</t>
  </si>
  <si>
    <t>2017-18
performance level
- actual</t>
  </si>
  <si>
    <t>2017-18
performance level met?</t>
  </si>
  <si>
    <t>HDDID</t>
  </si>
  <si>
    <t>SVEID</t>
  </si>
  <si>
    <r>
      <t xml:space="preserve">Background to shadow reporting
</t>
    </r>
    <r>
      <rPr>
        <sz val="10"/>
        <rFont val="Arial"/>
        <family val="2"/>
      </rPr>
      <t>Companies are calculating data against this consistent reporting guidance and will report the data on 15 July 2019.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consistent reporting guidance will be reported as normal through the APR, i.e. shadow reporting will cease for the 2020-21 data onwards.</t>
    </r>
    <r>
      <rPr>
        <b/>
        <sz val="10"/>
        <rFont val="Arial"/>
        <family val="2"/>
      </rPr>
      <t/>
    </r>
  </si>
  <si>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2018-19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2018-19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</si>
  <si>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We expect you to complete the template for 2018-19 data, but we have included 2019-20 for reporting next year
4. For leakage, the table allows for data to be input for either the whole company or for up to four leakage regions
5. The full definition for each component and sub-component will be available from the ‘Outcomes definitions – PR19’ page of the Ofwat website: </t>
    </r>
  </si>
  <si>
    <t>Enter the performance level for the current reporting year</t>
  </si>
  <si>
    <r>
      <t xml:space="preserve">For the 2019 price review we are requiring companies to have 15 common performance commitments (10 for water-only companies) with consistent definitions and consistent reporting.
As in 2017 and 2018, we propose in 2019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</si>
  <si>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Vulnerability</t>
  </si>
  <si>
    <t>Percentage of households registered for priority services (as of 31 March)</t>
  </si>
  <si>
    <t>14</t>
  </si>
  <si>
    <t>15</t>
  </si>
  <si>
    <t>Internal sewer flooding incidents, including sewer flooding due to severe weather events</t>
  </si>
  <si>
    <t>External sewer flooding incidents, including sewer flooding due to severe weather events</t>
  </si>
  <si>
    <t>Percentage of households registered on the Priority Services Register contacted over the previous two years to ensure they are still receiving the right support (as of 31 March)</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</si>
  <si>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</si>
  <si>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Total of input checks</t>
  </si>
  <si>
    <t>Enter the performance level for the current reporting year and the red/amber/green assessments in the columns to the right of the performance level</t>
  </si>
  <si>
    <t>Confidence grade</t>
  </si>
  <si>
    <t>Enter the performance level for the current reporting year and the overall model suite confidence grade</t>
  </si>
  <si>
    <t>Certainty grade</t>
  </si>
  <si>
    <t>BC30460WREV</t>
  </si>
  <si>
    <t>BC30460WWREV</t>
  </si>
  <si>
    <t>BC30460TTTREV</t>
  </si>
  <si>
    <t>BC30460WTOT</t>
  </si>
  <si>
    <t>BC30460WWTOT</t>
  </si>
  <si>
    <t>Line 4V.11 does not equal line 4D.9 for water resources, please provide reasoning and reconciliation in your commentary</t>
  </si>
  <si>
    <t>Line 4W.11 does not equal line 4E.9 for sludge transport, please provide reasoning and reconciliation in your commentary</t>
  </si>
  <si>
    <t>Line 4W.24 does not equal line 4E.9 for sludge treatment, please provide reasoning and reconciliation in your commentary</t>
  </si>
  <si>
    <t>Line 4W.37 does not equal line 4E.9 for sludge disposal, please provide reasoning and reconciliation in your commentary</t>
  </si>
  <si>
    <t>`</t>
  </si>
  <si>
    <t>BC30460TTTTOT</t>
  </si>
  <si>
    <t>19/3/2019 Post- consultation</t>
  </si>
  <si>
    <t>Table 2E - Add inputs in column G to rows 15, 26 and 37.</t>
  </si>
  <si>
    <t>Retained value</t>
  </si>
  <si>
    <t>2018-19 PCL met?</t>
  </si>
  <si>
    <t>2K - Infrastructure charges reconciliation</t>
  </si>
  <si>
    <t>Variance reported in 2K.7 in the previous reporting year. For 2018-19, this should be assumed as £nil.</t>
  </si>
  <si>
    <t>The change in revenue (from the final determination) as applied by the company arising from the in-period ODI adjustment.</t>
  </si>
  <si>
    <t>The change in revenue (from the final determination) as applied by the company arising from the in-period WRFIM adjustment.</t>
  </si>
  <si>
    <t>Line 2I.18 should equal the sum of line 1A.1 (appointed business activities column).</t>
  </si>
  <si>
    <t>The total of lines 2I.9 and 2I.13 should equal line 2A.1 (Total column).</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</si>
  <si>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</si>
  <si>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</si>
  <si>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 xml:space="preserve">The normalised AIM performance for the current reporting year is calculated as follows:
A / (T * P) </t>
  </si>
  <si>
    <t xml:space="preserve">Cumulative AIM performance in Ml for the years 2016-17 onwards.
Ai+Aii+Aiii......
where:
Ai = AIM performance in Ml in year i
</t>
  </si>
  <si>
    <t xml:space="preserve">Cumulative normalised AIM performance in Ml for the years 2016-17 onwards.
∑A  / (T * ∑P)  
Where:
∑A = Ai+Aii+Aiii......
∑P = Pi+Pii+Piii......, Pi = length of period (d) when flows are at or below the trigger threshold in year i
</t>
  </si>
  <si>
    <t>Enter the performance level for the current reporting year, and the certainty grade relating to the performance calculation.</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</si>
  <si>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</si>
  <si>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</si>
  <si>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Total operating expenditure. 
The totals for water and wastewater will agree to the respective totals of table 2B line 11.</t>
  </si>
  <si>
    <t>Equal to table 1A line 5, less any income attributable to the retail business.</t>
  </si>
  <si>
    <t>1F.23</t>
  </si>
  <si>
    <t>Other exceptional items</t>
  </si>
  <si>
    <t>CR12523</t>
  </si>
  <si>
    <t>RCV growth from RPI inflation</t>
  </si>
  <si>
    <t>1F - Financial flows (Price Base - 2012-13 RPI Average)</t>
  </si>
  <si>
    <t>Calculation cell/Hardcoded values</t>
  </si>
  <si>
    <t>Copy cell</t>
  </si>
  <si>
    <t>Add new table 1F - Financial flows for the 12 months ended 31 March 2019 and for the price review to date (2012-13 financial year average RPI)</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</si>
  <si>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</si>
  <si>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BC11270NRC</t>
  </si>
  <si>
    <t>BC11370NRC</t>
  </si>
  <si>
    <t>Water: Equal to 2J line 4 column 1 x (-1)
Wastewater: Equal to 2J line 9 column 1 x (-1)</t>
  </si>
  <si>
    <t>Other factors</t>
  </si>
  <si>
    <t>4H.35</t>
  </si>
  <si>
    <t>T19004AMP</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</si>
  <si>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</si>
  <si>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Table 4H - add new section C as  'Movement in RORE'. Add new column 'AMP to date' for line 5 and section C.</t>
  </si>
  <si>
    <t>Forward currency contracts CAD</t>
  </si>
  <si>
    <t>Forward currency contracts AUD</t>
  </si>
  <si>
    <t>Forward currency contracts HKD</t>
  </si>
  <si>
    <t>4I.25</t>
  </si>
  <si>
    <t>4I.26</t>
  </si>
  <si>
    <t>4I.27</t>
  </si>
  <si>
    <t>N5</t>
  </si>
  <si>
    <t>N6</t>
  </si>
  <si>
    <t>MM</t>
  </si>
  <si>
    <t>TA</t>
  </si>
  <si>
    <t>RP</t>
  </si>
  <si>
    <t>RR</t>
  </si>
  <si>
    <t>CR2029</t>
  </si>
  <si>
    <t>CR2030</t>
  </si>
  <si>
    <t>CR2031</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</si>
  <si>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</si>
  <si>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</si>
  <si>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</si>
  <si>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4N - Sewage treatment - Functional expenditure</t>
  </si>
  <si>
    <t>STWB041TOT</t>
  </si>
  <si>
    <t>STWB042TOT</t>
  </si>
  <si>
    <t>STWB043TOT</t>
  </si>
  <si>
    <t>Table 4I - Add three new lines in forward currency contracts section.</t>
  </si>
  <si>
    <t>Table 4P - Added six new items to Water resources section and removed two from Water distribution section. Some item descriptions made specific.</t>
  </si>
  <si>
    <t>Proportion of Total DI band 1</t>
  </si>
  <si>
    <t>Proportion of Total DI band 2</t>
  </si>
  <si>
    <t>Proportion of Total DI band 3</t>
  </si>
  <si>
    <t>Proportion of Total DI band 4</t>
  </si>
  <si>
    <t>Proportion of Total DI band 5</t>
  </si>
  <si>
    <t>Proportion of Total DI band 6</t>
  </si>
  <si>
    <t>Proportion of Total DI band 7</t>
  </si>
  <si>
    <t>Proportion of Total DI band 8</t>
  </si>
  <si>
    <t>Please disclose the the proportion (%) of Total DI for each banding. See Additional Guidance</t>
  </si>
  <si>
    <t>Table 3D - SIM table confirmed as unchanged.</t>
  </si>
  <si>
    <t>Bioresources - table confirmed as unchanged.</t>
  </si>
  <si>
    <t>Table 3S - new input fields:
●  Block F (risk of severe restrictions in a drought): certainty grade cells added
●  Block J (risk of sewer flooding in a storm): confidence grade cells added</t>
  </si>
  <si>
    <t>Further detail is included in IN 19/06 ‘Expectations for monopoly company annual performance reporting 2018-19’.</t>
  </si>
  <si>
    <t>Ofwat Finance and Governance@ofwat.gov.uk</t>
  </si>
  <si>
    <t>IN 19/03 Regulatory accounting guidelines 2018-19</t>
  </si>
  <si>
    <t>CR1073</t>
  </si>
  <si>
    <t>CR1083</t>
  </si>
  <si>
    <t>Table 1F - the calculations in line 1F.1 corrected in columns J, L, P and R as follows:
Cell J8 - changed from '=+G$11*G10' to '=+G$11*G8'
Cell L8 - changed from '=+I$11*I10' to '=+I$11*I8'
Cell P8 - changed from '=+M$11*M10' to '=+M$11*M8'
Cell R8 - changed from '=+O$11*O10' to '=+O$11*O8'</t>
  </si>
  <si>
    <t>2 May 2019 version</t>
  </si>
  <si>
    <t>BM102ECWW</t>
  </si>
  <si>
    <t>BM902ECWR</t>
  </si>
  <si>
    <t>The total column of line 4E.20 should equal the total column of line 2E.14</t>
  </si>
  <si>
    <t xml:space="preserve">Re-inserted cells in Table 4V lines 4V.19 to 4V.21 for raw water distribution, water treatment and treated water distribution columns. The table now aligns with the previous year's table. The table is different to the RAG's proforma table Which are to be reviewed in 2020-21. </t>
  </si>
  <si>
    <t>Lines 4V.19 to 4V.21 do not equal Table 4D.3 for Service charges, please provide reasoning and reconciliation in your commentary</t>
  </si>
  <si>
    <t>Corrected mis-alligned codes for energy consumption costs in table 4Q lines 4Q.24 to 4Q26.</t>
  </si>
  <si>
    <t>Table 1F - errors corrected as follows:
Line 1F.8 (Cell K17) - changed from an input cell to a calc cell with the formulae '=+L17' to correct an error.
Line 1F.9 (Cell Q18) - changed from a calc cell to an input cell to allow for a separate value to the entered notional and actual columns for hedging instruments.
Line 1F.5 (Cells H14,K14, N14, Q14) - calc forumulae updated to correct for '0' entry in the cells.</t>
  </si>
  <si>
    <t>29 May 2019 version</t>
  </si>
</sst>
</file>

<file path=xl/styles.xml><?xml version="1.0" encoding="utf-8"?>
<styleSheet xmlns="http://schemas.openxmlformats.org/spreadsheetml/2006/main">
  <numFmts count="13">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 numFmtId="174" formatCode="[$-F400]h:mm:ss\ AM/PM"/>
  </numFmts>
  <fonts count="143">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vertAlign val="subscript"/>
      <sz val="9"/>
      <name val="Arial"/>
      <family val="2"/>
    </font>
    <font>
      <vertAlign val="superscript"/>
      <sz val="9"/>
      <name val="Arial"/>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s>
  <fills count="37">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362">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s>
  <cellStyleXfs count="1236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0" fillId="8" borderId="0" applyBorder="0"/>
    <xf numFmtId="0" fontId="1" fillId="0" borderId="0"/>
    <xf numFmtId="0" fontId="16" fillId="0" borderId="0"/>
    <xf numFmtId="43" fontId="16" fillId="0" borderId="0" applyFont="0" applyFill="0" applyBorder="0" applyAlignment="0" applyProtection="0"/>
    <xf numFmtId="0" fontId="16"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46" fillId="0" borderId="0"/>
    <xf numFmtId="0" fontId="1" fillId="0" borderId="0"/>
    <xf numFmtId="9" fontId="46" fillId="0" borderId="0" applyFont="0" applyFill="0" applyBorder="0" applyAlignment="0" applyProtection="0"/>
    <xf numFmtId="0" fontId="1" fillId="0" borderId="0"/>
    <xf numFmtId="0" fontId="47" fillId="0" borderId="0"/>
    <xf numFmtId="0" fontId="46" fillId="0" borderId="0"/>
    <xf numFmtId="43" fontId="46" fillId="0" borderId="0" applyFont="0" applyFill="0" applyBorder="0" applyAlignment="0" applyProtection="0"/>
    <xf numFmtId="0" fontId="11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7" fillId="30" borderId="0"/>
    <xf numFmtId="0" fontId="11" fillId="0" borderId="0" applyNumberFormat="0" applyFill="0" applyBorder="0" applyAlignment="0" applyProtection="0"/>
    <xf numFmtId="0" fontId="10" fillId="0" borderId="0" applyNumberFormat="0" applyFill="0" applyBorder="0" applyAlignment="0" applyProtection="0"/>
    <xf numFmtId="0" fontId="122" fillId="0" borderId="0"/>
    <xf numFmtId="0" fontId="129" fillId="0" borderId="0"/>
    <xf numFmtId="0" fontId="128" fillId="0" borderId="0"/>
    <xf numFmtId="0" fontId="128" fillId="0" borderId="0"/>
    <xf numFmtId="0" fontId="130" fillId="0" borderId="0"/>
    <xf numFmtId="0" fontId="1" fillId="0" borderId="0"/>
    <xf numFmtId="0" fontId="46" fillId="0" borderId="0"/>
    <xf numFmtId="0" fontId="1" fillId="0" borderId="0"/>
    <xf numFmtId="0" fontId="46" fillId="0" borderId="0"/>
    <xf numFmtId="0" fontId="1" fillId="0" borderId="0"/>
    <xf numFmtId="40" fontId="123" fillId="9" borderId="0">
      <alignment horizontal="right"/>
    </xf>
    <xf numFmtId="0" fontId="124" fillId="9" borderId="0">
      <alignment horizontal="right"/>
    </xf>
    <xf numFmtId="0" fontId="125" fillId="9" borderId="339"/>
    <xf numFmtId="0" fontId="125" fillId="0" borderId="0" applyBorder="0">
      <alignment horizontal="centerContinuous"/>
    </xf>
    <xf numFmtId="0" fontId="126" fillId="0" borderId="0" applyBorder="0">
      <alignment horizontal="centerContinuous"/>
    </xf>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6"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6" fillId="0" borderId="0" applyFont="0" applyFill="0" applyBorder="0" applyAlignment="0" applyProtection="0"/>
    <xf numFmtId="9" fontId="120"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cellStyleXfs>
  <cellXfs count="3862">
    <xf numFmtId="0" fontId="0" fillId="0" borderId="0" xfId="0"/>
    <xf numFmtId="0" fontId="4" fillId="2" borderId="0" xfId="3" applyNumberFormat="1" applyAlignment="1"/>
    <xf numFmtId="0" fontId="5" fillId="0" borderId="0" xfId="0" applyFont="1" applyFill="1" applyProtection="1"/>
    <xf numFmtId="0" fontId="6" fillId="0" borderId="0" xfId="0" applyFont="1" applyFill="1" applyProtection="1"/>
    <xf numFmtId="0" fontId="8" fillId="0" borderId="0" xfId="0" applyFont="1" applyFill="1" applyProtection="1"/>
    <xf numFmtId="0" fontId="14"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17" fillId="0" borderId="0" xfId="0" applyFont="1" applyAlignment="1" applyProtection="1">
      <alignment horizontal="left" vertical="center"/>
    </xf>
    <xf numFmtId="0" fontId="0" fillId="0" borderId="0" xfId="0" applyAlignment="1" applyProtection="1">
      <alignment vertical="center"/>
    </xf>
    <xf numFmtId="0" fontId="18" fillId="3" borderId="2" xfId="4" applyFont="1" applyBorder="1" applyAlignment="1" applyProtection="1">
      <alignment vertical="center"/>
    </xf>
    <xf numFmtId="0" fontId="7" fillId="3" borderId="3" xfId="4" applyFont="1" applyBorder="1" applyAlignment="1" applyProtection="1">
      <alignment horizontal="center" wrapText="1"/>
    </xf>
    <xf numFmtId="0" fontId="7" fillId="3" borderId="3" xfId="4" applyFont="1" applyBorder="1" applyAlignment="1" applyProtection="1">
      <alignment horizontal="center" vertical="center" wrapText="1"/>
    </xf>
    <xf numFmtId="0" fontId="7" fillId="3" borderId="4" xfId="4" applyFont="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20" fillId="0" borderId="0" xfId="0" applyFont="1" applyAlignment="1" applyProtection="1">
      <alignment vertical="center"/>
    </xf>
    <xf numFmtId="0" fontId="19" fillId="5" borderId="9" xfId="0" applyFont="1" applyFill="1" applyBorder="1" applyAlignment="1" applyProtection="1">
      <alignment horizontal="center" vertical="center" wrapText="1"/>
    </xf>
    <xf numFmtId="0" fontId="19" fillId="5" borderId="12"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20" fillId="0" borderId="0" xfId="0" applyFont="1" applyBorder="1" applyAlignment="1" applyProtection="1">
      <alignment vertical="center"/>
    </xf>
    <xf numFmtId="0" fontId="0" fillId="0" borderId="0" xfId="0" applyAlignment="1" applyProtection="1">
      <alignment vertical="center" wrapText="1"/>
    </xf>
    <xf numFmtId="0" fontId="18" fillId="3" borderId="2" xfId="4" applyFont="1" applyBorder="1" applyAlignment="1" applyProtection="1">
      <alignment vertical="center" wrapText="1"/>
    </xf>
    <xf numFmtId="0" fontId="20" fillId="0" borderId="0" xfId="0" applyFont="1" applyProtection="1"/>
    <xf numFmtId="0" fontId="22" fillId="8" borderId="25" xfId="7" applyFont="1" applyBorder="1" applyAlignment="1" applyProtection="1">
      <alignment horizontal="center" vertical="center"/>
    </xf>
    <xf numFmtId="0" fontId="23" fillId="4" borderId="9" xfId="9" applyFont="1" applyFill="1" applyBorder="1" applyProtection="1">
      <protection locked="0"/>
    </xf>
    <xf numFmtId="0" fontId="0" fillId="0" borderId="0" xfId="0" applyAlignment="1">
      <alignment vertical="center"/>
    </xf>
    <xf numFmtId="0" fontId="7" fillId="3" borderId="4" xfId="9" applyFont="1" applyFill="1" applyBorder="1" applyAlignment="1" applyProtection="1">
      <alignment vertical="center"/>
    </xf>
    <xf numFmtId="0" fontId="16" fillId="0" borderId="3" xfId="9" applyFont="1" applyFill="1" applyBorder="1" applyAlignment="1" applyProtection="1">
      <alignment vertical="center"/>
    </xf>
    <xf numFmtId="0" fontId="16" fillId="0" borderId="6" xfId="9" applyFont="1" applyFill="1" applyBorder="1" applyAlignment="1" applyProtection="1">
      <alignment vertical="center"/>
    </xf>
    <xf numFmtId="0" fontId="16" fillId="0" borderId="9" xfId="9" applyFont="1" applyFill="1" applyBorder="1" applyAlignment="1" applyProtection="1">
      <alignment vertical="center"/>
    </xf>
    <xf numFmtId="0" fontId="16" fillId="0" borderId="12" xfId="9" applyFont="1" applyFill="1" applyBorder="1" applyAlignment="1" applyProtection="1">
      <alignment vertical="center"/>
    </xf>
    <xf numFmtId="0" fontId="16" fillId="0" borderId="7" xfId="9" applyFont="1" applyFill="1" applyBorder="1" applyAlignment="1" applyProtection="1">
      <alignment vertical="center"/>
    </xf>
    <xf numFmtId="0" fontId="16" fillId="0" borderId="10" xfId="9" applyFont="1" applyFill="1" applyBorder="1" applyAlignment="1" applyProtection="1">
      <alignment vertical="center"/>
    </xf>
    <xf numFmtId="0" fontId="24"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3" fillId="4" borderId="5" xfId="9" applyNumberFormat="1" applyFont="1" applyFill="1" applyBorder="1" applyProtection="1">
      <protection locked="0"/>
    </xf>
    <xf numFmtId="165" fontId="23" fillId="4" borderId="6" xfId="9" applyNumberFormat="1" applyFont="1" applyFill="1" applyBorder="1" applyProtection="1">
      <protection locked="0"/>
    </xf>
    <xf numFmtId="165" fontId="23" fillId="4" borderId="7" xfId="9" applyNumberFormat="1" applyFont="1" applyFill="1" applyBorder="1" applyProtection="1">
      <protection locked="0"/>
    </xf>
    <xf numFmtId="165" fontId="23" fillId="4" borderId="54" xfId="9" applyNumberFormat="1" applyFont="1" applyFill="1" applyBorder="1" applyProtection="1">
      <protection locked="0"/>
    </xf>
    <xf numFmtId="165" fontId="23" fillId="4" borderId="8" xfId="9" applyNumberFormat="1" applyFont="1" applyFill="1" applyBorder="1" applyProtection="1">
      <protection locked="0"/>
    </xf>
    <xf numFmtId="165" fontId="23" fillId="4" borderId="9" xfId="9" applyNumberFormat="1" applyFont="1" applyFill="1" applyBorder="1" applyProtection="1">
      <protection locked="0"/>
    </xf>
    <xf numFmtId="165" fontId="23" fillId="4" borderId="10" xfId="9" applyNumberFormat="1" applyFont="1" applyFill="1" applyBorder="1" applyProtection="1">
      <protection locked="0"/>
    </xf>
    <xf numFmtId="165" fontId="23" fillId="4" borderId="56" xfId="9" applyNumberFormat="1" applyFont="1" applyFill="1" applyBorder="1" applyProtection="1">
      <protection locked="0"/>
    </xf>
    <xf numFmtId="165" fontId="23" fillId="4" borderId="31" xfId="9" applyNumberFormat="1" applyFont="1" applyFill="1" applyBorder="1" applyProtection="1">
      <protection locked="0"/>
    </xf>
    <xf numFmtId="165" fontId="23" fillId="4" borderId="32" xfId="9" applyNumberFormat="1" applyFont="1" applyFill="1" applyBorder="1" applyProtection="1">
      <protection locked="0"/>
    </xf>
    <xf numFmtId="165" fontId="23" fillId="4" borderId="28" xfId="9" applyNumberFormat="1" applyFont="1" applyFill="1" applyBorder="1" applyProtection="1">
      <protection locked="0"/>
    </xf>
    <xf numFmtId="165" fontId="23" fillId="4" borderId="29" xfId="9" applyNumberFormat="1" applyFont="1" applyFill="1" applyBorder="1" applyProtection="1">
      <protection locked="0"/>
    </xf>
    <xf numFmtId="165" fontId="23" fillId="4" borderId="11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39" fillId="11" borderId="0" xfId="0" applyNumberFormat="1" applyFont="1" applyFill="1" applyBorder="1" applyAlignment="1">
      <alignment horizontal="left" vertical="top" wrapText="1"/>
    </xf>
    <xf numFmtId="0" fontId="39" fillId="11" borderId="0" xfId="0" applyFont="1" applyFill="1" applyBorder="1" applyAlignment="1">
      <alignment horizontal="left" vertical="top" wrapText="1"/>
    </xf>
    <xf numFmtId="0" fontId="9" fillId="0" borderId="0" xfId="0" applyFont="1" applyBorder="1"/>
    <xf numFmtId="0" fontId="39" fillId="0" borderId="0" xfId="0" applyFont="1" applyBorder="1"/>
    <xf numFmtId="0" fontId="9" fillId="0" borderId="0" xfId="0" applyNumberFormat="1" applyFont="1" applyBorder="1" applyAlignment="1">
      <alignment horizontal="left" vertical="top" wrapText="1"/>
    </xf>
    <xf numFmtId="0" fontId="9" fillId="0" borderId="0" xfId="0" applyFont="1" applyBorder="1" applyAlignment="1">
      <alignment horizontal="left" vertical="top" wrapText="1"/>
    </xf>
    <xf numFmtId="0" fontId="9" fillId="0" borderId="0" xfId="0" quotePrefix="1" applyFont="1" applyBorder="1" applyAlignment="1">
      <alignment horizontal="left" vertical="top" wrapText="1"/>
    </xf>
    <xf numFmtId="0" fontId="16" fillId="0" borderId="0" xfId="0" applyFont="1" applyBorder="1" applyAlignment="1">
      <alignment horizontal="left" vertical="top" wrapText="1"/>
    </xf>
    <xf numFmtId="0" fontId="3" fillId="0" borderId="0" xfId="0" applyFont="1"/>
    <xf numFmtId="0" fontId="40" fillId="12" borderId="111" xfId="0" applyFont="1" applyFill="1" applyBorder="1" applyAlignment="1">
      <alignment vertical="center" wrapText="1"/>
    </xf>
    <xf numFmtId="0" fontId="41" fillId="13" borderId="112" xfId="0" applyFont="1" applyFill="1" applyBorder="1" applyAlignment="1">
      <alignment vertical="center" wrapText="1"/>
    </xf>
    <xf numFmtId="0" fontId="42" fillId="0" borderId="0" xfId="0" applyFont="1" applyAlignment="1">
      <alignment vertical="center"/>
    </xf>
    <xf numFmtId="0" fontId="41" fillId="0" borderId="0" xfId="0" applyFont="1" applyFill="1" applyBorder="1" applyAlignment="1">
      <alignment vertical="center"/>
    </xf>
    <xf numFmtId="0" fontId="43" fillId="0" borderId="0" xfId="0" applyFont="1" applyAlignment="1">
      <alignment vertical="center"/>
    </xf>
    <xf numFmtId="0" fontId="22" fillId="8" borderId="25" xfId="7" applyFont="1" applyBorder="1" applyAlignment="1" applyProtection="1">
      <alignment horizontal="center" vertical="center" wrapText="1"/>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1"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6" fillId="0" borderId="0" xfId="0" applyFont="1" applyAlignment="1" applyProtection="1">
      <alignment vertical="center"/>
    </xf>
    <xf numFmtId="0" fontId="9" fillId="0" borderId="0" xfId="6" applyFont="1" applyAlignment="1" applyProtection="1">
      <alignment vertical="center"/>
    </xf>
    <xf numFmtId="0" fontId="16" fillId="0" borderId="0" xfId="9" applyFont="1" applyFill="1" applyAlignment="1" applyProtection="1">
      <alignment vertical="center"/>
    </xf>
    <xf numFmtId="0" fontId="16" fillId="9" borderId="0" xfId="9" applyFill="1" applyAlignment="1" applyProtection="1">
      <alignment vertical="center"/>
    </xf>
    <xf numFmtId="0" fontId="20" fillId="6" borderId="0" xfId="6" applyFont="1" applyFill="1" applyAlignment="1" applyProtection="1">
      <alignment horizontal="left" vertical="center"/>
    </xf>
    <xf numFmtId="0" fontId="1" fillId="6" borderId="0" xfId="6" applyFill="1" applyAlignment="1" applyProtection="1">
      <alignment vertical="center"/>
    </xf>
    <xf numFmtId="0" fontId="20" fillId="6" borderId="0" xfId="6"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2"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20" fillId="0" borderId="0" xfId="6" applyFont="1" applyAlignment="1" applyProtection="1">
      <alignment vertical="center"/>
    </xf>
    <xf numFmtId="0" fontId="7"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7" fillId="3" borderId="33" xfId="6" applyFont="1" applyFill="1" applyBorder="1" applyAlignment="1" applyProtection="1">
      <alignment horizontal="center" vertical="center"/>
    </xf>
    <xf numFmtId="0" fontId="7" fillId="3" borderId="4" xfId="6" applyFont="1" applyFill="1" applyBorder="1" applyAlignment="1" applyProtection="1">
      <alignment vertical="center"/>
    </xf>
    <xf numFmtId="0" fontId="3" fillId="0" borderId="0" xfId="0" applyFont="1" applyFill="1" applyProtection="1"/>
    <xf numFmtId="0" fontId="22" fillId="0" borderId="0" xfId="6" applyFont="1" applyAlignment="1" applyProtection="1">
      <alignment vertical="center"/>
    </xf>
    <xf numFmtId="0" fontId="20" fillId="0" borderId="5" xfId="6" applyFont="1" applyBorder="1" applyAlignment="1" applyProtection="1">
      <alignment horizontal="center" vertical="center"/>
    </xf>
    <xf numFmtId="0" fontId="9" fillId="0" borderId="9" xfId="6" applyFont="1" applyBorder="1" applyAlignment="1" applyProtection="1">
      <alignment vertical="center"/>
    </xf>
    <xf numFmtId="0" fontId="22" fillId="0" borderId="6" xfId="6" applyFont="1" applyBorder="1" applyAlignment="1" applyProtection="1">
      <alignment horizontal="center" vertical="center"/>
    </xf>
    <xf numFmtId="0" fontId="22" fillId="0" borderId="7" xfId="6" applyFont="1" applyBorder="1" applyAlignment="1" applyProtection="1">
      <alignment horizontal="center" vertical="center"/>
    </xf>
    <xf numFmtId="165" fontId="23" fillId="7" borderId="5" xfId="9" applyNumberFormat="1" applyFont="1" applyFill="1" applyBorder="1" applyProtection="1"/>
    <xf numFmtId="0" fontId="22" fillId="0" borderId="5" xfId="6" applyFont="1" applyBorder="1" applyAlignment="1" applyProtection="1">
      <alignment horizontal="center" vertical="center"/>
    </xf>
    <xf numFmtId="1" fontId="16" fillId="0" borderId="0" xfId="9" applyNumberFormat="1" applyFont="1" applyFill="1" applyBorder="1" applyProtection="1"/>
    <xf numFmtId="0" fontId="20" fillId="6" borderId="0" xfId="6" applyFont="1" applyFill="1" applyAlignment="1" applyProtection="1">
      <alignment horizontal="center" vertical="center"/>
    </xf>
    <xf numFmtId="0" fontId="20" fillId="0" borderId="8" xfId="6" applyFont="1" applyBorder="1" applyAlignment="1" applyProtection="1">
      <alignment horizontal="center" vertical="center"/>
    </xf>
    <xf numFmtId="0" fontId="22" fillId="0" borderId="9" xfId="6" applyFont="1" applyBorder="1" applyAlignment="1" applyProtection="1">
      <alignment horizontal="center" vertical="center"/>
    </xf>
    <xf numFmtId="0" fontId="22" fillId="0" borderId="10" xfId="6" applyFont="1" applyBorder="1" applyAlignment="1" applyProtection="1">
      <alignment horizontal="center" vertical="center"/>
    </xf>
    <xf numFmtId="165" fontId="23" fillId="7" borderId="8" xfId="9" applyNumberFormat="1" applyFont="1" applyFill="1" applyBorder="1" applyProtection="1"/>
    <xf numFmtId="0" fontId="22" fillId="0" borderId="8" xfId="6" applyFont="1" applyBorder="1" applyAlignment="1" applyProtection="1">
      <alignment horizontal="center" vertical="center"/>
    </xf>
    <xf numFmtId="0" fontId="22" fillId="0" borderId="11" xfId="6" applyFont="1" applyBorder="1" applyAlignment="1" applyProtection="1">
      <alignment horizontal="center" vertical="center"/>
    </xf>
    <xf numFmtId="0" fontId="22" fillId="0" borderId="13" xfId="6" applyFont="1" applyBorder="1" applyAlignment="1" applyProtection="1">
      <alignment horizontal="center" vertical="center"/>
    </xf>
    <xf numFmtId="0" fontId="20" fillId="0" borderId="11" xfId="6" applyFont="1" applyBorder="1" applyAlignment="1" applyProtection="1">
      <alignment horizontal="center" vertical="center"/>
    </xf>
    <xf numFmtId="0" fontId="9" fillId="0" borderId="12" xfId="6" applyFont="1" applyBorder="1" applyAlignment="1" applyProtection="1">
      <alignment vertical="center"/>
    </xf>
    <xf numFmtId="0" fontId="22" fillId="0" borderId="12" xfId="6" applyFont="1" applyBorder="1" applyAlignment="1" applyProtection="1">
      <alignment horizontal="center" vertical="center"/>
    </xf>
    <xf numFmtId="165" fontId="23" fillId="7" borderId="11" xfId="9" applyNumberFormat="1" applyFont="1" applyFill="1" applyBorder="1" applyProtection="1"/>
    <xf numFmtId="165" fontId="23" fillId="7" borderId="12" xfId="9" applyNumberFormat="1" applyFont="1" applyFill="1" applyBorder="1" applyProtection="1"/>
    <xf numFmtId="165" fontId="23" fillId="7" borderId="13" xfId="9" applyNumberFormat="1" applyFont="1" applyFill="1" applyBorder="1" applyProtection="1"/>
    <xf numFmtId="165" fontId="23"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7" fillId="3" borderId="55" xfId="6" applyFont="1" applyFill="1" applyBorder="1" applyAlignment="1" applyProtection="1">
      <alignment horizontal="center" vertical="center"/>
    </xf>
    <xf numFmtId="0" fontId="7" fillId="3" borderId="16" xfId="6" applyFont="1" applyFill="1" applyBorder="1" applyAlignment="1" applyProtection="1">
      <alignment vertical="center"/>
    </xf>
    <xf numFmtId="0" fontId="22" fillId="0" borderId="0" xfId="6" applyFont="1" applyBorder="1" applyAlignment="1" applyProtection="1">
      <alignment horizontal="center" vertical="center"/>
    </xf>
    <xf numFmtId="165" fontId="0" fillId="0" borderId="0" xfId="0" applyNumberFormat="1" applyBorder="1" applyProtection="1"/>
    <xf numFmtId="0" fontId="9" fillId="0" borderId="6" xfId="6" applyFont="1" applyBorder="1" applyAlignment="1" applyProtection="1">
      <alignment vertical="center"/>
    </xf>
    <xf numFmtId="0" fontId="22" fillId="0" borderId="0" xfId="8" applyFont="1" applyAlignment="1" applyProtection="1">
      <alignment horizontal="center" vertical="center"/>
    </xf>
    <xf numFmtId="0" fontId="20" fillId="3" borderId="0" xfId="8" applyFont="1" applyFill="1" applyAlignment="1" applyProtection="1">
      <alignment horizontal="center" vertical="center"/>
    </xf>
    <xf numFmtId="0" fontId="1" fillId="0" borderId="0" xfId="8" applyAlignment="1" applyProtection="1">
      <alignment horizontal="center" vertical="center"/>
    </xf>
    <xf numFmtId="0" fontId="20" fillId="0" borderId="0" xfId="6" applyFont="1" applyBorder="1" applyAlignment="1" applyProtection="1">
      <alignment horizontal="center" vertical="center"/>
    </xf>
    <xf numFmtId="0" fontId="9" fillId="0" borderId="0" xfId="6" applyFont="1" applyBorder="1" applyAlignment="1" applyProtection="1">
      <alignment vertical="center"/>
    </xf>
    <xf numFmtId="2" fontId="0" fillId="0" borderId="0" xfId="0" applyNumberFormat="1" applyBorder="1" applyProtection="1"/>
    <xf numFmtId="0" fontId="22" fillId="3" borderId="0" xfId="8" applyFont="1" applyFill="1" applyAlignment="1" applyProtection="1">
      <alignment horizontal="center" vertical="center"/>
    </xf>
    <xf numFmtId="165" fontId="23" fillId="7" borderId="35" xfId="9" applyNumberFormat="1" applyFont="1" applyFill="1" applyBorder="1" applyProtection="1"/>
    <xf numFmtId="0" fontId="20" fillId="0" borderId="0" xfId="8" applyFont="1" applyAlignment="1" applyProtection="1">
      <alignment horizontal="center" vertical="center"/>
    </xf>
    <xf numFmtId="0" fontId="20" fillId="0" borderId="0" xfId="6" applyFont="1" applyFill="1" applyAlignment="1" applyProtection="1">
      <alignment horizontal="center" vertical="center"/>
    </xf>
    <xf numFmtId="165" fontId="23" fillId="7" borderId="27" xfId="9" applyNumberFormat="1" applyFont="1" applyFill="1" applyBorder="1" applyProtection="1"/>
    <xf numFmtId="165" fontId="0" fillId="0" borderId="0" xfId="0" applyNumberFormat="1" applyFont="1" applyFill="1" applyBorder="1" applyProtection="1"/>
    <xf numFmtId="0" fontId="9" fillId="0" borderId="0" xfId="8" applyFont="1" applyAlignment="1" applyProtection="1">
      <alignment horizontal="center" vertical="center"/>
    </xf>
    <xf numFmtId="0" fontId="20" fillId="0" borderId="2" xfId="6" applyFont="1" applyBorder="1" applyAlignment="1" applyProtection="1">
      <alignment horizontal="center" vertical="center"/>
    </xf>
    <xf numFmtId="0" fontId="9" fillId="0" borderId="3" xfId="6" applyFont="1" applyBorder="1" applyAlignment="1" applyProtection="1">
      <alignment vertical="center"/>
    </xf>
    <xf numFmtId="0" fontId="22" fillId="0" borderId="3" xfId="6" applyFont="1" applyBorder="1" applyAlignment="1" applyProtection="1">
      <alignment horizontal="center" vertical="center"/>
    </xf>
    <xf numFmtId="0" fontId="22" fillId="0" borderId="4" xfId="6" applyFont="1" applyBorder="1" applyAlignment="1" applyProtection="1">
      <alignment horizontal="center" vertical="center"/>
    </xf>
    <xf numFmtId="165" fontId="23" fillId="7" borderId="2" xfId="9" applyNumberFormat="1" applyFont="1" applyFill="1" applyBorder="1" applyProtection="1"/>
    <xf numFmtId="165" fontId="23" fillId="7" borderId="3" xfId="9" applyNumberFormat="1" applyFont="1" applyFill="1" applyBorder="1" applyProtection="1"/>
    <xf numFmtId="165" fontId="23" fillId="7" borderId="4" xfId="9" applyNumberFormat="1" applyFont="1" applyFill="1" applyBorder="1" applyProtection="1"/>
    <xf numFmtId="165" fontId="23" fillId="7" borderId="1" xfId="9" applyNumberFormat="1" applyFont="1" applyFill="1" applyBorder="1" applyProtection="1"/>
    <xf numFmtId="0" fontId="20" fillId="0" borderId="0" xfId="0" applyFont="1" applyFill="1" applyBorder="1" applyProtection="1"/>
    <xf numFmtId="0" fontId="0" fillId="0" borderId="0" xfId="0" applyBorder="1" applyProtection="1"/>
    <xf numFmtId="0" fontId="23" fillId="0" borderId="0" xfId="9" applyFont="1" applyFill="1" applyAlignment="1" applyProtection="1">
      <alignment vertical="center"/>
    </xf>
    <xf numFmtId="0" fontId="23" fillId="0" borderId="0" xfId="9" applyFont="1" applyFill="1" applyAlignment="1" applyProtection="1">
      <alignment horizontal="left" vertical="center"/>
    </xf>
    <xf numFmtId="0" fontId="23" fillId="0" borderId="0" xfId="9" applyFont="1" applyFill="1" applyAlignment="1" applyProtection="1">
      <alignment horizontal="left"/>
    </xf>
    <xf numFmtId="0" fontId="23" fillId="7" borderId="9" xfId="9" applyFont="1" applyFill="1" applyBorder="1" applyProtection="1"/>
    <xf numFmtId="0" fontId="23" fillId="0" borderId="0" xfId="9" applyFont="1" applyFill="1" applyBorder="1" applyProtection="1"/>
    <xf numFmtId="0" fontId="24" fillId="3" borderId="33" xfId="9" applyFont="1" applyFill="1" applyBorder="1" applyAlignment="1" applyProtection="1">
      <alignment vertical="center"/>
    </xf>
    <xf numFmtId="0" fontId="25" fillId="3" borderId="34" xfId="9" applyFont="1" applyFill="1" applyBorder="1" applyAlignment="1" applyProtection="1">
      <alignment horizontal="left" vertical="center"/>
    </xf>
    <xf numFmtId="0" fontId="25" fillId="3" borderId="34" xfId="9" applyFont="1" applyFill="1" applyBorder="1" applyAlignment="1" applyProtection="1">
      <alignment vertical="center"/>
    </xf>
    <xf numFmtId="0" fontId="26" fillId="3" borderId="35" xfId="9" applyFont="1" applyFill="1" applyBorder="1" applyAlignment="1" applyProtection="1">
      <alignment vertical="center"/>
    </xf>
    <xf numFmtId="0" fontId="16" fillId="0" borderId="0" xfId="9" applyFont="1" applyFill="1" applyBorder="1" applyProtection="1"/>
    <xf numFmtId="0" fontId="16" fillId="0" borderId="0" xfId="9" applyFont="1" applyFill="1" applyAlignment="1" applyProtection="1">
      <alignment horizontal="left"/>
    </xf>
    <xf numFmtId="0" fontId="1" fillId="0" borderId="0" xfId="8" applyAlignment="1" applyProtection="1">
      <alignment horizontal="left" vertical="center"/>
    </xf>
    <xf numFmtId="0" fontId="38" fillId="0" borderId="0" xfId="8" applyFont="1" applyAlignment="1" applyProtection="1">
      <alignment vertical="center"/>
    </xf>
    <xf numFmtId="0" fontId="26" fillId="3" borderId="35" xfId="9" applyFont="1" applyFill="1" applyBorder="1" applyAlignment="1" applyProtection="1">
      <alignment horizontal="right" vertical="center"/>
    </xf>
    <xf numFmtId="0" fontId="16" fillId="0" borderId="0" xfId="9" applyFont="1" applyFill="1" applyAlignment="1" applyProtection="1">
      <alignment horizontal="left" vertical="center"/>
    </xf>
    <xf numFmtId="0" fontId="12" fillId="0" borderId="2" xfId="9" applyFont="1" applyFill="1" applyBorder="1" applyAlignment="1" applyProtection="1">
      <alignment horizontal="center" vertical="top"/>
    </xf>
    <xf numFmtId="0" fontId="12" fillId="0" borderId="60" xfId="9" applyFont="1" applyFill="1" applyBorder="1" applyAlignment="1" applyProtection="1">
      <alignment vertical="top"/>
    </xf>
    <xf numFmtId="0" fontId="12" fillId="0" borderId="34" xfId="9" applyFont="1" applyFill="1" applyBorder="1" applyAlignment="1" applyProtection="1">
      <alignment vertical="top"/>
    </xf>
    <xf numFmtId="0" fontId="22" fillId="0" borderId="35" xfId="8" applyFont="1" applyBorder="1" applyAlignment="1" applyProtection="1">
      <alignment horizontal="center" vertical="center"/>
    </xf>
    <xf numFmtId="0" fontId="28" fillId="0" borderId="0" xfId="6" applyFont="1" applyAlignment="1" applyProtection="1">
      <alignment horizontal="center" vertical="center"/>
    </xf>
    <xf numFmtId="0" fontId="23" fillId="0" borderId="8" xfId="9" applyFont="1" applyFill="1" applyBorder="1" applyAlignment="1" applyProtection="1">
      <alignment horizontal="center" vertical="top"/>
    </xf>
    <xf numFmtId="0" fontId="23" fillId="0" borderId="11" xfId="0" applyFont="1" applyBorder="1" applyAlignment="1" applyProtection="1">
      <alignment horizontal="center" vertical="top"/>
    </xf>
    <xf numFmtId="0" fontId="28" fillId="0" borderId="0" xfId="6" applyFont="1" applyAlignment="1" applyProtection="1">
      <alignment horizontal="center" vertical="center" wrapText="1"/>
    </xf>
    <xf numFmtId="0" fontId="16" fillId="0" borderId="0" xfId="9" applyFill="1" applyAlignment="1" applyProtection="1">
      <alignment vertical="center"/>
    </xf>
    <xf numFmtId="0" fontId="20" fillId="0" borderId="0" xfId="8" applyFont="1" applyAlignment="1" applyProtection="1">
      <alignment vertical="center"/>
    </xf>
    <xf numFmtId="0" fontId="22" fillId="0" borderId="0" xfId="6" applyFont="1" applyFill="1" applyAlignment="1" applyProtection="1">
      <alignment vertical="center"/>
    </xf>
    <xf numFmtId="165" fontId="20" fillId="0" borderId="0" xfId="6" applyNumberFormat="1" applyFont="1" applyAlignment="1" applyProtection="1">
      <alignment vertical="center"/>
    </xf>
    <xf numFmtId="0" fontId="16" fillId="0" borderId="0" xfId="9" applyFont="1" applyFill="1" applyAlignment="1" applyProtection="1">
      <alignment vertical="center" wrapText="1"/>
    </xf>
    <xf numFmtId="0" fontId="22" fillId="0" borderId="47" xfId="6" applyFont="1" applyBorder="1" applyAlignment="1" applyProtection="1">
      <alignment horizontal="center" vertical="center"/>
    </xf>
    <xf numFmtId="0" fontId="22" fillId="0" borderId="50" xfId="6" applyFont="1" applyBorder="1" applyAlignment="1" applyProtection="1">
      <alignment horizontal="center" vertical="center"/>
    </xf>
    <xf numFmtId="0" fontId="0" fillId="0" borderId="0" xfId="6" applyFont="1" applyAlignment="1" applyProtection="1">
      <alignment vertical="center"/>
    </xf>
    <xf numFmtId="0" fontId="20" fillId="0" borderId="46" xfId="6" applyFont="1" applyBorder="1" applyAlignment="1" applyProtection="1">
      <alignment horizontal="center" vertical="center"/>
    </xf>
    <xf numFmtId="0" fontId="9" fillId="0" borderId="47" xfId="6" applyFont="1" applyBorder="1" applyAlignment="1" applyProtection="1">
      <alignment vertical="center"/>
    </xf>
    <xf numFmtId="0" fontId="9" fillId="0" borderId="47" xfId="6" applyFont="1" applyBorder="1" applyAlignment="1" applyProtection="1">
      <alignment vertical="center" wrapText="1"/>
    </xf>
    <xf numFmtId="0" fontId="9" fillId="0" borderId="9" xfId="6" applyFont="1" applyBorder="1" applyAlignment="1" applyProtection="1">
      <alignment vertical="center" wrapText="1"/>
    </xf>
    <xf numFmtId="0" fontId="20" fillId="0" borderId="19" xfId="6" applyFont="1" applyBorder="1" applyAlignment="1" applyProtection="1">
      <alignment horizontal="center" vertical="center"/>
    </xf>
    <xf numFmtId="0" fontId="22" fillId="0" borderId="20" xfId="6" applyFont="1" applyBorder="1" applyAlignment="1" applyProtection="1">
      <alignment horizontal="center" vertical="center"/>
    </xf>
    <xf numFmtId="0" fontId="22" fillId="0" borderId="21" xfId="6" applyFont="1" applyBorder="1" applyAlignment="1" applyProtection="1">
      <alignment horizontal="center" vertical="center"/>
    </xf>
    <xf numFmtId="0" fontId="16" fillId="0" borderId="0" xfId="9" applyFont="1" applyFill="1" applyProtection="1"/>
    <xf numFmtId="0" fontId="9" fillId="0" borderId="0" xfId="8" applyFont="1" applyAlignment="1" applyProtection="1">
      <alignment vertical="center"/>
    </xf>
    <xf numFmtId="0" fontId="9" fillId="0" borderId="0" xfId="8" applyFont="1" applyAlignment="1" applyProtection="1">
      <alignment horizontal="left" vertical="center"/>
    </xf>
    <xf numFmtId="0" fontId="28" fillId="0" borderId="0" xfId="6" applyFont="1" applyAlignment="1" applyProtection="1">
      <alignment horizontal="center" vertical="top"/>
    </xf>
    <xf numFmtId="0" fontId="23" fillId="0" borderId="5" xfId="9" applyFont="1" applyFill="1" applyBorder="1" applyAlignment="1" applyProtection="1">
      <alignment horizontal="center" vertical="top"/>
    </xf>
    <xf numFmtId="0" fontId="28" fillId="0" borderId="0" xfId="6" applyFont="1" applyAlignment="1" applyProtection="1">
      <alignment horizontal="center" vertical="top" wrapText="1"/>
    </xf>
    <xf numFmtId="0" fontId="23" fillId="0" borderId="11" xfId="9" applyFont="1" applyFill="1" applyBorder="1" applyAlignment="1" applyProtection="1">
      <alignment horizontal="center" vertical="top"/>
    </xf>
    <xf numFmtId="0" fontId="7" fillId="3" borderId="3" xfId="6" applyFont="1" applyFill="1" applyBorder="1" applyAlignment="1" applyProtection="1">
      <alignment horizontal="center" vertical="center"/>
    </xf>
    <xf numFmtId="0" fontId="7" fillId="3" borderId="4" xfId="6" applyFont="1" applyFill="1" applyBorder="1" applyAlignment="1" applyProtection="1">
      <alignment horizontal="center" vertical="center"/>
    </xf>
    <xf numFmtId="0" fontId="7" fillId="3" borderId="2" xfId="6" applyFont="1" applyFill="1" applyBorder="1" applyAlignment="1" applyProtection="1">
      <alignment horizontal="center" vertical="center" wrapText="1"/>
    </xf>
    <xf numFmtId="0" fontId="7" fillId="3" borderId="4" xfId="6" applyFont="1" applyFill="1" applyBorder="1" applyAlignment="1" applyProtection="1">
      <alignment horizontal="center" vertical="center" wrapText="1"/>
    </xf>
    <xf numFmtId="0" fontId="7" fillId="3" borderId="1" xfId="6" applyFont="1" applyFill="1" applyBorder="1" applyAlignment="1" applyProtection="1">
      <alignment horizontal="center" vertical="center" wrapText="1"/>
    </xf>
    <xf numFmtId="165" fontId="20" fillId="7" borderId="5" xfId="6" applyNumberFormat="1" applyFont="1" applyFill="1" applyBorder="1" applyAlignment="1" applyProtection="1">
      <alignment vertical="center"/>
    </xf>
    <xf numFmtId="165" fontId="20" fillId="7" borderId="6" xfId="6" applyNumberFormat="1" applyFont="1" applyFill="1" applyBorder="1" applyAlignment="1" applyProtection="1">
      <alignment vertical="center"/>
    </xf>
    <xf numFmtId="165" fontId="20" fillId="7" borderId="7" xfId="6" applyNumberFormat="1" applyFont="1" applyFill="1" applyBorder="1" applyAlignment="1" applyProtection="1">
      <alignment vertical="center"/>
    </xf>
    <xf numFmtId="165" fontId="20"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0" fillId="7" borderId="11" xfId="6" applyNumberFormat="1" applyFont="1" applyFill="1" applyBorder="1" applyAlignment="1" applyProtection="1">
      <alignment vertical="center"/>
    </xf>
    <xf numFmtId="165" fontId="20" fillId="7" borderId="12" xfId="6" applyNumberFormat="1" applyFont="1" applyFill="1" applyBorder="1" applyAlignment="1" applyProtection="1">
      <alignment vertical="center"/>
    </xf>
    <xf numFmtId="165" fontId="20" fillId="7" borderId="13" xfId="6" applyNumberFormat="1" applyFont="1" applyFill="1" applyBorder="1" applyAlignment="1" applyProtection="1">
      <alignment vertical="center"/>
    </xf>
    <xf numFmtId="165" fontId="20" fillId="7" borderId="24" xfId="6" applyNumberFormat="1" applyFont="1" applyFill="1" applyBorder="1" applyAlignment="1" applyProtection="1">
      <alignment vertical="center"/>
    </xf>
    <xf numFmtId="165" fontId="20" fillId="7" borderId="26" xfId="6" applyNumberFormat="1" applyFont="1" applyFill="1" applyBorder="1" applyAlignment="1" applyProtection="1">
      <alignment vertical="center"/>
    </xf>
    <xf numFmtId="165" fontId="20" fillId="7" borderId="27" xfId="6" applyNumberFormat="1" applyFont="1" applyFill="1" applyBorder="1" applyAlignment="1" applyProtection="1">
      <alignment vertical="center"/>
    </xf>
    <xf numFmtId="165" fontId="20" fillId="7" borderId="31" xfId="6" applyNumberFormat="1" applyFont="1" applyFill="1" applyBorder="1" applyAlignment="1" applyProtection="1">
      <alignment vertical="center"/>
    </xf>
    <xf numFmtId="165" fontId="20" fillId="7" borderId="30" xfId="6" applyNumberFormat="1" applyFont="1" applyFill="1" applyBorder="1" applyAlignment="1" applyProtection="1">
      <alignment vertical="center"/>
    </xf>
    <xf numFmtId="0" fontId="20" fillId="0" borderId="25" xfId="8" applyFont="1" applyBorder="1" applyAlignment="1" applyProtection="1">
      <alignment horizontal="center" vertical="center"/>
    </xf>
    <xf numFmtId="0" fontId="28" fillId="0" borderId="0" xfId="6" applyFont="1" applyBorder="1" applyAlignment="1" applyProtection="1">
      <alignment horizontal="center" vertical="center" wrapText="1"/>
    </xf>
    <xf numFmtId="0" fontId="20" fillId="0" borderId="0" xfId="8" applyFont="1" applyProtection="1"/>
    <xf numFmtId="0" fontId="23" fillId="0" borderId="0" xfId="9" applyFont="1" applyFill="1" applyBorder="1" applyAlignment="1" applyProtection="1">
      <alignment horizontal="center" vertical="top"/>
    </xf>
    <xf numFmtId="0" fontId="23" fillId="0" borderId="0" xfId="9" applyFont="1" applyFill="1" applyBorder="1" applyAlignment="1" applyProtection="1">
      <alignment vertical="center" wrapText="1"/>
    </xf>
    <xf numFmtId="0" fontId="28" fillId="0" borderId="0" xfId="8" applyFont="1" applyAlignment="1" applyProtection="1">
      <alignment horizontal="center"/>
    </xf>
    <xf numFmtId="0" fontId="28" fillId="0" borderId="0" xfId="8" applyFont="1" applyAlignment="1" applyProtection="1">
      <alignment horizontal="center" wrapText="1"/>
    </xf>
    <xf numFmtId="0" fontId="1" fillId="0" borderId="89" xfId="6" applyBorder="1" applyAlignment="1" applyProtection="1">
      <alignment vertical="center"/>
    </xf>
    <xf numFmtId="0" fontId="1" fillId="0" borderId="90" xfId="6" applyBorder="1" applyAlignment="1" applyProtection="1">
      <alignment vertical="center"/>
    </xf>
    <xf numFmtId="0" fontId="1" fillId="0" borderId="91" xfId="6" applyBorder="1" applyAlignment="1" applyProtection="1">
      <alignment vertical="center"/>
    </xf>
    <xf numFmtId="0" fontId="7" fillId="3" borderId="70" xfId="6" applyFont="1" applyFill="1" applyBorder="1" applyAlignment="1" applyProtection="1">
      <alignment horizontal="center" vertical="center" wrapText="1"/>
    </xf>
    <xf numFmtId="0" fontId="7" fillId="3" borderId="71" xfId="6" applyFont="1" applyFill="1" applyBorder="1" applyAlignment="1" applyProtection="1">
      <alignment horizontal="center" vertical="center" wrapText="1"/>
    </xf>
    <xf numFmtId="0" fontId="7" fillId="3" borderId="73" xfId="6" applyFont="1" applyFill="1" applyBorder="1" applyAlignment="1" applyProtection="1">
      <alignment horizontal="center" vertical="center" wrapText="1"/>
    </xf>
    <xf numFmtId="0" fontId="7" fillId="3" borderId="72" xfId="6" applyFont="1" applyFill="1" applyBorder="1" applyAlignment="1" applyProtection="1">
      <alignment horizontal="center" vertical="center" wrapText="1"/>
    </xf>
    <xf numFmtId="0" fontId="22" fillId="0" borderId="36" xfId="6" applyFont="1" applyBorder="1" applyAlignment="1" applyProtection="1">
      <alignment horizontal="center" vertical="center"/>
    </xf>
    <xf numFmtId="165" fontId="20" fillId="7" borderId="69" xfId="6" applyNumberFormat="1" applyFont="1" applyFill="1" applyBorder="1" applyAlignment="1" applyProtection="1">
      <alignment vertical="center"/>
    </xf>
    <xf numFmtId="0" fontId="22" fillId="0" borderId="38" xfId="6" applyFont="1" applyBorder="1" applyAlignment="1" applyProtection="1">
      <alignment horizontal="center" vertical="center"/>
    </xf>
    <xf numFmtId="165" fontId="20" fillId="7" borderId="95" xfId="6" applyNumberFormat="1" applyFont="1" applyFill="1" applyBorder="1" applyAlignment="1" applyProtection="1">
      <alignment vertical="center"/>
    </xf>
    <xf numFmtId="0" fontId="9" fillId="0" borderId="44" xfId="6" applyFont="1" applyBorder="1" applyAlignment="1" applyProtection="1">
      <alignment vertical="center"/>
    </xf>
    <xf numFmtId="165" fontId="20" fillId="10" borderId="96" xfId="6" applyNumberFormat="1" applyFont="1" applyFill="1" applyBorder="1" applyAlignment="1" applyProtection="1">
      <alignment vertical="center"/>
    </xf>
    <xf numFmtId="165" fontId="20" fillId="10" borderId="0" xfId="6" applyNumberFormat="1" applyFont="1" applyFill="1" applyBorder="1" applyAlignment="1" applyProtection="1">
      <alignment vertical="center"/>
    </xf>
    <xf numFmtId="165" fontId="20" fillId="7" borderId="97" xfId="6" applyNumberFormat="1" applyFont="1" applyFill="1" applyBorder="1" applyAlignment="1" applyProtection="1">
      <alignment vertical="center"/>
    </xf>
    <xf numFmtId="165" fontId="20" fillId="0" borderId="0" xfId="6" applyNumberFormat="1" applyFont="1" applyFill="1" applyAlignment="1" applyProtection="1">
      <alignment vertical="center"/>
    </xf>
    <xf numFmtId="0" fontId="1" fillId="0" borderId="25" xfId="6" applyBorder="1" applyAlignment="1" applyProtection="1">
      <alignment vertical="center"/>
    </xf>
    <xf numFmtId="0" fontId="22" fillId="0" borderId="40" xfId="6" applyFont="1" applyBorder="1" applyAlignment="1" applyProtection="1">
      <alignment horizontal="center" vertical="center"/>
    </xf>
    <xf numFmtId="165" fontId="20" fillId="7" borderId="75" xfId="6" applyNumberFormat="1" applyFont="1" applyFill="1" applyBorder="1" applyAlignment="1" applyProtection="1">
      <alignment vertical="center"/>
    </xf>
    <xf numFmtId="0" fontId="20" fillId="0" borderId="101" xfId="6" applyFont="1" applyBorder="1" applyAlignment="1" applyProtection="1">
      <alignment horizontal="center" vertical="center"/>
    </xf>
    <xf numFmtId="0" fontId="9" fillId="0" borderId="102" xfId="6" applyFont="1" applyBorder="1" applyAlignment="1" applyProtection="1">
      <alignment vertical="center"/>
    </xf>
    <xf numFmtId="0" fontId="22" fillId="0" borderId="102" xfId="6" applyFont="1" applyBorder="1" applyAlignment="1" applyProtection="1">
      <alignment horizontal="center" vertical="center"/>
    </xf>
    <xf numFmtId="0" fontId="22" fillId="0" borderId="103" xfId="6" applyFont="1" applyBorder="1" applyAlignment="1" applyProtection="1">
      <alignment horizontal="center" vertical="center"/>
    </xf>
    <xf numFmtId="0" fontId="20" fillId="0" borderId="0" xfId="6" applyFont="1" applyFill="1" applyBorder="1" applyAlignment="1" applyProtection="1">
      <alignment vertical="center"/>
    </xf>
    <xf numFmtId="0" fontId="20" fillId="0" borderId="104" xfId="6" applyFont="1" applyBorder="1" applyAlignment="1" applyProtection="1">
      <alignment horizontal="center" vertical="center"/>
    </xf>
    <xf numFmtId="0" fontId="22" fillId="0" borderId="105" xfId="6" applyFont="1" applyBorder="1" applyAlignment="1" applyProtection="1">
      <alignment horizontal="center" vertical="center"/>
    </xf>
    <xf numFmtId="0" fontId="20" fillId="0" borderId="106" xfId="6" applyFont="1" applyBorder="1" applyAlignment="1" applyProtection="1">
      <alignment horizontal="center" vertical="center"/>
    </xf>
    <xf numFmtId="0" fontId="9" fillId="0" borderId="107" xfId="6" applyFont="1" applyBorder="1" applyAlignment="1" applyProtection="1">
      <alignment vertical="center"/>
    </xf>
    <xf numFmtId="0" fontId="22" fillId="0" borderId="107" xfId="6" applyFont="1" applyBorder="1" applyAlignment="1" applyProtection="1">
      <alignment horizontal="center" vertical="center"/>
    </xf>
    <xf numFmtId="0" fontId="22" fillId="0" borderId="108" xfId="6" applyFont="1" applyBorder="1" applyAlignment="1" applyProtection="1">
      <alignment horizontal="center" vertical="center"/>
    </xf>
    <xf numFmtId="165" fontId="20" fillId="0" borderId="0" xfId="6" applyNumberFormat="1" applyFont="1" applyFill="1" applyBorder="1" applyAlignment="1" applyProtection="1">
      <alignment vertical="center"/>
    </xf>
    <xf numFmtId="0" fontId="20" fillId="0" borderId="0" xfId="8" applyFont="1" applyFill="1" applyAlignment="1" applyProtection="1">
      <alignment horizontal="center" vertical="center"/>
    </xf>
    <xf numFmtId="0" fontId="0" fillId="0" borderId="0" xfId="0" applyFill="1" applyBorder="1" applyProtection="1"/>
    <xf numFmtId="165" fontId="20" fillId="7" borderId="32" xfId="6" applyNumberFormat="1" applyFont="1" applyFill="1" applyBorder="1" applyAlignment="1" applyProtection="1">
      <alignment vertical="center"/>
    </xf>
    <xf numFmtId="165" fontId="20" fillId="7" borderId="41" xfId="6" applyNumberFormat="1" applyFont="1" applyFill="1" applyBorder="1" applyAlignment="1" applyProtection="1">
      <alignment vertical="center"/>
    </xf>
    <xf numFmtId="165" fontId="20" fillId="7" borderId="39" xfId="6" applyNumberFormat="1" applyFont="1" applyFill="1" applyBorder="1" applyAlignment="1" applyProtection="1">
      <alignment vertical="center"/>
    </xf>
    <xf numFmtId="165" fontId="20" fillId="7" borderId="9" xfId="6" applyNumberFormat="1" applyFont="1" applyFill="1" applyBorder="1" applyAlignment="1" applyProtection="1">
      <alignment vertical="center"/>
    </xf>
    <xf numFmtId="165" fontId="20" fillId="7" borderId="8" xfId="6" applyNumberFormat="1" applyFont="1" applyFill="1" applyBorder="1" applyAlignment="1" applyProtection="1">
      <alignment vertical="center"/>
    </xf>
    <xf numFmtId="0" fontId="20" fillId="0" borderId="0" xfId="6" applyFont="1" applyBorder="1" applyAlignment="1" applyProtection="1">
      <alignment horizontal="center" vertical="center" wrapText="1"/>
    </xf>
    <xf numFmtId="165" fontId="20" fillId="7" borderId="4" xfId="6" applyNumberFormat="1" applyFont="1" applyFill="1" applyBorder="1" applyAlignment="1" applyProtection="1">
      <alignment vertical="center"/>
    </xf>
    <xf numFmtId="165" fontId="20" fillId="7" borderId="76" xfId="6" applyNumberFormat="1" applyFont="1" applyFill="1" applyBorder="1" applyAlignment="1" applyProtection="1">
      <alignment vertical="center"/>
    </xf>
    <xf numFmtId="165" fontId="20" fillId="7" borderId="77" xfId="6" applyNumberFormat="1" applyFont="1" applyFill="1" applyBorder="1" applyAlignment="1" applyProtection="1">
      <alignment vertical="center"/>
    </xf>
    <xf numFmtId="165" fontId="20" fillId="7" borderId="21" xfId="6" applyNumberFormat="1" applyFont="1" applyFill="1" applyBorder="1" applyAlignment="1" applyProtection="1">
      <alignment vertical="center"/>
    </xf>
    <xf numFmtId="0" fontId="25" fillId="3" borderId="35" xfId="9" applyFont="1" applyFill="1" applyBorder="1" applyAlignment="1" applyProtection="1">
      <alignment vertical="center"/>
    </xf>
    <xf numFmtId="0" fontId="12" fillId="0" borderId="68" xfId="9" applyFont="1" applyFill="1" applyBorder="1" applyAlignment="1" applyProtection="1">
      <alignment horizontal="center" vertical="top"/>
    </xf>
    <xf numFmtId="0" fontId="28" fillId="0" borderId="0" xfId="8" applyFont="1" applyAlignment="1" applyProtection="1">
      <alignment horizontal="center" vertical="center"/>
    </xf>
    <xf numFmtId="0" fontId="20" fillId="0" borderId="0" xfId="6" applyFont="1" applyAlignment="1" applyProtection="1">
      <alignment horizontal="center" vertical="center"/>
    </xf>
    <xf numFmtId="0" fontId="1" fillId="0" borderId="63" xfId="6" applyBorder="1" applyAlignment="1" applyProtection="1">
      <alignment vertical="center"/>
    </xf>
    <xf numFmtId="0" fontId="28" fillId="0" borderId="0" xfId="8" applyFont="1" applyProtection="1"/>
    <xf numFmtId="0" fontId="13" fillId="0" borderId="0" xfId="9" applyFont="1" applyFill="1" applyBorder="1" applyAlignment="1" applyProtection="1">
      <alignment vertical="center"/>
    </xf>
    <xf numFmtId="0" fontId="16" fillId="0" borderId="0" xfId="11" applyFont="1" applyFill="1" applyBorder="1" applyProtection="1"/>
    <xf numFmtId="0" fontId="7" fillId="3" borderId="11" xfId="9" applyFont="1" applyFill="1" applyBorder="1" applyAlignment="1" applyProtection="1">
      <alignment horizontal="center" vertical="center" wrapText="1"/>
    </xf>
    <xf numFmtId="0" fontId="7" fillId="3" borderId="13" xfId="9" applyFont="1" applyFill="1" applyBorder="1" applyAlignment="1" applyProtection="1">
      <alignment horizontal="center" vertical="center" wrapText="1"/>
    </xf>
    <xf numFmtId="0" fontId="7" fillId="3" borderId="2" xfId="9" applyFont="1" applyFill="1" applyBorder="1" applyAlignment="1" applyProtection="1">
      <alignment horizontal="center" vertical="center"/>
    </xf>
    <xf numFmtId="0" fontId="16" fillId="0" borderId="0" xfId="9" applyFont="1" applyFill="1" applyBorder="1" applyAlignment="1" applyProtection="1">
      <alignment vertical="center"/>
    </xf>
    <xf numFmtId="0" fontId="16" fillId="0" borderId="2" xfId="9" applyFont="1" applyFill="1" applyBorder="1" applyAlignment="1" applyProtection="1">
      <alignment horizontal="center" vertical="center"/>
    </xf>
    <xf numFmtId="0" fontId="16" fillId="0" borderId="3" xfId="9" applyFont="1" applyFill="1" applyBorder="1" applyAlignment="1" applyProtection="1">
      <alignment horizontal="left" vertical="center"/>
    </xf>
    <xf numFmtId="0" fontId="14" fillId="0" borderId="3" xfId="9" quotePrefix="1" applyFont="1" applyFill="1" applyBorder="1" applyAlignment="1" applyProtection="1">
      <alignment horizontal="center" vertical="center"/>
    </xf>
    <xf numFmtId="0" fontId="14" fillId="0" borderId="4" xfId="9" applyFont="1" applyFill="1" applyBorder="1" applyAlignment="1" applyProtection="1">
      <alignment horizontal="center" vertical="center"/>
    </xf>
    <xf numFmtId="0" fontId="16" fillId="0" borderId="0" xfId="9" applyFont="1" applyFill="1" applyBorder="1" applyAlignment="1" applyProtection="1">
      <alignment horizontal="left" vertical="center"/>
    </xf>
    <xf numFmtId="0" fontId="14" fillId="0" borderId="0" xfId="9" quotePrefix="1" applyFont="1" applyFill="1" applyBorder="1" applyAlignment="1" applyProtection="1">
      <alignment horizontal="center" vertical="center"/>
    </xf>
    <xf numFmtId="0" fontId="14" fillId="0" borderId="0" xfId="9" applyFont="1" applyFill="1" applyBorder="1" applyAlignment="1" applyProtection="1">
      <alignment horizontal="center" vertical="center"/>
    </xf>
    <xf numFmtId="0" fontId="23" fillId="0" borderId="0" xfId="9" applyFont="1" applyFill="1" applyBorder="1" applyAlignment="1" applyProtection="1">
      <alignment horizontal="center" vertical="center"/>
    </xf>
    <xf numFmtId="0" fontId="14" fillId="0" borderId="0" xfId="9" applyFont="1" applyFill="1" applyAlignment="1" applyProtection="1">
      <alignment vertical="center"/>
    </xf>
    <xf numFmtId="0" fontId="16" fillId="0" borderId="5" xfId="9" applyFont="1" applyFill="1" applyBorder="1" applyAlignment="1" applyProtection="1">
      <alignment horizontal="center" vertical="center"/>
    </xf>
    <xf numFmtId="0" fontId="16" fillId="0" borderId="6" xfId="9" applyFont="1" applyFill="1" applyBorder="1" applyAlignment="1" applyProtection="1">
      <alignment horizontal="left" vertical="center"/>
    </xf>
    <xf numFmtId="0" fontId="14" fillId="0" borderId="6" xfId="9" quotePrefix="1" applyFont="1" applyFill="1" applyBorder="1" applyAlignment="1" applyProtection="1">
      <alignment horizontal="center" vertical="center"/>
    </xf>
    <xf numFmtId="0" fontId="14" fillId="0" borderId="7" xfId="9" applyFont="1" applyFill="1" applyBorder="1" applyAlignment="1" applyProtection="1">
      <alignment horizontal="center" vertical="center"/>
    </xf>
    <xf numFmtId="0" fontId="16" fillId="0" borderId="8" xfId="9" applyFont="1" applyFill="1" applyBorder="1" applyAlignment="1" applyProtection="1">
      <alignment horizontal="center" vertical="center"/>
    </xf>
    <xf numFmtId="0" fontId="16" fillId="0" borderId="9" xfId="9" applyFont="1" applyFill="1" applyBorder="1" applyAlignment="1" applyProtection="1">
      <alignment horizontal="left" vertical="center"/>
    </xf>
    <xf numFmtId="0" fontId="14" fillId="0" borderId="9" xfId="9" quotePrefix="1" applyFont="1" applyFill="1" applyBorder="1" applyAlignment="1" applyProtection="1">
      <alignment horizontal="center" vertical="center"/>
    </xf>
    <xf numFmtId="0" fontId="14" fillId="0" borderId="10" xfId="9" applyFont="1" applyFill="1" applyBorder="1" applyAlignment="1" applyProtection="1">
      <alignment horizontal="center" vertical="center"/>
    </xf>
    <xf numFmtId="0" fontId="1" fillId="0" borderId="0" xfId="8" applyProtection="1"/>
    <xf numFmtId="0" fontId="16" fillId="0" borderId="11" xfId="9" applyFont="1" applyFill="1" applyBorder="1" applyAlignment="1" applyProtection="1">
      <alignment horizontal="center" vertical="center"/>
    </xf>
    <xf numFmtId="0" fontId="16" fillId="0" borderId="12" xfId="9" applyFont="1" applyFill="1" applyBorder="1" applyAlignment="1" applyProtection="1">
      <alignment horizontal="left" vertical="center"/>
    </xf>
    <xf numFmtId="0" fontId="14" fillId="0" borderId="12" xfId="9" applyFont="1" applyFill="1" applyBorder="1" applyAlignment="1" applyProtection="1">
      <alignment horizontal="center" vertical="center"/>
    </xf>
    <xf numFmtId="0" fontId="14"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12" fillId="0" borderId="33" xfId="9" applyFont="1" applyFill="1" applyBorder="1" applyAlignment="1" applyProtection="1">
      <alignment horizontal="center" vertical="top"/>
    </xf>
    <xf numFmtId="0" fontId="12" fillId="0" borderId="33" xfId="9" applyFont="1" applyFill="1" applyBorder="1" applyAlignment="1" applyProtection="1">
      <alignment vertical="top"/>
    </xf>
    <xf numFmtId="0" fontId="12" fillId="0" borderId="35" xfId="9" applyFont="1" applyFill="1" applyBorder="1" applyAlignment="1" applyProtection="1">
      <alignment vertical="top"/>
    </xf>
    <xf numFmtId="0" fontId="23" fillId="0" borderId="5" xfId="9" applyFont="1" applyFill="1" applyBorder="1" applyAlignment="1" applyProtection="1">
      <alignment horizontal="center" vertical="center"/>
    </xf>
    <xf numFmtId="0" fontId="23" fillId="0" borderId="8" xfId="9" applyFont="1" applyFill="1" applyBorder="1" applyAlignment="1" applyProtection="1">
      <alignment horizontal="center" vertical="center"/>
    </xf>
    <xf numFmtId="0" fontId="23" fillId="0" borderId="11" xfId="9" applyFont="1" applyFill="1" applyBorder="1" applyAlignment="1" applyProtection="1">
      <alignment horizontal="center" vertical="center"/>
    </xf>
    <xf numFmtId="0" fontId="28" fillId="0" borderId="0" xfId="8" applyFont="1" applyAlignment="1" applyProtection="1">
      <alignment vertical="center"/>
    </xf>
    <xf numFmtId="0" fontId="7" fillId="3" borderId="54" xfId="9" applyFont="1" applyFill="1" applyBorder="1" applyAlignment="1" applyProtection="1">
      <alignment horizontal="left" vertical="center"/>
    </xf>
    <xf numFmtId="0" fontId="7" fillId="3" borderId="24" xfId="9" applyFont="1" applyFill="1" applyBorder="1" applyAlignment="1" applyProtection="1">
      <alignment vertical="center"/>
    </xf>
    <xf numFmtId="0" fontId="30" fillId="0" borderId="0" xfId="9" applyFont="1" applyFill="1" applyBorder="1" applyAlignment="1" applyProtection="1">
      <alignment horizontal="center" vertical="center"/>
    </xf>
    <xf numFmtId="0" fontId="16" fillId="0" borderId="0" xfId="9" applyFont="1" applyFill="1" applyBorder="1" applyAlignment="1" applyProtection="1">
      <alignment horizontal="center" vertical="center"/>
    </xf>
    <xf numFmtId="0" fontId="7" fillId="3" borderId="2" xfId="9" applyFont="1" applyFill="1" applyBorder="1" applyAlignment="1" applyProtection="1">
      <alignment horizontal="center" vertical="center" wrapText="1"/>
    </xf>
    <xf numFmtId="0" fontId="7" fillId="3" borderId="4" xfId="9" applyFont="1" applyFill="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7" fillId="3" borderId="16" xfId="9" applyFont="1" applyFill="1" applyBorder="1" applyAlignment="1" applyProtection="1">
      <alignment vertical="center"/>
    </xf>
    <xf numFmtId="0" fontId="14" fillId="0" borderId="0" xfId="9" applyFont="1" applyFill="1" applyBorder="1" applyAlignment="1" applyProtection="1">
      <alignment vertical="center"/>
    </xf>
    <xf numFmtId="0" fontId="14" fillId="0" borderId="6" xfId="9" applyFont="1" applyFill="1" applyBorder="1" applyAlignment="1" applyProtection="1">
      <alignment horizontal="center" vertical="center"/>
    </xf>
    <xf numFmtId="0" fontId="14" fillId="0" borderId="9" xfId="9" applyFont="1" applyFill="1" applyBorder="1" applyAlignment="1" applyProtection="1">
      <alignment horizontal="center" vertical="center"/>
    </xf>
    <xf numFmtId="0" fontId="9" fillId="0" borderId="0" xfId="8" applyFont="1" applyProtection="1"/>
    <xf numFmtId="0" fontId="2" fillId="0" borderId="0" xfId="6" applyFont="1" applyAlignment="1" applyProtection="1">
      <alignment vertical="center"/>
    </xf>
    <xf numFmtId="0" fontId="29" fillId="0" borderId="0" xfId="9" applyFont="1" applyFill="1" applyAlignment="1" applyProtection="1">
      <alignment vertical="center"/>
    </xf>
    <xf numFmtId="0" fontId="7" fillId="3" borderId="2" xfId="9" applyFont="1" applyFill="1" applyBorder="1" applyAlignment="1" applyProtection="1">
      <alignment horizontal="left" vertical="center" wrapText="1"/>
    </xf>
    <xf numFmtId="0" fontId="7" fillId="3" borderId="61" xfId="9" applyFont="1" applyFill="1" applyBorder="1" applyAlignment="1" applyProtection="1">
      <alignment horizontal="left" vertical="center" wrapText="1"/>
    </xf>
    <xf numFmtId="0" fontId="7" fillId="3" borderId="61" xfId="9" applyFont="1" applyFill="1" applyBorder="1" applyAlignment="1" applyProtection="1">
      <alignment horizontal="center" vertical="center" wrapText="1"/>
    </xf>
    <xf numFmtId="0" fontId="7" fillId="3" borderId="3" xfId="9"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16" fillId="9" borderId="0" xfId="9" applyFont="1" applyFill="1" applyAlignment="1" applyProtection="1">
      <alignment vertical="center"/>
    </xf>
    <xf numFmtId="0" fontId="36" fillId="9" borderId="0" xfId="9" applyFont="1" applyFill="1" applyAlignment="1" applyProtection="1">
      <alignment horizontal="center" vertical="center"/>
    </xf>
    <xf numFmtId="0" fontId="37" fillId="0" borderId="0" xfId="6" applyFont="1" applyFill="1" applyAlignment="1" applyProtection="1">
      <alignment horizontal="center" vertical="center"/>
    </xf>
    <xf numFmtId="0" fontId="23" fillId="0" borderId="6" xfId="9" applyFont="1" applyFill="1" applyBorder="1" applyAlignment="1" applyProtection="1">
      <alignment vertical="center"/>
    </xf>
    <xf numFmtId="0" fontId="23" fillId="0" borderId="6" xfId="9" applyFont="1" applyFill="1" applyBorder="1" applyAlignment="1" applyProtection="1">
      <alignment vertical="center" wrapText="1"/>
    </xf>
    <xf numFmtId="0" fontId="23" fillId="0" borderId="6" xfId="9" applyFont="1" applyFill="1" applyBorder="1" applyAlignment="1" applyProtection="1">
      <alignment horizontal="center" vertical="center" wrapText="1"/>
    </xf>
    <xf numFmtId="0" fontId="23" fillId="0" borderId="9" xfId="9" applyFont="1" applyFill="1" applyBorder="1" applyAlignment="1" applyProtection="1">
      <alignment horizontal="center" vertical="center" wrapText="1"/>
    </xf>
    <xf numFmtId="0" fontId="16" fillId="9" borderId="0" xfId="9" applyFont="1" applyFill="1" applyBorder="1" applyAlignment="1" applyProtection="1">
      <alignment vertical="center"/>
    </xf>
    <xf numFmtId="0" fontId="23" fillId="0" borderId="12" xfId="9" applyFont="1" applyFill="1" applyBorder="1" applyAlignment="1" applyProtection="1">
      <alignment horizontal="center" vertical="center" wrapText="1"/>
    </xf>
    <xf numFmtId="0" fontId="16" fillId="0" borderId="0" xfId="9" applyFill="1" applyBorder="1" applyAlignment="1" applyProtection="1">
      <alignment vertical="center"/>
    </xf>
    <xf numFmtId="0" fontId="20" fillId="0" borderId="0" xfId="8" applyFont="1" applyFill="1" applyAlignment="1" applyProtection="1">
      <alignment vertical="center"/>
    </xf>
    <xf numFmtId="0" fontId="12" fillId="0" borderId="0" xfId="9" applyFont="1" applyFill="1" applyAlignment="1" applyProtection="1">
      <alignment vertical="center"/>
    </xf>
    <xf numFmtId="0" fontId="27" fillId="0" borderId="0" xfId="6" applyFont="1" applyAlignment="1" applyProtection="1">
      <alignment vertical="center" wrapText="1"/>
    </xf>
    <xf numFmtId="0" fontId="27" fillId="0" borderId="0" xfId="6" applyFont="1" applyAlignment="1" applyProtection="1">
      <alignment vertical="center"/>
    </xf>
    <xf numFmtId="0" fontId="0" fillId="0" borderId="34" xfId="0" applyBorder="1" applyProtection="1"/>
    <xf numFmtId="0" fontId="1" fillId="0" borderId="34" xfId="8" applyBorder="1" applyAlignment="1" applyProtection="1">
      <alignment vertical="center"/>
    </xf>
    <xf numFmtId="0" fontId="16" fillId="0" borderId="34" xfId="9" applyFont="1" applyFill="1" applyBorder="1" applyAlignment="1" applyProtection="1">
      <alignment vertical="center"/>
    </xf>
    <xf numFmtId="0" fontId="1" fillId="0" borderId="34" xfId="6" applyBorder="1" applyAlignment="1" applyProtection="1">
      <alignment vertical="center"/>
    </xf>
    <xf numFmtId="0" fontId="9" fillId="0" borderId="34" xfId="8" applyFont="1" applyBorder="1" applyAlignment="1" applyProtection="1">
      <alignment vertical="center"/>
    </xf>
    <xf numFmtId="0" fontId="9" fillId="0" borderId="35" xfId="8" applyFont="1" applyBorder="1" applyAlignment="1" applyProtection="1">
      <alignment vertical="center"/>
    </xf>
    <xf numFmtId="0" fontId="33" fillId="3" borderId="2" xfId="9" applyFont="1" applyFill="1" applyBorder="1" applyAlignment="1" applyProtection="1">
      <alignment horizontal="center" vertical="center" wrapText="1"/>
    </xf>
    <xf numFmtId="0" fontId="33" fillId="3" borderId="3" xfId="9" applyFont="1" applyFill="1" applyBorder="1" applyAlignment="1" applyProtection="1">
      <alignment horizontal="center" vertical="center" wrapText="1"/>
    </xf>
    <xf numFmtId="0" fontId="30" fillId="0" borderId="0" xfId="9" applyFont="1" applyFill="1" applyProtection="1"/>
    <xf numFmtId="0" fontId="7" fillId="3" borderId="14" xfId="6" applyFont="1" applyFill="1" applyBorder="1" applyAlignment="1" applyProtection="1">
      <alignment horizontal="center" vertical="center"/>
    </xf>
    <xf numFmtId="165" fontId="23" fillId="7" borderId="7" xfId="9" applyNumberFormat="1" applyFont="1" applyFill="1" applyBorder="1" applyAlignment="1" applyProtection="1">
      <alignment vertical="center"/>
    </xf>
    <xf numFmtId="165" fontId="23" fillId="7" borderId="10" xfId="9" applyNumberFormat="1" applyFont="1" applyFill="1" applyBorder="1" applyAlignment="1" applyProtection="1">
      <alignment vertical="center"/>
    </xf>
    <xf numFmtId="165" fontId="23" fillId="7" borderId="11" xfId="9" applyNumberFormat="1" applyFont="1" applyFill="1" applyBorder="1" applyAlignment="1" applyProtection="1">
      <alignment vertical="center"/>
    </xf>
    <xf numFmtId="165" fontId="23" fillId="7" borderId="12" xfId="9" applyNumberFormat="1" applyFont="1" applyFill="1" applyBorder="1" applyAlignment="1" applyProtection="1">
      <alignment vertical="center"/>
    </xf>
    <xf numFmtId="165" fontId="23" fillId="7" borderId="13" xfId="9" applyNumberFormat="1" applyFont="1" applyFill="1" applyBorder="1" applyAlignment="1" applyProtection="1">
      <alignment vertical="center"/>
    </xf>
    <xf numFmtId="0" fontId="34" fillId="0" borderId="0" xfId="9" applyFont="1" applyFill="1" applyBorder="1" applyAlignment="1" applyProtection="1">
      <alignment horizontal="center" vertical="center"/>
    </xf>
    <xf numFmtId="0" fontId="23" fillId="0" borderId="0" xfId="11" applyFont="1" applyFill="1" applyBorder="1" applyAlignment="1" applyProtection="1">
      <alignment vertical="center"/>
    </xf>
    <xf numFmtId="0" fontId="23" fillId="0" borderId="2" xfId="9" applyFont="1" applyFill="1" applyBorder="1" applyAlignment="1" applyProtection="1">
      <alignment horizontal="center" vertical="center"/>
    </xf>
    <xf numFmtId="0" fontId="14" fillId="0" borderId="3" xfId="9" applyFont="1" applyFill="1" applyBorder="1" applyAlignment="1" applyProtection="1">
      <alignment horizontal="center" vertical="center"/>
    </xf>
    <xf numFmtId="165" fontId="23" fillId="7" borderId="2" xfId="9" applyNumberFormat="1" applyFont="1" applyFill="1" applyBorder="1" applyAlignment="1" applyProtection="1">
      <alignment vertical="center"/>
    </xf>
    <xf numFmtId="165" fontId="23" fillId="7" borderId="3" xfId="9" applyNumberFormat="1" applyFont="1" applyFill="1" applyBorder="1" applyAlignment="1" applyProtection="1">
      <alignment vertical="center"/>
    </xf>
    <xf numFmtId="165" fontId="23" fillId="7" borderId="4" xfId="9" applyNumberFormat="1" applyFont="1" applyFill="1" applyBorder="1" applyAlignment="1" applyProtection="1">
      <alignment vertical="center"/>
    </xf>
    <xf numFmtId="0" fontId="23" fillId="0" borderId="0" xfId="9" applyFont="1" applyFill="1" applyBorder="1" applyAlignment="1" applyProtection="1">
      <alignment vertical="center"/>
    </xf>
    <xf numFmtId="165" fontId="23" fillId="7" borderId="30" xfId="9" applyNumberFormat="1" applyFont="1" applyFill="1" applyBorder="1" applyAlignment="1" applyProtection="1">
      <alignment vertical="center"/>
    </xf>
    <xf numFmtId="0" fontId="33" fillId="3" borderId="4" xfId="9" applyFont="1" applyFill="1" applyBorder="1" applyAlignment="1" applyProtection="1">
      <alignment horizontal="center" vertical="center" wrapText="1"/>
    </xf>
    <xf numFmtId="0" fontId="19" fillId="0" borderId="0" xfId="8" applyFont="1" applyAlignment="1" applyProtection="1">
      <alignment horizontal="center" vertical="center"/>
    </xf>
    <xf numFmtId="165" fontId="23" fillId="7" borderId="8" xfId="9" applyNumberFormat="1" applyFont="1" applyFill="1" applyBorder="1" applyAlignment="1" applyProtection="1">
      <alignment vertical="center"/>
    </xf>
    <xf numFmtId="0" fontId="27" fillId="0" borderId="0" xfId="8" applyFont="1" applyAlignment="1" applyProtection="1">
      <alignment horizontal="center" vertical="center" wrapText="1"/>
    </xf>
    <xf numFmtId="0" fontId="27" fillId="0" borderId="0" xfId="8" applyFont="1" applyAlignment="1" applyProtection="1">
      <alignment horizontal="center" vertical="center"/>
    </xf>
    <xf numFmtId="0" fontId="7" fillId="3" borderId="1" xfId="9" applyFont="1" applyFill="1" applyBorder="1" applyAlignment="1" applyProtection="1">
      <alignment horizontal="center" vertical="center" wrapText="1"/>
    </xf>
    <xf numFmtId="0" fontId="17" fillId="0" borderId="0" xfId="6" applyFont="1" applyAlignment="1" applyProtection="1">
      <alignment vertical="center"/>
    </xf>
    <xf numFmtId="0" fontId="31" fillId="0" borderId="0" xfId="9" applyFont="1" applyFill="1" applyProtection="1"/>
    <xf numFmtId="0" fontId="23" fillId="9" borderId="2" xfId="9" applyFont="1" applyFill="1" applyBorder="1" applyAlignment="1" applyProtection="1">
      <alignment horizontal="center" vertical="center"/>
    </xf>
    <xf numFmtId="0" fontId="23" fillId="9" borderId="5" xfId="9" applyFont="1" applyFill="1" applyBorder="1" applyAlignment="1" applyProtection="1">
      <alignment horizontal="center" vertical="center"/>
    </xf>
    <xf numFmtId="0" fontId="23" fillId="9" borderId="8" xfId="9" applyFont="1" applyFill="1" applyBorder="1" applyAlignment="1" applyProtection="1">
      <alignment horizontal="center" vertical="center"/>
    </xf>
    <xf numFmtId="0" fontId="23" fillId="9" borderId="11" xfId="9" applyFont="1" applyFill="1" applyBorder="1" applyAlignment="1" applyProtection="1">
      <alignment horizontal="center" vertical="center"/>
    </xf>
    <xf numFmtId="0" fontId="9" fillId="0" borderId="0" xfId="8" applyFont="1" applyFill="1" applyAlignment="1" applyProtection="1">
      <alignment vertical="center"/>
    </xf>
    <xf numFmtId="0" fontId="32" fillId="0" borderId="0" xfId="9" applyFont="1" applyFill="1" applyAlignment="1" applyProtection="1">
      <alignment horizontal="left" vertical="center"/>
    </xf>
    <xf numFmtId="0" fontId="12" fillId="0" borderId="5" xfId="9" applyFont="1" applyFill="1" applyBorder="1" applyAlignment="1" applyProtection="1">
      <alignment horizontal="center" vertical="top"/>
    </xf>
    <xf numFmtId="0" fontId="31" fillId="0" borderId="0" xfId="9" applyFont="1" applyFill="1" applyAlignment="1" applyProtection="1">
      <alignment vertical="center"/>
    </xf>
    <xf numFmtId="0" fontId="7" fillId="3" borderId="3" xfId="6" applyFont="1" applyFill="1" applyBorder="1" applyAlignment="1" applyProtection="1">
      <alignment horizontal="center" vertical="center" wrapText="1"/>
    </xf>
    <xf numFmtId="0" fontId="9" fillId="0" borderId="7" xfId="6" applyFont="1" applyBorder="1" applyAlignment="1" applyProtection="1">
      <alignment vertical="center"/>
    </xf>
    <xf numFmtId="0" fontId="9" fillId="0" borderId="10" xfId="6" applyFont="1" applyBorder="1" applyAlignment="1" applyProtection="1">
      <alignment vertical="center"/>
    </xf>
    <xf numFmtId="0" fontId="9" fillId="0" borderId="13" xfId="6" applyFont="1" applyBorder="1" applyAlignment="1" applyProtection="1">
      <alignment vertical="center"/>
    </xf>
    <xf numFmtId="165" fontId="20" fillId="7" borderId="40" xfId="6" applyNumberFormat="1" applyFont="1" applyFill="1" applyBorder="1" applyAlignment="1" applyProtection="1">
      <alignment vertical="center"/>
    </xf>
    <xf numFmtId="0" fontId="20" fillId="0" borderId="43" xfId="6" applyFont="1" applyBorder="1" applyAlignment="1" applyProtection="1">
      <alignment horizontal="center" vertical="center"/>
    </xf>
    <xf numFmtId="0" fontId="12" fillId="0" borderId="14" xfId="9" applyFont="1" applyFill="1" applyBorder="1" applyAlignment="1" applyProtection="1">
      <alignment horizontal="center" vertical="top"/>
    </xf>
    <xf numFmtId="0" fontId="12" fillId="0" borderId="52" xfId="9" applyFont="1" applyFill="1" applyBorder="1" applyAlignment="1" applyProtection="1">
      <alignment vertical="top"/>
    </xf>
    <xf numFmtId="0" fontId="12" fillId="0" borderId="53" xfId="9" applyFont="1" applyFill="1" applyBorder="1" applyAlignment="1" applyProtection="1">
      <alignment vertical="top"/>
    </xf>
    <xf numFmtId="0" fontId="22" fillId="0" borderId="17" xfId="8" applyFont="1" applyBorder="1" applyAlignment="1" applyProtection="1">
      <alignment horizontal="center" vertical="center"/>
    </xf>
    <xf numFmtId="0" fontId="24" fillId="0" borderId="0" xfId="6" applyFont="1" applyAlignment="1" applyProtection="1">
      <alignment vertical="center"/>
    </xf>
    <xf numFmtId="0" fontId="7" fillId="3" borderId="19" xfId="6" applyFont="1" applyFill="1" applyBorder="1" applyAlignment="1" applyProtection="1">
      <alignment horizontal="center" vertical="center" wrapText="1"/>
    </xf>
    <xf numFmtId="0" fontId="7" fillId="3" borderId="21" xfId="6" applyFont="1" applyFill="1" applyBorder="1" applyAlignment="1" applyProtection="1">
      <alignment horizontal="center" vertical="center" wrapText="1"/>
    </xf>
    <xf numFmtId="0" fontId="7" fillId="3" borderId="41" xfId="6" applyFont="1" applyFill="1" applyBorder="1" applyAlignment="1" applyProtection="1">
      <alignment horizontal="center" vertical="center" wrapText="1"/>
    </xf>
    <xf numFmtId="0" fontId="28" fillId="0" borderId="0" xfId="8" applyFont="1" applyAlignment="1" applyProtection="1">
      <alignment horizontal="center" vertical="center" wrapText="1"/>
    </xf>
    <xf numFmtId="0" fontId="28" fillId="0" borderId="0" xfId="6" applyFont="1" applyAlignment="1" applyProtection="1">
      <alignment vertical="center"/>
    </xf>
    <xf numFmtId="0" fontId="7" fillId="3" borderId="3" xfId="9" applyFont="1" applyFill="1" applyBorder="1" applyAlignment="1" applyProtection="1">
      <alignment horizontal="center" vertical="center"/>
    </xf>
    <xf numFmtId="0" fontId="7" fillId="3" borderId="4" xfId="9" applyFont="1" applyFill="1" applyBorder="1" applyAlignment="1" applyProtection="1">
      <alignment horizontal="center" vertical="center"/>
    </xf>
    <xf numFmtId="0" fontId="7" fillId="3" borderId="1" xfId="9" applyFont="1" applyFill="1" applyBorder="1" applyAlignment="1" applyProtection="1">
      <alignment horizontal="center" vertical="center"/>
    </xf>
    <xf numFmtId="165" fontId="23" fillId="7" borderId="31" xfId="9" applyNumberFormat="1" applyFont="1" applyFill="1" applyBorder="1" applyAlignment="1" applyProtection="1">
      <alignment vertical="center"/>
    </xf>
    <xf numFmtId="165" fontId="23" fillId="7" borderId="32" xfId="9" applyNumberFormat="1" applyFont="1" applyFill="1" applyBorder="1" applyAlignment="1" applyProtection="1">
      <alignment vertical="center"/>
    </xf>
    <xf numFmtId="0" fontId="12" fillId="0" borderId="3" xfId="9" applyFont="1" applyFill="1" applyBorder="1" applyAlignment="1" applyProtection="1">
      <alignment horizontal="center" vertical="top" wrapText="1"/>
    </xf>
    <xf numFmtId="0" fontId="16" fillId="0" borderId="5" xfId="9" applyFont="1" applyFill="1" applyBorder="1" applyAlignment="1" applyProtection="1">
      <alignment horizontal="center" vertical="top"/>
    </xf>
    <xf numFmtId="0" fontId="16" fillId="0" borderId="11" xfId="9" applyFont="1" applyFill="1" applyBorder="1" applyAlignment="1" applyProtection="1">
      <alignment horizontal="center" vertical="top"/>
    </xf>
    <xf numFmtId="0" fontId="29" fillId="0" borderId="0" xfId="9" applyFont="1" applyFill="1" applyBorder="1" applyAlignment="1" applyProtection="1">
      <alignment vertical="center"/>
    </xf>
    <xf numFmtId="0" fontId="16" fillId="0" borderId="9" xfId="9" applyFont="1" applyFill="1" applyBorder="1" applyAlignment="1" applyProtection="1">
      <alignment horizontal="left" vertical="center" wrapText="1"/>
    </xf>
    <xf numFmtId="0" fontId="23" fillId="0" borderId="0" xfId="0" applyFont="1" applyFill="1" applyProtection="1"/>
    <xf numFmtId="165" fontId="23" fillId="0" borderId="0" xfId="1" applyNumberFormat="1" applyFont="1" applyFill="1" applyBorder="1" applyAlignment="1" applyProtection="1">
      <alignment vertical="center"/>
    </xf>
    <xf numFmtId="0" fontId="12" fillId="0" borderId="17" xfId="9" applyFont="1" applyFill="1" applyBorder="1" applyAlignment="1" applyProtection="1">
      <alignment vertical="top"/>
    </xf>
    <xf numFmtId="165" fontId="23" fillId="7" borderId="39" xfId="9" applyNumberFormat="1" applyFont="1" applyFill="1" applyBorder="1" applyAlignment="1" applyProtection="1">
      <alignment vertical="center"/>
    </xf>
    <xf numFmtId="165" fontId="23" fillId="7" borderId="41" xfId="9" applyNumberFormat="1" applyFont="1" applyFill="1" applyBorder="1" applyAlignment="1" applyProtection="1">
      <alignment vertical="center"/>
    </xf>
    <xf numFmtId="165" fontId="23" fillId="0" borderId="0" xfId="9" applyNumberFormat="1" applyFont="1" applyFill="1" applyBorder="1" applyAlignment="1" applyProtection="1">
      <alignment vertical="center"/>
    </xf>
    <xf numFmtId="0" fontId="9" fillId="0" borderId="20" xfId="6" applyFont="1" applyBorder="1" applyAlignment="1" applyProtection="1">
      <alignment vertical="center"/>
    </xf>
    <xf numFmtId="0" fontId="22" fillId="0" borderId="51" xfId="6" applyFont="1" applyBorder="1" applyAlignment="1" applyProtection="1">
      <alignment horizontal="center" vertical="center"/>
    </xf>
    <xf numFmtId="165" fontId="20" fillId="7" borderId="45" xfId="6" applyNumberFormat="1" applyFont="1" applyFill="1" applyBorder="1" applyAlignment="1" applyProtection="1">
      <alignment vertical="center"/>
    </xf>
    <xf numFmtId="165" fontId="20" fillId="7" borderId="19" xfId="6" applyNumberFormat="1" applyFont="1" applyFill="1" applyBorder="1" applyAlignment="1" applyProtection="1">
      <alignment vertical="center"/>
    </xf>
    <xf numFmtId="165" fontId="20" fillId="7" borderId="20" xfId="6" applyNumberFormat="1" applyFont="1" applyFill="1" applyBorder="1" applyAlignment="1" applyProtection="1">
      <alignment vertical="center"/>
    </xf>
    <xf numFmtId="0" fontId="22" fillId="0" borderId="48" xfId="6" applyFont="1" applyBorder="1" applyAlignment="1" applyProtection="1">
      <alignment horizontal="center" vertical="center"/>
    </xf>
    <xf numFmtId="165" fontId="20" fillId="7" borderId="50" xfId="6" applyNumberFormat="1" applyFont="1" applyFill="1" applyBorder="1" applyAlignment="1" applyProtection="1">
      <alignment vertical="center"/>
    </xf>
    <xf numFmtId="165" fontId="20" fillId="7" borderId="49" xfId="6" applyNumberFormat="1" applyFont="1" applyFill="1" applyBorder="1" applyAlignment="1" applyProtection="1">
      <alignment vertical="center"/>
    </xf>
    <xf numFmtId="165" fontId="20" fillId="7" borderId="23" xfId="6" applyNumberFormat="1" applyFont="1" applyFill="1" applyBorder="1" applyAlignment="1" applyProtection="1">
      <alignment vertical="center"/>
    </xf>
    <xf numFmtId="0" fontId="23" fillId="0" borderId="8" xfId="0" applyFont="1" applyBorder="1" applyAlignment="1" applyProtection="1">
      <alignment horizontal="center" vertical="top"/>
    </xf>
    <xf numFmtId="0" fontId="20" fillId="6" borderId="0" xfId="6" applyNumberFormat="1" applyFont="1" applyFill="1" applyAlignment="1" applyProtection="1">
      <alignment horizontal="center" vertical="center"/>
    </xf>
    <xf numFmtId="0" fontId="1" fillId="0" borderId="0" xfId="6" applyAlignment="1" applyProtection="1">
      <alignment vertical="top"/>
    </xf>
    <xf numFmtId="0" fontId="28" fillId="3" borderId="0" xfId="8" applyFont="1" applyFill="1" applyAlignment="1" applyProtection="1">
      <alignment horizontal="center" vertical="center"/>
    </xf>
    <xf numFmtId="0" fontId="28" fillId="3" borderId="0" xfId="6" applyFont="1" applyFill="1" applyAlignment="1" applyProtection="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applyAlignment="1" applyProtection="1"/>
    <xf numFmtId="0" fontId="9" fillId="0" borderId="0" xfId="0" applyFont="1" applyAlignment="1" applyProtection="1">
      <alignment vertical="top" wrapText="1"/>
    </xf>
    <xf numFmtId="2" fontId="20" fillId="4" borderId="32" xfId="6" applyNumberFormat="1" applyFont="1" applyFill="1" applyBorder="1" applyAlignment="1" applyProtection="1">
      <alignment vertical="center"/>
      <protection locked="0"/>
    </xf>
    <xf numFmtId="165" fontId="20" fillId="4" borderId="32" xfId="6" applyNumberFormat="1" applyFont="1" applyFill="1" applyBorder="1" applyAlignment="1" applyProtection="1">
      <alignment vertical="center"/>
      <protection locked="0"/>
    </xf>
    <xf numFmtId="165" fontId="20" fillId="4" borderId="8" xfId="6" applyNumberFormat="1" applyFont="1" applyFill="1" applyBorder="1" applyAlignment="1" applyProtection="1">
      <alignment vertical="center"/>
      <protection locked="0"/>
    </xf>
    <xf numFmtId="165" fontId="20" fillId="4" borderId="9" xfId="6" applyNumberFormat="1" applyFont="1" applyFill="1" applyBorder="1" applyAlignment="1" applyProtection="1">
      <alignment vertical="center"/>
      <protection locked="0"/>
    </xf>
    <xf numFmtId="165" fontId="20" fillId="4" borderId="5" xfId="6" applyNumberFormat="1" applyFont="1" applyFill="1" applyBorder="1" applyAlignment="1" applyProtection="1">
      <alignment vertical="center"/>
      <protection locked="0"/>
    </xf>
    <xf numFmtId="165" fontId="20" fillId="4" borderId="7" xfId="6" applyNumberFormat="1" applyFont="1" applyFill="1" applyBorder="1" applyAlignment="1" applyProtection="1">
      <alignment vertical="center"/>
      <protection locked="0"/>
    </xf>
    <xf numFmtId="165" fontId="20" fillId="4" borderId="10" xfId="6" applyNumberFormat="1" applyFont="1" applyFill="1" applyBorder="1" applyAlignment="1" applyProtection="1">
      <alignment vertical="center"/>
      <protection locked="0"/>
    </xf>
    <xf numFmtId="165" fontId="20" fillId="4" borderId="65" xfId="6" applyNumberFormat="1" applyFont="1" applyFill="1" applyBorder="1" applyAlignment="1" applyProtection="1">
      <alignment vertical="center"/>
      <protection locked="0"/>
    </xf>
    <xf numFmtId="165" fontId="20" fillId="4" borderId="67" xfId="6" applyNumberFormat="1" applyFont="1" applyFill="1" applyBorder="1" applyAlignment="1" applyProtection="1">
      <alignment vertical="center"/>
      <protection locked="0"/>
    </xf>
    <xf numFmtId="165" fontId="20" fillId="4" borderId="93" xfId="6" applyNumberFormat="1" applyFont="1" applyFill="1" applyBorder="1" applyAlignment="1" applyProtection="1">
      <alignment vertical="center"/>
      <protection locked="0"/>
    </xf>
    <xf numFmtId="165" fontId="20" fillId="4" borderId="94" xfId="6" applyNumberFormat="1" applyFont="1" applyFill="1" applyBorder="1" applyAlignment="1" applyProtection="1">
      <alignment vertical="center"/>
      <protection locked="0"/>
    </xf>
    <xf numFmtId="165" fontId="20" fillId="4" borderId="71" xfId="6" applyNumberFormat="1" applyFont="1" applyFill="1" applyBorder="1" applyAlignment="1" applyProtection="1">
      <alignment vertical="center"/>
      <protection locked="0"/>
    </xf>
    <xf numFmtId="165" fontId="20" fillId="4" borderId="99" xfId="6" applyNumberFormat="1" applyFont="1" applyFill="1" applyBorder="1" applyAlignment="1" applyProtection="1">
      <alignment vertical="center"/>
      <protection locked="0"/>
    </xf>
    <xf numFmtId="165" fontId="20" fillId="4" borderId="100" xfId="6" applyNumberFormat="1" applyFont="1" applyFill="1" applyBorder="1" applyAlignment="1" applyProtection="1">
      <alignment vertical="center"/>
      <protection locked="0"/>
    </xf>
    <xf numFmtId="165" fontId="20" fillId="4" borderId="37" xfId="6" applyNumberFormat="1" applyFont="1" applyFill="1" applyBorder="1" applyAlignment="1" applyProtection="1">
      <alignment vertical="center"/>
      <protection locked="0"/>
    </xf>
    <xf numFmtId="165" fontId="20" fillId="4" borderId="6" xfId="6" applyNumberFormat="1" applyFont="1" applyFill="1" applyBorder="1" applyAlignment="1" applyProtection="1">
      <alignment vertical="center"/>
      <protection locked="0"/>
    </xf>
    <xf numFmtId="165" fontId="20" fillId="4" borderId="39" xfId="6" applyNumberFormat="1" applyFont="1" applyFill="1" applyBorder="1" applyAlignment="1" applyProtection="1">
      <alignment vertical="center"/>
      <protection locked="0"/>
    </xf>
    <xf numFmtId="165" fontId="20" fillId="4" borderId="1" xfId="6" applyNumberFormat="1" applyFont="1" applyFill="1" applyBorder="1" applyAlignment="1" applyProtection="1">
      <alignment vertical="center"/>
      <protection locked="0"/>
    </xf>
    <xf numFmtId="165" fontId="20" fillId="4" borderId="31" xfId="6" applyNumberFormat="1" applyFont="1" applyFill="1" applyBorder="1" applyAlignment="1" applyProtection="1">
      <alignment vertical="center"/>
      <protection locked="0"/>
    </xf>
    <xf numFmtId="165" fontId="16" fillId="4" borderId="5" xfId="9" applyNumberFormat="1" applyFont="1" applyFill="1" applyBorder="1" applyProtection="1">
      <protection locked="0"/>
    </xf>
    <xf numFmtId="165" fontId="23" fillId="4" borderId="6" xfId="11"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vertical="center"/>
      <protection locked="0"/>
    </xf>
    <xf numFmtId="165" fontId="23" fillId="4" borderId="5" xfId="9" applyNumberFormat="1" applyFont="1" applyFill="1" applyBorder="1" applyAlignment="1" applyProtection="1">
      <alignment vertical="center"/>
      <protection locked="0"/>
    </xf>
    <xf numFmtId="165" fontId="23" fillId="4" borderId="6"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23" fillId="4" borderId="9" xfId="9" applyNumberFormat="1" applyFont="1" applyFill="1" applyBorder="1" applyAlignment="1" applyProtection="1">
      <alignment vertical="center"/>
      <protection locked="0"/>
    </xf>
    <xf numFmtId="165" fontId="23" fillId="4" borderId="31" xfId="9" applyNumberFormat="1" applyFont="1" applyFill="1" applyBorder="1" applyAlignment="1" applyProtection="1">
      <alignment vertical="center"/>
      <protection locked="0"/>
    </xf>
    <xf numFmtId="165" fontId="23" fillId="4" borderId="32" xfId="9" applyNumberFormat="1" applyFont="1" applyFill="1" applyBorder="1" applyAlignment="1" applyProtection="1">
      <alignment vertical="center"/>
      <protection locked="0"/>
    </xf>
    <xf numFmtId="165" fontId="23" fillId="4" borderId="2" xfId="11" applyNumberFormat="1" applyFont="1" applyFill="1" applyBorder="1" applyAlignment="1" applyProtection="1">
      <alignment vertical="center"/>
      <protection locked="0"/>
    </xf>
    <xf numFmtId="165" fontId="23" fillId="4" borderId="3" xfId="11" applyNumberFormat="1" applyFont="1" applyFill="1" applyBorder="1" applyAlignment="1" applyProtection="1">
      <alignment vertical="center"/>
      <protection locked="0"/>
    </xf>
    <xf numFmtId="165" fontId="23" fillId="4" borderId="5" xfId="11" applyNumberFormat="1" applyFont="1" applyFill="1" applyBorder="1" applyAlignment="1" applyProtection="1">
      <alignment vertical="center"/>
      <protection locked="0"/>
    </xf>
    <xf numFmtId="165" fontId="23" fillId="4" borderId="8" xfId="11" applyNumberFormat="1" applyFont="1" applyFill="1" applyBorder="1" applyAlignment="1" applyProtection="1">
      <alignment vertical="center"/>
      <protection locked="0"/>
    </xf>
    <xf numFmtId="165" fontId="23" fillId="4" borderId="43" xfId="11" applyNumberFormat="1" applyFont="1" applyFill="1" applyBorder="1" applyAlignment="1" applyProtection="1">
      <alignment vertical="center"/>
      <protection locked="0"/>
    </xf>
    <xf numFmtId="165" fontId="23" fillId="4" borderId="44" xfId="11" applyNumberFormat="1" applyFont="1" applyFill="1" applyBorder="1" applyAlignment="1" applyProtection="1">
      <alignment vertical="center"/>
      <protection locked="0"/>
    </xf>
    <xf numFmtId="165" fontId="20" fillId="4" borderId="36" xfId="6" applyNumberFormat="1" applyFont="1" applyFill="1" applyBorder="1" applyAlignment="1" applyProtection="1">
      <alignment vertical="center"/>
      <protection locked="0"/>
    </xf>
    <xf numFmtId="165" fontId="20" fillId="4" borderId="38" xfId="6" applyNumberFormat="1" applyFont="1" applyFill="1" applyBorder="1" applyAlignment="1" applyProtection="1">
      <alignment vertical="center"/>
      <protection locked="0"/>
    </xf>
    <xf numFmtId="165" fontId="20" fillId="4" borderId="2" xfId="6" applyNumberFormat="1" applyFont="1" applyFill="1" applyBorder="1" applyAlignment="1" applyProtection="1">
      <alignment vertical="center"/>
      <protection locked="0"/>
    </xf>
    <xf numFmtId="165" fontId="20" fillId="4" borderId="34" xfId="6" applyNumberFormat="1" applyFont="1" applyFill="1" applyBorder="1" applyAlignment="1" applyProtection="1">
      <alignment vertical="center"/>
      <protection locked="0"/>
    </xf>
    <xf numFmtId="165" fontId="23" fillId="4" borderId="7" xfId="10" applyNumberFormat="1" applyFont="1" applyFill="1" applyBorder="1" applyAlignment="1" applyProtection="1">
      <alignment vertical="center"/>
      <protection locked="0"/>
    </xf>
    <xf numFmtId="165" fontId="23" fillId="4" borderId="10" xfId="10" applyNumberFormat="1" applyFont="1" applyFill="1" applyBorder="1" applyAlignment="1" applyProtection="1">
      <alignment vertical="center"/>
      <protection locked="0"/>
    </xf>
    <xf numFmtId="165" fontId="23" fillId="4" borderId="13" xfId="10" applyNumberFormat="1" applyFont="1" applyFill="1" applyBorder="1" applyAlignment="1" applyProtection="1">
      <alignment vertical="center"/>
      <protection locked="0"/>
    </xf>
    <xf numFmtId="165" fontId="23" fillId="4" borderId="5" xfId="2" applyNumberFormat="1" applyFont="1" applyFill="1" applyBorder="1" applyAlignment="1" applyProtection="1">
      <alignment vertical="center"/>
      <protection locked="0"/>
    </xf>
    <xf numFmtId="165" fontId="23" fillId="4" borderId="37" xfId="10" applyNumberFormat="1" applyFont="1" applyFill="1" applyBorder="1" applyAlignment="1" applyProtection="1">
      <alignment vertical="center"/>
      <protection locked="0"/>
    </xf>
    <xf numFmtId="165" fontId="23" fillId="4" borderId="39" xfId="10" applyNumberFormat="1" applyFont="1" applyFill="1" applyBorder="1" applyAlignment="1" applyProtection="1">
      <alignment vertical="center"/>
      <protection locked="0"/>
    </xf>
    <xf numFmtId="165" fontId="20" fillId="4" borderId="3" xfId="6" applyNumberFormat="1" applyFont="1" applyFill="1" applyBorder="1" applyAlignment="1" applyProtection="1">
      <alignment vertical="center"/>
      <protection locked="0"/>
    </xf>
    <xf numFmtId="165" fontId="20" fillId="4" borderId="11" xfId="6" applyNumberFormat="1" applyFont="1" applyFill="1" applyBorder="1" applyAlignment="1" applyProtection="1">
      <alignment vertical="center"/>
      <protection locked="0"/>
    </xf>
    <xf numFmtId="165" fontId="20" fillId="4" borderId="12" xfId="6" applyNumberFormat="1" applyFont="1" applyFill="1" applyBorder="1" applyAlignment="1" applyProtection="1">
      <alignment vertical="center"/>
      <protection locked="0"/>
    </xf>
    <xf numFmtId="165" fontId="20" fillId="4" borderId="29" xfId="6" applyNumberFormat="1" applyFont="1" applyFill="1" applyBorder="1" applyAlignment="1" applyProtection="1">
      <alignment vertical="center"/>
      <protection locked="0"/>
    </xf>
    <xf numFmtId="165" fontId="20" fillId="4" borderId="42" xfId="6" applyNumberFormat="1" applyFont="1" applyFill="1" applyBorder="1" applyAlignment="1" applyProtection="1">
      <alignment vertical="center"/>
      <protection locked="0"/>
    </xf>
    <xf numFmtId="165" fontId="20" fillId="4" borderId="43" xfId="6" applyNumberFormat="1" applyFont="1" applyFill="1" applyBorder="1" applyAlignment="1" applyProtection="1">
      <alignment vertical="center"/>
      <protection locked="0"/>
    </xf>
    <xf numFmtId="165" fontId="20" fillId="4" borderId="44" xfId="6" applyNumberFormat="1" applyFont="1" applyFill="1" applyBorder="1" applyAlignment="1" applyProtection="1">
      <alignment vertical="center"/>
      <protection locked="0"/>
    </xf>
    <xf numFmtId="165" fontId="20" fillId="4" borderId="28" xfId="6" applyNumberFormat="1" applyFont="1" applyFill="1" applyBorder="1" applyAlignment="1" applyProtection="1">
      <alignment vertical="center"/>
      <protection locked="0"/>
    </xf>
    <xf numFmtId="165" fontId="20" fillId="4" borderId="49" xfId="6" applyNumberFormat="1" applyFont="1" applyFill="1" applyBorder="1" applyAlignment="1" applyProtection="1">
      <alignment vertical="center"/>
      <protection locked="0"/>
    </xf>
    <xf numFmtId="165" fontId="20" fillId="4" borderId="46" xfId="6" applyNumberFormat="1" applyFont="1" applyFill="1" applyBorder="1" applyAlignment="1" applyProtection="1">
      <alignment vertical="center"/>
      <protection locked="0"/>
    </xf>
    <xf numFmtId="165" fontId="20" fillId="4" borderId="47" xfId="6" applyNumberFormat="1" applyFont="1" applyFill="1" applyBorder="1" applyAlignment="1" applyProtection="1">
      <alignment vertical="center"/>
      <protection locked="0"/>
    </xf>
    <xf numFmtId="165" fontId="20" fillId="4" borderId="24" xfId="6" applyNumberFormat="1" applyFont="1" applyFill="1" applyBorder="1" applyAlignment="1" applyProtection="1">
      <alignment vertical="center"/>
      <protection locked="0"/>
    </xf>
    <xf numFmtId="165" fontId="20"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3" fillId="7" borderId="30" xfId="9" applyNumberFormat="1" applyFont="1" applyFill="1" applyBorder="1" applyAlignment="1" applyProtection="1">
      <alignment vertical="center"/>
    </xf>
    <xf numFmtId="165" fontId="20" fillId="4" borderId="66"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72"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6"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98"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9"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0" fontId="0" fillId="0" borderId="0" xfId="0" applyProtection="1"/>
    <xf numFmtId="0" fontId="22" fillId="8" borderId="25" xfId="7" applyFont="1" applyBorder="1" applyAlignment="1" applyProtection="1">
      <alignment horizontal="center" vertical="center" wrapText="1"/>
    </xf>
    <xf numFmtId="0" fontId="1" fillId="0" borderId="0" xfId="8" applyBorder="1" applyAlignment="1" applyProtection="1">
      <alignment horizontal="center" vertical="center"/>
    </xf>
    <xf numFmtId="165" fontId="23" fillId="4" borderId="2" xfId="9" applyNumberFormat="1" applyFont="1" applyFill="1" applyBorder="1" applyProtection="1">
      <protection locked="0"/>
    </xf>
    <xf numFmtId="165" fontId="23" fillId="4" borderId="3" xfId="9" applyNumberFormat="1" applyFont="1" applyFill="1" applyBorder="1" applyProtection="1">
      <protection locked="0"/>
    </xf>
    <xf numFmtId="165" fontId="23" fillId="4" borderId="4" xfId="9" applyNumberFormat="1" applyFont="1" applyFill="1" applyBorder="1" applyProtection="1">
      <protection locked="0"/>
    </xf>
    <xf numFmtId="165" fontId="23" fillId="4" borderId="34" xfId="9" applyNumberFormat="1" applyFont="1" applyFill="1" applyBorder="1" applyProtection="1">
      <protection locked="0"/>
    </xf>
    <xf numFmtId="0" fontId="22" fillId="0" borderId="2" xfId="6" applyFont="1" applyBorder="1" applyAlignment="1" applyProtection="1">
      <alignment horizontal="center" vertical="center"/>
    </xf>
    <xf numFmtId="165" fontId="20" fillId="7" borderId="1" xfId="6" applyNumberFormat="1" applyFont="1" applyFill="1" applyBorder="1" applyAlignment="1" applyProtection="1">
      <alignment vertical="center"/>
    </xf>
    <xf numFmtId="165" fontId="20" fillId="7" borderId="16"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protection locked="0"/>
    </xf>
    <xf numFmtId="2" fontId="20" fillId="4" borderId="3" xfId="6" applyNumberFormat="1" applyFont="1" applyFill="1" applyBorder="1" applyAlignment="1" applyProtection="1">
      <alignment vertical="center"/>
      <protection locked="0"/>
    </xf>
    <xf numFmtId="2" fontId="20" fillId="4" borderId="4" xfId="6" applyNumberFormat="1" applyFont="1" applyFill="1" applyBorder="1" applyAlignment="1" applyProtection="1">
      <alignment vertical="center"/>
      <protection locked="0"/>
    </xf>
    <xf numFmtId="0" fontId="7" fillId="3" borderId="57" xfId="9" applyFont="1" applyFill="1" applyBorder="1" applyAlignment="1" applyProtection="1">
      <alignment horizontal="center" vertical="center" wrapText="1"/>
    </xf>
    <xf numFmtId="0" fontId="7" fillId="3" borderId="12" xfId="9" applyFont="1" applyFill="1" applyBorder="1" applyAlignment="1" applyProtection="1">
      <alignment horizontal="center" vertical="center" wrapText="1"/>
    </xf>
    <xf numFmtId="165" fontId="23" fillId="4" borderId="38" xfId="10" applyNumberFormat="1" applyFont="1" applyFill="1" applyBorder="1" applyAlignment="1" applyProtection="1">
      <alignment vertical="center"/>
      <protection locked="0"/>
    </xf>
    <xf numFmtId="165" fontId="23" fillId="4" borderId="32" xfId="10" applyNumberFormat="1" applyFont="1" applyFill="1" applyBorder="1" applyAlignment="1" applyProtection="1">
      <alignment vertical="center"/>
      <protection locked="0"/>
    </xf>
    <xf numFmtId="0" fontId="23" fillId="0" borderId="9" xfId="9" applyFont="1" applyFill="1" applyBorder="1" applyAlignment="1" applyProtection="1">
      <alignment vertical="center" wrapText="1"/>
    </xf>
    <xf numFmtId="0" fontId="23" fillId="0" borderId="9" xfId="9" applyFont="1" applyFill="1" applyBorder="1" applyAlignment="1" applyProtection="1">
      <alignment vertical="center"/>
    </xf>
    <xf numFmtId="166" fontId="23" fillId="4" borderId="9" xfId="11" applyNumberFormat="1" applyFont="1" applyFill="1" applyBorder="1" applyAlignment="1" applyProtection="1">
      <alignment horizontal="right" vertical="center"/>
      <protection locked="0"/>
    </xf>
    <xf numFmtId="168" fontId="23" fillId="4" borderId="9" xfId="11" applyNumberFormat="1" applyFont="1" applyFill="1" applyBorder="1" applyAlignment="1" applyProtection="1">
      <alignment horizontal="right" vertical="center"/>
      <protection locked="0"/>
    </xf>
    <xf numFmtId="168" fontId="23" fillId="4" borderId="10" xfId="11" applyNumberFormat="1" applyFont="1" applyFill="1" applyBorder="1" applyAlignment="1" applyProtection="1">
      <alignment horizontal="right" vertical="center"/>
      <protection locked="0"/>
    </xf>
    <xf numFmtId="166" fontId="23" fillId="4" borderId="12" xfId="11" applyNumberFormat="1" applyFont="1" applyFill="1" applyBorder="1" applyAlignment="1" applyProtection="1">
      <alignment horizontal="right" vertical="center"/>
      <protection locked="0"/>
    </xf>
    <xf numFmtId="168" fontId="23" fillId="4" borderId="12" xfId="11" applyNumberFormat="1" applyFont="1" applyFill="1" applyBorder="1" applyAlignment="1" applyProtection="1">
      <alignment horizontal="right" vertical="center"/>
      <protection locked="0"/>
    </xf>
    <xf numFmtId="168" fontId="23" fillId="4" borderId="13" xfId="11" applyNumberFormat="1" applyFont="1" applyFill="1" applyBorder="1" applyAlignment="1" applyProtection="1">
      <alignment horizontal="right" vertical="center"/>
      <protection locked="0"/>
    </xf>
    <xf numFmtId="0" fontId="20" fillId="8" borderId="63" xfId="7" applyBorder="1" applyAlignment="1">
      <alignment horizontal="center" vertical="center" wrapText="1"/>
    </xf>
    <xf numFmtId="0" fontId="16" fillId="6" borderId="0" xfId="9" applyFill="1" applyAlignment="1" applyProtection="1">
      <alignment vertical="center"/>
    </xf>
    <xf numFmtId="0" fontId="16" fillId="6" borderId="0" xfId="9" applyFont="1" applyFill="1" applyAlignment="1" applyProtection="1">
      <alignment horizontal="center" vertical="center"/>
    </xf>
    <xf numFmtId="0" fontId="16" fillId="14" borderId="0" xfId="9" applyFill="1" applyAlignment="1" applyProtection="1">
      <alignment vertical="center"/>
    </xf>
    <xf numFmtId="0" fontId="16" fillId="14" borderId="0" xfId="9" applyFont="1" applyFill="1" applyAlignment="1" applyProtection="1">
      <alignment vertical="center"/>
    </xf>
    <xf numFmtId="0" fontId="16" fillId="14" borderId="0" xfId="9" applyFont="1" applyFill="1" applyBorder="1" applyAlignment="1" applyProtection="1">
      <alignment vertical="center"/>
    </xf>
    <xf numFmtId="0" fontId="20" fillId="14" borderId="0" xfId="8" applyFont="1" applyFill="1" applyAlignment="1" applyProtection="1">
      <alignment vertical="center"/>
    </xf>
    <xf numFmtId="0" fontId="9" fillId="14" borderId="0" xfId="8" applyFont="1" applyFill="1" applyAlignment="1" applyProtection="1">
      <alignment vertical="center"/>
    </xf>
    <xf numFmtId="0" fontId="0" fillId="14" borderId="0" xfId="0" applyFill="1" applyProtection="1"/>
    <xf numFmtId="0" fontId="1" fillId="14" borderId="0" xfId="8" applyFill="1" applyAlignment="1" applyProtection="1">
      <alignment vertical="center"/>
    </xf>
    <xf numFmtId="0" fontId="14" fillId="9" borderId="0" xfId="9" applyFont="1" applyFill="1" applyAlignment="1" applyProtection="1">
      <alignment vertical="center" wrapText="1"/>
    </xf>
    <xf numFmtId="0" fontId="23" fillId="0" borderId="6" xfId="9" applyNumberFormat="1" applyFont="1" applyFill="1" applyBorder="1" applyAlignment="1" applyProtection="1">
      <alignment horizontal="center" vertical="center" wrapText="1"/>
    </xf>
    <xf numFmtId="0" fontId="23" fillId="0" borderId="9" xfId="9" applyNumberFormat="1" applyFont="1" applyFill="1" applyBorder="1" applyAlignment="1" applyProtection="1">
      <alignment horizontal="center" vertical="center" wrapText="1"/>
    </xf>
    <xf numFmtId="0" fontId="0" fillId="0" borderId="0" xfId="0" applyNumberFormat="1"/>
    <xf numFmtId="0" fontId="16"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2" fillId="0" borderId="0" xfId="0" applyFont="1" applyAlignment="1">
      <alignment horizontal="left" vertical="center"/>
    </xf>
    <xf numFmtId="0" fontId="9" fillId="0" borderId="0" xfId="6" applyFont="1" applyAlignment="1" applyProtection="1">
      <alignment horizontal="left" vertical="center"/>
    </xf>
    <xf numFmtId="0" fontId="29" fillId="0" borderId="0" xfId="9" applyFont="1" applyFill="1" applyAlignment="1" applyProtection="1">
      <alignment horizontal="left" vertical="center"/>
    </xf>
    <xf numFmtId="0" fontId="1" fillId="0" borderId="0" xfId="6" applyAlignment="1" applyProtection="1">
      <alignment horizontal="left" vertical="center"/>
    </xf>
    <xf numFmtId="0" fontId="22" fillId="6" borderId="0" xfId="0" applyFont="1" applyFill="1" applyAlignment="1">
      <alignment horizontal="left" vertical="center"/>
    </xf>
    <xf numFmtId="0" fontId="22" fillId="0" borderId="0" xfId="6" applyFont="1" applyFill="1" applyAlignment="1" applyProtection="1">
      <alignment horizontal="left" vertical="center"/>
    </xf>
    <xf numFmtId="0" fontId="23" fillId="0" borderId="5" xfId="9" applyFont="1" applyFill="1" applyBorder="1" applyAlignment="1" applyProtection="1">
      <alignment horizontal="left" vertical="center"/>
    </xf>
    <xf numFmtId="0" fontId="23" fillId="0" borderId="6" xfId="9" applyFont="1" applyFill="1" applyBorder="1" applyAlignment="1" applyProtection="1">
      <alignment horizontal="left" vertical="center"/>
    </xf>
    <xf numFmtId="0" fontId="20" fillId="8" borderId="25" xfId="7" applyBorder="1" applyAlignment="1">
      <alignment horizontal="left" vertical="center"/>
    </xf>
    <xf numFmtId="0" fontId="23" fillId="0" borderId="8" xfId="9" applyFont="1" applyFill="1" applyBorder="1" applyAlignment="1" applyProtection="1">
      <alignment horizontal="left" vertical="center"/>
    </xf>
    <xf numFmtId="0" fontId="23" fillId="0" borderId="9" xfId="9" applyFont="1" applyFill="1" applyBorder="1" applyAlignment="1" applyProtection="1">
      <alignment horizontal="left" vertical="center"/>
    </xf>
    <xf numFmtId="0" fontId="23" fillId="0" borderId="11" xfId="9" applyFont="1" applyFill="1" applyBorder="1" applyAlignment="1" applyProtection="1">
      <alignment horizontal="left" vertical="center"/>
    </xf>
    <xf numFmtId="0" fontId="23"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6" fillId="0" borderId="0" xfId="9" applyFont="1" applyFill="1" applyAlignment="1" applyProtection="1">
      <alignment horizontal="center" vertical="center"/>
    </xf>
    <xf numFmtId="0" fontId="23" fillId="0" borderId="6" xfId="9" applyFont="1" applyFill="1" applyBorder="1" applyAlignment="1" applyProtection="1">
      <alignment horizontal="center" vertical="center"/>
    </xf>
    <xf numFmtId="0" fontId="23" fillId="0" borderId="9" xfId="9" applyFont="1" applyFill="1" applyBorder="1" applyAlignment="1" applyProtection="1">
      <alignment horizontal="center" vertical="center"/>
    </xf>
    <xf numFmtId="0" fontId="23"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6" fillId="0" borderId="0" xfId="9" applyFill="1" applyAlignment="1" applyProtection="1">
      <alignment horizontal="right" vertical="center" wrapText="1"/>
    </xf>
    <xf numFmtId="0" fontId="7" fillId="3" borderId="61" xfId="9" applyFont="1" applyFill="1" applyBorder="1" applyAlignment="1" applyProtection="1">
      <alignment horizontal="right" vertical="center" wrapText="1"/>
    </xf>
    <xf numFmtId="0" fontId="16" fillId="0" borderId="0" xfId="9" applyFont="1" applyFill="1" applyAlignment="1" applyProtection="1">
      <alignment horizontal="right" vertical="center" wrapText="1"/>
    </xf>
    <xf numFmtId="0" fontId="0" fillId="0" borderId="0" xfId="0" applyAlignment="1">
      <alignment horizontal="right" vertical="center" wrapText="1"/>
    </xf>
    <xf numFmtId="0" fontId="16" fillId="0" borderId="0" xfId="9" applyFill="1" applyAlignment="1" applyProtection="1">
      <alignment horizontal="center" vertical="center" wrapText="1"/>
    </xf>
    <xf numFmtId="0" fontId="16" fillId="0" borderId="0" xfId="9" applyFont="1" applyFill="1" applyAlignment="1" applyProtection="1">
      <alignment horizontal="center" vertical="center" wrapText="1"/>
    </xf>
    <xf numFmtId="0" fontId="0" fillId="0" borderId="0" xfId="0" applyAlignment="1">
      <alignment horizontal="center" vertical="center" wrapText="1"/>
    </xf>
    <xf numFmtId="0" fontId="29" fillId="0" borderId="0" xfId="9" applyFont="1" applyFill="1" applyAlignment="1" applyProtection="1">
      <alignment horizontal="center" vertical="center"/>
    </xf>
    <xf numFmtId="0" fontId="12" fillId="0" borderId="0" xfId="9" applyFont="1" applyFill="1" applyAlignment="1" applyProtection="1">
      <alignment vertical="center"/>
    </xf>
    <xf numFmtId="0" fontId="12" fillId="0" borderId="2" xfId="9" applyFont="1" applyFill="1" applyBorder="1" applyAlignment="1" applyProtection="1">
      <alignment horizontal="left" vertical="top"/>
    </xf>
    <xf numFmtId="0" fontId="12" fillId="0" borderId="60" xfId="9" applyFont="1" applyFill="1" applyBorder="1" applyAlignment="1" applyProtection="1">
      <alignment vertical="top"/>
    </xf>
    <xf numFmtId="0" fontId="23" fillId="4" borderId="6" xfId="11" applyNumberFormat="1" applyFont="1" applyFill="1" applyBorder="1" applyAlignment="1" applyProtection="1">
      <alignment horizontal="right" vertical="center" wrapText="1"/>
      <protection locked="0"/>
    </xf>
    <xf numFmtId="0" fontId="23" fillId="4" borderId="9" xfId="11" applyNumberFormat="1" applyFont="1" applyFill="1" applyBorder="1" applyAlignment="1" applyProtection="1">
      <alignment horizontal="right" vertical="center" wrapText="1"/>
      <protection locked="0"/>
    </xf>
    <xf numFmtId="0" fontId="23" fillId="4" borderId="10" xfId="11" applyNumberFormat="1" applyFont="1" applyFill="1" applyBorder="1" applyAlignment="1" applyProtection="1">
      <alignment horizontal="center" vertical="center" wrapText="1"/>
      <protection locked="0"/>
    </xf>
    <xf numFmtId="0" fontId="23" fillId="4" borderId="12" xfId="11" applyNumberFormat="1" applyFont="1" applyFill="1" applyBorder="1" applyAlignment="1" applyProtection="1">
      <alignment horizontal="right" vertical="center" wrapText="1"/>
      <protection locked="0"/>
    </xf>
    <xf numFmtId="0" fontId="23" fillId="4" borderId="13" xfId="11" applyNumberFormat="1" applyFont="1" applyFill="1" applyBorder="1" applyAlignment="1" applyProtection="1">
      <alignment horizontal="center" vertical="center" wrapText="1"/>
      <protection locked="0"/>
    </xf>
    <xf numFmtId="0" fontId="22" fillId="14" borderId="0" xfId="0" applyFont="1" applyFill="1" applyAlignment="1">
      <alignment horizontal="left" vertical="center"/>
    </xf>
    <xf numFmtId="0" fontId="1" fillId="0" borderId="35" xfId="8" applyBorder="1" applyAlignment="1" applyProtection="1">
      <alignment vertical="center"/>
    </xf>
    <xf numFmtId="0" fontId="0" fillId="14" borderId="0" xfId="0" applyFill="1" applyAlignment="1">
      <alignment horizontal="left" vertical="center" wrapText="1"/>
    </xf>
    <xf numFmtId="0" fontId="7" fillId="3" borderId="16" xfId="9" applyFont="1" applyFill="1" applyBorder="1" applyAlignment="1" applyProtection="1">
      <alignment horizontal="left" vertical="center" wrapText="1"/>
    </xf>
    <xf numFmtId="0" fontId="23" fillId="0" borderId="54" xfId="9" applyFont="1" applyFill="1" applyBorder="1" applyAlignment="1" applyProtection="1">
      <alignment horizontal="center" vertical="center"/>
    </xf>
    <xf numFmtId="0" fontId="23" fillId="0" borderId="57" xfId="9" applyFont="1" applyFill="1" applyBorder="1" applyAlignment="1" applyProtection="1">
      <alignment horizontal="center" vertical="center"/>
    </xf>
    <xf numFmtId="0" fontId="0" fillId="0" borderId="35" xfId="0" applyBorder="1" applyProtection="1"/>
    <xf numFmtId="0" fontId="23" fillId="0" borderId="8" xfId="9" applyFont="1" applyFill="1" applyBorder="1" applyAlignment="1" applyProtection="1">
      <alignment horizontal="center" vertical="top" wrapText="1"/>
    </xf>
    <xf numFmtId="0" fontId="23" fillId="0" borderId="11" xfId="9" applyFont="1" applyFill="1" applyBorder="1" applyAlignment="1" applyProtection="1">
      <alignment horizontal="center" vertical="top" wrapText="1"/>
    </xf>
    <xf numFmtId="0" fontId="12" fillId="0" borderId="60" xfId="9" applyFont="1" applyFill="1" applyBorder="1" applyAlignment="1" applyProtection="1">
      <alignment horizontal="left" vertical="top"/>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2" fillId="6" borderId="0" xfId="6" applyFont="1" applyFill="1" applyAlignment="1" applyProtection="1">
      <alignment horizontal="left" vertical="center"/>
    </xf>
    <xf numFmtId="0" fontId="22" fillId="14" borderId="0" xfId="6" applyFont="1" applyFill="1" applyAlignment="1" applyProtection="1">
      <alignment horizontal="center" vertical="center" wrapText="1"/>
    </xf>
    <xf numFmtId="0" fontId="22" fillId="6" borderId="0" xfId="0" applyFont="1" applyFill="1"/>
    <xf numFmtId="0" fontId="22" fillId="0" borderId="0" xfId="0" applyFont="1"/>
    <xf numFmtId="0" fontId="14" fillId="9" borderId="0" xfId="9" applyFont="1" applyFill="1" applyAlignment="1" applyProtection="1">
      <alignment horizontal="center" vertical="center"/>
    </xf>
    <xf numFmtId="0" fontId="22" fillId="14" borderId="0" xfId="6" applyFont="1" applyFill="1" applyAlignment="1" applyProtection="1">
      <alignment horizontal="center" vertical="center"/>
    </xf>
    <xf numFmtId="0" fontId="22" fillId="0" borderId="0" xfId="0" applyFont="1" applyAlignment="1"/>
    <xf numFmtId="0" fontId="22" fillId="14" borderId="0" xfId="0" applyFont="1" applyFill="1"/>
    <xf numFmtId="0" fontId="22" fillId="0" borderId="0" xfId="0" applyFont="1" applyAlignment="1">
      <alignment horizontal="center"/>
    </xf>
    <xf numFmtId="0" fontId="22" fillId="0" borderId="0" xfId="0" applyFont="1" applyAlignment="1">
      <alignment horizontal="center" vertical="center"/>
    </xf>
    <xf numFmtId="0" fontId="22" fillId="6" borderId="0" xfId="0" applyFont="1" applyFill="1" applyAlignment="1">
      <alignment horizontal="center"/>
    </xf>
    <xf numFmtId="0" fontId="22" fillId="6" borderId="0" xfId="0" applyFont="1" applyFill="1" applyAlignment="1">
      <alignment horizontal="center" vertical="center"/>
    </xf>
    <xf numFmtId="0" fontId="0" fillId="14" borderId="0" xfId="0" applyFill="1" applyAlignment="1">
      <alignment wrapText="1"/>
    </xf>
    <xf numFmtId="0" fontId="7" fillId="3" borderId="14" xfId="9" applyFont="1" applyFill="1" applyBorder="1" applyAlignment="1" applyProtection="1">
      <alignment horizontal="center" vertical="center" wrapText="1"/>
    </xf>
    <xf numFmtId="2" fontId="23" fillId="7" borderId="13" xfId="9" applyNumberFormat="1" applyFont="1" applyFill="1" applyBorder="1" applyAlignment="1" applyProtection="1">
      <alignment horizontal="right"/>
    </xf>
    <xf numFmtId="0" fontId="12" fillId="0" borderId="0" xfId="9" applyFont="1" applyFill="1" applyAlignment="1" applyProtection="1">
      <alignment vertical="center"/>
    </xf>
    <xf numFmtId="0" fontId="7" fillId="3" borderId="3" xfId="9" applyFont="1" applyFill="1" applyBorder="1" applyAlignment="1" applyProtection="1">
      <alignment horizontal="left" vertical="center" wrapText="1"/>
    </xf>
    <xf numFmtId="0" fontId="20" fillId="6" borderId="0" xfId="0" applyFont="1" applyFill="1"/>
    <xf numFmtId="0" fontId="20" fillId="0" borderId="0" xfId="0" applyFont="1"/>
    <xf numFmtId="0" fontId="20" fillId="0" borderId="0" xfId="6" applyFont="1" applyFill="1" applyAlignment="1" applyProtection="1">
      <alignment vertical="center"/>
    </xf>
    <xf numFmtId="0" fontId="20" fillId="0" borderId="0" xfId="0" applyFont="1" applyAlignment="1">
      <alignment horizontal="center" vertical="center"/>
    </xf>
    <xf numFmtId="0" fontId="20" fillId="6" borderId="0" xfId="0" applyFont="1" applyFill="1" applyAlignment="1">
      <alignment horizontal="center" vertical="center"/>
    </xf>
    <xf numFmtId="0" fontId="12" fillId="0" borderId="33" xfId="9" applyFont="1" applyFill="1" applyBorder="1" applyAlignment="1" applyProtection="1">
      <alignment horizontal="left" vertical="top"/>
    </xf>
    <xf numFmtId="0" fontId="23" fillId="0" borderId="113" xfId="9" applyFont="1" applyFill="1" applyBorder="1" applyAlignment="1" applyProtection="1">
      <alignment horizontal="center" vertical="top" wrapText="1"/>
    </xf>
    <xf numFmtId="0" fontId="23" fillId="0" borderId="56" xfId="9" applyFont="1" applyFill="1" applyBorder="1" applyAlignment="1" applyProtection="1">
      <alignment horizontal="center" vertical="top" wrapText="1"/>
    </xf>
    <xf numFmtId="0" fontId="23" fillId="0" borderId="57" xfId="9" applyFont="1" applyFill="1" applyBorder="1" applyAlignment="1" applyProtection="1">
      <alignment horizontal="center" vertical="top" wrapText="1"/>
    </xf>
    <xf numFmtId="0" fontId="20" fillId="0" borderId="2" xfId="0" applyFont="1" applyBorder="1" applyAlignment="1">
      <alignment horizontal="center"/>
    </xf>
    <xf numFmtId="0" fontId="20" fillId="0" borderId="3" xfId="0" applyFont="1" applyBorder="1" applyAlignment="1">
      <alignment horizontal="left"/>
    </xf>
    <xf numFmtId="0" fontId="20" fillId="0" borderId="3" xfId="0" applyFont="1" applyBorder="1" applyAlignment="1">
      <alignment horizontal="center"/>
    </xf>
    <xf numFmtId="0" fontId="23" fillId="0" borderId="2" xfId="6" applyFont="1" applyBorder="1" applyAlignment="1" applyProtection="1">
      <alignment horizontal="center" vertical="center"/>
    </xf>
    <xf numFmtId="0" fontId="16" fillId="0" borderId="3" xfId="6" applyFont="1" applyBorder="1" applyAlignment="1" applyProtection="1">
      <alignment vertical="center"/>
    </xf>
    <xf numFmtId="0" fontId="7" fillId="3" borderId="14" xfId="9" applyFont="1" applyFill="1" applyBorder="1" applyAlignment="1" applyProtection="1">
      <alignment horizontal="center" vertical="center"/>
    </xf>
    <xf numFmtId="165" fontId="23" fillId="4" borderId="31" xfId="10" applyNumberFormat="1" applyFont="1" applyFill="1" applyBorder="1" applyAlignment="1" applyProtection="1">
      <alignment vertical="center"/>
      <protection locked="0"/>
    </xf>
    <xf numFmtId="165" fontId="23" fillId="4" borderId="57" xfId="10" applyNumberFormat="1" applyFont="1" applyFill="1" applyBorder="1" applyAlignment="1" applyProtection="1">
      <alignment vertical="center"/>
      <protection locked="0"/>
    </xf>
    <xf numFmtId="165" fontId="23" fillId="4" borderId="54" xfId="10" applyNumberFormat="1" applyFont="1" applyFill="1" applyBorder="1" applyAlignment="1" applyProtection="1">
      <alignment vertical="center"/>
      <protection locked="0"/>
    </xf>
    <xf numFmtId="0" fontId="7" fillId="3" borderId="34" xfId="9" applyFont="1" applyFill="1" applyBorder="1" applyAlignment="1" applyProtection="1">
      <alignment horizontal="center" vertical="center" wrapText="1"/>
    </xf>
    <xf numFmtId="0" fontId="12" fillId="9"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0" borderId="0" xfId="0" applyFill="1" applyAlignment="1" applyProtection="1">
      <alignment wrapText="1"/>
    </xf>
    <xf numFmtId="0" fontId="7" fillId="3" borderId="110" xfId="6" applyFont="1" applyFill="1" applyBorder="1" applyAlignment="1" applyProtection="1">
      <alignment horizontal="center" vertical="center" wrapText="1"/>
    </xf>
    <xf numFmtId="165" fontId="20" fillId="7" borderId="116" xfId="6" applyNumberFormat="1" applyFont="1" applyFill="1" applyBorder="1" applyAlignment="1" applyProtection="1">
      <alignment vertical="center"/>
    </xf>
    <xf numFmtId="165" fontId="20" fillId="4" borderId="117" xfId="6" applyNumberFormat="1" applyFont="1" applyFill="1" applyBorder="1" applyAlignment="1" applyProtection="1">
      <alignment vertical="center"/>
      <protection locked="0"/>
    </xf>
    <xf numFmtId="165" fontId="20" fillId="4" borderId="118" xfId="6" applyNumberFormat="1" applyFont="1" applyFill="1" applyBorder="1" applyAlignment="1" applyProtection="1">
      <alignment vertical="center"/>
      <protection locked="0"/>
    </xf>
    <xf numFmtId="0" fontId="7" fillId="0" borderId="0" xfId="9"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1" fontId="23" fillId="7" borderId="1" xfId="9" applyNumberFormat="1" applyFont="1" applyFill="1" applyBorder="1" applyAlignment="1" applyProtection="1">
      <alignment vertical="center"/>
    </xf>
    <xf numFmtId="1" fontId="23" fillId="0" borderId="0" xfId="9" applyNumberFormat="1" applyFont="1" applyFill="1" applyAlignment="1" applyProtection="1">
      <alignment vertical="center"/>
    </xf>
    <xf numFmtId="1" fontId="23" fillId="7" borderId="31" xfId="9" applyNumberFormat="1" applyFont="1" applyFill="1" applyBorder="1" applyAlignment="1" applyProtection="1">
      <alignment vertical="center"/>
    </xf>
    <xf numFmtId="1" fontId="23" fillId="7" borderId="32" xfId="9" applyNumberFormat="1" applyFont="1" applyFill="1" applyBorder="1" applyAlignment="1" applyProtection="1">
      <alignment vertical="center"/>
    </xf>
    <xf numFmtId="1" fontId="20" fillId="0" borderId="0" xfId="6" applyNumberFormat="1" applyFont="1" applyAlignment="1" applyProtection="1">
      <alignment vertical="center"/>
    </xf>
    <xf numFmtId="165" fontId="23" fillId="4" borderId="1" xfId="11" applyNumberFormat="1" applyFont="1" applyFill="1" applyBorder="1" applyAlignment="1" applyProtection="1">
      <alignment vertical="center"/>
      <protection locked="0"/>
    </xf>
    <xf numFmtId="165" fontId="23" fillId="0" borderId="0" xfId="9" applyNumberFormat="1" applyFont="1" applyFill="1" applyAlignment="1" applyProtection="1">
      <alignment vertical="center"/>
    </xf>
    <xf numFmtId="165" fontId="23" fillId="4" borderId="31" xfId="11" applyNumberFormat="1" applyFont="1" applyFill="1" applyBorder="1" applyAlignment="1" applyProtection="1">
      <alignment vertical="center"/>
      <protection locked="0"/>
    </xf>
    <xf numFmtId="165" fontId="23" fillId="4" borderId="32" xfId="11" applyNumberFormat="1" applyFont="1" applyFill="1" applyBorder="1" applyAlignment="1" applyProtection="1">
      <alignment vertical="center"/>
      <protection locked="0"/>
    </xf>
    <xf numFmtId="165" fontId="20" fillId="0" borderId="0" xfId="8" applyNumberFormat="1" applyFont="1" applyAlignment="1" applyProtection="1">
      <alignment horizontal="center" vertical="center"/>
    </xf>
    <xf numFmtId="165" fontId="23" fillId="7" borderId="1" xfId="9" applyNumberFormat="1" applyFont="1" applyFill="1" applyBorder="1" applyAlignment="1" applyProtection="1">
      <alignment vertical="center"/>
    </xf>
    <xf numFmtId="0" fontId="23" fillId="9" borderId="33" xfId="9" applyFont="1" applyFill="1" applyBorder="1" applyAlignment="1" applyProtection="1">
      <alignment horizontal="center" vertical="center"/>
    </xf>
    <xf numFmtId="0" fontId="16" fillId="0" borderId="1" xfId="9" applyFont="1" applyFill="1" applyBorder="1" applyAlignment="1" applyProtection="1">
      <alignment vertical="center"/>
    </xf>
    <xf numFmtId="0" fontId="23" fillId="9" borderId="0" xfId="9" applyFont="1" applyFill="1" applyBorder="1" applyAlignment="1" applyProtection="1">
      <alignment horizontal="center" vertical="center"/>
    </xf>
    <xf numFmtId="0" fontId="9" fillId="0" borderId="0" xfId="8" applyFont="1" applyFill="1" applyAlignment="1" applyProtection="1">
      <alignment horizontal="center" vertical="center"/>
    </xf>
    <xf numFmtId="0" fontId="28" fillId="0" borderId="0" xfId="6" applyFont="1" applyFill="1" applyBorder="1" applyAlignment="1" applyProtection="1">
      <alignment horizontal="center" vertical="center" wrapText="1"/>
    </xf>
    <xf numFmtId="1" fontId="23"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0" fillId="6" borderId="0" xfId="6" applyFont="1" applyFill="1" applyAlignment="1" applyProtection="1">
      <alignment horizontal="center" vertical="center" wrapText="1"/>
    </xf>
    <xf numFmtId="0" fontId="22" fillId="8" borderId="25" xfId="7" applyFont="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23" fillId="0" borderId="43" xfId="9" applyFont="1" applyFill="1" applyBorder="1" applyAlignment="1" applyProtection="1">
      <alignment horizontal="center" vertical="center"/>
    </xf>
    <xf numFmtId="0" fontId="16" fillId="0" borderId="44" xfId="9" applyFont="1" applyFill="1" applyBorder="1" applyAlignment="1" applyProtection="1">
      <alignment horizontal="left" vertical="center"/>
    </xf>
    <xf numFmtId="165" fontId="23" fillId="4" borderId="30"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4" fillId="0" borderId="12" xfId="9" quotePrefix="1" applyFont="1" applyFill="1" applyBorder="1" applyAlignment="1" applyProtection="1">
      <alignment horizontal="center" vertical="center"/>
    </xf>
    <xf numFmtId="0" fontId="14" fillId="0" borderId="36" xfId="9" applyFont="1" applyFill="1" applyBorder="1" applyAlignment="1" applyProtection="1">
      <alignment horizontal="center" vertical="center"/>
    </xf>
    <xf numFmtId="0" fontId="14" fillId="0" borderId="40" xfId="9" applyFont="1" applyFill="1" applyBorder="1" applyAlignment="1" applyProtection="1">
      <alignment horizontal="center" vertical="center"/>
    </xf>
    <xf numFmtId="165" fontId="20" fillId="7" borderId="37" xfId="6" applyNumberFormat="1" applyFont="1" applyFill="1" applyBorder="1" applyAlignment="1" applyProtection="1">
      <alignment vertical="center"/>
    </xf>
    <xf numFmtId="0" fontId="20" fillId="0" borderId="0" xfId="6" applyFont="1" applyFill="1" applyAlignment="1" applyProtection="1">
      <alignment horizontal="left" vertical="center"/>
    </xf>
    <xf numFmtId="0" fontId="20" fillId="6" borderId="0" xfId="6" applyFont="1" applyFill="1" applyAlignment="1" applyProtection="1">
      <alignment horizontal="center" vertical="center" wrapText="1"/>
    </xf>
    <xf numFmtId="0" fontId="23" fillId="0" borderId="12" xfId="9" applyFont="1" applyFill="1" applyBorder="1" applyAlignment="1" applyProtection="1">
      <alignment vertical="center" wrapText="1"/>
    </xf>
    <xf numFmtId="165" fontId="23" fillId="4" borderId="46" xfId="9" applyNumberFormat="1" applyFont="1" applyFill="1" applyBorder="1" applyProtection="1">
      <protection locked="0"/>
    </xf>
    <xf numFmtId="165" fontId="23" fillId="4" borderId="47" xfId="9" applyNumberFormat="1" applyFont="1" applyFill="1" applyBorder="1" applyProtection="1">
      <protection locked="0"/>
    </xf>
    <xf numFmtId="165" fontId="23" fillId="4" borderId="50" xfId="9" applyNumberFormat="1" applyFont="1" applyFill="1" applyBorder="1" applyProtection="1">
      <protection locked="0"/>
    </xf>
    <xf numFmtId="165" fontId="23" fillId="4" borderId="113" xfId="9" applyNumberFormat="1" applyFont="1" applyFill="1" applyBorder="1" applyProtection="1">
      <protection locked="0"/>
    </xf>
    <xf numFmtId="165" fontId="23" fillId="4" borderId="43" xfId="9" applyNumberFormat="1" applyFont="1" applyFill="1" applyBorder="1" applyProtection="1">
      <protection locked="0"/>
    </xf>
    <xf numFmtId="165" fontId="23" fillId="4" borderId="44" xfId="9" applyNumberFormat="1" applyFont="1" applyFill="1" applyBorder="1" applyProtection="1">
      <protection locked="0"/>
    </xf>
    <xf numFmtId="165" fontId="23" fillId="4" borderId="62" xfId="9" applyNumberFormat="1" applyFont="1" applyFill="1" applyBorder="1" applyProtection="1">
      <protection locked="0"/>
    </xf>
    <xf numFmtId="165" fontId="23" fillId="4" borderId="122"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center" wrapText="1"/>
    </xf>
    <xf numFmtId="0" fontId="23" fillId="0" borderId="12" xfId="9" applyFont="1" applyFill="1" applyBorder="1" applyAlignment="1" applyProtection="1">
      <alignment vertical="center"/>
    </xf>
    <xf numFmtId="0" fontId="23" fillId="0" borderId="12" xfId="9" applyNumberFormat="1" applyFont="1" applyFill="1" applyBorder="1" applyAlignment="1" applyProtection="1">
      <alignment horizontal="center" vertical="center" wrapText="1"/>
    </xf>
    <xf numFmtId="165" fontId="23" fillId="4" borderId="29" xfId="10" applyNumberFormat="1" applyFont="1" applyFill="1" applyBorder="1" applyAlignment="1" applyProtection="1">
      <alignment vertical="center"/>
      <protection locked="0"/>
    </xf>
    <xf numFmtId="165" fontId="23" fillId="4" borderId="45" xfId="10" applyNumberFormat="1" applyFont="1" applyFill="1" applyBorder="1" applyAlignment="1" applyProtection="1">
      <alignment vertical="center"/>
      <protection locked="0"/>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165" fontId="20" fillId="4" borderId="123" xfId="6" applyNumberFormat="1" applyFont="1" applyFill="1" applyBorder="1" applyAlignment="1" applyProtection="1">
      <alignment vertical="center"/>
      <protection locked="0"/>
    </xf>
    <xf numFmtId="165" fontId="20" fillId="7" borderId="124" xfId="6" applyNumberFormat="1" applyFont="1" applyFill="1" applyBorder="1" applyAlignment="1" applyProtection="1">
      <alignment vertical="center"/>
    </xf>
    <xf numFmtId="165" fontId="20" fillId="0" borderId="80" xfId="6" applyNumberFormat="1" applyFont="1" applyFill="1" applyBorder="1" applyAlignment="1" applyProtection="1">
      <alignment vertical="center"/>
    </xf>
    <xf numFmtId="165" fontId="20" fillId="0" borderId="81"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protection locked="0"/>
    </xf>
    <xf numFmtId="10" fontId="20" fillId="4" borderId="32" xfId="6" applyNumberFormat="1" applyFont="1" applyFill="1" applyBorder="1" applyAlignment="1" applyProtection="1">
      <alignment vertical="center"/>
      <protection locked="0"/>
    </xf>
    <xf numFmtId="0" fontId="9" fillId="0" borderId="60" xfId="6" applyFont="1" applyBorder="1" applyAlignment="1" applyProtection="1">
      <alignment vertical="center"/>
    </xf>
    <xf numFmtId="0" fontId="22" fillId="0" borderId="35" xfId="6" applyFont="1" applyBorder="1" applyAlignment="1" applyProtection="1">
      <alignment horizontal="center" vertical="center"/>
    </xf>
    <xf numFmtId="0" fontId="22" fillId="0" borderId="1" xfId="6" applyFont="1" applyBorder="1" applyAlignment="1" applyProtection="1">
      <alignment horizontal="center" vertical="center"/>
    </xf>
    <xf numFmtId="165" fontId="23" fillId="4" borderId="26" xfId="10"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horizontal="center" vertical="center"/>
      <protection locked="0"/>
    </xf>
    <xf numFmtId="165" fontId="23" fillId="4" borderId="12" xfId="11" applyNumberFormat="1" applyFont="1" applyFill="1" applyBorder="1" applyAlignment="1" applyProtection="1">
      <alignment horizontal="center" vertical="center"/>
      <protection locked="0"/>
    </xf>
    <xf numFmtId="0" fontId="23" fillId="0" borderId="0" xfId="9" applyNumberFormat="1" applyFont="1" applyFill="1" applyBorder="1" applyAlignment="1" applyProtection="1">
      <alignment horizontal="center" vertical="center" wrapText="1"/>
    </xf>
    <xf numFmtId="165" fontId="23" fillId="4" borderId="125" xfId="2" applyNumberFormat="1" applyFont="1" applyFill="1" applyBorder="1" applyAlignment="1" applyProtection="1">
      <alignment vertical="center"/>
      <protection locked="0"/>
    </xf>
    <xf numFmtId="165" fontId="23" fillId="4" borderId="114" xfId="2" applyNumberFormat="1" applyFont="1" applyFill="1" applyBorder="1" applyAlignment="1" applyProtection="1">
      <alignment vertical="center"/>
      <protection locked="0"/>
    </xf>
    <xf numFmtId="165" fontId="20" fillId="4" borderId="126" xfId="6" applyNumberFormat="1" applyFont="1" applyFill="1" applyBorder="1" applyAlignment="1" applyProtection="1">
      <alignment vertical="center"/>
      <protection locked="0"/>
    </xf>
    <xf numFmtId="165" fontId="23" fillId="4" borderId="18" xfId="2" applyNumberFormat="1" applyFont="1" applyFill="1" applyBorder="1" applyAlignment="1" applyProtection="1">
      <alignment vertical="center"/>
      <protection locked="0"/>
    </xf>
    <xf numFmtId="165" fontId="23" fillId="4" borderId="32" xfId="2" applyNumberFormat="1" applyFont="1" applyFill="1" applyBorder="1" applyAlignment="1" applyProtection="1">
      <alignment vertical="center"/>
      <protection locked="0"/>
    </xf>
    <xf numFmtId="165" fontId="23" fillId="4" borderId="24" xfId="2" applyNumberFormat="1" applyFont="1" applyFill="1" applyBorder="1" applyAlignment="1" applyProtection="1">
      <alignment vertical="center"/>
      <protection locked="0"/>
    </xf>
    <xf numFmtId="165" fontId="23" fillId="4" borderId="47" xfId="9" applyNumberFormat="1" applyFont="1" applyFill="1" applyBorder="1" applyAlignment="1" applyProtection="1">
      <alignment vertical="center"/>
      <protection locked="0"/>
    </xf>
    <xf numFmtId="165" fontId="23" fillId="7" borderId="20" xfId="9" applyNumberFormat="1" applyFont="1" applyFill="1" applyBorder="1" applyAlignment="1" applyProtection="1">
      <alignment vertical="center"/>
    </xf>
    <xf numFmtId="0" fontId="22" fillId="8" borderId="25" xfId="7" applyFont="1" applyBorder="1" applyAlignment="1" applyProtection="1">
      <alignment horizontal="center" vertical="center" wrapText="1"/>
    </xf>
    <xf numFmtId="165" fontId="23" fillId="7" borderId="6" xfId="9" applyNumberFormat="1" applyFont="1" applyFill="1" applyBorder="1" applyAlignment="1" applyProtection="1">
      <alignment vertical="center"/>
    </xf>
    <xf numFmtId="165" fontId="23" fillId="4" borderId="11" xfId="2" applyNumberFormat="1" applyFont="1" applyFill="1" applyBorder="1" applyAlignment="1" applyProtection="1">
      <alignment vertical="center"/>
      <protection locked="0"/>
    </xf>
    <xf numFmtId="165" fontId="23" fillId="4" borderId="27" xfId="2" applyNumberFormat="1" applyFont="1" applyFill="1" applyBorder="1" applyAlignment="1" applyProtection="1">
      <alignment vertical="center"/>
      <protection locked="0"/>
    </xf>
    <xf numFmtId="0" fontId="0" fillId="6" borderId="0" xfId="0" applyFill="1"/>
    <xf numFmtId="0" fontId="16" fillId="0" borderId="0" xfId="0" applyFont="1" applyFill="1" applyAlignment="1" applyProtection="1">
      <alignment vertical="top" wrapText="1"/>
    </xf>
    <xf numFmtId="165" fontId="23" fillId="7" borderId="113" xfId="2" applyNumberFormat="1" applyFont="1" applyFill="1" applyBorder="1" applyAlignment="1" applyProtection="1">
      <alignment vertical="center"/>
    </xf>
    <xf numFmtId="165" fontId="23" fillId="7" borderId="7" xfId="2" applyNumberFormat="1" applyFont="1" applyFill="1" applyBorder="1" applyAlignment="1" applyProtection="1">
      <alignment vertical="center"/>
    </xf>
    <xf numFmtId="165" fontId="23" fillId="7" borderId="18" xfId="2" applyNumberFormat="1" applyFont="1" applyFill="1" applyBorder="1" applyAlignment="1" applyProtection="1">
      <alignment vertical="center"/>
    </xf>
    <xf numFmtId="165" fontId="23" fillId="7" borderId="32" xfId="2" applyNumberFormat="1" applyFont="1" applyFill="1" applyBorder="1" applyAlignment="1" applyProtection="1">
      <alignment vertical="center"/>
    </xf>
    <xf numFmtId="165" fontId="23" fillId="7" borderId="49" xfId="2" applyNumberFormat="1" applyFont="1" applyFill="1" applyBorder="1" applyAlignment="1" applyProtection="1">
      <alignment vertical="center"/>
    </xf>
    <xf numFmtId="165" fontId="23" fillId="7" borderId="30" xfId="2" applyNumberFormat="1" applyFont="1" applyFill="1" applyBorder="1" applyAlignment="1" applyProtection="1">
      <alignment vertical="center"/>
    </xf>
    <xf numFmtId="169" fontId="16" fillId="0" borderId="0" xfId="0" applyNumberFormat="1" applyFont="1" applyFill="1" applyBorder="1" applyAlignment="1">
      <alignment horizontal="right" vertical="top" wrapText="1"/>
    </xf>
    <xf numFmtId="49" fontId="16" fillId="0" borderId="0" xfId="0" applyNumberFormat="1" applyFont="1" applyFill="1" applyBorder="1" applyAlignment="1">
      <alignment horizontal="right" vertical="top" wrapText="1"/>
    </xf>
    <xf numFmtId="0" fontId="16" fillId="0" borderId="0" xfId="0" applyFont="1" applyFill="1" applyBorder="1" applyAlignment="1">
      <alignment horizontal="right" vertical="top" wrapText="1"/>
    </xf>
    <xf numFmtId="3" fontId="16" fillId="0" borderId="0" xfId="0" applyNumberFormat="1" applyFont="1" applyFill="1" applyBorder="1" applyAlignment="1">
      <alignment horizontal="right" vertical="top" wrapText="1"/>
    </xf>
    <xf numFmtId="4" fontId="16" fillId="0" borderId="0" xfId="0" applyNumberFormat="1" applyFont="1" applyFill="1" applyBorder="1" applyAlignment="1">
      <alignment horizontal="right" vertical="top" wrapText="1"/>
    </xf>
    <xf numFmtId="3" fontId="9" fillId="0" borderId="0" xfId="0" applyNumberFormat="1"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NumberFormat="1" applyFont="1" applyFill="1" applyBorder="1" applyAlignment="1">
      <alignment horizontal="right" vertical="top" wrapText="1"/>
    </xf>
    <xf numFmtId="0" fontId="44" fillId="0" borderId="0" xfId="0" applyFont="1" applyFill="1" applyBorder="1" applyAlignment="1">
      <alignment horizontal="right" vertical="top" wrapText="1"/>
    </xf>
    <xf numFmtId="49" fontId="9" fillId="0" borderId="0" xfId="0" applyNumberFormat="1" applyFont="1" applyFill="1" applyBorder="1" applyAlignment="1">
      <alignment horizontal="right" vertical="top" wrapText="1"/>
    </xf>
    <xf numFmtId="169" fontId="9" fillId="0" borderId="0" xfId="0" applyNumberFormat="1" applyFont="1" applyFill="1" applyBorder="1" applyAlignment="1">
      <alignment horizontal="right" vertical="top" wrapText="1"/>
    </xf>
    <xf numFmtId="0" fontId="22" fillId="0" borderId="0" xfId="0" applyFont="1" applyFill="1" applyBorder="1" applyAlignment="1">
      <alignment horizontal="right" vertical="top" wrapText="1"/>
    </xf>
    <xf numFmtId="20" fontId="16" fillId="0" borderId="0" xfId="0" applyNumberFormat="1" applyFont="1" applyFill="1" applyBorder="1" applyAlignment="1">
      <alignment horizontal="right" vertical="top" wrapText="1"/>
    </xf>
    <xf numFmtId="167" fontId="16" fillId="0" borderId="0" xfId="0" applyNumberFormat="1" applyFont="1" applyFill="1" applyBorder="1" applyAlignment="1">
      <alignment horizontal="right" vertical="top" wrapText="1"/>
    </xf>
    <xf numFmtId="0" fontId="45" fillId="0" borderId="0" xfId="0" applyFont="1" applyFill="1" applyBorder="1" applyAlignment="1">
      <alignment horizontal="right" vertical="top" wrapText="1"/>
    </xf>
    <xf numFmtId="0" fontId="23" fillId="0" borderId="0" xfId="0" applyFont="1" applyFill="1" applyBorder="1" applyAlignment="1">
      <alignment horizontal="right" vertical="top" wrapText="1"/>
    </xf>
    <xf numFmtId="0" fontId="14" fillId="0" borderId="0" xfId="0" applyFont="1" applyFill="1" applyBorder="1" applyAlignment="1">
      <alignment horizontal="right" vertical="top" wrapText="1"/>
    </xf>
    <xf numFmtId="0" fontId="16" fillId="0" borderId="0" xfId="0" applyNumberFormat="1" applyFont="1" applyFill="1" applyBorder="1" applyAlignment="1">
      <alignment horizontal="right" vertical="top" wrapText="1"/>
    </xf>
    <xf numFmtId="3" fontId="14"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4" fontId="9" fillId="0" borderId="0" xfId="0" applyNumberFormat="1" applyFont="1" applyBorder="1" applyAlignment="1">
      <alignment horizontal="left" vertical="top" wrapText="1"/>
    </xf>
    <xf numFmtId="3" fontId="9" fillId="0" borderId="0" xfId="0" applyNumberFormat="1" applyFont="1" applyBorder="1" applyAlignment="1">
      <alignment horizontal="left" vertical="top" wrapText="1"/>
    </xf>
    <xf numFmtId="0" fontId="39" fillId="0" borderId="0" xfId="0" applyNumberFormat="1" applyFont="1" applyBorder="1"/>
    <xf numFmtId="0" fontId="9" fillId="0" borderId="0" xfId="0" applyNumberFormat="1" applyFont="1" applyBorder="1"/>
    <xf numFmtId="0" fontId="4" fillId="2" borderId="0" xfId="6" applyFont="1" applyFill="1" applyBorder="1" applyAlignment="1" applyProtection="1">
      <alignment vertical="center" wrapText="1"/>
    </xf>
    <xf numFmtId="0" fontId="16" fillId="0" borderId="0" xfId="9" applyFill="1" applyAlignment="1" applyProtection="1">
      <alignment vertical="center" wrapText="1"/>
    </xf>
    <xf numFmtId="0" fontId="16" fillId="0" borderId="0" xfId="9" applyFill="1" applyBorder="1" applyAlignment="1" applyProtection="1">
      <alignment vertical="center" wrapText="1"/>
    </xf>
    <xf numFmtId="0" fontId="20" fillId="0" borderId="0" xfId="8" applyFont="1" applyAlignment="1" applyProtection="1">
      <alignment vertical="center" wrapText="1"/>
    </xf>
    <xf numFmtId="0" fontId="0" fillId="0" borderId="0" xfId="0" applyAlignment="1" applyProtection="1">
      <alignment wrapText="1"/>
    </xf>
    <xf numFmtId="0" fontId="25" fillId="3" borderId="34" xfId="9" applyFont="1" applyFill="1" applyBorder="1" applyAlignment="1" applyProtection="1">
      <alignment vertical="center" wrapText="1"/>
    </xf>
    <xf numFmtId="0" fontId="0" fillId="0" borderId="34" xfId="0" applyBorder="1" applyAlignment="1" applyProtection="1">
      <alignment wrapText="1"/>
    </xf>
    <xf numFmtId="0" fontId="16" fillId="0" borderId="8" xfId="9" applyFont="1" applyFill="1" applyBorder="1" applyAlignment="1" applyProtection="1">
      <alignment horizontal="left" vertical="top" wrapText="1"/>
    </xf>
    <xf numFmtId="0" fontId="16" fillId="0" borderId="11" xfId="9" applyFont="1" applyFill="1" applyBorder="1" applyAlignment="1" applyProtection="1">
      <alignment horizontal="left" vertical="top" wrapText="1"/>
    </xf>
    <xf numFmtId="10" fontId="20" fillId="7" borderId="31"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protection locked="0"/>
    </xf>
    <xf numFmtId="10" fontId="20" fillId="4" borderId="6" xfId="6" applyNumberFormat="1" applyFont="1" applyFill="1" applyBorder="1" applyAlignment="1" applyProtection="1">
      <alignment vertical="center"/>
      <protection locked="0"/>
    </xf>
    <xf numFmtId="10" fontId="20" fillId="4" borderId="7" xfId="6" applyNumberFormat="1" applyFont="1" applyFill="1" applyBorder="1" applyAlignment="1" applyProtection="1">
      <alignment vertical="center"/>
      <protection locked="0"/>
    </xf>
    <xf numFmtId="10" fontId="20" fillId="4" borderId="11" xfId="6" applyNumberFormat="1" applyFont="1" applyFill="1" applyBorder="1" applyAlignment="1" applyProtection="1">
      <alignment vertical="center"/>
      <protection locked="0"/>
    </xf>
    <xf numFmtId="10" fontId="20" fillId="4" borderId="12" xfId="6" applyNumberFormat="1" applyFont="1" applyFill="1" applyBorder="1" applyAlignment="1" applyProtection="1">
      <alignment vertical="center"/>
      <protection locked="0"/>
    </xf>
    <xf numFmtId="10" fontId="20" fillId="4" borderId="13" xfId="6" applyNumberFormat="1" applyFont="1" applyFill="1" applyBorder="1" applyAlignment="1" applyProtection="1">
      <alignment vertical="center"/>
      <protection locked="0"/>
    </xf>
    <xf numFmtId="0" fontId="22" fillId="0" borderId="0" xfId="0" applyFont="1" applyFill="1" applyAlignment="1">
      <alignment horizontal="center" vertical="center"/>
    </xf>
    <xf numFmtId="165" fontId="23" fillId="7" borderId="5" xfId="2" applyNumberFormat="1" applyFont="1" applyFill="1" applyBorder="1" applyAlignment="1" applyProtection="1">
      <alignment vertical="center"/>
    </xf>
    <xf numFmtId="165" fontId="23" fillId="7" borderId="24" xfId="2" applyNumberFormat="1" applyFont="1" applyFill="1" applyBorder="1" applyAlignment="1" applyProtection="1">
      <alignment vertical="center"/>
    </xf>
    <xf numFmtId="165" fontId="23" fillId="7" borderId="8" xfId="2" applyNumberFormat="1" applyFont="1" applyFill="1" applyBorder="1" applyAlignment="1" applyProtection="1">
      <alignment vertical="center"/>
    </xf>
    <xf numFmtId="165" fontId="23" fillId="7" borderId="26" xfId="2" applyNumberFormat="1" applyFont="1" applyFill="1" applyBorder="1" applyAlignment="1" applyProtection="1">
      <alignment vertical="center"/>
    </xf>
    <xf numFmtId="165" fontId="23" fillId="7" borderId="10" xfId="2" applyNumberFormat="1" applyFont="1" applyFill="1" applyBorder="1" applyAlignment="1" applyProtection="1">
      <alignment vertical="center"/>
    </xf>
    <xf numFmtId="165" fontId="23" fillId="7" borderId="37" xfId="1" applyNumberFormat="1" applyFont="1" applyFill="1" applyBorder="1" applyAlignment="1" applyProtection="1">
      <alignment vertical="center"/>
    </xf>
    <xf numFmtId="165" fontId="23" fillId="7" borderId="7" xfId="1" applyNumberFormat="1" applyFont="1" applyFill="1" applyBorder="1" applyAlignment="1" applyProtection="1">
      <alignment vertical="center"/>
    </xf>
    <xf numFmtId="165" fontId="23" fillId="7" borderId="41" xfId="1" applyNumberFormat="1" applyFont="1" applyFill="1" applyBorder="1" applyAlignment="1" applyProtection="1">
      <alignment vertical="center"/>
    </xf>
    <xf numFmtId="165" fontId="23" fillId="7" borderId="13" xfId="1" applyNumberFormat="1" applyFont="1" applyFill="1" applyBorder="1" applyAlignment="1" applyProtection="1">
      <alignment vertical="center"/>
    </xf>
    <xf numFmtId="165" fontId="23" fillId="0" borderId="1" xfId="10" applyNumberFormat="1" applyFont="1" applyFill="1" applyBorder="1" applyAlignment="1" applyProtection="1">
      <alignment vertical="center"/>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center" wrapText="1"/>
    </xf>
    <xf numFmtId="0" fontId="7" fillId="3" borderId="14" xfId="9" applyFont="1" applyFill="1" applyBorder="1" applyAlignment="1" applyProtection="1">
      <alignment horizontal="center" vertical="center"/>
    </xf>
    <xf numFmtId="165" fontId="20" fillId="4" borderId="109" xfId="6" applyNumberFormat="1" applyFont="1" applyFill="1" applyBorder="1" applyAlignment="1" applyProtection="1">
      <alignment vertical="center"/>
      <protection locked="0"/>
    </xf>
    <xf numFmtId="165" fontId="20" fillId="7" borderId="35" xfId="6" applyNumberFormat="1" applyFont="1" applyFill="1" applyBorder="1" applyAlignment="1" applyProtection="1">
      <alignment vertical="center"/>
    </xf>
    <xf numFmtId="165" fontId="20" fillId="7" borderId="2" xfId="6" applyNumberFormat="1" applyFont="1" applyFill="1" applyBorder="1" applyAlignment="1" applyProtection="1">
      <alignment vertical="center"/>
    </xf>
    <xf numFmtId="165" fontId="20" fillId="7" borderId="3" xfId="6" applyNumberFormat="1" applyFont="1" applyFill="1" applyBorder="1" applyAlignment="1" applyProtection="1">
      <alignment vertical="center"/>
    </xf>
    <xf numFmtId="165" fontId="23" fillId="7" borderId="37" xfId="9" applyNumberFormat="1" applyFont="1" applyFill="1" applyBorder="1" applyAlignment="1" applyProtection="1">
      <alignment vertical="center"/>
    </xf>
    <xf numFmtId="165" fontId="23" fillId="7" borderId="5" xfId="9" applyNumberFormat="1" applyFont="1" applyFill="1" applyBorder="1" applyAlignment="1" applyProtection="1">
      <alignment vertical="center"/>
    </xf>
    <xf numFmtId="0" fontId="28" fillId="0" borderId="0" xfId="6" applyFont="1" applyBorder="1" applyAlignment="1" applyProtection="1">
      <alignment horizontal="center" vertical="top" wrapText="1"/>
    </xf>
    <xf numFmtId="0" fontId="20" fillId="0" borderId="0" xfId="8" applyFont="1" applyAlignment="1" applyProtection="1">
      <alignment horizontal="center" vertical="top" wrapText="1"/>
    </xf>
    <xf numFmtId="0" fontId="20" fillId="3" borderId="0" xfId="8" applyFont="1" applyFill="1" applyAlignment="1" applyProtection="1">
      <alignment horizontal="center" vertical="top" wrapText="1"/>
    </xf>
    <xf numFmtId="0" fontId="0" fillId="0" borderId="0" xfId="0" applyAlignment="1" applyProtection="1">
      <alignment vertical="top" wrapText="1"/>
    </xf>
    <xf numFmtId="165" fontId="23" fillId="7" borderId="39" xfId="10" applyNumberFormat="1" applyFont="1" applyFill="1" applyBorder="1" applyAlignment="1" applyProtection="1">
      <alignment vertical="center"/>
    </xf>
    <xf numFmtId="165" fontId="23" fillId="7" borderId="10" xfId="10" applyNumberFormat="1" applyFont="1" applyFill="1" applyBorder="1" applyAlignment="1" applyProtection="1">
      <alignment vertical="center"/>
    </xf>
    <xf numFmtId="165" fontId="23" fillId="7" borderId="29" xfId="10" applyNumberFormat="1" applyFont="1" applyFill="1" applyBorder="1" applyAlignment="1" applyProtection="1">
      <alignment vertical="center"/>
    </xf>
    <xf numFmtId="165" fontId="23" fillId="7" borderId="38" xfId="10" applyNumberFormat="1" applyFont="1" applyFill="1" applyBorder="1" applyAlignment="1" applyProtection="1">
      <alignment vertical="center"/>
    </xf>
    <xf numFmtId="165" fontId="23" fillId="7" borderId="56" xfId="2" applyNumberFormat="1" applyFont="1" applyFill="1" applyBorder="1" applyAlignment="1" applyProtection="1">
      <alignment vertical="center"/>
    </xf>
    <xf numFmtId="165" fontId="23" fillId="7" borderId="31" xfId="2" applyNumberFormat="1" applyFont="1" applyFill="1" applyBorder="1" applyAlignment="1" applyProtection="1">
      <alignment vertical="center"/>
    </xf>
    <xf numFmtId="165" fontId="23" fillId="4" borderId="1" xfId="10" applyNumberFormat="1" applyFont="1" applyFill="1" applyBorder="1" applyAlignment="1" applyProtection="1">
      <alignment vertical="center"/>
      <protection locked="0"/>
    </xf>
    <xf numFmtId="165" fontId="23" fillId="7" borderId="1"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protection locked="0"/>
    </xf>
    <xf numFmtId="0" fontId="14" fillId="0" borderId="0" xfId="9" applyFont="1" applyFill="1" applyBorder="1" applyAlignment="1" applyProtection="1">
      <alignment horizontal="left" vertical="top" wrapText="1"/>
    </xf>
    <xf numFmtId="165" fontId="23" fillId="7" borderId="41" xfId="2" applyNumberFormat="1" applyFont="1" applyFill="1" applyBorder="1" applyAlignment="1" applyProtection="1">
      <alignment vertical="center"/>
    </xf>
    <xf numFmtId="165" fontId="23" fillId="7" borderId="13" xfId="2" applyNumberFormat="1" applyFont="1" applyFill="1" applyBorder="1" applyAlignment="1" applyProtection="1">
      <alignment vertical="center"/>
    </xf>
    <xf numFmtId="165" fontId="23" fillId="7" borderId="2" xfId="2" applyNumberFormat="1" applyFont="1" applyFill="1" applyBorder="1" applyAlignment="1" applyProtection="1">
      <alignment vertical="center"/>
    </xf>
    <xf numFmtId="165" fontId="23" fillId="7" borderId="35" xfId="2" applyNumberFormat="1" applyFont="1" applyFill="1" applyBorder="1" applyAlignment="1" applyProtection="1">
      <alignment vertical="center"/>
    </xf>
    <xf numFmtId="165" fontId="23" fillId="0" borderId="0" xfId="0" applyNumberFormat="1" applyFont="1" applyFill="1" applyAlignment="1" applyProtection="1">
      <alignment vertical="center"/>
    </xf>
    <xf numFmtId="165" fontId="23" fillId="7" borderId="61" xfId="9" applyNumberFormat="1" applyFont="1" applyFill="1" applyBorder="1" applyAlignment="1" applyProtection="1">
      <alignment vertical="center"/>
    </xf>
    <xf numFmtId="165" fontId="20" fillId="4" borderId="13" xfId="6" applyNumberFormat="1" applyFont="1" applyFill="1" applyBorder="1" applyAlignment="1" applyProtection="1">
      <alignment vertical="center"/>
      <protection locked="0"/>
    </xf>
    <xf numFmtId="165" fontId="20" fillId="4" borderId="41" xfId="6" applyNumberFormat="1" applyFont="1" applyFill="1" applyBorder="1" applyAlignment="1" applyProtection="1">
      <alignment vertical="center"/>
      <protection locked="0"/>
    </xf>
    <xf numFmtId="165" fontId="20" fillId="7" borderId="127" xfId="6" applyNumberFormat="1" applyFont="1" applyFill="1" applyBorder="1" applyAlignment="1" applyProtection="1">
      <alignment vertical="center"/>
    </xf>
    <xf numFmtId="0" fontId="22" fillId="0" borderId="60" xfId="6" applyFont="1" applyBorder="1" applyAlignment="1" applyProtection="1">
      <alignment horizontal="center" vertical="center"/>
    </xf>
    <xf numFmtId="165" fontId="20" fillId="4" borderId="4" xfId="6" applyNumberFormat="1" applyFont="1" applyFill="1" applyBorder="1" applyAlignment="1" applyProtection="1">
      <alignment vertical="center"/>
      <protection locked="0"/>
    </xf>
    <xf numFmtId="165" fontId="20" fillId="4" borderId="61" xfId="6" applyNumberFormat="1" applyFont="1" applyFill="1" applyBorder="1" applyAlignment="1" applyProtection="1">
      <alignment vertical="center"/>
      <protection locked="0"/>
    </xf>
    <xf numFmtId="165" fontId="20" fillId="7" borderId="128" xfId="6" applyNumberFormat="1" applyFont="1" applyFill="1" applyBorder="1" applyAlignment="1" applyProtection="1">
      <alignment vertical="center"/>
    </xf>
    <xf numFmtId="165" fontId="20" fillId="7" borderId="61" xfId="6" applyNumberFormat="1" applyFont="1" applyFill="1" applyBorder="1" applyAlignment="1" applyProtection="1">
      <alignment vertical="center"/>
    </xf>
    <xf numFmtId="165" fontId="20" fillId="7" borderId="129"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protection locked="0"/>
    </xf>
    <xf numFmtId="165" fontId="20" fillId="4" borderId="20" xfId="6" applyNumberFormat="1" applyFont="1" applyFill="1" applyBorder="1" applyAlignment="1" applyProtection="1">
      <alignment vertical="center"/>
      <protection locked="0"/>
    </xf>
    <xf numFmtId="165" fontId="20" fillId="4" borderId="21" xfId="6" applyNumberFormat="1" applyFont="1" applyFill="1" applyBorder="1" applyAlignment="1" applyProtection="1">
      <alignment vertical="center"/>
      <protection locked="0"/>
    </xf>
    <xf numFmtId="165" fontId="20" fillId="4" borderId="19" xfId="6" applyNumberFormat="1" applyFont="1" applyFill="1" applyBorder="1" applyAlignment="1" applyProtection="1">
      <alignment vertical="center"/>
      <protection locked="0"/>
    </xf>
    <xf numFmtId="0" fontId="1" fillId="0" borderId="110" xfId="6" applyBorder="1" applyAlignment="1" applyProtection="1">
      <alignment vertical="center"/>
    </xf>
    <xf numFmtId="0" fontId="23" fillId="0" borderId="66" xfId="9" applyFont="1" applyFill="1" applyBorder="1" applyAlignment="1" applyProtection="1">
      <alignment horizontal="center" vertical="top"/>
    </xf>
    <xf numFmtId="0" fontId="23" fillId="0" borderId="84" xfId="9" applyFont="1" applyFill="1" applyBorder="1" applyAlignment="1" applyProtection="1">
      <alignment horizontal="center" vertical="top"/>
    </xf>
    <xf numFmtId="0" fontId="23" fillId="0" borderId="74" xfId="9" applyFont="1" applyFill="1" applyBorder="1" applyAlignment="1" applyProtection="1">
      <alignment horizontal="center" vertical="top"/>
    </xf>
    <xf numFmtId="0" fontId="23" fillId="0" borderId="43" xfId="9" applyFont="1" applyFill="1" applyBorder="1" applyAlignment="1" applyProtection="1">
      <alignment horizontal="center" vertical="top"/>
    </xf>
    <xf numFmtId="165" fontId="23" fillId="4" borderId="2" xfId="10" applyNumberFormat="1" applyFont="1" applyFill="1" applyBorder="1" applyAlignment="1" applyProtection="1">
      <alignment vertical="center"/>
      <protection locked="0"/>
    </xf>
    <xf numFmtId="165" fontId="23" fillId="4" borderId="4" xfId="10" applyNumberFormat="1" applyFont="1" applyFill="1" applyBorder="1" applyAlignment="1" applyProtection="1">
      <alignment vertical="center"/>
      <protection locked="0"/>
    </xf>
    <xf numFmtId="165" fontId="23" fillId="7" borderId="5" xfId="10" applyNumberFormat="1" applyFont="1" applyFill="1" applyBorder="1" applyAlignment="1" applyProtection="1">
      <alignment vertical="center"/>
    </xf>
    <xf numFmtId="165" fontId="23" fillId="7" borderId="8" xfId="10" applyNumberFormat="1" applyFont="1" applyFill="1" applyBorder="1" applyAlignment="1" applyProtection="1">
      <alignment vertical="center"/>
    </xf>
    <xf numFmtId="165" fontId="23" fillId="7" borderId="11" xfId="10" applyNumberFormat="1" applyFont="1" applyFill="1" applyBorder="1" applyAlignment="1" applyProtection="1">
      <alignment vertical="center"/>
    </xf>
    <xf numFmtId="0" fontId="23" fillId="0" borderId="6" xfId="9" applyFont="1" applyFill="1" applyBorder="1" applyAlignment="1" applyProtection="1">
      <alignment vertical="top" wrapText="1"/>
    </xf>
    <xf numFmtId="0" fontId="23" fillId="0" borderId="12" xfId="9" applyFont="1" applyFill="1" applyBorder="1" applyAlignment="1" applyProtection="1">
      <alignment vertical="top" wrapText="1"/>
    </xf>
    <xf numFmtId="0" fontId="23" fillId="0" borderId="54" xfId="9" applyFont="1" applyFill="1" applyBorder="1" applyAlignment="1" applyProtection="1">
      <alignment horizontal="center" vertical="top"/>
    </xf>
    <xf numFmtId="0" fontId="23" fillId="0" borderId="56" xfId="9" applyFont="1" applyFill="1" applyBorder="1" applyAlignment="1" applyProtection="1">
      <alignment horizontal="center" vertical="top"/>
    </xf>
    <xf numFmtId="0" fontId="23" fillId="0" borderId="57" xfId="9" applyFont="1" applyFill="1" applyBorder="1" applyAlignment="1" applyProtection="1">
      <alignment horizontal="center" vertical="top"/>
    </xf>
    <xf numFmtId="165" fontId="23"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3" fillId="4" borderId="9" xfId="9" applyNumberFormat="1" applyFont="1" applyFill="1" applyBorder="1" applyAlignment="1" applyProtection="1">
      <alignment horizontal="center" vertical="center" wrapText="1"/>
    </xf>
    <xf numFmtId="0" fontId="20" fillId="0" borderId="0" xfId="6" applyFont="1" applyFill="1" applyBorder="1" applyAlignment="1" applyProtection="1">
      <alignment horizontal="center" vertical="center"/>
    </xf>
    <xf numFmtId="0" fontId="9" fillId="0" borderId="0" xfId="6" applyFont="1" applyFill="1" applyBorder="1" applyAlignment="1" applyProtection="1">
      <alignment vertical="center"/>
    </xf>
    <xf numFmtId="0" fontId="22" fillId="0" borderId="0" xfId="6" applyFont="1" applyFill="1" applyBorder="1" applyAlignment="1" applyProtection="1">
      <alignment horizontal="center" vertical="center"/>
    </xf>
    <xf numFmtId="0" fontId="20" fillId="0" borderId="0" xfId="8" applyFont="1" applyFill="1" applyProtection="1"/>
    <xf numFmtId="0" fontId="9" fillId="0" borderId="15" xfId="6" applyFont="1" applyBorder="1" applyAlignment="1" applyProtection="1">
      <alignment vertical="center"/>
    </xf>
    <xf numFmtId="0" fontId="22" fillId="8" borderId="25" xfId="7" applyFont="1" applyBorder="1" applyAlignment="1" applyProtection="1">
      <alignment horizontal="center" vertical="center" wrapText="1"/>
    </xf>
    <xf numFmtId="0" fontId="23" fillId="0" borderId="0" xfId="9" applyFont="1" applyFill="1" applyBorder="1" applyAlignment="1" applyProtection="1">
      <alignment horizontal="left" vertical="center" wrapText="1"/>
    </xf>
    <xf numFmtId="165" fontId="20" fillId="7" borderId="132" xfId="6" applyNumberFormat="1" applyFont="1" applyFill="1" applyBorder="1" applyAlignment="1" applyProtection="1">
      <alignment vertical="center"/>
    </xf>
    <xf numFmtId="165" fontId="20" fillId="7" borderId="13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protection locked="0"/>
    </xf>
    <xf numFmtId="165" fontId="20" fillId="4" borderId="135" xfId="6" applyNumberFormat="1" applyFont="1" applyFill="1" applyBorder="1" applyAlignment="1" applyProtection="1">
      <alignment vertical="center"/>
      <protection locked="0"/>
    </xf>
    <xf numFmtId="165" fontId="20" fillId="4" borderId="136" xfId="6" applyNumberFormat="1" applyFont="1" applyFill="1" applyBorder="1" applyAlignment="1" applyProtection="1">
      <alignment vertical="center"/>
      <protection locked="0"/>
    </xf>
    <xf numFmtId="165" fontId="20" fillId="7" borderId="137" xfId="6" applyNumberFormat="1" applyFont="1" applyFill="1" applyBorder="1" applyAlignment="1" applyProtection="1">
      <alignment vertical="center"/>
    </xf>
    <xf numFmtId="165" fontId="20" fillId="7" borderId="138" xfId="6" applyNumberFormat="1" applyFont="1" applyFill="1" applyBorder="1" applyAlignment="1" applyProtection="1">
      <alignment vertical="center"/>
    </xf>
    <xf numFmtId="165" fontId="20" fillId="7" borderId="139" xfId="6" applyNumberFormat="1" applyFont="1" applyFill="1" applyBorder="1" applyAlignment="1" applyProtection="1">
      <alignment vertical="center"/>
    </xf>
    <xf numFmtId="165" fontId="20" fillId="4" borderId="84" xfId="6" applyNumberFormat="1" applyFont="1" applyFill="1" applyBorder="1" applyAlignment="1" applyProtection="1">
      <alignment vertical="center"/>
      <protection locked="0"/>
    </xf>
    <xf numFmtId="165" fontId="20" fillId="4" borderId="140" xfId="6" applyNumberFormat="1" applyFont="1" applyFill="1" applyBorder="1" applyAlignment="1" applyProtection="1">
      <alignment vertical="center"/>
      <protection locked="0"/>
    </xf>
    <xf numFmtId="0" fontId="22" fillId="0" borderId="0" xfId="7" applyFont="1" applyFill="1" applyBorder="1" applyAlignment="1" applyProtection="1">
      <alignment horizontal="center" vertical="center" wrapText="1"/>
    </xf>
    <xf numFmtId="165" fontId="20" fillId="4" borderId="141" xfId="6" applyNumberFormat="1" applyFont="1" applyFill="1" applyBorder="1" applyAlignment="1" applyProtection="1">
      <alignment vertical="center"/>
      <protection locked="0"/>
    </xf>
    <xf numFmtId="165" fontId="20" fillId="4" borderId="142" xfId="6" applyNumberFormat="1" applyFont="1" applyFill="1" applyBorder="1" applyAlignment="1" applyProtection="1">
      <alignment vertical="center"/>
      <protection locked="0"/>
    </xf>
    <xf numFmtId="165" fontId="20" fillId="4" borderId="143" xfId="6" applyNumberFormat="1" applyFont="1" applyFill="1" applyBorder="1" applyAlignment="1" applyProtection="1">
      <alignment vertical="center"/>
      <protection locked="0"/>
    </xf>
    <xf numFmtId="165" fontId="20" fillId="7" borderId="144" xfId="6" applyNumberFormat="1" applyFont="1" applyFill="1" applyBorder="1" applyAlignment="1" applyProtection="1">
      <alignment vertical="center"/>
    </xf>
    <xf numFmtId="0" fontId="28" fillId="0" borderId="0" xfId="8" applyFont="1" applyFill="1" applyAlignment="1" applyProtection="1">
      <alignment horizontal="center"/>
    </xf>
    <xf numFmtId="0" fontId="23" fillId="0" borderId="46" xfId="9" applyFont="1" applyFill="1" applyBorder="1" applyAlignment="1" applyProtection="1">
      <alignment horizontal="center" vertical="top"/>
    </xf>
    <xf numFmtId="0" fontId="23" fillId="0" borderId="11" xfId="0" applyFont="1" applyFill="1" applyBorder="1" applyAlignment="1" applyProtection="1">
      <alignment horizontal="center" vertical="top"/>
    </xf>
    <xf numFmtId="0" fontId="7" fillId="3" borderId="14" xfId="6" applyFont="1" applyFill="1" applyBorder="1" applyAlignment="1" applyProtection="1">
      <alignment horizontal="center" vertical="center"/>
    </xf>
    <xf numFmtId="0" fontId="48" fillId="0" borderId="0" xfId="14" applyFont="1"/>
    <xf numFmtId="0" fontId="51" fillId="0" borderId="0" xfId="14" applyFont="1" applyFill="1" applyBorder="1" applyAlignment="1" applyProtection="1">
      <alignment horizontal="center" vertical="center" wrapText="1"/>
    </xf>
    <xf numFmtId="0" fontId="30" fillId="0" borderId="0" xfId="14" applyFont="1" applyBorder="1" applyAlignment="1" applyProtection="1">
      <alignment horizontal="center" vertical="top" wrapText="1"/>
    </xf>
    <xf numFmtId="0" fontId="52" fillId="0" borderId="0" xfId="14" applyFont="1" applyBorder="1" applyAlignment="1" applyProtection="1">
      <alignment horizontal="center" vertical="top" wrapText="1"/>
    </xf>
    <xf numFmtId="0" fontId="7" fillId="3" borderId="6" xfId="9" applyFont="1" applyFill="1" applyBorder="1" applyAlignment="1" applyProtection="1">
      <alignment horizontal="center" vertical="center" wrapText="1"/>
    </xf>
    <xf numFmtId="0" fontId="7" fillId="3" borderId="36" xfId="9" applyFont="1" applyFill="1" applyBorder="1" applyAlignment="1" applyProtection="1">
      <alignment horizontal="center" vertical="center" wrapText="1"/>
    </xf>
    <xf numFmtId="0" fontId="7" fillId="3" borderId="7" xfId="9" applyFont="1" applyFill="1" applyBorder="1" applyAlignment="1" applyProtection="1">
      <alignment horizontal="center" vertical="center" wrapText="1"/>
    </xf>
    <xf numFmtId="0" fontId="16" fillId="0" borderId="12" xfId="14" applyFont="1" applyFill="1" applyBorder="1" applyAlignment="1" applyProtection="1">
      <alignment horizontal="center" vertical="center" wrapText="1"/>
    </xf>
    <xf numFmtId="0" fontId="16" fillId="0" borderId="39" xfId="14" applyFont="1" applyFill="1" applyBorder="1" applyAlignment="1" applyProtection="1">
      <alignment horizontal="center" vertical="center" wrapText="1"/>
    </xf>
    <xf numFmtId="0" fontId="16" fillId="0" borderId="41" xfId="14" applyFont="1" applyFill="1" applyBorder="1" applyAlignment="1" applyProtection="1">
      <alignment horizontal="center" vertical="center" wrapText="1"/>
    </xf>
    <xf numFmtId="0" fontId="16" fillId="0" borderId="38" xfId="14" applyFont="1" applyFill="1" applyBorder="1" applyAlignment="1" applyProtection="1">
      <alignment horizontal="center" vertical="center" wrapText="1"/>
    </xf>
    <xf numFmtId="0" fontId="16" fillId="0" borderId="40" xfId="14" applyFont="1" applyFill="1" applyBorder="1" applyAlignment="1" applyProtection="1">
      <alignment horizontal="center" vertical="center" wrapText="1"/>
    </xf>
    <xf numFmtId="0" fontId="7" fillId="3" borderId="15" xfId="9" applyFont="1" applyFill="1" applyBorder="1" applyAlignment="1" applyProtection="1">
      <alignment horizontal="center" vertical="center" wrapText="1"/>
    </xf>
    <xf numFmtId="0" fontId="7" fillId="3" borderId="52" xfId="9" applyFont="1" applyFill="1" applyBorder="1" applyAlignment="1" applyProtection="1">
      <alignment horizontal="center" vertical="center" wrapText="1"/>
    </xf>
    <xf numFmtId="0" fontId="7" fillId="3" borderId="16" xfId="9" applyFont="1" applyFill="1" applyBorder="1" applyAlignment="1" applyProtection="1">
      <alignment horizontal="center" vertical="center" wrapText="1"/>
    </xf>
    <xf numFmtId="0" fontId="12" fillId="0" borderId="0" xfId="14" applyFont="1" applyProtection="1"/>
    <xf numFmtId="0" fontId="52" fillId="0" borderId="0" xfId="14" applyFont="1" applyBorder="1" applyAlignment="1" applyProtection="1">
      <alignment horizontal="left" vertical="center" wrapText="1"/>
    </xf>
    <xf numFmtId="0" fontId="7" fillId="3" borderId="5" xfId="14" applyFont="1" applyFill="1" applyBorder="1" applyAlignment="1" applyProtection="1">
      <alignment horizontal="center" vertical="center" wrapText="1"/>
    </xf>
    <xf numFmtId="0" fontId="7" fillId="3" borderId="6" xfId="14" applyFont="1" applyFill="1" applyBorder="1" applyAlignment="1" applyProtection="1">
      <alignment horizontal="left" vertical="center"/>
    </xf>
    <xf numFmtId="0" fontId="23" fillId="0" borderId="11" xfId="14" applyFont="1" applyFill="1" applyBorder="1" applyAlignment="1" applyProtection="1">
      <alignment horizontal="center" vertical="center" wrapText="1"/>
    </xf>
    <xf numFmtId="0" fontId="16" fillId="0" borderId="12" xfId="14" applyFont="1" applyFill="1" applyBorder="1" applyAlignment="1" applyProtection="1">
      <alignment horizontal="left" vertical="center" wrapText="1"/>
    </xf>
    <xf numFmtId="49" fontId="16" fillId="0" borderId="12" xfId="14" applyNumberFormat="1" applyFont="1" applyFill="1" applyBorder="1" applyAlignment="1" applyProtection="1">
      <alignment horizontal="center" vertical="center" wrapText="1"/>
    </xf>
    <xf numFmtId="0" fontId="12" fillId="0" borderId="0" xfId="14" applyFont="1" applyFill="1" applyBorder="1" applyAlignment="1" applyProtection="1">
      <alignment horizontal="center" vertical="top" wrapText="1"/>
    </xf>
    <xf numFmtId="0" fontId="12" fillId="0" borderId="0" xfId="14" applyFont="1" applyFill="1" applyBorder="1" applyAlignment="1" applyProtection="1">
      <alignment horizontal="left" vertical="top" wrapText="1"/>
    </xf>
    <xf numFmtId="0" fontId="23" fillId="0" borderId="8" xfId="14" applyFont="1" applyFill="1" applyBorder="1" applyAlignment="1" applyProtection="1">
      <alignment horizontal="center" vertical="center" wrapText="1"/>
    </xf>
    <xf numFmtId="0" fontId="7" fillId="3" borderId="54" xfId="14" applyFont="1" applyFill="1" applyBorder="1" applyAlignment="1" applyProtection="1">
      <alignment horizontal="center" vertical="center" wrapText="1"/>
    </xf>
    <xf numFmtId="0" fontId="23" fillId="0" borderId="57" xfId="14" applyFont="1" applyFill="1" applyBorder="1" applyAlignment="1" applyProtection="1">
      <alignment horizontal="center" vertical="center" wrapText="1"/>
    </xf>
    <xf numFmtId="0" fontId="7" fillId="3" borderId="2" xfId="6" applyFont="1" applyFill="1" applyBorder="1" applyAlignment="1" applyProtection="1">
      <alignment vertical="top"/>
    </xf>
    <xf numFmtId="0" fontId="7" fillId="3" borderId="3" xfId="6" applyFont="1" applyFill="1" applyBorder="1" applyAlignment="1" applyProtection="1">
      <alignment vertical="top"/>
    </xf>
    <xf numFmtId="0" fontId="7" fillId="3" borderId="5" xfId="6" applyFont="1" applyFill="1" applyBorder="1" applyAlignment="1" applyProtection="1">
      <alignment horizontal="center" vertical="top"/>
    </xf>
    <xf numFmtId="0" fontId="7" fillId="3" borderId="7" xfId="6" applyFont="1" applyFill="1" applyBorder="1" applyAlignment="1" applyProtection="1">
      <alignment vertical="top"/>
    </xf>
    <xf numFmtId="0" fontId="30" fillId="0" borderId="0" xfId="14" applyFont="1" applyFill="1" applyBorder="1" applyAlignment="1" applyProtection="1">
      <alignment horizontal="center" vertical="center" wrapText="1"/>
    </xf>
    <xf numFmtId="0" fontId="0" fillId="0" borderId="0" xfId="0" applyBorder="1"/>
    <xf numFmtId="0" fontId="20" fillId="0" borderId="0" xfId="6" applyFont="1" applyFill="1" applyAlignment="1" applyProtection="1">
      <alignment horizontal="center"/>
    </xf>
    <xf numFmtId="0" fontId="55" fillId="0" borderId="0" xfId="14" applyFont="1" applyAlignment="1">
      <alignment horizontal="center"/>
    </xf>
    <xf numFmtId="165" fontId="23" fillId="4" borderId="7" xfId="9" applyNumberFormat="1" applyFont="1" applyFill="1" applyBorder="1" applyAlignment="1" applyProtection="1">
      <alignment vertical="center"/>
      <protection locked="0"/>
    </xf>
    <xf numFmtId="165" fontId="23" fillId="4" borderId="10"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165" fontId="23" fillId="4" borderId="62" xfId="9" applyNumberFormat="1" applyFont="1" applyFill="1" applyBorder="1" applyAlignment="1" applyProtection="1">
      <alignment vertical="center"/>
      <protection locked="0"/>
    </xf>
    <xf numFmtId="0" fontId="23" fillId="0" borderId="9" xfId="9" applyFont="1" applyFill="1" applyBorder="1" applyAlignment="1" applyProtection="1">
      <alignment vertical="top" wrapText="1"/>
    </xf>
    <xf numFmtId="0" fontId="22" fillId="0" borderId="17" xfId="8" applyFont="1" applyBorder="1" applyAlignment="1" applyProtection="1">
      <alignment horizontal="center" vertical="top"/>
    </xf>
    <xf numFmtId="17" fontId="23" fillId="0" borderId="8" xfId="9" applyNumberFormat="1" applyFont="1" applyFill="1" applyBorder="1" applyAlignment="1" applyProtection="1">
      <alignment horizontal="center" vertical="top"/>
    </xf>
    <xf numFmtId="0" fontId="11" fillId="0" borderId="11" xfId="5" applyFont="1" applyFill="1" applyBorder="1" applyAlignment="1" applyProtection="1">
      <alignment vertical="center"/>
    </xf>
    <xf numFmtId="0" fontId="19" fillId="5" borderId="20" xfId="0" applyFont="1" applyFill="1" applyBorder="1" applyAlignment="1" applyProtection="1">
      <alignment horizontal="center" vertical="center" wrapText="1"/>
    </xf>
    <xf numFmtId="0" fontId="23" fillId="0" borderId="4" xfId="9" applyFont="1" applyFill="1" applyBorder="1" applyProtection="1"/>
    <xf numFmtId="0" fontId="20" fillId="0" borderId="0" xfId="0" applyFont="1" applyAlignment="1">
      <alignment vertical="center"/>
    </xf>
    <xf numFmtId="2" fontId="23" fillId="7" borderId="4" xfId="9" applyNumberFormat="1" applyFont="1" applyFill="1" applyBorder="1" applyAlignment="1" applyProtection="1">
      <alignment horizontal="right"/>
    </xf>
    <xf numFmtId="165" fontId="56" fillId="0" borderId="0" xfId="6" applyNumberFormat="1" applyFont="1" applyAlignment="1" applyProtection="1">
      <alignment vertical="center"/>
    </xf>
    <xf numFmtId="10" fontId="23" fillId="7" borderId="31" xfId="9" applyNumberFormat="1" applyFont="1" applyFill="1" applyBorder="1" applyAlignment="1" applyProtection="1">
      <alignment vertical="center"/>
    </xf>
    <xf numFmtId="165" fontId="23" fillId="7" borderId="18" xfId="9" applyNumberFormat="1" applyFont="1" applyFill="1" applyBorder="1" applyAlignment="1" applyProtection="1">
      <alignment vertical="center"/>
    </xf>
    <xf numFmtId="10" fontId="23" fillId="7" borderId="32" xfId="9" applyNumberFormat="1" applyFont="1" applyFill="1" applyBorder="1" applyAlignment="1" applyProtection="1">
      <alignment vertical="center"/>
    </xf>
    <xf numFmtId="2" fontId="23" fillId="7" borderId="32" xfId="9" applyNumberFormat="1" applyFont="1" applyFill="1" applyBorder="1" applyAlignment="1" applyProtection="1">
      <alignment vertical="center"/>
    </xf>
    <xf numFmtId="2" fontId="23" fillId="7" borderId="30" xfId="9" applyNumberFormat="1" applyFont="1" applyFill="1" applyBorder="1" applyAlignment="1" applyProtection="1">
      <alignment vertical="center"/>
    </xf>
    <xf numFmtId="10" fontId="23" fillId="4" borderId="5" xfId="2" applyNumberFormat="1" applyFont="1" applyFill="1" applyBorder="1" applyProtection="1">
      <protection locked="0"/>
    </xf>
    <xf numFmtId="10" fontId="23" fillId="4" borderId="7" xfId="2" applyNumberFormat="1" applyFont="1" applyFill="1" applyBorder="1" applyProtection="1">
      <protection locked="0"/>
    </xf>
    <xf numFmtId="10" fontId="23" fillId="4" borderId="46" xfId="2" applyNumberFormat="1" applyFont="1" applyFill="1" applyBorder="1" applyProtection="1">
      <protection locked="0"/>
    </xf>
    <xf numFmtId="10" fontId="23" fillId="4" borderId="50" xfId="2" applyNumberFormat="1" applyFont="1" applyFill="1" applyBorder="1" applyProtection="1">
      <protection locked="0"/>
    </xf>
    <xf numFmtId="10" fontId="23" fillId="4" borderId="8" xfId="2" applyNumberFormat="1" applyFont="1" applyFill="1" applyBorder="1" applyProtection="1">
      <protection locked="0"/>
    </xf>
    <xf numFmtId="10" fontId="23" fillId="4" borderId="10" xfId="2" applyNumberFormat="1" applyFont="1" applyFill="1" applyBorder="1" applyProtection="1">
      <protection locked="0"/>
    </xf>
    <xf numFmtId="10" fontId="23" fillId="4" borderId="43" xfId="2" applyNumberFormat="1" applyFont="1" applyFill="1" applyBorder="1" applyProtection="1">
      <protection locked="0"/>
    </xf>
    <xf numFmtId="10" fontId="23" fillId="4" borderId="62" xfId="2" applyNumberFormat="1" applyFont="1" applyFill="1" applyBorder="1" applyProtection="1">
      <protection locked="0"/>
    </xf>
    <xf numFmtId="10" fontId="23" fillId="4" borderId="11" xfId="2" applyNumberFormat="1" applyFont="1" applyFill="1" applyBorder="1" applyProtection="1">
      <protection locked="0"/>
    </xf>
    <xf numFmtId="10" fontId="23" fillId="4" borderId="13" xfId="2" applyNumberFormat="1" applyFont="1" applyFill="1" applyBorder="1" applyProtection="1">
      <protection locked="0"/>
    </xf>
    <xf numFmtId="10" fontId="23" fillId="4" borderId="2" xfId="2" applyNumberFormat="1" applyFont="1" applyFill="1" applyBorder="1" applyProtection="1">
      <protection locked="0"/>
    </xf>
    <xf numFmtId="10" fontId="23" fillId="4" borderId="4" xfId="2" applyNumberFormat="1" applyFont="1" applyFill="1" applyBorder="1" applyProtection="1">
      <protection locked="0"/>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16" fillId="0" borderId="0" xfId="11" applyFont="1" applyFill="1" applyAlignment="1" applyProtection="1">
      <alignment vertical="center"/>
    </xf>
    <xf numFmtId="0" fontId="7" fillId="0" borderId="0" xfId="6" applyFont="1" applyFill="1" applyBorder="1" applyAlignment="1" applyProtection="1">
      <alignment horizontal="center" vertical="center"/>
    </xf>
    <xf numFmtId="0" fontId="7" fillId="3" borderId="51" xfId="6" applyFont="1" applyFill="1" applyBorder="1" applyAlignment="1" applyProtection="1">
      <alignment horizontal="center" vertical="center" wrapText="1"/>
    </xf>
    <xf numFmtId="0" fontId="7" fillId="0" borderId="0" xfId="6" applyFont="1" applyFill="1" applyBorder="1" applyAlignment="1" applyProtection="1">
      <alignment horizontal="left" vertical="center"/>
    </xf>
    <xf numFmtId="0" fontId="7" fillId="0" borderId="0" xfId="6" applyFont="1" applyFill="1" applyBorder="1" applyAlignment="1" applyProtection="1">
      <alignment horizontal="center" vertical="center" wrapText="1"/>
    </xf>
    <xf numFmtId="0" fontId="57" fillId="0" borderId="0" xfId="18" applyFont="1" applyFill="1" applyBorder="1"/>
    <xf numFmtId="0" fontId="7" fillId="15" borderId="55" xfId="6" applyFont="1" applyFill="1" applyBorder="1" applyAlignment="1" applyProtection="1">
      <alignment horizontal="center" vertical="center"/>
    </xf>
    <xf numFmtId="0" fontId="7" fillId="15" borderId="16" xfId="6" applyFont="1" applyFill="1" applyBorder="1" applyAlignment="1" applyProtection="1">
      <alignment vertical="center"/>
    </xf>
    <xf numFmtId="0" fontId="57" fillId="0" borderId="0" xfId="18" applyFont="1" applyFill="1" applyBorder="1" applyAlignment="1" applyProtection="1">
      <alignment vertical="center"/>
    </xf>
    <xf numFmtId="0" fontId="58" fillId="0" borderId="5" xfId="6" applyFont="1" applyFill="1" applyBorder="1" applyAlignment="1" applyProtection="1">
      <alignment horizontal="center" vertical="center"/>
    </xf>
    <xf numFmtId="0" fontId="59" fillId="0" borderId="6" xfId="6" applyFont="1" applyFill="1" applyBorder="1" applyAlignment="1" applyProtection="1">
      <alignment vertical="center"/>
    </xf>
    <xf numFmtId="0" fontId="60" fillId="0" borderId="6" xfId="6" applyFont="1" applyFill="1" applyBorder="1" applyAlignment="1" applyProtection="1">
      <alignment horizontal="center" vertical="center"/>
    </xf>
    <xf numFmtId="0" fontId="60" fillId="0" borderId="7" xfId="6" applyFont="1" applyFill="1" applyBorder="1" applyAlignment="1" applyProtection="1">
      <alignment horizontal="center" vertical="center"/>
    </xf>
    <xf numFmtId="165" fontId="58" fillId="16" borderId="5" xfId="6" applyNumberFormat="1" applyFont="1" applyFill="1" applyBorder="1" applyAlignment="1" applyProtection="1">
      <alignment vertical="center"/>
      <protection locked="0"/>
    </xf>
    <xf numFmtId="165" fontId="58" fillId="16" borderId="6" xfId="6" applyNumberFormat="1" applyFont="1" applyFill="1" applyBorder="1" applyAlignment="1" applyProtection="1">
      <alignment vertical="center"/>
      <protection locked="0"/>
    </xf>
    <xf numFmtId="165" fontId="58" fillId="17" borderId="31" xfId="6" applyNumberFormat="1" applyFont="1" applyFill="1" applyBorder="1" applyAlignment="1" applyProtection="1">
      <alignment vertical="center"/>
    </xf>
    <xf numFmtId="0" fontId="16" fillId="16" borderId="31" xfId="19" applyNumberFormat="1" applyFont="1" applyFill="1" applyBorder="1" applyAlignment="1" applyProtection="1">
      <alignment vertical="center" wrapText="1"/>
      <protection locked="0"/>
    </xf>
    <xf numFmtId="0" fontId="14" fillId="0" borderId="0" xfId="0" applyFont="1" applyAlignment="1">
      <alignment horizontal="center" vertical="center"/>
    </xf>
    <xf numFmtId="0" fontId="1" fillId="0" borderId="0" xfId="6" applyBorder="1" applyAlignment="1" applyProtection="1">
      <alignment vertical="center"/>
    </xf>
    <xf numFmtId="0" fontId="58" fillId="0" borderId="8" xfId="6" applyFont="1" applyFill="1" applyBorder="1" applyAlignment="1" applyProtection="1">
      <alignment horizontal="center" vertical="center"/>
    </xf>
    <xf numFmtId="0" fontId="59" fillId="0" borderId="9" xfId="6" applyFont="1" applyFill="1" applyBorder="1" applyAlignment="1" applyProtection="1">
      <alignment vertical="center"/>
    </xf>
    <xf numFmtId="0" fontId="60" fillId="0" borderId="9" xfId="6" applyFont="1" applyFill="1" applyBorder="1" applyAlignment="1" applyProtection="1">
      <alignment horizontal="center" vertical="center"/>
    </xf>
    <xf numFmtId="0" fontId="60" fillId="0" borderId="10" xfId="6" applyFont="1" applyFill="1" applyBorder="1" applyAlignment="1" applyProtection="1">
      <alignment horizontal="center" vertical="center"/>
    </xf>
    <xf numFmtId="165" fontId="58" fillId="16" borderId="8" xfId="6" applyNumberFormat="1" applyFont="1" applyFill="1" applyBorder="1" applyAlignment="1" applyProtection="1">
      <alignment vertical="center"/>
      <protection locked="0"/>
    </xf>
    <xf numFmtId="165" fontId="58" fillId="16" borderId="9" xfId="6" applyNumberFormat="1" applyFont="1" applyFill="1" applyBorder="1" applyAlignment="1" applyProtection="1">
      <alignment vertical="center"/>
      <protection locked="0"/>
    </xf>
    <xf numFmtId="165" fontId="58" fillId="17" borderId="32" xfId="6" applyNumberFormat="1" applyFont="1" applyFill="1" applyBorder="1" applyAlignment="1" applyProtection="1">
      <alignment vertical="center"/>
    </xf>
    <xf numFmtId="0" fontId="16" fillId="16" borderId="32" xfId="19" applyNumberFormat="1" applyFont="1" applyFill="1" applyBorder="1" applyAlignment="1" applyProtection="1">
      <alignment vertical="center" wrapText="1"/>
      <protection locked="0"/>
    </xf>
    <xf numFmtId="0" fontId="61" fillId="0" borderId="9" xfId="6" applyFont="1" applyFill="1" applyBorder="1" applyAlignment="1" applyProtection="1">
      <alignment vertical="center"/>
    </xf>
    <xf numFmtId="0" fontId="61" fillId="0" borderId="38" xfId="6" applyFont="1" applyFill="1" applyBorder="1" applyAlignment="1" applyProtection="1">
      <alignment vertical="center"/>
    </xf>
    <xf numFmtId="0" fontId="14" fillId="0" borderId="38" xfId="6" applyFont="1" applyFill="1" applyBorder="1" applyAlignment="1" applyProtection="1">
      <alignment horizontal="center" vertical="center"/>
    </xf>
    <xf numFmtId="0" fontId="14" fillId="0" borderId="29" xfId="6" applyFont="1" applyFill="1" applyBorder="1" applyAlignment="1" applyProtection="1">
      <alignment horizontal="center" vertical="center"/>
    </xf>
    <xf numFmtId="165" fontId="58" fillId="0" borderId="29" xfId="6" applyNumberFormat="1" applyFont="1" applyFill="1" applyBorder="1" applyAlignment="1" applyProtection="1">
      <alignment vertical="center"/>
    </xf>
    <xf numFmtId="0" fontId="23" fillId="0" borderId="8" xfId="6" applyFont="1" applyFill="1" applyBorder="1" applyAlignment="1" applyProtection="1">
      <alignment horizontal="center" vertical="center"/>
    </xf>
    <xf numFmtId="0" fontId="16" fillId="0" borderId="9" xfId="6" applyFont="1" applyFill="1" applyBorder="1" applyAlignment="1" applyProtection="1">
      <alignment vertical="center"/>
    </xf>
    <xf numFmtId="0" fontId="14" fillId="0" borderId="10" xfId="6" applyFont="1" applyFill="1" applyBorder="1" applyAlignment="1" applyProtection="1">
      <alignment horizontal="center" vertical="center"/>
    </xf>
    <xf numFmtId="0" fontId="58" fillId="0" borderId="11" xfId="6" applyFont="1" applyFill="1" applyBorder="1" applyAlignment="1" applyProtection="1">
      <alignment horizontal="center" vertical="center"/>
    </xf>
    <xf numFmtId="0" fontId="59" fillId="0" borderId="12" xfId="6" applyFont="1" applyFill="1" applyBorder="1" applyAlignment="1" applyProtection="1">
      <alignment vertical="center"/>
    </xf>
    <xf numFmtId="0" fontId="60" fillId="0" borderId="12" xfId="6" applyFont="1" applyFill="1" applyBorder="1" applyAlignment="1" applyProtection="1">
      <alignment horizontal="center" vertical="center"/>
    </xf>
    <xf numFmtId="0" fontId="60" fillId="0" borderId="13" xfId="6" applyFont="1" applyFill="1" applyBorder="1" applyAlignment="1" applyProtection="1">
      <alignment horizontal="center" vertical="center"/>
    </xf>
    <xf numFmtId="165" fontId="23" fillId="17" borderId="11" xfId="11" applyNumberFormat="1" applyFont="1" applyFill="1" applyBorder="1" applyProtection="1"/>
    <xf numFmtId="165" fontId="23" fillId="17" borderId="12" xfId="11" applyNumberFormat="1" applyFont="1" applyFill="1" applyBorder="1" applyProtection="1"/>
    <xf numFmtId="165" fontId="58" fillId="17" borderId="30" xfId="6" applyNumberFormat="1" applyFont="1" applyFill="1" applyBorder="1" applyAlignment="1" applyProtection="1">
      <alignment vertical="center"/>
    </xf>
    <xf numFmtId="0" fontId="16" fillId="16" borderId="30" xfId="19" applyNumberFormat="1" applyFont="1" applyFill="1" applyBorder="1" applyAlignment="1" applyProtection="1">
      <alignment vertical="center" wrapText="1"/>
      <protection locked="0"/>
    </xf>
    <xf numFmtId="0" fontId="57" fillId="0" borderId="0" xfId="18" applyFont="1" applyFill="1" applyBorder="1" applyProtection="1"/>
    <xf numFmtId="0" fontId="12" fillId="0" borderId="0" xfId="11" applyFont="1" applyFill="1" applyBorder="1" applyAlignment="1" applyProtection="1">
      <alignment vertical="center"/>
    </xf>
    <xf numFmtId="165" fontId="58" fillId="16" borderId="5" xfId="20" applyNumberFormat="1" applyFont="1" applyFill="1" applyBorder="1" applyAlignment="1" applyProtection="1">
      <alignment vertical="center"/>
      <protection locked="0"/>
    </xf>
    <xf numFmtId="165" fontId="58" fillId="16" borderId="6" xfId="20" applyNumberFormat="1" applyFont="1" applyFill="1" applyBorder="1" applyAlignment="1" applyProtection="1">
      <alignment vertical="center"/>
      <protection locked="0"/>
    </xf>
    <xf numFmtId="165" fontId="58" fillId="16" borderId="8" xfId="20" applyNumberFormat="1" applyFont="1" applyFill="1" applyBorder="1" applyAlignment="1" applyProtection="1">
      <alignment vertical="center"/>
      <protection locked="0"/>
    </xf>
    <xf numFmtId="165" fontId="58" fillId="16" borderId="9" xfId="20" applyNumberFormat="1" applyFont="1" applyFill="1" applyBorder="1" applyAlignment="1" applyProtection="1">
      <alignment vertical="center"/>
      <protection locked="0"/>
    </xf>
    <xf numFmtId="165" fontId="58" fillId="17" borderId="8" xfId="6" applyNumberFormat="1" applyFont="1" applyFill="1" applyBorder="1" applyAlignment="1" applyProtection="1">
      <alignment vertical="center"/>
    </xf>
    <xf numFmtId="0" fontId="60" fillId="0" borderId="38" xfId="6" applyFont="1" applyFill="1" applyBorder="1" applyAlignment="1" applyProtection="1">
      <alignment horizontal="center" vertical="center"/>
    </xf>
    <xf numFmtId="165" fontId="58" fillId="17" borderId="11" xfId="6" applyNumberFormat="1" applyFont="1" applyFill="1" applyBorder="1" applyAlignment="1" applyProtection="1">
      <alignment vertical="center"/>
    </xf>
    <xf numFmtId="0" fontId="62" fillId="0" borderId="0" xfId="6" applyFont="1" applyFill="1" applyBorder="1" applyAlignment="1" applyProtection="1">
      <alignment vertical="center"/>
    </xf>
    <xf numFmtId="0" fontId="60" fillId="0" borderId="36" xfId="6" applyFont="1" applyFill="1" applyBorder="1" applyAlignment="1" applyProtection="1">
      <alignment horizontal="center" vertical="center"/>
    </xf>
    <xf numFmtId="165" fontId="58" fillId="16" borderId="36" xfId="6" applyNumberFormat="1" applyFont="1" applyFill="1" applyBorder="1" applyAlignment="1" applyProtection="1">
      <alignment vertical="center"/>
      <protection locked="0"/>
    </xf>
    <xf numFmtId="0" fontId="16" fillId="16" borderId="171" xfId="19" applyNumberFormat="1" applyFont="1" applyFill="1" applyBorder="1" applyAlignment="1" applyProtection="1">
      <alignment vertical="center" wrapText="1"/>
      <protection locked="0"/>
    </xf>
    <xf numFmtId="165" fontId="58" fillId="16" borderId="38" xfId="6" applyNumberFormat="1" applyFont="1" applyFill="1" applyBorder="1" applyAlignment="1" applyProtection="1">
      <alignment vertical="center"/>
      <protection locked="0"/>
    </xf>
    <xf numFmtId="0" fontId="16" fillId="16" borderId="49" xfId="19" applyNumberFormat="1" applyFont="1" applyFill="1" applyBorder="1" applyAlignment="1" applyProtection="1">
      <alignment vertical="center" wrapText="1"/>
      <protection locked="0"/>
    </xf>
    <xf numFmtId="0" fontId="60" fillId="0" borderId="40" xfId="6" applyFont="1" applyFill="1" applyBorder="1" applyAlignment="1" applyProtection="1">
      <alignment horizontal="center" vertical="center"/>
    </xf>
    <xf numFmtId="165" fontId="58" fillId="17" borderId="12" xfId="6" applyNumberFormat="1" applyFont="1" applyFill="1" applyBorder="1" applyAlignment="1" applyProtection="1">
      <alignment vertical="center"/>
    </xf>
    <xf numFmtId="165" fontId="58" fillId="17" borderId="40" xfId="6" applyNumberFormat="1" applyFont="1" applyFill="1" applyBorder="1" applyAlignment="1" applyProtection="1">
      <alignment vertical="center"/>
    </xf>
    <xf numFmtId="0" fontId="59" fillId="0" borderId="52" xfId="6" applyFont="1" applyFill="1" applyBorder="1" applyAlignment="1" applyProtection="1">
      <alignment vertical="center"/>
    </xf>
    <xf numFmtId="0" fontId="59" fillId="0" borderId="0" xfId="6" applyFont="1" applyFill="1" applyBorder="1" applyAlignment="1" applyProtection="1">
      <alignment vertical="center"/>
    </xf>
    <xf numFmtId="0" fontId="60" fillId="0" borderId="0" xfId="6" applyFont="1" applyFill="1" applyBorder="1" applyAlignment="1" applyProtection="1">
      <alignment horizontal="center" vertical="center"/>
    </xf>
    <xf numFmtId="165" fontId="58" fillId="0" borderId="0" xfId="6" applyNumberFormat="1" applyFont="1" applyFill="1" applyBorder="1" applyAlignment="1" applyProtection="1">
      <alignment vertical="center"/>
    </xf>
    <xf numFmtId="0" fontId="57" fillId="0" borderId="0" xfId="18" applyNumberFormat="1" applyFont="1" applyFill="1" applyBorder="1"/>
    <xf numFmtId="165" fontId="58" fillId="16" borderId="47" xfId="6" applyNumberFormat="1" applyFont="1" applyFill="1" applyBorder="1" applyAlignment="1" applyProtection="1">
      <alignment vertical="center"/>
      <protection locked="0"/>
    </xf>
    <xf numFmtId="0" fontId="16" fillId="16" borderId="172" xfId="19" applyNumberFormat="1" applyFont="1" applyFill="1" applyBorder="1" applyAlignment="1" applyProtection="1">
      <alignment vertical="center" wrapText="1"/>
      <protection locked="0"/>
    </xf>
    <xf numFmtId="0" fontId="58" fillId="0" borderId="46" xfId="6" applyFont="1" applyFill="1" applyBorder="1" applyAlignment="1" applyProtection="1">
      <alignment horizontal="center" vertical="center"/>
    </xf>
    <xf numFmtId="0" fontId="16" fillId="16" borderId="173" xfId="19" applyNumberFormat="1" applyFont="1" applyFill="1" applyBorder="1" applyAlignment="1" applyProtection="1">
      <alignment vertical="center" wrapText="1"/>
      <protection locked="0"/>
    </xf>
    <xf numFmtId="0" fontId="58" fillId="0" borderId="0" xfId="6" applyFont="1" applyFill="1" applyBorder="1" applyAlignment="1" applyProtection="1">
      <alignment horizontal="center" vertical="center"/>
    </xf>
    <xf numFmtId="0" fontId="63" fillId="15" borderId="1" xfId="6" applyFont="1" applyFill="1" applyBorder="1" applyAlignment="1" applyProtection="1">
      <alignment vertical="center"/>
    </xf>
    <xf numFmtId="0" fontId="58" fillId="0" borderId="2" xfId="6" applyFont="1" applyFill="1" applyBorder="1" applyAlignment="1" applyProtection="1">
      <alignment horizontal="center" vertical="center"/>
    </xf>
    <xf numFmtId="0" fontId="59" fillId="0" borderId="3" xfId="6" applyFont="1" applyFill="1" applyBorder="1" applyAlignment="1" applyProtection="1">
      <alignment vertical="center"/>
    </xf>
    <xf numFmtId="0" fontId="59" fillId="0" borderId="15" xfId="6" applyFont="1" applyFill="1" applyBorder="1" applyAlignment="1" applyProtection="1">
      <alignment vertical="center"/>
    </xf>
    <xf numFmtId="0" fontId="60" fillId="0" borderId="3" xfId="6" applyFont="1" applyFill="1" applyBorder="1" applyAlignment="1" applyProtection="1">
      <alignment horizontal="center" vertical="center"/>
    </xf>
    <xf numFmtId="0" fontId="60" fillId="0" borderId="4" xfId="6" applyFont="1" applyFill="1" applyBorder="1" applyAlignment="1" applyProtection="1">
      <alignment horizontal="center" vertical="center"/>
    </xf>
    <xf numFmtId="0" fontId="12" fillId="0" borderId="0" xfId="11" applyFont="1" applyFill="1" applyAlignment="1" applyProtection="1">
      <alignment vertical="center"/>
    </xf>
    <xf numFmtId="0" fontId="23" fillId="0" borderId="0" xfId="11" applyFont="1" applyFill="1" applyAlignment="1" applyProtection="1">
      <alignment vertical="center"/>
    </xf>
    <xf numFmtId="0" fontId="23" fillId="0" borderId="0" xfId="11" applyFont="1" applyFill="1" applyAlignment="1" applyProtection="1">
      <alignment horizontal="left" vertical="center"/>
    </xf>
    <xf numFmtId="0" fontId="23" fillId="4" borderId="9" xfId="11" applyFont="1" applyFill="1" applyBorder="1" applyProtection="1">
      <protection locked="0"/>
    </xf>
    <xf numFmtId="0" fontId="23" fillId="0" borderId="0" xfId="11" applyFont="1" applyFill="1" applyAlignment="1" applyProtection="1">
      <alignment horizontal="left"/>
    </xf>
    <xf numFmtId="0" fontId="23" fillId="7" borderId="9" xfId="11" applyFont="1" applyFill="1" applyBorder="1" applyProtection="1"/>
    <xf numFmtId="0" fontId="25" fillId="3" borderId="34" xfId="11" applyFont="1" applyFill="1" applyBorder="1" applyAlignment="1" applyProtection="1">
      <alignment horizontal="left" vertical="center"/>
    </xf>
    <xf numFmtId="0" fontId="25" fillId="3" borderId="34" xfId="11" applyFont="1" applyFill="1" applyBorder="1" applyAlignment="1" applyProtection="1">
      <alignment vertical="center"/>
    </xf>
    <xf numFmtId="0" fontId="25" fillId="3" borderId="35" xfId="11" applyFont="1" applyFill="1" applyBorder="1" applyAlignment="1" applyProtection="1">
      <alignment vertical="center"/>
    </xf>
    <xf numFmtId="0" fontId="25" fillId="0" borderId="0" xfId="1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0" borderId="0" xfId="11" applyFont="1" applyFill="1" applyBorder="1" applyAlignment="1" applyProtection="1">
      <alignment horizontal="left" vertical="center"/>
    </xf>
    <xf numFmtId="0" fontId="12" fillId="0" borderId="68" xfId="11" applyFont="1" applyFill="1" applyBorder="1" applyAlignment="1" applyProtection="1">
      <alignment horizontal="center" vertical="top"/>
    </xf>
    <xf numFmtId="0" fontId="12" fillId="0" borderId="0" xfId="11" applyFont="1" applyFill="1" applyBorder="1" applyAlignment="1" applyProtection="1">
      <alignment horizontal="left" vertical="top"/>
    </xf>
    <xf numFmtId="0" fontId="23" fillId="0" borderId="66" xfId="11" applyFont="1" applyFill="1" applyBorder="1" applyAlignment="1" applyProtection="1">
      <alignment horizontal="left" vertical="top"/>
    </xf>
    <xf numFmtId="0" fontId="23" fillId="0" borderId="0" xfId="11" applyFont="1" applyFill="1" applyBorder="1" applyAlignment="1" applyProtection="1">
      <alignment horizontal="left" vertical="top" wrapText="1"/>
    </xf>
    <xf numFmtId="0" fontId="23" fillId="0" borderId="84" xfId="11" applyFont="1" applyFill="1" applyBorder="1" applyAlignment="1" applyProtection="1">
      <alignment horizontal="left" vertical="top"/>
    </xf>
    <xf numFmtId="0" fontId="23" fillId="0" borderId="92" xfId="11" applyNumberFormat="1" applyFont="1" applyFill="1" applyBorder="1" applyAlignment="1" applyProtection="1">
      <alignment horizontal="left" vertical="top"/>
    </xf>
    <xf numFmtId="0" fontId="23" fillId="0" borderId="0" xfId="11" applyFont="1" applyFill="1" applyBorder="1" applyAlignment="1" applyProtection="1">
      <alignment horizontal="left" vertical="top"/>
    </xf>
    <xf numFmtId="0" fontId="64" fillId="19" borderId="0" xfId="11" applyFont="1" applyFill="1" applyBorder="1" applyAlignment="1">
      <alignment vertical="center"/>
    </xf>
    <xf numFmtId="0" fontId="65" fillId="0" borderId="0" xfId="17" applyFont="1" applyFill="1" applyBorder="1" applyProtection="1"/>
    <xf numFmtId="0" fontId="66" fillId="20" borderId="0" xfId="6" applyFont="1" applyFill="1" applyBorder="1" applyAlignment="1" applyProtection="1">
      <alignment vertical="center"/>
    </xf>
    <xf numFmtId="0" fontId="66" fillId="20" borderId="0" xfId="6" applyFont="1" applyFill="1" applyBorder="1" applyAlignment="1" applyProtection="1">
      <alignment horizontal="right" vertical="center"/>
    </xf>
    <xf numFmtId="0" fontId="68" fillId="0" borderId="0" xfId="18" applyFont="1" applyFill="1" applyBorder="1" applyAlignment="1" applyProtection="1">
      <alignment vertical="center"/>
    </xf>
    <xf numFmtId="0" fontId="69" fillId="0" borderId="0" xfId="18" applyFont="1" applyFill="1" applyBorder="1"/>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3" borderId="179" xfId="6" applyFont="1" applyFill="1" applyBorder="1" applyAlignment="1" applyProtection="1">
      <alignment horizontal="center" vertical="center" wrapText="1"/>
    </xf>
    <xf numFmtId="0" fontId="70" fillId="0" borderId="0" xfId="18" applyFont="1" applyFill="1" applyBorder="1" applyAlignment="1" applyProtection="1">
      <alignment horizontal="center" vertical="center"/>
    </xf>
    <xf numFmtId="0" fontId="70" fillId="0" borderId="0" xfId="18" applyFont="1" applyFill="1" applyBorder="1" applyAlignment="1">
      <alignment horizontal="center" vertical="center" wrapText="1"/>
    </xf>
    <xf numFmtId="165" fontId="58" fillId="0" borderId="9" xfId="6" applyNumberFormat="1" applyFont="1" applyFill="1" applyBorder="1" applyAlignment="1" applyProtection="1">
      <alignment vertical="center"/>
      <protection locked="0"/>
    </xf>
    <xf numFmtId="0" fontId="23" fillId="0" borderId="0" xfId="11" applyFont="1" applyFill="1" applyBorder="1" applyAlignment="1" applyProtection="1">
      <alignment horizontal="left" vertical="center"/>
    </xf>
    <xf numFmtId="0" fontId="23" fillId="16" borderId="9" xfId="11" applyFont="1" applyFill="1" applyBorder="1" applyProtection="1">
      <protection locked="0"/>
    </xf>
    <xf numFmtId="0" fontId="23" fillId="0" borderId="0" xfId="11" applyFont="1" applyFill="1" applyBorder="1" applyAlignment="1" applyProtection="1">
      <alignment horizontal="left"/>
    </xf>
    <xf numFmtId="0" fontId="23" fillId="17" borderId="9" xfId="11" applyFont="1" applyFill="1" applyBorder="1" applyProtection="1"/>
    <xf numFmtId="0" fontId="59" fillId="0" borderId="0" xfId="15" applyFont="1" applyFill="1" applyBorder="1" applyAlignment="1" applyProtection="1">
      <alignment vertical="center"/>
    </xf>
    <xf numFmtId="0" fontId="59" fillId="0" borderId="0" xfId="15" applyFont="1" applyFill="1" applyBorder="1" applyAlignment="1" applyProtection="1">
      <alignment horizontal="left" vertical="center"/>
    </xf>
    <xf numFmtId="0" fontId="71" fillId="19" borderId="0" xfId="11" applyFont="1" applyFill="1" applyBorder="1" applyAlignment="1">
      <alignment vertical="center"/>
    </xf>
    <xf numFmtId="0" fontId="67" fillId="19" borderId="0" xfId="11" applyFont="1" applyFill="1" applyBorder="1" applyAlignment="1">
      <alignment vertical="center"/>
    </xf>
    <xf numFmtId="0" fontId="67" fillId="19" borderId="0" xfId="15" applyFont="1" applyFill="1" applyBorder="1" applyAlignment="1">
      <alignment vertical="center"/>
    </xf>
    <xf numFmtId="0" fontId="67" fillId="0" borderId="0" xfId="21" applyFont="1" applyFill="1" applyBorder="1"/>
    <xf numFmtId="0" fontId="13" fillId="0" borderId="0" xfId="11" applyFont="1" applyFill="1" applyBorder="1" applyAlignment="1" applyProtection="1">
      <alignment vertical="center"/>
    </xf>
    <xf numFmtId="0" fontId="72" fillId="0" borderId="0" xfId="18" applyFont="1"/>
    <xf numFmtId="0" fontId="7" fillId="3" borderId="2" xfId="11" applyFont="1" applyFill="1" applyBorder="1" applyAlignment="1" applyProtection="1">
      <alignment horizontal="left" vertical="center"/>
    </xf>
    <xf numFmtId="0" fontId="7" fillId="3" borderId="3" xfId="11" applyFont="1" applyFill="1" applyBorder="1" applyAlignment="1" applyProtection="1">
      <alignment horizontal="left" vertical="center"/>
    </xf>
    <xf numFmtId="0" fontId="7" fillId="3" borderId="3" xfId="11" applyFont="1" applyFill="1" applyBorder="1" applyAlignment="1" applyProtection="1">
      <alignment horizontal="center" vertical="center"/>
    </xf>
    <xf numFmtId="0" fontId="7" fillId="3" borderId="33" xfId="11" applyFont="1" applyFill="1" applyBorder="1" applyAlignment="1" applyProtection="1">
      <alignment horizontal="center" vertical="center"/>
    </xf>
    <xf numFmtId="0" fontId="7" fillId="3" borderId="4" xfId="0" applyFont="1" applyFill="1" applyBorder="1"/>
    <xf numFmtId="0" fontId="23" fillId="0" borderId="5" xfId="11" applyFont="1" applyFill="1" applyBorder="1" applyAlignment="1" applyProtection="1">
      <alignment horizontal="center" vertical="center"/>
    </xf>
    <xf numFmtId="0" fontId="59" fillId="0" borderId="47" xfId="0" applyFont="1" applyBorder="1" applyAlignment="1">
      <alignment vertical="center" wrapText="1"/>
    </xf>
    <xf numFmtId="0" fontId="14" fillId="0" borderId="6" xfId="11" applyFont="1" applyFill="1" applyBorder="1" applyAlignment="1" applyProtection="1">
      <alignment horizontal="center" vertical="center"/>
    </xf>
    <xf numFmtId="0" fontId="14" fillId="0" borderId="7" xfId="11" applyFont="1" applyFill="1" applyBorder="1" applyAlignment="1" applyProtection="1">
      <alignment horizontal="center" vertical="center"/>
    </xf>
    <xf numFmtId="165" fontId="16" fillId="4" borderId="5" xfId="2" applyNumberFormat="1" applyFont="1" applyFill="1" applyBorder="1" applyAlignment="1" applyProtection="1">
      <alignment vertical="center"/>
      <protection locked="0"/>
    </xf>
    <xf numFmtId="165" fontId="16" fillId="4" borderId="54" xfId="2" applyNumberFormat="1" applyFont="1" applyFill="1" applyBorder="1" applyAlignment="1" applyProtection="1">
      <alignment vertical="center"/>
      <protection locked="0"/>
    </xf>
    <xf numFmtId="0" fontId="23" fillId="0" borderId="46" xfId="11" applyFont="1" applyFill="1" applyBorder="1" applyAlignment="1" applyProtection="1">
      <alignment horizontal="center" vertical="center"/>
    </xf>
    <xf numFmtId="0" fontId="14" fillId="0" borderId="9" xfId="11" applyFont="1" applyFill="1" applyBorder="1" applyAlignment="1" applyProtection="1">
      <alignment horizontal="center" vertical="center"/>
    </xf>
    <xf numFmtId="0" fontId="14" fillId="0" borderId="10"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protection locked="0"/>
    </xf>
    <xf numFmtId="0" fontId="23" fillId="0" borderId="8" xfId="11" applyFont="1" applyFill="1" applyBorder="1" applyAlignment="1" applyProtection="1">
      <alignment horizontal="center" vertical="center"/>
    </xf>
    <xf numFmtId="0" fontId="59" fillId="0" borderId="9" xfId="11" applyFont="1" applyFill="1" applyBorder="1" applyAlignment="1">
      <alignment vertical="center" wrapText="1"/>
    </xf>
    <xf numFmtId="165" fontId="16" fillId="4" borderId="8" xfId="2" applyNumberFormat="1" applyFont="1" applyFill="1" applyBorder="1" applyAlignment="1" applyProtection="1">
      <alignment vertical="center"/>
      <protection locked="0"/>
    </xf>
    <xf numFmtId="165" fontId="16" fillId="4" borderId="56" xfId="2" applyNumberFormat="1" applyFont="1" applyFill="1" applyBorder="1" applyAlignment="1" applyProtection="1">
      <alignment vertical="center"/>
      <protection locked="0"/>
    </xf>
    <xf numFmtId="0" fontId="59" fillId="4" borderId="9" xfId="11" applyFont="1" applyFill="1" applyBorder="1" applyAlignment="1" applyProtection="1">
      <alignment vertical="center" wrapText="1"/>
      <protection locked="0"/>
    </xf>
    <xf numFmtId="0" fontId="23" fillId="0" borderId="11" xfId="11" applyFont="1" applyFill="1" applyBorder="1" applyAlignment="1" applyProtection="1">
      <alignment horizontal="center" vertical="center"/>
    </xf>
    <xf numFmtId="0" fontId="59" fillId="4" borderId="12" xfId="11" applyFont="1" applyFill="1" applyBorder="1" applyAlignment="1" applyProtection="1">
      <alignment vertical="center" wrapText="1"/>
      <protection locked="0"/>
    </xf>
    <xf numFmtId="0" fontId="14" fillId="0" borderId="12" xfId="11" applyFont="1" applyFill="1" applyBorder="1" applyAlignment="1" applyProtection="1">
      <alignment horizontal="center" vertical="center"/>
    </xf>
    <xf numFmtId="0" fontId="14" fillId="0" borderId="13" xfId="11" applyFont="1" applyFill="1" applyBorder="1" applyAlignment="1" applyProtection="1">
      <alignment horizontal="center" vertical="center"/>
    </xf>
    <xf numFmtId="165" fontId="16" fillId="4" borderId="11" xfId="2" applyNumberFormat="1" applyFont="1" applyFill="1" applyBorder="1" applyAlignment="1" applyProtection="1">
      <alignment vertical="center"/>
      <protection locked="0"/>
    </xf>
    <xf numFmtId="0" fontId="23" fillId="0" borderId="2" xfId="11" applyFont="1" applyFill="1" applyBorder="1" applyAlignment="1" applyProtection="1">
      <alignment horizontal="center" vertical="center"/>
    </xf>
    <xf numFmtId="0" fontId="59" fillId="0" borderId="3" xfId="11" applyFont="1" applyFill="1" applyBorder="1" applyAlignment="1">
      <alignment vertical="center" wrapText="1"/>
    </xf>
    <xf numFmtId="0" fontId="59" fillId="0" borderId="34" xfId="11" applyFont="1" applyFill="1" applyBorder="1" applyAlignment="1">
      <alignment vertical="center" wrapText="1"/>
    </xf>
    <xf numFmtId="165" fontId="16" fillId="21" borderId="2" xfId="11" applyNumberFormat="1" applyFont="1" applyFill="1" applyBorder="1" applyAlignment="1" applyProtection="1">
      <alignment vertical="center"/>
      <protection locked="0"/>
    </xf>
    <xf numFmtId="165" fontId="16" fillId="21" borderId="61" xfId="11" applyNumberFormat="1" applyFont="1" applyFill="1" applyBorder="1" applyAlignment="1" applyProtection="1">
      <alignment vertical="center"/>
      <protection locked="0"/>
    </xf>
    <xf numFmtId="0" fontId="23" fillId="0" borderId="0" xfId="11" applyFont="1" applyFill="1" applyBorder="1" applyAlignment="1" applyProtection="1">
      <alignment horizontal="center" vertical="center"/>
    </xf>
    <xf numFmtId="0" fontId="59" fillId="0" borderId="0" xfId="11" applyFont="1" applyFill="1" applyBorder="1" applyAlignment="1">
      <alignment vertical="center" wrapText="1"/>
    </xf>
    <xf numFmtId="0" fontId="16" fillId="0" borderId="0" xfId="11" applyFont="1" applyFill="1" applyBorder="1" applyAlignment="1" applyProtection="1">
      <alignment horizontal="center" vertical="center"/>
    </xf>
    <xf numFmtId="0" fontId="14" fillId="0" borderId="0" xfId="11" applyFont="1" applyFill="1" applyBorder="1" applyAlignment="1" applyProtection="1">
      <alignment horizontal="center" vertical="center"/>
    </xf>
    <xf numFmtId="1" fontId="16" fillId="0" borderId="0" xfId="11" applyNumberFormat="1" applyFont="1" applyFill="1" applyBorder="1" applyAlignment="1" applyProtection="1">
      <alignment vertical="center"/>
      <protection locked="0"/>
    </xf>
    <xf numFmtId="165" fontId="16" fillId="0" borderId="0" xfId="11" applyNumberFormat="1" applyFont="1" applyFill="1" applyBorder="1" applyAlignment="1" applyProtection="1">
      <alignment vertical="center"/>
      <protection locked="0"/>
    </xf>
    <xf numFmtId="0" fontId="16" fillId="0" borderId="0" xfId="11" applyFont="1" applyFill="1" applyBorder="1" applyAlignment="1" applyProtection="1">
      <alignment vertical="center"/>
    </xf>
    <xf numFmtId="0" fontId="9" fillId="0" borderId="0" xfId="11" applyFont="1" applyFill="1" applyBorder="1" applyAlignment="1">
      <alignment vertical="top"/>
    </xf>
    <xf numFmtId="171" fontId="16" fillId="0" borderId="0" xfId="2" applyNumberFormat="1" applyFont="1" applyFill="1" applyBorder="1" applyAlignment="1" applyProtection="1">
      <alignment vertical="center"/>
      <protection locked="0"/>
    </xf>
    <xf numFmtId="0" fontId="1" fillId="0" borderId="0" xfId="6" applyFill="1" applyBorder="1" applyAlignment="1" applyProtection="1">
      <alignment vertical="center"/>
    </xf>
    <xf numFmtId="0" fontId="16" fillId="0" borderId="0" xfId="11" applyFont="1" applyFill="1" applyAlignment="1" applyProtection="1">
      <alignment horizontal="left" vertical="center"/>
    </xf>
    <xf numFmtId="0" fontId="12" fillId="0" borderId="54" xfId="11" applyFont="1" applyFill="1" applyBorder="1" applyAlignment="1" applyProtection="1">
      <alignment horizontal="center" vertical="center"/>
    </xf>
    <xf numFmtId="0" fontId="74" fillId="0" borderId="0" xfId="0" applyFont="1" applyBorder="1" applyAlignment="1">
      <alignment horizontal="left" vertical="center" wrapText="1"/>
    </xf>
    <xf numFmtId="0" fontId="23" fillId="0" borderId="54" xfId="11" applyFont="1" applyFill="1" applyBorder="1" applyAlignment="1" applyProtection="1">
      <alignment horizontal="left" vertical="top"/>
    </xf>
    <xf numFmtId="0" fontId="0" fillId="0" borderId="0" xfId="0" applyBorder="1" applyAlignment="1">
      <alignment horizontal="left" vertical="top" wrapText="1"/>
    </xf>
    <xf numFmtId="9" fontId="59" fillId="0" borderId="0" xfId="11" applyNumberFormat="1" applyFont="1" applyFill="1" applyBorder="1" applyAlignment="1">
      <alignment horizontal="left" vertical="center" wrapText="1"/>
    </xf>
    <xf numFmtId="0" fontId="23" fillId="0" borderId="113" xfId="11" applyFont="1" applyFill="1" applyBorder="1" applyAlignment="1" applyProtection="1">
      <alignment horizontal="left" vertical="top"/>
    </xf>
    <xf numFmtId="0" fontId="23"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3" fillId="0" borderId="57" xfId="11" applyFont="1" applyFill="1" applyBorder="1" applyAlignment="1" applyProtection="1">
      <alignment horizontal="left" vertical="top"/>
    </xf>
    <xf numFmtId="0" fontId="75" fillId="0" borderId="0" xfId="18" applyFont="1"/>
    <xf numFmtId="0" fontId="4" fillId="2" borderId="203" xfId="6" applyFont="1" applyFill="1" applyBorder="1" applyAlignment="1" applyProtection="1">
      <alignment vertical="center"/>
    </xf>
    <xf numFmtId="0" fontId="4" fillId="2" borderId="204" xfId="18" applyFont="1" applyFill="1" applyBorder="1" applyAlignment="1" applyProtection="1">
      <alignment vertical="center"/>
    </xf>
    <xf numFmtId="0" fontId="4" fillId="2" borderId="0" xfId="18" applyFont="1" applyFill="1" applyBorder="1" applyAlignment="1" applyProtection="1">
      <alignment vertical="center"/>
    </xf>
    <xf numFmtId="0" fontId="67" fillId="0" borderId="0" xfId="11" applyFont="1" applyFill="1" applyBorder="1" applyAlignment="1" applyProtection="1">
      <alignment vertical="center"/>
    </xf>
    <xf numFmtId="0" fontId="76" fillId="0" borderId="0" xfId="18" applyFont="1"/>
    <xf numFmtId="0" fontId="7" fillId="3" borderId="2" xfId="11" applyFont="1" applyFill="1" applyBorder="1" applyAlignment="1" applyProtection="1">
      <alignment horizontal="center" vertical="center"/>
    </xf>
    <xf numFmtId="0" fontId="7" fillId="3" borderId="4" xfId="11" applyFont="1" applyFill="1" applyBorder="1" applyAlignment="1" applyProtection="1">
      <alignment horizontal="center" vertical="center"/>
    </xf>
    <xf numFmtId="0" fontId="76" fillId="0" borderId="0" xfId="18" applyFont="1" applyFill="1"/>
    <xf numFmtId="0" fontId="7" fillId="0" borderId="53" xfId="11" applyFont="1" applyFill="1" applyBorder="1" applyAlignment="1" applyProtection="1">
      <alignment horizontal="left" vertical="center"/>
    </xf>
    <xf numFmtId="0" fontId="7" fillId="0" borderId="0" xfId="11" applyFont="1" applyFill="1" applyBorder="1" applyAlignment="1" applyProtection="1">
      <alignment horizontal="left" vertical="center"/>
    </xf>
    <xf numFmtId="0" fontId="7" fillId="0" borderId="0" xfId="11" applyFont="1" applyFill="1" applyBorder="1" applyAlignment="1" applyProtection="1">
      <alignment horizontal="center" vertical="center"/>
    </xf>
    <xf numFmtId="0" fontId="76" fillId="0" borderId="0" xfId="18" applyFont="1" applyFill="1" applyBorder="1"/>
    <xf numFmtId="0" fontId="77" fillId="0" borderId="206" xfId="11" applyFont="1" applyFill="1" applyBorder="1" applyAlignment="1" applyProtection="1">
      <alignment horizontal="center" vertical="center"/>
    </xf>
    <xf numFmtId="0" fontId="77" fillId="0" borderId="0" xfId="18" applyFont="1" applyFill="1" applyBorder="1"/>
    <xf numFmtId="0" fontId="7" fillId="3" borderId="45" xfId="6" applyFont="1" applyFill="1" applyBorder="1" applyAlignment="1" applyProtection="1">
      <alignment horizontal="center" vertical="center" wrapText="1"/>
    </xf>
    <xf numFmtId="0" fontId="7" fillId="3" borderId="4" xfId="22" applyFont="1" applyFill="1" applyBorder="1"/>
    <xf numFmtId="165" fontId="16" fillId="4" borderId="5" xfId="19" applyNumberFormat="1" applyFont="1" applyFill="1" applyBorder="1" applyAlignment="1" applyProtection="1">
      <alignment vertical="center"/>
      <protection locked="0"/>
    </xf>
    <xf numFmtId="165" fontId="20" fillId="7" borderId="18" xfId="6" applyNumberFormat="1" applyFont="1" applyFill="1" applyBorder="1" applyAlignment="1" applyProtection="1">
      <alignment vertical="center"/>
    </xf>
    <xf numFmtId="165" fontId="16"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3" fillId="0" borderId="43" xfId="11" applyFont="1" applyFill="1" applyBorder="1" applyAlignment="1" applyProtection="1">
      <alignment horizontal="center" vertical="center"/>
    </xf>
    <xf numFmtId="165" fontId="16" fillId="4" borderId="12" xfId="23" applyNumberFormat="1" applyFont="1" applyFill="1" applyBorder="1" applyAlignment="1" applyProtection="1">
      <alignment vertical="center" wrapText="1"/>
      <protection locked="0"/>
    </xf>
    <xf numFmtId="165" fontId="16" fillId="4" borderId="11" xfId="19" applyNumberFormat="1" applyFont="1" applyFill="1" applyBorder="1" applyAlignment="1" applyProtection="1">
      <alignment vertical="center"/>
      <protection locked="0"/>
    </xf>
    <xf numFmtId="165" fontId="20" fillId="7" borderId="109" xfId="6" applyNumberFormat="1" applyFont="1" applyFill="1" applyBorder="1" applyAlignment="1" applyProtection="1">
      <alignment vertical="center"/>
    </xf>
    <xf numFmtId="0" fontId="34" fillId="0" borderId="0" xfId="11" applyFont="1" applyFill="1" applyAlignment="1" applyProtection="1">
      <alignment horizontal="left" vertical="center"/>
    </xf>
    <xf numFmtId="0" fontId="16" fillId="9" borderId="0" xfId="15" applyFill="1" applyAlignment="1">
      <alignment vertical="center"/>
    </xf>
    <xf numFmtId="0" fontId="16" fillId="9" borderId="0" xfId="11" applyFill="1" applyAlignment="1">
      <alignment vertical="center"/>
    </xf>
    <xf numFmtId="0" fontId="12" fillId="0" borderId="5" xfId="11" applyFont="1" applyFill="1" applyBorder="1" applyAlignment="1" applyProtection="1">
      <alignment horizontal="center" vertical="center"/>
    </xf>
    <xf numFmtId="0" fontId="23" fillId="0" borderId="5" xfId="11" applyFont="1" applyFill="1" applyBorder="1" applyAlignment="1" applyProtection="1">
      <alignment horizontal="center" vertical="top"/>
    </xf>
    <xf numFmtId="0" fontId="23" fillId="0" borderId="8" xfId="11" applyFont="1" applyFill="1" applyBorder="1" applyAlignment="1" applyProtection="1">
      <alignment horizontal="center" vertical="top"/>
    </xf>
    <xf numFmtId="0" fontId="23" fillId="0" borderId="11" xfId="11" applyFont="1" applyFill="1" applyBorder="1" applyAlignment="1" applyProtection="1">
      <alignment horizontal="center" vertical="top"/>
    </xf>
    <xf numFmtId="0" fontId="76" fillId="0" borderId="0" xfId="22" applyFont="1" applyAlignment="1">
      <alignment horizontal="center" vertical="top"/>
    </xf>
    <xf numFmtId="0" fontId="72" fillId="0" borderId="0" xfId="18" applyFont="1" applyFill="1" applyBorder="1"/>
    <xf numFmtId="0" fontId="78" fillId="0" borderId="0" xfId="11" applyFont="1" applyFill="1" applyBorder="1" applyAlignment="1" applyProtection="1">
      <alignment horizontal="center" vertical="center"/>
    </xf>
    <xf numFmtId="0" fontId="78" fillId="0" borderId="0" xfId="18" applyFont="1" applyFill="1" applyBorder="1"/>
    <xf numFmtId="0" fontId="72" fillId="23" borderId="0" xfId="18" applyFont="1" applyFill="1"/>
    <xf numFmtId="0" fontId="20" fillId="23" borderId="5" xfId="6" applyFont="1" applyFill="1" applyBorder="1" applyAlignment="1" applyProtection="1">
      <alignment horizontal="center" vertical="center"/>
    </xf>
    <xf numFmtId="0" fontId="9" fillId="23" borderId="6" xfId="6" applyFont="1" applyFill="1" applyBorder="1" applyAlignment="1" applyProtection="1">
      <alignment vertical="center"/>
    </xf>
    <xf numFmtId="0" fontId="22" fillId="23" borderId="6" xfId="6" applyFont="1" applyFill="1" applyBorder="1" applyAlignment="1" applyProtection="1">
      <alignment horizontal="center" vertical="center"/>
    </xf>
    <xf numFmtId="0" fontId="22" fillId="23" borderId="7" xfId="6" applyFont="1" applyFill="1" applyBorder="1" applyAlignment="1" applyProtection="1">
      <alignment horizontal="center" vertical="center"/>
    </xf>
    <xf numFmtId="165" fontId="16" fillId="4" borderId="54" xfId="19" applyNumberFormat="1" applyFont="1" applyFill="1" applyBorder="1" applyAlignment="1" applyProtection="1">
      <alignment vertical="center"/>
      <protection locked="0"/>
    </xf>
    <xf numFmtId="0" fontId="23" fillId="23" borderId="8" xfId="11" applyFont="1" applyFill="1" applyBorder="1" applyAlignment="1" applyProtection="1">
      <alignment horizontal="center" vertical="center"/>
    </xf>
    <xf numFmtId="0" fontId="59" fillId="23" borderId="9" xfId="11" applyFont="1" applyFill="1" applyBorder="1" applyAlignment="1">
      <alignment vertical="center" wrapText="1"/>
    </xf>
    <xf numFmtId="0" fontId="14" fillId="23" borderId="9" xfId="11" applyFont="1" applyFill="1" applyBorder="1" applyAlignment="1" applyProtection="1">
      <alignment horizontal="center" vertical="center"/>
    </xf>
    <xf numFmtId="0" fontId="14" fillId="23" borderId="10" xfId="11" applyFont="1" applyFill="1" applyBorder="1" applyAlignment="1" applyProtection="1">
      <alignment horizontal="center" vertical="center"/>
    </xf>
    <xf numFmtId="165" fontId="16" fillId="4" borderId="56" xfId="19" applyNumberFormat="1" applyFont="1" applyFill="1" applyBorder="1" applyAlignment="1" applyProtection="1">
      <alignment vertical="center"/>
      <protection locked="0"/>
    </xf>
    <xf numFmtId="1" fontId="16" fillId="4" borderId="32" xfId="19" applyNumberFormat="1" applyFont="1" applyFill="1" applyBorder="1" applyAlignment="1" applyProtection="1">
      <alignment vertical="center"/>
      <protection locked="0"/>
    </xf>
    <xf numFmtId="0" fontId="3" fillId="0" borderId="0" xfId="6" applyFont="1" applyAlignment="1" applyProtection="1">
      <alignment horizontal="center" vertical="center"/>
    </xf>
    <xf numFmtId="165" fontId="72" fillId="0" borderId="0" xfId="18" applyNumberFormat="1" applyFont="1"/>
    <xf numFmtId="0" fontId="71" fillId="9" borderId="0" xfId="11" applyFont="1" applyFill="1" applyAlignment="1">
      <alignment vertical="center"/>
    </xf>
    <xf numFmtId="0" fontId="9" fillId="0" borderId="0" xfId="14" applyFont="1"/>
    <xf numFmtId="0" fontId="1" fillId="0" borderId="0" xfId="14"/>
    <xf numFmtId="0" fontId="9" fillId="0" borderId="0" xfId="18" applyFont="1"/>
    <xf numFmtId="0" fontId="67" fillId="0" borderId="0" xfId="21" applyFont="1"/>
    <xf numFmtId="0" fontId="79" fillId="2" borderId="0" xfId="18" applyFont="1" applyFill="1" applyBorder="1" applyAlignment="1" applyProtection="1">
      <alignment vertical="center"/>
    </xf>
    <xf numFmtId="0" fontId="67" fillId="0" borderId="0" xfId="21" applyFont="1" applyBorder="1"/>
    <xf numFmtId="0" fontId="67" fillId="9" borderId="0" xfId="15" applyFont="1" applyFill="1" applyAlignment="1">
      <alignment vertical="center"/>
    </xf>
    <xf numFmtId="0" fontId="71" fillId="0" borderId="0" xfId="21" applyFont="1" applyBorder="1" applyAlignment="1">
      <alignment vertical="center"/>
    </xf>
    <xf numFmtId="0" fontId="71" fillId="0" borderId="0" xfId="21" applyFont="1" applyAlignment="1">
      <alignment vertical="center"/>
    </xf>
    <xf numFmtId="0" fontId="3" fillId="0" borderId="0" xfId="14" applyFont="1" applyAlignment="1">
      <alignment vertical="center"/>
    </xf>
    <xf numFmtId="0" fontId="67" fillId="9" borderId="207" xfId="15" applyFont="1" applyFill="1" applyBorder="1" applyAlignment="1">
      <alignment vertical="center"/>
    </xf>
    <xf numFmtId="0" fontId="59" fillId="0" borderId="6" xfId="22" applyFont="1" applyBorder="1" applyAlignment="1">
      <alignment vertical="center" wrapText="1"/>
    </xf>
    <xf numFmtId="49" fontId="16" fillId="4" borderId="31" xfId="19" applyNumberFormat="1" applyFont="1" applyFill="1" applyBorder="1" applyAlignment="1" applyProtection="1">
      <alignment vertical="center" wrapText="1"/>
      <protection locked="0"/>
    </xf>
    <xf numFmtId="49" fontId="16" fillId="4" borderId="32" xfId="19" applyNumberFormat="1" applyFont="1" applyFill="1" applyBorder="1" applyAlignment="1" applyProtection="1">
      <alignment vertical="center"/>
      <protection locked="0"/>
    </xf>
    <xf numFmtId="49" fontId="16" fillId="4" borderId="32" xfId="19" applyNumberFormat="1" applyFont="1" applyFill="1" applyBorder="1" applyAlignment="1" applyProtection="1">
      <alignment vertical="center" wrapText="1"/>
      <protection locked="0"/>
    </xf>
    <xf numFmtId="2" fontId="23" fillId="4" borderId="32" xfId="11" applyNumberFormat="1" applyFont="1" applyFill="1" applyBorder="1" applyProtection="1">
      <protection locked="0"/>
    </xf>
    <xf numFmtId="0" fontId="16" fillId="4" borderId="109" xfId="19" applyNumberFormat="1" applyFont="1" applyFill="1" applyBorder="1" applyAlignment="1" applyProtection="1">
      <alignment vertical="center" wrapText="1"/>
      <protection locked="0"/>
    </xf>
    <xf numFmtId="0" fontId="23" fillId="4" borderId="32" xfId="11" applyFont="1" applyFill="1" applyBorder="1" applyProtection="1">
      <protection locked="0"/>
    </xf>
    <xf numFmtId="1" fontId="23" fillId="4" borderId="32" xfId="11" applyNumberFormat="1" applyFont="1" applyFill="1" applyBorder="1" applyProtection="1">
      <protection locked="0"/>
    </xf>
    <xf numFmtId="170" fontId="23" fillId="4" borderId="32" xfId="11" applyNumberFormat="1" applyFont="1" applyFill="1" applyBorder="1" applyProtection="1">
      <protection locked="0"/>
    </xf>
    <xf numFmtId="1" fontId="23" fillId="7" borderId="32" xfId="11" applyNumberFormat="1" applyFont="1" applyFill="1" applyBorder="1" applyProtection="1"/>
    <xf numFmtId="0" fontId="59" fillId="0" borderId="12" xfId="11" applyFont="1" applyFill="1" applyBorder="1" applyAlignment="1">
      <alignment vertical="center" wrapText="1"/>
    </xf>
    <xf numFmtId="3" fontId="23" fillId="4" borderId="30" xfId="11" applyNumberFormat="1" applyFont="1" applyFill="1" applyBorder="1" applyProtection="1">
      <protection locked="0"/>
    </xf>
    <xf numFmtId="1" fontId="23" fillId="4" borderId="30" xfId="11" applyNumberFormat="1" applyFont="1" applyFill="1" applyBorder="1" applyProtection="1">
      <protection locked="0"/>
    </xf>
    <xf numFmtId="0" fontId="16" fillId="4" borderId="30" xfId="19" applyNumberFormat="1" applyFont="1" applyFill="1" applyBorder="1" applyAlignment="1" applyProtection="1">
      <alignment vertical="center" wrapText="1"/>
      <protection locked="0"/>
    </xf>
    <xf numFmtId="0" fontId="71" fillId="9" borderId="0" xfId="15" applyFont="1" applyFill="1" applyBorder="1" applyAlignment="1">
      <alignment horizontal="center" vertical="center"/>
    </xf>
    <xf numFmtId="0" fontId="67" fillId="9" borderId="0" xfId="15" applyFont="1" applyFill="1" applyBorder="1" applyAlignment="1">
      <alignment vertical="center"/>
    </xf>
    <xf numFmtId="0" fontId="67" fillId="9" borderId="0" xfId="15" applyFont="1" applyFill="1" applyBorder="1" applyAlignment="1">
      <alignment horizontal="center" vertical="center"/>
    </xf>
    <xf numFmtId="0" fontId="59" fillId="0" borderId="47" xfId="22" applyFont="1" applyBorder="1" applyAlignment="1">
      <alignment vertical="center" wrapText="1"/>
    </xf>
    <xf numFmtId="0" fontId="16" fillId="4" borderId="31" xfId="19" applyNumberFormat="1" applyFont="1" applyFill="1" applyBorder="1" applyAlignment="1" applyProtection="1">
      <alignment vertical="center" wrapText="1"/>
      <protection locked="0"/>
    </xf>
    <xf numFmtId="0" fontId="16" fillId="4" borderId="32" xfId="19" applyNumberFormat="1" applyFont="1" applyFill="1" applyBorder="1" applyAlignment="1" applyProtection="1">
      <alignment vertical="center" wrapText="1"/>
      <protection locked="0"/>
    </xf>
    <xf numFmtId="0" fontId="71" fillId="0" borderId="0" xfId="11" applyFont="1" applyAlignment="1">
      <alignment vertical="center"/>
    </xf>
    <xf numFmtId="0" fontId="81" fillId="0" borderId="0" xfId="11" applyFont="1" applyBorder="1" applyAlignment="1">
      <alignment horizontal="left" vertical="top" wrapText="1"/>
    </xf>
    <xf numFmtId="0" fontId="67" fillId="9" borderId="0" xfId="11" applyFont="1" applyFill="1" applyAlignment="1">
      <alignment vertical="center"/>
    </xf>
    <xf numFmtId="0" fontId="23" fillId="0" borderId="66" xfId="11" applyFont="1" applyFill="1" applyBorder="1" applyAlignment="1" applyProtection="1">
      <alignment horizontal="center" vertical="top"/>
    </xf>
    <xf numFmtId="0" fontId="23" fillId="0" borderId="84" xfId="11" applyFont="1" applyFill="1" applyBorder="1" applyAlignment="1" applyProtection="1">
      <alignment horizontal="center" vertical="top"/>
    </xf>
    <xf numFmtId="0" fontId="23" fillId="0" borderId="74" xfId="11" applyFont="1" applyFill="1" applyBorder="1" applyAlignment="1" applyProtection="1">
      <alignment horizontal="center" vertical="top"/>
    </xf>
    <xf numFmtId="0" fontId="64" fillId="0" borderId="0" xfId="21" applyFont="1"/>
    <xf numFmtId="0" fontId="67" fillId="0" borderId="0" xfId="21" applyFont="1" applyFill="1"/>
    <xf numFmtId="0" fontId="67" fillId="0" borderId="0" xfId="15" applyFont="1" applyFill="1" applyAlignment="1">
      <alignment vertical="center"/>
    </xf>
    <xf numFmtId="0" fontId="1" fillId="0" borderId="0" xfId="14" applyFill="1"/>
    <xf numFmtId="0" fontId="7" fillId="3" borderId="61" xfId="11" applyFont="1" applyFill="1" applyBorder="1" applyAlignment="1" applyProtection="1">
      <alignment horizontal="center" vertical="center"/>
    </xf>
    <xf numFmtId="0" fontId="59" fillId="0" borderId="6" xfId="11" applyFont="1" applyFill="1" applyBorder="1" applyAlignment="1">
      <alignment vertical="center" wrapText="1"/>
    </xf>
    <xf numFmtId="1" fontId="16" fillId="4" borderId="56" xfId="2" applyNumberFormat="1" applyFont="1" applyFill="1" applyBorder="1" applyAlignment="1" applyProtection="1">
      <alignment vertical="center"/>
      <protection locked="0"/>
    </xf>
    <xf numFmtId="2" fontId="16" fillId="4" borderId="56" xfId="2" applyNumberFormat="1" applyFont="1" applyFill="1" applyBorder="1" applyAlignment="1" applyProtection="1">
      <alignment vertical="center"/>
      <protection locked="0"/>
    </xf>
    <xf numFmtId="0" fontId="59" fillId="0" borderId="44" xfId="11" applyFont="1" applyFill="1" applyBorder="1" applyAlignment="1">
      <alignment vertical="center" wrapText="1"/>
    </xf>
    <xf numFmtId="0" fontId="14" fillId="0" borderId="44" xfId="11" applyFont="1" applyFill="1" applyBorder="1" applyAlignment="1" applyProtection="1">
      <alignment horizontal="center" vertical="center"/>
    </xf>
    <xf numFmtId="0" fontId="14" fillId="0" borderId="62" xfId="11" applyFont="1" applyFill="1" applyBorder="1" applyAlignment="1" applyProtection="1">
      <alignment horizontal="center" vertical="center"/>
    </xf>
    <xf numFmtId="2" fontId="16" fillId="4" borderId="122" xfId="2" applyNumberFormat="1" applyFont="1" applyFill="1" applyBorder="1" applyAlignment="1" applyProtection="1">
      <alignment vertical="center"/>
      <protection locked="0"/>
    </xf>
    <xf numFmtId="2" fontId="16" fillId="4" borderId="57" xfId="2" applyNumberFormat="1" applyFont="1" applyFill="1" applyBorder="1" applyAlignment="1" applyProtection="1">
      <alignment vertical="center"/>
      <protection locked="0"/>
    </xf>
    <xf numFmtId="0" fontId="88" fillId="0" borderId="6" xfId="11" applyFont="1" applyFill="1" applyBorder="1" applyAlignment="1">
      <alignment vertical="center" wrapText="1"/>
    </xf>
    <xf numFmtId="9" fontId="89" fillId="0" borderId="6" xfId="11" applyNumberFormat="1" applyFont="1" applyFill="1" applyBorder="1" applyAlignment="1">
      <alignment horizontal="center" vertical="center"/>
    </xf>
    <xf numFmtId="2" fontId="16" fillId="4" borderId="54" xfId="2" applyNumberFormat="1" applyFont="1" applyFill="1" applyBorder="1" applyAlignment="1" applyProtection="1">
      <alignment vertical="center"/>
      <protection locked="0"/>
    </xf>
    <xf numFmtId="0" fontId="88" fillId="0" borderId="9" xfId="11" applyFont="1" applyFill="1" applyBorder="1" applyAlignment="1">
      <alignment vertical="center" wrapText="1"/>
    </xf>
    <xf numFmtId="9" fontId="89" fillId="0" borderId="9" xfId="11" applyNumberFormat="1" applyFont="1" applyFill="1" applyBorder="1" applyAlignment="1">
      <alignment horizontal="center" vertical="center"/>
    </xf>
    <xf numFmtId="0" fontId="88" fillId="0" borderId="12" xfId="11" applyFont="1" applyFill="1" applyBorder="1" applyAlignment="1">
      <alignment vertical="center" wrapText="1"/>
    </xf>
    <xf numFmtId="9" fontId="89" fillId="0" borderId="12" xfId="11" applyNumberFormat="1" applyFont="1" applyFill="1" applyBorder="1" applyAlignment="1">
      <alignment horizontal="center" vertical="center"/>
    </xf>
    <xf numFmtId="9" fontId="89" fillId="0" borderId="6" xfId="11" applyNumberFormat="1" applyFont="1" applyFill="1" applyBorder="1" applyAlignment="1">
      <alignment horizontal="center" vertical="center" wrapText="1"/>
    </xf>
    <xf numFmtId="170" fontId="16" fillId="4" borderId="5" xfId="2" applyNumberFormat="1" applyFont="1" applyFill="1" applyBorder="1" applyAlignment="1" applyProtection="1">
      <alignment vertical="center"/>
      <protection locked="0"/>
    </xf>
    <xf numFmtId="9" fontId="89" fillId="0" borderId="9" xfId="11" applyNumberFormat="1" applyFont="1" applyFill="1" applyBorder="1" applyAlignment="1">
      <alignment horizontal="center" vertical="center" wrapText="1"/>
    </xf>
    <xf numFmtId="170" fontId="16" fillId="4" borderId="8" xfId="2" applyNumberFormat="1" applyFont="1" applyFill="1" applyBorder="1" applyAlignment="1" applyProtection="1">
      <alignment vertical="center"/>
      <protection locked="0"/>
    </xf>
    <xf numFmtId="1" fontId="16" fillId="4" borderId="8" xfId="2" applyNumberFormat="1" applyFont="1" applyFill="1" applyBorder="1" applyAlignment="1" applyProtection="1">
      <alignment vertical="center"/>
      <protection locked="0"/>
    </xf>
    <xf numFmtId="2" fontId="16" fillId="4" borderId="8" xfId="2" applyNumberFormat="1" applyFont="1" applyFill="1" applyBorder="1" applyAlignment="1" applyProtection="1">
      <alignment vertical="center"/>
      <protection locked="0"/>
    </xf>
    <xf numFmtId="9" fontId="89" fillId="0" borderId="12" xfId="11" applyNumberFormat="1" applyFont="1" applyFill="1" applyBorder="1" applyAlignment="1">
      <alignment horizontal="center" vertical="center" wrapText="1"/>
    </xf>
    <xf numFmtId="2" fontId="16" fillId="4" borderId="11" xfId="2" applyNumberFormat="1" applyFont="1" applyFill="1" applyBorder="1" applyAlignment="1" applyProtection="1">
      <alignment vertical="center"/>
      <protection locked="0"/>
    </xf>
    <xf numFmtId="0" fontId="22" fillId="0" borderId="24" xfId="6" applyFont="1" applyBorder="1" applyAlignment="1" applyProtection="1">
      <alignment horizontal="center" vertical="center"/>
    </xf>
    <xf numFmtId="1" fontId="16" fillId="4" borderId="5" xfId="2" applyNumberFormat="1" applyFont="1" applyFill="1" applyBorder="1" applyAlignment="1" applyProtection="1">
      <alignment vertical="center"/>
      <protection locked="0"/>
    </xf>
    <xf numFmtId="0" fontId="14" fillId="0" borderId="26" xfId="11" applyFont="1" applyFill="1" applyBorder="1" applyAlignment="1" applyProtection="1">
      <alignment horizontal="center" vertical="center"/>
    </xf>
    <xf numFmtId="0" fontId="22" fillId="0" borderId="26" xfId="6" applyFont="1" applyBorder="1" applyAlignment="1" applyProtection="1">
      <alignment horizontal="center" vertical="center"/>
    </xf>
    <xf numFmtId="0" fontId="14" fillId="0" borderId="27" xfId="11" applyFont="1" applyFill="1" applyBorder="1" applyAlignment="1" applyProtection="1">
      <alignment horizontal="center" vertical="center"/>
    </xf>
    <xf numFmtId="1" fontId="16" fillId="4" borderId="11" xfId="2" applyNumberFormat="1" applyFont="1" applyFill="1" applyBorder="1" applyAlignment="1" applyProtection="1">
      <alignment vertical="center"/>
      <protection locked="0"/>
    </xf>
    <xf numFmtId="0" fontId="9" fillId="0" borderId="5" xfId="6" applyFont="1" applyBorder="1" applyAlignment="1" applyProtection="1">
      <alignment vertical="center"/>
    </xf>
    <xf numFmtId="172" fontId="16" fillId="4" borderId="5" xfId="2" applyNumberFormat="1" applyFont="1" applyFill="1" applyBorder="1" applyAlignment="1" applyProtection="1">
      <alignment vertical="center"/>
      <protection locked="0"/>
    </xf>
    <xf numFmtId="0" fontId="9" fillId="0" borderId="8" xfId="6" applyFont="1" applyBorder="1" applyAlignment="1" applyProtection="1">
      <alignment vertical="center"/>
    </xf>
    <xf numFmtId="172" fontId="16" fillId="4" borderId="8" xfId="2" applyNumberFormat="1" applyFont="1" applyFill="1" applyBorder="1" applyAlignment="1" applyProtection="1">
      <alignment vertical="center"/>
      <protection locked="0"/>
    </xf>
    <xf numFmtId="0" fontId="9" fillId="0" borderId="11" xfId="6" applyFont="1" applyBorder="1" applyAlignment="1" applyProtection="1">
      <alignment vertical="center"/>
    </xf>
    <xf numFmtId="172" fontId="16"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9" fillId="0" borderId="168"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16" fillId="0" borderId="168" xfId="11" applyFont="1" applyFill="1" applyBorder="1" applyAlignment="1" applyProtection="1">
      <alignment vertical="center"/>
    </xf>
    <xf numFmtId="0" fontId="0" fillId="0" borderId="0" xfId="0" applyAlignment="1">
      <alignment vertical="center" wrapText="1"/>
    </xf>
    <xf numFmtId="0" fontId="9" fillId="0" borderId="131" xfId="0" applyFont="1" applyFill="1" applyBorder="1" applyAlignment="1">
      <alignment vertical="center"/>
    </xf>
    <xf numFmtId="0" fontId="16" fillId="0" borderId="110" xfId="11" applyFont="1" applyFill="1" applyBorder="1" applyAlignment="1" applyProtection="1">
      <alignment vertical="center"/>
    </xf>
    <xf numFmtId="0" fontId="12" fillId="0" borderId="2" xfId="11" applyFont="1" applyFill="1" applyBorder="1" applyAlignment="1" applyProtection="1">
      <alignment horizontal="center" vertical="center"/>
    </xf>
    <xf numFmtId="9" fontId="88" fillId="0" borderId="0" xfId="11" applyNumberFormat="1" applyFont="1" applyFill="1" applyBorder="1" applyAlignment="1">
      <alignment horizontal="left" vertical="center" wrapText="1"/>
    </xf>
    <xf numFmtId="9" fontId="88" fillId="0" borderId="0" xfId="11" applyNumberFormat="1" applyFont="1" applyFill="1" applyBorder="1" applyAlignment="1">
      <alignment horizontal="left" vertical="top" wrapText="1"/>
    </xf>
    <xf numFmtId="0" fontId="59" fillId="0" borderId="0" xfId="0" applyFont="1" applyFill="1" applyBorder="1" applyAlignment="1">
      <alignment horizontal="left" vertical="top"/>
    </xf>
    <xf numFmtId="0" fontId="34" fillId="0" borderId="0" xfId="11" applyFont="1" applyFill="1" applyBorder="1" applyAlignment="1" applyProtection="1">
      <alignment vertical="center"/>
    </xf>
    <xf numFmtId="9" fontId="14" fillId="0" borderId="0" xfId="11" applyNumberFormat="1" applyFont="1" applyFill="1" applyBorder="1" applyAlignment="1" applyProtection="1">
      <alignment horizontal="center" vertical="center"/>
    </xf>
    <xf numFmtId="10" fontId="16" fillId="4" borderId="8" xfId="2" applyNumberFormat="1" applyFont="1" applyFill="1" applyBorder="1" applyAlignment="1" applyProtection="1">
      <alignment vertical="center"/>
      <protection locked="0"/>
    </xf>
    <xf numFmtId="0" fontId="7" fillId="3" borderId="55" xfId="11" applyFont="1" applyFill="1" applyBorder="1" applyAlignment="1" applyProtection="1">
      <alignment horizontal="center" vertical="center"/>
    </xf>
    <xf numFmtId="0" fontId="7" fillId="3" borderId="16" xfId="22" applyFont="1" applyFill="1" applyBorder="1"/>
    <xf numFmtId="0" fontId="23" fillId="0" borderId="218" xfId="11" applyFont="1" applyFill="1" applyBorder="1" applyAlignment="1" applyProtection="1">
      <alignment horizontal="center" vertical="top"/>
    </xf>
    <xf numFmtId="0" fontId="23" fillId="0" borderId="222" xfId="11" applyFont="1" applyFill="1" applyBorder="1" applyAlignment="1" applyProtection="1">
      <alignment horizontal="center" vertical="top"/>
    </xf>
    <xf numFmtId="0" fontId="23" fillId="0" borderId="224" xfId="11" applyFont="1" applyFill="1" applyBorder="1" applyAlignment="1" applyProtection="1">
      <alignment horizontal="center" vertical="top"/>
    </xf>
    <xf numFmtId="0" fontId="4" fillId="0" borderId="0" xfId="22" applyFont="1" applyFill="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2" fillId="0" borderId="0" xfId="22" applyFont="1" applyAlignment="1">
      <alignment horizontal="left" vertical="top"/>
    </xf>
    <xf numFmtId="0" fontId="72" fillId="0" borderId="0" xfId="22" applyFont="1" applyAlignment="1">
      <alignment horizontal="center" vertical="top" wrapText="1"/>
    </xf>
    <xf numFmtId="0" fontId="72" fillId="23" borderId="0" xfId="22" applyFont="1" applyFill="1" applyAlignment="1">
      <alignment horizontal="left" vertical="top"/>
    </xf>
    <xf numFmtId="0" fontId="7" fillId="3" borderId="2" xfId="6" applyFont="1" applyFill="1" applyBorder="1" applyAlignment="1" applyProtection="1">
      <alignment horizontal="center" vertical="center"/>
    </xf>
    <xf numFmtId="0" fontId="7" fillId="3" borderId="3" xfId="6" applyFont="1" applyFill="1" applyBorder="1" applyAlignment="1" applyProtection="1">
      <alignment vertical="center"/>
    </xf>
    <xf numFmtId="0" fontId="72" fillId="0" borderId="0" xfId="22" applyFont="1" applyFill="1" applyBorder="1" applyAlignment="1">
      <alignment horizontal="left" vertical="top"/>
    </xf>
    <xf numFmtId="0" fontId="78" fillId="0" borderId="198" xfId="6" applyFont="1" applyFill="1" applyBorder="1" applyAlignment="1">
      <alignment horizontal="left" vertical="top"/>
    </xf>
    <xf numFmtId="0" fontId="72" fillId="0" borderId="0" xfId="22" applyFont="1" applyAlignment="1">
      <alignment horizontal="left" vertical="top" wrapText="1"/>
    </xf>
    <xf numFmtId="0" fontId="14" fillId="0" borderId="15" xfId="11" applyFont="1" applyFill="1" applyBorder="1" applyAlignment="1" applyProtection="1">
      <alignment horizontal="center" vertical="center"/>
    </xf>
    <xf numFmtId="0" fontId="14" fillId="0" borderId="16" xfId="11" applyFont="1" applyFill="1" applyBorder="1" applyAlignment="1" applyProtection="1">
      <alignment horizontal="center" vertical="center"/>
    </xf>
    <xf numFmtId="1" fontId="16" fillId="4" borderId="54" xfId="19" applyNumberFormat="1" applyFont="1" applyFill="1" applyBorder="1" applyAlignment="1" applyProtection="1">
      <alignment vertical="center"/>
      <protection locked="0"/>
    </xf>
    <xf numFmtId="0" fontId="14" fillId="0" borderId="47" xfId="11" applyFont="1" applyFill="1" applyBorder="1" applyAlignment="1" applyProtection="1">
      <alignment horizontal="center" vertical="center"/>
    </xf>
    <xf numFmtId="1" fontId="16" fillId="4" borderId="113" xfId="19" applyNumberFormat="1" applyFont="1" applyFill="1" applyBorder="1" applyAlignment="1" applyProtection="1">
      <alignment vertical="center"/>
      <protection locked="0"/>
    </xf>
    <xf numFmtId="0" fontId="16" fillId="4" borderId="49" xfId="19" applyNumberFormat="1" applyFont="1" applyFill="1" applyBorder="1" applyAlignment="1" applyProtection="1">
      <alignment vertical="center" wrapText="1"/>
      <protection locked="0"/>
    </xf>
    <xf numFmtId="1" fontId="16" fillId="4" borderId="56" xfId="19" applyNumberFormat="1" applyFont="1" applyFill="1" applyBorder="1" applyAlignment="1" applyProtection="1">
      <alignment vertical="center"/>
      <protection locked="0"/>
    </xf>
    <xf numFmtId="0" fontId="72" fillId="0" borderId="0" xfId="22" applyFont="1" applyFill="1" applyAlignment="1">
      <alignment horizontal="left" vertical="top"/>
    </xf>
    <xf numFmtId="0" fontId="72" fillId="0" borderId="0" xfId="22" applyFont="1" applyFill="1" applyBorder="1" applyAlignment="1">
      <alignment horizontal="left" vertical="top" wrapText="1"/>
    </xf>
    <xf numFmtId="1" fontId="16" fillId="4" borderId="122" xfId="19" applyNumberFormat="1" applyFont="1" applyFill="1" applyBorder="1" applyAlignment="1" applyProtection="1">
      <alignment vertical="center"/>
      <protection locked="0"/>
    </xf>
    <xf numFmtId="2" fontId="16" fillId="4" borderId="122" xfId="19" applyNumberFormat="1" applyFont="1" applyFill="1" applyBorder="1" applyAlignment="1" applyProtection="1">
      <alignment vertical="center"/>
      <protection locked="0"/>
    </xf>
    <xf numFmtId="1" fontId="16" fillId="4" borderId="57" xfId="19" applyNumberFormat="1" applyFont="1" applyFill="1" applyBorder="1" applyAlignment="1" applyProtection="1">
      <alignment vertical="center"/>
      <protection locked="0"/>
    </xf>
    <xf numFmtId="0" fontId="67" fillId="0" borderId="0" xfId="22" applyFont="1" applyFill="1" applyBorder="1" applyAlignment="1">
      <alignment horizontal="left" vertical="top"/>
    </xf>
    <xf numFmtId="0" fontId="67" fillId="0" borderId="0" xfId="11" applyFont="1" applyFill="1" applyBorder="1" applyAlignment="1">
      <alignment horizontal="left" vertical="top" wrapText="1"/>
    </xf>
    <xf numFmtId="0" fontId="67" fillId="0" borderId="0" xfId="11" applyFont="1" applyFill="1" applyBorder="1" applyAlignment="1">
      <alignment horizontal="center" vertical="top" wrapText="1"/>
    </xf>
    <xf numFmtId="0" fontId="72" fillId="0" borderId="0" xfId="22" applyFont="1" applyFill="1" applyBorder="1" applyAlignment="1">
      <alignment horizontal="center" vertical="top"/>
    </xf>
    <xf numFmtId="170" fontId="23" fillId="4" borderId="54" xfId="19" applyNumberFormat="1" applyFont="1" applyFill="1" applyBorder="1" applyAlignment="1" applyProtection="1">
      <alignment vertical="center"/>
      <protection locked="0"/>
    </xf>
    <xf numFmtId="170" fontId="23" fillId="4" borderId="56" xfId="19" applyNumberFormat="1" applyFont="1" applyFill="1" applyBorder="1" applyAlignment="1" applyProtection="1">
      <alignment vertical="center"/>
      <protection locked="0"/>
    </xf>
    <xf numFmtId="0" fontId="20" fillId="0" borderId="0" xfId="15" applyFont="1" applyAlignment="1" applyProtection="1">
      <alignment vertical="center"/>
    </xf>
    <xf numFmtId="0" fontId="46" fillId="0" borderId="0" xfId="22" applyAlignment="1">
      <alignment horizontal="center"/>
    </xf>
    <xf numFmtId="0" fontId="46" fillId="0" borderId="0" xfId="22"/>
    <xf numFmtId="0" fontId="72" fillId="0" borderId="0" xfId="22" applyFont="1" applyFill="1" applyAlignment="1">
      <alignment horizontal="left" vertical="top" wrapText="1"/>
    </xf>
    <xf numFmtId="0" fontId="96" fillId="0" borderId="0" xfId="22" applyFont="1" applyFill="1" applyAlignment="1">
      <alignment horizontal="left" vertical="center"/>
    </xf>
    <xf numFmtId="0" fontId="46" fillId="0" borderId="0" xfId="22" applyNumberFormat="1"/>
    <xf numFmtId="0" fontId="14" fillId="0" borderId="3" xfId="11" applyFont="1" applyFill="1" applyBorder="1" applyAlignment="1" applyProtection="1">
      <alignment horizontal="center" vertical="center"/>
    </xf>
    <xf numFmtId="0" fontId="14" fillId="0" borderId="4" xfId="11" applyFont="1" applyFill="1" applyBorder="1" applyAlignment="1" applyProtection="1">
      <alignment horizontal="center" vertical="center"/>
    </xf>
    <xf numFmtId="0" fontId="72" fillId="0" borderId="0" xfId="22" applyFont="1" applyFill="1" applyAlignment="1">
      <alignment horizontal="center" vertical="top" wrapText="1"/>
    </xf>
    <xf numFmtId="0" fontId="96" fillId="0" borderId="0" xfId="22" applyFont="1" applyFill="1" applyAlignment="1">
      <alignment horizontal="left" vertical="center" wrapText="1"/>
    </xf>
    <xf numFmtId="0" fontId="72" fillId="0" borderId="0" xfId="22" applyNumberFormat="1" applyFont="1" applyFill="1" applyAlignment="1">
      <alignment horizontal="left" vertical="top" wrapText="1"/>
    </xf>
    <xf numFmtId="0" fontId="72" fillId="0" borderId="0" xfId="22" applyFont="1" applyFill="1" applyBorder="1" applyAlignment="1">
      <alignment horizontal="center" vertical="top" wrapText="1"/>
    </xf>
    <xf numFmtId="0" fontId="96" fillId="23" borderId="0" xfId="22" applyFont="1" applyFill="1" applyAlignment="1">
      <alignment horizontal="left" vertical="center" wrapText="1"/>
    </xf>
    <xf numFmtId="0" fontId="72" fillId="23" borderId="0" xfId="22" applyNumberFormat="1" applyFont="1" applyFill="1" applyAlignment="1">
      <alignment horizontal="left" vertical="top" wrapText="1"/>
    </xf>
    <xf numFmtId="1" fontId="23" fillId="4" borderId="5" xfId="19" applyNumberFormat="1" applyFont="1" applyFill="1" applyBorder="1" applyAlignment="1" applyProtection="1">
      <alignment vertical="center"/>
      <protection locked="0"/>
    </xf>
    <xf numFmtId="1" fontId="23" fillId="4" borderId="8" xfId="19" applyNumberFormat="1" applyFont="1" applyFill="1" applyBorder="1" applyAlignment="1" applyProtection="1">
      <alignment vertical="center"/>
      <protection locked="0"/>
    </xf>
    <xf numFmtId="1" fontId="23" fillId="4" borderId="43" xfId="19" applyNumberFormat="1" applyFont="1" applyFill="1" applyBorder="1" applyAlignment="1" applyProtection="1">
      <alignment vertical="center"/>
      <protection locked="0"/>
    </xf>
    <xf numFmtId="1" fontId="23" fillId="23" borderId="0" xfId="11" applyNumberFormat="1" applyFont="1" applyFill="1" applyBorder="1" applyAlignment="1" applyProtection="1">
      <alignment vertical="center"/>
      <protection locked="0"/>
    </xf>
    <xf numFmtId="171" fontId="16" fillId="23" borderId="0" xfId="19" applyNumberFormat="1" applyFont="1" applyFill="1" applyBorder="1" applyAlignment="1" applyProtection="1">
      <alignment vertical="center"/>
      <protection locked="0"/>
    </xf>
    <xf numFmtId="1" fontId="23" fillId="4" borderId="33" xfId="19" applyNumberFormat="1" applyFont="1" applyFill="1" applyBorder="1" applyAlignment="1" applyProtection="1">
      <alignment vertical="center"/>
      <protection locked="0"/>
    </xf>
    <xf numFmtId="0" fontId="46" fillId="0" borderId="0" xfId="22" applyFill="1" applyAlignment="1">
      <alignment horizontal="center"/>
    </xf>
    <xf numFmtId="0" fontId="46" fillId="0" borderId="0" xfId="22" applyFill="1"/>
    <xf numFmtId="0" fontId="97" fillId="23" borderId="0" xfId="22" applyFont="1" applyFill="1" applyAlignment="1">
      <alignment vertical="center"/>
    </xf>
    <xf numFmtId="0" fontId="46" fillId="23" borderId="0" xfId="22" applyNumberFormat="1" applyFill="1"/>
    <xf numFmtId="0" fontId="20" fillId="0" borderId="14" xfId="6" applyFont="1" applyBorder="1" applyAlignment="1" applyProtection="1">
      <alignment horizontal="center" vertical="center"/>
    </xf>
    <xf numFmtId="0" fontId="22" fillId="0" borderId="15" xfId="6" applyFont="1" applyBorder="1" applyAlignment="1" applyProtection="1">
      <alignment horizontal="center" vertical="center"/>
    </xf>
    <xf numFmtId="0" fontId="22" fillId="0" borderId="16" xfId="6" applyFont="1" applyBorder="1" applyAlignment="1" applyProtection="1">
      <alignment horizontal="center" vertical="center"/>
    </xf>
    <xf numFmtId="1" fontId="23" fillId="4" borderId="14" xfId="19" applyNumberFormat="1" applyFont="1" applyFill="1" applyBorder="1" applyAlignment="1" applyProtection="1">
      <alignment vertical="center"/>
      <protection locked="0"/>
    </xf>
    <xf numFmtId="1" fontId="23" fillId="4" borderId="32" xfId="19" applyNumberFormat="1" applyFont="1" applyFill="1" applyBorder="1" applyAlignment="1" applyProtection="1">
      <alignment vertical="center"/>
      <protection locked="0"/>
    </xf>
    <xf numFmtId="0" fontId="20" fillId="0" borderId="228" xfId="6" applyFont="1" applyBorder="1" applyAlignment="1" applyProtection="1">
      <alignment horizontal="center" vertical="center"/>
    </xf>
    <xf numFmtId="0" fontId="72" fillId="23" borderId="0" xfId="22" applyFont="1" applyFill="1" applyAlignment="1">
      <alignment horizontal="left" vertical="top" wrapText="1"/>
    </xf>
    <xf numFmtId="0" fontId="23" fillId="4" borderId="179" xfId="11" applyFont="1" applyFill="1" applyBorder="1" applyProtection="1">
      <protection locked="0"/>
    </xf>
    <xf numFmtId="0" fontId="23" fillId="0" borderId="0" xfId="11" applyFont="1" applyFill="1" applyBorder="1" applyProtection="1">
      <protection locked="0"/>
    </xf>
    <xf numFmtId="0" fontId="67" fillId="9" borderId="0" xfId="11" applyFont="1" applyFill="1"/>
    <xf numFmtId="0" fontId="23" fillId="0" borderId="92" xfId="11" applyFont="1" applyFill="1" applyBorder="1" applyAlignment="1" applyProtection="1">
      <alignment horizontal="center" vertical="top"/>
    </xf>
    <xf numFmtId="0" fontId="23" fillId="0" borderId="72" xfId="11" applyFont="1" applyFill="1" applyBorder="1" applyAlignment="1" applyProtection="1">
      <alignment horizontal="center" vertical="top"/>
    </xf>
    <xf numFmtId="0" fontId="81" fillId="0" borderId="0" xfId="11" applyNumberFormat="1" applyFont="1" applyFill="1" applyBorder="1" applyAlignment="1">
      <alignment horizontal="left" vertical="top" wrapText="1"/>
    </xf>
    <xf numFmtId="0" fontId="4" fillId="0" borderId="0" xfId="22" applyFont="1" applyFill="1" applyBorder="1" applyAlignment="1">
      <alignment horizontal="left" vertical="top"/>
    </xf>
    <xf numFmtId="0" fontId="4" fillId="24" borderId="0" xfId="22" applyFont="1" applyFill="1" applyAlignment="1">
      <alignment horizontal="left" vertical="top" wrapText="1"/>
    </xf>
    <xf numFmtId="0" fontId="72" fillId="0" borderId="0" xfId="22" applyFont="1" applyBorder="1" applyAlignment="1">
      <alignment horizontal="left" vertical="top"/>
    </xf>
    <xf numFmtId="0" fontId="76" fillId="0" borderId="0" xfId="22" applyFont="1" applyBorder="1" applyAlignment="1">
      <alignment horizontal="left" vertical="top"/>
    </xf>
    <xf numFmtId="0" fontId="76" fillId="0" borderId="0" xfId="22" applyFont="1" applyAlignment="1">
      <alignment horizontal="left" vertical="top"/>
    </xf>
    <xf numFmtId="0" fontId="7" fillId="3" borderId="40" xfId="6" applyFont="1" applyFill="1" applyBorder="1" applyAlignment="1" applyProtection="1">
      <alignment horizontal="center" vertical="center" wrapText="1"/>
    </xf>
    <xf numFmtId="0" fontId="81" fillId="0" borderId="0" xfId="11" applyFont="1" applyBorder="1" applyAlignment="1">
      <alignment horizontal="center" vertical="top" wrapText="1"/>
    </xf>
    <xf numFmtId="0" fontId="72" fillId="0" borderId="0" xfId="22" applyFont="1" applyAlignment="1">
      <alignment horizontal="center" vertical="top"/>
    </xf>
    <xf numFmtId="0" fontId="72" fillId="0" borderId="0" xfId="22" applyFont="1" applyBorder="1" applyAlignment="1">
      <alignment horizontal="center" vertical="top"/>
    </xf>
    <xf numFmtId="1" fontId="20" fillId="4" borderId="5" xfId="20" applyNumberFormat="1" applyFont="1" applyFill="1" applyBorder="1" applyAlignment="1" applyProtection="1">
      <alignment vertical="center"/>
      <protection locked="0"/>
    </xf>
    <xf numFmtId="1" fontId="20" fillId="4" borderId="6" xfId="20" applyNumberFormat="1" applyFont="1" applyFill="1" applyBorder="1" applyAlignment="1" applyProtection="1">
      <alignment vertical="center"/>
      <protection locked="0"/>
    </xf>
    <xf numFmtId="1" fontId="20" fillId="7" borderId="24" xfId="6" applyNumberFormat="1" applyFont="1" applyFill="1" applyBorder="1" applyAlignment="1" applyProtection="1">
      <alignment vertical="center"/>
    </xf>
    <xf numFmtId="1" fontId="20" fillId="4" borderId="8" xfId="20" applyNumberFormat="1" applyFont="1" applyFill="1" applyBorder="1" applyAlignment="1" applyProtection="1">
      <alignment vertical="center"/>
      <protection locked="0"/>
    </xf>
    <xf numFmtId="1" fontId="20" fillId="4" borderId="9" xfId="20" applyNumberFormat="1" applyFont="1" applyFill="1" applyBorder="1" applyAlignment="1" applyProtection="1">
      <alignment vertical="center"/>
      <protection locked="0"/>
    </xf>
    <xf numFmtId="1" fontId="20" fillId="7" borderId="26" xfId="6" applyNumberFormat="1" applyFont="1" applyFill="1" applyBorder="1" applyAlignment="1" applyProtection="1">
      <alignment vertical="center"/>
    </xf>
    <xf numFmtId="0" fontId="14" fillId="0" borderId="9" xfId="6" applyFont="1" applyBorder="1" applyAlignment="1" applyProtection="1">
      <alignment horizontal="center" vertical="center"/>
    </xf>
    <xf numFmtId="0" fontId="14" fillId="0" borderId="10" xfId="6" applyFont="1" applyBorder="1" applyAlignment="1" applyProtection="1">
      <alignment horizontal="center" vertical="center"/>
    </xf>
    <xf numFmtId="1" fontId="23" fillId="7" borderId="11" xfId="11" applyNumberFormat="1" applyFont="1" applyFill="1" applyBorder="1" applyAlignment="1" applyProtection="1">
      <alignment vertical="center"/>
    </xf>
    <xf numFmtId="1" fontId="23" fillId="7" borderId="12" xfId="11" applyNumberFormat="1" applyFont="1" applyFill="1" applyBorder="1" applyAlignment="1" applyProtection="1">
      <alignment vertical="center"/>
    </xf>
    <xf numFmtId="1" fontId="23" fillId="7" borderId="27" xfId="11" applyNumberFormat="1" applyFont="1" applyFill="1" applyBorder="1" applyAlignment="1" applyProtection="1">
      <alignment vertical="center"/>
    </xf>
    <xf numFmtId="1" fontId="72" fillId="0" borderId="0" xfId="22" applyNumberFormat="1" applyFont="1" applyAlignment="1">
      <alignment horizontal="left" vertical="top"/>
    </xf>
    <xf numFmtId="1" fontId="20" fillId="4" borderId="30" xfId="20" applyNumberFormat="1" applyFont="1" applyFill="1" applyBorder="1" applyAlignment="1" applyProtection="1">
      <alignment vertical="center"/>
      <protection locked="0"/>
    </xf>
    <xf numFmtId="1" fontId="20" fillId="7" borderId="27" xfId="6" applyNumberFormat="1" applyFont="1" applyFill="1" applyBorder="1" applyAlignment="1" applyProtection="1">
      <alignment vertical="center"/>
    </xf>
    <xf numFmtId="0" fontId="7" fillId="26" borderId="0" xfId="11" applyFont="1" applyFill="1" applyBorder="1" applyAlignment="1" applyProtection="1">
      <alignment horizontal="center" vertical="center" wrapText="1"/>
    </xf>
    <xf numFmtId="165" fontId="20" fillId="4" borderId="7" xfId="20" applyNumberFormat="1" applyFont="1" applyFill="1" applyBorder="1" applyAlignment="1" applyProtection="1">
      <alignment vertical="center"/>
      <protection locked="0"/>
    </xf>
    <xf numFmtId="165" fontId="20" fillId="4" borderId="10" xfId="20" applyNumberFormat="1" applyFont="1" applyFill="1" applyBorder="1" applyAlignment="1" applyProtection="1">
      <alignment vertical="center"/>
      <protection locked="0"/>
    </xf>
    <xf numFmtId="165" fontId="20" fillId="4" borderId="13" xfId="20" applyNumberFormat="1" applyFont="1" applyFill="1" applyBorder="1" applyAlignment="1" applyProtection="1">
      <alignment vertical="center"/>
      <protection locked="0"/>
    </xf>
    <xf numFmtId="0" fontId="71" fillId="0" borderId="0" xfId="11" applyFont="1" applyFill="1" applyAlignment="1" applyProtection="1">
      <alignment horizontal="left" vertical="center"/>
    </xf>
    <xf numFmtId="0" fontId="67" fillId="0" borderId="0" xfId="11" applyFont="1" applyFill="1" applyAlignment="1" applyProtection="1">
      <alignment horizontal="left"/>
    </xf>
    <xf numFmtId="172" fontId="16" fillId="27" borderId="5" xfId="19" applyNumberFormat="1" applyFont="1" applyFill="1" applyBorder="1" applyAlignment="1" applyProtection="1">
      <alignment vertical="center"/>
      <protection locked="0"/>
    </xf>
    <xf numFmtId="172" fontId="16" fillId="27" borderId="8" xfId="19" applyNumberFormat="1" applyFont="1" applyFill="1" applyBorder="1" applyAlignment="1" applyProtection="1">
      <alignment vertical="center"/>
      <protection locked="0"/>
    </xf>
    <xf numFmtId="172" fontId="16" fillId="27" borderId="46" xfId="19" applyNumberFormat="1" applyFont="1" applyFill="1" applyBorder="1" applyAlignment="1" applyProtection="1">
      <alignment vertical="center"/>
      <protection locked="0"/>
    </xf>
    <xf numFmtId="172" fontId="16" fillId="28" borderId="11" xfId="19" applyNumberFormat="1" applyFont="1" applyFill="1" applyBorder="1" applyAlignment="1" applyProtection="1">
      <alignment vertical="center"/>
    </xf>
    <xf numFmtId="172" fontId="16" fillId="28" borderId="12" xfId="19" applyNumberFormat="1" applyFont="1" applyFill="1" applyBorder="1" applyAlignment="1" applyProtection="1">
      <alignment vertical="center"/>
    </xf>
    <xf numFmtId="0" fontId="16" fillId="0" borderId="0" xfId="15" applyAlignment="1" applyProtection="1">
      <alignment vertical="center"/>
    </xf>
    <xf numFmtId="0" fontId="12" fillId="0" borderId="14" xfId="11" applyFont="1" applyFill="1" applyBorder="1" applyAlignment="1" applyProtection="1">
      <alignment horizontal="center" vertical="top"/>
    </xf>
    <xf numFmtId="0" fontId="67" fillId="0" borderId="5" xfId="11" applyFont="1" applyFill="1" applyBorder="1" applyAlignment="1" applyProtection="1">
      <alignment horizontal="center" vertical="top"/>
    </xf>
    <xf numFmtId="0" fontId="67" fillId="0" borderId="8" xfId="11" applyFont="1" applyFill="1" applyBorder="1" applyAlignment="1" applyProtection="1">
      <alignment horizontal="center" vertical="top"/>
    </xf>
    <xf numFmtId="0" fontId="67" fillId="0" borderId="11" xfId="11" applyFont="1" applyFill="1" applyBorder="1" applyAlignment="1" applyProtection="1">
      <alignment horizontal="center" vertical="top"/>
    </xf>
    <xf numFmtId="0" fontId="7" fillId="3" borderId="1" xfId="6" applyFont="1" applyFill="1" applyBorder="1" applyAlignment="1" applyProtection="1">
      <alignment horizontal="center" vertical="center"/>
    </xf>
    <xf numFmtId="0" fontId="23" fillId="23" borderId="5" xfId="11" applyFont="1" applyFill="1" applyBorder="1" applyAlignment="1" applyProtection="1">
      <alignment horizontal="center" vertical="center"/>
    </xf>
    <xf numFmtId="0" fontId="88" fillId="23" borderId="6" xfId="11" applyFont="1" applyFill="1" applyBorder="1" applyAlignment="1">
      <alignment vertical="center" wrapText="1"/>
    </xf>
    <xf numFmtId="9" fontId="89" fillId="23" borderId="6" xfId="11" applyNumberFormat="1" applyFont="1" applyFill="1" applyBorder="1" applyAlignment="1">
      <alignment horizontal="center" vertical="center" wrapText="1"/>
    </xf>
    <xf numFmtId="0" fontId="14" fillId="23" borderId="7" xfId="11" applyFont="1" applyFill="1" applyBorder="1" applyAlignment="1" applyProtection="1">
      <alignment horizontal="center" vertical="center"/>
    </xf>
    <xf numFmtId="165" fontId="16" fillId="27" borderId="5" xfId="19" applyNumberFormat="1" applyFont="1" applyFill="1" applyBorder="1" applyAlignment="1" applyProtection="1">
      <alignment vertical="center"/>
      <protection locked="0"/>
    </xf>
    <xf numFmtId="0" fontId="88" fillId="23" borderId="9" xfId="11" applyFont="1" applyFill="1" applyBorder="1" applyAlignment="1">
      <alignment vertical="center" wrapText="1"/>
    </xf>
    <xf numFmtId="9" fontId="89" fillId="23" borderId="9" xfId="11" applyNumberFormat="1" applyFont="1" applyFill="1" applyBorder="1" applyAlignment="1">
      <alignment horizontal="center" vertical="center" wrapText="1"/>
    </xf>
    <xf numFmtId="165" fontId="16" fillId="27" borderId="8" xfId="19" applyNumberFormat="1" applyFont="1" applyFill="1" applyBorder="1" applyAlignment="1" applyProtection="1">
      <alignment vertical="center"/>
      <protection locked="0"/>
    </xf>
    <xf numFmtId="0" fontId="23" fillId="23" borderId="11" xfId="11" applyFont="1" applyFill="1" applyBorder="1" applyAlignment="1" applyProtection="1">
      <alignment horizontal="center" vertical="center"/>
    </xf>
    <xf numFmtId="0" fontId="88" fillId="23" borderId="12" xfId="11" applyFont="1" applyFill="1" applyBorder="1" applyAlignment="1">
      <alignment vertical="center" wrapText="1"/>
    </xf>
    <xf numFmtId="9" fontId="89" fillId="23" borderId="12" xfId="11" applyNumberFormat="1" applyFont="1" applyFill="1" applyBorder="1" applyAlignment="1">
      <alignment horizontal="center" vertical="center" wrapText="1"/>
    </xf>
    <xf numFmtId="0" fontId="14" fillId="23" borderId="13" xfId="11" applyFont="1" applyFill="1" applyBorder="1" applyAlignment="1" applyProtection="1">
      <alignment horizontal="center" vertical="center"/>
    </xf>
    <xf numFmtId="0" fontId="72" fillId="23" borderId="0" xfId="22" applyFont="1" applyFill="1" applyAlignment="1">
      <alignment horizontal="center" vertical="top"/>
    </xf>
    <xf numFmtId="165" fontId="16" fillId="27" borderId="11" xfId="19" applyNumberFormat="1" applyFont="1" applyFill="1" applyBorder="1" applyAlignment="1" applyProtection="1">
      <alignment vertical="center"/>
      <protection locked="0"/>
    </xf>
    <xf numFmtId="0" fontId="71" fillId="23" borderId="0" xfId="11" applyFont="1" applyFill="1" applyAlignment="1" applyProtection="1">
      <alignment vertical="center"/>
    </xf>
    <xf numFmtId="0" fontId="20" fillId="0" borderId="0" xfId="15" applyFont="1" applyAlignment="1" applyProtection="1">
      <alignment horizontal="center" vertical="center"/>
    </xf>
    <xf numFmtId="0" fontId="12" fillId="0" borderId="231" xfId="11" applyFont="1" applyFill="1" applyBorder="1" applyAlignment="1" applyProtection="1">
      <alignment horizontal="center" vertical="top"/>
    </xf>
    <xf numFmtId="0" fontId="12" fillId="0" borderId="232" xfId="11" applyFont="1" applyFill="1" applyBorder="1" applyAlignment="1" applyProtection="1">
      <alignment horizontal="left" vertical="top"/>
    </xf>
    <xf numFmtId="0" fontId="23" fillId="0" borderId="67" xfId="11" applyFont="1" applyFill="1" applyBorder="1" applyAlignment="1" applyProtection="1">
      <alignment horizontal="left" vertical="top" wrapText="1"/>
    </xf>
    <xf numFmtId="0" fontId="23" fillId="0" borderId="94" xfId="11" applyFont="1" applyFill="1" applyBorder="1" applyAlignment="1" applyProtection="1">
      <alignment horizontal="left" vertical="top" wrapText="1"/>
    </xf>
    <xf numFmtId="0" fontId="23" fillId="0" borderId="73" xfId="11" applyFont="1" applyFill="1" applyBorder="1" applyAlignment="1" applyProtection="1">
      <alignment horizontal="left" vertical="top" wrapText="1"/>
    </xf>
    <xf numFmtId="9" fontId="73" fillId="0" borderId="16" xfId="11" applyNumberFormat="1" applyFont="1" applyFill="1" applyBorder="1" applyAlignment="1">
      <alignment horizontal="left" vertical="top" wrapText="1"/>
    </xf>
    <xf numFmtId="9" fontId="88" fillId="0" borderId="7" xfId="11" applyNumberFormat="1" applyFont="1" applyFill="1" applyBorder="1" applyAlignment="1">
      <alignment horizontal="left" vertical="top" wrapText="1"/>
    </xf>
    <xf numFmtId="0" fontId="23" fillId="0" borderId="46" xfId="11" applyFont="1" applyFill="1" applyBorder="1" applyAlignment="1" applyProtection="1">
      <alignment horizontal="center" vertical="top"/>
    </xf>
    <xf numFmtId="9" fontId="88" fillId="0" borderId="10" xfId="11" applyNumberFormat="1" applyFont="1" applyFill="1" applyBorder="1" applyAlignment="1">
      <alignment horizontal="left" vertical="top" wrapText="1"/>
    </xf>
    <xf numFmtId="9" fontId="88" fillId="0" borderId="10" xfId="11" applyNumberFormat="1" applyFont="1" applyFill="1" applyBorder="1" applyAlignment="1">
      <alignment vertical="top" wrapText="1"/>
    </xf>
    <xf numFmtId="0" fontId="23" fillId="0" borderId="43" xfId="11" applyFont="1" applyFill="1" applyBorder="1" applyAlignment="1" applyProtection="1">
      <alignment horizontal="center" vertical="top"/>
    </xf>
    <xf numFmtId="9" fontId="16" fillId="0" borderId="13" xfId="11" applyNumberFormat="1" applyFont="1" applyFill="1" applyBorder="1" applyAlignment="1">
      <alignment vertical="top" wrapText="1"/>
    </xf>
    <xf numFmtId="0" fontId="7"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6" fillId="0" borderId="0" xfId="11" applyFont="1" applyFill="1" applyAlignment="1" applyProtection="1">
      <alignment vertical="center" wrapText="1"/>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5" fontId="16" fillId="4" borderId="237" xfId="19" applyNumberFormat="1" applyFont="1" applyFill="1" applyBorder="1" applyAlignment="1" applyProtection="1">
      <alignment vertical="center"/>
      <protection locked="0"/>
    </xf>
    <xf numFmtId="165" fontId="16" fillId="4" borderId="238" xfId="19" applyNumberFormat="1" applyFont="1" applyFill="1" applyBorder="1" applyAlignment="1" applyProtection="1">
      <alignment vertical="center"/>
      <protection locked="0"/>
    </xf>
    <xf numFmtId="165" fontId="16" fillId="4" borderId="239" xfId="19" applyNumberFormat="1" applyFont="1" applyFill="1" applyBorder="1" applyAlignment="1" applyProtection="1">
      <alignment vertical="center"/>
      <protection locked="0"/>
    </xf>
    <xf numFmtId="165" fontId="16"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Fill="1"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5" fontId="16" fillId="4" borderId="246" xfId="19" applyNumberFormat="1" applyFont="1" applyFill="1" applyBorder="1" applyAlignment="1" applyProtection="1">
      <alignment vertical="center"/>
      <protection locked="0"/>
    </xf>
    <xf numFmtId="165" fontId="16" fillId="4" borderId="247" xfId="19" applyNumberFormat="1" applyFont="1" applyFill="1" applyBorder="1" applyAlignment="1" applyProtection="1">
      <alignment vertical="center"/>
      <protection locked="0"/>
    </xf>
    <xf numFmtId="165" fontId="16" fillId="4" borderId="248" xfId="19" applyNumberFormat="1" applyFont="1" applyFill="1" applyBorder="1" applyAlignment="1" applyProtection="1">
      <alignment vertical="center"/>
      <protection locked="0"/>
    </xf>
    <xf numFmtId="165" fontId="16" fillId="7" borderId="249" xfId="19" applyNumberFormat="1" applyFont="1" applyFill="1" applyBorder="1" applyAlignment="1" applyProtection="1">
      <alignment vertical="center"/>
    </xf>
    <xf numFmtId="0" fontId="5" fillId="0" borderId="243" xfId="0" applyFont="1" applyFill="1" applyBorder="1" applyAlignment="1">
      <alignment vertical="center"/>
    </xf>
    <xf numFmtId="6" fontId="0" fillId="0" borderId="243" xfId="0" quotePrefix="1" applyNumberFormat="1" applyBorder="1" applyAlignment="1">
      <alignment horizontal="center"/>
    </xf>
    <xf numFmtId="165" fontId="16" fillId="4" borderId="251" xfId="19" applyNumberFormat="1" applyFont="1" applyFill="1" applyBorder="1" applyAlignment="1" applyProtection="1">
      <alignment vertical="center"/>
      <protection locked="0"/>
    </xf>
    <xf numFmtId="165" fontId="16"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Fill="1" applyBorder="1" applyAlignment="1">
      <alignment vertical="center"/>
    </xf>
    <xf numFmtId="0" fontId="0" fillId="0" borderId="257" xfId="0" applyBorder="1"/>
    <xf numFmtId="6" fontId="0" fillId="0" borderId="256" xfId="0" quotePrefix="1" applyNumberFormat="1" applyBorder="1" applyAlignment="1">
      <alignment horizontal="center"/>
    </xf>
    <xf numFmtId="0" fontId="0" fillId="0" borderId="258" xfId="0" applyBorder="1" applyAlignment="1">
      <alignment horizontal="center"/>
    </xf>
    <xf numFmtId="165" fontId="16" fillId="7" borderId="259" xfId="19" applyNumberFormat="1" applyFont="1" applyFill="1" applyBorder="1" applyAlignment="1" applyProtection="1">
      <alignment vertical="center"/>
    </xf>
    <xf numFmtId="1" fontId="16" fillId="4" borderId="246" xfId="19" applyNumberFormat="1" applyFont="1" applyFill="1" applyBorder="1" applyAlignment="1" applyProtection="1">
      <alignment vertical="center"/>
      <protection locked="0"/>
    </xf>
    <xf numFmtId="1" fontId="16" fillId="4" borderId="247" xfId="19" applyNumberFormat="1" applyFont="1" applyFill="1" applyBorder="1" applyAlignment="1" applyProtection="1">
      <alignment vertical="center"/>
      <protection locked="0"/>
    </xf>
    <xf numFmtId="165" fontId="16" fillId="4" borderId="261" xfId="19" applyNumberFormat="1" applyFont="1" applyFill="1" applyBorder="1" applyAlignment="1" applyProtection="1">
      <alignment vertical="center"/>
      <protection locked="0"/>
    </xf>
    <xf numFmtId="165" fontId="16" fillId="4" borderId="262"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0" fillId="0" borderId="0" xfId="15" applyFont="1" applyFill="1" applyAlignment="1" applyProtection="1">
      <alignment horizontal="center" vertical="center"/>
    </xf>
    <xf numFmtId="0" fontId="16" fillId="0" borderId="19" xfId="11" applyFont="1" applyFill="1" applyBorder="1" applyAlignment="1" applyProtection="1">
      <alignment horizontal="center" vertical="top"/>
    </xf>
    <xf numFmtId="0" fontId="16" fillId="0" borderId="14" xfId="11" applyFont="1" applyFill="1" applyBorder="1" applyAlignment="1" applyProtection="1">
      <alignment horizontal="center" vertical="top"/>
    </xf>
    <xf numFmtId="165" fontId="16" fillId="4" borderId="263" xfId="19" applyNumberFormat="1" applyFont="1" applyFill="1" applyBorder="1" applyAlignment="1" applyProtection="1">
      <alignment vertical="center"/>
      <protection locked="0"/>
    </xf>
    <xf numFmtId="165" fontId="16" fillId="4" borderId="265" xfId="19" applyNumberFormat="1" applyFont="1" applyFill="1" applyBorder="1" applyAlignment="1" applyProtection="1">
      <alignment vertical="center"/>
      <protection locked="0"/>
    </xf>
    <xf numFmtId="1" fontId="16" fillId="4" borderId="251" xfId="19" applyNumberFormat="1" applyFont="1" applyFill="1" applyBorder="1" applyAlignment="1" applyProtection="1">
      <alignment vertical="center"/>
      <protection locked="0"/>
    </xf>
    <xf numFmtId="1" fontId="16" fillId="4" borderId="252" xfId="19" applyNumberFormat="1" applyFont="1" applyFill="1" applyBorder="1" applyAlignment="1" applyProtection="1">
      <alignment vertical="center"/>
      <protection locked="0"/>
    </xf>
    <xf numFmtId="1" fontId="16" fillId="4" borderId="261" xfId="19" applyNumberFormat="1" applyFont="1" applyFill="1" applyBorder="1" applyAlignment="1" applyProtection="1">
      <alignment vertical="center"/>
      <protection locked="0"/>
    </xf>
    <xf numFmtId="1" fontId="16" fillId="4" borderId="262" xfId="19" applyNumberFormat="1" applyFont="1" applyFill="1" applyBorder="1" applyAlignment="1" applyProtection="1">
      <alignment vertical="center"/>
      <protection locked="0"/>
    </xf>
    <xf numFmtId="2" fontId="23" fillId="4" borderId="12" xfId="9" applyNumberFormat="1" applyFont="1" applyFill="1" applyBorder="1" applyAlignment="1" applyProtection="1">
      <alignment horizontal="right" vertical="center"/>
      <protection locked="0"/>
    </xf>
    <xf numFmtId="2" fontId="23" fillId="4" borderId="9" xfId="9" applyNumberFormat="1" applyFont="1" applyFill="1" applyBorder="1" applyAlignment="1" applyProtection="1">
      <alignment horizontal="right" vertical="center"/>
      <protection locked="0"/>
    </xf>
    <xf numFmtId="0" fontId="20" fillId="6" borderId="0" xfId="6" applyFont="1" applyFill="1" applyAlignment="1" applyProtection="1">
      <alignment horizontal="center" vertical="center" wrapText="1"/>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top" wrapText="1"/>
    </xf>
    <xf numFmtId="0" fontId="102" fillId="3" borderId="33" xfId="9" applyFont="1" applyFill="1" applyBorder="1" applyAlignment="1" applyProtection="1">
      <alignment vertical="center"/>
    </xf>
    <xf numFmtId="0" fontId="20" fillId="0" borderId="0" xfId="8" applyFont="1" applyAlignment="1" applyProtection="1">
      <alignment wrapText="1"/>
    </xf>
    <xf numFmtId="0" fontId="102" fillId="3" borderId="33" xfId="0" applyNumberFormat="1" applyFont="1" applyFill="1" applyBorder="1" applyAlignment="1" applyProtection="1">
      <alignment vertical="center"/>
    </xf>
    <xf numFmtId="0" fontId="58" fillId="0" borderId="43" xfId="6" applyFont="1" applyFill="1" applyBorder="1" applyAlignment="1" applyProtection="1">
      <alignment horizontal="center" vertical="center"/>
    </xf>
    <xf numFmtId="165" fontId="58" fillId="16" borderId="44" xfId="6" applyNumberFormat="1" applyFont="1" applyFill="1" applyBorder="1" applyAlignment="1" applyProtection="1">
      <alignment vertical="center"/>
      <protection locked="0"/>
    </xf>
    <xf numFmtId="165" fontId="58" fillId="16" borderId="43" xfId="6" applyNumberFormat="1" applyFont="1" applyFill="1" applyBorder="1" applyAlignment="1" applyProtection="1">
      <alignment vertical="center"/>
      <protection locked="0"/>
    </xf>
    <xf numFmtId="165" fontId="58" fillId="16" borderId="118" xfId="6" applyNumberFormat="1" applyFont="1" applyFill="1" applyBorder="1" applyAlignment="1" applyProtection="1">
      <alignment vertical="center"/>
      <protection locked="0"/>
    </xf>
    <xf numFmtId="0" fontId="22" fillId="0" borderId="0" xfId="6" applyFont="1" applyFill="1" applyBorder="1" applyAlignment="1" applyProtection="1">
      <alignment vertical="center"/>
    </xf>
    <xf numFmtId="0" fontId="20" fillId="0" borderId="0" xfId="6" applyFont="1" applyFill="1" applyBorder="1" applyAlignment="1" applyProtection="1">
      <alignment horizontal="center" vertical="center" wrapText="1"/>
    </xf>
    <xf numFmtId="0" fontId="12" fillId="0" borderId="2" xfId="9" applyFont="1" applyFill="1" applyBorder="1" applyAlignment="1" applyProtection="1">
      <alignment horizontal="center" vertical="center"/>
    </xf>
    <xf numFmtId="0" fontId="12" fillId="0" borderId="60" xfId="9" applyFont="1" applyFill="1" applyBorder="1" applyAlignment="1" applyProtection="1">
      <alignment vertical="center"/>
    </xf>
    <xf numFmtId="1" fontId="23" fillId="0" borderId="6" xfId="9" applyNumberFormat="1" applyFont="1" applyFill="1" applyBorder="1" applyAlignment="1" applyProtection="1">
      <alignment horizontal="center" vertical="center"/>
    </xf>
    <xf numFmtId="1" fontId="23" fillId="0" borderId="9" xfId="9" applyNumberFormat="1" applyFont="1" applyFill="1" applyBorder="1" applyAlignment="1" applyProtection="1">
      <alignment horizontal="center" vertical="center"/>
    </xf>
    <xf numFmtId="1" fontId="23" fillId="0" borderId="12" xfId="9" applyNumberFormat="1" applyFont="1" applyFill="1" applyBorder="1" applyAlignment="1" applyProtection="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12" fillId="0" borderId="0" xfId="9" applyFont="1" applyFill="1" applyAlignment="1" applyProtection="1">
      <alignmen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23" fillId="0" borderId="12" xfId="9" applyFont="1" applyFill="1" applyBorder="1" applyAlignment="1" applyProtection="1">
      <alignment vertical="top" wrapText="1"/>
    </xf>
    <xf numFmtId="0" fontId="7" fillId="3" borderId="3" xfId="6" applyFont="1" applyFill="1" applyBorder="1" applyAlignment="1" applyProtection="1">
      <alignment horizontal="left" vertical="center"/>
    </xf>
    <xf numFmtId="0" fontId="12" fillId="0" borderId="34" xfId="9" applyFont="1" applyFill="1" applyBorder="1" applyAlignment="1" applyProtection="1">
      <alignment vertical="top"/>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23" fillId="0" borderId="0" xfId="9" applyFont="1" applyFill="1" applyBorder="1" applyAlignment="1" applyProtection="1">
      <alignment horizontal="left" vertical="center" wrapText="1"/>
    </xf>
    <xf numFmtId="0" fontId="7" fillId="3" borderId="33" xfId="11" applyFont="1" applyFill="1" applyBorder="1" applyAlignment="1" applyProtection="1">
      <alignment horizontal="center" vertical="center"/>
    </xf>
    <xf numFmtId="0" fontId="7" fillId="3" borderId="19" xfId="6" applyFont="1" applyFill="1" applyBorder="1" applyAlignment="1" applyProtection="1">
      <alignment horizontal="center" vertical="center" wrapText="1"/>
    </xf>
    <xf numFmtId="0" fontId="4" fillId="2" borderId="0" xfId="6" applyFont="1" applyFill="1" applyBorder="1" applyAlignment="1">
      <alignment vertical="center"/>
    </xf>
    <xf numFmtId="0" fontId="7" fillId="3" borderId="2" xfId="6" applyFont="1" applyFill="1" applyBorder="1" applyAlignment="1">
      <alignment vertical="center"/>
    </xf>
    <xf numFmtId="0" fontId="7" fillId="3" borderId="3" xfId="6" applyFont="1" applyFill="1" applyBorder="1" applyAlignment="1">
      <alignment horizontal="center" vertical="center" wrapText="1"/>
    </xf>
    <xf numFmtId="0" fontId="3" fillId="0" borderId="0" xfId="0" applyFont="1" applyAlignment="1">
      <alignment horizontal="center" vertical="center"/>
    </xf>
    <xf numFmtId="0" fontId="7" fillId="3" borderId="2" xfId="6" applyFont="1" applyFill="1" applyBorder="1" applyAlignment="1">
      <alignment horizontal="center" vertical="center"/>
    </xf>
    <xf numFmtId="0" fontId="7" fillId="3" borderId="4" xfId="6" applyFont="1" applyFill="1" applyBorder="1" applyAlignment="1">
      <alignment vertical="center"/>
    </xf>
    <xf numFmtId="0" fontId="20" fillId="0" borderId="5" xfId="6" applyFont="1" applyBorder="1" applyAlignment="1">
      <alignment horizontal="center" vertical="center"/>
    </xf>
    <xf numFmtId="0" fontId="9" fillId="0" borderId="6" xfId="6" applyFont="1" applyBorder="1" applyAlignment="1">
      <alignment vertical="center"/>
    </xf>
    <xf numFmtId="0" fontId="22" fillId="0" borderId="6" xfId="6" applyFont="1" applyBorder="1" applyAlignment="1">
      <alignment horizontal="center" vertical="center"/>
    </xf>
    <xf numFmtId="0" fontId="22" fillId="0" borderId="7" xfId="6" applyFont="1" applyBorder="1" applyAlignment="1">
      <alignment horizontal="center" vertical="center"/>
    </xf>
    <xf numFmtId="0" fontId="20" fillId="0" borderId="8" xfId="6" applyFont="1" applyBorder="1" applyAlignment="1">
      <alignment horizontal="center" vertical="center"/>
    </xf>
    <xf numFmtId="0" fontId="9" fillId="0" borderId="9" xfId="6" applyFont="1" applyBorder="1" applyAlignment="1">
      <alignment vertical="center"/>
    </xf>
    <xf numFmtId="0" fontId="22" fillId="0" borderId="9" xfId="6" applyFont="1" applyBorder="1" applyAlignment="1">
      <alignment horizontal="center" vertical="center"/>
    </xf>
    <xf numFmtId="0" fontId="22" fillId="0" borderId="10" xfId="6" applyFont="1" applyBorder="1" applyAlignment="1">
      <alignment horizontal="center" vertical="center"/>
    </xf>
    <xf numFmtId="0" fontId="20" fillId="0" borderId="11" xfId="6" applyFont="1" applyBorder="1" applyAlignment="1">
      <alignment horizontal="center" vertical="center"/>
    </xf>
    <xf numFmtId="0" fontId="9" fillId="0" borderId="12" xfId="6" applyFont="1" applyBorder="1" applyAlignment="1">
      <alignment vertical="center"/>
    </xf>
    <xf numFmtId="0" fontId="22" fillId="0" borderId="12" xfId="6" applyFont="1" applyBorder="1" applyAlignment="1">
      <alignment horizontal="center" vertical="center"/>
    </xf>
    <xf numFmtId="0" fontId="22" fillId="0" borderId="13" xfId="6" applyFont="1" applyBorder="1" applyAlignment="1">
      <alignment horizontal="center" vertical="center"/>
    </xf>
    <xf numFmtId="0" fontId="9" fillId="0" borderId="6" xfId="6" applyFont="1" applyBorder="1" applyAlignment="1">
      <alignment vertical="center" wrapText="1"/>
    </xf>
    <xf numFmtId="0" fontId="9" fillId="0" borderId="44" xfId="6" applyFont="1" applyBorder="1" applyAlignment="1">
      <alignment vertical="center"/>
    </xf>
    <xf numFmtId="0" fontId="22" fillId="0" borderId="62" xfId="6" applyFont="1" applyBorder="1" applyAlignment="1">
      <alignment horizontal="center" vertical="center"/>
    </xf>
    <xf numFmtId="0" fontId="7" fillId="3" borderId="1" xfId="6" applyFont="1" applyFill="1" applyBorder="1" applyAlignment="1" applyProtection="1">
      <alignment vertical="center" wrapText="1"/>
    </xf>
    <xf numFmtId="165" fontId="58" fillId="16" borderId="37" xfId="6" applyNumberFormat="1" applyFont="1" applyFill="1" applyBorder="1" applyAlignment="1" applyProtection="1">
      <alignment vertical="center"/>
      <protection locked="0"/>
    </xf>
    <xf numFmtId="165" fontId="58" fillId="16" borderId="39" xfId="6" applyNumberFormat="1" applyFont="1" applyFill="1" applyBorder="1" applyAlignment="1" applyProtection="1">
      <alignment vertical="center"/>
      <protection locked="0"/>
    </xf>
    <xf numFmtId="165" fontId="23" fillId="17" borderId="41" xfId="11" applyNumberFormat="1" applyFont="1" applyFill="1" applyBorder="1" applyProtection="1"/>
    <xf numFmtId="165" fontId="58" fillId="16" borderId="37" xfId="20" applyNumberFormat="1" applyFont="1" applyFill="1" applyBorder="1" applyAlignment="1" applyProtection="1">
      <alignment vertical="center"/>
      <protection locked="0"/>
    </xf>
    <xf numFmtId="165" fontId="58" fillId="16" borderId="39" xfId="20" applyNumberFormat="1" applyFont="1" applyFill="1" applyBorder="1" applyAlignment="1" applyProtection="1">
      <alignment vertical="center"/>
      <protection locked="0"/>
    </xf>
    <xf numFmtId="165" fontId="58" fillId="17" borderId="39" xfId="6" applyNumberFormat="1" applyFont="1" applyFill="1" applyBorder="1" applyAlignment="1" applyProtection="1">
      <alignment vertical="center"/>
    </xf>
    <xf numFmtId="165" fontId="58" fillId="17" borderId="41" xfId="6" applyNumberFormat="1" applyFont="1" applyFill="1" applyBorder="1" applyAlignment="1" applyProtection="1">
      <alignment vertical="center"/>
    </xf>
    <xf numFmtId="165" fontId="58" fillId="16" borderId="117" xfId="6" applyNumberFormat="1" applyFont="1" applyFill="1" applyBorder="1" applyAlignment="1" applyProtection="1">
      <alignment vertical="center"/>
      <protection locked="0"/>
    </xf>
    <xf numFmtId="165" fontId="58" fillId="16" borderId="24" xfId="6" applyNumberFormat="1" applyFont="1" applyFill="1" applyBorder="1" applyAlignment="1" applyProtection="1">
      <alignment vertical="center"/>
      <protection locked="0"/>
    </xf>
    <xf numFmtId="165" fontId="58" fillId="16" borderId="26" xfId="6" applyNumberFormat="1" applyFont="1" applyFill="1" applyBorder="1" applyAlignment="1" applyProtection="1">
      <alignment vertical="center"/>
      <protection locked="0"/>
    </xf>
    <xf numFmtId="165" fontId="23" fillId="17" borderId="27" xfId="11" applyNumberFormat="1" applyFont="1" applyFill="1" applyBorder="1" applyProtection="1"/>
    <xf numFmtId="165" fontId="58" fillId="16" borderId="24" xfId="20" applyNumberFormat="1" applyFont="1" applyFill="1" applyBorder="1" applyAlignment="1" applyProtection="1">
      <alignment vertical="center"/>
      <protection locked="0"/>
    </xf>
    <xf numFmtId="165" fontId="58" fillId="16" borderId="26" xfId="20" applyNumberFormat="1" applyFont="1" applyFill="1" applyBorder="1" applyAlignment="1" applyProtection="1">
      <alignment vertical="center"/>
      <protection locked="0"/>
    </xf>
    <xf numFmtId="165" fontId="58" fillId="17" borderId="26" xfId="6" applyNumberFormat="1" applyFont="1" applyFill="1" applyBorder="1" applyAlignment="1" applyProtection="1">
      <alignment vertical="center"/>
    </xf>
    <xf numFmtId="165" fontId="58" fillId="17" borderId="27" xfId="6" applyNumberFormat="1" applyFont="1" applyFill="1" applyBorder="1" applyAlignment="1" applyProtection="1">
      <alignment vertical="center"/>
    </xf>
    <xf numFmtId="165" fontId="58" fillId="16" borderId="126" xfId="6" applyNumberFormat="1" applyFont="1" applyFill="1" applyBorder="1" applyAlignment="1" applyProtection="1">
      <alignment vertical="center"/>
      <protection locked="0"/>
    </xf>
    <xf numFmtId="0" fontId="0" fillId="0" borderId="0" xfId="0" applyFont="1" applyProtection="1"/>
    <xf numFmtId="0" fontId="21" fillId="0" borderId="0" xfId="6" applyFont="1" applyFill="1" applyBorder="1" applyAlignment="1" applyProtection="1">
      <alignment vertical="center"/>
    </xf>
    <xf numFmtId="0" fontId="21" fillId="0" borderId="0" xfId="6" applyFont="1" applyFill="1" applyBorder="1" applyAlignment="1" applyProtection="1">
      <alignment horizontal="right" vertical="center"/>
    </xf>
    <xf numFmtId="0" fontId="5" fillId="0" borderId="0" xfId="11" applyFont="1" applyFill="1" applyAlignment="1" applyProtection="1">
      <alignment vertical="center"/>
    </xf>
    <xf numFmtId="0" fontId="0" fillId="0" borderId="0" xfId="6" applyFont="1" applyFill="1" applyAlignment="1" applyProtection="1">
      <alignment vertical="center"/>
    </xf>
    <xf numFmtId="0" fontId="1" fillId="0" borderId="0" xfId="6" applyFont="1" applyAlignment="1" applyProtection="1">
      <alignment vertical="center"/>
    </xf>
    <xf numFmtId="165" fontId="23" fillId="17" borderId="40" xfId="11" applyNumberFormat="1" applyFont="1" applyFill="1" applyBorder="1" applyProtection="1"/>
    <xf numFmtId="165" fontId="58" fillId="17" borderId="267" xfId="6" applyNumberFormat="1" applyFont="1" applyFill="1" applyBorder="1" applyAlignment="1" applyProtection="1">
      <alignment vertical="center"/>
    </xf>
    <xf numFmtId="165" fontId="58" fillId="17" borderId="268" xfId="6" applyNumberFormat="1" applyFont="1" applyFill="1" applyBorder="1" applyAlignment="1" applyProtection="1">
      <alignment vertical="center"/>
    </xf>
    <xf numFmtId="165" fontId="58" fillId="17" borderId="269" xfId="6" applyNumberFormat="1" applyFont="1" applyFill="1" applyBorder="1" applyAlignment="1" applyProtection="1">
      <alignment vertical="center"/>
    </xf>
    <xf numFmtId="165" fontId="58" fillId="17" borderId="270" xfId="6" applyNumberFormat="1" applyFont="1" applyFill="1" applyBorder="1" applyAlignment="1" applyProtection="1">
      <alignment vertical="center"/>
    </xf>
    <xf numFmtId="165" fontId="58" fillId="17" borderId="271" xfId="6" applyNumberFormat="1" applyFont="1" applyFill="1" applyBorder="1" applyAlignment="1" applyProtection="1">
      <alignment vertical="center"/>
    </xf>
    <xf numFmtId="165" fontId="58" fillId="18" borderId="272" xfId="6" applyNumberFormat="1" applyFont="1" applyFill="1" applyBorder="1" applyAlignment="1" applyProtection="1">
      <alignment vertical="center"/>
    </xf>
    <xf numFmtId="0" fontId="15" fillId="0" borderId="0" xfId="11" applyFont="1" applyFill="1" applyBorder="1" applyAlignment="1" applyProtection="1">
      <alignment vertical="center"/>
    </xf>
    <xf numFmtId="0" fontId="109" fillId="0" borderId="0" xfId="18" applyFont="1"/>
    <xf numFmtId="0" fontId="1" fillId="3" borderId="0" xfId="6" applyFont="1" applyFill="1" applyAlignment="1" applyProtection="1">
      <alignment vertical="center"/>
    </xf>
    <xf numFmtId="165" fontId="16" fillId="4" borderId="28" xfId="2" applyNumberFormat="1" applyFont="1" applyFill="1" applyBorder="1" applyAlignment="1" applyProtection="1">
      <alignment vertical="center"/>
      <protection locked="0"/>
    </xf>
    <xf numFmtId="165" fontId="16" fillId="4" borderId="114" xfId="2" applyNumberFormat="1" applyFont="1" applyFill="1" applyBorder="1" applyAlignment="1" applyProtection="1">
      <alignment vertical="center"/>
      <protection locked="0"/>
    </xf>
    <xf numFmtId="165" fontId="16" fillId="4" borderId="42" xfId="2" applyNumberFormat="1" applyFont="1" applyFill="1" applyBorder="1" applyAlignment="1" applyProtection="1">
      <alignment vertical="center"/>
      <protection locked="0"/>
    </xf>
    <xf numFmtId="165" fontId="16" fillId="4" borderId="57" xfId="2" applyNumberFormat="1" applyFont="1" applyFill="1" applyBorder="1" applyAlignment="1" applyProtection="1">
      <alignment vertical="center"/>
      <protection locked="0"/>
    </xf>
    <xf numFmtId="165" fontId="16" fillId="21" borderId="33" xfId="11" applyNumberFormat="1" applyFont="1" applyFill="1" applyBorder="1" applyAlignment="1" applyProtection="1">
      <alignment vertical="center"/>
      <protection locked="0"/>
    </xf>
    <xf numFmtId="165" fontId="16" fillId="4" borderId="6" xfId="2" applyNumberFormat="1" applyFont="1" applyFill="1" applyBorder="1" applyAlignment="1" applyProtection="1">
      <alignment vertical="center"/>
      <protection locked="0"/>
    </xf>
    <xf numFmtId="165" fontId="16" fillId="4" borderId="47" xfId="2" applyNumberFormat="1" applyFont="1" applyFill="1" applyBorder="1" applyAlignment="1" applyProtection="1">
      <alignment vertical="center"/>
      <protection locked="0"/>
    </xf>
    <xf numFmtId="165" fontId="16" fillId="4" borderId="12" xfId="2" applyNumberFormat="1" applyFont="1" applyFill="1" applyBorder="1" applyAlignment="1" applyProtection="1">
      <alignment vertical="center"/>
      <protection locked="0"/>
    </xf>
    <xf numFmtId="165" fontId="16" fillId="21" borderId="3" xfId="11" applyNumberFormat="1" applyFont="1" applyFill="1" applyBorder="1" applyAlignment="1" applyProtection="1">
      <alignment vertical="center"/>
      <protection locked="0"/>
    </xf>
    <xf numFmtId="165" fontId="16" fillId="21" borderId="60" xfId="11" applyNumberFormat="1" applyFont="1" applyFill="1" applyBorder="1" applyAlignment="1" applyProtection="1">
      <alignment vertical="center"/>
      <protection locked="0"/>
    </xf>
    <xf numFmtId="165" fontId="16" fillId="4" borderId="45" xfId="2" applyNumberFormat="1" applyFont="1" applyFill="1" applyBorder="1" applyAlignment="1" applyProtection="1">
      <alignment vertical="center"/>
      <protection locked="0"/>
    </xf>
    <xf numFmtId="165" fontId="16" fillId="4" borderId="37" xfId="2" applyNumberFormat="1" applyFont="1" applyFill="1" applyBorder="1" applyAlignment="1" applyProtection="1">
      <alignment vertical="center"/>
      <protection locked="0"/>
    </xf>
    <xf numFmtId="165" fontId="16" fillId="4" borderId="125" xfId="2" applyNumberFormat="1" applyFont="1" applyFill="1" applyBorder="1" applyAlignment="1" applyProtection="1">
      <alignment vertical="center"/>
      <protection locked="0"/>
    </xf>
    <xf numFmtId="165" fontId="16" fillId="4" borderId="41" xfId="2" applyNumberFormat="1" applyFont="1" applyFill="1" applyBorder="1" applyAlignment="1" applyProtection="1">
      <alignment vertical="center"/>
      <protection locked="0"/>
    </xf>
    <xf numFmtId="165" fontId="16" fillId="4" borderId="57" xfId="19" applyNumberFormat="1" applyFont="1" applyFill="1" applyBorder="1" applyAlignment="1" applyProtection="1">
      <alignment vertical="center"/>
      <protection locked="0"/>
    </xf>
    <xf numFmtId="165" fontId="16" fillId="4" borderId="6" xfId="19" applyNumberFormat="1" applyFont="1" applyFill="1" applyBorder="1" applyAlignment="1" applyProtection="1">
      <alignment vertical="center"/>
      <protection locked="0"/>
    </xf>
    <xf numFmtId="165" fontId="16" fillId="4" borderId="9" xfId="19" applyNumberFormat="1" applyFont="1" applyFill="1" applyBorder="1" applyAlignment="1" applyProtection="1">
      <alignment vertical="center"/>
      <protection locked="0"/>
    </xf>
    <xf numFmtId="165" fontId="16" fillId="4" borderId="12" xfId="19" applyNumberFormat="1" applyFont="1" applyFill="1" applyBorder="1" applyAlignment="1" applyProtection="1">
      <alignment vertical="center"/>
      <protection locked="0"/>
    </xf>
    <xf numFmtId="165" fontId="16" fillId="4" borderId="36" xfId="19" applyNumberFormat="1" applyFont="1" applyFill="1" applyBorder="1" applyAlignment="1" applyProtection="1">
      <alignment vertical="center"/>
      <protection locked="0"/>
    </xf>
    <xf numFmtId="165" fontId="16" fillId="4" borderId="38" xfId="19" applyNumberFormat="1" applyFont="1" applyFill="1" applyBorder="1" applyAlignment="1" applyProtection="1">
      <alignment vertical="center"/>
      <protection locked="0"/>
    </xf>
    <xf numFmtId="165" fontId="16" fillId="4" borderId="40" xfId="19" applyNumberFormat="1" applyFont="1" applyFill="1" applyBorder="1" applyAlignment="1" applyProtection="1">
      <alignment vertical="center"/>
      <protection locked="0"/>
    </xf>
    <xf numFmtId="165" fontId="16" fillId="4" borderId="7" xfId="19" applyNumberFormat="1" applyFont="1" applyFill="1" applyBorder="1" applyAlignment="1" applyProtection="1">
      <alignment vertical="center"/>
      <protection locked="0"/>
    </xf>
    <xf numFmtId="165" fontId="16" fillId="4" borderId="10" xfId="19" applyNumberFormat="1" applyFont="1" applyFill="1" applyBorder="1" applyAlignment="1" applyProtection="1">
      <alignment vertical="center"/>
      <protection locked="0"/>
    </xf>
    <xf numFmtId="165" fontId="16" fillId="4" borderId="13" xfId="19" applyNumberFormat="1" applyFont="1" applyFill="1" applyBorder="1" applyAlignment="1" applyProtection="1">
      <alignment vertical="center"/>
      <protection locked="0"/>
    </xf>
    <xf numFmtId="165" fontId="16" fillId="21" borderId="4" xfId="11" applyNumberFormat="1" applyFont="1" applyFill="1" applyBorder="1" applyAlignment="1" applyProtection="1">
      <alignment vertical="center"/>
      <protection locked="0"/>
    </xf>
    <xf numFmtId="0" fontId="23" fillId="23" borderId="43" xfId="11" applyFont="1" applyFill="1" applyBorder="1" applyAlignment="1" applyProtection="1">
      <alignment horizontal="center" vertical="center"/>
    </xf>
    <xf numFmtId="0" fontId="14" fillId="23" borderId="44" xfId="11" applyFont="1" applyFill="1" applyBorder="1" applyAlignment="1" applyProtection="1">
      <alignment horizontal="center" vertical="center"/>
    </xf>
    <xf numFmtId="0" fontId="14" fillId="23" borderId="62" xfId="11" applyFont="1" applyFill="1" applyBorder="1" applyAlignment="1" applyProtection="1">
      <alignment horizontal="center" vertical="center"/>
    </xf>
    <xf numFmtId="0" fontId="23" fillId="23" borderId="2" xfId="11" applyFont="1" applyFill="1" applyBorder="1" applyAlignment="1" applyProtection="1">
      <alignment horizontal="center" vertical="center"/>
    </xf>
    <xf numFmtId="0" fontId="14" fillId="23" borderId="3" xfId="11" applyFont="1" applyFill="1" applyBorder="1" applyAlignment="1" applyProtection="1">
      <alignment horizontal="center" vertical="center"/>
    </xf>
    <xf numFmtId="0" fontId="14" fillId="23" borderId="4" xfId="11" applyFont="1" applyFill="1" applyBorder="1" applyAlignment="1" applyProtection="1">
      <alignment horizontal="center" vertical="center"/>
    </xf>
    <xf numFmtId="0" fontId="58" fillId="0" borderId="14" xfId="6" applyFont="1" applyFill="1" applyBorder="1" applyAlignment="1" applyProtection="1">
      <alignment horizontal="center" vertical="center"/>
    </xf>
    <xf numFmtId="0" fontId="58" fillId="0" borderId="61" xfId="6" applyFont="1" applyFill="1" applyBorder="1" applyAlignment="1" applyProtection="1">
      <alignment horizontal="center" vertical="center"/>
    </xf>
    <xf numFmtId="165" fontId="9" fillId="4" borderId="44" xfId="6" applyNumberFormat="1" applyFont="1" applyFill="1" applyBorder="1" applyAlignment="1" applyProtection="1">
      <alignment vertical="center" wrapText="1"/>
      <protection locked="0"/>
    </xf>
    <xf numFmtId="0" fontId="23" fillId="0" borderId="228" xfId="11" applyFont="1" applyFill="1" applyBorder="1" applyAlignment="1" applyProtection="1">
      <alignment horizontal="center" vertical="center"/>
    </xf>
    <xf numFmtId="0" fontId="22" fillId="0" borderId="216" xfId="6" applyFont="1" applyBorder="1" applyAlignment="1" applyProtection="1">
      <alignment horizontal="center" vertical="center"/>
    </xf>
    <xf numFmtId="0" fontId="22" fillId="0" borderId="275" xfId="6" applyFont="1" applyBorder="1" applyAlignment="1" applyProtection="1">
      <alignment horizontal="center" vertical="center"/>
    </xf>
    <xf numFmtId="0" fontId="9" fillId="0" borderId="46" xfId="6" applyFont="1" applyBorder="1" applyAlignment="1" applyProtection="1">
      <alignment vertical="center"/>
    </xf>
    <xf numFmtId="0" fontId="22" fillId="0" borderId="46" xfId="6" applyFont="1" applyBorder="1" applyAlignment="1" applyProtection="1">
      <alignment horizontal="center" vertical="center"/>
    </xf>
    <xf numFmtId="0" fontId="7" fillId="25" borderId="1" xfId="11" applyFont="1" applyFill="1" applyBorder="1" applyAlignment="1" applyProtection="1">
      <alignment horizontal="center" vertical="center" wrapText="1"/>
    </xf>
    <xf numFmtId="0" fontId="7" fillId="3" borderId="2" xfId="6" applyFont="1" applyFill="1" applyBorder="1" applyAlignment="1" applyProtection="1">
      <alignment vertical="center" wrapText="1"/>
    </xf>
    <xf numFmtId="0" fontId="7" fillId="3" borderId="61" xfId="6" applyFont="1" applyFill="1" applyBorder="1" applyAlignment="1" applyProtection="1">
      <alignment horizontal="left" vertical="center" wrapText="1"/>
    </xf>
    <xf numFmtId="0" fontId="7" fillId="3" borderId="3" xfId="6" applyFont="1" applyFill="1" applyBorder="1" applyAlignment="1" applyProtection="1">
      <alignment vertical="center" wrapText="1"/>
    </xf>
    <xf numFmtId="0" fontId="7" fillId="3" borderId="60" xfId="6" applyFont="1" applyFill="1" applyBorder="1" applyAlignment="1" applyProtection="1">
      <alignment vertical="center" wrapText="1"/>
    </xf>
    <xf numFmtId="0" fontId="7" fillId="25" borderId="2" xfId="6" applyFont="1" applyFill="1" applyBorder="1" applyAlignment="1" applyProtection="1">
      <alignment horizontal="center" vertical="center" wrapText="1"/>
    </xf>
    <xf numFmtId="0" fontId="7" fillId="25" borderId="3" xfId="6" applyFont="1" applyFill="1" applyBorder="1" applyAlignment="1" applyProtection="1">
      <alignment horizontal="center" vertical="center" wrapText="1"/>
    </xf>
    <xf numFmtId="0" fontId="7" fillId="3" borderId="60" xfId="6" applyFont="1" applyFill="1" applyBorder="1" applyAlignment="1" applyProtection="1">
      <alignment horizontal="center" vertical="center" wrapText="1"/>
    </xf>
    <xf numFmtId="0" fontId="0" fillId="0" borderId="256" xfId="0" applyBorder="1" applyAlignment="1">
      <alignment horizontal="center"/>
    </xf>
    <xf numFmtId="0" fontId="5" fillId="0" borderId="256" xfId="0" applyFont="1" applyFill="1" applyBorder="1" applyAlignment="1">
      <alignment vertical="center"/>
    </xf>
    <xf numFmtId="165" fontId="16" fillId="4" borderId="276" xfId="19" applyNumberFormat="1" applyFont="1" applyFill="1" applyBorder="1" applyAlignment="1" applyProtection="1">
      <alignment vertical="center"/>
      <protection locked="0"/>
    </xf>
    <xf numFmtId="165" fontId="16" fillId="4" borderId="277" xfId="19" applyNumberFormat="1" applyFont="1" applyFill="1" applyBorder="1" applyAlignment="1" applyProtection="1">
      <alignment vertical="center"/>
      <protection locked="0"/>
    </xf>
    <xf numFmtId="165" fontId="16" fillId="4" borderId="278" xfId="19" applyNumberFormat="1" applyFont="1" applyFill="1" applyBorder="1" applyAlignment="1" applyProtection="1">
      <alignment vertical="center"/>
      <protection locked="0"/>
    </xf>
    <xf numFmtId="165" fontId="16" fillId="4" borderId="279" xfId="19" applyNumberFormat="1" applyFont="1" applyFill="1" applyBorder="1" applyAlignment="1" applyProtection="1">
      <alignment vertical="center"/>
      <protection locked="0"/>
    </xf>
    <xf numFmtId="6" fontId="0" fillId="0" borderId="234" xfId="0" quotePrefix="1" applyNumberFormat="1" applyBorder="1" applyAlignment="1">
      <alignment horizontal="center"/>
    </xf>
    <xf numFmtId="6" fontId="0" fillId="0" borderId="280" xfId="0" quotePrefix="1" applyNumberFormat="1" applyBorder="1" applyAlignment="1">
      <alignment horizontal="center"/>
    </xf>
    <xf numFmtId="0" fontId="0" fillId="0" borderId="281" xfId="0" applyBorder="1" applyAlignment="1">
      <alignment horizontal="center"/>
    </xf>
    <xf numFmtId="1" fontId="16" fillId="4" borderId="276" xfId="19" applyNumberFormat="1" applyFont="1" applyFill="1" applyBorder="1" applyAlignment="1" applyProtection="1">
      <alignment vertical="center"/>
      <protection locked="0"/>
    </xf>
    <xf numFmtId="1" fontId="16" fillId="4" borderId="238" xfId="19" applyNumberFormat="1" applyFont="1" applyFill="1" applyBorder="1" applyAlignment="1" applyProtection="1">
      <alignment vertical="center"/>
      <protection locked="0"/>
    </xf>
    <xf numFmtId="1" fontId="16" fillId="4" borderId="277" xfId="19" applyNumberFormat="1" applyFont="1" applyFill="1" applyBorder="1" applyAlignment="1" applyProtection="1">
      <alignment vertical="center"/>
      <protection locked="0"/>
    </xf>
    <xf numFmtId="165" fontId="16" fillId="7" borderId="282" xfId="19" applyNumberFormat="1" applyFont="1" applyFill="1" applyBorder="1" applyAlignment="1" applyProtection="1">
      <alignment vertical="center"/>
    </xf>
    <xf numFmtId="165" fontId="16" fillId="7" borderId="32" xfId="19" applyNumberFormat="1" applyFont="1" applyFill="1" applyBorder="1" applyAlignment="1" applyProtection="1">
      <alignment vertical="center"/>
    </xf>
    <xf numFmtId="165" fontId="16" fillId="7" borderId="283" xfId="19" applyNumberFormat="1" applyFont="1" applyFill="1" applyBorder="1" applyAlignment="1" applyProtection="1">
      <alignment vertical="center"/>
    </xf>
    <xf numFmtId="165" fontId="16" fillId="7" borderId="30" xfId="19" applyNumberFormat="1" applyFont="1" applyFill="1" applyBorder="1" applyAlignment="1" applyProtection="1">
      <alignment vertical="center"/>
    </xf>
    <xf numFmtId="0" fontId="22" fillId="0" borderId="44" xfId="6" applyFont="1" applyBorder="1" applyAlignment="1">
      <alignment horizontal="center" vertical="center"/>
    </xf>
    <xf numFmtId="0" fontId="7" fillId="3" borderId="0" xfId="6" applyFont="1" applyFill="1" applyBorder="1" applyAlignment="1" applyProtection="1">
      <alignment vertical="center"/>
    </xf>
    <xf numFmtId="0" fontId="16" fillId="0" borderId="20" xfId="9" applyFont="1" applyFill="1" applyBorder="1" applyAlignment="1" applyProtection="1">
      <alignment horizontal="left" vertical="center"/>
    </xf>
    <xf numFmtId="0" fontId="7" fillId="3" borderId="34" xfId="9" applyFont="1" applyFill="1" applyBorder="1" applyAlignment="1" applyProtection="1">
      <alignment horizontal="left" vertical="center"/>
    </xf>
    <xf numFmtId="0" fontId="7" fillId="3" borderId="0" xfId="9" applyFont="1" applyFill="1" applyBorder="1" applyAlignment="1" applyProtection="1">
      <alignment vertical="center"/>
    </xf>
    <xf numFmtId="0" fontId="16" fillId="0" borderId="61" xfId="9" applyFont="1" applyFill="1" applyBorder="1" applyAlignment="1" applyProtection="1">
      <alignment vertical="center"/>
    </xf>
    <xf numFmtId="0" fontId="16" fillId="0" borderId="28" xfId="9" applyFont="1" applyFill="1" applyBorder="1" applyAlignment="1" applyProtection="1">
      <alignment vertical="center"/>
    </xf>
    <xf numFmtId="0" fontId="16" fillId="0" borderId="29" xfId="9" applyFont="1" applyFill="1" applyBorder="1" applyAlignment="1" applyProtection="1">
      <alignment vertical="center"/>
    </xf>
    <xf numFmtId="0" fontId="16" fillId="0" borderId="42" xfId="9" applyFont="1" applyFill="1" applyBorder="1" applyAlignment="1" applyProtection="1">
      <alignment vertical="center"/>
    </xf>
    <xf numFmtId="0" fontId="16" fillId="0" borderId="41" xfId="9" applyFont="1" applyFill="1" applyBorder="1" applyAlignment="1" applyProtection="1">
      <alignment vertical="center"/>
    </xf>
    <xf numFmtId="0" fontId="7" fillId="3" borderId="61" xfId="9" applyFont="1" applyFill="1" applyBorder="1" applyAlignment="1" applyProtection="1">
      <alignment horizontal="left" vertical="center"/>
    </xf>
    <xf numFmtId="0" fontId="16" fillId="0" borderId="37" xfId="9" applyFont="1" applyFill="1" applyBorder="1" applyAlignment="1" applyProtection="1">
      <alignment vertical="center"/>
    </xf>
    <xf numFmtId="0" fontId="16" fillId="0" borderId="39" xfId="9" applyFont="1" applyFill="1" applyBorder="1" applyAlignment="1" applyProtection="1">
      <alignment vertical="center"/>
    </xf>
    <xf numFmtId="0" fontId="16" fillId="0" borderId="39" xfId="9" quotePrefix="1" applyFont="1" applyFill="1" applyBorder="1" applyAlignment="1" applyProtection="1">
      <alignment vertical="center"/>
    </xf>
    <xf numFmtId="0" fontId="16" fillId="0" borderId="117" xfId="9" applyFont="1" applyFill="1" applyBorder="1" applyAlignment="1" applyProtection="1">
      <alignment vertical="center"/>
    </xf>
    <xf numFmtId="0" fontId="7" fillId="3" borderId="34" xfId="6" applyFont="1" applyFill="1" applyBorder="1" applyAlignment="1" applyProtection="1">
      <alignment horizontal="left" vertical="center"/>
    </xf>
    <xf numFmtId="0" fontId="9" fillId="0" borderId="28" xfId="6" applyFont="1" applyBorder="1" applyAlignment="1" applyProtection="1">
      <alignment vertical="center"/>
    </xf>
    <xf numFmtId="0" fontId="9" fillId="0" borderId="29" xfId="6" applyFont="1" applyBorder="1" applyAlignment="1" applyProtection="1">
      <alignment vertical="center"/>
    </xf>
    <xf numFmtId="0" fontId="9" fillId="0" borderId="45" xfId="6" applyFont="1" applyBorder="1" applyAlignment="1" applyProtection="1">
      <alignment vertical="center"/>
    </xf>
    <xf numFmtId="0" fontId="7" fillId="3" borderId="0" xfId="9" applyFont="1" applyFill="1" applyBorder="1" applyAlignment="1" applyProtection="1">
      <alignment horizontal="left" vertical="center"/>
    </xf>
    <xf numFmtId="0" fontId="16" fillId="0" borderId="47" xfId="9" applyFont="1" applyFill="1" applyBorder="1" applyAlignment="1" applyProtection="1">
      <alignment vertical="center"/>
    </xf>
    <xf numFmtId="0" fontId="9" fillId="0" borderId="34" xfId="6" applyFont="1" applyBorder="1" applyAlignment="1" applyProtection="1">
      <alignment vertical="center"/>
    </xf>
    <xf numFmtId="0" fontId="0" fillId="3" borderId="0" xfId="0" applyFill="1" applyBorder="1" applyProtection="1"/>
    <xf numFmtId="0" fontId="7" fillId="3" borderId="110" xfId="6" applyFont="1" applyFill="1" applyBorder="1" applyAlignment="1" applyProtection="1">
      <alignment vertical="center"/>
    </xf>
    <xf numFmtId="6" fontId="22" fillId="0" borderId="3" xfId="6" quotePrefix="1" applyNumberFormat="1" applyFont="1" applyBorder="1" applyAlignment="1" applyProtection="1">
      <alignment horizontal="center" vertical="center"/>
    </xf>
    <xf numFmtId="0" fontId="22" fillId="0" borderId="9" xfId="6" quotePrefix="1" applyFont="1" applyBorder="1" applyAlignment="1">
      <alignment horizontal="center" vertical="center"/>
    </xf>
    <xf numFmtId="0" fontId="11" fillId="0" borderId="2" xfId="5" applyFont="1" applyBorder="1" applyAlignment="1" applyProtection="1">
      <alignment vertical="center"/>
    </xf>
    <xf numFmtId="0" fontId="19" fillId="5" borderId="3" xfId="0" applyFont="1" applyFill="1" applyBorder="1" applyAlignment="1" applyProtection="1">
      <alignment horizontal="center" vertical="center" wrapText="1"/>
    </xf>
    <xf numFmtId="0" fontId="19" fillId="3" borderId="3" xfId="0" applyFont="1" applyFill="1" applyBorder="1" applyAlignment="1" applyProtection="1">
      <alignment horizontal="center" vertical="center" wrapText="1"/>
    </xf>
    <xf numFmtId="0" fontId="11" fillId="0" borderId="4" xfId="5" applyFont="1" applyBorder="1" applyAlignment="1" applyProtection="1">
      <alignment horizontal="center" vertical="center"/>
    </xf>
    <xf numFmtId="0" fontId="19" fillId="3" borderId="36" xfId="0" applyFont="1" applyFill="1" applyBorder="1" applyAlignment="1" applyProtection="1">
      <alignment horizontal="center" vertical="center" wrapText="1"/>
    </xf>
    <xf numFmtId="0" fontId="19"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19" fillId="5" borderId="36" xfId="0" applyFont="1" applyFill="1" applyBorder="1" applyAlignment="1" applyProtection="1">
      <alignment horizontal="center" vertical="center" wrapText="1"/>
    </xf>
    <xf numFmtId="0" fontId="19" fillId="5" borderId="38" xfId="0" applyFont="1" applyFill="1" applyBorder="1" applyAlignment="1" applyProtection="1">
      <alignment horizontal="center" vertical="center" wrapText="1"/>
    </xf>
    <xf numFmtId="0" fontId="19"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19" fillId="6" borderId="38" xfId="0" applyFont="1" applyFill="1" applyBorder="1" applyAlignment="1" applyProtection="1">
      <alignment horizontal="center" vertical="center" wrapText="1"/>
    </xf>
    <xf numFmtId="0" fontId="0" fillId="0" borderId="30" xfId="0" applyBorder="1"/>
    <xf numFmtId="1" fontId="23" fillId="4" borderId="31" xfId="11" applyNumberFormat="1" applyFont="1" applyFill="1" applyBorder="1" applyAlignment="1" applyProtection="1">
      <alignment vertical="center"/>
      <protection locked="0"/>
    </xf>
    <xf numFmtId="1" fontId="23" fillId="4" borderId="32" xfId="11" applyNumberFormat="1" applyFont="1" applyFill="1" applyBorder="1" applyAlignment="1" applyProtection="1">
      <alignment vertical="center"/>
      <protection locked="0"/>
    </xf>
    <xf numFmtId="1" fontId="23" fillId="4" borderId="109" xfId="11" applyNumberFormat="1" applyFont="1" applyFill="1" applyBorder="1" applyAlignment="1" applyProtection="1">
      <alignment vertical="center"/>
      <protection locked="0"/>
    </xf>
    <xf numFmtId="1" fontId="23" fillId="4" borderId="30" xfId="11" applyNumberFormat="1" applyFont="1" applyFill="1" applyBorder="1" applyAlignment="1" applyProtection="1">
      <alignment vertical="center"/>
      <protection locked="0"/>
    </xf>
    <xf numFmtId="2" fontId="23" fillId="4" borderId="31" xfId="11" applyNumberFormat="1" applyFont="1" applyFill="1" applyBorder="1" applyAlignment="1" applyProtection="1">
      <alignment vertical="center"/>
      <protection locked="0"/>
    </xf>
    <xf numFmtId="2" fontId="23" fillId="4" borderId="32" xfId="11" applyNumberFormat="1" applyFont="1" applyFill="1" applyBorder="1" applyAlignment="1" applyProtection="1">
      <alignment vertical="center"/>
      <protection locked="0"/>
    </xf>
    <xf numFmtId="0" fontId="20" fillId="0" borderId="5" xfId="6" applyFont="1" applyBorder="1" applyAlignment="1">
      <alignment horizontal="left" vertical="top"/>
    </xf>
    <xf numFmtId="0" fontId="20" fillId="0" borderId="8" xfId="6" applyFont="1" applyBorder="1" applyAlignment="1">
      <alignment horizontal="left" vertical="top"/>
    </xf>
    <xf numFmtId="0" fontId="20" fillId="0" borderId="11" xfId="6" applyFont="1" applyBorder="1" applyAlignment="1">
      <alignment horizontal="left" vertical="top"/>
    </xf>
    <xf numFmtId="0" fontId="7" fillId="3" borderId="4" xfId="6" applyFont="1" applyFill="1" applyBorder="1" applyAlignment="1">
      <alignment horizontal="center" vertical="center"/>
    </xf>
    <xf numFmtId="0" fontId="20" fillId="6" borderId="0" xfId="6" applyFont="1" applyFill="1" applyAlignment="1" applyProtection="1">
      <alignment horizontal="center" vertical="center" wrapText="1"/>
    </xf>
    <xf numFmtId="0" fontId="110" fillId="0" borderId="0" xfId="0" applyFont="1" applyAlignment="1">
      <alignment vertical="center"/>
    </xf>
    <xf numFmtId="0" fontId="20" fillId="6" borderId="0" xfId="6" applyFont="1" applyFill="1" applyAlignment="1" applyProtection="1">
      <alignment horizontal="center" vertical="center" wrapText="1"/>
    </xf>
    <xf numFmtId="165" fontId="58" fillId="0" borderId="44" xfId="6" applyNumberFormat="1" applyFont="1" applyFill="1" applyBorder="1" applyAlignment="1" applyProtection="1">
      <alignment vertical="center"/>
      <protection locked="0"/>
    </xf>
    <xf numFmtId="165" fontId="58" fillId="17" borderId="284" xfId="6" applyNumberFormat="1" applyFont="1" applyFill="1" applyBorder="1" applyAlignment="1" applyProtection="1">
      <alignment vertical="center"/>
    </xf>
    <xf numFmtId="0" fontId="14" fillId="0" borderId="0" xfId="0" applyFont="1" applyAlignment="1">
      <alignment horizontal="center" vertical="center" wrapText="1"/>
    </xf>
    <xf numFmtId="0" fontId="20" fillId="6" borderId="0" xfId="6" applyFont="1" applyFill="1" applyAlignment="1" applyProtection="1">
      <alignment horizontal="center" vertical="center" wrapText="1"/>
    </xf>
    <xf numFmtId="0" fontId="0" fillId="6" borderId="0" xfId="0" applyFill="1" applyProtection="1"/>
    <xf numFmtId="0" fontId="20" fillId="6" borderId="0" xfId="6" applyFont="1" applyFill="1" applyAlignment="1" applyProtection="1">
      <alignment vertical="center"/>
    </xf>
    <xf numFmtId="0" fontId="1" fillId="29" borderId="0" xfId="8" applyFill="1" applyAlignment="1" applyProtection="1">
      <alignment vertical="center"/>
    </xf>
    <xf numFmtId="0" fontId="9" fillId="29" borderId="0" xfId="8" applyFont="1" applyFill="1" applyAlignment="1" applyProtection="1">
      <alignment vertical="center"/>
    </xf>
    <xf numFmtId="0" fontId="1" fillId="29" borderId="0" xfId="8" applyFill="1" applyAlignment="1" applyProtection="1">
      <alignment horizontal="center" vertical="center"/>
    </xf>
    <xf numFmtId="0" fontId="1" fillId="29" borderId="0" xfId="6" applyFill="1" applyAlignment="1" applyProtection="1">
      <alignment vertical="center"/>
    </xf>
    <xf numFmtId="0" fontId="16" fillId="29" borderId="0" xfId="9" applyFont="1" applyFill="1" applyAlignment="1" applyProtection="1">
      <alignment vertical="center"/>
    </xf>
    <xf numFmtId="0" fontId="5" fillId="29" borderId="0" xfId="0" applyFont="1" applyFill="1" applyProtection="1"/>
    <xf numFmtId="0" fontId="0" fillId="29" borderId="0" xfId="0" applyFill="1" applyProtection="1"/>
    <xf numFmtId="0" fontId="12" fillId="29" borderId="0" xfId="9" applyFont="1" applyFill="1" applyAlignment="1" applyProtection="1">
      <alignment vertical="center"/>
    </xf>
    <xf numFmtId="0" fontId="20" fillId="29" borderId="0" xfId="8" applyFont="1" applyFill="1" applyAlignment="1" applyProtection="1">
      <alignment vertical="center"/>
    </xf>
    <xf numFmtId="0" fontId="16"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0" fontId="20" fillId="6" borderId="0" xfId="6" applyFont="1" applyFill="1" applyAlignment="1" applyProtection="1">
      <alignment horizontal="center" vertical="center" wrapText="1"/>
    </xf>
    <xf numFmtId="165" fontId="58" fillId="17" borderId="285" xfId="6" applyNumberFormat="1" applyFont="1" applyFill="1" applyBorder="1" applyAlignment="1" applyProtection="1">
      <alignment vertical="center"/>
    </xf>
    <xf numFmtId="0" fontId="19" fillId="0" borderId="0" xfId="11" applyFont="1" applyFill="1" applyBorder="1" applyAlignment="1" applyProtection="1">
      <alignment horizontal="center" vertical="center"/>
    </xf>
    <xf numFmtId="165" fontId="16" fillId="4" borderId="7" xfId="2" applyNumberFormat="1" applyFont="1" applyFill="1" applyBorder="1" applyAlignment="1" applyProtection="1">
      <alignment vertical="center"/>
      <protection locked="0"/>
    </xf>
    <xf numFmtId="165" fontId="16" fillId="4" borderId="50" xfId="2" applyNumberFormat="1" applyFont="1" applyFill="1" applyBorder="1" applyAlignment="1" applyProtection="1">
      <alignment vertical="center"/>
      <protection locked="0"/>
    </xf>
    <xf numFmtId="165" fontId="16" fillId="4" borderId="13" xfId="2" applyNumberFormat="1" applyFont="1" applyFill="1" applyBorder="1" applyAlignment="1" applyProtection="1">
      <alignment vertical="center"/>
      <protection locked="0"/>
    </xf>
    <xf numFmtId="165" fontId="16" fillId="4" borderId="37" xfId="19" applyNumberFormat="1" applyFont="1" applyFill="1" applyBorder="1" applyAlignment="1" applyProtection="1">
      <alignment vertical="center"/>
      <protection locked="0"/>
    </xf>
    <xf numFmtId="165" fontId="16" fillId="4" borderId="39" xfId="19" applyNumberFormat="1" applyFont="1" applyFill="1" applyBorder="1" applyAlignment="1" applyProtection="1">
      <alignment vertical="center"/>
      <protection locked="0"/>
    </xf>
    <xf numFmtId="165" fontId="16" fillId="4" borderId="41" xfId="19" applyNumberFormat="1" applyFont="1" applyFill="1" applyBorder="1" applyAlignment="1" applyProtection="1">
      <alignment vertical="center"/>
      <protection locked="0"/>
    </xf>
    <xf numFmtId="0" fontId="7" fillId="3" borderId="289" xfId="6" applyFont="1" applyFill="1" applyBorder="1" applyAlignment="1" applyProtection="1">
      <alignment horizontal="center" vertical="center" wrapText="1"/>
    </xf>
    <xf numFmtId="0" fontId="7" fillId="3" borderId="290" xfId="6" applyFont="1" applyFill="1" applyBorder="1" applyAlignment="1" applyProtection="1">
      <alignment horizontal="center" vertical="center" wrapText="1"/>
    </xf>
    <xf numFmtId="0" fontId="7" fillId="3" borderId="291" xfId="6" applyFont="1" applyFill="1" applyBorder="1" applyAlignment="1" applyProtection="1">
      <alignment horizontal="center" vertical="center" wrapText="1"/>
    </xf>
    <xf numFmtId="0" fontId="7" fillId="3" borderId="292"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165" fontId="16" fillId="4" borderId="32" xfId="19" applyNumberFormat="1" applyFont="1" applyFill="1" applyBorder="1" applyAlignment="1" applyProtection="1">
      <alignment vertical="center"/>
      <protection locked="0"/>
    </xf>
    <xf numFmtId="0" fontId="79" fillId="0" borderId="0" xfId="18" applyFont="1"/>
    <xf numFmtId="172" fontId="16" fillId="27" borderId="7" xfId="19" applyNumberFormat="1" applyFont="1" applyFill="1" applyBorder="1" applyAlignment="1" applyProtection="1">
      <alignment vertical="center"/>
      <protection locked="0"/>
    </xf>
    <xf numFmtId="172" fontId="16" fillId="27" borderId="10" xfId="19" applyNumberFormat="1" applyFont="1" applyFill="1" applyBorder="1" applyAlignment="1" applyProtection="1">
      <alignment vertical="center"/>
      <protection locked="0"/>
    </xf>
    <xf numFmtId="172" fontId="16" fillId="27" borderId="50" xfId="19" applyNumberFormat="1" applyFont="1" applyFill="1" applyBorder="1" applyAlignment="1" applyProtection="1">
      <alignment vertical="center"/>
      <protection locked="0"/>
    </xf>
    <xf numFmtId="0" fontId="19" fillId="5" borderId="13" xfId="0" applyFont="1" applyFill="1" applyBorder="1" applyAlignment="1" applyProtection="1">
      <alignment horizontal="center" vertical="center" wrapText="1"/>
    </xf>
    <xf numFmtId="0" fontId="9" fillId="0" borderId="6" xfId="0" applyFont="1" applyBorder="1"/>
    <xf numFmtId="0" fontId="9" fillId="0" borderId="9" xfId="0" applyFont="1" applyBorder="1"/>
    <xf numFmtId="0" fontId="22" fillId="0" borderId="6" xfId="0" applyFont="1" applyBorder="1" applyAlignment="1">
      <alignment horizontal="center"/>
    </xf>
    <xf numFmtId="0" fontId="22" fillId="0" borderId="9" xfId="0" applyFont="1" applyBorder="1" applyAlignment="1">
      <alignment horizontal="center"/>
    </xf>
    <xf numFmtId="0" fontId="22" fillId="8" borderId="25" xfId="7" applyFont="1" applyBorder="1" applyAlignment="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165" fontId="23" fillId="4" borderId="2" xfId="9" applyNumberFormat="1" applyFont="1" applyFill="1" applyBorder="1" applyAlignment="1" applyProtection="1">
      <alignment vertical="center"/>
      <protection locked="0"/>
    </xf>
    <xf numFmtId="165" fontId="23" fillId="4" borderId="4" xfId="9" applyNumberFormat="1" applyFont="1" applyFill="1" applyBorder="1" applyAlignment="1" applyProtection="1">
      <alignment vertical="center"/>
      <protection locked="0"/>
    </xf>
    <xf numFmtId="167" fontId="23" fillId="4" borderId="11" xfId="9" applyNumberFormat="1" applyFont="1" applyFill="1" applyBorder="1" applyAlignment="1" applyProtection="1">
      <alignment vertical="center"/>
      <protection locked="0"/>
    </xf>
    <xf numFmtId="167" fontId="23" fillId="4" borderId="13" xfId="9" applyNumberFormat="1" applyFont="1" applyFill="1" applyBorder="1" applyAlignment="1" applyProtection="1">
      <alignment vertical="center"/>
      <protection locked="0"/>
    </xf>
    <xf numFmtId="165" fontId="23" fillId="4" borderId="16" xfId="9" applyNumberFormat="1" applyFont="1" applyFill="1" applyBorder="1" applyAlignment="1" applyProtection="1">
      <alignment vertical="center"/>
      <protection locked="0"/>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3" xfId="9" applyFont="1" applyFill="1" applyBorder="1" applyAlignment="1" applyProtection="1">
      <alignment horizontal="left" vertical="center" wrapText="1"/>
    </xf>
    <xf numFmtId="0" fontId="7" fillId="3" borderId="14" xfId="9" applyFont="1" applyFill="1" applyBorder="1" applyAlignment="1" applyProtection="1">
      <alignment horizontal="center" vertical="center"/>
    </xf>
    <xf numFmtId="169" fontId="23" fillId="4" borderId="6" xfId="11" applyNumberFormat="1" applyFont="1" applyFill="1" applyBorder="1" applyAlignment="1" applyProtection="1">
      <alignment horizontal="right" vertical="center"/>
      <protection locked="0"/>
    </xf>
    <xf numFmtId="169" fontId="23" fillId="4" borderId="9" xfId="11" applyNumberFormat="1" applyFont="1" applyFill="1" applyBorder="1" applyAlignment="1" applyProtection="1">
      <alignment horizontal="right" vertical="center"/>
      <protection locked="0"/>
    </xf>
    <xf numFmtId="169" fontId="23"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2" fillId="6" borderId="0" xfId="6" applyFont="1" applyFill="1" applyAlignment="1" applyProtection="1">
      <alignment vertical="center"/>
    </xf>
    <xf numFmtId="0" fontId="7" fillId="3" borderId="130" xfId="6" applyFont="1" applyFill="1" applyBorder="1" applyAlignment="1" applyProtection="1">
      <alignment horizontal="center" vertical="center" wrapText="1"/>
    </xf>
    <xf numFmtId="165" fontId="20" fillId="7" borderId="57" xfId="6" applyNumberFormat="1" applyFont="1" applyFill="1" applyBorder="1" applyAlignment="1" applyProtection="1">
      <alignment vertical="center"/>
    </xf>
    <xf numFmtId="0" fontId="32" fillId="0" borderId="12" xfId="6" applyFont="1" applyFill="1" applyBorder="1" applyAlignment="1" applyProtection="1">
      <alignment vertical="center"/>
    </xf>
    <xf numFmtId="0" fontId="32" fillId="0" borderId="3" xfId="6" applyFont="1" applyFill="1" applyBorder="1" applyAlignment="1" applyProtection="1">
      <alignment vertical="center"/>
    </xf>
    <xf numFmtId="0" fontId="32" fillId="0" borderId="47" xfId="11" applyFont="1" applyFill="1" applyBorder="1" applyAlignment="1">
      <alignment vertical="center" wrapText="1"/>
    </xf>
    <xf numFmtId="0" fontId="32" fillId="0" borderId="9" xfId="11" applyFont="1" applyFill="1" applyBorder="1" applyAlignment="1">
      <alignment vertical="center" wrapText="1"/>
    </xf>
    <xf numFmtId="0" fontId="88" fillId="23" borderId="6" xfId="11" applyFont="1" applyFill="1" applyBorder="1" applyAlignment="1">
      <alignment horizontal="center" vertical="center" wrapText="1"/>
    </xf>
    <xf numFmtId="0" fontId="88" fillId="23" borderId="9" xfId="11" applyFont="1" applyFill="1" applyBorder="1" applyAlignment="1">
      <alignment horizontal="center" vertical="center" wrapText="1"/>
    </xf>
    <xf numFmtId="0" fontId="88" fillId="23" borderId="12" xfId="11" applyFont="1" applyFill="1" applyBorder="1" applyAlignment="1">
      <alignment horizontal="center" vertical="center" wrapText="1"/>
    </xf>
    <xf numFmtId="0" fontId="88" fillId="0" borderId="6" xfId="11" applyFont="1" applyFill="1" applyBorder="1" applyAlignment="1">
      <alignment horizontal="center" vertical="center" wrapText="1"/>
    </xf>
    <xf numFmtId="0" fontId="88" fillId="0" borderId="9" xfId="11" applyFont="1" applyFill="1" applyBorder="1" applyAlignment="1">
      <alignment horizontal="center" vertical="center" wrapText="1"/>
    </xf>
    <xf numFmtId="0" fontId="88" fillId="0" borderId="12" xfId="11" applyFont="1" applyFill="1" applyBorder="1" applyAlignment="1">
      <alignment horizontal="center" vertical="center" wrapText="1"/>
    </xf>
    <xf numFmtId="0" fontId="59" fillId="0" borderId="0" xfId="11" applyFont="1" applyFill="1" applyBorder="1" applyAlignment="1">
      <alignment horizontal="center" vertical="center" wrapText="1"/>
    </xf>
    <xf numFmtId="0" fontId="59" fillId="0" borderId="6" xfId="11" applyFont="1" applyFill="1" applyBorder="1" applyAlignment="1">
      <alignment horizontal="center" vertical="center"/>
    </xf>
    <xf numFmtId="0" fontId="59" fillId="0" borderId="9" xfId="11" applyFont="1" applyFill="1" applyBorder="1" applyAlignment="1">
      <alignment horizontal="center" vertical="center"/>
    </xf>
    <xf numFmtId="0" fontId="59" fillId="0" borderId="44" xfId="11" applyFont="1" applyFill="1" applyBorder="1" applyAlignment="1">
      <alignment horizontal="center" vertical="center"/>
    </xf>
    <xf numFmtId="0" fontId="0" fillId="0" borderId="0" xfId="0" applyFill="1" applyAlignment="1">
      <alignment horizontal="center"/>
    </xf>
    <xf numFmtId="0" fontId="16" fillId="0" borderId="0" xfId="11" applyFont="1" applyFill="1" applyAlignment="1" applyProtection="1">
      <alignment horizontal="center" vertical="center"/>
    </xf>
    <xf numFmtId="0" fontId="88" fillId="0" borderId="6" xfId="11" applyFont="1" applyFill="1" applyBorder="1" applyAlignment="1">
      <alignment horizontal="center" vertical="center"/>
    </xf>
    <xf numFmtId="0" fontId="88" fillId="0" borderId="9" xfId="11" applyFont="1" applyFill="1" applyBorder="1" applyAlignment="1">
      <alignment horizontal="center" vertical="center"/>
    </xf>
    <xf numFmtId="0" fontId="88" fillId="0" borderId="12" xfId="11" applyFont="1" applyFill="1" applyBorder="1" applyAlignment="1">
      <alignment horizontal="center" vertical="center"/>
    </xf>
    <xf numFmtId="0" fontId="59" fillId="0" borderId="0" xfId="11" applyFont="1" applyFill="1" applyBorder="1" applyAlignment="1">
      <alignment horizontal="center" vertical="center"/>
    </xf>
    <xf numFmtId="0" fontId="9" fillId="0" borderId="7" xfId="6" applyFont="1" applyFill="1" applyBorder="1" applyAlignment="1" applyProtection="1">
      <alignment horizontal="center" vertical="center"/>
    </xf>
    <xf numFmtId="0" fontId="59" fillId="0" borderId="48" xfId="11" applyFont="1" applyFill="1" applyBorder="1" applyAlignment="1">
      <alignment horizontal="center" vertical="center"/>
    </xf>
    <xf numFmtId="0" fontId="59" fillId="0" borderId="38" xfId="11" applyFont="1" applyFill="1" applyBorder="1" applyAlignment="1">
      <alignment horizontal="center" vertical="center"/>
    </xf>
    <xf numFmtId="0" fontId="59" fillId="0" borderId="7" xfId="11" applyFont="1" applyFill="1" applyBorder="1" applyAlignment="1">
      <alignment horizontal="center" vertical="center"/>
    </xf>
    <xf numFmtId="0" fontId="59" fillId="0" borderId="10" xfId="11" applyFont="1" applyFill="1" applyBorder="1" applyAlignment="1">
      <alignment horizontal="center" vertical="center"/>
    </xf>
    <xf numFmtId="0" fontId="59" fillId="0" borderId="13" xfId="11" applyFont="1" applyFill="1" applyBorder="1" applyAlignment="1">
      <alignment horizontal="center" vertical="center"/>
    </xf>
    <xf numFmtId="0" fontId="9" fillId="23" borderId="6" xfId="6" applyFont="1" applyFill="1" applyBorder="1" applyAlignment="1" applyProtection="1">
      <alignment horizontal="center" vertical="center"/>
    </xf>
    <xf numFmtId="0" fontId="59" fillId="23" borderId="9" xfId="11" applyFont="1" applyFill="1" applyBorder="1" applyAlignment="1">
      <alignment horizontal="center" vertical="center"/>
    </xf>
    <xf numFmtId="0" fontId="59" fillId="23" borderId="9" xfId="11" applyFont="1" applyFill="1" applyBorder="1" applyAlignment="1">
      <alignment horizontal="center" vertical="center" wrapText="1"/>
    </xf>
    <xf numFmtId="0" fontId="9" fillId="0" borderId="6" xfId="6" applyFont="1" applyBorder="1" applyAlignment="1" applyProtection="1">
      <alignment horizontal="center" vertical="center"/>
    </xf>
    <xf numFmtId="0" fontId="59" fillId="0" borderId="9" xfId="11" applyFont="1" applyFill="1" applyBorder="1" applyAlignment="1">
      <alignment horizontal="center" vertical="center" wrapText="1"/>
    </xf>
    <xf numFmtId="0" fontId="59" fillId="0" borderId="12" xfId="11" applyFont="1" applyFill="1" applyBorder="1" applyAlignment="1">
      <alignment horizontal="center" vertical="center" wrapText="1"/>
    </xf>
    <xf numFmtId="165" fontId="16" fillId="7" borderId="295" xfId="19" applyNumberFormat="1" applyFont="1" applyFill="1" applyBorder="1" applyAlignment="1" applyProtection="1">
      <alignment vertical="center"/>
      <protection locked="0"/>
    </xf>
    <xf numFmtId="165" fontId="16" fillId="7" borderId="296" xfId="19" applyNumberFormat="1" applyFont="1" applyFill="1" applyBorder="1" applyAlignment="1" applyProtection="1">
      <alignment vertical="center"/>
      <protection locked="0"/>
    </xf>
    <xf numFmtId="165" fontId="16" fillId="7" borderId="297" xfId="19" applyNumberFormat="1" applyFont="1" applyFill="1" applyBorder="1" applyAlignment="1" applyProtection="1">
      <alignment vertical="center"/>
      <protection locked="0"/>
    </xf>
    <xf numFmtId="49" fontId="0" fillId="0" borderId="0" xfId="0" applyNumberFormat="1"/>
    <xf numFmtId="165" fontId="111" fillId="0" borderId="1" xfId="10" applyNumberFormat="1" applyFont="1" applyFill="1" applyBorder="1" applyAlignment="1" applyProtection="1">
      <alignment vertical="center"/>
    </xf>
    <xf numFmtId="0" fontId="2" fillId="0" borderId="0" xfId="8" applyFont="1" applyAlignment="1" applyProtection="1">
      <alignment vertical="center"/>
    </xf>
    <xf numFmtId="4" fontId="23" fillId="4" borderId="6" xfId="11" applyNumberFormat="1" applyFont="1" applyFill="1" applyBorder="1" applyAlignment="1" applyProtection="1">
      <alignment horizontal="right" vertical="center"/>
      <protection locked="0"/>
    </xf>
    <xf numFmtId="4" fontId="23" fillId="4" borderId="9" xfId="11" applyNumberFormat="1" applyFont="1" applyFill="1" applyBorder="1" applyAlignment="1" applyProtection="1">
      <alignment horizontal="right" vertical="center"/>
      <protection locked="0"/>
    </xf>
    <xf numFmtId="4" fontId="23" fillId="7" borderId="3" xfId="9" applyNumberFormat="1" applyFont="1" applyFill="1" applyBorder="1" applyProtection="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23" fillId="0" borderId="0" xfId="9" applyFont="1" applyFill="1" applyBorder="1" applyAlignment="1" applyProtection="1">
      <alignment horizontal="left" vertical="center"/>
    </xf>
    <xf numFmtId="0" fontId="0" fillId="6" borderId="210" xfId="0" applyFill="1" applyBorder="1"/>
    <xf numFmtId="0" fontId="0" fillId="6" borderId="215" xfId="0" applyFill="1" applyBorder="1"/>
    <xf numFmtId="0" fontId="0" fillId="6" borderId="212" xfId="0" applyFill="1" applyBorder="1"/>
    <xf numFmtId="0" fontId="5" fillId="0" borderId="0" xfId="0" applyFont="1" applyFill="1" applyBorder="1"/>
    <xf numFmtId="0" fontId="5" fillId="0" borderId="0" xfId="0" applyFont="1" applyBorder="1"/>
    <xf numFmtId="0" fontId="5" fillId="0" borderId="0" xfId="0" applyFont="1"/>
    <xf numFmtId="0" fontId="20" fillId="6" borderId="0" xfId="6" applyFont="1" applyFill="1" applyAlignment="1" applyProtection="1">
      <alignment horizontal="center" vertical="center" wrapText="1"/>
    </xf>
    <xf numFmtId="165" fontId="20" fillId="7" borderId="24" xfId="6" applyNumberFormat="1" applyFont="1" applyFill="1" applyBorder="1" applyAlignment="1" applyProtection="1">
      <alignment vertical="center"/>
      <protection locked="0"/>
    </xf>
    <xf numFmtId="165" fontId="20" fillId="7" borderId="5" xfId="6" applyNumberFormat="1" applyFont="1" applyFill="1" applyBorder="1" applyAlignment="1" applyProtection="1">
      <alignment vertical="center"/>
      <protection locked="0"/>
    </xf>
    <xf numFmtId="165" fontId="20" fillId="7" borderId="6" xfId="6" applyNumberFormat="1" applyFont="1" applyFill="1" applyBorder="1" applyAlignment="1" applyProtection="1">
      <alignment vertical="center"/>
      <protection locked="0"/>
    </xf>
    <xf numFmtId="0" fontId="5" fillId="0" borderId="214" xfId="0" applyFont="1" applyFill="1" applyBorder="1"/>
    <xf numFmtId="0" fontId="5" fillId="0" borderId="214" xfId="0" applyFont="1" applyBorder="1"/>
    <xf numFmtId="0" fontId="14" fillId="0" borderId="13" xfId="6" applyFont="1" applyFill="1" applyBorder="1" applyAlignment="1" applyProtection="1">
      <alignment horizontal="center" vertical="center"/>
    </xf>
    <xf numFmtId="10" fontId="23" fillId="4" borderId="33" xfId="19" applyNumberFormat="1" applyFont="1" applyFill="1" applyBorder="1" applyAlignment="1" applyProtection="1">
      <alignment vertical="center"/>
      <protection locked="0"/>
    </xf>
    <xf numFmtId="10" fontId="23"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0" fillId="3" borderId="0" xfId="15" applyFont="1" applyFill="1" applyAlignment="1" applyProtection="1">
      <alignment horizontal="center" vertical="center"/>
    </xf>
    <xf numFmtId="0" fontId="72" fillId="3" borderId="0" xfId="22" applyFont="1" applyFill="1" applyAlignment="1">
      <alignment horizontal="left" vertical="top"/>
    </xf>
    <xf numFmtId="0" fontId="46" fillId="3" borderId="0" xfId="22" applyFill="1"/>
    <xf numFmtId="165" fontId="16" fillId="7" borderId="31" xfId="19" applyNumberFormat="1" applyFont="1" applyFill="1" applyBorder="1" applyAlignment="1" applyProtection="1">
      <alignment vertical="center"/>
    </xf>
    <xf numFmtId="165" fontId="16" fillId="7" borderId="1" xfId="19" applyNumberFormat="1" applyFont="1" applyFill="1" applyBorder="1" applyAlignment="1" applyProtection="1">
      <alignment vertical="center"/>
    </xf>
    <xf numFmtId="0" fontId="20" fillId="3" borderId="0" xfId="15" applyFont="1" applyFill="1" applyAlignment="1" applyProtection="1">
      <alignment vertical="center"/>
    </xf>
    <xf numFmtId="0" fontId="16" fillId="3" borderId="0" xfId="11" applyFont="1" applyFill="1" applyAlignment="1" applyProtection="1">
      <alignment vertical="center"/>
    </xf>
    <xf numFmtId="0" fontId="1" fillId="3" borderId="0" xfId="6" applyFill="1" applyBorder="1" applyAlignment="1" applyProtection="1">
      <alignment vertical="center"/>
    </xf>
    <xf numFmtId="0" fontId="20" fillId="3" borderId="0" xfId="8" applyFont="1" applyFill="1" applyAlignment="1" applyProtection="1">
      <alignment vertical="center"/>
    </xf>
    <xf numFmtId="0" fontId="1" fillId="3" borderId="0" xfId="8" applyFill="1" applyAlignment="1" applyProtection="1">
      <alignment vertical="center"/>
    </xf>
    <xf numFmtId="0" fontId="9" fillId="3" borderId="0" xfId="8" applyFont="1" applyFill="1" applyAlignment="1" applyProtection="1">
      <alignment vertical="center"/>
    </xf>
    <xf numFmtId="0" fontId="74" fillId="3" borderId="0" xfId="0" applyFont="1" applyFill="1" applyBorder="1" applyAlignment="1">
      <alignment horizontal="left" vertical="center" wrapText="1"/>
    </xf>
    <xf numFmtId="9" fontId="88" fillId="3" borderId="0" xfId="11" applyNumberFormat="1" applyFont="1" applyFill="1" applyBorder="1" applyAlignment="1">
      <alignment horizontal="left" vertical="center" wrapText="1"/>
    </xf>
    <xf numFmtId="9" fontId="88" fillId="3" borderId="0" xfId="11" applyNumberFormat="1" applyFont="1" applyFill="1" applyBorder="1" applyAlignment="1">
      <alignment horizontal="left" vertical="top" wrapText="1"/>
    </xf>
    <xf numFmtId="0" fontId="59" fillId="3" borderId="0" xfId="0" applyFont="1" applyFill="1" applyBorder="1" applyAlignment="1">
      <alignment horizontal="left" vertical="top"/>
    </xf>
    <xf numFmtId="0" fontId="0" fillId="3" borderId="0" xfId="0" applyFill="1" applyBorder="1" applyAlignment="1">
      <alignment horizontal="left" vertical="center" wrapText="1"/>
    </xf>
    <xf numFmtId="1" fontId="16" fillId="3" borderId="0" xfId="11" applyNumberFormat="1" applyFont="1" applyFill="1" applyBorder="1" applyAlignment="1" applyProtection="1">
      <alignment vertical="center"/>
      <protection locked="0"/>
    </xf>
    <xf numFmtId="171" fontId="16"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5" fillId="3" borderId="0" xfId="11" applyFont="1" applyFill="1" applyAlignment="1" applyProtection="1">
      <alignment vertical="center"/>
    </xf>
    <xf numFmtId="0" fontId="9" fillId="3" borderId="0" xfId="8" applyFont="1" applyFill="1" applyAlignment="1" applyProtection="1">
      <alignment horizontal="center" vertical="center"/>
    </xf>
    <xf numFmtId="0" fontId="57" fillId="3" borderId="0" xfId="18" applyFont="1" applyFill="1" applyBorder="1"/>
    <xf numFmtId="0" fontId="67" fillId="3" borderId="0" xfId="21" applyFont="1" applyFill="1" applyBorder="1"/>
    <xf numFmtId="0" fontId="77" fillId="0" borderId="0" xfId="11" applyFont="1" applyFill="1" applyBorder="1" applyAlignment="1" applyProtection="1">
      <alignment horizontal="center" vertical="center"/>
    </xf>
    <xf numFmtId="0" fontId="7" fillId="3" borderId="3" xfId="11" applyFont="1" applyFill="1" applyBorder="1" applyAlignment="1" applyProtection="1">
      <alignment vertical="center"/>
    </xf>
    <xf numFmtId="0" fontId="7" fillId="3" borderId="33" xfId="11" applyFont="1" applyFill="1" applyBorder="1" applyAlignment="1" applyProtection="1">
      <alignment horizontal="center" vertical="center"/>
    </xf>
    <xf numFmtId="0" fontId="7" fillId="15" borderId="4" xfId="6" applyFont="1" applyFill="1" applyBorder="1" applyAlignment="1" applyProtection="1">
      <alignment vertical="center"/>
    </xf>
    <xf numFmtId="0" fontId="16" fillId="29" borderId="0" xfId="11" applyFont="1" applyFill="1" applyAlignment="1" applyProtection="1">
      <alignment vertical="center"/>
    </xf>
    <xf numFmtId="0" fontId="72" fillId="29" borderId="0" xfId="18" applyFont="1" applyFill="1"/>
    <xf numFmtId="0" fontId="67" fillId="29" borderId="0" xfId="21" applyFont="1" applyFill="1"/>
    <xf numFmtId="0" fontId="72" fillId="29" borderId="0" xfId="22" applyFont="1" applyFill="1" applyBorder="1" applyAlignment="1">
      <alignment horizontal="left" vertical="top"/>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20" fillId="0" borderId="0" xfId="6" applyFont="1" applyFill="1" applyAlignment="1" applyProtection="1">
      <alignment horizontal="center" vertical="center" wrapText="1"/>
    </xf>
    <xf numFmtId="0" fontId="7" fillId="3" borderId="33" xfId="11" applyFont="1" applyFill="1" applyBorder="1" applyAlignment="1" applyProtection="1">
      <alignment horizontal="center" vertical="center"/>
    </xf>
    <xf numFmtId="0" fontId="114" fillId="0" borderId="0" xfId="9" applyFont="1" applyFill="1" applyAlignment="1" applyProtection="1">
      <alignment vertical="center"/>
    </xf>
    <xf numFmtId="0" fontId="114" fillId="0" borderId="0" xfId="9" applyFont="1" applyFill="1" applyBorder="1" applyAlignment="1" applyProtection="1">
      <alignment vertical="center"/>
    </xf>
    <xf numFmtId="0" fontId="7" fillId="0" borderId="20" xfId="6" applyFont="1" applyFill="1" applyBorder="1" applyAlignment="1" applyProtection="1">
      <alignment horizontal="center" vertical="center"/>
    </xf>
    <xf numFmtId="0" fontId="7" fillId="3" borderId="27" xfId="6" applyFont="1" applyFill="1" applyBorder="1" applyAlignment="1" applyProtection="1">
      <alignment horizontal="center" vertical="center" wrapText="1"/>
    </xf>
    <xf numFmtId="0" fontId="1" fillId="0" borderId="0" xfId="6" applyFont="1" applyFill="1" applyAlignment="1" applyProtection="1">
      <alignment vertical="center"/>
    </xf>
    <xf numFmtId="0" fontId="23" fillId="0" borderId="31" xfId="11" applyFont="1" applyFill="1" applyBorder="1" applyAlignment="1" applyProtection="1">
      <alignment horizontal="center" vertical="center"/>
    </xf>
    <xf numFmtId="0" fontId="23" fillId="0" borderId="32" xfId="11" applyFont="1" applyFill="1" applyBorder="1" applyAlignment="1" applyProtection="1">
      <alignment horizontal="center" vertical="center"/>
    </xf>
    <xf numFmtId="0" fontId="23" fillId="0" borderId="30" xfId="11" applyFont="1" applyFill="1" applyBorder="1" applyAlignment="1" applyProtection="1">
      <alignment horizontal="center" vertical="center"/>
    </xf>
    <xf numFmtId="0" fontId="72" fillId="26" borderId="0" xfId="22" applyFont="1" applyFill="1" applyAlignment="1">
      <alignment horizontal="left" vertical="center"/>
    </xf>
    <xf numFmtId="0" fontId="7" fillId="3" borderId="311" xfId="11" applyFont="1" applyFill="1" applyBorder="1" applyAlignment="1" applyProtection="1">
      <alignment horizontal="center" vertical="center"/>
    </xf>
    <xf numFmtId="0" fontId="7" fillId="3" borderId="312" xfId="22" applyFont="1" applyFill="1" applyBorder="1"/>
    <xf numFmtId="0" fontId="0" fillId="0" borderId="279" xfId="0" applyBorder="1" applyAlignment="1">
      <alignment horizontal="center"/>
    </xf>
    <xf numFmtId="165" fontId="16" fillId="7" borderId="246" xfId="19" applyNumberFormat="1" applyFont="1" applyFill="1" applyBorder="1" applyAlignment="1" applyProtection="1">
      <alignment vertical="center"/>
    </xf>
    <xf numFmtId="165" fontId="16" fillId="4" borderId="317" xfId="19" applyNumberFormat="1" applyFont="1" applyFill="1" applyBorder="1" applyAlignment="1" applyProtection="1">
      <alignment vertical="center"/>
      <protection locked="0"/>
    </xf>
    <xf numFmtId="165" fontId="16" fillId="7" borderId="318" xfId="19" applyNumberFormat="1" applyFont="1" applyFill="1" applyBorder="1" applyAlignment="1" applyProtection="1">
      <alignment vertical="center"/>
    </xf>
    <xf numFmtId="0" fontId="0" fillId="6" borderId="0" xfId="0" applyFill="1" applyAlignment="1">
      <alignment wrapText="1"/>
    </xf>
    <xf numFmtId="0" fontId="20" fillId="0" borderId="303" xfId="0" applyFont="1" applyBorder="1" applyAlignment="1">
      <alignment horizontal="center" vertical="center"/>
    </xf>
    <xf numFmtId="0" fontId="20" fillId="0" borderId="305" xfId="0" applyFont="1" applyBorder="1" applyAlignment="1">
      <alignment horizontal="center" vertical="center"/>
    </xf>
    <xf numFmtId="0" fontId="20" fillId="0" borderId="308" xfId="0" applyFont="1" applyBorder="1" applyAlignment="1">
      <alignment horizontal="center" vertical="center"/>
    </xf>
    <xf numFmtId="0" fontId="9" fillId="0" borderId="313" xfId="0" applyFont="1" applyFill="1" applyBorder="1" applyAlignment="1">
      <alignment vertical="center"/>
    </xf>
    <xf numFmtId="0" fontId="9" fillId="0" borderId="314" xfId="0" applyFont="1" applyFill="1" applyBorder="1" applyAlignment="1">
      <alignment vertical="center"/>
    </xf>
    <xf numFmtId="0" fontId="16" fillId="0" borderId="314" xfId="0" applyFont="1" applyFill="1" applyBorder="1" applyAlignment="1">
      <alignment vertical="center"/>
    </xf>
    <xf numFmtId="0" fontId="9" fillId="0" borderId="315" xfId="0" applyFont="1" applyFill="1" applyBorder="1" applyAlignment="1">
      <alignment vertical="center"/>
    </xf>
    <xf numFmtId="0" fontId="9" fillId="0" borderId="316" xfId="0" applyFont="1" applyFill="1" applyBorder="1" applyAlignment="1">
      <alignment vertical="center"/>
    </xf>
    <xf numFmtId="0" fontId="22" fillId="0" borderId="313" xfId="0" applyFont="1" applyBorder="1" applyAlignment="1">
      <alignment horizontal="center" vertical="center"/>
    </xf>
    <xf numFmtId="0" fontId="22" fillId="0" borderId="304" xfId="0" applyFont="1" applyBorder="1" applyAlignment="1">
      <alignment horizontal="center" vertical="center"/>
    </xf>
    <xf numFmtId="0" fontId="22" fillId="0" borderId="314" xfId="0" applyFont="1" applyBorder="1" applyAlignment="1">
      <alignment horizontal="center" vertical="center"/>
    </xf>
    <xf numFmtId="0" fontId="22" fillId="0" borderId="306" xfId="0" applyFont="1" applyBorder="1" applyAlignment="1">
      <alignment horizontal="center" vertical="center"/>
    </xf>
    <xf numFmtId="6" fontId="22" fillId="0" borderId="314" xfId="0" quotePrefix="1" applyNumberFormat="1" applyFont="1" applyBorder="1" applyAlignment="1">
      <alignment horizontal="center" vertical="center"/>
    </xf>
    <xf numFmtId="0" fontId="22" fillId="0" borderId="315" xfId="0" quotePrefix="1" applyFont="1" applyBorder="1" applyAlignment="1">
      <alignment horizontal="center" vertical="center"/>
    </xf>
    <xf numFmtId="0" fontId="22" fillId="0" borderId="307" xfId="0" applyFont="1" applyBorder="1" applyAlignment="1">
      <alignment horizontal="center" vertical="center"/>
    </xf>
    <xf numFmtId="6" fontId="22" fillId="0" borderId="316" xfId="0" quotePrefix="1" applyNumberFormat="1" applyFont="1" applyBorder="1" applyAlignment="1">
      <alignment horizontal="center" vertical="center"/>
    </xf>
    <xf numFmtId="0" fontId="22" fillId="0" borderId="309" xfId="0" applyFont="1" applyBorder="1" applyAlignment="1">
      <alignment horizontal="center" vertical="center"/>
    </xf>
    <xf numFmtId="0" fontId="16" fillId="0" borderId="316" xfId="0" applyFont="1" applyFill="1" applyBorder="1" applyAlignment="1">
      <alignment vertical="center"/>
    </xf>
    <xf numFmtId="6" fontId="22" fillId="0" borderId="313" xfId="0" quotePrefix="1" applyNumberFormat="1" applyFont="1" applyBorder="1" applyAlignment="1">
      <alignment horizontal="center" vertical="center"/>
    </xf>
    <xf numFmtId="6" fontId="22" fillId="0" borderId="279" xfId="0" quotePrefix="1" applyNumberFormat="1" applyFont="1" applyBorder="1" applyAlignment="1">
      <alignment horizontal="center" vertical="center"/>
    </xf>
    <xf numFmtId="0" fontId="22" fillId="0" borderId="310" xfId="0" applyFont="1" applyBorder="1" applyAlignment="1">
      <alignment horizontal="center" vertical="center"/>
    </xf>
    <xf numFmtId="165" fontId="58" fillId="16" borderId="7" xfId="20" applyNumberFormat="1" applyFont="1" applyFill="1" applyBorder="1" applyAlignment="1" applyProtection="1">
      <alignment vertical="center"/>
      <protection locked="0"/>
    </xf>
    <xf numFmtId="165" fontId="58" fillId="16" borderId="10" xfId="20" applyNumberFormat="1" applyFont="1" applyFill="1" applyBorder="1" applyAlignment="1" applyProtection="1">
      <alignment vertical="center"/>
      <protection locked="0"/>
    </xf>
    <xf numFmtId="165" fontId="58" fillId="17" borderId="9" xfId="6" applyNumberFormat="1" applyFont="1" applyFill="1" applyBorder="1" applyAlignment="1" applyProtection="1">
      <alignment vertical="center"/>
    </xf>
    <xf numFmtId="165" fontId="58" fillId="17" borderId="10" xfId="6" applyNumberFormat="1" applyFont="1" applyFill="1" applyBorder="1" applyAlignment="1" applyProtection="1">
      <alignment vertical="center"/>
    </xf>
    <xf numFmtId="165" fontId="58" fillId="17" borderId="13" xfId="6" applyNumberFormat="1" applyFont="1" applyFill="1" applyBorder="1" applyAlignment="1" applyProtection="1">
      <alignment vertical="center"/>
    </xf>
    <xf numFmtId="165" fontId="23" fillId="17" borderId="13" xfId="11" applyNumberFormat="1" applyFont="1" applyFill="1" applyBorder="1" applyProtection="1"/>
    <xf numFmtId="172" fontId="16" fillId="28" borderId="13" xfId="19" applyNumberFormat="1" applyFont="1" applyFill="1" applyBorder="1" applyAlignment="1" applyProtection="1">
      <alignment vertical="center"/>
    </xf>
    <xf numFmtId="1" fontId="0" fillId="0" borderId="0" xfId="0" applyNumberFormat="1" applyBorder="1"/>
    <xf numFmtId="165" fontId="16" fillId="27" borderId="31" xfId="19" applyNumberFormat="1" applyFont="1" applyFill="1" applyBorder="1" applyAlignment="1" applyProtection="1">
      <alignment vertical="center"/>
      <protection locked="0"/>
    </xf>
    <xf numFmtId="165" fontId="16" fillId="27" borderId="32" xfId="19" applyNumberFormat="1" applyFont="1" applyFill="1" applyBorder="1" applyAlignment="1" applyProtection="1">
      <alignment vertical="center"/>
      <protection locked="0"/>
    </xf>
    <xf numFmtId="1" fontId="16" fillId="27" borderId="32" xfId="19" applyNumberFormat="1" applyFont="1" applyFill="1" applyBorder="1" applyAlignment="1" applyProtection="1">
      <alignment vertical="center"/>
      <protection locked="0"/>
    </xf>
    <xf numFmtId="1" fontId="16" fillId="4" borderId="30" xfId="19" applyNumberFormat="1" applyFont="1" applyFill="1" applyBorder="1" applyAlignment="1" applyProtection="1">
      <alignment vertical="center"/>
      <protection locked="0"/>
    </xf>
    <xf numFmtId="0" fontId="7" fillId="3" borderId="14" xfId="9" applyNumberFormat="1" applyFont="1" applyFill="1" applyBorder="1" applyAlignment="1" applyProtection="1">
      <alignment horizontal="center" vertical="center" wrapText="1"/>
    </xf>
    <xf numFmtId="0" fontId="7" fillId="3" borderId="15" xfId="9" applyNumberFormat="1" applyFont="1" applyFill="1" applyBorder="1" applyAlignment="1" applyProtection="1">
      <alignment horizontal="center" vertical="center" wrapText="1"/>
    </xf>
    <xf numFmtId="0" fontId="7" fillId="3" borderId="16" xfId="9" applyNumberFormat="1" applyFont="1" applyFill="1" applyBorder="1" applyAlignment="1" applyProtection="1">
      <alignment horizontal="center" vertical="center" wrapText="1"/>
    </xf>
    <xf numFmtId="0" fontId="7" fillId="3" borderId="5" xfId="9" applyNumberFormat="1" applyFont="1" applyFill="1" applyBorder="1" applyAlignment="1" applyProtection="1">
      <alignment horizontal="center" vertical="center" wrapText="1"/>
    </xf>
    <xf numFmtId="0" fontId="7" fillId="3" borderId="6" xfId="9" applyNumberFormat="1" applyFont="1" applyFill="1" applyBorder="1" applyAlignment="1" applyProtection="1">
      <alignment horizontal="center" vertical="center" wrapText="1"/>
    </xf>
    <xf numFmtId="0" fontId="7" fillId="3" borderId="7" xfId="9" applyNumberFormat="1" applyFont="1" applyFill="1" applyBorder="1" applyAlignment="1" applyProtection="1">
      <alignment horizontal="center" vertical="center" wrapText="1"/>
    </xf>
    <xf numFmtId="0" fontId="25" fillId="0" borderId="0" xfId="9" applyFont="1" applyFill="1" applyBorder="1" applyAlignment="1" applyProtection="1">
      <alignment vertical="center"/>
    </xf>
    <xf numFmtId="0" fontId="22" fillId="0" borderId="36" xfId="0" applyFont="1" applyBorder="1" applyAlignment="1">
      <alignment horizontal="center" vertical="center"/>
    </xf>
    <xf numFmtId="0" fontId="22" fillId="0" borderId="38" xfId="0" applyFont="1" applyBorder="1" applyAlignment="1">
      <alignment horizontal="center" vertical="center"/>
    </xf>
    <xf numFmtId="2" fontId="23" fillId="4" borderId="31" xfId="9" applyNumberFormat="1" applyFont="1" applyFill="1" applyBorder="1" applyAlignment="1" applyProtection="1">
      <alignment horizontal="right"/>
      <protection locked="0"/>
    </xf>
    <xf numFmtId="0" fontId="59" fillId="0" borderId="6" xfId="0" applyFont="1" applyBorder="1" applyAlignment="1">
      <alignment vertical="center" wrapText="1"/>
    </xf>
    <xf numFmtId="0" fontId="74" fillId="0" borderId="0" xfId="0" applyFont="1" applyFill="1" applyBorder="1" applyAlignment="1">
      <alignment horizontal="left" vertical="center" wrapText="1"/>
    </xf>
    <xf numFmtId="0" fontId="2" fillId="0" borderId="0" xfId="14" applyFont="1"/>
    <xf numFmtId="1" fontId="20" fillId="6" borderId="0" xfId="6" applyNumberFormat="1" applyFont="1" applyFill="1" applyAlignment="1" applyProtection="1">
      <alignment horizontal="center" vertical="center"/>
    </xf>
    <xf numFmtId="0" fontId="0" fillId="0" borderId="0" xfId="0" applyFill="1" applyBorder="1"/>
    <xf numFmtId="0" fontId="23" fillId="4" borderId="7" xfId="11" applyNumberFormat="1" applyFont="1" applyFill="1" applyBorder="1" applyAlignment="1" applyProtection="1">
      <alignment horizontal="left" vertical="center" wrapText="1"/>
      <protection locked="0"/>
    </xf>
    <xf numFmtId="0" fontId="23" fillId="4" borderId="10" xfId="11" applyNumberFormat="1" applyFont="1" applyFill="1" applyBorder="1" applyAlignment="1" applyProtection="1">
      <alignment horizontal="left" vertical="center" wrapText="1"/>
      <protection locked="0"/>
    </xf>
    <xf numFmtId="171" fontId="16" fillId="4" borderId="31" xfId="2" applyNumberFormat="1" applyFont="1" applyFill="1" applyBorder="1" applyAlignment="1" applyProtection="1">
      <alignment vertical="center" wrapText="1"/>
      <protection locked="0"/>
    </xf>
    <xf numFmtId="171" fontId="16" fillId="4" borderId="49" xfId="2" applyNumberFormat="1" applyFont="1" applyFill="1" applyBorder="1" applyAlignment="1" applyProtection="1">
      <alignment vertical="center" wrapText="1"/>
      <protection locked="0"/>
    </xf>
    <xf numFmtId="171" fontId="16" fillId="4" borderId="32" xfId="2" applyNumberFormat="1" applyFont="1" applyFill="1" applyBorder="1" applyAlignment="1" applyProtection="1">
      <alignment vertical="center" wrapText="1"/>
      <protection locked="0"/>
    </xf>
    <xf numFmtId="171" fontId="16" fillId="4" borderId="30" xfId="2" applyNumberFormat="1" applyFont="1" applyFill="1" applyBorder="1" applyAlignment="1" applyProtection="1">
      <alignment vertical="center" wrapText="1"/>
      <protection locked="0"/>
    </xf>
    <xf numFmtId="165" fontId="16" fillId="4" borderId="31" xfId="19" applyNumberFormat="1" applyFont="1" applyFill="1" applyBorder="1" applyAlignment="1" applyProtection="1">
      <alignment vertical="center" wrapText="1"/>
      <protection locked="0"/>
    </xf>
    <xf numFmtId="165" fontId="16" fillId="4" borderId="32" xfId="19" applyNumberFormat="1" applyFont="1" applyFill="1" applyBorder="1" applyAlignment="1" applyProtection="1">
      <alignment vertical="center" wrapText="1"/>
      <protection locked="0"/>
    </xf>
    <xf numFmtId="165" fontId="16" fillId="4" borderId="109" xfId="19" applyNumberFormat="1" applyFont="1" applyFill="1" applyBorder="1" applyAlignment="1" applyProtection="1">
      <alignment vertical="center" wrapText="1"/>
      <protection locked="0"/>
    </xf>
    <xf numFmtId="165" fontId="16" fillId="4" borderId="30" xfId="19" applyNumberFormat="1" applyFont="1" applyFill="1" applyBorder="1" applyAlignment="1" applyProtection="1">
      <alignment vertical="center" wrapText="1"/>
      <protection locked="0"/>
    </xf>
    <xf numFmtId="1" fontId="16" fillId="4" borderId="31" xfId="19" applyNumberFormat="1" applyFont="1" applyFill="1" applyBorder="1" applyAlignment="1" applyProtection="1">
      <alignment vertical="center" wrapText="1"/>
      <protection locked="0"/>
    </xf>
    <xf numFmtId="1" fontId="16" fillId="4" borderId="32" xfId="19" applyNumberFormat="1" applyFont="1" applyFill="1" applyBorder="1" applyAlignment="1" applyProtection="1">
      <alignment vertical="center" wrapText="1"/>
      <protection locked="0"/>
    </xf>
    <xf numFmtId="171" fontId="16" fillId="4" borderId="1" xfId="19" applyNumberFormat="1" applyFont="1" applyFill="1" applyBorder="1" applyAlignment="1" applyProtection="1">
      <alignment vertical="center" wrapText="1"/>
      <protection locked="0"/>
    </xf>
    <xf numFmtId="171" fontId="16" fillId="4" borderId="31" xfId="19" applyNumberFormat="1" applyFont="1" applyFill="1" applyBorder="1" applyAlignment="1" applyProtection="1">
      <alignment vertical="center" wrapText="1"/>
      <protection locked="0"/>
    </xf>
    <xf numFmtId="171" fontId="16" fillId="4" borderId="32" xfId="19" applyNumberFormat="1" applyFont="1" applyFill="1" applyBorder="1" applyAlignment="1" applyProtection="1">
      <alignment vertical="center" wrapText="1"/>
      <protection locked="0"/>
    </xf>
    <xf numFmtId="171" fontId="16" fillId="4" borderId="30" xfId="19" applyNumberFormat="1" applyFont="1" applyFill="1" applyBorder="1" applyAlignment="1" applyProtection="1">
      <alignment vertical="center" wrapText="1"/>
      <protection locked="0"/>
    </xf>
    <xf numFmtId="171" fontId="16" fillId="4" borderId="18" xfId="19" applyNumberFormat="1" applyFont="1" applyFill="1" applyBorder="1" applyAlignment="1" applyProtection="1">
      <alignment vertical="center" wrapText="1"/>
      <protection locked="0"/>
    </xf>
    <xf numFmtId="171" fontId="16" fillId="4" borderId="49" xfId="19" applyNumberFormat="1" applyFont="1" applyFill="1" applyBorder="1" applyAlignment="1" applyProtection="1">
      <alignment vertical="center" wrapText="1"/>
      <protection locked="0"/>
    </xf>
    <xf numFmtId="172" fontId="16" fillId="27" borderId="24" xfId="19" applyNumberFormat="1" applyFont="1" applyFill="1" applyBorder="1" applyAlignment="1" applyProtection="1">
      <alignment vertical="center" wrapText="1"/>
      <protection locked="0"/>
    </xf>
    <xf numFmtId="172" fontId="16" fillId="27" borderId="26" xfId="19" applyNumberFormat="1" applyFont="1" applyFill="1" applyBorder="1" applyAlignment="1" applyProtection="1">
      <alignment vertical="center" wrapText="1"/>
      <protection locked="0"/>
    </xf>
    <xf numFmtId="172" fontId="16" fillId="27" borderId="115" xfId="19" applyNumberFormat="1" applyFont="1" applyFill="1" applyBorder="1" applyAlignment="1" applyProtection="1">
      <alignment vertical="center" wrapText="1"/>
      <protection locked="0"/>
    </xf>
    <xf numFmtId="172" fontId="16" fillId="27" borderId="27" xfId="19" applyNumberFormat="1" applyFont="1" applyFill="1" applyBorder="1" applyAlignment="1" applyProtection="1">
      <alignment vertical="center" wrapText="1"/>
      <protection locked="0"/>
    </xf>
    <xf numFmtId="171" fontId="16" fillId="4" borderId="18" xfId="2" applyNumberFormat="1" applyFont="1" applyFill="1" applyBorder="1" applyAlignment="1" applyProtection="1">
      <alignment vertical="center" wrapText="1"/>
      <protection locked="0"/>
    </xf>
    <xf numFmtId="171" fontId="16" fillId="4" borderId="24" xfId="2" applyNumberFormat="1" applyFont="1" applyFill="1" applyBorder="1" applyAlignment="1" applyProtection="1">
      <alignment vertical="center" wrapText="1"/>
      <protection locked="0"/>
    </xf>
    <xf numFmtId="171" fontId="16" fillId="4" borderId="26" xfId="2" applyNumberFormat="1" applyFont="1" applyFill="1" applyBorder="1" applyAlignment="1" applyProtection="1">
      <alignment vertical="center" wrapText="1"/>
      <protection locked="0"/>
    </xf>
    <xf numFmtId="171" fontId="16" fillId="4" borderId="27" xfId="2" applyNumberFormat="1" applyFont="1" applyFill="1" applyBorder="1" applyAlignment="1" applyProtection="1">
      <alignment vertical="center" wrapText="1"/>
      <protection locked="0"/>
    </xf>
    <xf numFmtId="1" fontId="16" fillId="4" borderId="241" xfId="19" applyNumberFormat="1" applyFont="1" applyFill="1" applyBorder="1" applyAlignment="1" applyProtection="1">
      <alignment vertical="center" wrapText="1"/>
      <protection locked="0"/>
    </xf>
    <xf numFmtId="1" fontId="16" fillId="4" borderId="250" xfId="19" applyNumberFormat="1" applyFont="1" applyFill="1" applyBorder="1" applyAlignment="1" applyProtection="1">
      <alignment vertical="center" wrapText="1"/>
      <protection locked="0"/>
    </xf>
    <xf numFmtId="1" fontId="16" fillId="4" borderId="253" xfId="19" applyNumberFormat="1" applyFont="1" applyFill="1" applyBorder="1" applyAlignment="1" applyProtection="1">
      <alignment vertical="center" wrapText="1"/>
      <protection locked="0"/>
    </xf>
    <xf numFmtId="1" fontId="16" fillId="4" borderId="260" xfId="19" applyNumberFormat="1" applyFont="1" applyFill="1" applyBorder="1" applyAlignment="1" applyProtection="1">
      <alignment vertical="center" wrapText="1"/>
      <protection locked="0"/>
    </xf>
    <xf numFmtId="1" fontId="16" fillId="4" borderId="264" xfId="19" applyNumberFormat="1" applyFont="1" applyFill="1" applyBorder="1" applyAlignment="1" applyProtection="1">
      <alignment vertical="center" wrapText="1"/>
      <protection locked="0"/>
    </xf>
    <xf numFmtId="1" fontId="16" fillId="4" borderId="243" xfId="19" applyNumberFormat="1" applyFont="1" applyFill="1" applyBorder="1" applyAlignment="1" applyProtection="1">
      <alignment vertical="center" wrapText="1"/>
      <protection locked="0"/>
    </xf>
    <xf numFmtId="1" fontId="16" fillId="4" borderId="254" xfId="19" applyNumberFormat="1" applyFont="1" applyFill="1" applyBorder="1" applyAlignment="1" applyProtection="1">
      <alignment vertical="center" wrapText="1"/>
      <protection locked="0"/>
    </xf>
    <xf numFmtId="1" fontId="16" fillId="4" borderId="256" xfId="19" applyNumberFormat="1" applyFont="1" applyFill="1" applyBorder="1" applyAlignment="1" applyProtection="1">
      <alignment vertical="center" wrapText="1"/>
      <protection locked="0"/>
    </xf>
    <xf numFmtId="1" fontId="16" fillId="4" borderId="234" xfId="19" applyNumberFormat="1" applyFont="1" applyFill="1" applyBorder="1" applyAlignment="1" applyProtection="1">
      <alignment vertical="center" wrapText="1"/>
      <protection locked="0"/>
    </xf>
    <xf numFmtId="0" fontId="12" fillId="0" borderId="180" xfId="11" applyFont="1" applyFill="1" applyBorder="1" applyAlignment="1" applyProtection="1">
      <alignment vertical="top"/>
    </xf>
    <xf numFmtId="0" fontId="23" fillId="0" borderId="183" xfId="11" applyFont="1" applyFill="1" applyBorder="1" applyAlignment="1" applyProtection="1">
      <alignment vertical="top"/>
    </xf>
    <xf numFmtId="0" fontId="23" fillId="0" borderId="186" xfId="11" applyFont="1" applyFill="1" applyBorder="1" applyAlignment="1" applyProtection="1">
      <alignment vertical="top"/>
    </xf>
    <xf numFmtId="0" fontId="23" fillId="0" borderId="186" xfId="11" applyNumberFormat="1" applyFont="1" applyFill="1" applyBorder="1" applyAlignment="1" applyProtection="1">
      <alignment vertical="top"/>
    </xf>
    <xf numFmtId="0" fontId="23" fillId="0" borderId="189" xfId="11" applyNumberFormat="1" applyFont="1" applyFill="1" applyBorder="1" applyAlignment="1" applyProtection="1">
      <alignment vertical="top"/>
    </xf>
    <xf numFmtId="0" fontId="23" fillId="0" borderId="190" xfId="11" applyNumberFormat="1" applyFont="1" applyFill="1" applyBorder="1" applyAlignment="1" applyProtection="1">
      <alignment vertical="top"/>
    </xf>
    <xf numFmtId="0" fontId="23" fillId="0" borderId="189" xfId="11" applyNumberFormat="1" applyFont="1" applyFill="1" applyBorder="1" applyAlignment="1" applyProtection="1">
      <alignment horizontal="right" vertical="top"/>
    </xf>
    <xf numFmtId="0" fontId="48" fillId="0" borderId="0" xfId="14" applyFont="1" applyBorder="1" applyAlignment="1" applyProtection="1">
      <alignment vertical="center"/>
    </xf>
    <xf numFmtId="0" fontId="4" fillId="2" borderId="0" xfId="14" applyFont="1" applyFill="1" applyBorder="1" applyAlignment="1" applyProtection="1">
      <alignment horizontal="left" vertical="center"/>
    </xf>
    <xf numFmtId="0" fontId="4" fillId="2" borderId="0" xfId="14" applyFont="1" applyFill="1" applyBorder="1" applyAlignment="1" applyProtection="1">
      <alignment vertical="center" wrapText="1"/>
    </xf>
    <xf numFmtId="0" fontId="49" fillId="2" borderId="0" xfId="14" applyFont="1" applyFill="1" applyBorder="1" applyAlignment="1" applyProtection="1">
      <alignment horizontal="left" vertical="center"/>
    </xf>
    <xf numFmtId="0" fontId="50" fillId="2" borderId="0" xfId="14" applyFont="1" applyFill="1" applyBorder="1" applyAlignment="1" applyProtection="1">
      <alignment horizontal="left" vertical="center"/>
    </xf>
    <xf numFmtId="0" fontId="48" fillId="2" borderId="0" xfId="14" applyFont="1" applyFill="1" applyBorder="1" applyAlignment="1" applyProtection="1">
      <alignment vertical="center"/>
    </xf>
    <xf numFmtId="0" fontId="48" fillId="2" borderId="0" xfId="14" applyFont="1" applyFill="1" applyAlignment="1" applyProtection="1">
      <alignment vertical="center"/>
    </xf>
    <xf numFmtId="0" fontId="48" fillId="0" borderId="0" xfId="14" applyFont="1" applyProtection="1"/>
    <xf numFmtId="49" fontId="24" fillId="3" borderId="145" xfId="14" applyNumberFormat="1" applyFont="1" applyFill="1" applyBorder="1" applyAlignment="1" applyProtection="1">
      <alignment horizontal="centerContinuous" vertical="center"/>
    </xf>
    <xf numFmtId="0" fontId="0" fillId="3" borderId="146" xfId="0" applyFill="1" applyBorder="1" applyAlignment="1" applyProtection="1">
      <alignment horizontal="centerContinuous" vertical="center"/>
    </xf>
    <xf numFmtId="49" fontId="5" fillId="4" borderId="147" xfId="14" applyNumberFormat="1" applyFont="1" applyFill="1" applyBorder="1" applyAlignment="1" applyProtection="1">
      <alignment horizontal="center" vertical="center"/>
    </xf>
    <xf numFmtId="0" fontId="1" fillId="4" borderId="148" xfId="0" applyFont="1" applyFill="1" applyBorder="1" applyAlignment="1" applyProtection="1">
      <alignment horizontal="center" vertical="center"/>
      <protection locked="0"/>
    </xf>
    <xf numFmtId="0" fontId="12" fillId="0" borderId="0" xfId="14" applyFont="1" applyAlignment="1" applyProtection="1">
      <alignment vertical="center"/>
    </xf>
    <xf numFmtId="0" fontId="7" fillId="3" borderId="60" xfId="14" applyFont="1" applyFill="1" applyBorder="1" applyAlignment="1" applyProtection="1">
      <alignment horizontal="centerContinuous" vertical="center"/>
    </xf>
    <xf numFmtId="0" fontId="7" fillId="3" borderId="34" xfId="14" applyFont="1" applyFill="1" applyBorder="1" applyAlignment="1" applyProtection="1">
      <alignment horizontal="centerContinuous" vertical="center"/>
    </xf>
    <xf numFmtId="0" fontId="7" fillId="3" borderId="35" xfId="14" applyFont="1" applyFill="1" applyBorder="1" applyAlignment="1" applyProtection="1">
      <alignment horizontal="centerContinuous" vertical="center"/>
    </xf>
    <xf numFmtId="0" fontId="7" fillId="3" borderId="2" xfId="14" applyNumberFormat="1" applyFont="1" applyFill="1" applyBorder="1" applyAlignment="1" applyProtection="1">
      <alignment horizontal="centerContinuous" vertical="center"/>
    </xf>
    <xf numFmtId="0" fontId="7" fillId="3" borderId="3" xfId="14" applyNumberFormat="1" applyFont="1" applyFill="1" applyBorder="1" applyAlignment="1" applyProtection="1">
      <alignment horizontal="centerContinuous" vertical="center"/>
    </xf>
    <xf numFmtId="0" fontId="7" fillId="3" borderId="4" xfId="14" applyNumberFormat="1" applyFont="1" applyFill="1" applyBorder="1" applyAlignment="1" applyProtection="1">
      <alignment horizontal="centerContinuous" vertical="center"/>
    </xf>
    <xf numFmtId="0" fontId="30" fillId="0" borderId="0" xfId="14" applyFont="1" applyBorder="1" applyAlignment="1" applyProtection="1">
      <alignment horizontal="left" vertical="center" wrapText="1"/>
    </xf>
    <xf numFmtId="0" fontId="30" fillId="0" borderId="0" xfId="14" applyNumberFormat="1" applyFont="1" applyBorder="1" applyAlignment="1" applyProtection="1">
      <alignment horizontal="center" vertical="top" wrapText="1"/>
    </xf>
    <xf numFmtId="0" fontId="48" fillId="0" borderId="0" xfId="14" applyNumberFormat="1" applyFont="1" applyAlignment="1" applyProtection="1">
      <alignment horizontal="center" vertical="top" wrapText="1"/>
    </xf>
    <xf numFmtId="0" fontId="7" fillId="3" borderId="14" xfId="14" applyNumberFormat="1" applyFont="1" applyFill="1" applyBorder="1" applyAlignment="1" applyProtection="1">
      <alignment horizontal="centerContinuous" vertical="center"/>
    </xf>
    <xf numFmtId="0" fontId="7" fillId="3" borderId="15" xfId="14" applyNumberFormat="1" applyFont="1" applyFill="1" applyBorder="1" applyAlignment="1" applyProtection="1">
      <alignment horizontal="centerContinuous" vertical="center"/>
    </xf>
    <xf numFmtId="0" fontId="7" fillId="3" borderId="16"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xf>
    <xf numFmtId="0" fontId="7" fillId="3" borderId="6" xfId="14" applyNumberFormat="1" applyFont="1" applyFill="1" applyBorder="1" applyAlignment="1" applyProtection="1">
      <alignment horizontal="centerContinuous" vertical="center"/>
    </xf>
    <xf numFmtId="0" fontId="7" fillId="3" borderId="7" xfId="14" applyNumberFormat="1" applyFont="1" applyFill="1" applyBorder="1" applyAlignment="1" applyProtection="1">
      <alignment horizontal="centerContinuous" vertical="center"/>
    </xf>
    <xf numFmtId="0" fontId="7" fillId="3" borderId="54"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wrapText="1"/>
    </xf>
    <xf numFmtId="0" fontId="12" fillId="0" borderId="0" xfId="14" applyFont="1" applyAlignment="1" applyProtection="1">
      <alignment horizontal="center" vertical="center" wrapText="1"/>
    </xf>
    <xf numFmtId="0" fontId="52" fillId="0" borderId="0" xfId="14" applyFont="1" applyBorder="1" applyAlignment="1" applyProtection="1">
      <alignment horizontal="center" vertical="center" wrapText="1"/>
    </xf>
    <xf numFmtId="0" fontId="35" fillId="3" borderId="131" xfId="14" applyNumberFormat="1" applyFont="1" applyFill="1" applyBorder="1" applyAlignment="1" applyProtection="1">
      <alignment horizontal="centerContinuous" vertical="center" wrapText="1"/>
    </xf>
    <xf numFmtId="0" fontId="7" fillId="3" borderId="110" xfId="14" applyNumberFormat="1" applyFont="1" applyFill="1" applyBorder="1" applyAlignment="1" applyProtection="1">
      <alignment horizontal="centerContinuous" vertical="center" wrapText="1"/>
    </xf>
    <xf numFmtId="0" fontId="7" fillId="3" borderId="22" xfId="14" applyNumberFormat="1" applyFont="1" applyFill="1" applyBorder="1" applyAlignment="1" applyProtection="1">
      <alignment horizontal="centerContinuous" vertical="center" wrapText="1"/>
    </xf>
    <xf numFmtId="0" fontId="7" fillId="3" borderId="15" xfId="14" applyFont="1" applyFill="1" applyBorder="1" applyAlignment="1" applyProtection="1">
      <alignment horizontal="left" vertical="center"/>
    </xf>
    <xf numFmtId="170" fontId="23" fillId="0" borderId="9" xfId="9" applyNumberFormat="1" applyFont="1" applyFill="1" applyBorder="1" applyAlignment="1" applyProtection="1">
      <alignment horizontal="center" vertical="center"/>
      <protection locked="0"/>
    </xf>
    <xf numFmtId="170" fontId="23" fillId="4" borderId="9" xfId="9" applyNumberFormat="1" applyFont="1" applyFill="1" applyBorder="1" applyAlignment="1" applyProtection="1">
      <alignment horizontal="center" vertical="center"/>
      <protection locked="0"/>
    </xf>
    <xf numFmtId="170" fontId="23" fillId="0" borderId="38" xfId="9" applyNumberFormat="1" applyFont="1" applyFill="1" applyBorder="1" applyAlignment="1" applyProtection="1">
      <alignment horizontal="center" vertical="center"/>
    </xf>
    <xf numFmtId="0" fontId="23" fillId="0" borderId="8" xfId="9" applyNumberFormat="1" applyFont="1" applyFill="1" applyBorder="1" applyAlignment="1" applyProtection="1">
      <alignment horizontal="center" vertical="center"/>
      <protection locked="0"/>
    </xf>
    <xf numFmtId="0" fontId="23" fillId="4" borderId="9" xfId="9" applyNumberFormat="1" applyFont="1" applyFill="1" applyBorder="1" applyAlignment="1" applyProtection="1">
      <alignment horizontal="center" vertical="center"/>
      <protection locked="0"/>
    </xf>
    <xf numFmtId="0" fontId="23" fillId="0" borderId="10" xfId="9" applyNumberFormat="1" applyFont="1" applyFill="1" applyBorder="1" applyAlignment="1" applyProtection="1">
      <alignment horizontal="center" vertical="center"/>
    </xf>
    <xf numFmtId="170" fontId="23" fillId="0" borderId="12" xfId="9" applyNumberFormat="1" applyFont="1" applyFill="1" applyBorder="1" applyAlignment="1" applyProtection="1">
      <alignment horizontal="center" vertical="center"/>
      <protection locked="0"/>
    </xf>
    <xf numFmtId="170" fontId="23" fillId="4" borderId="12" xfId="9" applyNumberFormat="1" applyFont="1" applyFill="1" applyBorder="1" applyAlignment="1" applyProtection="1">
      <alignment horizontal="center" vertical="center"/>
      <protection locked="0"/>
    </xf>
    <xf numFmtId="170" fontId="23" fillId="0" borderId="40" xfId="9" applyNumberFormat="1" applyFont="1" applyFill="1" applyBorder="1" applyAlignment="1" applyProtection="1">
      <alignment horizontal="center" vertical="center"/>
    </xf>
    <xf numFmtId="0" fontId="23" fillId="0" borderId="11" xfId="9" applyNumberFormat="1" applyFont="1" applyFill="1" applyBorder="1" applyAlignment="1" applyProtection="1">
      <alignment horizontal="center" vertical="center"/>
      <protection locked="0"/>
    </xf>
    <xf numFmtId="0" fontId="23" fillId="4" borderId="12" xfId="9" applyNumberFormat="1" applyFont="1" applyFill="1" applyBorder="1" applyAlignment="1" applyProtection="1">
      <alignment horizontal="center" vertical="center"/>
      <protection locked="0"/>
    </xf>
    <xf numFmtId="0" fontId="23" fillId="0" borderId="13" xfId="9" applyNumberFormat="1" applyFont="1" applyFill="1" applyBorder="1" applyAlignment="1" applyProtection="1">
      <alignment horizontal="center" vertical="center"/>
    </xf>
    <xf numFmtId="0" fontId="0" fillId="0" borderId="0" xfId="0" applyNumberFormat="1" applyProtection="1"/>
    <xf numFmtId="0" fontId="12" fillId="0" borderId="0" xfId="14" applyFont="1" applyAlignment="1" applyProtection="1">
      <alignment horizontal="center" vertical="top" wrapText="1"/>
    </xf>
    <xf numFmtId="0" fontId="7" fillId="3" borderId="11" xfId="14" applyNumberFormat="1" applyFont="1" applyFill="1" applyBorder="1" applyAlignment="1" applyProtection="1">
      <alignment horizontal="centerContinuous" vertical="center"/>
    </xf>
    <xf numFmtId="0" fontId="7" fillId="3" borderId="12" xfId="14" applyNumberFormat="1" applyFont="1" applyFill="1" applyBorder="1" applyAlignment="1" applyProtection="1">
      <alignment horizontal="centerContinuous" vertical="center"/>
    </xf>
    <xf numFmtId="0" fontId="7" fillId="3" borderId="13" xfId="14" applyNumberFormat="1" applyFont="1" applyFill="1" applyBorder="1" applyAlignment="1" applyProtection="1">
      <alignment horizontal="centerContinuous" vertical="center"/>
    </xf>
    <xf numFmtId="173" fontId="23" fillId="0" borderId="12" xfId="9" applyNumberFormat="1" applyFont="1" applyFill="1" applyBorder="1" applyAlignment="1" applyProtection="1">
      <alignment horizontal="center" vertical="center"/>
      <protection locked="0"/>
    </xf>
    <xf numFmtId="173" fontId="23" fillId="0" borderId="40" xfId="9" applyNumberFormat="1" applyFont="1" applyFill="1" applyBorder="1" applyAlignment="1" applyProtection="1">
      <alignment horizontal="center" vertical="center"/>
    </xf>
    <xf numFmtId="169" fontId="23" fillId="0" borderId="12" xfId="9" applyNumberFormat="1" applyFont="1" applyFill="1" applyBorder="1" applyAlignment="1" applyProtection="1">
      <alignment horizontal="center" vertical="center"/>
      <protection locked="0"/>
    </xf>
    <xf numFmtId="10" fontId="23" fillId="0" borderId="12" xfId="9" applyNumberFormat="1" applyFont="1" applyFill="1" applyBorder="1" applyAlignment="1" applyProtection="1">
      <alignment horizontal="center" vertical="center"/>
      <protection locked="0"/>
    </xf>
    <xf numFmtId="10" fontId="23" fillId="4" borderId="12" xfId="9" applyNumberFormat="1" applyFont="1" applyFill="1" applyBorder="1" applyAlignment="1" applyProtection="1">
      <alignment horizontal="center" vertical="center"/>
      <protection locked="0"/>
    </xf>
    <xf numFmtId="3" fontId="23" fillId="0" borderId="12" xfId="9" applyNumberFormat="1" applyFont="1" applyFill="1" applyBorder="1" applyAlignment="1" applyProtection="1">
      <alignment horizontal="center" vertical="center"/>
      <protection locked="0"/>
    </xf>
    <xf numFmtId="10" fontId="23" fillId="0" borderId="13" xfId="9" applyNumberFormat="1" applyFont="1" applyFill="1" applyBorder="1" applyAlignment="1" applyProtection="1">
      <alignment horizontal="center" vertical="center"/>
    </xf>
    <xf numFmtId="169" fontId="12" fillId="0" borderId="0" xfId="14" applyNumberFormat="1" applyFont="1" applyFill="1" applyBorder="1" applyAlignment="1" applyProtection="1">
      <alignment horizontal="center" vertical="top" wrapText="1"/>
    </xf>
    <xf numFmtId="0" fontId="7" fillId="3" borderId="11" xfId="14" applyNumberFormat="1" applyFont="1" applyFill="1" applyBorder="1" applyAlignment="1" applyProtection="1">
      <alignment horizontal="centerContinuous" vertical="center" wrapText="1"/>
    </xf>
    <xf numFmtId="0" fontId="23" fillId="4" borderId="9" xfId="9" applyFont="1" applyFill="1" applyBorder="1" applyProtection="1"/>
    <xf numFmtId="49" fontId="1" fillId="0" borderId="0" xfId="16" applyNumberFormat="1" applyBorder="1" applyAlignment="1" applyProtection="1">
      <alignment horizontal="center" vertical="top" wrapText="1"/>
    </xf>
    <xf numFmtId="49" fontId="1" fillId="0" borderId="0" xfId="16" applyNumberFormat="1" applyBorder="1" applyAlignment="1" applyProtection="1">
      <alignment horizontal="left" vertical="top" wrapText="1"/>
    </xf>
    <xf numFmtId="0" fontId="24" fillId="3" borderId="33" xfId="9" applyFont="1" applyFill="1" applyBorder="1" applyAlignment="1" applyProtection="1">
      <alignment horizontal="left" vertical="center"/>
    </xf>
    <xf numFmtId="49" fontId="9" fillId="0" borderId="0" xfId="16" applyNumberFormat="1" applyFont="1" applyBorder="1" applyAlignment="1" applyProtection="1">
      <alignment horizontal="center" vertical="top" wrapText="1"/>
    </xf>
    <xf numFmtId="49" fontId="9" fillId="0" borderId="0" xfId="16" applyNumberFormat="1" applyFont="1" applyBorder="1" applyAlignment="1" applyProtection="1">
      <alignment horizontal="left" vertical="top" wrapText="1"/>
    </xf>
    <xf numFmtId="49" fontId="9" fillId="0" borderId="149" xfId="16" applyNumberFormat="1" applyFont="1" applyBorder="1" applyAlignment="1" applyProtection="1">
      <alignment horizontal="center" vertical="top" wrapText="1"/>
    </xf>
    <xf numFmtId="49" fontId="9" fillId="0" borderId="150" xfId="16" applyNumberFormat="1" applyFont="1" applyBorder="1" applyAlignment="1" applyProtection="1">
      <alignment horizontal="left" vertical="top" wrapText="1"/>
    </xf>
    <xf numFmtId="49" fontId="9" fillId="0" borderId="151" xfId="16" applyNumberFormat="1" applyFont="1" applyBorder="1" applyAlignment="1" applyProtection="1">
      <alignment horizontal="center" vertical="top" wrapText="1"/>
    </xf>
    <xf numFmtId="49" fontId="9" fillId="0" borderId="152" xfId="16" applyNumberFormat="1" applyFont="1" applyBorder="1" applyAlignment="1" applyProtection="1">
      <alignment horizontal="left" vertical="top" wrapText="1"/>
    </xf>
    <xf numFmtId="49" fontId="9" fillId="0" borderId="153" xfId="16" applyNumberFormat="1" applyFont="1" applyBorder="1" applyAlignment="1" applyProtection="1">
      <alignment horizontal="center" vertical="top" wrapText="1"/>
    </xf>
    <xf numFmtId="0" fontId="9" fillId="0" borderId="154" xfId="16" applyNumberFormat="1" applyFont="1" applyBorder="1" applyAlignment="1" applyProtection="1">
      <alignment horizontal="left" vertical="top" wrapText="1"/>
    </xf>
    <xf numFmtId="0" fontId="0" fillId="0" borderId="0" xfId="0" applyBorder="1" applyAlignment="1" applyProtection="1"/>
    <xf numFmtId="49" fontId="9" fillId="0" borderId="0" xfId="16" applyNumberFormat="1" applyFont="1" applyBorder="1" applyAlignment="1" applyProtection="1">
      <alignment horizontal="left" vertical="center" wrapText="1"/>
    </xf>
    <xf numFmtId="0" fontId="1" fillId="0" borderId="0" xfId="16" applyBorder="1" applyAlignment="1" applyProtection="1">
      <alignment horizontal="left" vertical="top" wrapText="1"/>
    </xf>
    <xf numFmtId="0" fontId="30" fillId="0" borderId="131" xfId="5" applyFont="1" applyFill="1" applyBorder="1" applyAlignment="1" applyProtection="1">
      <alignment horizontal="left" vertical="center" wrapText="1"/>
    </xf>
    <xf numFmtId="0" fontId="11" fillId="0" borderId="110" xfId="5" applyFont="1" applyBorder="1" applyAlignment="1" applyProtection="1">
      <alignment horizontal="left" vertical="center" wrapText="1"/>
    </xf>
    <xf numFmtId="0" fontId="0" fillId="0" borderId="110" xfId="0" applyBorder="1" applyAlignment="1" applyProtection="1">
      <alignment horizontal="left" vertical="center" wrapText="1"/>
    </xf>
    <xf numFmtId="0" fontId="0" fillId="0" borderId="22" xfId="0" applyBorder="1" applyAlignment="1" applyProtection="1">
      <alignment horizontal="left" vertical="center" wrapText="1"/>
    </xf>
    <xf numFmtId="49" fontId="1" fillId="0" borderId="0" xfId="16" applyNumberFormat="1" applyBorder="1" applyAlignment="1" applyProtection="1">
      <alignment horizontal="left" vertical="center" wrapText="1"/>
    </xf>
    <xf numFmtId="49" fontId="1" fillId="0" borderId="168" xfId="16" applyNumberFormat="1" applyBorder="1" applyAlignment="1" applyProtection="1">
      <alignment horizontal="left" vertical="center" wrapText="1"/>
    </xf>
    <xf numFmtId="0" fontId="0" fillId="0" borderId="169" xfId="0" applyBorder="1" applyProtection="1"/>
    <xf numFmtId="49" fontId="54" fillId="0" borderId="0" xfId="16" applyNumberFormat="1" applyFont="1" applyBorder="1" applyAlignment="1" applyProtection="1">
      <alignment horizontal="left" vertical="center"/>
    </xf>
    <xf numFmtId="49" fontId="1" fillId="0" borderId="0" xfId="16" applyNumberFormat="1" applyBorder="1" applyAlignment="1" applyProtection="1">
      <alignment horizontal="left" vertical="center"/>
    </xf>
    <xf numFmtId="49" fontId="0" fillId="0" borderId="0" xfId="16" applyNumberFormat="1" applyFont="1" applyBorder="1" applyAlignment="1" applyProtection="1">
      <alignment horizontal="left" vertical="center"/>
    </xf>
    <xf numFmtId="49" fontId="1" fillId="0" borderId="131" xfId="16" applyNumberFormat="1" applyBorder="1" applyAlignment="1" applyProtection="1">
      <alignment horizontal="left" vertical="center" wrapText="1"/>
    </xf>
    <xf numFmtId="49" fontId="16" fillId="0" borderId="110" xfId="16" applyNumberFormat="1" applyFont="1" applyBorder="1" applyAlignment="1" applyProtection="1">
      <alignment horizontal="left" vertical="top" wrapText="1"/>
    </xf>
    <xf numFmtId="0" fontId="1" fillId="0" borderId="110" xfId="16" applyBorder="1" applyAlignment="1" applyProtection="1">
      <alignment horizontal="left" vertical="top" wrapText="1"/>
    </xf>
    <xf numFmtId="0" fontId="0" fillId="0" borderId="110" xfId="0" applyBorder="1" applyProtection="1"/>
    <xf numFmtId="0" fontId="0" fillId="0" borderId="22" xfId="0" applyBorder="1" applyProtection="1"/>
    <xf numFmtId="49" fontId="16" fillId="0" borderId="0" xfId="16" applyNumberFormat="1" applyFont="1" applyBorder="1" applyAlignment="1" applyProtection="1">
      <alignment horizontal="left" vertical="top" wrapText="1"/>
    </xf>
    <xf numFmtId="49" fontId="106" fillId="0" borderId="0" xfId="16" applyNumberFormat="1" applyFont="1" applyBorder="1" applyAlignment="1" applyProtection="1">
      <alignment horizontal="left" vertical="center" wrapText="1"/>
    </xf>
    <xf numFmtId="49" fontId="107" fillId="0" borderId="0" xfId="16" applyNumberFormat="1" applyFont="1" applyBorder="1" applyAlignment="1" applyProtection="1">
      <alignment horizontal="left" vertical="center" wrapText="1"/>
    </xf>
    <xf numFmtId="49" fontId="0" fillId="3" borderId="44" xfId="16" applyNumberFormat="1" applyFont="1" applyFill="1" applyBorder="1" applyAlignment="1" applyProtection="1">
      <alignment horizontal="left" vertical="center" wrapText="1"/>
    </xf>
    <xf numFmtId="49" fontId="20" fillId="3" borderId="44" xfId="16" applyNumberFormat="1" applyFont="1" applyFill="1" applyBorder="1" applyAlignment="1" applyProtection="1">
      <alignment horizontal="left" vertical="center" wrapText="1"/>
    </xf>
    <xf numFmtId="49" fontId="0" fillId="3" borderId="155" xfId="16" applyNumberFormat="1" applyFont="1" applyFill="1" applyBorder="1" applyAlignment="1" applyProtection="1">
      <alignment horizontal="left" vertical="center" wrapText="1"/>
    </xf>
    <xf numFmtId="49" fontId="20" fillId="3" borderId="155" xfId="16" applyNumberFormat="1" applyFont="1" applyFill="1" applyBorder="1" applyAlignment="1" applyProtection="1">
      <alignment horizontal="left" vertical="center" wrapText="1"/>
    </xf>
    <xf numFmtId="49" fontId="1" fillId="3" borderId="47" xfId="16" applyNumberFormat="1" applyFill="1" applyBorder="1" applyAlignment="1" applyProtection="1">
      <alignment horizontal="center" vertical="top" wrapText="1"/>
    </xf>
    <xf numFmtId="0" fontId="7" fillId="3" borderId="35" xfId="11" applyFont="1" applyFill="1" applyBorder="1" applyAlignment="1" applyProtection="1">
      <alignment horizontal="center" vertical="center"/>
    </xf>
    <xf numFmtId="0" fontId="71" fillId="9" borderId="0" xfId="11" applyFont="1" applyFill="1" applyAlignment="1">
      <alignment vertical="center"/>
    </xf>
    <xf numFmtId="0" fontId="30"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6" fillId="0" borderId="235" xfId="11" applyFont="1" applyFill="1" applyBorder="1" applyAlignment="1" applyProtection="1">
      <alignment vertical="center"/>
    </xf>
    <xf numFmtId="0" fontId="16" fillId="0" borderId="328" xfId="11" applyFont="1" applyFill="1" applyBorder="1" applyAlignment="1" applyProtection="1">
      <alignment vertical="center"/>
    </xf>
    <xf numFmtId="0" fontId="16" fillId="0" borderId="335" xfId="11" applyFont="1" applyFill="1" applyBorder="1" applyAlignment="1" applyProtection="1">
      <alignment vertical="center"/>
    </xf>
    <xf numFmtId="0" fontId="102" fillId="0" borderId="33" xfId="0" applyNumberFormat="1" applyFont="1" applyFill="1" applyBorder="1" applyAlignment="1" applyProtection="1">
      <alignment vertical="center"/>
    </xf>
    <xf numFmtId="0" fontId="67" fillId="0" borderId="34" xfId="11" applyFont="1" applyFill="1" applyBorder="1" applyAlignment="1">
      <alignment vertical="center"/>
    </xf>
    <xf numFmtId="0" fontId="67" fillId="0" borderId="34" xfId="15" applyFont="1" applyFill="1" applyBorder="1" applyAlignment="1">
      <alignment vertical="center"/>
    </xf>
    <xf numFmtId="0" fontId="67" fillId="0" borderId="35" xfId="21" applyFont="1" applyFill="1" applyBorder="1"/>
    <xf numFmtId="0" fontId="102" fillId="3" borderId="54" xfId="9" applyFont="1" applyFill="1" applyBorder="1" applyAlignment="1" applyProtection="1">
      <alignment vertical="center"/>
    </xf>
    <xf numFmtId="0" fontId="25" fillId="3" borderId="24" xfId="9" applyFont="1" applyFill="1" applyBorder="1" applyAlignment="1" applyProtection="1">
      <alignment horizontal="left" vertical="center"/>
    </xf>
    <xf numFmtId="1" fontId="16" fillId="7" borderId="8" xfId="2" applyNumberFormat="1" applyFont="1" applyFill="1" applyBorder="1" applyAlignment="1" applyProtection="1">
      <alignment vertical="center"/>
    </xf>
    <xf numFmtId="0" fontId="16" fillId="4" borderId="31" xfId="2" applyNumberFormat="1" applyFont="1" applyFill="1" applyBorder="1" applyAlignment="1" applyProtection="1">
      <alignment vertical="center" wrapText="1"/>
      <protection locked="0"/>
    </xf>
    <xf numFmtId="0" fontId="16" fillId="4" borderId="32" xfId="2" applyNumberFormat="1" applyFont="1" applyFill="1" applyBorder="1" applyAlignment="1" applyProtection="1">
      <alignment vertical="center" wrapText="1"/>
      <protection locked="0"/>
    </xf>
    <xf numFmtId="0" fontId="16" fillId="4" borderId="109" xfId="2" applyNumberFormat="1" applyFont="1" applyFill="1" applyBorder="1" applyAlignment="1" applyProtection="1">
      <alignment vertical="center" wrapText="1"/>
      <protection locked="0"/>
    </xf>
    <xf numFmtId="0" fontId="16" fillId="4" borderId="30" xfId="2" applyNumberFormat="1" applyFont="1" applyFill="1" applyBorder="1" applyAlignment="1" applyProtection="1">
      <alignment vertical="center" wrapText="1"/>
      <protection locked="0"/>
    </xf>
    <xf numFmtId="2" fontId="16" fillId="0" borderId="0" xfId="2" applyNumberFormat="1" applyFont="1" applyFill="1" applyBorder="1" applyAlignment="1" applyProtection="1">
      <alignment vertical="center"/>
    </xf>
    <xf numFmtId="171" fontId="16" fillId="0" borderId="0" xfId="2" applyNumberFormat="1" applyFont="1" applyFill="1" applyBorder="1" applyAlignment="1" applyProtection="1">
      <alignment vertical="center"/>
    </xf>
    <xf numFmtId="1" fontId="16" fillId="0" borderId="0" xfId="11" applyNumberFormat="1" applyFont="1" applyFill="1" applyBorder="1" applyAlignment="1" applyProtection="1">
      <alignment vertical="center"/>
    </xf>
    <xf numFmtId="165" fontId="16" fillId="0" borderId="0" xfId="11" applyNumberFormat="1" applyFont="1" applyFill="1" applyBorder="1" applyAlignment="1" applyProtection="1">
      <alignment vertical="center"/>
    </xf>
    <xf numFmtId="165" fontId="16" fillId="21" borderId="33" xfId="11" applyNumberFormat="1" applyFont="1" applyFill="1" applyBorder="1" applyAlignment="1" applyProtection="1">
      <alignment vertical="center"/>
    </xf>
    <xf numFmtId="165" fontId="16" fillId="21" borderId="4" xfId="11" applyNumberFormat="1" applyFont="1" applyFill="1" applyBorder="1" applyAlignment="1" applyProtection="1">
      <alignment vertical="center"/>
    </xf>
    <xf numFmtId="165" fontId="16" fillId="21" borderId="61" xfId="11" applyNumberFormat="1" applyFont="1" applyFill="1" applyBorder="1" applyAlignment="1" applyProtection="1">
      <alignment vertical="center"/>
    </xf>
    <xf numFmtId="165" fontId="16" fillId="21" borderId="34" xfId="11" applyNumberFormat="1" applyFont="1" applyFill="1" applyBorder="1" applyAlignment="1" applyProtection="1">
      <alignment vertical="center"/>
    </xf>
    <xf numFmtId="165" fontId="16" fillId="21" borderId="3" xfId="11" applyNumberFormat="1" applyFont="1" applyFill="1" applyBorder="1" applyAlignment="1" applyProtection="1">
      <alignment vertical="center"/>
    </xf>
    <xf numFmtId="165" fontId="16" fillId="22" borderId="4" xfId="11" applyNumberFormat="1" applyFont="1" applyFill="1" applyBorder="1" applyAlignment="1" applyProtection="1">
      <alignment vertical="center"/>
    </xf>
    <xf numFmtId="165" fontId="23" fillId="0" borderId="0" xfId="11" applyNumberFormat="1" applyFont="1" applyFill="1" applyBorder="1" applyAlignment="1" applyProtection="1">
      <alignment vertical="center"/>
    </xf>
    <xf numFmtId="0" fontId="23" fillId="4" borderId="6" xfId="9" applyNumberFormat="1" applyFont="1" applyFill="1" applyBorder="1" applyAlignment="1" applyProtection="1">
      <alignment horizontal="center" vertical="center" wrapText="1"/>
      <protection locked="0"/>
    </xf>
    <xf numFmtId="0" fontId="23" fillId="4" borderId="9" xfId="9" applyNumberFormat="1" applyFont="1" applyFill="1" applyBorder="1" applyAlignment="1" applyProtection="1">
      <alignment horizontal="center" vertical="center" wrapText="1"/>
      <protection locked="0"/>
    </xf>
    <xf numFmtId="165" fontId="58" fillId="0" borderId="26" xfId="6" applyNumberFormat="1" applyFont="1" applyFill="1" applyBorder="1" applyAlignment="1" applyProtection="1">
      <alignment vertical="center"/>
    </xf>
    <xf numFmtId="0" fontId="22" fillId="0" borderId="0" xfId="0" applyFont="1" applyBorder="1" applyAlignment="1" applyProtection="1">
      <alignment horizontal="center" vertical="center"/>
    </xf>
    <xf numFmtId="165" fontId="58" fillId="18" borderId="11" xfId="6" applyNumberFormat="1" applyFont="1" applyFill="1" applyBorder="1" applyAlignment="1" applyProtection="1">
      <alignment vertical="center"/>
    </xf>
    <xf numFmtId="165" fontId="58" fillId="18" borderId="27" xfId="6" applyNumberFormat="1" applyFont="1" applyFill="1" applyBorder="1" applyAlignment="1" applyProtection="1">
      <alignment vertical="center"/>
    </xf>
    <xf numFmtId="165" fontId="58" fillId="18" borderId="41" xfId="6" applyNumberFormat="1" applyFont="1" applyFill="1" applyBorder="1" applyAlignment="1" applyProtection="1">
      <alignment vertical="center"/>
    </xf>
    <xf numFmtId="165" fontId="58" fillId="18" borderId="12" xfId="6" applyNumberFormat="1" applyFont="1" applyFill="1" applyBorder="1" applyAlignment="1" applyProtection="1">
      <alignment vertical="center"/>
    </xf>
    <xf numFmtId="165" fontId="58" fillId="18" borderId="40" xfId="6" applyNumberFormat="1" applyFont="1" applyFill="1" applyBorder="1" applyAlignment="1" applyProtection="1">
      <alignment vertical="center"/>
    </xf>
    <xf numFmtId="165" fontId="58" fillId="18" borderId="2" xfId="6" applyNumberFormat="1" applyFont="1" applyFill="1" applyBorder="1" applyAlignment="1" applyProtection="1">
      <alignment vertical="center"/>
    </xf>
    <xf numFmtId="165" fontId="58" fillId="18" borderId="35" xfId="6" applyNumberFormat="1" applyFont="1" applyFill="1" applyBorder="1" applyAlignment="1" applyProtection="1">
      <alignment vertical="center"/>
    </xf>
    <xf numFmtId="165" fontId="58" fillId="18" borderId="61" xfId="6" applyNumberFormat="1" applyFont="1" applyFill="1" applyBorder="1" applyAlignment="1" applyProtection="1">
      <alignment vertical="center"/>
    </xf>
    <xf numFmtId="165" fontId="58" fillId="18" borderId="3" xfId="6" applyNumberFormat="1" applyFont="1" applyFill="1" applyBorder="1" applyAlignment="1" applyProtection="1">
      <alignment vertical="center"/>
    </xf>
    <xf numFmtId="165" fontId="58" fillId="18" borderId="4" xfId="6" applyNumberFormat="1" applyFont="1" applyFill="1" applyBorder="1" applyAlignment="1" applyProtection="1">
      <alignment vertical="center"/>
    </xf>
    <xf numFmtId="165" fontId="58" fillId="18" borderId="266" xfId="6" applyNumberFormat="1" applyFont="1" applyFill="1" applyBorder="1" applyAlignment="1" applyProtection="1">
      <alignment vertical="center"/>
    </xf>
    <xf numFmtId="0" fontId="0" fillId="0" borderId="8" xfId="0" applyBorder="1" applyProtection="1"/>
    <xf numFmtId="0" fontId="16" fillId="0" borderId="26" xfId="19" applyNumberFormat="1" applyFont="1" applyFill="1" applyBorder="1" applyAlignment="1" applyProtection="1">
      <alignment vertical="center" wrapText="1"/>
    </xf>
    <xf numFmtId="165" fontId="58" fillId="18" borderId="60" xfId="6" applyNumberFormat="1" applyFont="1" applyFill="1" applyBorder="1" applyAlignment="1" applyProtection="1">
      <alignment vertical="center"/>
    </xf>
    <xf numFmtId="165" fontId="16" fillId="7" borderId="295" xfId="19" applyNumberFormat="1" applyFont="1" applyFill="1" applyBorder="1" applyAlignment="1" applyProtection="1">
      <alignment vertical="center"/>
    </xf>
    <xf numFmtId="165" fontId="16" fillId="7" borderId="296" xfId="19" applyNumberFormat="1" applyFont="1" applyFill="1" applyBorder="1" applyAlignment="1" applyProtection="1">
      <alignment vertical="center"/>
    </xf>
    <xf numFmtId="165" fontId="16" fillId="7" borderId="297" xfId="19" applyNumberFormat="1" applyFont="1" applyFill="1" applyBorder="1" applyAlignment="1" applyProtection="1">
      <alignment vertical="center"/>
    </xf>
    <xf numFmtId="0" fontId="7" fillId="3" borderId="11" xfId="6"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165" fontId="23" fillId="4" borderId="18" xfId="2" applyNumberFormat="1" applyFont="1" applyFill="1" applyBorder="1" applyAlignment="1" applyProtection="1">
      <alignment vertical="center"/>
    </xf>
    <xf numFmtId="165" fontId="23" fillId="4" borderId="32" xfId="2" applyNumberFormat="1" applyFont="1" applyFill="1" applyBorder="1" applyAlignment="1" applyProtection="1">
      <alignment vertical="center"/>
    </xf>
    <xf numFmtId="165" fontId="23" fillId="4" borderId="49" xfId="2" applyNumberFormat="1" applyFont="1" applyFill="1" applyBorder="1" applyAlignment="1" applyProtection="1">
      <alignment vertical="center"/>
    </xf>
    <xf numFmtId="165" fontId="23" fillId="4" borderId="31" xfId="2" applyNumberFormat="1" applyFont="1" applyFill="1" applyBorder="1" applyAlignment="1" applyProtection="1">
      <alignment vertical="center"/>
    </xf>
    <xf numFmtId="165" fontId="23" fillId="4" borderId="30" xfId="2" applyNumberFormat="1" applyFont="1" applyFill="1" applyBorder="1" applyAlignment="1" applyProtection="1">
      <alignment vertical="center"/>
    </xf>
    <xf numFmtId="0" fontId="7" fillId="3" borderId="35" xfId="9" applyFont="1" applyFill="1" applyBorder="1" applyAlignment="1" applyProtection="1">
      <alignment horizontal="center" vertical="center" wrapText="1"/>
    </xf>
    <xf numFmtId="165" fontId="23" fillId="7" borderId="27" xfId="9" applyNumberFormat="1" applyFont="1" applyFill="1" applyBorder="1" applyAlignment="1" applyProtection="1">
      <alignment vertical="center"/>
    </xf>
    <xf numFmtId="165" fontId="23" fillId="7" borderId="26" xfId="9" applyNumberFormat="1" applyFont="1" applyFill="1" applyBorder="1" applyAlignment="1" applyProtection="1">
      <alignment vertical="center"/>
    </xf>
    <xf numFmtId="165" fontId="23" fillId="7" borderId="27" xfId="2" applyNumberFormat="1" applyFont="1" applyFill="1" applyBorder="1" applyAlignment="1" applyProtection="1">
      <alignment vertical="center"/>
    </xf>
    <xf numFmtId="165" fontId="23" fillId="4" borderId="24" xfId="2" applyNumberFormat="1" applyFont="1" applyFill="1" applyBorder="1" applyAlignment="1" applyProtection="1">
      <alignment vertical="center"/>
    </xf>
    <xf numFmtId="165" fontId="23" fillId="4" borderId="26" xfId="2" applyNumberFormat="1" applyFont="1" applyFill="1" applyBorder="1" applyAlignment="1" applyProtection="1">
      <alignment vertical="center"/>
    </xf>
    <xf numFmtId="165" fontId="23" fillId="4" borderId="35" xfId="2" applyNumberFormat="1" applyFont="1" applyFill="1" applyBorder="1" applyAlignment="1" applyProtection="1">
      <alignment vertical="center"/>
    </xf>
    <xf numFmtId="165" fontId="23" fillId="4" borderId="24" xfId="1" applyNumberFormat="1" applyFont="1" applyFill="1" applyBorder="1" applyAlignment="1" applyProtection="1">
      <alignment vertical="center"/>
    </xf>
    <xf numFmtId="165" fontId="23" fillId="4" borderId="27" xfId="1" applyNumberFormat="1" applyFont="1" applyFill="1" applyBorder="1" applyAlignment="1" applyProtection="1">
      <alignment vertical="center"/>
    </xf>
    <xf numFmtId="0" fontId="12" fillId="0" borderId="34" xfId="9" applyFont="1" applyFill="1" applyBorder="1" applyAlignment="1" applyProtection="1">
      <alignment vertical="top"/>
    </xf>
    <xf numFmtId="0" fontId="7" fillId="3" borderId="35" xfId="6" applyFont="1" applyFill="1" applyBorder="1" applyAlignment="1" applyProtection="1">
      <alignment horizontal="center" vertical="center" wrapText="1"/>
    </xf>
    <xf numFmtId="0" fontId="10" fillId="0" borderId="0" xfId="5" applyAlignment="1" applyProtection="1">
      <alignment vertical="top" wrapText="1"/>
    </xf>
    <xf numFmtId="0" fontId="20" fillId="6" borderId="0" xfId="6" applyFont="1" applyFill="1" applyAlignment="1" applyProtection="1">
      <alignment horizontal="center" vertical="center" wrapText="1"/>
    </xf>
    <xf numFmtId="165" fontId="23" fillId="4" borderId="28" xfId="9" applyNumberFormat="1" applyFont="1" applyFill="1" applyBorder="1" applyAlignment="1" applyProtection="1">
      <alignment vertical="center"/>
      <protection locked="0"/>
    </xf>
    <xf numFmtId="165" fontId="23" fillId="4" borderId="29" xfId="9" applyNumberFormat="1" applyFont="1" applyFill="1" applyBorder="1" applyAlignment="1" applyProtection="1">
      <alignment vertical="center"/>
      <protection locked="0"/>
    </xf>
    <xf numFmtId="165" fontId="23" fillId="7" borderId="45"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protection locked="0"/>
    </xf>
    <xf numFmtId="165" fontId="23" fillId="7" borderId="28"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protection locked="0"/>
    </xf>
    <xf numFmtId="0" fontId="7" fillId="3" borderId="40" xfId="9" applyFont="1" applyFill="1" applyBorder="1" applyAlignment="1" applyProtection="1">
      <alignment horizontal="center" vertical="center" wrapText="1"/>
    </xf>
    <xf numFmtId="165" fontId="23" fillId="4" borderId="3" xfId="9" applyNumberFormat="1" applyFont="1" applyFill="1" applyBorder="1" applyAlignment="1" applyProtection="1">
      <alignment vertical="center"/>
      <protection locked="0"/>
    </xf>
    <xf numFmtId="167" fontId="23" fillId="4" borderId="12" xfId="9" applyNumberFormat="1" applyFont="1" applyFill="1" applyBorder="1" applyAlignment="1" applyProtection="1">
      <alignment vertical="center"/>
      <protection locked="0"/>
    </xf>
    <xf numFmtId="165" fontId="23" fillId="4" borderId="2" xfId="9" applyNumberFormat="1" applyFont="1" applyFill="1" applyBorder="1" applyAlignment="1" applyProtection="1">
      <alignment vertical="center"/>
    </xf>
    <xf numFmtId="165" fontId="20" fillId="7" borderId="36" xfId="6" applyNumberFormat="1" applyFont="1" applyFill="1" applyBorder="1" applyAlignment="1" applyProtection="1">
      <alignment vertical="center"/>
    </xf>
    <xf numFmtId="165" fontId="20" fillId="7" borderId="38" xfId="6" applyNumberFormat="1" applyFont="1" applyFill="1" applyBorder="1" applyAlignment="1" applyProtection="1">
      <alignment vertical="center"/>
    </xf>
    <xf numFmtId="165" fontId="23" fillId="7" borderId="35" xfId="9" applyNumberFormat="1" applyFont="1" applyFill="1" applyBorder="1" applyAlignment="1" applyProtection="1">
      <alignment vertical="center"/>
    </xf>
    <xf numFmtId="0" fontId="7" fillId="3" borderId="13" xfId="6" applyFont="1" applyFill="1" applyBorder="1" applyAlignment="1" applyProtection="1">
      <alignment horizontal="center" vertical="center" wrapText="1"/>
    </xf>
    <xf numFmtId="0" fontId="3" fillId="0" borderId="0" xfId="0" applyFont="1" applyAlignment="1">
      <alignment wrapText="1"/>
    </xf>
    <xf numFmtId="0" fontId="3" fillId="0" borderId="0" xfId="0" applyFont="1" applyFill="1"/>
    <xf numFmtId="0" fontId="7" fillId="3" borderId="60" xfId="9" applyFont="1" applyFill="1" applyBorder="1" applyAlignment="1" applyProtection="1">
      <alignment horizontal="center" vertical="center" wrapText="1"/>
    </xf>
    <xf numFmtId="165" fontId="23" fillId="7" borderId="28" xfId="2" applyNumberFormat="1" applyFont="1" applyFill="1" applyBorder="1" applyAlignment="1" applyProtection="1">
      <alignment vertical="center"/>
    </xf>
    <xf numFmtId="165" fontId="23" fillId="7" borderId="29" xfId="2" applyNumberFormat="1" applyFont="1" applyFill="1" applyBorder="1" applyAlignment="1" applyProtection="1">
      <alignment vertical="center"/>
    </xf>
    <xf numFmtId="165" fontId="23" fillId="7" borderId="40" xfId="9" applyNumberFormat="1" applyFont="1" applyFill="1" applyBorder="1" applyAlignment="1" applyProtection="1">
      <alignment vertical="center"/>
    </xf>
    <xf numFmtId="165" fontId="23" fillId="7" borderId="38" xfId="9" applyNumberFormat="1" applyFont="1" applyFill="1" applyBorder="1" applyAlignment="1" applyProtection="1">
      <alignment vertical="center"/>
    </xf>
    <xf numFmtId="165" fontId="23" fillId="7" borderId="40" xfId="2" applyNumberFormat="1" applyFont="1" applyFill="1" applyBorder="1" applyAlignment="1" applyProtection="1">
      <alignment vertical="center"/>
    </xf>
    <xf numFmtId="165" fontId="23" fillId="7" borderId="34" xfId="2" applyNumberFormat="1" applyFont="1" applyFill="1" applyBorder="1" applyAlignment="1" applyProtection="1">
      <alignment vertical="center"/>
    </xf>
    <xf numFmtId="165" fontId="23" fillId="7" borderId="60" xfId="9" applyNumberFormat="1" applyFont="1" applyFill="1" applyBorder="1" applyAlignment="1" applyProtection="1">
      <alignment vertical="center"/>
    </xf>
    <xf numFmtId="165" fontId="23" fillId="7" borderId="36" xfId="1" applyNumberFormat="1" applyFont="1" applyFill="1" applyBorder="1" applyAlignment="1" applyProtection="1">
      <alignment vertical="center"/>
    </xf>
    <xf numFmtId="165" fontId="23" fillId="7" borderId="40" xfId="1" applyNumberFormat="1" applyFont="1" applyFill="1" applyBorder="1" applyAlignment="1" applyProtection="1">
      <alignment vertical="center"/>
    </xf>
    <xf numFmtId="0" fontId="20" fillId="6" borderId="0" xfId="6" applyFont="1" applyFill="1" applyAlignment="1" applyProtection="1">
      <alignment horizontal="center" vertical="center" wrapText="1"/>
    </xf>
    <xf numFmtId="0" fontId="16" fillId="6" borderId="0" xfId="9" applyFont="1" applyFill="1" applyAlignment="1" applyProtection="1">
      <alignment horizontal="center" vertical="center" wrapText="1"/>
    </xf>
    <xf numFmtId="165" fontId="23" fillId="7" borderId="62" xfId="9" applyNumberFormat="1" applyFont="1" applyFill="1" applyBorder="1" applyAlignment="1" applyProtection="1">
      <alignment vertical="center"/>
    </xf>
    <xf numFmtId="165" fontId="23" fillId="4" borderId="109" xfId="11" applyNumberFormat="1" applyFont="1" applyFill="1" applyBorder="1" applyAlignment="1" applyProtection="1">
      <alignment vertical="center"/>
      <protection locked="0"/>
    </xf>
    <xf numFmtId="1" fontId="23" fillId="7" borderId="109" xfId="9" applyNumberFormat="1" applyFont="1" applyFill="1" applyBorder="1" applyAlignment="1" applyProtection="1">
      <alignment vertical="center"/>
    </xf>
    <xf numFmtId="0" fontId="22" fillId="8" borderId="0" xfId="7" applyFont="1" applyBorder="1" applyAlignment="1" applyProtection="1">
      <alignment horizontal="center" vertical="center"/>
    </xf>
    <xf numFmtId="0" fontId="16" fillId="0" borderId="13" xfId="9" applyFont="1" applyFill="1" applyBorder="1" applyAlignment="1" applyProtection="1">
      <alignment vertical="center"/>
    </xf>
    <xf numFmtId="165" fontId="23" fillId="4" borderId="49" xfId="2" applyNumberFormat="1" applyFont="1" applyFill="1" applyBorder="1" applyAlignment="1" applyProtection="1">
      <alignment vertical="center"/>
      <protection locked="0"/>
    </xf>
    <xf numFmtId="165" fontId="23" fillId="4" borderId="31" xfId="2" applyNumberFormat="1" applyFont="1" applyFill="1" applyBorder="1" applyAlignment="1" applyProtection="1">
      <alignment vertical="center"/>
      <protection locked="0"/>
    </xf>
    <xf numFmtId="165" fontId="23" fillId="4" borderId="30" xfId="2" applyNumberFormat="1" applyFont="1" applyFill="1" applyBorder="1" applyAlignment="1" applyProtection="1">
      <alignment vertical="center"/>
      <protection locked="0"/>
    </xf>
    <xf numFmtId="165" fontId="23" fillId="4" borderId="7" xfId="2" applyNumberFormat="1" applyFont="1" applyFill="1" applyBorder="1" applyAlignment="1" applyProtection="1">
      <alignment vertical="center"/>
      <protection locked="0"/>
    </xf>
    <xf numFmtId="165" fontId="23" fillId="4" borderId="10" xfId="2" applyNumberFormat="1" applyFont="1" applyFill="1" applyBorder="1" applyAlignment="1" applyProtection="1">
      <alignment vertical="center"/>
      <protection locked="0"/>
    </xf>
    <xf numFmtId="165" fontId="23" fillId="4" borderId="4" xfId="2" applyNumberFormat="1" applyFont="1" applyFill="1" applyBorder="1" applyAlignment="1" applyProtection="1">
      <alignment vertical="center"/>
      <protection locked="0"/>
    </xf>
    <xf numFmtId="165" fontId="23" fillId="4" borderId="7" xfId="1" applyNumberFormat="1" applyFont="1" applyFill="1" applyBorder="1" applyAlignment="1" applyProtection="1">
      <alignment vertical="center"/>
      <protection locked="0"/>
    </xf>
    <xf numFmtId="165" fontId="23" fillId="4" borderId="13" xfId="1" applyNumberFormat="1" applyFont="1" applyFill="1" applyBorder="1" applyAlignment="1" applyProtection="1">
      <alignment vertical="center"/>
      <protection locked="0"/>
    </xf>
    <xf numFmtId="0" fontId="19" fillId="5" borderId="47" xfId="0" applyFont="1" applyFill="1" applyBorder="1" applyAlignment="1" applyProtection="1">
      <alignment horizontal="center" vertical="center" wrapText="1"/>
    </xf>
    <xf numFmtId="0" fontId="0" fillId="0" borderId="0" xfId="0" applyAlignment="1" applyProtection="1">
      <alignment vertical="top"/>
    </xf>
    <xf numFmtId="0" fontId="7" fillId="3" borderId="1" xfId="6" applyFont="1" applyFill="1" applyBorder="1" applyAlignment="1" applyProtection="1">
      <alignment vertical="top"/>
    </xf>
    <xf numFmtId="0" fontId="7" fillId="3" borderId="35" xfId="6" applyFont="1" applyFill="1" applyBorder="1" applyAlignment="1" applyProtection="1">
      <alignment vertical="top"/>
    </xf>
    <xf numFmtId="0" fontId="20" fillId="6" borderId="0" xfId="6" applyFont="1" applyFill="1" applyAlignment="1" applyProtection="1">
      <alignment horizontal="center" vertical="center" wrapText="1"/>
    </xf>
    <xf numFmtId="0" fontId="20" fillId="0" borderId="32" xfId="0" applyFont="1" applyBorder="1" applyAlignment="1" applyProtection="1">
      <alignment vertical="top" wrapText="1"/>
    </xf>
    <xf numFmtId="1" fontId="16" fillId="7" borderId="32" xfId="19" applyNumberFormat="1" applyFont="1" applyFill="1" applyBorder="1" applyAlignment="1" applyProtection="1">
      <alignment vertical="center"/>
    </xf>
    <xf numFmtId="0" fontId="23" fillId="4" borderId="6" xfId="9" applyFont="1" applyFill="1" applyBorder="1" applyAlignment="1" applyProtection="1">
      <alignment wrapText="1"/>
      <protection locked="0"/>
    </xf>
    <xf numFmtId="0" fontId="23" fillId="4" borderId="9" xfId="9" applyFont="1" applyFill="1" applyBorder="1" applyAlignment="1" applyProtection="1">
      <alignment wrapText="1"/>
      <protection locked="0"/>
    </xf>
    <xf numFmtId="165" fontId="59" fillId="16" borderId="9" xfId="6" applyNumberFormat="1" applyFont="1" applyFill="1" applyBorder="1" applyAlignment="1" applyProtection="1">
      <alignment vertical="center" wrapText="1"/>
      <protection locked="0"/>
    </xf>
    <xf numFmtId="0" fontId="57" fillId="0" borderId="0" xfId="18" applyFont="1" applyFill="1" applyBorder="1" applyAlignment="1">
      <alignment wrapText="1"/>
    </xf>
    <xf numFmtId="0" fontId="60" fillId="0" borderId="0" xfId="6" applyFont="1" applyFill="1" applyBorder="1" applyAlignment="1" applyProtection="1">
      <alignment horizontal="center" vertical="center" wrapText="1"/>
    </xf>
    <xf numFmtId="0" fontId="57" fillId="0" borderId="0" xfId="18" applyNumberFormat="1" applyFont="1" applyFill="1" applyBorder="1" applyAlignment="1">
      <alignment wrapText="1"/>
    </xf>
    <xf numFmtId="165" fontId="58" fillId="16" borderId="47" xfId="6" applyNumberFormat="1" applyFont="1" applyFill="1" applyBorder="1" applyAlignment="1" applyProtection="1">
      <alignment vertical="center" wrapText="1"/>
      <protection locked="0"/>
    </xf>
    <xf numFmtId="165" fontId="58" fillId="16" borderId="9" xfId="6" applyNumberFormat="1" applyFont="1" applyFill="1" applyBorder="1" applyAlignment="1" applyProtection="1">
      <alignment vertical="center" wrapText="1"/>
      <protection locked="0"/>
    </xf>
    <xf numFmtId="0" fontId="20" fillId="0" borderId="30" xfId="0" applyFont="1" applyBorder="1" applyAlignment="1" applyProtection="1">
      <alignment vertical="top" wrapText="1"/>
    </xf>
    <xf numFmtId="1" fontId="16" fillId="7" borderId="122" xfId="19" applyNumberFormat="1" applyFont="1" applyFill="1" applyBorder="1" applyAlignment="1" applyProtection="1">
      <alignment vertical="center"/>
    </xf>
    <xf numFmtId="170" fontId="23" fillId="7" borderId="11" xfId="11" applyNumberFormat="1" applyFont="1" applyFill="1" applyBorder="1" applyAlignment="1" applyProtection="1">
      <alignment vertical="center"/>
    </xf>
    <xf numFmtId="1" fontId="23" fillId="4" borderId="228" xfId="19" applyNumberFormat="1" applyFont="1" applyFill="1" applyBorder="1" applyAlignment="1" applyProtection="1">
      <alignment vertical="center"/>
      <protection locked="0"/>
    </xf>
    <xf numFmtId="1" fontId="23" fillId="7" borderId="30" xfId="11" applyNumberFormat="1" applyFont="1" applyFill="1" applyBorder="1" applyAlignment="1" applyProtection="1">
      <alignment vertical="center"/>
    </xf>
    <xf numFmtId="171" fontId="16" fillId="0" borderId="0" xfId="19" applyNumberFormat="1" applyFont="1" applyFill="1" applyBorder="1" applyAlignment="1" applyProtection="1">
      <alignment vertical="center"/>
    </xf>
    <xf numFmtId="0" fontId="20" fillId="0" borderId="49" xfId="0" applyFont="1" applyBorder="1" applyAlignment="1" applyProtection="1">
      <alignment vertical="top" wrapText="1"/>
    </xf>
    <xf numFmtId="0" fontId="14" fillId="0" borderId="9" xfId="11" applyFont="1" applyFill="1" applyBorder="1" applyAlignment="1" applyProtection="1">
      <alignment horizontal="center" vertical="center"/>
    </xf>
    <xf numFmtId="0" fontId="0" fillId="0" borderId="0" xfId="0"/>
    <xf numFmtId="0" fontId="20" fillId="0" borderId="32" xfId="0" applyFont="1" applyBorder="1" applyAlignment="1" applyProtection="1">
      <alignment vertical="top" wrapText="1"/>
    </xf>
    <xf numFmtId="165" fontId="23" fillId="7" borderId="7"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57"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0" fontId="7" fillId="3" borderId="22" xfId="6" applyFont="1" applyFill="1" applyBorder="1" applyAlignment="1" applyProtection="1">
      <alignment vertical="center" wrapText="1"/>
    </xf>
    <xf numFmtId="165" fontId="20" fillId="31" borderId="2" xfId="6" applyNumberFormat="1" applyFont="1" applyFill="1" applyBorder="1" applyAlignment="1" applyProtection="1">
      <alignment vertical="center"/>
    </xf>
    <xf numFmtId="10" fontId="20" fillId="4" borderId="5" xfId="2" applyNumberFormat="1" applyFont="1" applyFill="1" applyBorder="1" applyAlignment="1" applyProtection="1">
      <alignment vertical="center"/>
      <protection locked="0"/>
    </xf>
    <xf numFmtId="10" fontId="20" fillId="4" borderId="8" xfId="2" applyNumberFormat="1" applyFont="1" applyFill="1" applyBorder="1" applyAlignment="1" applyProtection="1">
      <alignment vertical="center"/>
      <protection locked="0"/>
    </xf>
    <xf numFmtId="10" fontId="20" fillId="7" borderId="38" xfId="2" applyNumberFormat="1" applyFont="1" applyFill="1" applyBorder="1" applyAlignment="1" applyProtection="1">
      <alignment vertical="center"/>
    </xf>
    <xf numFmtId="10" fontId="20" fillId="7" borderId="9" xfId="2" applyNumberFormat="1" applyFont="1" applyFill="1" applyBorder="1" applyAlignment="1" applyProtection="1">
      <alignment vertical="center"/>
    </xf>
    <xf numFmtId="10" fontId="1" fillId="0" borderId="0" xfId="2" applyNumberFormat="1" applyAlignment="1" applyProtection="1">
      <alignment vertical="center"/>
    </xf>
    <xf numFmtId="10" fontId="20" fillId="7" borderId="35" xfId="2" applyNumberFormat="1" applyFont="1" applyFill="1" applyBorder="1" applyAlignment="1" applyProtection="1">
      <alignment vertical="center"/>
    </xf>
    <xf numFmtId="10" fontId="20" fillId="31" borderId="35" xfId="2" applyNumberFormat="1" applyFont="1" applyFill="1" applyBorder="1" applyAlignment="1" applyProtection="1">
      <alignment vertical="center"/>
    </xf>
    <xf numFmtId="10" fontId="20" fillId="7" borderId="19" xfId="2" applyNumberFormat="1" applyFont="1" applyFill="1" applyBorder="1" applyAlignment="1" applyProtection="1">
      <alignment vertical="center"/>
    </xf>
    <xf numFmtId="165" fontId="23" fillId="7" borderId="57" xfId="9" applyNumberFormat="1" applyFont="1" applyFill="1" applyBorder="1" applyAlignment="1" applyProtection="1">
      <alignment vertical="center"/>
    </xf>
    <xf numFmtId="0" fontId="7" fillId="3" borderId="33" xfId="11" applyFont="1" applyFill="1" applyBorder="1" applyAlignment="1" applyProtection="1">
      <alignment horizontal="center" vertical="center"/>
    </xf>
    <xf numFmtId="0" fontId="23" fillId="0" borderId="56" xfId="9" applyNumberFormat="1" applyFont="1" applyFill="1" applyBorder="1" applyAlignment="1" applyProtection="1">
      <alignment horizontal="center" vertical="center"/>
      <protection locked="0"/>
    </xf>
    <xf numFmtId="0" fontId="23" fillId="0" borderId="57" xfId="9" applyNumberFormat="1" applyFont="1" applyFill="1" applyBorder="1" applyAlignment="1" applyProtection="1">
      <alignment horizontal="center" vertical="center"/>
      <protection locked="0"/>
    </xf>
    <xf numFmtId="0" fontId="23" fillId="0" borderId="9" xfId="9" applyNumberFormat="1" applyFont="1" applyFill="1" applyBorder="1" applyAlignment="1" applyProtection="1">
      <alignment horizontal="center" vertical="center"/>
      <protection locked="0"/>
    </xf>
    <xf numFmtId="0" fontId="23" fillId="0" borderId="12" xfId="9" applyNumberFormat="1" applyFont="1" applyFill="1" applyBorder="1" applyAlignment="1" applyProtection="1">
      <alignment horizontal="center" vertical="center"/>
      <protection locked="0"/>
    </xf>
    <xf numFmtId="0" fontId="23" fillId="0" borderId="0" xfId="9" applyFont="1" applyFill="1" applyBorder="1" applyAlignment="1" applyProtection="1">
      <alignment vertical="top" wrapText="1"/>
    </xf>
    <xf numFmtId="0" fontId="12" fillId="0" borderId="0" xfId="9" applyFont="1" applyFill="1" applyBorder="1" applyAlignment="1" applyProtection="1">
      <alignment vertical="top"/>
    </xf>
    <xf numFmtId="0" fontId="20" fillId="0" borderId="18" xfId="0" applyFont="1" applyBorder="1" applyAlignment="1" applyProtection="1">
      <alignment vertical="top" wrapText="1"/>
    </xf>
    <xf numFmtId="14" fontId="20" fillId="0" borderId="18" xfId="0" applyNumberFormat="1" applyFont="1" applyBorder="1" applyAlignment="1" applyProtection="1">
      <alignment vertical="top" wrapText="1"/>
    </xf>
    <xf numFmtId="0" fontId="20" fillId="0" borderId="109" xfId="0" applyFont="1" applyBorder="1" applyAlignment="1" applyProtection="1">
      <alignment vertical="top" wrapText="1"/>
    </xf>
    <xf numFmtId="0" fontId="14" fillId="23" borderId="12" xfId="11" applyFont="1" applyFill="1" applyBorder="1" applyAlignment="1" applyProtection="1">
      <alignment horizontal="center" vertical="center"/>
    </xf>
    <xf numFmtId="165" fontId="16" fillId="7" borderId="57" xfId="19" applyNumberFormat="1" applyFont="1" applyFill="1" applyBorder="1" applyAlignment="1" applyProtection="1">
      <alignment vertical="center"/>
    </xf>
    <xf numFmtId="1" fontId="16" fillId="4" borderId="30" xfId="19" applyNumberFormat="1" applyFont="1" applyFill="1" applyBorder="1" applyAlignment="1" applyProtection="1">
      <alignment vertical="center" wrapText="1"/>
      <protection locked="0"/>
    </xf>
    <xf numFmtId="0" fontId="102" fillId="3" borderId="33" xfId="11" applyFont="1" applyFill="1" applyBorder="1" applyAlignment="1" applyProtection="1">
      <alignment vertical="center"/>
    </xf>
    <xf numFmtId="0" fontId="108" fillId="0" borderId="34" xfId="22" applyFont="1" applyBorder="1" applyAlignment="1"/>
    <xf numFmtId="0" fontId="108" fillId="0" borderId="35" xfId="22" applyFont="1" applyBorder="1" applyAlignment="1"/>
    <xf numFmtId="0" fontId="102" fillId="3" borderId="34" xfId="11" applyFont="1" applyFill="1" applyBorder="1" applyAlignment="1" applyProtection="1">
      <alignment vertical="center"/>
    </xf>
    <xf numFmtId="0" fontId="102" fillId="3" borderId="35" xfId="11" applyFont="1" applyFill="1" applyBorder="1" applyAlignment="1" applyProtection="1">
      <alignment vertical="center"/>
    </xf>
    <xf numFmtId="0" fontId="102" fillId="3" borderId="34" xfId="9" applyFont="1" applyFill="1" applyBorder="1" applyAlignment="1" applyProtection="1">
      <alignment vertical="center"/>
    </xf>
    <xf numFmtId="0" fontId="102" fillId="3" borderId="35" xfId="9" applyFont="1" applyFill="1" applyBorder="1" applyAlignment="1" applyProtection="1">
      <alignment vertical="center"/>
    </xf>
    <xf numFmtId="1" fontId="23" fillId="4" borderId="109" xfId="11" applyNumberFormat="1" applyFont="1" applyFill="1" applyBorder="1" applyProtection="1">
      <protection locked="0"/>
    </xf>
    <xf numFmtId="0" fontId="14" fillId="0" borderId="50" xfId="11" applyFont="1" applyFill="1" applyBorder="1" applyAlignment="1" applyProtection="1">
      <alignment horizontal="center" vertical="center"/>
    </xf>
    <xf numFmtId="1" fontId="23" fillId="4" borderId="49" xfId="11" applyNumberFormat="1" applyFont="1" applyFill="1" applyBorder="1" applyProtection="1">
      <protection locked="0"/>
    </xf>
    <xf numFmtId="0" fontId="59" fillId="0" borderId="9" xfId="22" applyFont="1" applyBorder="1" applyAlignment="1">
      <alignment vertical="center" wrapText="1"/>
    </xf>
    <xf numFmtId="165" fontId="16" fillId="7" borderId="56" xfId="19" applyNumberFormat="1" applyFont="1" applyFill="1" applyBorder="1" applyAlignment="1" applyProtection="1">
      <alignment vertical="center"/>
    </xf>
    <xf numFmtId="171" fontId="16" fillId="4" borderId="109" xfId="2" applyNumberFormat="1" applyFont="1" applyFill="1" applyBorder="1" applyAlignment="1" applyProtection="1">
      <alignment vertical="center" wrapText="1"/>
      <protection locked="0"/>
    </xf>
    <xf numFmtId="0" fontId="23" fillId="0" borderId="19" xfId="11" applyFont="1" applyFill="1" applyBorder="1" applyAlignment="1" applyProtection="1">
      <alignment horizontal="center" vertical="center"/>
    </xf>
    <xf numFmtId="0" fontId="16" fillId="4" borderId="23" xfId="19" applyNumberFormat="1" applyFont="1" applyFill="1" applyBorder="1" applyAlignment="1" applyProtection="1">
      <alignment vertical="center" wrapText="1"/>
      <protection locked="0"/>
    </xf>
    <xf numFmtId="170" fontId="23" fillId="7" borderId="8" xfId="11" applyNumberFormat="1" applyFont="1" applyFill="1" applyBorder="1" applyAlignment="1" applyProtection="1">
      <alignment vertical="center"/>
    </xf>
    <xf numFmtId="0" fontId="22" fillId="0" borderId="6" xfId="6" applyFont="1" applyFill="1" applyBorder="1" applyAlignment="1" applyProtection="1">
      <alignment horizontal="center" vertical="center"/>
    </xf>
    <xf numFmtId="165" fontId="16" fillId="4" borderId="29" xfId="19" applyNumberFormat="1" applyFont="1" applyFill="1" applyBorder="1" applyAlignment="1" applyProtection="1">
      <alignment vertical="center"/>
      <protection locked="0"/>
    </xf>
    <xf numFmtId="0" fontId="7" fillId="3" borderId="340" xfId="11" applyFont="1" applyFill="1" applyBorder="1" applyAlignment="1" applyProtection="1">
      <alignment horizontal="center" vertical="center"/>
    </xf>
    <xf numFmtId="0" fontId="7" fillId="3" borderId="341" xfId="22" applyFont="1" applyFill="1" applyBorder="1"/>
    <xf numFmtId="0" fontId="25" fillId="3" borderId="34" xfId="9" applyFont="1" applyFill="1" applyBorder="1" applyAlignment="1" applyProtection="1">
      <alignment horizontal="center" vertical="center"/>
    </xf>
    <xf numFmtId="0" fontId="102" fillId="3" borderId="1" xfId="9" applyFont="1" applyFill="1" applyBorder="1" applyAlignment="1" applyProtection="1">
      <alignment vertical="center"/>
    </xf>
    <xf numFmtId="0" fontId="132" fillId="2" borderId="0" xfId="6" applyFont="1" applyFill="1" applyBorder="1" applyAlignment="1">
      <alignment vertical="center"/>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102" fillId="3" borderId="33" xfId="11" applyFont="1" applyFill="1" applyBorder="1" applyAlignment="1" applyProtection="1">
      <alignment vertical="center"/>
    </xf>
    <xf numFmtId="0" fontId="7" fillId="3" borderId="33" xfId="11" applyFont="1" applyFill="1" applyBorder="1" applyAlignment="1" applyProtection="1">
      <alignment vertical="center"/>
    </xf>
    <xf numFmtId="0" fontId="102" fillId="3" borderId="34" xfId="11" applyFont="1" applyFill="1" applyBorder="1" applyAlignment="1" applyProtection="1">
      <alignment vertical="center"/>
    </xf>
    <xf numFmtId="0" fontId="102" fillId="3" borderId="35" xfId="11" applyFont="1" applyFill="1" applyBorder="1" applyAlignment="1" applyProtection="1">
      <alignment vertical="center"/>
    </xf>
    <xf numFmtId="0" fontId="133" fillId="0" borderId="0" xfId="0" applyFont="1" applyAlignment="1">
      <alignment wrapText="1"/>
    </xf>
    <xf numFmtId="0" fontId="31" fillId="0" borderId="0" xfId="11" applyFont="1" applyFill="1" applyAlignment="1" applyProtection="1">
      <alignment vertical="center" wrapText="1"/>
    </xf>
    <xf numFmtId="0" fontId="0" fillId="29" borderId="0" xfId="0" applyFont="1" applyFill="1"/>
    <xf numFmtId="0" fontId="88" fillId="0" borderId="0" xfId="11" applyNumberFormat="1" applyFont="1" applyFill="1" applyBorder="1" applyAlignment="1">
      <alignment horizontal="left" vertical="top" wrapText="1"/>
    </xf>
    <xf numFmtId="0" fontId="9" fillId="3" borderId="0" xfId="22" applyFont="1" applyFill="1" applyAlignment="1">
      <alignment horizontal="left" vertical="top"/>
    </xf>
    <xf numFmtId="0" fontId="88" fillId="0" borderId="0" xfId="11" applyNumberFormat="1" applyFont="1" applyFill="1" applyBorder="1" applyAlignment="1">
      <alignment horizontal="left" vertical="top"/>
    </xf>
    <xf numFmtId="0" fontId="9" fillId="0" borderId="0" xfId="22" applyFont="1" applyFill="1" applyAlignment="1">
      <alignment horizontal="left" vertical="top"/>
    </xf>
    <xf numFmtId="0" fontId="9" fillId="0" borderId="0" xfId="22" applyFont="1" applyFill="1" applyAlignment="1">
      <alignment horizontal="left" vertical="top" wrapText="1"/>
    </xf>
    <xf numFmtId="0" fontId="0" fillId="0" borderId="0" xfId="0" applyFont="1"/>
    <xf numFmtId="0" fontId="30" fillId="9" borderId="0" xfId="11" applyFont="1" applyFill="1" applyAlignment="1">
      <alignment vertical="center"/>
    </xf>
    <xf numFmtId="0" fontId="16" fillId="0" borderId="5" xfId="11" applyFont="1" applyFill="1" applyBorder="1" applyAlignment="1" applyProtection="1">
      <alignment horizontal="left" vertical="top" wrapText="1"/>
    </xf>
    <xf numFmtId="0" fontId="9" fillId="0" borderId="0" xfId="22" applyFont="1" applyAlignment="1">
      <alignment horizontal="left" vertical="top"/>
    </xf>
    <xf numFmtId="0" fontId="16" fillId="0" borderId="8" xfId="11" applyFont="1" applyFill="1" applyBorder="1" applyAlignment="1" applyProtection="1">
      <alignment horizontal="left" vertical="top" wrapText="1"/>
    </xf>
    <xf numFmtId="0" fontId="16" fillId="0" borderId="11" xfId="11" applyFont="1" applyFill="1" applyBorder="1" applyAlignment="1" applyProtection="1">
      <alignment horizontal="left" vertical="top" wrapText="1"/>
    </xf>
    <xf numFmtId="0" fontId="9" fillId="0" borderId="0" xfId="22" applyFont="1" applyAlignment="1">
      <alignment horizontal="left" vertical="top" wrapText="1"/>
    </xf>
    <xf numFmtId="0" fontId="16" fillId="0" borderId="0" xfId="11" applyFont="1" applyFill="1" applyBorder="1" applyAlignment="1" applyProtection="1">
      <alignment horizontal="left" vertical="top"/>
    </xf>
    <xf numFmtId="0" fontId="101" fillId="3" borderId="35" xfId="22" applyFont="1" applyFill="1" applyBorder="1" applyAlignment="1">
      <alignment vertical="center"/>
    </xf>
    <xf numFmtId="0" fontId="20" fillId="0" borderId="0" xfId="0" applyFont="1" applyFill="1" applyBorder="1" applyAlignment="1" applyProtection="1">
      <alignment wrapText="1"/>
    </xf>
    <xf numFmtId="0" fontId="108" fillId="0" borderId="35" xfId="22" applyFont="1" applyBorder="1" applyAlignment="1"/>
    <xf numFmtId="0" fontId="111" fillId="6" borderId="0" xfId="6" applyFont="1" applyFill="1" applyAlignment="1" applyProtection="1">
      <alignment horizontal="center" vertical="center"/>
    </xf>
    <xf numFmtId="0" fontId="112" fillId="3" borderId="0" xfId="8" applyFont="1" applyFill="1" applyAlignment="1" applyProtection="1">
      <alignment horizontal="center" vertical="center"/>
    </xf>
    <xf numFmtId="165" fontId="2" fillId="0" borderId="0" xfId="0" applyNumberFormat="1" applyFont="1" applyProtection="1"/>
    <xf numFmtId="0" fontId="111" fillId="0" borderId="0" xfId="0" applyFont="1" applyFill="1" applyBorder="1" applyProtection="1"/>
    <xf numFmtId="0" fontId="136" fillId="0" borderId="0" xfId="8" applyFont="1" applyAlignment="1" applyProtection="1">
      <alignment wrapText="1"/>
    </xf>
    <xf numFmtId="0" fontId="20" fillId="0" borderId="0" xfId="9" applyFont="1" applyFill="1" applyAlignment="1" applyProtection="1">
      <alignment vertical="center"/>
    </xf>
    <xf numFmtId="0" fontId="7" fillId="3" borderId="33" xfId="11" applyFont="1" applyFill="1" applyBorder="1" applyAlignment="1" applyProtection="1">
      <alignment horizontal="center" vertical="center"/>
    </xf>
    <xf numFmtId="0" fontId="12" fillId="0" borderId="228" xfId="11" applyFont="1" applyFill="1" applyBorder="1" applyAlignment="1" applyProtection="1">
      <alignment horizontal="center" vertical="center"/>
    </xf>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24" fillId="3" borderId="55" xfId="11" applyFont="1" applyFill="1" applyBorder="1" applyAlignment="1" applyProtection="1">
      <alignment vertical="center"/>
    </xf>
    <xf numFmtId="0" fontId="16" fillId="0" borderId="169" xfId="11" applyFont="1" applyFill="1" applyBorder="1" applyAlignment="1" applyProtection="1">
      <alignment vertical="center"/>
    </xf>
    <xf numFmtId="0" fontId="9" fillId="0" borderId="169" xfId="0" applyFont="1" applyFill="1" applyBorder="1" applyAlignment="1">
      <alignment vertical="center"/>
    </xf>
    <xf numFmtId="0" fontId="16" fillId="0" borderId="22" xfId="11" applyFont="1" applyFill="1" applyBorder="1" applyAlignment="1" applyProtection="1">
      <alignment vertical="center"/>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16" fillId="0" borderId="228" xfId="11" applyFont="1" applyFill="1" applyBorder="1" applyAlignment="1" applyProtection="1">
      <alignment vertical="center"/>
    </xf>
    <xf numFmtId="0" fontId="16" fillId="0" borderId="19" xfId="11" applyFont="1" applyFill="1" applyBorder="1" applyAlignment="1" applyProtection="1">
      <alignment vertical="center"/>
    </xf>
    <xf numFmtId="0" fontId="12" fillId="0" borderId="33" xfId="11" applyFont="1" applyFill="1" applyBorder="1" applyAlignment="1" applyProtection="1">
      <alignment horizontal="center" vertical="top"/>
    </xf>
    <xf numFmtId="0" fontId="16" fillId="0" borderId="228" xfId="11" applyFont="1" applyFill="1" applyBorder="1" applyAlignment="1" applyProtection="1">
      <alignment horizontal="center" vertical="top"/>
    </xf>
    <xf numFmtId="0" fontId="16" fillId="0" borderId="43" xfId="11" applyFont="1" applyFill="1" applyBorder="1" applyAlignment="1" applyProtection="1">
      <alignment horizontal="center" vertical="top"/>
    </xf>
    <xf numFmtId="0" fontId="16" fillId="0" borderId="228" xfId="11" applyFont="1" applyFill="1" applyBorder="1" applyAlignment="1" applyProtection="1">
      <alignment horizontal="center"/>
    </xf>
    <xf numFmtId="0" fontId="32" fillId="0" borderId="6" xfId="6" applyFont="1" applyBorder="1" applyAlignment="1" applyProtection="1">
      <alignment vertical="center"/>
    </xf>
    <xf numFmtId="0" fontId="32" fillId="0" borderId="47" xfId="6" applyFont="1" applyBorder="1" applyAlignment="1" applyProtection="1">
      <alignment vertical="center"/>
    </xf>
    <xf numFmtId="0" fontId="32" fillId="0" borderId="47" xfId="6" applyFont="1" applyBorder="1" applyAlignment="1" applyProtection="1">
      <alignment vertical="center" wrapText="1"/>
    </xf>
    <xf numFmtId="0" fontId="23" fillId="0" borderId="5" xfId="6" applyFont="1" applyBorder="1" applyAlignment="1" applyProtection="1">
      <alignment horizontal="center" vertical="center"/>
    </xf>
    <xf numFmtId="0" fontId="23" fillId="0" borderId="46" xfId="6" applyFont="1" applyBorder="1" applyAlignment="1" applyProtection="1">
      <alignment horizontal="center" vertical="center"/>
    </xf>
    <xf numFmtId="10" fontId="23" fillId="4" borderId="5"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7" borderId="11" xfId="6" applyNumberFormat="1" applyFont="1" applyFill="1" applyBorder="1" applyAlignment="1" applyProtection="1">
      <alignment vertical="center"/>
      <protection locked="0"/>
    </xf>
    <xf numFmtId="10" fontId="23" fillId="7" borderId="13" xfId="6" applyNumberFormat="1" applyFont="1" applyFill="1" applyBorder="1" applyAlignment="1" applyProtection="1">
      <alignment vertical="center"/>
      <protection locked="0"/>
    </xf>
    <xf numFmtId="165" fontId="23" fillId="7" borderId="32" xfId="6" applyNumberFormat="1" applyFont="1" applyFill="1" applyBorder="1" applyAlignment="1" applyProtection="1">
      <alignment vertical="center"/>
    </xf>
    <xf numFmtId="165" fontId="23" fillId="7" borderId="11" xfId="6" applyNumberFormat="1" applyFont="1" applyFill="1" applyBorder="1" applyAlignment="1" applyProtection="1">
      <alignment vertical="center"/>
    </xf>
    <xf numFmtId="165" fontId="23" fillId="7" borderId="116"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40" xfId="6" applyNumberFormat="1" applyFont="1" applyFill="1" applyBorder="1" applyAlignment="1" applyProtection="1">
      <alignment vertical="center"/>
    </xf>
    <xf numFmtId="0" fontId="5" fillId="0" borderId="0" xfId="6" applyFont="1" applyAlignment="1" applyProtection="1">
      <alignment vertical="center"/>
    </xf>
    <xf numFmtId="165" fontId="23" fillId="7" borderId="31" xfId="6" applyNumberFormat="1" applyFont="1" applyFill="1" applyBorder="1" applyAlignment="1" applyProtection="1">
      <alignment vertical="center"/>
    </xf>
    <xf numFmtId="165" fontId="23" fillId="0" borderId="0" xfId="6" applyNumberFormat="1" applyFont="1" applyFill="1" applyBorder="1" applyAlignment="1" applyProtection="1">
      <alignment vertical="center"/>
    </xf>
    <xf numFmtId="165" fontId="23" fillId="7" borderId="1" xfId="6" applyNumberFormat="1" applyFont="1" applyFill="1" applyBorder="1" applyAlignment="1" applyProtection="1">
      <alignment vertical="center"/>
    </xf>
    <xf numFmtId="0" fontId="5" fillId="0" borderId="0" xfId="0" applyFont="1" applyProtection="1"/>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69" xfId="6" applyNumberFormat="1" applyFont="1" applyFill="1" applyBorder="1" applyAlignment="1" applyProtection="1">
      <alignment vertical="center"/>
    </xf>
    <xf numFmtId="165" fontId="23" fillId="7" borderId="95" xfId="6" applyNumberFormat="1" applyFont="1" applyFill="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7" borderId="144" xfId="6" applyNumberFormat="1" applyFont="1" applyFill="1" applyBorder="1" applyAlignment="1" applyProtection="1">
      <alignment vertical="center"/>
    </xf>
    <xf numFmtId="165" fontId="23" fillId="17" borderId="31" xfId="6" applyNumberFormat="1" applyFont="1" applyFill="1" applyBorder="1" applyAlignment="1" applyProtection="1">
      <alignment vertical="center"/>
    </xf>
    <xf numFmtId="165" fontId="23" fillId="17" borderId="32" xfId="6" applyNumberFormat="1" applyFont="1" applyFill="1" applyBorder="1" applyAlignment="1" applyProtection="1">
      <alignment vertical="center"/>
    </xf>
    <xf numFmtId="165" fontId="23" fillId="0" borderId="29" xfId="6" applyNumberFormat="1" applyFont="1" applyFill="1" applyBorder="1" applyAlignment="1" applyProtection="1">
      <alignment vertical="center"/>
    </xf>
    <xf numFmtId="165" fontId="23" fillId="17" borderId="30" xfId="6" applyNumberFormat="1" applyFont="1" applyFill="1" applyBorder="1" applyAlignment="1" applyProtection="1">
      <alignment vertical="center"/>
    </xf>
    <xf numFmtId="0" fontId="67" fillId="0" borderId="0" xfId="18" applyFont="1" applyFill="1" applyBorder="1"/>
    <xf numFmtId="165" fontId="23" fillId="17" borderId="8" xfId="6" applyNumberFormat="1" applyFont="1" applyFill="1" applyBorder="1" applyAlignment="1" applyProtection="1">
      <alignment vertical="center"/>
    </xf>
    <xf numFmtId="165" fontId="23" fillId="17" borderId="26" xfId="6" applyNumberFormat="1" applyFont="1" applyFill="1" applyBorder="1" applyAlignment="1" applyProtection="1">
      <alignment vertical="center"/>
    </xf>
    <xf numFmtId="165" fontId="23" fillId="17" borderId="39" xfId="6" applyNumberFormat="1" applyFont="1" applyFill="1" applyBorder="1" applyAlignment="1" applyProtection="1">
      <alignment vertical="center"/>
    </xf>
    <xf numFmtId="165" fontId="23" fillId="17" borderId="56" xfId="6" applyNumberFormat="1" applyFont="1" applyFill="1" applyBorder="1" applyAlignment="1" applyProtection="1">
      <alignment vertical="center"/>
    </xf>
    <xf numFmtId="165" fontId="23" fillId="17" borderId="11" xfId="6" applyNumberFormat="1" applyFont="1" applyFill="1" applyBorder="1" applyAlignment="1" applyProtection="1">
      <alignment vertical="center"/>
    </xf>
    <xf numFmtId="165" fontId="23" fillId="17" borderId="27" xfId="6" applyNumberFormat="1" applyFont="1" applyFill="1" applyBorder="1" applyAlignment="1" applyProtection="1">
      <alignment vertical="center"/>
    </xf>
    <xf numFmtId="0" fontId="5" fillId="0" borderId="0" xfId="6" applyFont="1" applyFill="1" applyBorder="1" applyAlignment="1" applyProtection="1">
      <alignment vertical="center"/>
    </xf>
    <xf numFmtId="165" fontId="23" fillId="17" borderId="267" xfId="6" applyNumberFormat="1" applyFont="1" applyFill="1" applyBorder="1" applyAlignment="1" applyProtection="1">
      <alignment vertical="center"/>
    </xf>
    <xf numFmtId="165" fontId="23" fillId="17" borderId="268" xfId="6" applyNumberFormat="1" applyFont="1" applyFill="1" applyBorder="1" applyAlignment="1" applyProtection="1">
      <alignment vertical="center"/>
    </xf>
    <xf numFmtId="165" fontId="23" fillId="17" borderId="41" xfId="6" applyNumberFormat="1" applyFont="1" applyFill="1" applyBorder="1" applyAlignment="1" applyProtection="1">
      <alignment vertical="center"/>
    </xf>
    <xf numFmtId="165" fontId="23" fillId="17" borderId="12" xfId="6" applyNumberFormat="1" applyFont="1" applyFill="1" applyBorder="1" applyAlignment="1" applyProtection="1">
      <alignment vertical="center"/>
    </xf>
    <xf numFmtId="165" fontId="23" fillId="17" borderId="40" xfId="6" applyNumberFormat="1" applyFont="1" applyFill="1" applyBorder="1" applyAlignment="1" applyProtection="1">
      <alignment vertical="center"/>
    </xf>
    <xf numFmtId="165" fontId="23" fillId="17" borderId="269" xfId="6" applyNumberFormat="1" applyFont="1" applyFill="1" applyBorder="1" applyAlignment="1" applyProtection="1">
      <alignment vertical="center"/>
    </xf>
    <xf numFmtId="0" fontId="14" fillId="0" borderId="0" xfId="6" applyFont="1" applyFill="1" applyBorder="1" applyAlignment="1" applyProtection="1">
      <alignment horizontal="center" vertical="center"/>
    </xf>
    <xf numFmtId="165" fontId="23" fillId="17" borderId="270" xfId="6" applyNumberFormat="1" applyFont="1" applyFill="1" applyBorder="1" applyAlignment="1" applyProtection="1">
      <alignment vertical="center"/>
    </xf>
    <xf numFmtId="165" fontId="23" fillId="17" borderId="271" xfId="6" applyNumberFormat="1" applyFont="1" applyFill="1" applyBorder="1" applyAlignment="1" applyProtection="1">
      <alignment vertical="center"/>
    </xf>
    <xf numFmtId="165" fontId="23" fillId="18" borderId="272" xfId="6" applyNumberFormat="1" applyFont="1" applyFill="1" applyBorder="1" applyAlignment="1" applyProtection="1">
      <alignment vertical="center"/>
    </xf>
    <xf numFmtId="165" fontId="23" fillId="17" borderId="9" xfId="11" applyNumberFormat="1" applyFont="1" applyFill="1" applyBorder="1" applyProtection="1"/>
    <xf numFmtId="165" fontId="23" fillId="17" borderId="38" xfId="11" applyNumberFormat="1" applyFont="1" applyFill="1" applyBorder="1" applyProtection="1"/>
    <xf numFmtId="165" fontId="23" fillId="17" borderId="285" xfId="6" applyNumberFormat="1" applyFont="1" applyFill="1" applyBorder="1" applyAlignment="1" applyProtection="1">
      <alignment vertical="center"/>
    </xf>
    <xf numFmtId="165" fontId="23" fillId="17" borderId="284" xfId="6" applyNumberFormat="1" applyFont="1" applyFill="1" applyBorder="1" applyAlignment="1" applyProtection="1">
      <alignment vertical="center"/>
    </xf>
    <xf numFmtId="0" fontId="16" fillId="0" borderId="12" xfId="6" applyFont="1" applyFill="1" applyBorder="1" applyAlignment="1" applyProtection="1">
      <alignment vertical="center"/>
    </xf>
    <xf numFmtId="0" fontId="5" fillId="0" borderId="0" xfId="6" applyFont="1" applyFill="1" applyAlignment="1" applyProtection="1">
      <alignment vertical="center"/>
    </xf>
    <xf numFmtId="165" fontId="23" fillId="7" borderId="18" xfId="6" applyNumberFormat="1" applyFont="1" applyFill="1" applyBorder="1" applyAlignment="1" applyProtection="1">
      <alignment vertical="center"/>
    </xf>
    <xf numFmtId="165" fontId="23" fillId="7" borderId="109" xfId="6" applyNumberFormat="1" applyFont="1" applyFill="1" applyBorder="1" applyAlignment="1" applyProtection="1">
      <alignment vertical="center"/>
    </xf>
    <xf numFmtId="0" fontId="14" fillId="23" borderId="6" xfId="11" applyFont="1" applyFill="1" applyBorder="1" applyAlignment="1" applyProtection="1">
      <alignment horizontal="center" vertical="center"/>
    </xf>
    <xf numFmtId="0" fontId="16" fillId="0" borderId="9" xfId="11" applyFont="1" applyFill="1" applyBorder="1" applyAlignment="1">
      <alignment horizontal="center" vertical="center"/>
    </xf>
    <xf numFmtId="0" fontId="5" fillId="0" borderId="313" xfId="0" applyFont="1" applyBorder="1" applyAlignment="1">
      <alignment horizontal="center"/>
    </xf>
    <xf numFmtId="0" fontId="5" fillId="0" borderId="314" xfId="0" applyFont="1" applyBorder="1" applyAlignment="1">
      <alignment horizontal="center"/>
    </xf>
    <xf numFmtId="0" fontId="5" fillId="0" borderId="315" xfId="0" applyFont="1" applyBorder="1" applyAlignment="1">
      <alignment horizontal="center"/>
    </xf>
    <xf numFmtId="0" fontId="5" fillId="0" borderId="316" xfId="0" applyFont="1" applyBorder="1" applyAlignment="1">
      <alignment horizontal="center"/>
    </xf>
    <xf numFmtId="0" fontId="5"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3" fillId="31" borderId="29" xfId="10" applyNumberFormat="1" applyFont="1" applyFill="1" applyBorder="1" applyAlignment="1" applyProtection="1">
      <alignment vertical="center"/>
    </xf>
    <xf numFmtId="165" fontId="23" fillId="31" borderId="38" xfId="10" applyNumberFormat="1" applyFont="1" applyFill="1" applyBorder="1" applyAlignment="1" applyProtection="1">
      <alignment vertical="center"/>
    </xf>
    <xf numFmtId="165" fontId="23" fillId="31" borderId="56" xfId="2" applyNumberFormat="1" applyFont="1" applyFill="1" applyBorder="1" applyAlignment="1" applyProtection="1">
      <alignment vertical="center"/>
    </xf>
    <xf numFmtId="165" fontId="23" fillId="31" borderId="10" xfId="2" applyNumberFormat="1" applyFont="1" applyFill="1" applyBorder="1" applyAlignment="1" applyProtection="1">
      <alignment vertical="center"/>
    </xf>
    <xf numFmtId="165" fontId="23" fillId="31" borderId="49" xfId="2" applyNumberFormat="1" applyFont="1" applyFill="1" applyBorder="1" applyAlignment="1" applyProtection="1">
      <alignment vertical="center"/>
    </xf>
    <xf numFmtId="165" fontId="23" fillId="31" borderId="10" xfId="10" applyNumberFormat="1" applyFont="1" applyFill="1" applyBorder="1" applyAlignment="1" applyProtection="1">
      <alignment vertical="center"/>
    </xf>
    <xf numFmtId="165" fontId="23" fillId="31" borderId="39" xfId="10" applyNumberFormat="1" applyFont="1" applyFill="1" applyBorder="1" applyAlignment="1" applyProtection="1">
      <alignment vertical="center"/>
    </xf>
    <xf numFmtId="165" fontId="20" fillId="31" borderId="8" xfId="6" applyNumberFormat="1" applyFont="1" applyFill="1" applyBorder="1" applyAlignment="1" applyProtection="1">
      <alignment vertical="center"/>
    </xf>
    <xf numFmtId="165" fontId="20" fillId="31" borderId="9" xfId="6" applyNumberFormat="1" applyFont="1" applyFill="1" applyBorder="1" applyAlignment="1" applyProtection="1">
      <alignment vertical="center"/>
    </xf>
    <xf numFmtId="165" fontId="23" fillId="31" borderId="34" xfId="9" applyNumberFormat="1" applyFont="1" applyFill="1" applyBorder="1" applyAlignment="1" applyProtection="1">
      <alignment vertical="center"/>
    </xf>
    <xf numFmtId="165" fontId="20" fillId="31" borderId="26" xfId="6" applyNumberFormat="1" applyFont="1" applyFill="1" applyBorder="1" applyAlignment="1" applyProtection="1">
      <alignment vertical="center"/>
    </xf>
    <xf numFmtId="165" fontId="20" fillId="31" borderId="10" xfId="6" applyNumberFormat="1" applyFont="1" applyFill="1" applyBorder="1" applyAlignment="1" applyProtection="1">
      <alignment vertical="center"/>
    </xf>
    <xf numFmtId="165" fontId="20" fillId="31" borderId="38" xfId="6" applyNumberFormat="1" applyFont="1" applyFill="1" applyBorder="1" applyAlignment="1" applyProtection="1">
      <alignment vertical="center"/>
    </xf>
    <xf numFmtId="165" fontId="23" fillId="31" borderId="18" xfId="9" applyNumberFormat="1" applyFont="1" applyFill="1" applyBorder="1" applyAlignment="1" applyProtection="1">
      <alignment vertical="center"/>
    </xf>
    <xf numFmtId="10" fontId="23" fillId="31" borderId="32" xfId="9" applyNumberFormat="1" applyFont="1" applyFill="1" applyBorder="1" applyAlignment="1" applyProtection="1">
      <alignment vertical="center"/>
    </xf>
    <xf numFmtId="0" fontId="5" fillId="0" borderId="0" xfId="0" applyFont="1" applyFill="1" applyAlignment="1">
      <alignment wrapText="1"/>
    </xf>
    <xf numFmtId="0" fontId="11" fillId="0" borderId="19" xfId="5" applyFont="1" applyBorder="1" applyAlignment="1" applyProtection="1">
      <alignment vertical="center"/>
    </xf>
    <xf numFmtId="0" fontId="0" fillId="0" borderId="23" xfId="0" quotePrefix="1" applyBorder="1"/>
    <xf numFmtId="0" fontId="19" fillId="3" borderId="13" xfId="0" applyFont="1" applyFill="1" applyBorder="1" applyAlignment="1" applyProtection="1">
      <alignment horizontal="center" vertical="center" wrapText="1"/>
    </xf>
    <xf numFmtId="0" fontId="11" fillId="0" borderId="19" xfId="5" applyFont="1" applyFill="1" applyBorder="1" applyAlignment="1" applyProtection="1">
      <alignment vertical="center"/>
    </xf>
    <xf numFmtId="0" fontId="19" fillId="3" borderId="21" xfId="0" applyFont="1" applyFill="1" applyBorder="1" applyAlignment="1" applyProtection="1">
      <alignment horizontal="center" vertical="center" wrapText="1"/>
    </xf>
    <xf numFmtId="0" fontId="11" fillId="0" borderId="8" xfId="5" applyFont="1" applyFill="1" applyBorder="1" applyAlignment="1" applyProtection="1">
      <alignment vertical="center"/>
    </xf>
    <xf numFmtId="0" fontId="19" fillId="5" borderId="10" xfId="0" applyFont="1" applyFill="1" applyBorder="1" applyAlignment="1" applyProtection="1">
      <alignment horizontal="center" vertical="center" wrapText="1"/>
    </xf>
    <xf numFmtId="0" fontId="23" fillId="0" borderId="113" xfId="9" applyFont="1" applyFill="1" applyBorder="1" applyAlignment="1" applyProtection="1">
      <alignment horizontal="center" vertical="center"/>
    </xf>
    <xf numFmtId="0" fontId="22" fillId="0" borderId="47" xfId="0" applyFont="1" applyBorder="1" applyAlignment="1">
      <alignment horizontal="center"/>
    </xf>
    <xf numFmtId="0" fontId="22" fillId="0" borderId="48" xfId="0" applyFont="1" applyBorder="1" applyAlignment="1">
      <alignment horizontal="center" vertical="center"/>
    </xf>
    <xf numFmtId="2" fontId="23" fillId="4" borderId="49" xfId="9" applyNumberFormat="1" applyFont="1" applyFill="1" applyBorder="1" applyAlignment="1" applyProtection="1">
      <alignment horizontal="right"/>
      <protection locked="0"/>
    </xf>
    <xf numFmtId="0" fontId="9" fillId="0" borderId="20" xfId="0" applyFont="1" applyBorder="1"/>
    <xf numFmtId="0" fontId="22" fillId="0" borderId="20" xfId="0" applyFont="1" applyBorder="1" applyAlignment="1">
      <alignment horizontal="center"/>
    </xf>
    <xf numFmtId="0" fontId="22" fillId="0" borderId="51" xfId="0" applyFont="1" applyBorder="1" applyAlignment="1">
      <alignment horizontal="center" vertical="center"/>
    </xf>
    <xf numFmtId="2" fontId="23" fillId="7" borderId="23" xfId="9" applyNumberFormat="1" applyFont="1" applyFill="1" applyBorder="1" applyAlignment="1" applyProtection="1">
      <alignment horizontal="right"/>
    </xf>
    <xf numFmtId="0" fontId="23" fillId="0" borderId="56" xfId="9" applyFont="1" applyFill="1" applyBorder="1" applyAlignment="1" applyProtection="1">
      <alignment horizontal="center" vertical="center"/>
    </xf>
    <xf numFmtId="2" fontId="23" fillId="7" borderId="32" xfId="9" applyNumberFormat="1" applyFont="1" applyFill="1" applyBorder="1" applyAlignment="1" applyProtection="1">
      <alignment horizontal="right"/>
    </xf>
    <xf numFmtId="0" fontId="22" fillId="0" borderId="0" xfId="0" applyFont="1" applyAlignment="1">
      <alignment wrapText="1"/>
    </xf>
    <xf numFmtId="0" fontId="22" fillId="0" borderId="0" xfId="0" applyNumberFormat="1" applyFont="1" applyAlignment="1">
      <alignment wrapText="1"/>
    </xf>
    <xf numFmtId="0" fontId="20" fillId="0" borderId="0" xfId="0" applyFont="1" applyAlignment="1">
      <alignment wrapText="1"/>
    </xf>
    <xf numFmtId="0" fontId="20" fillId="0" borderId="0" xfId="0" applyNumberFormat="1" applyFont="1" applyAlignment="1">
      <alignment wrapText="1"/>
    </xf>
    <xf numFmtId="0" fontId="0" fillId="32" borderId="0" xfId="0" applyFill="1"/>
    <xf numFmtId="0" fontId="0" fillId="32" borderId="0" xfId="0" applyNumberFormat="1" applyFill="1"/>
    <xf numFmtId="0" fontId="20" fillId="33" borderId="0" xfId="0" applyFont="1" applyFill="1" applyAlignment="1">
      <alignment wrapText="1"/>
    </xf>
    <xf numFmtId="0" fontId="20" fillId="34" borderId="0" xfId="0" applyFont="1" applyFill="1" applyAlignment="1">
      <alignment wrapText="1"/>
    </xf>
    <xf numFmtId="0" fontId="20" fillId="35" borderId="0" xfId="0" applyFont="1" applyFill="1" applyAlignment="1">
      <alignment wrapText="1"/>
    </xf>
    <xf numFmtId="0" fontId="95" fillId="35" borderId="0" xfId="0" applyFont="1" applyFill="1" applyAlignment="1">
      <alignment wrapText="1"/>
    </xf>
    <xf numFmtId="0" fontId="95" fillId="33" borderId="0" xfId="0" applyFont="1" applyFill="1" applyAlignment="1">
      <alignment wrapText="1"/>
    </xf>
    <xf numFmtId="0" fontId="95" fillId="34" borderId="0" xfId="0" applyNumberFormat="1" applyFont="1" applyFill="1" applyAlignment="1">
      <alignment wrapText="1"/>
    </xf>
    <xf numFmtId="0" fontId="20" fillId="0" borderId="0" xfId="0" applyFont="1" applyFill="1" applyAlignment="1">
      <alignment wrapText="1"/>
    </xf>
    <xf numFmtId="0" fontId="22" fillId="34" borderId="0" xfId="0" applyNumberFormat="1" applyFont="1" applyFill="1" applyAlignment="1">
      <alignment wrapText="1"/>
    </xf>
    <xf numFmtId="0" fontId="22" fillId="34" borderId="0" xfId="0" applyFont="1" applyFill="1" applyAlignment="1">
      <alignment wrapText="1"/>
    </xf>
    <xf numFmtId="0" fontId="22" fillId="33" borderId="0" xfId="0" applyFont="1" applyFill="1" applyAlignment="1">
      <alignment wrapText="1"/>
    </xf>
    <xf numFmtId="0" fontId="22" fillId="35" borderId="0" xfId="0" applyFont="1" applyFill="1" applyAlignment="1">
      <alignment wrapText="1"/>
    </xf>
    <xf numFmtId="0" fontId="22" fillId="0" borderId="0" xfId="0" applyFont="1" applyFill="1" applyAlignment="1">
      <alignment wrapText="1"/>
    </xf>
    <xf numFmtId="0" fontId="9" fillId="33" borderId="0" xfId="0" applyFont="1" applyFill="1" applyBorder="1"/>
    <xf numFmtId="0" fontId="9" fillId="34" borderId="0" xfId="0" applyFont="1" applyFill="1" applyBorder="1"/>
    <xf numFmtId="0" fontId="9" fillId="35" borderId="0" xfId="0" applyFont="1" applyFill="1" applyBorder="1"/>
    <xf numFmtId="0" fontId="9" fillId="0" borderId="0" xfId="0" applyFont="1" applyFill="1" applyBorder="1"/>
    <xf numFmtId="0" fontId="0" fillId="33" borderId="0" xfId="0" applyFill="1"/>
    <xf numFmtId="0" fontId="0" fillId="33" borderId="0" xfId="0" applyNumberFormat="1" applyFill="1"/>
    <xf numFmtId="0" fontId="0" fillId="34" borderId="0" xfId="0" applyFill="1"/>
    <xf numFmtId="0" fontId="39" fillId="35" borderId="0" xfId="0" applyNumberFormat="1" applyFont="1" applyFill="1" applyBorder="1" applyAlignment="1">
      <alignment horizontal="left" vertical="top" wrapText="1"/>
    </xf>
    <xf numFmtId="0" fontId="39" fillId="35" borderId="0" xfId="0" applyFont="1" applyFill="1" applyBorder="1" applyAlignment="1">
      <alignment horizontal="left" vertical="top" wrapText="1"/>
    </xf>
    <xf numFmtId="0" fontId="0" fillId="35" borderId="0" xfId="0" applyFill="1"/>
    <xf numFmtId="0" fontId="16" fillId="33" borderId="0" xfId="0" applyFont="1" applyFill="1" applyBorder="1"/>
    <xf numFmtId="0" fontId="5" fillId="33" borderId="0" xfId="0" applyFont="1" applyFill="1"/>
    <xf numFmtId="0" fontId="22" fillId="0" borderId="0" xfId="0" applyFont="1" applyAlignment="1">
      <alignment horizontal="left" vertical="top" wrapText="1"/>
    </xf>
    <xf numFmtId="0" fontId="22" fillId="34" borderId="0" xfId="0" applyFont="1" applyFill="1" applyAlignment="1">
      <alignment horizontal="left" vertical="top" wrapText="1"/>
    </xf>
    <xf numFmtId="0" fontId="22" fillId="33" borderId="0" xfId="0" applyFont="1" applyFill="1" applyAlignment="1">
      <alignment horizontal="left" vertical="top" wrapText="1"/>
    </xf>
    <xf numFmtId="0" fontId="22" fillId="35" borderId="0" xfId="0" applyFont="1" applyFill="1" applyAlignment="1">
      <alignment horizontal="left" vertical="top" wrapText="1"/>
    </xf>
    <xf numFmtId="0" fontId="39" fillId="34" borderId="0" xfId="0" applyFont="1" applyFill="1" applyBorder="1"/>
    <xf numFmtId="0" fontId="39" fillId="33" borderId="0" xfId="0" applyFont="1" applyFill="1" applyBorder="1"/>
    <xf numFmtId="0" fontId="39" fillId="35" borderId="0" xfId="0" applyFont="1" applyFill="1" applyBorder="1"/>
    <xf numFmtId="49" fontId="9" fillId="0" borderId="0" xfId="16" applyNumberFormat="1" applyFont="1" applyBorder="1" applyAlignment="1" applyProtection="1">
      <alignment horizontal="left" vertical="center"/>
    </xf>
    <xf numFmtId="169" fontId="23" fillId="4" borderId="12" xfId="9" applyNumberFormat="1" applyFont="1" applyFill="1" applyBorder="1" applyAlignment="1" applyProtection="1">
      <alignment horizontal="center" vertical="center"/>
      <protection locked="0"/>
    </xf>
    <xf numFmtId="169" fontId="23" fillId="0" borderId="40" xfId="9" applyNumberFormat="1" applyFont="1" applyFill="1" applyBorder="1" applyAlignment="1" applyProtection="1">
      <alignment horizontal="center" vertical="center"/>
    </xf>
    <xf numFmtId="10" fontId="23" fillId="0" borderId="40" xfId="9" applyNumberFormat="1" applyFont="1" applyFill="1" applyBorder="1" applyAlignment="1" applyProtection="1">
      <alignment horizontal="center" vertical="center"/>
    </xf>
    <xf numFmtId="3" fontId="23" fillId="4" borderId="12" xfId="9" applyNumberFormat="1" applyFont="1" applyFill="1" applyBorder="1" applyAlignment="1" applyProtection="1">
      <alignment horizontal="center" vertical="center"/>
      <protection locked="0"/>
    </xf>
    <xf numFmtId="3" fontId="23" fillId="0" borderId="40" xfId="9" applyNumberFormat="1" applyFont="1" applyFill="1" applyBorder="1" applyAlignment="1" applyProtection="1">
      <alignment horizontal="center" vertical="center"/>
    </xf>
    <xf numFmtId="0" fontId="16" fillId="0" borderId="9" xfId="14" applyFont="1" applyFill="1" applyBorder="1" applyAlignment="1" applyProtection="1">
      <alignment horizontal="left" vertical="center" wrapText="1"/>
    </xf>
    <xf numFmtId="0" fontId="16" fillId="0" borderId="9" xfId="14" applyFont="1" applyFill="1" applyBorder="1" applyAlignment="1" applyProtection="1">
      <alignment horizontal="center" vertical="center" wrapText="1"/>
    </xf>
    <xf numFmtId="49" fontId="16" fillId="0" borderId="9" xfId="14" applyNumberFormat="1" applyFont="1" applyFill="1" applyBorder="1" applyAlignment="1" applyProtection="1">
      <alignment horizontal="center" vertical="center" wrapText="1"/>
    </xf>
    <xf numFmtId="172" fontId="23" fillId="0" borderId="9" xfId="9" applyNumberFormat="1" applyFont="1" applyFill="1" applyBorder="1" applyAlignment="1" applyProtection="1">
      <alignment horizontal="center" vertical="center"/>
      <protection locked="0"/>
    </xf>
    <xf numFmtId="172" fontId="23" fillId="0" borderId="10" xfId="9" applyNumberFormat="1" applyFont="1" applyFill="1" applyBorder="1" applyAlignment="1" applyProtection="1">
      <alignment horizontal="center" vertical="center"/>
    </xf>
    <xf numFmtId="172" fontId="23" fillId="0" borderId="12" xfId="9" applyNumberFormat="1" applyFont="1" applyFill="1" applyBorder="1" applyAlignment="1" applyProtection="1">
      <alignment horizontal="center" vertical="center"/>
      <protection locked="0"/>
    </xf>
    <xf numFmtId="172" fontId="23" fillId="4" borderId="12" xfId="9" applyNumberFormat="1" applyFont="1" applyFill="1" applyBorder="1" applyAlignment="1" applyProtection="1">
      <alignment horizontal="center" vertical="center"/>
      <protection locked="0"/>
    </xf>
    <xf numFmtId="172" fontId="23" fillId="0" borderId="13" xfId="9" applyNumberFormat="1" applyFont="1" applyFill="1" applyBorder="1" applyAlignment="1" applyProtection="1">
      <alignment horizontal="center" vertical="center"/>
    </xf>
    <xf numFmtId="49" fontId="9" fillId="0" borderId="8" xfId="16" applyNumberFormat="1" applyFont="1" applyBorder="1" applyAlignment="1" applyProtection="1">
      <alignment horizontal="center" vertical="top" wrapText="1"/>
    </xf>
    <xf numFmtId="0" fontId="9" fillId="0" borderId="9" xfId="16" applyNumberFormat="1" applyFont="1" applyBorder="1" applyAlignment="1" applyProtection="1">
      <alignment horizontal="left" vertical="top" wrapText="1"/>
    </xf>
    <xf numFmtId="49" fontId="9" fillId="0" borderId="11" xfId="16" applyNumberFormat="1" applyFont="1" applyBorder="1" applyAlignment="1" applyProtection="1">
      <alignment horizontal="center" vertical="top" wrapText="1"/>
    </xf>
    <xf numFmtId="0" fontId="9" fillId="0" borderId="12" xfId="16" applyNumberFormat="1" applyFont="1" applyBorder="1" applyAlignment="1" applyProtection="1">
      <alignment horizontal="left" vertical="top" wrapText="1"/>
    </xf>
    <xf numFmtId="0" fontId="0" fillId="0" borderId="0" xfId="0" applyAlignment="1">
      <alignment horizontal="right"/>
    </xf>
    <xf numFmtId="0" fontId="16" fillId="9" borderId="0" xfId="9" applyFill="1" applyAlignment="1" applyProtection="1">
      <alignment horizontal="left" vertical="center"/>
    </xf>
    <xf numFmtId="0" fontId="16" fillId="9" borderId="0" xfId="9" applyFont="1" applyFill="1" applyAlignment="1" applyProtection="1">
      <alignment horizontal="left" vertical="center"/>
    </xf>
    <xf numFmtId="0" fontId="23" fillId="0" borderId="0" xfId="9" applyNumberFormat="1" applyFont="1" applyFill="1" applyBorder="1" applyAlignment="1" applyProtection="1">
      <alignment horizontal="left" vertical="center" wrapText="1"/>
    </xf>
    <xf numFmtId="0" fontId="16" fillId="9" borderId="0" xfId="9" applyFont="1" applyFill="1" applyBorder="1" applyAlignment="1" applyProtection="1">
      <alignment horizontal="left" vertical="center"/>
    </xf>
    <xf numFmtId="0" fontId="20" fillId="0" borderId="0" xfId="8" applyFont="1" applyAlignment="1" applyProtection="1">
      <alignment horizontal="left" vertical="center"/>
    </xf>
    <xf numFmtId="0" fontId="0" fillId="0" borderId="0" xfId="0" applyAlignment="1" applyProtection="1">
      <alignment horizontal="left"/>
    </xf>
    <xf numFmtId="14" fontId="20" fillId="0" borderId="170" xfId="0" applyNumberFormat="1" applyFont="1" applyBorder="1" applyAlignment="1" applyProtection="1">
      <alignment horizontal="center" vertical="center" wrapText="1"/>
    </xf>
    <xf numFmtId="0" fontId="20" fillId="0" borderId="170" xfId="0" applyFont="1" applyBorder="1" applyAlignment="1">
      <alignment horizontal="center" vertical="center" wrapText="1"/>
    </xf>
    <xf numFmtId="14" fontId="20" fillId="0" borderId="170" xfId="0" applyNumberFormat="1" applyFont="1" applyBorder="1" applyAlignment="1">
      <alignment horizontal="center" vertical="center" wrapText="1"/>
    </xf>
    <xf numFmtId="0" fontId="20" fillId="0" borderId="23" xfId="0" applyFont="1" applyBorder="1" applyAlignment="1">
      <alignment horizontal="center" vertical="center" wrapText="1"/>
    </xf>
    <xf numFmtId="14" fontId="20" fillId="0" borderId="170" xfId="0" applyNumberFormat="1" applyFont="1" applyBorder="1" applyAlignment="1">
      <alignment horizontal="center" vertical="top" wrapText="1"/>
    </xf>
    <xf numFmtId="0" fontId="7" fillId="3" borderId="8" xfId="9" applyFont="1" applyFill="1" applyBorder="1" applyAlignment="1" applyProtection="1">
      <alignment horizontal="center" vertical="center" wrapText="1"/>
    </xf>
    <xf numFmtId="0" fontId="7" fillId="3" borderId="10" xfId="9" applyFont="1" applyFill="1" applyBorder="1" applyAlignment="1" applyProtection="1">
      <alignment horizontal="center" vertical="center" wrapText="1"/>
    </xf>
    <xf numFmtId="0" fontId="7" fillId="3" borderId="55" xfId="9" applyFont="1" applyFill="1" applyBorder="1" applyAlignment="1" applyProtection="1">
      <alignment horizontal="centerContinuous" vertical="center"/>
    </xf>
    <xf numFmtId="0" fontId="7" fillId="3" borderId="17" xfId="9" applyFont="1" applyFill="1" applyBorder="1" applyAlignment="1" applyProtection="1">
      <alignment horizontal="centerContinuous" vertical="center" wrapText="1"/>
    </xf>
    <xf numFmtId="0" fontId="7" fillId="3" borderId="1" xfId="6" applyFont="1" applyFill="1" applyBorder="1" applyAlignment="1" applyProtection="1">
      <alignment horizontal="center" vertical="center" wrapText="1"/>
    </xf>
    <xf numFmtId="0" fontId="7" fillId="3" borderId="55" xfId="11" applyFont="1" applyFill="1" applyBorder="1" applyAlignment="1" applyProtection="1">
      <alignment horizontal="center" vertical="center"/>
    </xf>
    <xf numFmtId="0" fontId="111" fillId="0" borderId="0" xfId="0" applyFont="1" applyFill="1" applyBorder="1" applyAlignment="1" applyProtection="1">
      <alignment wrapText="1"/>
    </xf>
    <xf numFmtId="165" fontId="2" fillId="0" borderId="0" xfId="0" applyNumberFormat="1" applyFont="1"/>
    <xf numFmtId="0" fontId="23" fillId="6" borderId="11" xfId="9" applyNumberFormat="1" applyFont="1" applyFill="1" applyBorder="1" applyAlignment="1" applyProtection="1">
      <alignment horizontal="center" vertical="center"/>
      <protection locked="0"/>
    </xf>
    <xf numFmtId="0" fontId="23" fillId="0" borderId="131" xfId="9" applyFont="1" applyFill="1" applyBorder="1" applyAlignment="1" applyProtection="1">
      <alignment horizontal="center" vertical="center"/>
    </xf>
    <xf numFmtId="0" fontId="9" fillId="0" borderId="47" xfId="0" applyFont="1" applyBorder="1"/>
    <xf numFmtId="10" fontId="23" fillId="7" borderId="7" xfId="9" applyNumberFormat="1" applyFont="1" applyFill="1" applyBorder="1" applyAlignment="1" applyProtection="1">
      <alignment vertical="center"/>
    </xf>
    <xf numFmtId="10" fontId="23" fillId="7" borderId="10" xfId="9" applyNumberFormat="1" applyFont="1" applyFill="1" applyBorder="1" applyAlignment="1" applyProtection="1">
      <alignment vertical="center"/>
    </xf>
    <xf numFmtId="10" fontId="20" fillId="4" borderId="10" xfId="6" applyNumberFormat="1" applyFont="1" applyFill="1" applyBorder="1" applyAlignment="1" applyProtection="1">
      <alignment vertical="center"/>
      <protection locked="0"/>
    </xf>
    <xf numFmtId="0" fontId="23" fillId="0" borderId="11" xfId="6" applyFont="1" applyBorder="1" applyAlignment="1" applyProtection="1">
      <alignment horizontal="center" vertical="center"/>
    </xf>
    <xf numFmtId="0" fontId="32" fillId="0" borderId="12" xfId="6" applyFont="1" applyBorder="1" applyAlignment="1" applyProtection="1">
      <alignment vertical="center" wrapText="1"/>
    </xf>
    <xf numFmtId="0" fontId="23" fillId="23" borderId="46" xfId="11" applyFont="1" applyFill="1" applyBorder="1" applyAlignment="1" applyProtection="1">
      <alignment horizontal="center" vertical="center"/>
    </xf>
    <xf numFmtId="0" fontId="59" fillId="23" borderId="47" xfId="11" applyFont="1" applyFill="1" applyBorder="1" applyAlignment="1">
      <alignment vertical="center" wrapText="1"/>
    </xf>
    <xf numFmtId="0" fontId="59" fillId="23" borderId="47" xfId="11" applyFont="1" applyFill="1" applyBorder="1" applyAlignment="1">
      <alignment horizontal="center" vertical="center"/>
    </xf>
    <xf numFmtId="0" fontId="14" fillId="23" borderId="47" xfId="11" applyFont="1" applyFill="1" applyBorder="1" applyAlignment="1" applyProtection="1">
      <alignment horizontal="center" vertical="center"/>
    </xf>
    <xf numFmtId="0" fontId="14" fillId="23" borderId="50" xfId="11" applyFont="1" applyFill="1" applyBorder="1" applyAlignment="1" applyProtection="1">
      <alignment horizontal="center" vertical="center"/>
    </xf>
    <xf numFmtId="165" fontId="16" fillId="7" borderId="113" xfId="19" applyNumberFormat="1" applyFont="1" applyFill="1" applyBorder="1" applyAlignment="1" applyProtection="1">
      <alignment vertical="center"/>
    </xf>
    <xf numFmtId="1" fontId="16" fillId="4" borderId="49" xfId="19" applyNumberFormat="1" applyFont="1" applyFill="1" applyBorder="1" applyAlignment="1" applyProtection="1">
      <alignment vertical="center" wrapText="1"/>
      <protection locked="0"/>
    </xf>
    <xf numFmtId="0" fontId="23" fillId="23" borderId="19" xfId="11" applyFont="1" applyFill="1" applyBorder="1" applyAlignment="1" applyProtection="1">
      <alignment horizontal="center" vertical="center"/>
    </xf>
    <xf numFmtId="0" fontId="14" fillId="23" borderId="20" xfId="11" applyFont="1" applyFill="1" applyBorder="1" applyAlignment="1" applyProtection="1">
      <alignment horizontal="center" vertical="center"/>
    </xf>
    <xf numFmtId="0" fontId="14" fillId="23" borderId="21" xfId="11" applyFont="1" applyFill="1" applyBorder="1" applyAlignment="1" applyProtection="1">
      <alignment horizontal="center" vertical="center"/>
    </xf>
    <xf numFmtId="165" fontId="16" fillId="7" borderId="131" xfId="11" applyNumberFormat="1" applyFont="1" applyFill="1" applyBorder="1" applyAlignment="1" applyProtection="1">
      <alignment vertical="center"/>
    </xf>
    <xf numFmtId="1" fontId="16" fillId="4" borderId="23" xfId="19" applyNumberFormat="1" applyFont="1" applyFill="1" applyBorder="1" applyAlignment="1" applyProtection="1">
      <alignment vertical="center" wrapText="1"/>
      <protection locked="0"/>
    </xf>
    <xf numFmtId="1" fontId="23" fillId="4" borderId="31" xfId="11" applyNumberFormat="1" applyFont="1" applyFill="1" applyBorder="1" applyProtection="1">
      <protection locked="0"/>
    </xf>
    <xf numFmtId="0" fontId="16" fillId="4" borderId="18" xfId="19" applyNumberFormat="1" applyFont="1" applyFill="1" applyBorder="1" applyAlignment="1" applyProtection="1">
      <alignment vertical="center" wrapText="1"/>
      <protection locked="0"/>
    </xf>
    <xf numFmtId="1" fontId="23" fillId="7" borderId="30" xfId="11" applyNumberFormat="1" applyFont="1" applyFill="1" applyBorder="1" applyProtection="1"/>
    <xf numFmtId="0" fontId="9" fillId="0" borderId="19" xfId="6" applyFont="1" applyBorder="1" applyAlignment="1" applyProtection="1">
      <alignment vertical="center"/>
    </xf>
    <xf numFmtId="0" fontId="59" fillId="0" borderId="51" xfId="11" applyFont="1" applyFill="1" applyBorder="1" applyAlignment="1">
      <alignment horizontal="center" vertical="center"/>
    </xf>
    <xf numFmtId="0" fontId="7" fillId="3" borderId="341" xfId="6" applyFont="1" applyFill="1" applyBorder="1" applyAlignment="1" applyProtection="1">
      <alignment horizontal="center" vertical="center" wrapText="1"/>
    </xf>
    <xf numFmtId="0" fontId="14" fillId="0" borderId="6" xfId="6" applyFont="1" applyBorder="1" applyAlignment="1">
      <alignment horizontal="center" vertical="center"/>
    </xf>
    <xf numFmtId="0" fontId="14" fillId="0" borderId="9" xfId="6" applyFont="1" applyBorder="1" applyAlignment="1">
      <alignment horizontal="center" vertical="center"/>
    </xf>
    <xf numFmtId="0" fontId="14" fillId="0" borderId="12" xfId="6" applyFont="1" applyBorder="1" applyAlignment="1">
      <alignment horizontal="center" vertical="center"/>
    </xf>
    <xf numFmtId="0" fontId="5" fillId="0" borderId="0" xfId="0" applyFont="1" applyAlignment="1">
      <alignment horizontal="center" vertical="center"/>
    </xf>
    <xf numFmtId="0" fontId="14" fillId="0" borderId="20" xfId="6" applyFont="1" applyBorder="1" applyAlignment="1">
      <alignment horizontal="center" vertical="center"/>
    </xf>
    <xf numFmtId="165" fontId="16" fillId="7" borderId="354" xfId="19" applyNumberFormat="1" applyFont="1" applyFill="1" applyBorder="1" applyAlignment="1" applyProtection="1">
      <alignment vertical="center"/>
    </xf>
    <xf numFmtId="165" fontId="16" fillId="7" borderId="353" xfId="19" applyNumberFormat="1" applyFont="1" applyFill="1" applyBorder="1" applyAlignment="1" applyProtection="1">
      <alignment vertical="center"/>
    </xf>
    <xf numFmtId="165" fontId="16" fillId="7" borderId="355" xfId="19" applyNumberFormat="1" applyFont="1" applyFill="1" applyBorder="1" applyAlignment="1" applyProtection="1">
      <alignment vertical="center"/>
    </xf>
    <xf numFmtId="165" fontId="16" fillId="7" borderId="356" xfId="19" applyNumberFormat="1" applyFont="1" applyFill="1" applyBorder="1" applyAlignment="1" applyProtection="1">
      <alignment vertical="center"/>
    </xf>
    <xf numFmtId="165" fontId="16" fillId="7" borderId="357" xfId="19" applyNumberFormat="1" applyFont="1" applyFill="1" applyBorder="1" applyAlignment="1" applyProtection="1">
      <alignment vertical="center"/>
    </xf>
    <xf numFmtId="165" fontId="16" fillId="0" borderId="353" xfId="19" applyNumberFormat="1" applyFont="1" applyFill="1" applyBorder="1" applyAlignment="1" applyProtection="1">
      <alignment vertical="center"/>
    </xf>
    <xf numFmtId="165" fontId="16" fillId="0" borderId="296" xfId="19" applyNumberFormat="1" applyFont="1" applyFill="1" applyBorder="1" applyAlignment="1" applyProtection="1">
      <alignment vertical="center"/>
    </xf>
    <xf numFmtId="165" fontId="0" fillId="0" borderId="0" xfId="0" applyNumberFormat="1" applyFill="1" applyProtection="1"/>
    <xf numFmtId="0" fontId="23" fillId="4" borderId="6" xfId="9" applyNumberFormat="1" applyFont="1" applyFill="1" applyBorder="1" applyAlignment="1" applyProtection="1">
      <alignment horizontal="center" vertical="center" wrapText="1"/>
    </xf>
    <xf numFmtId="0" fontId="10" fillId="0" borderId="4" xfId="5" applyBorder="1" applyAlignment="1" applyProtection="1">
      <alignment horizontal="center" vertical="center"/>
    </xf>
    <xf numFmtId="0" fontId="131" fillId="3" borderId="4" xfId="6" applyFont="1" applyFill="1" applyBorder="1" applyAlignment="1" applyProtection="1">
      <alignment vertical="center"/>
    </xf>
    <xf numFmtId="0" fontId="138" fillId="0" borderId="0" xfId="6" applyFont="1" applyAlignment="1" applyProtection="1">
      <alignment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20" fillId="6" borderId="0" xfId="6" applyFont="1" applyFill="1" applyAlignment="1" applyProtection="1">
      <alignment horizontal="center" vertical="center" wrapText="1"/>
    </xf>
    <xf numFmtId="0" fontId="12" fillId="0" borderId="0" xfId="9" applyFont="1" applyFill="1" applyAlignment="1" applyProtection="1">
      <alignment vertical="center"/>
    </xf>
    <xf numFmtId="0" fontId="7" fillId="3" borderId="155"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7" fillId="3" borderId="33" xfId="6" applyFont="1" applyFill="1" applyBorder="1" applyAlignment="1" applyProtection="1">
      <alignment horizontal="center" vertical="center"/>
    </xf>
    <xf numFmtId="0" fontId="102" fillId="3" borderId="33" xfId="9" applyFont="1" applyFill="1" applyBorder="1" applyAlignment="1" applyProtection="1">
      <alignment vertical="center"/>
    </xf>
    <xf numFmtId="10" fontId="20" fillId="7" borderId="6" xfId="2" applyNumberFormat="1" applyFont="1" applyFill="1" applyBorder="1" applyAlignment="1" applyProtection="1">
      <alignment vertical="center"/>
    </xf>
    <xf numFmtId="165" fontId="20" fillId="7" borderId="46" xfId="6" applyNumberFormat="1" applyFont="1" applyFill="1" applyBorder="1" applyAlignment="1" applyProtection="1">
      <alignment vertical="center"/>
    </xf>
    <xf numFmtId="10" fontId="20" fillId="4" borderId="37" xfId="2" applyNumberFormat="1" applyFont="1" applyFill="1" applyBorder="1" applyAlignment="1" applyProtection="1">
      <alignment vertical="center"/>
      <protection locked="0"/>
    </xf>
    <xf numFmtId="10" fontId="20" fillId="4" borderId="39" xfId="2" applyNumberFormat="1" applyFont="1" applyFill="1" applyBorder="1" applyAlignment="1" applyProtection="1">
      <alignment vertical="center"/>
      <protection locked="0"/>
    </xf>
    <xf numFmtId="10" fontId="20" fillId="7" borderId="29" xfId="2" applyNumberFormat="1" applyFont="1" applyFill="1" applyBorder="1" applyAlignment="1" applyProtection="1">
      <alignment vertical="center"/>
    </xf>
    <xf numFmtId="10" fontId="20" fillId="7" borderId="22" xfId="2" applyNumberFormat="1" applyFont="1" applyFill="1" applyBorder="1" applyAlignment="1" applyProtection="1">
      <alignment vertical="center"/>
    </xf>
    <xf numFmtId="165" fontId="20" fillId="31" borderId="61" xfId="6" applyNumberFormat="1" applyFont="1" applyFill="1" applyBorder="1" applyAlignment="1" applyProtection="1">
      <alignment vertical="center"/>
    </xf>
    <xf numFmtId="165" fontId="20" fillId="7" borderId="130" xfId="6" applyNumberFormat="1" applyFont="1" applyFill="1" applyBorder="1" applyAlignment="1" applyProtection="1">
      <alignment vertical="center"/>
    </xf>
    <xf numFmtId="165" fontId="20" fillId="31" borderId="1" xfId="6" applyNumberFormat="1" applyFont="1" applyFill="1" applyBorder="1" applyAlignment="1" applyProtection="1">
      <alignment vertical="center"/>
    </xf>
    <xf numFmtId="10" fontId="20" fillId="7" borderId="7" xfId="2" applyNumberFormat="1" applyFont="1" applyFill="1" applyBorder="1" applyAlignment="1" applyProtection="1">
      <alignment vertical="center"/>
    </xf>
    <xf numFmtId="10" fontId="20" fillId="7" borderId="10" xfId="2" applyNumberFormat="1" applyFont="1" applyFill="1" applyBorder="1" applyAlignment="1" applyProtection="1">
      <alignment vertical="center"/>
    </xf>
    <xf numFmtId="10" fontId="20" fillId="7" borderId="24" xfId="2" applyNumberFormat="1" applyFont="1" applyFill="1" applyBorder="1" applyAlignment="1" applyProtection="1">
      <alignment vertical="center"/>
    </xf>
    <xf numFmtId="10" fontId="20" fillId="7" borderId="26" xfId="2" applyNumberFormat="1" applyFont="1" applyFill="1" applyBorder="1" applyAlignment="1" applyProtection="1">
      <alignment vertical="center"/>
    </xf>
    <xf numFmtId="10" fontId="20" fillId="7" borderId="27" xfId="2" applyNumberFormat="1" applyFont="1" applyFill="1" applyBorder="1" applyAlignment="1" applyProtection="1">
      <alignment vertical="center"/>
    </xf>
    <xf numFmtId="10" fontId="20" fillId="7" borderId="39" xfId="2" applyNumberFormat="1" applyFont="1" applyFill="1" applyBorder="1" applyAlignment="1" applyProtection="1">
      <alignment vertical="center"/>
    </xf>
    <xf numFmtId="10" fontId="20" fillId="7" borderId="41" xfId="2" applyNumberFormat="1" applyFont="1" applyFill="1" applyBorder="1" applyAlignment="1" applyProtection="1">
      <alignment vertical="center"/>
    </xf>
    <xf numFmtId="10" fontId="20" fillId="7" borderId="61" xfId="2" applyNumberFormat="1" applyFont="1" applyFill="1" applyBorder="1" applyAlignment="1" applyProtection="1">
      <alignment vertical="center"/>
    </xf>
    <xf numFmtId="10" fontId="20" fillId="7" borderId="37" xfId="2" applyNumberFormat="1" applyFont="1" applyFill="1" applyBorder="1" applyAlignment="1" applyProtection="1">
      <alignment vertical="center"/>
    </xf>
    <xf numFmtId="10" fontId="20" fillId="31" borderId="61" xfId="2" applyNumberFormat="1" applyFont="1" applyFill="1" applyBorder="1" applyAlignment="1" applyProtection="1">
      <alignment vertical="center"/>
    </xf>
    <xf numFmtId="10" fontId="20" fillId="7" borderId="130" xfId="2" applyNumberFormat="1" applyFont="1" applyFill="1" applyBorder="1" applyAlignment="1" applyProtection="1">
      <alignment vertical="center"/>
    </xf>
    <xf numFmtId="10" fontId="1" fillId="0" borderId="358" xfId="2" applyNumberFormat="1" applyBorder="1" applyAlignment="1" applyProtection="1">
      <alignment vertical="center"/>
    </xf>
    <xf numFmtId="10" fontId="20" fillId="4" borderId="61" xfId="2" applyNumberFormat="1" applyFont="1" applyFill="1" applyBorder="1" applyAlignment="1" applyProtection="1">
      <alignment vertical="center"/>
      <protection locked="0"/>
    </xf>
    <xf numFmtId="165" fontId="20" fillId="7" borderId="125" xfId="6" applyNumberFormat="1" applyFont="1" applyFill="1" applyBorder="1" applyAlignment="1" applyProtection="1">
      <alignment vertical="center"/>
    </xf>
    <xf numFmtId="0" fontId="1" fillId="0" borderId="358" xfId="6" applyBorder="1" applyAlignment="1" applyProtection="1">
      <alignment vertical="center"/>
    </xf>
    <xf numFmtId="0" fontId="12" fillId="0" borderId="0" xfId="9" applyFont="1" applyFill="1" applyAlignment="1" applyProtection="1">
      <alignment vertical="center"/>
    </xf>
    <xf numFmtId="0" fontId="7" fillId="3" borderId="1"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7" fillId="3" borderId="14" xfId="6" applyFont="1" applyFill="1" applyBorder="1" applyAlignment="1" applyProtection="1">
      <alignment horizontal="center" vertical="center"/>
    </xf>
    <xf numFmtId="0" fontId="102" fillId="3" borderId="33" xfId="9" applyFont="1" applyFill="1" applyBorder="1" applyAlignment="1" applyProtection="1">
      <alignment vertical="center"/>
    </xf>
    <xf numFmtId="165" fontId="20" fillId="4" borderId="11" xfId="2" applyNumberFormat="1" applyFont="1" applyFill="1" applyBorder="1" applyAlignment="1" applyProtection="1">
      <alignment vertical="center"/>
      <protection locked="0"/>
    </xf>
    <xf numFmtId="165" fontId="20" fillId="7" borderId="12" xfId="2" applyNumberFormat="1" applyFont="1" applyFill="1" applyBorder="1" applyAlignment="1" applyProtection="1">
      <alignment vertical="center"/>
    </xf>
    <xf numFmtId="165" fontId="20" fillId="4" borderId="13" xfId="2" applyNumberFormat="1" applyFont="1" applyFill="1" applyBorder="1" applyAlignment="1" applyProtection="1">
      <alignment vertical="center"/>
      <protection locked="0"/>
    </xf>
    <xf numFmtId="165" fontId="1" fillId="0" borderId="0" xfId="6" applyNumberFormat="1" applyAlignment="1" applyProtection="1">
      <alignment vertical="center"/>
    </xf>
    <xf numFmtId="10" fontId="20" fillId="7" borderId="11" xfId="2" applyNumberFormat="1" applyFont="1" applyFill="1" applyBorder="1" applyAlignment="1" applyProtection="1">
      <alignment vertical="center"/>
    </xf>
    <xf numFmtId="10" fontId="20" fillId="7" borderId="5" xfId="2" applyNumberFormat="1" applyFont="1" applyFill="1" applyBorder="1" applyAlignment="1" applyProtection="1">
      <alignment vertical="center"/>
    </xf>
    <xf numFmtId="10" fontId="20" fillId="7" borderId="46" xfId="2" applyNumberFormat="1" applyFont="1" applyFill="1" applyBorder="1" applyAlignment="1" applyProtection="1">
      <alignment vertical="center"/>
    </xf>
    <xf numFmtId="10" fontId="20" fillId="7" borderId="125" xfId="2" applyNumberFormat="1" applyFont="1" applyFill="1" applyBorder="1" applyAlignment="1" applyProtection="1">
      <alignment vertical="center"/>
    </xf>
    <xf numFmtId="10" fontId="20" fillId="7" borderId="115" xfId="2" applyNumberFormat="1" applyFont="1" applyFill="1" applyBorder="1" applyAlignment="1" applyProtection="1">
      <alignment vertical="center"/>
    </xf>
    <xf numFmtId="165" fontId="23" fillId="31" borderId="5" xfId="9" applyNumberFormat="1" applyFont="1" applyFill="1" applyBorder="1" applyAlignment="1" applyProtection="1">
      <alignment vertical="center"/>
    </xf>
    <xf numFmtId="165" fontId="23" fillId="31" borderId="28" xfId="9" applyNumberFormat="1" applyFont="1" applyFill="1" applyBorder="1" applyAlignment="1" applyProtection="1">
      <alignment vertical="center"/>
    </xf>
    <xf numFmtId="165" fontId="23" fillId="31" borderId="7" xfId="9" applyNumberFormat="1" applyFont="1" applyFill="1" applyBorder="1" applyAlignment="1" applyProtection="1">
      <alignment vertical="center"/>
    </xf>
    <xf numFmtId="10" fontId="20" fillId="31" borderId="9" xfId="2" applyNumberFormat="1" applyFont="1" applyFill="1" applyBorder="1" applyAlignment="1" applyProtection="1">
      <alignment vertical="center"/>
    </xf>
    <xf numFmtId="165" fontId="23" fillId="31" borderId="31" xfId="9" applyNumberFormat="1" applyFont="1" applyFill="1" applyBorder="1" applyAlignment="1" applyProtection="1">
      <alignment vertical="center"/>
    </xf>
    <xf numFmtId="165" fontId="23" fillId="31" borderId="37" xfId="9" applyNumberFormat="1" applyFont="1" applyFill="1" applyBorder="1" applyAlignment="1" applyProtection="1">
      <alignment vertical="center"/>
    </xf>
    <xf numFmtId="165" fontId="23" fillId="31" borderId="6" xfId="9" applyNumberFormat="1" applyFont="1" applyFill="1" applyBorder="1" applyAlignment="1" applyProtection="1">
      <alignment vertical="center"/>
    </xf>
    <xf numFmtId="165" fontId="23" fillId="4" borderId="8" xfId="9" applyNumberFormat="1" applyFont="1" applyFill="1" applyBorder="1" applyAlignment="1" applyProtection="1">
      <alignment vertical="center"/>
    </xf>
    <xf numFmtId="165" fontId="23" fillId="7" borderId="29" xfId="9" applyNumberFormat="1" applyFont="1" applyFill="1" applyBorder="1" applyAlignment="1" applyProtection="1">
      <alignment vertical="center"/>
    </xf>
    <xf numFmtId="0" fontId="23" fillId="0" borderId="228" xfId="6" applyFont="1" applyBorder="1" applyAlignment="1" applyProtection="1">
      <alignment horizontal="center" vertical="center"/>
    </xf>
    <xf numFmtId="0" fontId="32" fillId="0" borderId="155" xfId="6" applyFont="1" applyBorder="1" applyAlignment="1" applyProtection="1">
      <alignment vertical="center" wrapText="1"/>
    </xf>
    <xf numFmtId="0" fontId="9" fillId="0" borderId="313" xfId="0" applyFont="1" applyBorder="1" applyAlignment="1">
      <alignment horizontal="center"/>
    </xf>
    <xf numFmtId="0" fontId="9" fillId="0" borderId="314" xfId="0" applyFont="1" applyBorder="1" applyAlignment="1">
      <alignment horizontal="center"/>
    </xf>
    <xf numFmtId="0" fontId="9" fillId="0" borderId="315" xfId="0" applyFont="1" applyBorder="1" applyAlignment="1">
      <alignment horizontal="center"/>
    </xf>
    <xf numFmtId="0" fontId="9" fillId="0" borderId="316" xfId="0" applyFont="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9" fillId="0" borderId="235" xfId="0" applyFont="1" applyBorder="1" applyAlignment="1">
      <alignment horizontal="center"/>
    </xf>
    <xf numFmtId="0" fontId="9" fillId="0" borderId="244" xfId="0" applyFont="1" applyBorder="1" applyAlignment="1">
      <alignment horizontal="center"/>
    </xf>
    <xf numFmtId="0" fontId="9" fillId="0" borderId="256" xfId="0" applyFont="1" applyBorder="1" applyAlignment="1">
      <alignment horizontal="center"/>
    </xf>
    <xf numFmtId="0" fontId="9" fillId="0" borderId="234" xfId="0" applyFont="1" applyBorder="1" applyAlignment="1">
      <alignment horizontal="center"/>
    </xf>
    <xf numFmtId="0" fontId="9" fillId="0" borderId="243" xfId="0" applyFont="1" applyBorder="1" applyAlignment="1">
      <alignment horizontal="center"/>
    </xf>
    <xf numFmtId="0" fontId="9" fillId="0" borderId="280" xfId="0" applyFont="1" applyBorder="1" applyAlignment="1">
      <alignment horizontal="center"/>
    </xf>
    <xf numFmtId="10" fontId="23" fillId="4" borderId="5" xfId="2" applyNumberFormat="1" applyFont="1" applyFill="1" applyBorder="1" applyAlignment="1" applyProtection="1">
      <alignment vertical="center"/>
    </xf>
    <xf numFmtId="10" fontId="23" fillId="4" borderId="6" xfId="2" applyNumberFormat="1" applyFont="1" applyFill="1" applyBorder="1" applyAlignment="1" applyProtection="1">
      <alignment vertical="center"/>
    </xf>
    <xf numFmtId="10" fontId="23" fillId="4" borderId="8" xfId="2" applyNumberFormat="1" applyFont="1" applyFill="1" applyBorder="1" applyAlignment="1" applyProtection="1">
      <alignment vertical="center"/>
    </xf>
    <xf numFmtId="10" fontId="23" fillId="4" borderId="9" xfId="2" applyNumberFormat="1" applyFont="1" applyFill="1" applyBorder="1" applyAlignment="1" applyProtection="1">
      <alignment vertical="center"/>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23" fillId="4" borderId="11" xfId="2" applyNumberFormat="1" applyFont="1" applyFill="1" applyBorder="1" applyAlignment="1" applyProtection="1">
      <alignment vertical="center"/>
    </xf>
    <xf numFmtId="10" fontId="23" fillId="4" borderId="12" xfId="2" applyNumberFormat="1" applyFont="1" applyFill="1" applyBorder="1" applyAlignment="1" applyProtection="1">
      <alignment vertical="center"/>
    </xf>
    <xf numFmtId="10" fontId="5" fillId="0" borderId="0" xfId="2" applyNumberFormat="1" applyFont="1" applyAlignment="1" applyProtection="1">
      <alignment vertical="center"/>
    </xf>
    <xf numFmtId="165" fontId="23" fillId="4" borderId="5" xfId="6" applyNumberFormat="1" applyFont="1" applyFill="1" applyBorder="1" applyAlignment="1" applyProtection="1">
      <alignment vertical="center"/>
    </xf>
    <xf numFmtId="165" fontId="23" fillId="4" borderId="31" xfId="6" applyNumberFormat="1" applyFont="1" applyFill="1" applyBorder="1" applyAlignment="1" applyProtection="1">
      <alignment vertical="center"/>
    </xf>
    <xf numFmtId="165" fontId="23" fillId="4" borderId="8" xfId="6" applyNumberFormat="1" applyFont="1" applyFill="1" applyBorder="1" applyAlignment="1" applyProtection="1">
      <alignment vertical="center"/>
    </xf>
    <xf numFmtId="165" fontId="23" fillId="4" borderId="32" xfId="6" applyNumberFormat="1" applyFont="1" applyFill="1" applyBorder="1" applyAlignment="1" applyProtection="1">
      <alignment vertical="center"/>
    </xf>
    <xf numFmtId="165" fontId="23" fillId="4" borderId="12" xfId="6" applyNumberFormat="1" applyFont="1" applyFill="1" applyBorder="1" applyAlignment="1" applyProtection="1">
      <alignment vertical="center"/>
    </xf>
    <xf numFmtId="165" fontId="23" fillId="4" borderId="13" xfId="6" applyNumberFormat="1" applyFont="1" applyFill="1" applyBorder="1" applyAlignment="1" applyProtection="1">
      <alignment vertical="center"/>
    </xf>
    <xf numFmtId="10" fontId="23" fillId="7" borderId="35" xfId="2" applyNumberFormat="1" applyFont="1" applyFill="1" applyBorder="1" applyAlignment="1" applyProtection="1">
      <alignment vertical="center"/>
    </xf>
    <xf numFmtId="10" fontId="23" fillId="7" borderId="2" xfId="2"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0" fontId="23" fillId="4" borderId="35" xfId="2" applyNumberFormat="1" applyFont="1" applyFill="1" applyBorder="1" applyAlignment="1" applyProtection="1">
      <alignment vertical="center"/>
    </xf>
    <xf numFmtId="10" fontId="23" fillId="4" borderId="2"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31" borderId="2" xfId="2" applyNumberFormat="1" applyFont="1" applyFill="1" applyBorder="1" applyAlignment="1" applyProtection="1">
      <alignment vertical="center"/>
    </xf>
    <xf numFmtId="165" fontId="23" fillId="31" borderId="2"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65" fontId="23" fillId="4" borderId="46" xfId="6" applyNumberFormat="1" applyFont="1" applyFill="1" applyBorder="1" applyAlignment="1" applyProtection="1">
      <alignment vertical="center"/>
    </xf>
    <xf numFmtId="165" fontId="23" fillId="4" borderId="49" xfId="6" applyNumberFormat="1" applyFont="1" applyFill="1" applyBorder="1" applyAlignment="1" applyProtection="1">
      <alignment vertical="center"/>
    </xf>
    <xf numFmtId="10" fontId="23" fillId="7" borderId="23"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5" fillId="0" borderId="0" xfId="8" applyFont="1" applyAlignment="1" applyProtection="1">
      <alignment vertical="center"/>
    </xf>
    <xf numFmtId="0" fontId="23" fillId="0" borderId="0" xfId="8" applyFont="1" applyAlignment="1" applyProtection="1">
      <alignment vertical="center"/>
    </xf>
    <xf numFmtId="10" fontId="23" fillId="7" borderId="6" xfId="2"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0" fontId="23" fillId="7" borderId="12" xfId="2" applyNumberFormat="1" applyFont="1" applyFill="1" applyBorder="1" applyAlignment="1" applyProtection="1">
      <alignment vertical="center"/>
    </xf>
    <xf numFmtId="10" fontId="23" fillId="7" borderId="28"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65" fontId="23" fillId="7" borderId="5"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8" xfId="2" applyNumberFormat="1" applyFont="1" applyFill="1" applyBorder="1" applyAlignment="1" applyProtection="1">
      <alignment vertical="center"/>
    </xf>
    <xf numFmtId="10" fontId="23" fillId="7" borderId="11" xfId="2" applyNumberFormat="1" applyFont="1" applyFill="1" applyBorder="1" applyAlignment="1" applyProtection="1">
      <alignment vertical="center"/>
    </xf>
    <xf numFmtId="10" fontId="23" fillId="7" borderId="31" xfId="2" applyNumberFormat="1" applyFont="1" applyFill="1" applyBorder="1" applyAlignment="1" applyProtection="1">
      <alignment vertical="center"/>
    </xf>
    <xf numFmtId="10" fontId="23" fillId="7" borderId="49"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165" fontId="23" fillId="4" borderId="10" xfId="9" applyNumberFormat="1" applyFont="1" applyFill="1" applyBorder="1" applyAlignment="1" applyProtection="1">
      <alignment vertical="center"/>
    </xf>
    <xf numFmtId="165" fontId="23" fillId="4" borderId="31" xfId="9" applyNumberFormat="1" applyFont="1" applyFill="1" applyBorder="1" applyAlignment="1" applyProtection="1">
      <alignment vertical="center"/>
    </xf>
    <xf numFmtId="0" fontId="16" fillId="0" borderId="6" xfId="6" applyFont="1" applyBorder="1" applyAlignment="1" applyProtection="1">
      <alignment vertical="center"/>
    </xf>
    <xf numFmtId="0" fontId="16" fillId="0" borderId="47" xfId="6" applyFont="1" applyBorder="1" applyAlignment="1" applyProtection="1">
      <alignment vertical="center"/>
    </xf>
    <xf numFmtId="0" fontId="16" fillId="0" borderId="155" xfId="6" applyFont="1" applyBorder="1" applyAlignment="1" applyProtection="1">
      <alignment vertical="center"/>
    </xf>
    <xf numFmtId="0" fontId="16" fillId="0" borderId="12" xfId="6" applyFont="1" applyBorder="1" applyAlignment="1" applyProtection="1">
      <alignment vertical="center" wrapText="1"/>
    </xf>
    <xf numFmtId="0" fontId="14" fillId="0" borderId="6" xfId="6" applyFont="1" applyBorder="1" applyAlignment="1" applyProtection="1">
      <alignment horizontal="center" vertical="center"/>
    </xf>
    <xf numFmtId="0" fontId="14" fillId="0" borderId="7" xfId="6" applyFont="1" applyBorder="1" applyAlignment="1" applyProtection="1">
      <alignment horizontal="center" vertical="center"/>
    </xf>
    <xf numFmtId="0" fontId="14" fillId="0" borderId="47" xfId="6" applyFont="1" applyBorder="1" applyAlignment="1" applyProtection="1">
      <alignment horizontal="center" vertical="center"/>
    </xf>
    <xf numFmtId="0" fontId="14" fillId="0" borderId="50" xfId="6" applyFont="1" applyBorder="1" applyAlignment="1" applyProtection="1">
      <alignment horizontal="center" vertical="center"/>
    </xf>
    <xf numFmtId="0" fontId="14" fillId="0" borderId="12" xfId="6" applyFont="1" applyBorder="1" applyAlignment="1" applyProtection="1">
      <alignment horizontal="center" vertical="center"/>
    </xf>
    <xf numFmtId="0" fontId="14" fillId="0" borderId="13" xfId="6" applyFont="1" applyBorder="1" applyAlignment="1" applyProtection="1">
      <alignment horizontal="center" vertical="center"/>
    </xf>
    <xf numFmtId="0" fontId="16" fillId="0" borderId="9" xfId="6" applyFont="1" applyBorder="1" applyAlignment="1" applyProtection="1">
      <alignment vertical="center" wrapText="1"/>
    </xf>
    <xf numFmtId="0" fontId="14" fillId="0" borderId="8" xfId="6" applyFont="1" applyBorder="1" applyAlignment="1" applyProtection="1">
      <alignment horizontal="center" vertical="center"/>
    </xf>
    <xf numFmtId="0" fontId="114" fillId="0" borderId="9" xfId="6" applyFont="1" applyBorder="1" applyAlignment="1" applyProtection="1">
      <alignment vertical="center"/>
    </xf>
    <xf numFmtId="0" fontId="0" fillId="0" borderId="131" xfId="0" applyFill="1" applyBorder="1" applyProtection="1"/>
    <xf numFmtId="0" fontId="16" fillId="0" borderId="9" xfId="11" applyFont="1" applyFill="1" applyBorder="1" applyAlignment="1">
      <alignment vertical="center" wrapText="1"/>
    </xf>
    <xf numFmtId="0" fontId="67" fillId="23" borderId="0" xfId="18" applyFont="1" applyFill="1"/>
    <xf numFmtId="0" fontId="16" fillId="23" borderId="12" xfId="11" applyFont="1" applyFill="1" applyBorder="1" applyAlignment="1">
      <alignment vertical="center" wrapText="1"/>
    </xf>
    <xf numFmtId="0" fontId="16" fillId="23" borderId="12" xfId="11" applyFont="1" applyFill="1" applyBorder="1" applyAlignment="1">
      <alignment horizontal="center" vertical="center"/>
    </xf>
    <xf numFmtId="0" fontId="5" fillId="0" borderId="0" xfId="6" applyFont="1" applyBorder="1" applyAlignment="1" applyProtection="1">
      <alignment vertical="center"/>
    </xf>
    <xf numFmtId="0" fontId="5" fillId="3" borderId="0" xfId="6" applyFont="1" applyFill="1" applyAlignment="1" applyProtection="1">
      <alignment vertical="center"/>
    </xf>
    <xf numFmtId="0" fontId="67" fillId="0" borderId="0" xfId="18" applyFont="1"/>
    <xf numFmtId="0" fontId="16" fillId="23" borderId="9" xfId="11" applyFont="1" applyFill="1" applyBorder="1" applyAlignment="1">
      <alignment vertical="center" wrapText="1"/>
    </xf>
    <xf numFmtId="0" fontId="16" fillId="23" borderId="9" xfId="11" applyFont="1" applyFill="1" applyBorder="1" applyAlignment="1">
      <alignment horizontal="center" vertical="center"/>
    </xf>
    <xf numFmtId="0" fontId="16" fillId="23" borderId="9" xfId="11" applyFont="1" applyFill="1" applyBorder="1" applyAlignment="1">
      <alignment horizontal="center" vertical="center" wrapText="1"/>
    </xf>
    <xf numFmtId="9" fontId="16" fillId="23" borderId="51" xfId="11" applyNumberFormat="1" applyFont="1" applyFill="1" applyBorder="1" applyAlignment="1">
      <alignment vertical="center" wrapText="1"/>
    </xf>
    <xf numFmtId="0" fontId="16" fillId="23" borderId="20" xfId="11" applyFont="1" applyFill="1" applyBorder="1" applyAlignment="1">
      <alignment horizontal="center" vertical="center" wrapText="1"/>
    </xf>
    <xf numFmtId="0" fontId="14" fillId="8" borderId="25" xfId="7" applyFont="1" applyBorder="1" applyAlignment="1" applyProtection="1">
      <alignment horizontal="center" vertical="center"/>
    </xf>
    <xf numFmtId="0" fontId="23" fillId="6" borderId="0" xfId="6" applyFont="1" applyFill="1" applyAlignment="1" applyProtection="1">
      <alignment horizontal="center" vertical="center"/>
    </xf>
    <xf numFmtId="0" fontId="23" fillId="3" borderId="0" xfId="8" applyFont="1" applyFill="1" applyAlignment="1" applyProtection="1">
      <alignment horizontal="center" vertical="center"/>
    </xf>
    <xf numFmtId="165" fontId="5" fillId="0" borderId="0" xfId="0" applyNumberFormat="1" applyFont="1" applyProtection="1"/>
    <xf numFmtId="0" fontId="23" fillId="0" borderId="0" xfId="0" applyFont="1" applyFill="1" applyBorder="1" applyProtection="1"/>
    <xf numFmtId="0" fontId="16" fillId="0" borderId="44" xfId="11" applyFont="1" applyFill="1" applyBorder="1" applyAlignment="1">
      <alignment vertical="center" wrapText="1"/>
    </xf>
    <xf numFmtId="0" fontId="16" fillId="0" borderId="44" xfId="11" applyFont="1" applyFill="1" applyBorder="1" applyAlignment="1">
      <alignment horizontal="center" vertical="center"/>
    </xf>
    <xf numFmtId="0" fontId="16" fillId="0" borderId="12" xfId="11" applyFont="1" applyFill="1" applyBorder="1" applyAlignment="1">
      <alignment vertical="center" wrapText="1"/>
    </xf>
    <xf numFmtId="0" fontId="16" fillId="0" borderId="12" xfId="11" applyFont="1" applyFill="1" applyBorder="1" applyAlignment="1">
      <alignment horizontal="center" vertical="center"/>
    </xf>
    <xf numFmtId="0" fontId="16" fillId="0" borderId="44" xfId="11" applyFont="1" applyFill="1" applyBorder="1" applyAlignment="1">
      <alignment horizontal="center" vertical="center" wrapText="1"/>
    </xf>
    <xf numFmtId="9" fontId="14" fillId="0" borderId="44" xfId="11" applyNumberFormat="1" applyFont="1" applyFill="1" applyBorder="1" applyAlignment="1">
      <alignment horizontal="center" vertical="center" wrapText="1"/>
    </xf>
    <xf numFmtId="0" fontId="16" fillId="4" borderId="43" xfId="2" applyNumberFormat="1" applyFont="1" applyFill="1" applyBorder="1" applyAlignment="1" applyProtection="1">
      <alignment vertical="center"/>
      <protection locked="0"/>
    </xf>
    <xf numFmtId="0" fontId="16" fillId="0" borderId="20" xfId="11" applyFont="1" applyFill="1" applyBorder="1" applyAlignment="1">
      <alignment vertical="center" wrapText="1"/>
    </xf>
    <xf numFmtId="0" fontId="14" fillId="0" borderId="20" xfId="11" applyFont="1" applyFill="1" applyBorder="1" applyAlignment="1" applyProtection="1">
      <alignment horizontal="center" vertical="center"/>
    </xf>
    <xf numFmtId="0" fontId="16" fillId="0" borderId="314" xfId="0" applyFont="1" applyBorder="1" applyAlignment="1">
      <alignment horizontal="center"/>
    </xf>
    <xf numFmtId="0" fontId="139" fillId="0" borderId="9" xfId="6" applyFont="1" applyFill="1" applyBorder="1" applyAlignment="1" applyProtection="1">
      <alignment vertical="center"/>
    </xf>
    <xf numFmtId="49" fontId="16" fillId="0" borderId="9" xfId="6" applyNumberFormat="1" applyFont="1" applyFill="1" applyBorder="1" applyAlignment="1" applyProtection="1">
      <alignment vertical="center"/>
    </xf>
    <xf numFmtId="0" fontId="16" fillId="0" borderId="0" xfId="6" applyFont="1" applyFill="1" applyBorder="1" applyAlignment="1" applyProtection="1">
      <alignment vertical="center"/>
    </xf>
    <xf numFmtId="0" fontId="16" fillId="0" borderId="315" xfId="0" applyFont="1" applyFill="1" applyBorder="1" applyAlignment="1">
      <alignment vertical="center"/>
    </xf>
    <xf numFmtId="0" fontId="16" fillId="0" borderId="315" xfId="0" applyFont="1" applyBorder="1" applyAlignment="1">
      <alignment horizontal="center"/>
    </xf>
    <xf numFmtId="0" fontId="16" fillId="0" borderId="316"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16" fillId="0" borderId="313" xfId="0" applyFont="1" applyFill="1" applyBorder="1" applyAlignment="1">
      <alignment vertical="center"/>
    </xf>
    <xf numFmtId="0" fontId="16" fillId="0" borderId="313" xfId="0" applyFont="1" applyBorder="1" applyAlignment="1">
      <alignment horizontal="center"/>
    </xf>
    <xf numFmtId="0" fontId="138" fillId="0" borderId="0" xfId="0" applyFont="1" applyAlignment="1">
      <alignment wrapText="1"/>
    </xf>
    <xf numFmtId="0" fontId="138" fillId="0" borderId="0" xfId="0" applyFont="1" applyFill="1" applyAlignment="1">
      <alignment wrapText="1"/>
    </xf>
    <xf numFmtId="0" fontId="14" fillId="0" borderId="306" xfId="0" applyFont="1" applyBorder="1" applyAlignment="1">
      <alignment horizontal="center" vertical="center"/>
    </xf>
    <xf numFmtId="0" fontId="7" fillId="3" borderId="33" xfId="11" applyFont="1" applyFill="1" applyBorder="1" applyAlignment="1" applyProtection="1">
      <alignment horizontal="center" vertical="center"/>
    </xf>
    <xf numFmtId="0" fontId="23" fillId="0" borderId="303" xfId="0" applyFont="1" applyBorder="1" applyAlignment="1">
      <alignment horizontal="center" vertical="center"/>
    </xf>
    <xf numFmtId="0" fontId="14" fillId="0" borderId="313" xfId="0" applyFont="1" applyBorder="1" applyAlignment="1">
      <alignment horizontal="center" vertical="center"/>
    </xf>
    <xf numFmtId="0" fontId="14" fillId="0" borderId="304" xfId="0" applyFont="1" applyBorder="1" applyAlignment="1">
      <alignment horizontal="center" vertical="center"/>
    </xf>
    <xf numFmtId="0" fontId="23" fillId="0" borderId="305" xfId="0" applyFont="1" applyBorder="1" applyAlignment="1">
      <alignment horizontal="center" vertical="center"/>
    </xf>
    <xf numFmtId="0" fontId="14" fillId="0" borderId="314" xfId="0" applyFont="1" applyBorder="1" applyAlignment="1">
      <alignment horizontal="center" vertical="center"/>
    </xf>
    <xf numFmtId="6" fontId="14" fillId="0" borderId="314" xfId="0" quotePrefix="1" applyNumberFormat="1" applyFont="1" applyBorder="1" applyAlignment="1">
      <alignment horizontal="center" vertical="center"/>
    </xf>
    <xf numFmtId="0" fontId="14" fillId="0" borderId="315" xfId="0" quotePrefix="1" applyFont="1" applyBorder="1" applyAlignment="1">
      <alignment horizontal="center" vertical="center"/>
    </xf>
    <xf numFmtId="0" fontId="14" fillId="0" borderId="307" xfId="0" applyFont="1" applyBorder="1" applyAlignment="1">
      <alignment horizontal="center" vertical="center"/>
    </xf>
    <xf numFmtId="0" fontId="23" fillId="0" borderId="308" xfId="0" applyFont="1" applyBorder="1" applyAlignment="1">
      <alignment horizontal="center" vertical="center"/>
    </xf>
    <xf numFmtId="6" fontId="14" fillId="0" borderId="316" xfId="0" quotePrefix="1" applyNumberFormat="1" applyFont="1" applyBorder="1" applyAlignment="1">
      <alignment horizontal="center" vertical="center"/>
    </xf>
    <xf numFmtId="0" fontId="14" fillId="0" borderId="309" xfId="0" applyFont="1" applyBorder="1" applyAlignment="1">
      <alignment horizontal="center" vertical="center"/>
    </xf>
    <xf numFmtId="0" fontId="5" fillId="0" borderId="0" xfId="0" applyFont="1" applyAlignment="1">
      <alignment horizontal="center"/>
    </xf>
    <xf numFmtId="0" fontId="5" fillId="0" borderId="313" xfId="0" applyFont="1" applyBorder="1"/>
    <xf numFmtId="0" fontId="5" fillId="0" borderId="314" xfId="0" applyFont="1" applyBorder="1"/>
    <xf numFmtId="0" fontId="5" fillId="0" borderId="315" xfId="0" applyFont="1" applyBorder="1"/>
    <xf numFmtId="0" fontId="5" fillId="0" borderId="316" xfId="0" applyFont="1" applyBorder="1"/>
    <xf numFmtId="0" fontId="140" fillId="2" borderId="0" xfId="6" applyFont="1" applyFill="1" applyBorder="1" applyAlignment="1" applyProtection="1">
      <alignment vertical="center"/>
    </xf>
    <xf numFmtId="0" fontId="16" fillId="0" borderId="0" xfId="6" applyFont="1" applyAlignment="1" applyProtection="1">
      <alignment vertical="center"/>
    </xf>
    <xf numFmtId="0" fontId="5" fillId="0" borderId="0" xfId="0" applyFont="1" applyAlignment="1">
      <alignment horizontal="center" wrapText="1"/>
    </xf>
    <xf numFmtId="6" fontId="14" fillId="0" borderId="313" xfId="0" quotePrefix="1" applyNumberFormat="1" applyFont="1" applyBorder="1" applyAlignment="1">
      <alignment horizontal="center" vertical="center"/>
    </xf>
    <xf numFmtId="0" fontId="16" fillId="0" borderId="0" xfId="11" applyFont="1" applyFill="1" applyBorder="1" applyAlignment="1">
      <alignment vertical="center" wrapText="1"/>
    </xf>
    <xf numFmtId="0" fontId="16" fillId="0" borderId="0" xfId="11" applyFont="1" applyFill="1" applyBorder="1" applyAlignment="1">
      <alignment vertical="top"/>
    </xf>
    <xf numFmtId="165" fontId="5" fillId="0" borderId="0" xfId="0" applyNumberFormat="1" applyFont="1"/>
    <xf numFmtId="0" fontId="5" fillId="0" borderId="234" xfId="0" applyFont="1" applyBorder="1"/>
    <xf numFmtId="0" fontId="5" fillId="0" borderId="234" xfId="0" applyFont="1" applyBorder="1" applyAlignment="1">
      <alignment horizontal="center"/>
    </xf>
    <xf numFmtId="0" fontId="5" fillId="0" borderId="244" xfId="0" applyFont="1" applyBorder="1"/>
    <xf numFmtId="0" fontId="5" fillId="0" borderId="243" xfId="0" applyFont="1" applyBorder="1" applyAlignment="1">
      <alignment horizontal="center"/>
    </xf>
    <xf numFmtId="0" fontId="5" fillId="0" borderId="245" xfId="0" applyFont="1" applyBorder="1" applyAlignment="1">
      <alignment horizontal="center"/>
    </xf>
    <xf numFmtId="6" fontId="5" fillId="0" borderId="243" xfId="0" quotePrefix="1" applyNumberFormat="1" applyFont="1" applyBorder="1" applyAlignment="1">
      <alignment horizontal="center"/>
    </xf>
    <xf numFmtId="0" fontId="5" fillId="0" borderId="257" xfId="0" applyFont="1" applyBorder="1"/>
    <xf numFmtId="6" fontId="5" fillId="0" borderId="256" xfId="0" quotePrefix="1" applyNumberFormat="1" applyFont="1" applyBorder="1" applyAlignment="1">
      <alignment horizontal="center"/>
    </xf>
    <xf numFmtId="0" fontId="5" fillId="0" borderId="258" xfId="0" applyFont="1" applyBorder="1" applyAlignment="1">
      <alignment horizontal="center"/>
    </xf>
    <xf numFmtId="0" fontId="138" fillId="0" borderId="0" xfId="0" applyFont="1"/>
    <xf numFmtId="0" fontId="138" fillId="0" borderId="313" xfId="0" applyFont="1" applyBorder="1" applyAlignment="1">
      <alignment horizontal="center"/>
    </xf>
    <xf numFmtId="0" fontId="138" fillId="0" borderId="314" xfId="0" applyFont="1" applyBorder="1" applyAlignment="1">
      <alignment horizontal="center"/>
    </xf>
    <xf numFmtId="0" fontId="138" fillId="0" borderId="315" xfId="0" applyFont="1" applyBorder="1" applyAlignment="1">
      <alignment horizontal="center"/>
    </xf>
    <xf numFmtId="0" fontId="138" fillId="0" borderId="316" xfId="0" applyFont="1" applyBorder="1" applyAlignment="1">
      <alignment horizontal="center"/>
    </xf>
    <xf numFmtId="0" fontId="138" fillId="0" borderId="0" xfId="0" applyFont="1" applyProtection="1"/>
    <xf numFmtId="0" fontId="16" fillId="0" borderId="47" xfId="0" applyFont="1" applyBorder="1" applyAlignment="1">
      <alignment vertical="center" wrapText="1"/>
    </xf>
    <xf numFmtId="0" fontId="114" fillId="0" borderId="6" xfId="6" applyFont="1" applyBorder="1" applyAlignment="1" applyProtection="1">
      <alignment horizontal="center" vertical="center"/>
    </xf>
    <xf numFmtId="0" fontId="7" fillId="3" borderId="341" xfId="22" applyFont="1" applyFill="1" applyBorder="1" applyAlignment="1">
      <alignment horizontal="center" vertical="center"/>
    </xf>
    <xf numFmtId="0" fontId="7" fillId="3" borderId="4" xfId="22" applyFont="1" applyFill="1" applyBorder="1" applyAlignment="1">
      <alignment horizontal="center" vertical="center"/>
    </xf>
    <xf numFmtId="0" fontId="7" fillId="3" borderId="16" xfId="22" applyFont="1" applyFill="1" applyBorder="1" applyAlignment="1">
      <alignment horizontal="center" vertical="center"/>
    </xf>
    <xf numFmtId="0" fontId="142" fillId="0" borderId="0" xfId="0" applyFont="1"/>
    <xf numFmtId="165" fontId="16" fillId="7" borderId="359" xfId="19" applyNumberFormat="1" applyFont="1" applyFill="1" applyBorder="1" applyAlignment="1" applyProtection="1">
      <alignment vertical="center"/>
      <protection locked="0"/>
    </xf>
    <xf numFmtId="0" fontId="7" fillId="3" borderId="360" xfId="6" applyFont="1" applyFill="1" applyBorder="1" applyAlignment="1" applyProtection="1">
      <alignment horizontal="center" vertical="center" wrapText="1"/>
    </xf>
    <xf numFmtId="0" fontId="20" fillId="0" borderId="32" xfId="0" applyFont="1" applyFill="1" applyBorder="1" applyAlignment="1" applyProtection="1">
      <alignment vertical="top" wrapText="1"/>
    </xf>
    <xf numFmtId="0" fontId="10" fillId="0" borderId="0" xfId="5" applyProtection="1"/>
    <xf numFmtId="0" fontId="20" fillId="0" borderId="305" xfId="0" applyFont="1" applyBorder="1" applyAlignment="1" applyProtection="1">
      <alignment horizontal="center" vertical="center"/>
    </xf>
    <xf numFmtId="0" fontId="16" fillId="0" borderId="314" xfId="0" applyFont="1" applyBorder="1" applyAlignment="1" applyProtection="1">
      <alignment horizontal="center"/>
    </xf>
    <xf numFmtId="0" fontId="22" fillId="0" borderId="314" xfId="0" applyFont="1" applyBorder="1" applyAlignment="1" applyProtection="1">
      <alignment horizontal="center" vertical="center"/>
    </xf>
    <xf numFmtId="0" fontId="22" fillId="0" borderId="306" xfId="0" applyFont="1" applyBorder="1" applyAlignment="1" applyProtection="1">
      <alignment horizontal="center" vertical="center"/>
    </xf>
    <xf numFmtId="165" fontId="16" fillId="0" borderId="246" xfId="19" applyNumberFormat="1" applyFont="1" applyFill="1" applyBorder="1" applyAlignment="1" applyProtection="1">
      <alignment vertical="center"/>
    </xf>
    <xf numFmtId="165" fontId="16" fillId="0" borderId="247" xfId="19" applyNumberFormat="1" applyFont="1" applyFill="1" applyBorder="1" applyAlignment="1" applyProtection="1">
      <alignment vertical="center"/>
    </xf>
    <xf numFmtId="165" fontId="16" fillId="0" borderId="248" xfId="19" applyNumberFormat="1" applyFont="1" applyFill="1" applyBorder="1" applyAlignment="1" applyProtection="1">
      <alignment vertical="center"/>
    </xf>
    <xf numFmtId="1" fontId="16" fillId="0" borderId="250" xfId="19" applyNumberFormat="1" applyFont="1" applyFill="1" applyBorder="1" applyAlignment="1" applyProtection="1">
      <alignment vertical="center" wrapText="1"/>
    </xf>
    <xf numFmtId="0" fontId="72" fillId="0" borderId="0" xfId="22" applyFont="1" applyAlignment="1" applyProtection="1">
      <alignment horizontal="left" vertical="top"/>
    </xf>
    <xf numFmtId="0" fontId="0" fillId="3" borderId="0" xfId="0" applyFill="1" applyProtection="1"/>
    <xf numFmtId="0" fontId="14" fillId="0" borderId="306" xfId="0" applyFont="1" applyBorder="1" applyAlignment="1" applyProtection="1">
      <alignment horizontal="center" vertical="center"/>
    </xf>
    <xf numFmtId="0" fontId="23" fillId="0" borderId="305" xfId="0" applyFont="1" applyBorder="1" applyAlignment="1" applyProtection="1">
      <alignment horizontal="center" vertical="center"/>
    </xf>
    <xf numFmtId="0" fontId="5" fillId="0" borderId="314" xfId="0" applyFont="1" applyBorder="1" applyAlignment="1" applyProtection="1">
      <alignment horizontal="center"/>
    </xf>
    <xf numFmtId="0" fontId="14" fillId="0" borderId="314" xfId="0" applyFont="1" applyBorder="1" applyAlignment="1" applyProtection="1">
      <alignment horizontal="center" vertical="center"/>
    </xf>
    <xf numFmtId="1" fontId="16" fillId="0" borderId="243" xfId="19" applyNumberFormat="1" applyFont="1" applyFill="1" applyBorder="1" applyAlignment="1" applyProtection="1">
      <alignment vertical="center" wrapText="1"/>
    </xf>
    <xf numFmtId="0" fontId="138" fillId="0" borderId="314" xfId="0" applyFont="1" applyBorder="1" applyAlignment="1" applyProtection="1">
      <alignment horizontal="center"/>
    </xf>
    <xf numFmtId="0" fontId="5" fillId="0" borderId="0" xfId="0" applyFont="1" applyFill="1" applyAlignment="1" applyProtection="1">
      <alignment wrapText="1"/>
    </xf>
    <xf numFmtId="165" fontId="16" fillId="28" borderId="8" xfId="11" applyNumberFormat="1" applyFont="1" applyFill="1" applyBorder="1" applyAlignment="1" applyProtection="1">
      <alignment vertical="center"/>
    </xf>
    <xf numFmtId="165" fontId="16" fillId="28" borderId="11" xfId="11" applyNumberFormat="1" applyFont="1" applyFill="1" applyBorder="1" applyAlignment="1" applyProtection="1">
      <alignment vertical="center"/>
    </xf>
    <xf numFmtId="165" fontId="16" fillId="28" borderId="32" xfId="11" applyNumberFormat="1" applyFont="1" applyFill="1" applyBorder="1" applyAlignment="1" applyProtection="1">
      <alignment vertical="center"/>
    </xf>
    <xf numFmtId="0" fontId="10" fillId="0" borderId="0" xfId="5" applyFill="1" applyAlignment="1" applyProtection="1">
      <alignment vertical="top" wrapText="1"/>
    </xf>
    <xf numFmtId="14" fontId="20" fillId="0" borderId="23" xfId="0" applyNumberFormat="1" applyFont="1" applyBorder="1" applyAlignment="1">
      <alignment horizontal="center" vertical="top" wrapText="1"/>
    </xf>
    <xf numFmtId="10" fontId="23" fillId="4" borderId="26"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20" fillId="4" borderId="8" xfId="6" applyNumberFormat="1" applyFont="1" applyFill="1" applyBorder="1" applyAlignment="1" applyProtection="1">
      <alignment vertical="center"/>
      <protection locked="0"/>
    </xf>
    <xf numFmtId="10" fontId="0" fillId="0" borderId="0" xfId="0" applyNumberFormat="1" applyBorder="1"/>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7" fillId="3" borderId="14" xfId="9" applyFont="1" applyFill="1" applyBorder="1" applyAlignment="1" applyProtection="1">
      <alignment horizontal="center" vertical="center"/>
    </xf>
    <xf numFmtId="0" fontId="7" fillId="3" borderId="110"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0" fontId="12" fillId="0" borderId="0" xfId="11" applyFont="1" applyFill="1" applyBorder="1" applyAlignment="1" applyProtection="1">
      <alignment vertical="center"/>
    </xf>
    <xf numFmtId="0" fontId="7" fillId="3" borderId="33" xfId="11"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55" xfId="11" applyFont="1" applyFill="1" applyBorder="1" applyAlignment="1" applyProtection="1">
      <alignment horizontal="center" vertical="center"/>
    </xf>
    <xf numFmtId="165" fontId="20" fillId="4" borderId="24" xfId="6" applyNumberFormat="1" applyFont="1" applyFill="1" applyBorder="1" applyAlignment="1" applyProtection="1">
      <alignment vertical="center"/>
    </xf>
    <xf numFmtId="165" fontId="20" fillId="4" borderId="5" xfId="6" applyNumberFormat="1" applyFont="1" applyFill="1" applyBorder="1" applyAlignment="1" applyProtection="1">
      <alignment vertical="center"/>
    </xf>
    <xf numFmtId="165" fontId="20" fillId="4" borderId="6" xfId="6" applyNumberFormat="1" applyFont="1" applyFill="1" applyBorder="1" applyAlignment="1" applyProtection="1">
      <alignment vertical="center"/>
    </xf>
    <xf numFmtId="165" fontId="20" fillId="4" borderId="26" xfId="6" applyNumberFormat="1" applyFont="1" applyFill="1" applyBorder="1" applyAlignment="1" applyProtection="1">
      <alignment vertical="center"/>
    </xf>
    <xf numFmtId="165" fontId="20" fillId="4" borderId="8" xfId="6" applyNumberFormat="1" applyFont="1" applyFill="1" applyBorder="1" applyAlignment="1" applyProtection="1">
      <alignment vertical="center"/>
    </xf>
    <xf numFmtId="165" fontId="20" fillId="4" borderId="9" xfId="6" applyNumberFormat="1" applyFont="1" applyFill="1" applyBorder="1" applyAlignment="1" applyProtection="1">
      <alignment vertical="center"/>
    </xf>
    <xf numFmtId="165" fontId="20" fillId="4" borderId="28" xfId="6" applyNumberFormat="1" applyFont="1" applyFill="1" applyBorder="1" applyAlignment="1" applyProtection="1">
      <alignment vertical="center"/>
    </xf>
    <xf numFmtId="165" fontId="20" fillId="4" borderId="29" xfId="6" applyNumberFormat="1" applyFont="1" applyFill="1" applyBorder="1" applyAlignment="1" applyProtection="1">
      <alignment vertical="center"/>
    </xf>
    <xf numFmtId="165" fontId="20" fillId="4" borderId="1" xfId="6" applyNumberFormat="1" applyFont="1" applyFill="1" applyBorder="1" applyAlignment="1" applyProtection="1">
      <alignment vertical="center"/>
    </xf>
    <xf numFmtId="165" fontId="20" fillId="4" borderId="2" xfId="6" applyNumberFormat="1" applyFont="1" applyFill="1" applyBorder="1" applyAlignment="1" applyProtection="1">
      <alignment vertical="center"/>
    </xf>
    <xf numFmtId="165" fontId="20" fillId="4" borderId="3" xfId="6" applyNumberFormat="1" applyFont="1" applyFill="1" applyBorder="1" applyAlignment="1" applyProtection="1">
      <alignment vertical="center"/>
    </xf>
    <xf numFmtId="165" fontId="23" fillId="4" borderId="28" xfId="6" applyNumberFormat="1" applyFont="1" applyFill="1" applyBorder="1" applyAlignment="1" applyProtection="1">
      <alignment vertical="center"/>
    </xf>
    <xf numFmtId="165" fontId="23" fillId="4" borderId="6" xfId="6" applyNumberFormat="1" applyFont="1" applyFill="1" applyBorder="1" applyAlignment="1" applyProtection="1">
      <alignment vertical="center"/>
    </xf>
    <xf numFmtId="165" fontId="23" fillId="4" borderId="29" xfId="6" applyNumberFormat="1" applyFont="1" applyFill="1" applyBorder="1" applyAlignment="1" applyProtection="1">
      <alignment vertical="center"/>
    </xf>
    <xf numFmtId="165" fontId="23" fillId="4" borderId="9" xfId="6" applyNumberFormat="1" applyFont="1" applyFill="1" applyBorder="1" applyAlignment="1" applyProtection="1">
      <alignment vertical="center"/>
    </xf>
    <xf numFmtId="165" fontId="23" fillId="4" borderId="109" xfId="6" applyNumberFormat="1" applyFont="1" applyFill="1" applyBorder="1" applyAlignment="1" applyProtection="1">
      <alignment vertical="center"/>
    </xf>
    <xf numFmtId="165" fontId="20" fillId="4" borderId="32" xfId="6" applyNumberFormat="1" applyFont="1" applyFill="1" applyBorder="1" applyAlignment="1" applyProtection="1">
      <alignment vertical="center"/>
    </xf>
    <xf numFmtId="165" fontId="20" fillId="4" borderId="39" xfId="6" applyNumberFormat="1" applyFont="1" applyFill="1" applyBorder="1" applyAlignment="1" applyProtection="1">
      <alignment vertical="center"/>
    </xf>
    <xf numFmtId="165" fontId="20" fillId="4" borderId="42" xfId="6" applyNumberFormat="1" applyFont="1" applyFill="1" applyBorder="1" applyAlignment="1" applyProtection="1">
      <alignment vertical="center"/>
    </xf>
    <xf numFmtId="165" fontId="20" fillId="4" borderId="43" xfId="6" applyNumberFormat="1" applyFont="1" applyFill="1" applyBorder="1" applyAlignment="1" applyProtection="1">
      <alignment vertical="center"/>
    </xf>
    <xf numFmtId="165" fontId="20" fillId="4" borderId="44" xfId="6" applyNumberFormat="1" applyFont="1" applyFill="1" applyBorder="1" applyAlignment="1" applyProtection="1">
      <alignment vertical="center"/>
    </xf>
    <xf numFmtId="165" fontId="20" fillId="4" borderId="31" xfId="6" applyNumberFormat="1" applyFont="1" applyFill="1" applyBorder="1" applyAlignment="1" applyProtection="1">
      <alignment vertical="center"/>
    </xf>
    <xf numFmtId="165" fontId="20" fillId="4" borderId="49" xfId="6" applyNumberFormat="1" applyFont="1" applyFill="1" applyBorder="1" applyAlignment="1" applyProtection="1">
      <alignment vertical="center"/>
    </xf>
    <xf numFmtId="165" fontId="20" fillId="4" borderId="46" xfId="6" applyNumberFormat="1" applyFont="1" applyFill="1" applyBorder="1" applyAlignment="1" applyProtection="1">
      <alignment vertical="center"/>
    </xf>
    <xf numFmtId="165" fontId="20" fillId="4" borderId="47" xfId="6" applyNumberFormat="1" applyFont="1" applyFill="1" applyBorder="1" applyAlignment="1" applyProtection="1">
      <alignment vertical="center"/>
    </xf>
    <xf numFmtId="165" fontId="23" fillId="4" borderId="47"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xf>
    <xf numFmtId="165" fontId="20" fillId="4" borderId="11" xfId="6" applyNumberFormat="1" applyFont="1" applyFill="1" applyBorder="1" applyAlignment="1" applyProtection="1">
      <alignment vertical="center"/>
    </xf>
    <xf numFmtId="165" fontId="20" fillId="4" borderId="12"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xf>
    <xf numFmtId="10" fontId="20" fillId="4" borderId="6" xfId="6" applyNumberFormat="1" applyFont="1" applyFill="1" applyBorder="1" applyAlignment="1" applyProtection="1">
      <alignment vertical="center"/>
    </xf>
    <xf numFmtId="10" fontId="20" fillId="4" borderId="7" xfId="6" applyNumberFormat="1" applyFont="1" applyFill="1" applyBorder="1" applyAlignment="1" applyProtection="1">
      <alignment vertical="center"/>
    </xf>
    <xf numFmtId="10" fontId="20" fillId="4" borderId="11" xfId="6" applyNumberFormat="1" applyFont="1" applyFill="1" applyBorder="1" applyAlignment="1" applyProtection="1">
      <alignment vertical="center"/>
    </xf>
    <xf numFmtId="10" fontId="20" fillId="4" borderId="12" xfId="6" applyNumberFormat="1" applyFont="1" applyFill="1" applyBorder="1" applyAlignment="1" applyProtection="1">
      <alignment vertical="center"/>
    </xf>
    <xf numFmtId="10" fontId="20" fillId="4" borderId="13"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xf>
    <xf numFmtId="2" fontId="20" fillId="4" borderId="3" xfId="6" applyNumberFormat="1" applyFont="1" applyFill="1" applyBorder="1" applyAlignment="1" applyProtection="1">
      <alignment vertical="center"/>
    </xf>
    <xf numFmtId="2" fontId="20" fillId="4" borderId="4" xfId="6" applyNumberFormat="1" applyFont="1" applyFill="1" applyBorder="1" applyAlignment="1" applyProtection="1">
      <alignment vertical="center"/>
    </xf>
    <xf numFmtId="165" fontId="23" fillId="4" borderId="37" xfId="10" applyNumberFormat="1" applyFont="1" applyFill="1" applyBorder="1" applyAlignment="1" applyProtection="1">
      <alignment vertical="center"/>
    </xf>
    <xf numFmtId="165" fontId="23" fillId="4" borderId="7" xfId="10" applyNumberFormat="1" applyFont="1" applyFill="1" applyBorder="1" applyAlignment="1" applyProtection="1">
      <alignment vertical="center"/>
    </xf>
    <xf numFmtId="165" fontId="23" fillId="4" borderId="31" xfId="10" applyNumberFormat="1" applyFont="1" applyFill="1" applyBorder="1" applyAlignment="1" applyProtection="1">
      <alignment vertical="center"/>
    </xf>
    <xf numFmtId="165" fontId="23" fillId="4" borderId="39" xfId="10" applyNumberFormat="1" applyFont="1" applyFill="1" applyBorder="1" applyAlignment="1" applyProtection="1">
      <alignment vertical="center"/>
    </xf>
    <xf numFmtId="165" fontId="23" fillId="4" borderId="10" xfId="10" applyNumberFormat="1" applyFont="1" applyFill="1" applyBorder="1" applyAlignment="1" applyProtection="1">
      <alignment vertical="center"/>
    </xf>
    <xf numFmtId="165" fontId="23" fillId="4" borderId="32" xfId="10" applyNumberFormat="1" applyFont="1" applyFill="1" applyBorder="1" applyAlignment="1" applyProtection="1">
      <alignment vertical="center"/>
    </xf>
    <xf numFmtId="165" fontId="23" fillId="4" borderId="29" xfId="10" applyNumberFormat="1" applyFont="1" applyFill="1" applyBorder="1" applyAlignment="1" applyProtection="1">
      <alignment vertical="center"/>
    </xf>
    <xf numFmtId="165" fontId="23" fillId="4" borderId="38" xfId="10" applyNumberFormat="1" applyFont="1" applyFill="1" applyBorder="1" applyAlignment="1" applyProtection="1">
      <alignment vertical="center"/>
    </xf>
    <xf numFmtId="165" fontId="23" fillId="4" borderId="125" xfId="2" applyNumberFormat="1" applyFont="1" applyFill="1" applyBorder="1" applyAlignment="1" applyProtection="1">
      <alignment vertical="center"/>
    </xf>
    <xf numFmtId="165" fontId="23" fillId="4" borderId="114" xfId="2" applyNumberFormat="1" applyFont="1" applyFill="1" applyBorder="1" applyAlignment="1" applyProtection="1">
      <alignment vertical="center"/>
    </xf>
    <xf numFmtId="165" fontId="23" fillId="4" borderId="45" xfId="10" applyNumberFormat="1" applyFont="1" applyFill="1" applyBorder="1" applyAlignment="1" applyProtection="1">
      <alignment vertical="center"/>
    </xf>
    <xf numFmtId="165" fontId="23" fillId="4" borderId="13" xfId="10" applyNumberFormat="1" applyFont="1" applyFill="1" applyBorder="1" applyAlignment="1" applyProtection="1">
      <alignment vertical="center"/>
    </xf>
    <xf numFmtId="165" fontId="23" fillId="4" borderId="11" xfId="2" applyNumberFormat="1" applyFont="1" applyFill="1" applyBorder="1" applyAlignment="1" applyProtection="1">
      <alignment vertical="center"/>
    </xf>
    <xf numFmtId="165" fontId="23" fillId="4" borderId="27" xfId="2" applyNumberFormat="1" applyFont="1" applyFill="1" applyBorder="1" applyAlignment="1" applyProtection="1">
      <alignment vertical="center"/>
    </xf>
    <xf numFmtId="165" fontId="23" fillId="4" borderId="54" xfId="10" applyNumberFormat="1" applyFont="1" applyFill="1" applyBorder="1" applyAlignment="1" applyProtection="1">
      <alignment vertical="center"/>
    </xf>
    <xf numFmtId="165" fontId="23" fillId="4" borderId="5"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xf>
    <xf numFmtId="165" fontId="23" fillId="4" borderId="57" xfId="10" applyNumberFormat="1" applyFont="1" applyFill="1" applyBorder="1" applyAlignment="1" applyProtection="1">
      <alignment vertical="center"/>
    </xf>
    <xf numFmtId="165" fontId="23" fillId="4" borderId="1" xfId="10" applyNumberFormat="1" applyFont="1" applyFill="1" applyBorder="1" applyAlignment="1" applyProtection="1">
      <alignment vertical="center"/>
    </xf>
    <xf numFmtId="165" fontId="23" fillId="4" borderId="26" xfId="10" applyNumberFormat="1" applyFont="1" applyFill="1" applyBorder="1" applyAlignment="1" applyProtection="1">
      <alignment vertical="center"/>
    </xf>
    <xf numFmtId="165" fontId="23" fillId="4" borderId="2" xfId="10" applyNumberFormat="1" applyFont="1" applyFill="1" applyBorder="1" applyAlignment="1" applyProtection="1">
      <alignment vertical="center"/>
    </xf>
    <xf numFmtId="165" fontId="23" fillId="4" borderId="4" xfId="10" applyNumberFormat="1" applyFont="1" applyFill="1" applyBorder="1" applyAlignment="1" applyProtection="1">
      <alignment vertical="center"/>
    </xf>
    <xf numFmtId="165" fontId="20" fillId="4" borderId="37" xfId="6" applyNumberFormat="1" applyFont="1" applyFill="1" applyBorder="1" applyAlignment="1" applyProtection="1">
      <alignment vertical="center"/>
    </xf>
    <xf numFmtId="165" fontId="20" fillId="4" borderId="36" xfId="6" applyNumberFormat="1" applyFont="1" applyFill="1" applyBorder="1" applyAlignment="1" applyProtection="1">
      <alignment vertical="center"/>
    </xf>
    <xf numFmtId="165" fontId="20" fillId="4" borderId="38" xfId="6" applyNumberFormat="1" applyFont="1" applyFill="1" applyBorder="1" applyAlignment="1" applyProtection="1">
      <alignment vertical="center"/>
    </xf>
    <xf numFmtId="165" fontId="23" fillId="4" borderId="43" xfId="6" applyNumberFormat="1" applyFont="1" applyFill="1" applyBorder="1" applyAlignment="1" applyProtection="1">
      <alignment vertical="center"/>
    </xf>
    <xf numFmtId="165" fontId="23" fillId="4" borderId="42" xfId="6" applyNumberFormat="1" applyFont="1" applyFill="1" applyBorder="1" applyAlignment="1" applyProtection="1">
      <alignment vertical="center"/>
    </xf>
    <xf numFmtId="165" fontId="23" fillId="4" borderId="44" xfId="6" applyNumberFormat="1" applyFont="1" applyFill="1" applyBorder="1" applyAlignment="1" applyProtection="1">
      <alignment vertical="center"/>
    </xf>
    <xf numFmtId="165" fontId="23" fillId="4" borderId="126" xfId="6" applyNumberFormat="1" applyFont="1" applyFill="1" applyBorder="1" applyAlignment="1" applyProtection="1">
      <alignment vertical="center"/>
    </xf>
    <xf numFmtId="165" fontId="23" fillId="4" borderId="117" xfId="6" applyNumberFormat="1" applyFont="1" applyFill="1" applyBorder="1" applyAlignment="1" applyProtection="1">
      <alignment vertical="center"/>
    </xf>
    <xf numFmtId="165" fontId="23" fillId="4" borderId="118" xfId="6" applyNumberFormat="1" applyFont="1" applyFill="1" applyBorder="1" applyAlignment="1" applyProtection="1">
      <alignment vertical="center"/>
    </xf>
    <xf numFmtId="165" fontId="23" fillId="4" borderId="37" xfId="6" applyNumberFormat="1" applyFont="1" applyFill="1" applyBorder="1" applyAlignment="1" applyProtection="1">
      <alignment vertical="center"/>
    </xf>
    <xf numFmtId="165" fontId="23" fillId="4" borderId="24" xfId="6" applyNumberFormat="1" applyFont="1" applyFill="1" applyBorder="1" applyAlignment="1" applyProtection="1">
      <alignment vertical="center"/>
    </xf>
    <xf numFmtId="165" fontId="23" fillId="4" borderId="36" xfId="6" applyNumberFormat="1" applyFont="1" applyFill="1" applyBorder="1" applyAlignment="1" applyProtection="1">
      <alignment vertical="center"/>
    </xf>
    <xf numFmtId="165" fontId="23" fillId="4" borderId="39" xfId="6" applyNumberFormat="1" applyFont="1" applyFill="1" applyBorder="1" applyAlignment="1" applyProtection="1">
      <alignment vertical="center"/>
    </xf>
    <xf numFmtId="165" fontId="23" fillId="4" borderId="26" xfId="6" applyNumberFormat="1" applyFont="1" applyFill="1" applyBorder="1" applyAlignment="1" applyProtection="1">
      <alignment vertical="center"/>
    </xf>
    <xf numFmtId="165" fontId="23" fillId="4" borderId="38" xfId="6" applyNumberFormat="1" applyFont="1" applyFill="1" applyBorder="1" applyAlignment="1" applyProtection="1">
      <alignment vertical="center"/>
    </xf>
    <xf numFmtId="165" fontId="23" fillId="4" borderId="2" xfId="6" applyNumberFormat="1" applyFont="1" applyFill="1" applyBorder="1" applyAlignment="1" applyProtection="1">
      <alignment vertical="center"/>
    </xf>
    <xf numFmtId="165" fontId="23" fillId="4" borderId="4" xfId="6" applyNumberFormat="1" applyFont="1" applyFill="1" applyBorder="1" applyAlignment="1" applyProtection="1">
      <alignment vertical="center"/>
    </xf>
    <xf numFmtId="165" fontId="20" fillId="4" borderId="4" xfId="6" applyNumberFormat="1" applyFont="1" applyFill="1" applyBorder="1" applyAlignment="1" applyProtection="1">
      <alignment vertical="center"/>
    </xf>
    <xf numFmtId="165" fontId="20" fillId="4" borderId="34" xfId="6" applyNumberFormat="1" applyFont="1" applyFill="1" applyBorder="1" applyAlignment="1" applyProtection="1">
      <alignment vertical="center"/>
    </xf>
    <xf numFmtId="165" fontId="23" fillId="4" borderId="2" xfId="11" applyNumberFormat="1" applyFont="1" applyFill="1" applyBorder="1" applyAlignment="1" applyProtection="1">
      <alignment vertical="center"/>
    </xf>
    <xf numFmtId="165" fontId="23" fillId="4" borderId="3" xfId="11" applyNumberFormat="1" applyFont="1" applyFill="1" applyBorder="1" applyAlignment="1" applyProtection="1">
      <alignment vertical="center"/>
    </xf>
    <xf numFmtId="165" fontId="23" fillId="4" borderId="1" xfId="11" applyNumberFormat="1" applyFont="1" applyFill="1" applyBorder="1" applyAlignment="1" applyProtection="1">
      <alignment vertical="center"/>
    </xf>
    <xf numFmtId="165" fontId="23" fillId="4" borderId="5" xfId="11" applyNumberFormat="1" applyFont="1" applyFill="1" applyBorder="1" applyAlignment="1" applyProtection="1">
      <alignment vertical="center"/>
    </xf>
    <xf numFmtId="165" fontId="23" fillId="4" borderId="6" xfId="11" applyNumberFormat="1" applyFont="1" applyFill="1" applyBorder="1" applyAlignment="1" applyProtection="1">
      <alignment vertical="center"/>
    </xf>
    <xf numFmtId="165" fontId="23" fillId="4" borderId="31" xfId="11" applyNumberFormat="1" applyFont="1" applyFill="1" applyBorder="1" applyAlignment="1" applyProtection="1">
      <alignment vertical="center"/>
    </xf>
    <xf numFmtId="165" fontId="23" fillId="4" borderId="8" xfId="11" applyNumberFormat="1" applyFont="1" applyFill="1" applyBorder="1" applyAlignment="1" applyProtection="1">
      <alignment vertical="center"/>
    </xf>
    <xf numFmtId="165" fontId="23" fillId="4" borderId="9" xfId="11" applyNumberFormat="1" applyFont="1" applyFill="1" applyBorder="1" applyAlignment="1" applyProtection="1">
      <alignment vertical="center"/>
    </xf>
    <xf numFmtId="165" fontId="23" fillId="4" borderId="32" xfId="11" applyNumberFormat="1" applyFont="1" applyFill="1" applyBorder="1" applyAlignment="1" applyProtection="1">
      <alignment vertical="center"/>
    </xf>
    <xf numFmtId="165" fontId="23" fillId="4" borderId="43" xfId="11" applyNumberFormat="1" applyFont="1" applyFill="1" applyBorder="1" applyAlignment="1" applyProtection="1">
      <alignment vertical="center"/>
    </xf>
    <xf numFmtId="165" fontId="23" fillId="4" borderId="44" xfId="11" applyNumberFormat="1" applyFont="1" applyFill="1" applyBorder="1" applyAlignment="1" applyProtection="1">
      <alignment vertical="center"/>
    </xf>
    <xf numFmtId="165" fontId="23" fillId="4" borderId="5" xfId="9" applyNumberFormat="1" applyFont="1" applyFill="1" applyBorder="1" applyAlignment="1" applyProtection="1">
      <alignment vertical="center"/>
    </xf>
    <xf numFmtId="165" fontId="23" fillId="4" borderId="6" xfId="9" applyNumberFormat="1" applyFont="1" applyFill="1" applyBorder="1" applyAlignment="1" applyProtection="1">
      <alignment vertical="center"/>
    </xf>
    <xf numFmtId="165" fontId="23" fillId="4" borderId="9" xfId="9" applyNumberFormat="1" applyFont="1" applyFill="1" applyBorder="1" applyAlignment="1" applyProtection="1">
      <alignment vertical="center"/>
    </xf>
    <xf numFmtId="165" fontId="23" fillId="4" borderId="32" xfId="9" applyNumberFormat="1" applyFont="1" applyFill="1" applyBorder="1" applyAlignment="1" applyProtection="1">
      <alignment vertical="center"/>
    </xf>
    <xf numFmtId="165" fontId="23" fillId="4" borderId="30" xfId="9" applyNumberFormat="1" applyFont="1" applyFill="1" applyBorder="1" applyAlignment="1" applyProtection="1">
      <alignment vertical="center"/>
    </xf>
    <xf numFmtId="165" fontId="23" fillId="4" borderId="1" xfId="9" applyNumberFormat="1" applyFont="1" applyFill="1" applyBorder="1" applyAlignment="1" applyProtection="1">
      <alignment vertical="center"/>
    </xf>
    <xf numFmtId="165" fontId="23" fillId="4" borderId="47" xfId="9" applyNumberFormat="1" applyFont="1" applyFill="1" applyBorder="1" applyAlignment="1" applyProtection="1">
      <alignment vertical="center"/>
    </xf>
    <xf numFmtId="165" fontId="23" fillId="4" borderId="43" xfId="9" applyNumberFormat="1" applyFont="1" applyFill="1" applyBorder="1" applyAlignment="1" applyProtection="1">
      <alignment vertical="center"/>
    </xf>
    <xf numFmtId="165" fontId="23" fillId="4" borderId="7" xfId="9" applyNumberFormat="1" applyFont="1" applyFill="1" applyBorder="1" applyAlignment="1" applyProtection="1">
      <alignment vertical="center"/>
    </xf>
    <xf numFmtId="165" fontId="23" fillId="4" borderId="62" xfId="9" applyNumberFormat="1" applyFont="1" applyFill="1" applyBorder="1" applyAlignment="1" applyProtection="1">
      <alignment vertical="center"/>
    </xf>
    <xf numFmtId="0" fontId="23" fillId="4" borderId="6" xfId="9" applyFont="1" applyFill="1" applyBorder="1" applyProtection="1"/>
    <xf numFmtId="169" fontId="23" fillId="4" borderId="6" xfId="11" applyNumberFormat="1" applyFont="1" applyFill="1" applyBorder="1" applyAlignment="1" applyProtection="1">
      <alignment horizontal="right" vertical="center"/>
    </xf>
    <xf numFmtId="0" fontId="23" fillId="4" borderId="7" xfId="11" applyNumberFormat="1" applyFont="1" applyFill="1" applyBorder="1" applyAlignment="1" applyProtection="1">
      <alignment horizontal="right" vertical="center"/>
    </xf>
    <xf numFmtId="169" fontId="23" fillId="4" borderId="9" xfId="11" applyNumberFormat="1" applyFont="1" applyFill="1" applyBorder="1" applyAlignment="1" applyProtection="1">
      <alignment horizontal="right" vertical="center"/>
    </xf>
    <xf numFmtId="0" fontId="23" fillId="4" borderId="10" xfId="11" applyNumberFormat="1" applyFont="1" applyFill="1" applyBorder="1" applyAlignment="1" applyProtection="1">
      <alignment horizontal="right" vertical="center"/>
    </xf>
    <xf numFmtId="0" fontId="20" fillId="0" borderId="2" xfId="0" applyFont="1" applyBorder="1" applyAlignment="1" applyProtection="1">
      <alignment horizontal="center"/>
    </xf>
    <xf numFmtId="0" fontId="20" fillId="0" borderId="3" xfId="0" applyFont="1" applyBorder="1" applyAlignment="1" applyProtection="1">
      <alignment horizontal="left"/>
    </xf>
    <xf numFmtId="0" fontId="20" fillId="0" borderId="3" xfId="0" applyFont="1" applyBorder="1" applyAlignment="1" applyProtection="1">
      <alignment horizontal="center"/>
    </xf>
    <xf numFmtId="0" fontId="9" fillId="0" borderId="6" xfId="0" applyFont="1" applyBorder="1" applyProtection="1"/>
    <xf numFmtId="0" fontId="22" fillId="0" borderId="6" xfId="0" applyFont="1" applyBorder="1" applyAlignment="1" applyProtection="1">
      <alignment horizontal="center"/>
    </xf>
    <xf numFmtId="0" fontId="22" fillId="0" borderId="6" xfId="0" applyFont="1" applyBorder="1" applyAlignment="1" applyProtection="1">
      <alignment horizontal="center" vertical="center"/>
    </xf>
    <xf numFmtId="2" fontId="23" fillId="4" borderId="7" xfId="9" applyNumberFormat="1" applyFont="1" applyFill="1" applyBorder="1" applyAlignment="1" applyProtection="1">
      <alignment horizontal="right"/>
    </xf>
    <xf numFmtId="0" fontId="9" fillId="0" borderId="9" xfId="0" applyFont="1" applyBorder="1" applyProtection="1"/>
    <xf numFmtId="0" fontId="22" fillId="0" borderId="9" xfId="0" applyFont="1" applyBorder="1" applyAlignment="1" applyProtection="1">
      <alignment horizontal="center"/>
    </xf>
    <xf numFmtId="0" fontId="22" fillId="0" borderId="9" xfId="0" applyFont="1" applyBorder="1" applyAlignment="1" applyProtection="1">
      <alignment horizontal="center" vertical="center"/>
    </xf>
    <xf numFmtId="2" fontId="23" fillId="4" borderId="10" xfId="9" applyNumberFormat="1" applyFont="1" applyFill="1" applyBorder="1" applyAlignment="1" applyProtection="1">
      <alignment horizontal="right"/>
    </xf>
    <xf numFmtId="0" fontId="9" fillId="0" borderId="12" xfId="0" applyFont="1" applyBorder="1" applyProtection="1"/>
    <xf numFmtId="0" fontId="22" fillId="0" borderId="12" xfId="0" applyFont="1" applyBorder="1" applyAlignment="1" applyProtection="1">
      <alignment horizontal="center"/>
    </xf>
    <xf numFmtId="0" fontId="22" fillId="0" borderId="12" xfId="0" applyFont="1" applyBorder="1" applyAlignment="1" applyProtection="1">
      <alignment horizontal="center" vertical="center"/>
    </xf>
    <xf numFmtId="2" fontId="23" fillId="4" borderId="13" xfId="9" applyNumberFormat="1" applyFont="1" applyFill="1" applyBorder="1" applyAlignment="1" applyProtection="1">
      <alignment horizontal="right"/>
    </xf>
    <xf numFmtId="0" fontId="9" fillId="0" borderId="5" xfId="0" applyFont="1" applyBorder="1" applyProtection="1"/>
    <xf numFmtId="0" fontId="9" fillId="0" borderId="11" xfId="0" applyFont="1" applyBorder="1" applyProtection="1"/>
    <xf numFmtId="0" fontId="9" fillId="0" borderId="3" xfId="0" applyFont="1" applyBorder="1" applyProtection="1"/>
    <xf numFmtId="0" fontId="22" fillId="0" borderId="3" xfId="0" applyFont="1" applyBorder="1" applyAlignment="1" applyProtection="1">
      <alignment horizontal="center"/>
    </xf>
    <xf numFmtId="0" fontId="22" fillId="0" borderId="3" xfId="0" applyFont="1" applyBorder="1" applyAlignment="1" applyProtection="1">
      <alignment horizontal="center" vertical="center"/>
    </xf>
    <xf numFmtId="165" fontId="16" fillId="4" borderId="5" xfId="9" applyNumberFormat="1" applyFont="1" applyFill="1" applyBorder="1" applyProtection="1"/>
    <xf numFmtId="165" fontId="16" fillId="4" borderId="7" xfId="9" applyNumberFormat="1" applyFont="1" applyFill="1" applyBorder="1" applyProtection="1"/>
    <xf numFmtId="2" fontId="16" fillId="4" borderId="11" xfId="9" applyNumberFormat="1" applyFont="1" applyFill="1" applyBorder="1" applyProtection="1"/>
    <xf numFmtId="2" fontId="16" fillId="4" borderId="13" xfId="9" applyNumberFormat="1" applyFont="1" applyFill="1" applyBorder="1" applyProtection="1"/>
    <xf numFmtId="167" fontId="16" fillId="4" borderId="5" xfId="9" applyNumberFormat="1" applyFont="1" applyFill="1" applyBorder="1" applyProtection="1"/>
    <xf numFmtId="167" fontId="16" fillId="4" borderId="7" xfId="9" applyNumberFormat="1" applyFont="1" applyFill="1" applyBorder="1" applyProtection="1"/>
    <xf numFmtId="167" fontId="16" fillId="4" borderId="43" xfId="9" applyNumberFormat="1" applyFont="1" applyFill="1" applyBorder="1" applyProtection="1"/>
    <xf numFmtId="167" fontId="16" fillId="4" borderId="13" xfId="9" applyNumberFormat="1" applyFont="1" applyFill="1" applyBorder="1" applyProtection="1"/>
    <xf numFmtId="167" fontId="16" fillId="4" borderId="30" xfId="9" applyNumberFormat="1" applyFont="1" applyFill="1" applyBorder="1" applyProtection="1"/>
    <xf numFmtId="165" fontId="23" fillId="4" borderId="4" xfId="9" applyNumberFormat="1" applyFont="1" applyFill="1" applyBorder="1" applyAlignment="1" applyProtection="1">
      <alignment vertical="center"/>
    </xf>
    <xf numFmtId="165" fontId="23" fillId="4" borderId="28" xfId="9" applyNumberFormat="1" applyFont="1" applyFill="1" applyBorder="1" applyAlignment="1" applyProtection="1">
      <alignment vertical="center"/>
    </xf>
    <xf numFmtId="165" fontId="23" fillId="4" borderId="29"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xf>
    <xf numFmtId="167" fontId="23" fillId="4" borderId="11" xfId="9" applyNumberFormat="1" applyFont="1" applyFill="1" applyBorder="1" applyAlignment="1" applyProtection="1">
      <alignment vertical="center"/>
    </xf>
    <xf numFmtId="167" fontId="23" fillId="4" borderId="13"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xf>
    <xf numFmtId="165" fontId="23" fillId="4" borderId="16" xfId="9" applyNumberFormat="1" applyFont="1" applyFill="1" applyBorder="1" applyAlignment="1" applyProtection="1">
      <alignment vertical="center"/>
    </xf>
    <xf numFmtId="165" fontId="23" fillId="4" borderId="109" xfId="9" applyNumberFormat="1" applyFont="1" applyFill="1" applyBorder="1" applyAlignment="1" applyProtection="1">
      <alignment vertical="center"/>
    </xf>
    <xf numFmtId="165" fontId="23" fillId="4" borderId="126" xfId="9" applyNumberFormat="1" applyFont="1" applyFill="1" applyBorder="1" applyAlignment="1" applyProtection="1">
      <alignment vertical="center"/>
    </xf>
    <xf numFmtId="165" fontId="20" fillId="4" borderId="109" xfId="6" applyNumberFormat="1" applyFont="1" applyFill="1" applyBorder="1" applyAlignment="1" applyProtection="1">
      <alignment vertical="center"/>
    </xf>
    <xf numFmtId="165" fontId="20" fillId="4" borderId="7" xfId="6" applyNumberFormat="1" applyFont="1" applyFill="1" applyBorder="1" applyAlignment="1" applyProtection="1">
      <alignment vertical="center"/>
    </xf>
    <xf numFmtId="165" fontId="20" fillId="4" borderId="10" xfId="6" applyNumberFormat="1" applyFont="1" applyFill="1" applyBorder="1" applyAlignment="1" applyProtection="1">
      <alignment vertical="center"/>
    </xf>
    <xf numFmtId="165" fontId="23" fillId="4" borderId="10" xfId="6" applyNumberFormat="1" applyFont="1" applyFill="1" applyBorder="1" applyAlignment="1" applyProtection="1">
      <alignment vertical="center"/>
    </xf>
    <xf numFmtId="165" fontId="23" fillId="4" borderId="7" xfId="6" applyNumberFormat="1" applyFont="1" applyFill="1" applyBorder="1" applyAlignment="1" applyProtection="1">
      <alignment vertical="center"/>
    </xf>
    <xf numFmtId="165" fontId="20" fillId="4" borderId="61" xfId="6" applyNumberFormat="1" applyFont="1" applyFill="1" applyBorder="1" applyAlignment="1" applyProtection="1">
      <alignment vertical="center"/>
    </xf>
    <xf numFmtId="165" fontId="20" fillId="4" borderId="13" xfId="6" applyNumberFormat="1" applyFont="1" applyFill="1" applyBorder="1" applyAlignment="1" applyProtection="1">
      <alignment vertical="center"/>
    </xf>
    <xf numFmtId="165" fontId="20" fillId="4" borderId="41"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xf>
    <xf numFmtId="165" fontId="20" fillId="4" borderId="20" xfId="6" applyNumberFormat="1" applyFont="1" applyFill="1" applyBorder="1" applyAlignment="1" applyProtection="1">
      <alignment vertical="center"/>
    </xf>
    <xf numFmtId="165" fontId="20" fillId="4" borderId="21" xfId="6" applyNumberFormat="1" applyFont="1" applyFill="1" applyBorder="1" applyAlignment="1" applyProtection="1">
      <alignment vertical="center"/>
    </xf>
    <xf numFmtId="165" fontId="20" fillId="4" borderId="19" xfId="6" applyNumberFormat="1" applyFont="1" applyFill="1" applyBorder="1" applyAlignment="1" applyProtection="1">
      <alignment vertical="center"/>
    </xf>
    <xf numFmtId="165" fontId="20" fillId="4" borderId="66" xfId="6" applyNumberFormat="1" applyFont="1" applyFill="1" applyBorder="1" applyAlignment="1" applyProtection="1">
      <alignment vertical="center"/>
    </xf>
    <xf numFmtId="165" fontId="20" fillId="4" borderId="65" xfId="6" applyNumberFormat="1" applyFont="1" applyFill="1" applyBorder="1" applyAlignment="1" applyProtection="1">
      <alignment vertical="center"/>
    </xf>
    <xf numFmtId="165" fontId="20" fillId="4" borderId="67" xfId="6" applyNumberFormat="1" applyFont="1" applyFill="1" applyBorder="1" applyAlignment="1" applyProtection="1">
      <alignment vertical="center"/>
    </xf>
    <xf numFmtId="165" fontId="20" fillId="4" borderId="92" xfId="6" applyNumberFormat="1" applyFont="1" applyFill="1" applyBorder="1" applyAlignment="1" applyProtection="1">
      <alignment vertical="center"/>
    </xf>
    <xf numFmtId="165" fontId="20" fillId="4" borderId="93" xfId="6" applyNumberFormat="1" applyFont="1" applyFill="1" applyBorder="1" applyAlignment="1" applyProtection="1">
      <alignment vertical="center"/>
    </xf>
    <xf numFmtId="165" fontId="20" fillId="4" borderId="94" xfId="6" applyNumberFormat="1" applyFont="1" applyFill="1" applyBorder="1" applyAlignment="1" applyProtection="1">
      <alignment vertical="center"/>
    </xf>
    <xf numFmtId="165" fontId="20" fillId="4" borderId="72" xfId="6" applyNumberFormat="1" applyFont="1" applyFill="1" applyBorder="1" applyAlignment="1" applyProtection="1">
      <alignment vertical="center"/>
    </xf>
    <xf numFmtId="165" fontId="20" fillId="4" borderId="71" xfId="6" applyNumberFormat="1" applyFont="1" applyFill="1" applyBorder="1" applyAlignment="1" applyProtection="1">
      <alignment vertical="center"/>
    </xf>
    <xf numFmtId="165" fontId="20" fillId="4" borderId="100" xfId="6" applyNumberFormat="1" applyFont="1" applyFill="1" applyBorder="1" applyAlignment="1" applyProtection="1">
      <alignment vertical="center"/>
    </xf>
    <xf numFmtId="165" fontId="20" fillId="4" borderId="98" xfId="6" applyNumberFormat="1" applyFont="1" applyFill="1" applyBorder="1" applyAlignment="1" applyProtection="1">
      <alignment vertical="center"/>
    </xf>
    <xf numFmtId="165" fontId="20" fillId="4" borderId="99" xfId="6" applyNumberFormat="1" applyFont="1" applyFill="1" applyBorder="1" applyAlignment="1" applyProtection="1">
      <alignment vertical="center"/>
    </xf>
    <xf numFmtId="165" fontId="20" fillId="4" borderId="12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xf>
    <xf numFmtId="165" fontId="20" fillId="4" borderId="135" xfId="6" applyNumberFormat="1" applyFont="1" applyFill="1" applyBorder="1" applyAlignment="1" applyProtection="1">
      <alignment vertical="center"/>
    </xf>
    <xf numFmtId="165" fontId="20" fillId="4" borderId="136"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xf>
    <xf numFmtId="165" fontId="23" fillId="4" borderId="135" xfId="6" applyNumberFormat="1" applyFont="1" applyFill="1" applyBorder="1" applyAlignment="1" applyProtection="1">
      <alignment vertical="center"/>
    </xf>
    <xf numFmtId="165" fontId="23" fillId="4" borderId="136" xfId="6" applyNumberFormat="1" applyFont="1" applyFill="1" applyBorder="1" applyAlignment="1" applyProtection="1">
      <alignment vertical="center"/>
    </xf>
    <xf numFmtId="165" fontId="23" fillId="4" borderId="84" xfId="6" applyNumberFormat="1" applyFont="1" applyFill="1" applyBorder="1" applyAlignment="1" applyProtection="1">
      <alignment vertical="center"/>
    </xf>
    <xf numFmtId="165" fontId="23" fillId="4" borderId="140" xfId="6" applyNumberFormat="1" applyFont="1" applyFill="1" applyBorder="1" applyAlignment="1" applyProtection="1">
      <alignment vertical="center"/>
    </xf>
    <xf numFmtId="165" fontId="23" fillId="4" borderId="123" xfId="6" applyNumberFormat="1" applyFont="1" applyFill="1" applyBorder="1" applyAlignment="1" applyProtection="1">
      <alignment vertical="center"/>
    </xf>
    <xf numFmtId="165" fontId="23" fillId="4" borderId="92" xfId="6" applyNumberFormat="1" applyFont="1" applyFill="1" applyBorder="1" applyAlignment="1" applyProtection="1">
      <alignment vertical="center"/>
    </xf>
    <xf numFmtId="165" fontId="23" fillId="4" borderId="93" xfId="6" applyNumberFormat="1" applyFont="1" applyFill="1" applyBorder="1" applyAlignment="1" applyProtection="1">
      <alignment vertical="center"/>
    </xf>
    <xf numFmtId="165" fontId="23" fillId="4" borderId="94" xfId="6" applyNumberFormat="1" applyFont="1" applyFill="1" applyBorder="1" applyAlignment="1" applyProtection="1">
      <alignment vertical="center"/>
    </xf>
    <xf numFmtId="165" fontId="23" fillId="4" borderId="98" xfId="6" applyNumberFormat="1" applyFont="1" applyFill="1" applyBorder="1" applyAlignment="1" applyProtection="1">
      <alignment vertical="center"/>
    </xf>
    <xf numFmtId="165" fontId="23" fillId="4" borderId="99" xfId="6" applyNumberFormat="1" applyFont="1" applyFill="1" applyBorder="1" applyAlignment="1" applyProtection="1">
      <alignment vertical="center"/>
    </xf>
    <xf numFmtId="165" fontId="23" fillId="4" borderId="100" xfId="6" applyNumberFormat="1" applyFont="1" applyFill="1" applyBorder="1" applyAlignment="1" applyProtection="1">
      <alignment vertical="center"/>
    </xf>
    <xf numFmtId="165" fontId="23" fillId="4" borderId="141" xfId="6" applyNumberFormat="1" applyFont="1" applyFill="1" applyBorder="1" applyAlignment="1" applyProtection="1">
      <alignment vertical="center"/>
    </xf>
    <xf numFmtId="165" fontId="23" fillId="4" borderId="142" xfId="6" applyNumberFormat="1" applyFont="1" applyFill="1" applyBorder="1" applyAlignment="1" applyProtection="1">
      <alignment vertical="center"/>
    </xf>
    <xf numFmtId="165" fontId="23" fillId="4" borderId="143" xfId="6" applyNumberFormat="1" applyFont="1" applyFill="1" applyBorder="1" applyAlignment="1" applyProtection="1">
      <alignment vertical="center"/>
    </xf>
    <xf numFmtId="165" fontId="20" fillId="4" borderId="69" xfId="6" applyNumberFormat="1" applyFont="1" applyFill="1" applyBorder="1" applyAlignment="1" applyProtection="1">
      <alignment vertical="center"/>
    </xf>
    <xf numFmtId="165" fontId="20" fillId="4" borderId="95" xfId="6" applyNumberFormat="1" applyFont="1" applyFill="1" applyBorder="1" applyAlignment="1" applyProtection="1">
      <alignment vertical="center"/>
    </xf>
    <xf numFmtId="10" fontId="20" fillId="4" borderId="32" xfId="6" applyNumberFormat="1" applyFont="1" applyFill="1" applyBorder="1" applyAlignment="1" applyProtection="1">
      <alignment vertical="center"/>
    </xf>
    <xf numFmtId="10" fontId="23" fillId="4" borderId="32" xfId="6" applyNumberFormat="1" applyFont="1" applyFill="1" applyBorder="1" applyAlignment="1" applyProtection="1">
      <alignment vertical="center"/>
    </xf>
    <xf numFmtId="2" fontId="20" fillId="4" borderId="32"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xf>
    <xf numFmtId="10" fontId="23" fillId="4" borderId="7" xfId="6" applyNumberFormat="1" applyFont="1" applyFill="1" applyBorder="1" applyAlignment="1" applyProtection="1">
      <alignment vertical="center"/>
    </xf>
    <xf numFmtId="10" fontId="23" fillId="4" borderId="10" xfId="6" applyNumberFormat="1" applyFont="1" applyFill="1" applyBorder="1" applyAlignment="1" applyProtection="1">
      <alignment vertical="center"/>
    </xf>
    <xf numFmtId="10" fontId="23" fillId="4" borderId="42" xfId="6" applyNumberFormat="1" applyFont="1" applyFill="1" applyBorder="1" applyAlignment="1" applyProtection="1">
      <alignment vertical="center"/>
    </xf>
    <xf numFmtId="10" fontId="23" fillId="4" borderId="62" xfId="6" applyNumberFormat="1" applyFont="1" applyFill="1" applyBorder="1" applyAlignment="1" applyProtection="1">
      <alignment vertical="center"/>
    </xf>
    <xf numFmtId="10" fontId="23" fillId="7" borderId="11" xfId="6" applyNumberFormat="1" applyFont="1" applyFill="1" applyBorder="1" applyAlignment="1" applyProtection="1">
      <alignment vertical="center"/>
    </xf>
    <xf numFmtId="10" fontId="23" fillId="7" borderId="13" xfId="6" applyNumberFormat="1" applyFont="1" applyFill="1" applyBorder="1" applyAlignment="1" applyProtection="1">
      <alignment vertical="center"/>
    </xf>
    <xf numFmtId="10" fontId="20" fillId="4" borderId="109" xfId="6" applyNumberFormat="1" applyFont="1" applyFill="1" applyBorder="1" applyAlignment="1" applyProtection="1">
      <alignment vertical="center"/>
    </xf>
    <xf numFmtId="165" fontId="23" fillId="4" borderId="5" xfId="9" applyNumberFormat="1" applyFont="1" applyFill="1" applyBorder="1" applyProtection="1"/>
    <xf numFmtId="165" fontId="23" fillId="4" borderId="6" xfId="9" applyNumberFormat="1" applyFont="1" applyFill="1" applyBorder="1" applyProtection="1"/>
    <xf numFmtId="165" fontId="23" fillId="4" borderId="7" xfId="9" applyNumberFormat="1" applyFont="1" applyFill="1" applyBorder="1" applyProtection="1"/>
    <xf numFmtId="165" fontId="23" fillId="4" borderId="54" xfId="9" applyNumberFormat="1" applyFont="1" applyFill="1" applyBorder="1" applyProtection="1"/>
    <xf numFmtId="10" fontId="23" fillId="4" borderId="5" xfId="2" applyNumberFormat="1" applyFont="1" applyFill="1" applyBorder="1" applyProtection="1"/>
    <xf numFmtId="10" fontId="23" fillId="4" borderId="7" xfId="2" applyNumberFormat="1" applyFont="1" applyFill="1" applyBorder="1" applyProtection="1"/>
    <xf numFmtId="165" fontId="23" fillId="4" borderId="46" xfId="9" applyNumberFormat="1" applyFont="1" applyFill="1" applyBorder="1" applyProtection="1"/>
    <xf numFmtId="165" fontId="23" fillId="4" borderId="47" xfId="9" applyNumberFormat="1" applyFont="1" applyFill="1" applyBorder="1" applyProtection="1"/>
    <xf numFmtId="165" fontId="23" fillId="4" borderId="50" xfId="9" applyNumberFormat="1" applyFont="1" applyFill="1" applyBorder="1" applyProtection="1"/>
    <xf numFmtId="165" fontId="23" fillId="4" borderId="113" xfId="9" applyNumberFormat="1" applyFont="1" applyFill="1" applyBorder="1" applyProtection="1"/>
    <xf numFmtId="10" fontId="23" fillId="4" borderId="46" xfId="2" applyNumberFormat="1" applyFont="1" applyFill="1" applyBorder="1" applyProtection="1"/>
    <xf numFmtId="10" fontId="23" fillId="4" borderId="50" xfId="2" applyNumberFormat="1" applyFont="1" applyFill="1" applyBorder="1" applyProtection="1"/>
    <xf numFmtId="165" fontId="23" fillId="4" borderId="8" xfId="9" applyNumberFormat="1" applyFont="1" applyFill="1" applyBorder="1" applyProtection="1"/>
    <xf numFmtId="165" fontId="23" fillId="4" borderId="9" xfId="9" applyNumberFormat="1" applyFont="1" applyFill="1" applyBorder="1" applyProtection="1"/>
    <xf numFmtId="165" fontId="23" fillId="4" borderId="10" xfId="9" applyNumberFormat="1" applyFont="1" applyFill="1" applyBorder="1" applyProtection="1"/>
    <xf numFmtId="165" fontId="23" fillId="4" borderId="56" xfId="9" applyNumberFormat="1" applyFont="1" applyFill="1" applyBorder="1" applyProtection="1"/>
    <xf numFmtId="10" fontId="23" fillId="4" borderId="8" xfId="2" applyNumberFormat="1" applyFont="1" applyFill="1" applyBorder="1" applyProtection="1"/>
    <xf numFmtId="10" fontId="23" fillId="4" borderId="10" xfId="2" applyNumberFormat="1" applyFont="1" applyFill="1" applyBorder="1" applyProtection="1"/>
    <xf numFmtId="10" fontId="23" fillId="4" borderId="43" xfId="2" applyNumberFormat="1" applyFont="1" applyFill="1" applyBorder="1" applyProtection="1"/>
    <xf numFmtId="10" fontId="23" fillId="4" borderId="62" xfId="2" applyNumberFormat="1" applyFont="1" applyFill="1" applyBorder="1" applyProtection="1"/>
    <xf numFmtId="165" fontId="23" fillId="4" borderId="43" xfId="9" applyNumberFormat="1" applyFont="1" applyFill="1" applyBorder="1" applyProtection="1"/>
    <xf numFmtId="165" fontId="23" fillId="4" borderId="44" xfId="9" applyNumberFormat="1" applyFont="1" applyFill="1" applyBorder="1" applyProtection="1"/>
    <xf numFmtId="165" fontId="23" fillId="4" borderId="62" xfId="9" applyNumberFormat="1" applyFont="1" applyFill="1" applyBorder="1" applyProtection="1"/>
    <xf numFmtId="165" fontId="23" fillId="4" borderId="122" xfId="9" applyNumberFormat="1" applyFont="1" applyFill="1" applyBorder="1" applyProtection="1"/>
    <xf numFmtId="10" fontId="23" fillId="4" borderId="11" xfId="2" applyNumberFormat="1" applyFont="1" applyFill="1" applyBorder="1" applyProtection="1"/>
    <xf numFmtId="10" fontId="23" fillId="4" borderId="13" xfId="2" applyNumberFormat="1" applyFont="1" applyFill="1" applyBorder="1" applyProtection="1"/>
    <xf numFmtId="165" fontId="23" fillId="4" borderId="31" xfId="9" applyNumberFormat="1" applyFont="1" applyFill="1" applyBorder="1" applyProtection="1"/>
    <xf numFmtId="165" fontId="23" fillId="4" borderId="32" xfId="9" applyNumberFormat="1" applyFont="1" applyFill="1" applyBorder="1" applyProtection="1"/>
    <xf numFmtId="165" fontId="23" fillId="4" borderId="28" xfId="9" applyNumberFormat="1" applyFont="1" applyFill="1" applyBorder="1" applyProtection="1"/>
    <xf numFmtId="165" fontId="23" fillId="4" borderId="29" xfId="9" applyNumberFormat="1" applyFont="1" applyFill="1" applyBorder="1" applyProtection="1"/>
    <xf numFmtId="165" fontId="23" fillId="4" borderId="110" xfId="9" applyNumberFormat="1" applyFont="1" applyFill="1" applyBorder="1" applyProtection="1"/>
    <xf numFmtId="165" fontId="23" fillId="4" borderId="2" xfId="9" applyNumberFormat="1" applyFont="1" applyFill="1" applyBorder="1" applyProtection="1"/>
    <xf numFmtId="165" fontId="23" fillId="4" borderId="3" xfId="9" applyNumberFormat="1" applyFont="1" applyFill="1" applyBorder="1" applyProtection="1"/>
    <xf numFmtId="165" fontId="23" fillId="4" borderId="4" xfId="9" applyNumberFormat="1" applyFont="1" applyFill="1" applyBorder="1" applyProtection="1"/>
    <xf numFmtId="165" fontId="23" fillId="4" borderId="34" xfId="9" applyNumberFormat="1" applyFont="1" applyFill="1" applyBorder="1" applyProtection="1"/>
    <xf numFmtId="10" fontId="23" fillId="4" borderId="2" xfId="2" applyNumberFormat="1" applyFont="1" applyFill="1" applyBorder="1" applyProtection="1"/>
    <xf numFmtId="10" fontId="23" fillId="4" borderId="4" xfId="2" applyNumberFormat="1" applyFont="1" applyFill="1" applyBorder="1" applyProtection="1"/>
    <xf numFmtId="165" fontId="23" fillId="16" borderId="5" xfId="6" applyNumberFormat="1" applyFont="1" applyFill="1" applyBorder="1" applyAlignment="1" applyProtection="1">
      <alignment vertical="center"/>
    </xf>
    <xf numFmtId="165" fontId="23" fillId="16" borderId="24" xfId="6" applyNumberFormat="1" applyFont="1" applyFill="1" applyBorder="1" applyAlignment="1" applyProtection="1">
      <alignment vertical="center"/>
    </xf>
    <xf numFmtId="165" fontId="23" fillId="16" borderId="37" xfId="6" applyNumberFormat="1" applyFont="1" applyFill="1" applyBorder="1" applyAlignment="1" applyProtection="1">
      <alignment vertical="center"/>
    </xf>
    <xf numFmtId="165" fontId="23" fillId="16" borderId="6" xfId="6" applyNumberFormat="1" applyFont="1" applyFill="1" applyBorder="1" applyAlignment="1" applyProtection="1">
      <alignment vertical="center"/>
    </xf>
    <xf numFmtId="165" fontId="23" fillId="16" borderId="36" xfId="6" applyNumberFormat="1" applyFont="1" applyFill="1" applyBorder="1" applyAlignment="1" applyProtection="1">
      <alignment vertical="center"/>
    </xf>
    <xf numFmtId="165" fontId="23" fillId="16" borderId="8" xfId="6" applyNumberFormat="1" applyFont="1" applyFill="1" applyBorder="1" applyAlignment="1" applyProtection="1">
      <alignment vertical="center"/>
    </xf>
    <xf numFmtId="165" fontId="23" fillId="16" borderId="26" xfId="6" applyNumberFormat="1" applyFont="1" applyFill="1" applyBorder="1" applyAlignment="1" applyProtection="1">
      <alignment vertical="center"/>
    </xf>
    <xf numFmtId="165" fontId="23" fillId="16" borderId="39" xfId="6" applyNumberFormat="1" applyFont="1" applyFill="1" applyBorder="1" applyAlignment="1" applyProtection="1">
      <alignment vertical="center"/>
    </xf>
    <xf numFmtId="165" fontId="23" fillId="16" borderId="9" xfId="6" applyNumberFormat="1" applyFont="1" applyFill="1" applyBorder="1" applyAlignment="1" applyProtection="1">
      <alignment vertical="center"/>
    </xf>
    <xf numFmtId="165" fontId="23" fillId="16" borderId="38" xfId="6" applyNumberFormat="1" applyFont="1" applyFill="1" applyBorder="1" applyAlignment="1" applyProtection="1">
      <alignment vertical="center"/>
    </xf>
    <xf numFmtId="165" fontId="23" fillId="0" borderId="26" xfId="6" applyNumberFormat="1" applyFont="1" applyFill="1" applyBorder="1" applyAlignment="1" applyProtection="1">
      <alignment vertical="center"/>
    </xf>
    <xf numFmtId="0" fontId="67" fillId="0" borderId="0" xfId="18" applyFont="1" applyFill="1" applyBorder="1" applyProtection="1"/>
    <xf numFmtId="165" fontId="23" fillId="16" borderId="5" xfId="20" applyNumberFormat="1" applyFont="1" applyFill="1" applyBorder="1" applyAlignment="1" applyProtection="1">
      <alignment vertical="center"/>
    </xf>
    <xf numFmtId="165" fontId="23" fillId="16" borderId="24" xfId="20" applyNumberFormat="1" applyFont="1" applyFill="1" applyBorder="1" applyAlignment="1" applyProtection="1">
      <alignment vertical="center"/>
    </xf>
    <xf numFmtId="165" fontId="23" fillId="16" borderId="37" xfId="20" applyNumberFormat="1" applyFont="1" applyFill="1" applyBorder="1" applyAlignment="1" applyProtection="1">
      <alignment vertical="center"/>
    </xf>
    <xf numFmtId="165" fontId="23" fillId="16" borderId="6" xfId="20" applyNumberFormat="1" applyFont="1" applyFill="1" applyBorder="1" applyAlignment="1" applyProtection="1">
      <alignment vertical="center"/>
    </xf>
    <xf numFmtId="165" fontId="23" fillId="16" borderId="36" xfId="20" applyNumberFormat="1" applyFont="1" applyFill="1" applyBorder="1" applyAlignment="1" applyProtection="1">
      <alignment vertical="center"/>
    </xf>
    <xf numFmtId="165" fontId="23" fillId="16" borderId="8" xfId="20" applyNumberFormat="1" applyFont="1" applyFill="1" applyBorder="1" applyAlignment="1" applyProtection="1">
      <alignment vertical="center"/>
    </xf>
    <xf numFmtId="165" fontId="23" fillId="16" borderId="26" xfId="20" applyNumberFormat="1" applyFont="1" applyFill="1" applyBorder="1" applyAlignment="1" applyProtection="1">
      <alignment vertical="center"/>
    </xf>
    <xf numFmtId="165" fontId="23" fillId="16" borderId="39" xfId="20" applyNumberFormat="1" applyFont="1" applyFill="1" applyBorder="1" applyAlignment="1" applyProtection="1">
      <alignment vertical="center"/>
    </xf>
    <xf numFmtId="165" fontId="23" fillId="16" borderId="9" xfId="20" applyNumberFormat="1" applyFont="1" applyFill="1" applyBorder="1" applyAlignment="1" applyProtection="1">
      <alignment vertical="center"/>
    </xf>
    <xf numFmtId="165" fontId="23" fillId="16" borderId="38" xfId="20" applyNumberFormat="1" applyFont="1" applyFill="1" applyBorder="1" applyAlignment="1" applyProtection="1">
      <alignment vertical="center"/>
    </xf>
    <xf numFmtId="165" fontId="16" fillId="16" borderId="9" xfId="6" applyNumberFormat="1" applyFont="1" applyFill="1" applyBorder="1" applyAlignment="1" applyProtection="1">
      <alignment vertical="center"/>
    </xf>
    <xf numFmtId="165" fontId="111" fillId="0" borderId="6" xfId="6" applyNumberFormat="1" applyFont="1" applyFill="1" applyBorder="1" applyAlignment="1" applyProtection="1">
      <alignment vertical="center"/>
    </xf>
    <xf numFmtId="165" fontId="111" fillId="0" borderId="9" xfId="6" applyNumberFormat="1" applyFont="1" applyFill="1" applyBorder="1" applyAlignment="1" applyProtection="1">
      <alignment vertical="center"/>
    </xf>
    <xf numFmtId="165" fontId="111" fillId="0" borderId="44" xfId="6" applyNumberFormat="1" applyFont="1" applyFill="1" applyBorder="1" applyAlignment="1" applyProtection="1">
      <alignment vertical="center"/>
    </xf>
    <xf numFmtId="165" fontId="23" fillId="16" borderId="43" xfId="6" applyNumberFormat="1" applyFont="1" applyFill="1" applyBorder="1" applyAlignment="1" applyProtection="1">
      <alignment vertical="center"/>
    </xf>
    <xf numFmtId="165" fontId="23" fillId="16" borderId="126" xfId="6" applyNumberFormat="1" applyFont="1" applyFill="1" applyBorder="1" applyAlignment="1" applyProtection="1">
      <alignment vertical="center"/>
    </xf>
    <xf numFmtId="165" fontId="23" fillId="16" borderId="117" xfId="6" applyNumberFormat="1" applyFont="1" applyFill="1" applyBorder="1" applyAlignment="1" applyProtection="1">
      <alignment vertical="center"/>
    </xf>
    <xf numFmtId="165" fontId="23" fillId="16" borderId="44" xfId="6" applyNumberFormat="1" applyFont="1" applyFill="1" applyBorder="1" applyAlignment="1" applyProtection="1">
      <alignment vertical="center"/>
    </xf>
    <xf numFmtId="165" fontId="23" fillId="16" borderId="118" xfId="6" applyNumberFormat="1" applyFont="1" applyFill="1" applyBorder="1" applyAlignment="1" applyProtection="1">
      <alignment vertical="center"/>
    </xf>
    <xf numFmtId="165" fontId="23" fillId="18" borderId="11" xfId="6" applyNumberFormat="1" applyFont="1" applyFill="1" applyBorder="1" applyAlignment="1" applyProtection="1">
      <alignment vertical="center"/>
    </xf>
    <xf numFmtId="165" fontId="23" fillId="18" borderId="27" xfId="6" applyNumberFormat="1" applyFont="1" applyFill="1" applyBorder="1" applyAlignment="1" applyProtection="1">
      <alignment vertical="center"/>
    </xf>
    <xf numFmtId="165" fontId="23" fillId="18" borderId="41" xfId="6" applyNumberFormat="1" applyFont="1" applyFill="1" applyBorder="1" applyAlignment="1" applyProtection="1">
      <alignment vertical="center"/>
    </xf>
    <xf numFmtId="165" fontId="23" fillId="18" borderId="12" xfId="6" applyNumberFormat="1" applyFont="1" applyFill="1" applyBorder="1" applyAlignment="1" applyProtection="1">
      <alignment vertical="center"/>
    </xf>
    <xf numFmtId="165" fontId="23" fillId="18" borderId="40" xfId="6" applyNumberFormat="1" applyFont="1" applyFill="1" applyBorder="1" applyAlignment="1" applyProtection="1">
      <alignment vertical="center"/>
    </xf>
    <xf numFmtId="165" fontId="23" fillId="18" borderId="2" xfId="6" applyNumberFormat="1" applyFont="1" applyFill="1" applyBorder="1" applyAlignment="1" applyProtection="1">
      <alignment vertical="center"/>
    </xf>
    <xf numFmtId="165" fontId="23" fillId="18" borderId="35" xfId="6" applyNumberFormat="1" applyFont="1" applyFill="1" applyBorder="1" applyAlignment="1" applyProtection="1">
      <alignment vertical="center"/>
    </xf>
    <xf numFmtId="165" fontId="23" fillId="18" borderId="61" xfId="6" applyNumberFormat="1" applyFont="1" applyFill="1" applyBorder="1" applyAlignment="1" applyProtection="1">
      <alignment vertical="center"/>
    </xf>
    <xf numFmtId="165" fontId="23" fillId="18" borderId="3" xfId="6" applyNumberFormat="1" applyFont="1" applyFill="1" applyBorder="1" applyAlignment="1" applyProtection="1">
      <alignment vertical="center"/>
    </xf>
    <xf numFmtId="165" fontId="23" fillId="18" borderId="4" xfId="6" applyNumberFormat="1" applyFont="1" applyFill="1" applyBorder="1" applyAlignment="1" applyProtection="1">
      <alignment vertical="center"/>
    </xf>
    <xf numFmtId="165" fontId="23" fillId="18" borderId="266" xfId="6" applyNumberFormat="1" applyFont="1" applyFill="1" applyBorder="1" applyAlignment="1" applyProtection="1">
      <alignment vertical="center"/>
    </xf>
    <xf numFmtId="0" fontId="70" fillId="0" borderId="0" xfId="18" applyFont="1" applyFill="1" applyBorder="1" applyAlignment="1" applyProtection="1">
      <alignment horizontal="center" vertical="center" wrapText="1"/>
    </xf>
    <xf numFmtId="165" fontId="58" fillId="0" borderId="9" xfId="6" applyNumberFormat="1" applyFont="1" applyFill="1" applyBorder="1" applyAlignment="1" applyProtection="1">
      <alignment vertical="center"/>
    </xf>
    <xf numFmtId="165" fontId="58" fillId="0" borderId="44" xfId="6" applyNumberFormat="1" applyFont="1" applyFill="1" applyBorder="1" applyAlignment="1" applyProtection="1">
      <alignment vertical="center"/>
    </xf>
    <xf numFmtId="165" fontId="23" fillId="18" borderId="60" xfId="6" applyNumberFormat="1" applyFont="1" applyFill="1" applyBorder="1" applyAlignment="1" applyProtection="1">
      <alignment vertical="center"/>
    </xf>
    <xf numFmtId="0" fontId="7" fillId="3" borderId="4" xfId="0" applyFont="1" applyFill="1" applyBorder="1" applyAlignment="1" applyProtection="1"/>
    <xf numFmtId="0" fontId="59" fillId="0" borderId="47" xfId="0" applyFont="1" applyBorder="1" applyAlignment="1" applyProtection="1">
      <alignment vertical="center"/>
    </xf>
    <xf numFmtId="0" fontId="59" fillId="0" borderId="6" xfId="11" applyFont="1" applyFill="1" applyBorder="1" applyAlignment="1" applyProtection="1">
      <alignment horizontal="center" vertical="center"/>
    </xf>
    <xf numFmtId="165" fontId="16" fillId="4" borderId="54" xfId="2" applyNumberFormat="1" applyFont="1" applyFill="1" applyBorder="1" applyAlignment="1" applyProtection="1">
      <alignment vertical="center"/>
    </xf>
    <xf numFmtId="165" fontId="16" fillId="4" borderId="7" xfId="2" applyNumberFormat="1" applyFont="1" applyFill="1" applyBorder="1" applyAlignment="1" applyProtection="1">
      <alignment vertical="center"/>
    </xf>
    <xf numFmtId="165" fontId="16" fillId="4" borderId="37" xfId="2" applyNumberFormat="1" applyFont="1" applyFill="1" applyBorder="1" applyAlignment="1" applyProtection="1">
      <alignment vertical="center"/>
    </xf>
    <xf numFmtId="165" fontId="16" fillId="4" borderId="28" xfId="2" applyNumberFormat="1" applyFont="1" applyFill="1" applyBorder="1" applyAlignment="1" applyProtection="1">
      <alignment vertical="center"/>
    </xf>
    <xf numFmtId="165" fontId="16" fillId="4" borderId="6" xfId="2" applyNumberFormat="1" applyFont="1" applyFill="1" applyBorder="1" applyAlignment="1" applyProtection="1">
      <alignment vertical="center"/>
    </xf>
    <xf numFmtId="0" fontId="32" fillId="0" borderId="47"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xf>
    <xf numFmtId="165" fontId="16" fillId="4" borderId="50" xfId="2" applyNumberFormat="1" applyFont="1" applyFill="1" applyBorder="1" applyAlignment="1" applyProtection="1">
      <alignment vertical="center"/>
    </xf>
    <xf numFmtId="165" fontId="16" fillId="4" borderId="125" xfId="2" applyNumberFormat="1" applyFont="1" applyFill="1" applyBorder="1" applyAlignment="1" applyProtection="1">
      <alignment vertical="center"/>
    </xf>
    <xf numFmtId="165" fontId="16" fillId="4" borderId="114" xfId="2" applyNumberFormat="1" applyFont="1" applyFill="1" applyBorder="1" applyAlignment="1" applyProtection="1">
      <alignment vertical="center"/>
    </xf>
    <xf numFmtId="165" fontId="16" fillId="4" borderId="47" xfId="2" applyNumberFormat="1" applyFont="1" applyFill="1" applyBorder="1" applyAlignment="1" applyProtection="1">
      <alignment vertical="center"/>
    </xf>
    <xf numFmtId="0" fontId="16" fillId="0" borderId="47" xfId="0" applyFont="1" applyBorder="1" applyAlignment="1" applyProtection="1">
      <alignment vertical="center" wrapText="1"/>
    </xf>
    <xf numFmtId="0" fontId="16" fillId="0" borderId="47" xfId="11" applyFont="1" applyFill="1" applyBorder="1" applyAlignment="1" applyProtection="1">
      <alignment vertical="center" wrapText="1"/>
    </xf>
    <xf numFmtId="0" fontId="16" fillId="0" borderId="9" xfId="11" applyFont="1" applyFill="1" applyBorder="1" applyAlignment="1" applyProtection="1">
      <alignment vertical="center" wrapText="1"/>
    </xf>
    <xf numFmtId="165" fontId="16" fillId="4" borderId="56" xfId="2" applyNumberFormat="1" applyFont="1" applyFill="1" applyBorder="1" applyAlignment="1" applyProtection="1">
      <alignment vertical="center"/>
    </xf>
    <xf numFmtId="165" fontId="16" fillId="4" borderId="10" xfId="2" applyNumberFormat="1" applyFont="1" applyFill="1" applyBorder="1" applyAlignment="1" applyProtection="1">
      <alignment vertical="center"/>
    </xf>
    <xf numFmtId="165" fontId="16" fillId="4" borderId="39" xfId="2" applyNumberFormat="1" applyFont="1" applyFill="1" applyBorder="1" applyAlignment="1" applyProtection="1">
      <alignment vertical="center"/>
    </xf>
    <xf numFmtId="165" fontId="16" fillId="4" borderId="29" xfId="2" applyNumberFormat="1" applyFont="1" applyFill="1" applyBorder="1" applyAlignment="1" applyProtection="1">
      <alignment vertical="center"/>
    </xf>
    <xf numFmtId="165" fontId="16" fillId="4" borderId="9" xfId="2" applyNumberFormat="1" applyFont="1" applyFill="1" applyBorder="1" applyAlignment="1" applyProtection="1">
      <alignment vertical="center"/>
    </xf>
    <xf numFmtId="0" fontId="59" fillId="0" borderId="9" xfId="11" applyFont="1" applyFill="1" applyBorder="1" applyAlignment="1" applyProtection="1">
      <alignment vertical="center"/>
    </xf>
    <xf numFmtId="0" fontId="32" fillId="0" borderId="9" xfId="11" applyFont="1" applyFill="1" applyBorder="1" applyAlignment="1" applyProtection="1">
      <alignment horizontal="center" vertical="center"/>
    </xf>
    <xf numFmtId="0" fontId="59" fillId="0" borderId="9" xfId="11" applyFont="1" applyFill="1" applyBorder="1" applyAlignment="1" applyProtection="1">
      <alignment horizontal="center" vertical="center"/>
    </xf>
    <xf numFmtId="0" fontId="59" fillId="4" borderId="9" xfId="11" applyFont="1" applyFill="1" applyBorder="1" applyAlignment="1" applyProtection="1">
      <alignment vertical="center"/>
    </xf>
    <xf numFmtId="0" fontId="59" fillId="0" borderId="44" xfId="11" applyFont="1" applyFill="1" applyBorder="1" applyAlignment="1" applyProtection="1">
      <alignment horizontal="center" vertical="center"/>
    </xf>
    <xf numFmtId="165" fontId="16" fillId="4" borderId="122" xfId="2" applyNumberFormat="1" applyFont="1" applyFill="1" applyBorder="1" applyAlignment="1" applyProtection="1">
      <alignment vertical="center"/>
    </xf>
    <xf numFmtId="165" fontId="16" fillId="4" borderId="62" xfId="2" applyNumberFormat="1" applyFont="1" applyFill="1" applyBorder="1" applyAlignment="1" applyProtection="1">
      <alignment vertical="center"/>
    </xf>
    <xf numFmtId="165" fontId="16" fillId="4" borderId="117" xfId="2" applyNumberFormat="1" applyFont="1" applyFill="1" applyBorder="1" applyAlignment="1" applyProtection="1">
      <alignment vertical="center"/>
    </xf>
    <xf numFmtId="165" fontId="16" fillId="4" borderId="42" xfId="2" applyNumberFormat="1" applyFont="1" applyFill="1" applyBorder="1" applyAlignment="1" applyProtection="1">
      <alignment vertical="center"/>
    </xf>
    <xf numFmtId="165" fontId="16" fillId="4" borderId="44" xfId="2" applyNumberFormat="1" applyFont="1" applyFill="1" applyBorder="1" applyAlignment="1" applyProtection="1">
      <alignment vertical="center"/>
    </xf>
    <xf numFmtId="0" fontId="59" fillId="4" borderId="12" xfId="11" applyFont="1" applyFill="1" applyBorder="1" applyAlignment="1" applyProtection="1">
      <alignment vertical="center"/>
    </xf>
    <xf numFmtId="0" fontId="59" fillId="0" borderId="12" xfId="11" applyFont="1" applyFill="1" applyBorder="1" applyAlignment="1" applyProtection="1">
      <alignment horizontal="center" vertical="center"/>
    </xf>
    <xf numFmtId="165" fontId="16" fillId="4" borderId="57" xfId="2" applyNumberFormat="1" applyFont="1" applyFill="1" applyBorder="1" applyAlignment="1" applyProtection="1">
      <alignment vertical="center"/>
    </xf>
    <xf numFmtId="165" fontId="16" fillId="4" borderId="13" xfId="2" applyNumberFormat="1" applyFont="1" applyFill="1" applyBorder="1" applyAlignment="1" applyProtection="1">
      <alignment vertical="center"/>
    </xf>
    <xf numFmtId="165" fontId="16" fillId="4" borderId="41" xfId="2" applyNumberFormat="1" applyFont="1" applyFill="1" applyBorder="1" applyAlignment="1" applyProtection="1">
      <alignment vertical="center"/>
    </xf>
    <xf numFmtId="165" fontId="16" fillId="4" borderId="45" xfId="2" applyNumberFormat="1" applyFont="1" applyFill="1" applyBorder="1" applyAlignment="1" applyProtection="1">
      <alignment vertical="center"/>
    </xf>
    <xf numFmtId="165" fontId="16" fillId="4" borderId="12" xfId="2" applyNumberFormat="1" applyFont="1" applyFill="1" applyBorder="1" applyAlignment="1" applyProtection="1">
      <alignment vertical="center"/>
    </xf>
    <xf numFmtId="0" fontId="59" fillId="0" borderId="3" xfId="11" applyFont="1" applyFill="1" applyBorder="1" applyAlignment="1" applyProtection="1">
      <alignment vertical="center"/>
    </xf>
    <xf numFmtId="0" fontId="59" fillId="0" borderId="34" xfId="11" applyFont="1" applyFill="1" applyBorder="1" applyAlignment="1" applyProtection="1">
      <alignment horizontal="center" vertical="center"/>
    </xf>
    <xf numFmtId="0" fontId="72" fillId="0" borderId="0" xfId="18" applyFont="1" applyAlignment="1" applyProtection="1"/>
    <xf numFmtId="0" fontId="0" fillId="0" borderId="0" xfId="0" applyAlignment="1" applyProtection="1"/>
    <xf numFmtId="0" fontId="77" fillId="0" borderId="206" xfId="18" applyFont="1" applyFill="1" applyBorder="1" applyAlignment="1" applyProtection="1"/>
    <xf numFmtId="0" fontId="77" fillId="0" borderId="0" xfId="18" applyFont="1" applyFill="1" applyBorder="1" applyAlignment="1" applyProtection="1"/>
    <xf numFmtId="0" fontId="46" fillId="0" borderId="0" xfId="17" applyBorder="1" applyAlignment="1" applyProtection="1">
      <alignment horizontal="center" vertical="center"/>
    </xf>
    <xf numFmtId="0" fontId="7" fillId="3" borderId="4" xfId="22" applyFont="1" applyFill="1" applyBorder="1" applyAlignment="1" applyProtection="1"/>
    <xf numFmtId="165" fontId="16" fillId="4" borderId="54" xfId="19" applyNumberFormat="1" applyFont="1" applyFill="1" applyBorder="1" applyAlignment="1" applyProtection="1">
      <alignment vertical="center"/>
    </xf>
    <xf numFmtId="165" fontId="16" fillId="4" borderId="6" xfId="19" applyNumberFormat="1" applyFont="1" applyFill="1" applyBorder="1" applyAlignment="1" applyProtection="1">
      <alignment vertical="center"/>
    </xf>
    <xf numFmtId="165" fontId="16" fillId="4" borderId="7" xfId="19" applyNumberFormat="1" applyFont="1" applyFill="1" applyBorder="1" applyAlignment="1" applyProtection="1">
      <alignment vertical="center"/>
    </xf>
    <xf numFmtId="165" fontId="16" fillId="4" borderId="37" xfId="19" applyNumberFormat="1" applyFont="1" applyFill="1" applyBorder="1" applyAlignment="1" applyProtection="1">
      <alignment vertical="center"/>
    </xf>
    <xf numFmtId="165" fontId="16" fillId="4" borderId="36" xfId="19" applyNumberFormat="1" applyFont="1" applyFill="1" applyBorder="1" applyAlignment="1" applyProtection="1">
      <alignment vertical="center"/>
    </xf>
    <xf numFmtId="165" fontId="16" fillId="4" borderId="5" xfId="19" applyNumberFormat="1" applyFont="1" applyFill="1" applyBorder="1" applyAlignment="1" applyProtection="1">
      <alignment vertical="center"/>
    </xf>
    <xf numFmtId="165" fontId="16" fillId="4" borderId="56" xfId="19" applyNumberFormat="1" applyFont="1" applyFill="1" applyBorder="1" applyAlignment="1" applyProtection="1">
      <alignment vertical="center"/>
    </xf>
    <xf numFmtId="165" fontId="16" fillId="4" borderId="9" xfId="19" applyNumberFormat="1" applyFont="1" applyFill="1" applyBorder="1" applyAlignment="1" applyProtection="1">
      <alignment vertical="center"/>
    </xf>
    <xf numFmtId="165" fontId="16" fillId="4" borderId="10" xfId="19" applyNumberFormat="1" applyFont="1" applyFill="1" applyBorder="1" applyAlignment="1" applyProtection="1">
      <alignment vertical="center"/>
    </xf>
    <xf numFmtId="165" fontId="16" fillId="4" borderId="39" xfId="19" applyNumberFormat="1" applyFont="1" applyFill="1" applyBorder="1" applyAlignment="1" applyProtection="1">
      <alignment vertical="center"/>
    </xf>
    <xf numFmtId="165" fontId="16" fillId="4" borderId="38" xfId="19" applyNumberFormat="1" applyFont="1" applyFill="1" applyBorder="1" applyAlignment="1" applyProtection="1">
      <alignment vertical="center"/>
    </xf>
    <xf numFmtId="165" fontId="16" fillId="4" borderId="8" xfId="19" applyNumberFormat="1" applyFont="1" applyFill="1" applyBorder="1" applyAlignment="1" applyProtection="1">
      <alignment vertical="center"/>
    </xf>
    <xf numFmtId="165" fontId="9" fillId="4" borderId="9" xfId="6" applyNumberFormat="1" applyFont="1" applyFill="1" applyBorder="1" applyAlignment="1" applyProtection="1">
      <alignment vertical="center"/>
    </xf>
    <xf numFmtId="165" fontId="16" fillId="4" borderId="122" xfId="19" applyNumberFormat="1" applyFont="1" applyFill="1" applyBorder="1" applyAlignment="1" applyProtection="1">
      <alignment vertical="center"/>
    </xf>
    <xf numFmtId="165" fontId="16" fillId="4" borderId="44" xfId="19" applyNumberFormat="1" applyFont="1" applyFill="1" applyBorder="1" applyAlignment="1" applyProtection="1">
      <alignment vertical="center"/>
    </xf>
    <xf numFmtId="165" fontId="16" fillId="4" borderId="62" xfId="19" applyNumberFormat="1" applyFont="1" applyFill="1" applyBorder="1" applyAlignment="1" applyProtection="1">
      <alignment vertical="center"/>
    </xf>
    <xf numFmtId="165" fontId="16" fillId="4" borderId="117" xfId="19" applyNumberFormat="1" applyFont="1" applyFill="1" applyBorder="1" applyAlignment="1" applyProtection="1">
      <alignment vertical="center"/>
    </xf>
    <xf numFmtId="165" fontId="16" fillId="4" borderId="118" xfId="19" applyNumberFormat="1" applyFont="1" applyFill="1" applyBorder="1" applyAlignment="1" applyProtection="1">
      <alignment vertical="center"/>
    </xf>
    <xf numFmtId="165" fontId="16" fillId="4" borderId="43" xfId="19" applyNumberFormat="1" applyFont="1" applyFill="1" applyBorder="1" applyAlignment="1" applyProtection="1">
      <alignment vertical="center"/>
    </xf>
    <xf numFmtId="165" fontId="9" fillId="4" borderId="44" xfId="6" applyNumberFormat="1" applyFont="1" applyFill="1" applyBorder="1" applyAlignment="1" applyProtection="1">
      <alignment vertical="center"/>
    </xf>
    <xf numFmtId="0" fontId="59" fillId="0" borderId="44" xfId="11" applyFont="1" applyFill="1" applyBorder="1" applyAlignment="1" applyProtection="1">
      <alignment vertical="center"/>
    </xf>
    <xf numFmtId="165" fontId="16" fillId="4" borderId="12" xfId="23" applyNumberFormat="1" applyFont="1" applyFill="1" applyBorder="1" applyAlignment="1" applyProtection="1">
      <alignment vertical="center"/>
    </xf>
    <xf numFmtId="165" fontId="16" fillId="4" borderId="57" xfId="19" applyNumberFormat="1" applyFont="1" applyFill="1" applyBorder="1" applyAlignment="1" applyProtection="1">
      <alignment vertical="center"/>
    </xf>
    <xf numFmtId="165" fontId="16" fillId="4" borderId="12" xfId="19" applyNumberFormat="1" applyFont="1" applyFill="1" applyBorder="1" applyAlignment="1" applyProtection="1">
      <alignment vertical="center"/>
    </xf>
    <xf numFmtId="165" fontId="16" fillId="4" borderId="13" xfId="19" applyNumberFormat="1" applyFont="1" applyFill="1" applyBorder="1" applyAlignment="1" applyProtection="1">
      <alignment vertical="center"/>
    </xf>
    <xf numFmtId="165" fontId="16" fillId="4" borderId="41" xfId="19" applyNumberFormat="1" applyFont="1" applyFill="1" applyBorder="1" applyAlignment="1" applyProtection="1">
      <alignment vertical="center"/>
    </xf>
    <xf numFmtId="165" fontId="16" fillId="4" borderId="40" xfId="19" applyNumberFormat="1" applyFont="1" applyFill="1" applyBorder="1" applyAlignment="1" applyProtection="1">
      <alignment vertical="center"/>
    </xf>
    <xf numFmtId="165" fontId="16" fillId="4" borderId="11" xfId="19" applyNumberFormat="1" applyFont="1" applyFill="1" applyBorder="1" applyAlignment="1" applyProtection="1">
      <alignment vertical="center"/>
    </xf>
    <xf numFmtId="165" fontId="16" fillId="21" borderId="60" xfId="11" applyNumberFormat="1" applyFont="1" applyFill="1" applyBorder="1" applyAlignment="1" applyProtection="1">
      <alignment vertical="center"/>
    </xf>
    <xf numFmtId="165" fontId="16" fillId="21" borderId="2" xfId="11" applyNumberFormat="1" applyFont="1" applyFill="1" applyBorder="1" applyAlignment="1" applyProtection="1">
      <alignment vertical="center"/>
    </xf>
    <xf numFmtId="0" fontId="72" fillId="0" borderId="0" xfId="18" applyFont="1" applyProtection="1"/>
    <xf numFmtId="0" fontId="78" fillId="0" borderId="0" xfId="18" applyFont="1" applyFill="1" applyBorder="1" applyProtection="1"/>
    <xf numFmtId="0" fontId="72" fillId="0" borderId="0" xfId="18" applyFont="1" applyFill="1" applyBorder="1" applyProtection="1"/>
    <xf numFmtId="0" fontId="7" fillId="3" borderId="16" xfId="22" applyFont="1" applyFill="1" applyBorder="1" applyProtection="1"/>
    <xf numFmtId="165" fontId="16" fillId="4" borderId="31" xfId="19" applyNumberFormat="1" applyFont="1" applyFill="1" applyBorder="1" applyAlignment="1" applyProtection="1">
      <alignment vertical="center"/>
    </xf>
    <xf numFmtId="0" fontId="59" fillId="23" borderId="9" xfId="11" applyFont="1" applyFill="1" applyBorder="1" applyAlignment="1" applyProtection="1">
      <alignment vertical="center" wrapText="1"/>
    </xf>
    <xf numFmtId="0" fontId="59" fillId="23" borderId="9" xfId="11" applyFont="1" applyFill="1" applyBorder="1" applyAlignment="1" applyProtection="1">
      <alignment horizontal="center" vertical="center"/>
    </xf>
    <xf numFmtId="165" fontId="16" fillId="4" borderId="32" xfId="19" applyNumberFormat="1" applyFont="1" applyFill="1" applyBorder="1" applyAlignment="1" applyProtection="1">
      <alignment vertical="center"/>
    </xf>
    <xf numFmtId="0" fontId="16" fillId="23" borderId="12" xfId="11" applyFont="1" applyFill="1" applyBorder="1" applyAlignment="1" applyProtection="1">
      <alignment vertical="center" wrapText="1"/>
    </xf>
    <xf numFmtId="0" fontId="16" fillId="23" borderId="12" xfId="11" applyFont="1" applyFill="1" applyBorder="1" applyAlignment="1" applyProtection="1">
      <alignment horizontal="center" vertical="center"/>
    </xf>
    <xf numFmtId="165" fontId="16" fillId="4" borderId="30" xfId="19" applyNumberFormat="1" applyFont="1" applyFill="1" applyBorder="1" applyAlignment="1" applyProtection="1">
      <alignment vertical="center"/>
    </xf>
    <xf numFmtId="0" fontId="59" fillId="23" borderId="6" xfId="11" applyFont="1" applyFill="1" applyBorder="1" applyAlignment="1" applyProtection="1">
      <alignment vertical="center" wrapText="1"/>
    </xf>
    <xf numFmtId="0" fontId="59" fillId="23" borderId="6" xfId="11" applyFont="1" applyFill="1" applyBorder="1" applyAlignment="1" applyProtection="1">
      <alignment horizontal="center" vertical="center" wrapText="1"/>
    </xf>
    <xf numFmtId="0" fontId="59" fillId="23" borderId="9" xfId="11" applyFont="1" applyFill="1" applyBorder="1" applyAlignment="1" applyProtection="1">
      <alignment horizontal="center" vertical="center" wrapText="1"/>
    </xf>
    <xf numFmtId="0" fontId="16" fillId="23" borderId="44" xfId="11" applyFont="1" applyFill="1" applyBorder="1" applyAlignment="1" applyProtection="1">
      <alignment vertical="center" wrapText="1"/>
    </xf>
    <xf numFmtId="0" fontId="16" fillId="23" borderId="44" xfId="11" applyFont="1" applyFill="1" applyBorder="1" applyAlignment="1" applyProtection="1">
      <alignment horizontal="center" vertical="center" wrapText="1"/>
    </xf>
    <xf numFmtId="165" fontId="16" fillId="7" borderId="109" xfId="19" applyNumberFormat="1" applyFont="1" applyFill="1" applyBorder="1" applyAlignment="1" applyProtection="1">
      <alignment vertical="center"/>
    </xf>
    <xf numFmtId="9" fontId="16" fillId="23" borderId="60" xfId="11" applyNumberFormat="1" applyFont="1" applyFill="1" applyBorder="1" applyAlignment="1" applyProtection="1">
      <alignment vertical="center" wrapText="1"/>
    </xf>
    <xf numFmtId="0" fontId="16" fillId="23" borderId="3" xfId="11" applyFont="1" applyFill="1" applyBorder="1" applyAlignment="1" applyProtection="1">
      <alignment horizontal="center" vertical="center" wrapText="1"/>
    </xf>
    <xf numFmtId="165" fontId="16" fillId="7" borderId="1" xfId="11" applyNumberFormat="1" applyFont="1" applyFill="1" applyBorder="1" applyAlignment="1" applyProtection="1">
      <alignment vertical="center"/>
    </xf>
    <xf numFmtId="0" fontId="4" fillId="24" borderId="0" xfId="22" applyFont="1" applyFill="1" applyAlignment="1" applyProtection="1">
      <alignment horizontal="left" vertical="top"/>
    </xf>
    <xf numFmtId="0" fontId="4" fillId="24" borderId="0" xfId="22" applyFont="1" applyFill="1" applyAlignment="1" applyProtection="1">
      <alignment horizontal="left" vertical="top" wrapText="1"/>
    </xf>
    <xf numFmtId="0" fontId="4" fillId="2" borderId="0" xfId="22" applyFont="1" applyFill="1" applyAlignment="1" applyProtection="1">
      <alignment horizontal="left" vertical="top"/>
    </xf>
    <xf numFmtId="0" fontId="72" fillId="0" borderId="0" xfId="22" applyFont="1" applyAlignment="1" applyProtection="1">
      <alignment horizontal="left" vertical="top" wrapText="1"/>
    </xf>
    <xf numFmtId="0" fontId="76" fillId="0" borderId="0" xfId="22" applyFont="1" applyAlignment="1" applyProtection="1">
      <alignment horizontal="left" vertical="top"/>
    </xf>
    <xf numFmtId="0" fontId="76" fillId="0" borderId="0" xfId="22" applyFont="1" applyBorder="1" applyAlignment="1" applyProtection="1">
      <alignment horizontal="left" vertical="top"/>
    </xf>
    <xf numFmtId="0" fontId="98" fillId="0" borderId="0" xfId="11" applyFont="1" applyBorder="1" applyAlignment="1" applyProtection="1">
      <alignment horizontal="left" vertical="top" wrapText="1"/>
    </xf>
    <xf numFmtId="0" fontId="98" fillId="0" borderId="0" xfId="11" applyFont="1" applyBorder="1" applyAlignment="1" applyProtection="1">
      <alignment horizontal="center" vertical="top" wrapText="1"/>
    </xf>
    <xf numFmtId="0" fontId="81" fillId="0" borderId="0" xfId="11" applyFont="1" applyBorder="1" applyAlignment="1" applyProtection="1">
      <alignment horizontal="left" vertical="top" wrapText="1"/>
    </xf>
    <xf numFmtId="0" fontId="81" fillId="0" borderId="0" xfId="11" applyFont="1" applyBorder="1" applyAlignment="1" applyProtection="1">
      <alignment horizontal="center" vertical="top" wrapText="1"/>
    </xf>
    <xf numFmtId="0" fontId="72" fillId="0" borderId="0" xfId="22" applyFont="1" applyAlignment="1" applyProtection="1">
      <alignment horizontal="center" vertical="top"/>
    </xf>
    <xf numFmtId="0" fontId="72" fillId="0" borderId="0" xfId="22" applyFont="1" applyAlignment="1" applyProtection="1">
      <alignment horizontal="center" vertical="top" wrapText="1"/>
    </xf>
    <xf numFmtId="0" fontId="72" fillId="0" borderId="0" xfId="22" applyFont="1" applyBorder="1" applyAlignment="1" applyProtection="1">
      <alignment horizontal="left" vertical="top"/>
    </xf>
    <xf numFmtId="0" fontId="72" fillId="0" borderId="0" xfId="22" applyFont="1" applyBorder="1" applyAlignment="1" applyProtection="1">
      <alignment horizontal="center" vertical="top"/>
    </xf>
    <xf numFmtId="1" fontId="20" fillId="4" borderId="5" xfId="20" applyNumberFormat="1" applyFont="1" applyFill="1" applyBorder="1" applyAlignment="1" applyProtection="1">
      <alignment vertical="center"/>
    </xf>
    <xf numFmtId="1" fontId="20" fillId="4" borderId="6" xfId="20" applyNumberFormat="1" applyFont="1" applyFill="1" applyBorder="1" applyAlignment="1" applyProtection="1">
      <alignment vertical="center"/>
    </xf>
    <xf numFmtId="1" fontId="20" fillId="4" borderId="8" xfId="20" applyNumberFormat="1" applyFont="1" applyFill="1" applyBorder="1" applyAlignment="1" applyProtection="1">
      <alignment vertical="center"/>
    </xf>
    <xf numFmtId="1" fontId="20" fillId="4" borderId="9" xfId="20" applyNumberFormat="1" applyFont="1" applyFill="1" applyBorder="1" applyAlignment="1" applyProtection="1">
      <alignment vertical="center"/>
    </xf>
    <xf numFmtId="1" fontId="72" fillId="0" borderId="0" xfId="22" applyNumberFormat="1" applyFont="1" applyAlignment="1" applyProtection="1">
      <alignment horizontal="left" vertical="top"/>
    </xf>
    <xf numFmtId="1" fontId="20" fillId="4" borderId="30" xfId="20" applyNumberFormat="1" applyFont="1" applyFill="1" applyBorder="1" applyAlignment="1" applyProtection="1">
      <alignment vertical="center"/>
    </xf>
    <xf numFmtId="165" fontId="20" fillId="4" borderId="7" xfId="20" applyNumberFormat="1" applyFont="1" applyFill="1" applyBorder="1" applyAlignment="1" applyProtection="1">
      <alignment vertical="center"/>
    </xf>
    <xf numFmtId="165" fontId="20" fillId="4" borderId="10" xfId="20" applyNumberFormat="1" applyFont="1" applyFill="1" applyBorder="1" applyAlignment="1" applyProtection="1">
      <alignment vertical="center"/>
    </xf>
    <xf numFmtId="165" fontId="20" fillId="4" borderId="13" xfId="20" applyNumberFormat="1" applyFont="1" applyFill="1" applyBorder="1" applyAlignment="1" applyProtection="1">
      <alignment vertical="center"/>
    </xf>
    <xf numFmtId="0" fontId="46" fillId="0" borderId="0" xfId="22" applyProtection="1"/>
    <xf numFmtId="0" fontId="72" fillId="0" borderId="0" xfId="22" applyFont="1" applyFill="1" applyAlignment="1" applyProtection="1">
      <alignment horizontal="left" vertical="top"/>
    </xf>
    <xf numFmtId="0" fontId="79" fillId="0" borderId="0" xfId="22" applyFont="1" applyFill="1" applyAlignment="1" applyProtection="1">
      <alignment horizontal="left" vertical="top"/>
    </xf>
    <xf numFmtId="0" fontId="7" fillId="3" borderId="4" xfId="22" applyFont="1" applyFill="1" applyBorder="1" applyProtection="1"/>
    <xf numFmtId="172" fontId="16" fillId="27" borderId="5" xfId="19" applyNumberFormat="1" applyFont="1" applyFill="1" applyBorder="1" applyAlignment="1" applyProtection="1">
      <alignment vertical="center"/>
    </xf>
    <xf numFmtId="172" fontId="16" fillId="27" borderId="6" xfId="19" applyNumberFormat="1" applyFont="1" applyFill="1" applyBorder="1" applyAlignment="1" applyProtection="1">
      <alignment vertical="center"/>
    </xf>
    <xf numFmtId="0" fontId="59" fillId="0" borderId="9" xfId="11" applyFont="1" applyFill="1" applyBorder="1" applyAlignment="1" applyProtection="1">
      <alignment vertical="center" wrapText="1"/>
    </xf>
    <xf numFmtId="0" fontId="114" fillId="0" borderId="9" xfId="11" applyFont="1" applyFill="1" applyBorder="1" applyAlignment="1" applyProtection="1">
      <alignment horizontal="center" vertical="center" wrapText="1"/>
    </xf>
    <xf numFmtId="172" fontId="16" fillId="27" borderId="8" xfId="19" applyNumberFormat="1" applyFont="1" applyFill="1" applyBorder="1" applyAlignment="1" applyProtection="1">
      <alignment vertical="center"/>
    </xf>
    <xf numFmtId="172" fontId="16" fillId="27" borderId="9" xfId="19" applyNumberFormat="1" applyFont="1" applyFill="1" applyBorder="1" applyAlignment="1" applyProtection="1">
      <alignment vertical="center"/>
    </xf>
    <xf numFmtId="172" fontId="16" fillId="27" borderId="46" xfId="19" applyNumberFormat="1" applyFont="1" applyFill="1" applyBorder="1" applyAlignment="1" applyProtection="1">
      <alignment vertical="center"/>
    </xf>
    <xf numFmtId="172" fontId="16" fillId="27" borderId="47" xfId="19" applyNumberFormat="1" applyFont="1" applyFill="1" applyBorder="1" applyAlignment="1" applyProtection="1">
      <alignment vertical="center"/>
    </xf>
    <xf numFmtId="0" fontId="59" fillId="0" borderId="12" xfId="11" applyFont="1" applyFill="1" applyBorder="1" applyAlignment="1" applyProtection="1">
      <alignment vertical="center" wrapText="1"/>
    </xf>
    <xf numFmtId="0" fontId="114" fillId="0" borderId="12" xfId="11" applyFont="1" applyFill="1" applyBorder="1" applyAlignment="1" applyProtection="1">
      <alignment horizontal="center" vertical="center" wrapText="1"/>
    </xf>
    <xf numFmtId="0" fontId="46" fillId="0" borderId="0" xfId="22" applyAlignment="1" applyProtection="1">
      <alignment horizontal="center"/>
    </xf>
    <xf numFmtId="0" fontId="141" fillId="0" borderId="0" xfId="22" applyFont="1" applyAlignment="1" applyProtection="1">
      <alignment horizontal="center"/>
    </xf>
    <xf numFmtId="170" fontId="16" fillId="4" borderId="57" xfId="19" applyNumberFormat="1" applyFont="1" applyFill="1" applyBorder="1" applyAlignment="1" applyProtection="1">
      <alignment vertical="center"/>
      <protection locked="0"/>
    </xf>
    <xf numFmtId="0" fontId="14" fillId="0" borderId="21" xfId="11" applyFont="1" applyFill="1" applyBorder="1" applyAlignment="1" applyProtection="1">
      <alignment horizontal="center" vertical="center"/>
    </xf>
    <xf numFmtId="0" fontId="20" fillId="0" borderId="170" xfId="0" applyFont="1" applyBorder="1" applyAlignment="1" applyProtection="1">
      <alignment vertical="top" wrapText="1"/>
    </xf>
    <xf numFmtId="0" fontId="0" fillId="0" borderId="168" xfId="0" applyBorder="1"/>
    <xf numFmtId="0" fontId="20" fillId="0" borderId="23" xfId="0" applyFont="1" applyBorder="1" applyAlignment="1" applyProtection="1">
      <alignment vertical="top" wrapText="1"/>
    </xf>
    <xf numFmtId="165" fontId="16" fillId="4" borderId="361" xfId="19" applyNumberFormat="1" applyFont="1" applyFill="1" applyBorder="1" applyAlignment="1" applyProtection="1">
      <alignment vertical="center"/>
      <protection locked="0"/>
    </xf>
    <xf numFmtId="0" fontId="0" fillId="0" borderId="110" xfId="0" applyBorder="1"/>
    <xf numFmtId="165" fontId="20" fillId="4" borderId="27" xfId="6" applyNumberFormat="1" applyFont="1" applyFill="1" applyBorder="1" applyAlignment="1" applyProtection="1">
      <alignment vertical="center"/>
      <protection locked="0"/>
    </xf>
    <xf numFmtId="10" fontId="20" fillId="7" borderId="8" xfId="2" applyNumberFormat="1" applyFont="1" applyFill="1" applyBorder="1" applyAlignment="1" applyProtection="1">
      <alignment vertical="center"/>
    </xf>
    <xf numFmtId="165" fontId="20" fillId="7" borderId="28" xfId="6" applyNumberFormat="1" applyFont="1" applyFill="1" applyBorder="1" applyAlignment="1" applyProtection="1">
      <alignment vertical="center"/>
    </xf>
    <xf numFmtId="14" fontId="20" fillId="0" borderId="170" xfId="0" applyNumberFormat="1" applyFont="1" applyFill="1" applyBorder="1" applyAlignment="1">
      <alignment horizontal="center" vertical="top" wrapText="1"/>
    </xf>
    <xf numFmtId="0" fontId="12" fillId="0" borderId="0" xfId="9" applyFont="1" applyFill="1" applyAlignment="1" applyProtection="1">
      <alignment vertical="center"/>
    </xf>
    <xf numFmtId="0" fontId="7" fillId="3" borderId="2" xfId="9" applyFont="1" applyFill="1" applyBorder="1" applyAlignment="1" applyProtection="1">
      <alignment horizontal="left" vertical="center"/>
    </xf>
    <xf numFmtId="0" fontId="0" fillId="0" borderId="0" xfId="0" applyAlignment="1" applyProtection="1">
      <alignment horizontal="center" vertical="center" wrapText="1"/>
    </xf>
    <xf numFmtId="0" fontId="23" fillId="4" borderId="7" xfId="11" applyNumberFormat="1" applyFont="1" applyFill="1" applyBorder="1" applyAlignment="1" applyProtection="1">
      <alignment horizontal="right" vertical="center" wrapText="1"/>
      <protection locked="0"/>
    </xf>
    <xf numFmtId="168" fontId="16" fillId="4" borderId="10" xfId="9" applyNumberFormat="1" applyFill="1" applyBorder="1" applyAlignment="1" applyProtection="1">
      <alignment horizontal="right" vertical="center"/>
    </xf>
    <xf numFmtId="168" fontId="16" fillId="14" borderId="9" xfId="9" applyNumberFormat="1" applyFill="1" applyBorder="1" applyAlignment="1" applyProtection="1">
      <alignment horizontal="right" vertical="center"/>
    </xf>
    <xf numFmtId="168" fontId="16" fillId="14" borderId="10" xfId="9" applyNumberFormat="1" applyFill="1" applyBorder="1" applyAlignment="1" applyProtection="1">
      <alignment horizontal="right" vertical="center"/>
    </xf>
    <xf numFmtId="168" fontId="16" fillId="4" borderId="9" xfId="9" applyNumberFormat="1" applyFill="1" applyBorder="1" applyAlignment="1" applyProtection="1">
      <alignment vertical="center"/>
    </xf>
    <xf numFmtId="1" fontId="23" fillId="4" borderId="7" xfId="11" applyNumberFormat="1" applyFont="1" applyFill="1" applyBorder="1" applyAlignment="1" applyProtection="1">
      <alignment horizontal="right" vertical="center" wrapText="1"/>
      <protection locked="0"/>
    </xf>
    <xf numFmtId="173" fontId="23" fillId="36" borderId="12" xfId="9" applyNumberFormat="1" applyFont="1" applyFill="1" applyBorder="1" applyAlignment="1" applyProtection="1">
      <alignment horizontal="center" vertical="center"/>
      <protection locked="0"/>
    </xf>
    <xf numFmtId="174" fontId="23" fillId="4" borderId="12" xfId="9" applyNumberFormat="1" applyFont="1" applyFill="1" applyBorder="1" applyAlignment="1" applyProtection="1">
      <alignment horizontal="center" vertical="center"/>
      <protection locked="0"/>
    </xf>
    <xf numFmtId="169" fontId="23" fillId="36" borderId="12" xfId="9" applyNumberFormat="1" applyFont="1" applyFill="1" applyBorder="1" applyAlignment="1" applyProtection="1">
      <alignment horizontal="center" vertical="center"/>
      <protection locked="0"/>
    </xf>
    <xf numFmtId="10" fontId="23" fillId="36" borderId="12" xfId="9" applyNumberFormat="1" applyFont="1" applyFill="1" applyBorder="1" applyAlignment="1" applyProtection="1">
      <alignment horizontal="center" vertical="center"/>
      <protection locked="0"/>
    </xf>
    <xf numFmtId="1" fontId="23" fillId="0" borderId="9" xfId="9" applyNumberFormat="1" applyFont="1" applyFill="1" applyBorder="1" applyAlignment="1" applyProtection="1">
      <alignment horizontal="center" vertical="center"/>
      <protection locked="0"/>
    </xf>
    <xf numFmtId="1" fontId="23" fillId="4" borderId="9" xfId="9" applyNumberFormat="1" applyFont="1" applyFill="1" applyBorder="1" applyAlignment="1" applyProtection="1">
      <alignment horizontal="center" vertical="center"/>
      <protection locked="0"/>
    </xf>
    <xf numFmtId="3" fontId="23" fillId="36" borderId="12" xfId="9" applyNumberFormat="1" applyFont="1" applyFill="1" applyBorder="1" applyAlignment="1" applyProtection="1">
      <alignment horizontal="center" vertical="center"/>
      <protection locked="0"/>
    </xf>
    <xf numFmtId="10" fontId="23" fillId="0" borderId="44" xfId="9" applyNumberFormat="1" applyFont="1" applyFill="1" applyBorder="1" applyAlignment="1" applyProtection="1">
      <alignment horizontal="center" vertical="center"/>
      <protection locked="0"/>
    </xf>
    <xf numFmtId="172" fontId="23" fillId="4" borderId="44" xfId="9" applyNumberFormat="1" applyFont="1" applyFill="1" applyBorder="1" applyAlignment="1" applyProtection="1">
      <alignment horizontal="center" vertical="center"/>
      <protection locked="0"/>
    </xf>
    <xf numFmtId="2" fontId="16" fillId="4" borderId="5" xfId="9" applyNumberFormat="1" applyFont="1" applyFill="1" applyBorder="1" applyProtection="1">
      <protection locked="0"/>
    </xf>
    <xf numFmtId="165" fontId="20" fillId="0" borderId="0" xfId="8" applyNumberFormat="1" applyFont="1" applyAlignment="1" applyProtection="1">
      <alignment vertical="center"/>
    </xf>
    <xf numFmtId="0" fontId="4" fillId="2" borderId="0" xfId="3" applyNumberFormat="1" applyAlignment="1" applyProtection="1">
      <alignment horizontal="left" vertical="top"/>
    </xf>
    <xf numFmtId="0" fontId="0" fillId="0" borderId="0" xfId="0" applyAlignment="1">
      <alignment horizontal="left" vertical="top"/>
    </xf>
    <xf numFmtId="0" fontId="0" fillId="0" borderId="0" xfId="0" applyAlignment="1" applyProtection="1">
      <alignment horizontal="left" wrapText="1"/>
    </xf>
    <xf numFmtId="0" fontId="23" fillId="0" borderId="9" xfId="9" applyFont="1" applyFill="1" applyBorder="1" applyAlignment="1" applyProtection="1">
      <alignment horizontal="left" vertical="top" wrapText="1"/>
    </xf>
    <xf numFmtId="0" fontId="23" fillId="0" borderId="10" xfId="9" applyFont="1" applyFill="1" applyBorder="1" applyAlignment="1" applyProtection="1">
      <alignment horizontal="left" vertical="top" wrapText="1"/>
    </xf>
    <xf numFmtId="0" fontId="7" fillId="3" borderId="14" xfId="6" applyFont="1" applyFill="1" applyBorder="1" applyAlignment="1" applyProtection="1">
      <alignment horizontal="left" vertical="center"/>
    </xf>
    <xf numFmtId="0" fontId="7" fillId="3" borderId="15" xfId="6" applyFont="1" applyFill="1" applyBorder="1" applyAlignment="1" applyProtection="1">
      <alignment horizontal="left" vertical="center"/>
    </xf>
    <xf numFmtId="0" fontId="7" fillId="3" borderId="19"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6" applyFont="1" applyFill="1" applyBorder="1" applyAlignment="1" applyProtection="1">
      <alignment horizontal="center" vertical="center"/>
    </xf>
    <xf numFmtId="0" fontId="7" fillId="3" borderId="20" xfId="6" applyFont="1" applyFill="1" applyBorder="1" applyAlignment="1" applyProtection="1">
      <alignment horizontal="center" vertical="center"/>
    </xf>
    <xf numFmtId="0" fontId="7" fillId="3" borderId="16" xfId="6" applyFont="1" applyFill="1" applyBorder="1" applyAlignment="1" applyProtection="1">
      <alignment horizontal="center" vertical="center"/>
    </xf>
    <xf numFmtId="0" fontId="7" fillId="3" borderId="21" xfId="6" applyFont="1" applyFill="1" applyBorder="1" applyAlignment="1" applyProtection="1">
      <alignment horizontal="center" vertical="center"/>
    </xf>
    <xf numFmtId="0" fontId="7" fillId="3" borderId="17" xfId="6" applyFont="1" applyFill="1" applyBorder="1" applyAlignment="1" applyProtection="1">
      <alignment horizontal="center" vertical="center" wrapText="1"/>
    </xf>
    <xf numFmtId="0" fontId="7" fillId="3" borderId="22" xfId="6" applyFont="1" applyFill="1" applyBorder="1" applyAlignment="1" applyProtection="1">
      <alignment horizontal="center" vertical="center" wrapText="1"/>
    </xf>
    <xf numFmtId="0" fontId="7" fillId="3" borderId="5" xfId="6" applyFont="1" applyFill="1" applyBorder="1" applyAlignment="1" applyProtection="1">
      <alignment horizontal="center" vertical="center" wrapText="1"/>
    </xf>
    <xf numFmtId="0" fontId="7" fillId="3" borderId="6" xfId="6" applyFont="1" applyFill="1" applyBorder="1" applyAlignment="1" applyProtection="1">
      <alignment horizontal="center" vertical="center" wrapText="1"/>
    </xf>
    <xf numFmtId="0" fontId="7" fillId="3" borderId="7" xfId="6" applyFont="1" applyFill="1" applyBorder="1" applyAlignment="1" applyProtection="1">
      <alignment horizontal="center" vertical="center" wrapText="1"/>
    </xf>
    <xf numFmtId="0" fontId="7" fillId="3" borderId="18" xfId="6" applyFont="1" applyFill="1" applyBorder="1" applyAlignment="1" applyProtection="1">
      <alignment horizontal="center" vertical="center" wrapText="1"/>
    </xf>
    <xf numFmtId="0" fontId="7" fillId="3" borderId="23" xfId="6" applyFont="1" applyFill="1" applyBorder="1" applyAlignment="1" applyProtection="1">
      <alignment horizontal="center" vertical="center" wrapText="1"/>
    </xf>
    <xf numFmtId="0" fontId="20" fillId="6" borderId="0" xfId="6" applyFont="1" applyFill="1" applyAlignment="1" applyProtection="1">
      <alignment horizontal="center" vertical="center" wrapText="1"/>
    </xf>
    <xf numFmtId="0" fontId="23" fillId="0" borderId="6" xfId="9" applyFont="1" applyFill="1" applyBorder="1" applyAlignment="1" applyProtection="1">
      <alignment horizontal="left" vertical="top" wrapText="1"/>
    </xf>
    <xf numFmtId="0" fontId="23" fillId="0" borderId="7" xfId="9" applyFont="1" applyFill="1" applyBorder="1" applyAlignment="1" applyProtection="1">
      <alignment horizontal="left" vertical="top" wrapText="1"/>
    </xf>
    <xf numFmtId="0" fontId="23" fillId="0" borderId="12" xfId="9" applyFont="1" applyFill="1" applyBorder="1" applyAlignment="1" applyProtection="1">
      <alignment horizontal="left" vertical="top" wrapText="1"/>
    </xf>
    <xf numFmtId="0" fontId="23" fillId="0" borderId="13" xfId="9" applyFont="1" applyFill="1" applyBorder="1" applyAlignment="1" applyProtection="1">
      <alignment horizontal="left" vertical="top" wrapText="1"/>
    </xf>
    <xf numFmtId="0" fontId="12" fillId="0" borderId="0" xfId="9" applyFont="1" applyFill="1" applyAlignment="1" applyProtection="1">
      <alignment vertical="center"/>
    </xf>
    <xf numFmtId="0" fontId="23" fillId="0" borderId="40" xfId="0" applyFont="1" applyBorder="1" applyAlignment="1" applyProtection="1">
      <alignment horizontal="left" vertical="top"/>
    </xf>
    <xf numFmtId="0" fontId="23"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23" fillId="0" borderId="38" xfId="9" applyFont="1" applyFill="1" applyBorder="1" applyAlignment="1" applyProtection="1">
      <alignment horizontal="left" vertical="top" wrapText="1"/>
    </xf>
    <xf numFmtId="0" fontId="23" fillId="0" borderId="29" xfId="9" applyFont="1" applyFill="1" applyBorder="1" applyAlignment="1" applyProtection="1">
      <alignment horizontal="left" vertical="top" wrapText="1"/>
    </xf>
    <xf numFmtId="0" fontId="23" fillId="0" borderId="26" xfId="9" applyFont="1" applyFill="1" applyBorder="1" applyAlignment="1" applyProtection="1">
      <alignment horizontal="left" vertical="top" wrapText="1"/>
    </xf>
    <xf numFmtId="0" fontId="23" fillId="0" borderId="40" xfId="9" applyFont="1" applyFill="1" applyBorder="1" applyAlignment="1" applyProtection="1">
      <alignment horizontal="left" vertical="top" wrapText="1"/>
    </xf>
    <xf numFmtId="0" fontId="23" fillId="0" borderId="45" xfId="9" applyFont="1" applyFill="1" applyBorder="1" applyAlignment="1" applyProtection="1">
      <alignment horizontal="left" vertical="top" wrapText="1"/>
    </xf>
    <xf numFmtId="0" fontId="23" fillId="0" borderId="27" xfId="9" applyFont="1" applyFill="1" applyBorder="1" applyAlignment="1" applyProtection="1">
      <alignment horizontal="left" vertical="top" wrapText="1"/>
    </xf>
    <xf numFmtId="0" fontId="7" fillId="3" borderId="54" xfId="6" applyFont="1" applyFill="1" applyBorder="1" applyAlignment="1" applyProtection="1">
      <alignment horizontal="center" vertical="center" wrapText="1"/>
    </xf>
    <xf numFmtId="0" fontId="7" fillId="3" borderId="28" xfId="6" applyFont="1" applyFill="1" applyBorder="1" applyAlignment="1" applyProtection="1">
      <alignment horizontal="center" vertical="center" wrapText="1"/>
    </xf>
    <xf numFmtId="0" fontId="7" fillId="3" borderId="24" xfId="6" applyFont="1" applyFill="1" applyBorder="1" applyAlignment="1" applyProtection="1">
      <alignment horizontal="center" vertical="center" wrapText="1"/>
    </xf>
    <xf numFmtId="0" fontId="23" fillId="0" borderId="36" xfId="9" applyFont="1" applyFill="1" applyBorder="1" applyAlignment="1" applyProtection="1">
      <alignment horizontal="left" vertical="top" wrapText="1"/>
    </xf>
    <xf numFmtId="0" fontId="23" fillId="0" borderId="28" xfId="9" applyFont="1" applyFill="1" applyBorder="1" applyAlignment="1" applyProtection="1">
      <alignment horizontal="left" vertical="top" wrapText="1"/>
    </xf>
    <xf numFmtId="0" fontId="23" fillId="0" borderId="24" xfId="9" applyFont="1" applyFill="1" applyBorder="1" applyAlignment="1" applyProtection="1">
      <alignment horizontal="left" vertical="top" wrapText="1"/>
    </xf>
    <xf numFmtId="0" fontId="7" fillId="3" borderId="1" xfId="6" applyFont="1" applyFill="1" applyBorder="1" applyAlignment="1" applyProtection="1">
      <alignment horizontal="center" vertical="center" wrapText="1"/>
    </xf>
    <xf numFmtId="0" fontId="34" fillId="0" borderId="6" xfId="9" applyFont="1" applyFill="1" applyBorder="1" applyAlignment="1" applyProtection="1">
      <alignment horizontal="left" vertical="top" wrapText="1"/>
    </xf>
    <xf numFmtId="0" fontId="7" fillId="3" borderId="170" xfId="6" applyFont="1" applyFill="1" applyBorder="1" applyAlignment="1" applyProtection="1">
      <alignment horizontal="center" vertical="center" wrapText="1"/>
    </xf>
    <xf numFmtId="0" fontId="7" fillId="3" borderId="228" xfId="6" applyFont="1" applyFill="1" applyBorder="1" applyAlignment="1" applyProtection="1">
      <alignment horizontal="left" vertical="center"/>
    </xf>
    <xf numFmtId="0" fontId="7" fillId="3" borderId="155" xfId="6" applyFont="1" applyFill="1" applyBorder="1" applyAlignment="1" applyProtection="1">
      <alignment horizontal="left" vertical="center"/>
    </xf>
    <xf numFmtId="0" fontId="7" fillId="3" borderId="155" xfId="6" applyFont="1" applyFill="1" applyBorder="1" applyAlignment="1" applyProtection="1">
      <alignment horizontal="center" vertical="center"/>
    </xf>
    <xf numFmtId="0" fontId="7" fillId="3" borderId="302" xfId="6" applyFont="1" applyFill="1" applyBorder="1" applyAlignment="1" applyProtection="1">
      <alignment horizontal="center" vertical="center"/>
    </xf>
    <xf numFmtId="0" fontId="7" fillId="3" borderId="33" xfId="6" applyFont="1" applyFill="1" applyBorder="1" applyAlignment="1" applyProtection="1">
      <alignment horizontal="center" vertical="center" wrapText="1"/>
    </xf>
    <xf numFmtId="0" fontId="7" fillId="3" borderId="34"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8" xfId="9" applyFont="1" applyFill="1" applyBorder="1" applyAlignment="1" applyProtection="1">
      <alignment horizontal="center" vertical="center"/>
    </xf>
    <xf numFmtId="0" fontId="7" fillId="3" borderId="23" xfId="9" applyFont="1" applyFill="1" applyBorder="1" applyAlignment="1" applyProtection="1">
      <alignment horizontal="center" vertical="center"/>
    </xf>
    <xf numFmtId="0" fontId="7" fillId="3" borderId="14" xfId="9"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19"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6" xfId="9" applyFont="1" applyFill="1" applyBorder="1" applyAlignment="1" applyProtection="1">
      <alignment horizontal="center" vertical="center"/>
    </xf>
    <xf numFmtId="0" fontId="7" fillId="3" borderId="21" xfId="9" applyFont="1" applyFill="1" applyBorder="1" applyAlignment="1" applyProtection="1">
      <alignment horizontal="center" vertical="center"/>
    </xf>
    <xf numFmtId="0" fontId="7" fillId="3" borderId="5" xfId="9" applyFont="1" applyFill="1" applyBorder="1" applyAlignment="1" applyProtection="1">
      <alignment horizontal="center" vertical="center"/>
    </xf>
    <xf numFmtId="0" fontId="7" fillId="3" borderId="7" xfId="9" applyFont="1" applyFill="1" applyBorder="1" applyAlignment="1" applyProtection="1">
      <alignment horizontal="center" vertical="center"/>
    </xf>
    <xf numFmtId="0" fontId="7" fillId="3" borderId="55" xfId="9" applyFont="1" applyFill="1" applyBorder="1" applyAlignment="1" applyProtection="1">
      <alignment horizontal="center" vertical="center"/>
    </xf>
    <xf numFmtId="0" fontId="7" fillId="3" borderId="53" xfId="9" applyFont="1" applyFill="1" applyBorder="1" applyAlignment="1" applyProtection="1">
      <alignment horizontal="center" vertical="center"/>
    </xf>
    <xf numFmtId="0" fontId="7" fillId="3" borderId="17" xfId="9" applyFont="1" applyFill="1" applyBorder="1" applyAlignment="1" applyProtection="1">
      <alignment horizontal="center" vertical="center"/>
    </xf>
    <xf numFmtId="0" fontId="16" fillId="6" borderId="0" xfId="9"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23" fillId="0" borderId="36" xfId="9" applyFont="1" applyFill="1" applyBorder="1" applyAlignment="1" applyProtection="1">
      <alignment vertical="top" wrapText="1"/>
    </xf>
    <xf numFmtId="0" fontId="23" fillId="0" borderId="28" xfId="9" applyFont="1" applyFill="1" applyBorder="1" applyAlignment="1" applyProtection="1">
      <alignment vertical="top" wrapText="1"/>
    </xf>
    <xf numFmtId="0" fontId="23" fillId="0" borderId="24" xfId="9" applyFont="1" applyFill="1" applyBorder="1" applyAlignment="1" applyProtection="1">
      <alignment vertical="top" wrapText="1"/>
    </xf>
    <xf numFmtId="0" fontId="23" fillId="0" borderId="40" xfId="9" applyFont="1" applyFill="1" applyBorder="1" applyAlignment="1" applyProtection="1">
      <alignment vertical="top" wrapText="1"/>
    </xf>
    <xf numFmtId="0" fontId="23" fillId="0" borderId="45" xfId="9" applyFont="1" applyFill="1" applyBorder="1" applyAlignment="1" applyProtection="1">
      <alignment vertical="top" wrapText="1"/>
    </xf>
    <xf numFmtId="0" fontId="23" fillId="0" borderId="27" xfId="9" applyFont="1" applyFill="1" applyBorder="1" applyAlignment="1" applyProtection="1">
      <alignment vertical="top"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7" fillId="3" borderId="4"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12" fillId="0" borderId="4"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23" fillId="0" borderId="10" xfId="9" applyFont="1" applyFill="1" applyBorder="1" applyAlignment="1" applyProtection="1">
      <alignment vertical="top" wrapText="1"/>
    </xf>
    <xf numFmtId="0" fontId="20"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7" fillId="3" borderId="5" xfId="6"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1"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6" xfId="6" applyFont="1" applyFill="1" applyBorder="1" applyAlignment="1" applyProtection="1">
      <alignment horizontal="center" vertical="center"/>
    </xf>
    <xf numFmtId="0" fontId="7" fillId="3" borderId="12" xfId="6" applyFont="1" applyFill="1" applyBorder="1" applyAlignment="1" applyProtection="1">
      <alignment horizontal="center" vertical="center"/>
    </xf>
    <xf numFmtId="0" fontId="7" fillId="3" borderId="7" xfId="6" applyFont="1" applyFill="1" applyBorder="1" applyAlignment="1" applyProtection="1">
      <alignment horizontal="center" vertical="center"/>
    </xf>
    <xf numFmtId="0" fontId="7" fillId="3" borderId="13" xfId="6" applyFont="1" applyFill="1" applyBorder="1" applyAlignment="1" applyProtection="1">
      <alignment horizontal="center" vertical="center"/>
    </xf>
    <xf numFmtId="0" fontId="23" fillId="0" borderId="54" xfId="9" applyFont="1" applyFill="1" applyBorder="1" applyAlignment="1" applyProtection="1">
      <alignment horizontal="left" vertical="top" wrapText="1"/>
    </xf>
    <xf numFmtId="0" fontId="23" fillId="0" borderId="56" xfId="9" applyFont="1" applyFill="1" applyBorder="1" applyAlignment="1" applyProtection="1">
      <alignment horizontal="left" vertical="top" wrapText="1"/>
    </xf>
    <xf numFmtId="0" fontId="23" fillId="0" borderId="57" xfId="9" applyFont="1" applyFill="1" applyBorder="1" applyAlignment="1" applyProtection="1">
      <alignment horizontal="left" vertical="top" wrapText="1"/>
    </xf>
    <xf numFmtId="0" fontId="7" fillId="3" borderId="58" xfId="6" applyFont="1" applyFill="1" applyBorder="1" applyAlignment="1" applyProtection="1">
      <alignment horizontal="left" vertical="center"/>
    </xf>
    <xf numFmtId="0" fontId="7" fillId="3" borderId="59" xfId="6" applyFont="1" applyFill="1" applyBorder="1" applyAlignment="1" applyProtection="1">
      <alignment horizontal="left" vertical="center"/>
    </xf>
    <xf numFmtId="0" fontId="23" fillId="0" borderId="47" xfId="9" applyFont="1" applyFill="1" applyBorder="1" applyAlignment="1" applyProtection="1">
      <alignment horizontal="left" vertical="top" wrapText="1"/>
    </xf>
    <xf numFmtId="0" fontId="23" fillId="0" borderId="50" xfId="9" applyFont="1" applyFill="1" applyBorder="1" applyAlignment="1" applyProtection="1">
      <alignment horizontal="left" vertical="top" wrapText="1"/>
    </xf>
    <xf numFmtId="0" fontId="23" fillId="0" borderId="12" xfId="9" applyFont="1" applyFill="1" applyBorder="1" applyAlignment="1" applyProtection="1">
      <alignment vertical="top" wrapText="1"/>
    </xf>
    <xf numFmtId="0" fontId="23" fillId="0" borderId="13" xfId="9" applyFont="1" applyFill="1" applyBorder="1" applyAlignment="1" applyProtection="1">
      <alignment vertical="top" wrapText="1"/>
    </xf>
    <xf numFmtId="0" fontId="12" fillId="0" borderId="3" xfId="9" applyFont="1" applyFill="1" applyBorder="1" applyAlignment="1" applyProtection="1">
      <alignment vertical="top"/>
    </xf>
    <xf numFmtId="0" fontId="12" fillId="0" borderId="4" xfId="9" applyFont="1" applyFill="1" applyBorder="1" applyAlignment="1" applyProtection="1">
      <alignment vertical="top"/>
    </xf>
    <xf numFmtId="0" fontId="23" fillId="0" borderId="47" xfId="9" applyFont="1" applyFill="1" applyBorder="1" applyAlignment="1" applyProtection="1">
      <alignment vertical="top" wrapText="1"/>
    </xf>
    <xf numFmtId="0" fontId="23" fillId="0" borderId="50" xfId="9" applyFont="1" applyFill="1" applyBorder="1" applyAlignment="1" applyProtection="1">
      <alignment vertical="top" wrapText="1"/>
    </xf>
    <xf numFmtId="0" fontId="7" fillId="3" borderId="33" xfId="9" applyFont="1" applyFill="1" applyBorder="1" applyAlignment="1" applyProtection="1">
      <alignment horizontal="left" vertical="center"/>
    </xf>
    <xf numFmtId="0" fontId="7" fillId="3" borderId="35" xfId="9" applyFont="1" applyFill="1" applyBorder="1" applyAlignment="1" applyProtection="1">
      <alignment horizontal="left" vertical="center"/>
    </xf>
    <xf numFmtId="0" fontId="12" fillId="0" borderId="6" xfId="9" applyFont="1" applyFill="1" applyBorder="1" applyAlignment="1" applyProtection="1">
      <alignment vertical="top"/>
    </xf>
    <xf numFmtId="0" fontId="12" fillId="0" borderId="7" xfId="9" applyFont="1" applyFill="1" applyBorder="1" applyAlignment="1" applyProtection="1">
      <alignment vertical="top"/>
    </xf>
    <xf numFmtId="0" fontId="7" fillId="3" borderId="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16" fillId="0" borderId="9" xfId="9" applyFont="1" applyFill="1" applyBorder="1" applyAlignment="1" applyProtection="1">
      <alignment horizontal="left" vertical="top" wrapText="1"/>
    </xf>
    <xf numFmtId="0" fontId="16" fillId="0" borderId="10" xfId="9" applyFont="1" applyFill="1" applyBorder="1" applyAlignment="1" applyProtection="1">
      <alignment horizontal="left" vertical="top" wrapText="1"/>
    </xf>
    <xf numFmtId="0" fontId="0" fillId="0" borderId="0" xfId="0" applyAlignment="1">
      <alignment vertical="top" wrapText="1"/>
    </xf>
    <xf numFmtId="0" fontId="9" fillId="0" borderId="9" xfId="0" applyFont="1" applyFill="1" applyBorder="1" applyAlignment="1" applyProtection="1">
      <alignment horizontal="left" vertical="top" wrapText="1"/>
    </xf>
    <xf numFmtId="0" fontId="9" fillId="0" borderId="10" xfId="0" applyFont="1" applyFill="1" applyBorder="1" applyAlignment="1" applyProtection="1">
      <alignment horizontal="left" vertical="top" wrapText="1"/>
    </xf>
    <xf numFmtId="0" fontId="9" fillId="0" borderId="12" xfId="0" applyFont="1" applyFill="1" applyBorder="1" applyAlignment="1" applyProtection="1">
      <alignment horizontal="left" vertical="top" wrapText="1"/>
    </xf>
    <xf numFmtId="0" fontId="9" fillId="0" borderId="13" xfId="0" applyFont="1" applyFill="1" applyBorder="1" applyAlignment="1" applyProtection="1">
      <alignment horizontal="left" vertical="top" wrapText="1"/>
    </xf>
    <xf numFmtId="0" fontId="9" fillId="0" borderId="40"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27" xfId="0" applyFont="1" applyFill="1" applyBorder="1" applyAlignment="1">
      <alignment horizontal="left" vertical="top" wrapText="1"/>
    </xf>
    <xf numFmtId="0" fontId="9" fillId="0" borderId="36" xfId="0" applyFont="1" applyFill="1" applyBorder="1" applyAlignment="1">
      <alignment horizontal="left" vertical="top" wrapText="1"/>
    </xf>
    <xf numFmtId="0" fontId="9" fillId="0" borderId="28" xfId="0" applyFont="1" applyFill="1" applyBorder="1" applyAlignment="1">
      <alignment horizontal="left" vertical="top" wrapText="1"/>
    </xf>
    <xf numFmtId="0" fontId="9" fillId="0" borderId="24" xfId="0" applyFont="1" applyFill="1" applyBorder="1" applyAlignment="1">
      <alignment horizontal="left" vertical="top" wrapText="1"/>
    </xf>
    <xf numFmtId="0" fontId="23" fillId="0" borderId="56" xfId="9" applyFont="1" applyFill="1" applyBorder="1" applyAlignment="1" applyProtection="1">
      <alignment vertical="top" wrapText="1"/>
    </xf>
    <xf numFmtId="0" fontId="23" fillId="0" borderId="57" xfId="9" applyFont="1" applyFill="1" applyBorder="1" applyAlignment="1" applyProtection="1">
      <alignment vertical="top" wrapText="1"/>
    </xf>
    <xf numFmtId="0" fontId="12" fillId="0" borderId="33" xfId="9" applyFont="1" applyFill="1" applyBorder="1" applyAlignment="1" applyProtection="1">
      <alignment horizontal="left" vertical="top"/>
    </xf>
    <xf numFmtId="0" fontId="12" fillId="0" borderId="34" xfId="9" applyFont="1" applyFill="1" applyBorder="1" applyAlignment="1" applyProtection="1">
      <alignment horizontal="left" vertical="top"/>
    </xf>
    <xf numFmtId="0" fontId="12" fillId="0" borderId="35" xfId="9" applyFont="1" applyFill="1" applyBorder="1" applyAlignment="1" applyProtection="1">
      <alignment horizontal="left" vertical="top"/>
    </xf>
    <xf numFmtId="0" fontId="23" fillId="0" borderId="113" xfId="9" applyFont="1" applyFill="1" applyBorder="1" applyAlignment="1" applyProtection="1">
      <alignment vertical="top" wrapText="1"/>
    </xf>
    <xf numFmtId="0" fontId="23" fillId="0" borderId="114" xfId="9" applyFont="1" applyFill="1" applyBorder="1" applyAlignment="1" applyProtection="1">
      <alignment vertical="top" wrapText="1"/>
    </xf>
    <xf numFmtId="0" fontId="23"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102"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20" fillId="0" borderId="38" xfId="0" applyFont="1" applyFill="1" applyBorder="1" applyAlignment="1" applyProtection="1">
      <alignment vertical="top" wrapText="1"/>
    </xf>
    <xf numFmtId="0" fontId="20" fillId="0" borderId="29" xfId="0" applyFont="1" applyFill="1" applyBorder="1" applyAlignment="1" applyProtection="1">
      <alignment vertical="top" wrapText="1"/>
    </xf>
    <xf numFmtId="0" fontId="20" fillId="0" borderId="26" xfId="0" applyFont="1" applyFill="1" applyBorder="1" applyAlignment="1" applyProtection="1">
      <alignment vertical="top" wrapText="1"/>
    </xf>
    <xf numFmtId="0" fontId="20" fillId="0" borderId="40" xfId="0" applyFont="1" applyFill="1" applyBorder="1" applyAlignment="1" applyProtection="1">
      <alignment vertical="top" wrapText="1"/>
    </xf>
    <xf numFmtId="0" fontId="20" fillId="0" borderId="45" xfId="0" applyFont="1" applyFill="1" applyBorder="1" applyAlignment="1" applyProtection="1">
      <alignment vertical="top" wrapText="1"/>
    </xf>
    <xf numFmtId="0" fontId="20" fillId="0" borderId="27" xfId="0" applyFont="1" applyFill="1" applyBorder="1" applyAlignment="1" applyProtection="1">
      <alignment vertical="top" wrapText="1"/>
    </xf>
    <xf numFmtId="0" fontId="30" fillId="0" borderId="55" xfId="5" applyFont="1" applyFill="1" applyBorder="1" applyAlignment="1" applyProtection="1">
      <alignment horizontal="left" vertical="top" wrapText="1"/>
    </xf>
    <xf numFmtId="0" fontId="30" fillId="0" borderId="53" xfId="5" applyFont="1" applyFill="1" applyBorder="1" applyAlignment="1" applyProtection="1">
      <alignment horizontal="left" vertical="top" wrapText="1"/>
    </xf>
    <xf numFmtId="0" fontId="0" fillId="0" borderId="53" xfId="0" applyBorder="1" applyAlignment="1" applyProtection="1"/>
    <xf numFmtId="0" fontId="0" fillId="0" borderId="17" xfId="0" applyBorder="1" applyAlignment="1" applyProtection="1"/>
    <xf numFmtId="49" fontId="9" fillId="0" borderId="165" xfId="16" applyNumberFormat="1" applyFont="1" applyBorder="1" applyAlignment="1" applyProtection="1">
      <alignment horizontal="left" vertical="top" wrapText="1"/>
    </xf>
    <xf numFmtId="0" fontId="0" fillId="0" borderId="166" xfId="0" applyBorder="1" applyAlignment="1" applyProtection="1"/>
    <xf numFmtId="0" fontId="0" fillId="0" borderId="167" xfId="0" applyBorder="1" applyAlignment="1" applyProtection="1"/>
    <xf numFmtId="49" fontId="9" fillId="0" borderId="165" xfId="16" applyNumberFormat="1" applyFont="1" applyFill="1" applyBorder="1" applyAlignment="1" applyProtection="1">
      <alignment horizontal="left" vertical="top" wrapText="1"/>
    </xf>
    <xf numFmtId="0" fontId="0" fillId="0" borderId="166" xfId="0" applyFill="1" applyBorder="1" applyAlignment="1" applyProtection="1"/>
    <xf numFmtId="0" fontId="0" fillId="0" borderId="167" xfId="0" applyFill="1" applyBorder="1" applyAlignment="1" applyProtection="1"/>
    <xf numFmtId="49" fontId="9" fillId="0" borderId="336" xfId="16" applyNumberFormat="1" applyFont="1" applyBorder="1" applyAlignment="1" applyProtection="1">
      <alignment horizontal="left" vertical="top" wrapText="1"/>
    </xf>
    <xf numFmtId="0" fontId="0" fillId="0" borderId="337" xfId="0" applyBorder="1" applyAlignment="1" applyProtection="1"/>
    <xf numFmtId="0" fontId="0" fillId="0" borderId="338" xfId="0" applyBorder="1" applyAlignment="1" applyProtection="1"/>
    <xf numFmtId="0" fontId="30" fillId="0" borderId="33" xfId="5" applyFont="1" applyFill="1" applyBorder="1" applyAlignment="1" applyProtection="1">
      <alignment horizontal="left" vertical="top" wrapText="1"/>
    </xf>
    <xf numFmtId="0" fontId="30" fillId="0" borderId="34" xfId="5" applyFont="1" applyFill="1" applyBorder="1" applyAlignment="1" applyProtection="1">
      <alignment horizontal="left" vertical="top" wrapText="1"/>
    </xf>
    <xf numFmtId="0" fontId="0" fillId="0" borderId="34" xfId="0" applyBorder="1" applyAlignment="1" applyProtection="1"/>
    <xf numFmtId="0" fontId="0" fillId="0" borderId="35" xfId="0" applyBorder="1" applyAlignment="1" applyProtection="1"/>
    <xf numFmtId="49" fontId="9" fillId="0" borderId="347" xfId="16" applyNumberFormat="1" applyFont="1" applyBorder="1" applyAlignment="1" applyProtection="1">
      <alignment horizontal="left" vertical="top" wrapText="1"/>
    </xf>
    <xf numFmtId="0" fontId="0" fillId="0" borderId="348" xfId="0" applyBorder="1" applyAlignment="1" applyProtection="1"/>
    <xf numFmtId="0" fontId="0" fillId="0" borderId="349" xfId="0" applyBorder="1" applyAlignment="1" applyProtection="1"/>
    <xf numFmtId="0" fontId="9" fillId="0" borderId="350" xfId="16" applyNumberFormat="1" applyFont="1" applyBorder="1" applyAlignment="1" applyProtection="1">
      <alignment horizontal="left" vertical="top" wrapText="1"/>
    </xf>
    <xf numFmtId="0" fontId="0" fillId="0" borderId="351" xfId="0" applyNumberFormat="1" applyBorder="1" applyAlignment="1" applyProtection="1"/>
    <xf numFmtId="0" fontId="0" fillId="0" borderId="352" xfId="0" applyNumberFormat="1" applyBorder="1" applyAlignment="1" applyProtection="1"/>
    <xf numFmtId="49" fontId="9" fillId="0" borderId="162" xfId="16" quotePrefix="1" applyNumberFormat="1" applyFont="1" applyBorder="1" applyAlignment="1" applyProtection="1">
      <alignment horizontal="left" vertical="top" wrapText="1"/>
    </xf>
    <xf numFmtId="0" fontId="0" fillId="0" borderId="163" xfId="0" applyBorder="1" applyAlignment="1" applyProtection="1"/>
    <xf numFmtId="0" fontId="0" fillId="0" borderId="164" xfId="0" applyBorder="1" applyAlignment="1" applyProtection="1"/>
    <xf numFmtId="0" fontId="5" fillId="3" borderId="33" xfId="14" applyNumberFormat="1" applyFont="1" applyFill="1" applyBorder="1" applyAlignment="1" applyProtection="1">
      <alignment horizontal="left" vertical="center" wrapText="1"/>
    </xf>
    <xf numFmtId="0" fontId="5" fillId="3" borderId="34" xfId="14" applyNumberFormat="1" applyFont="1" applyFill="1" applyBorder="1" applyAlignment="1" applyProtection="1">
      <alignment horizontal="left" vertical="center" wrapText="1"/>
    </xf>
    <xf numFmtId="0" fontId="0" fillId="3" borderId="34" xfId="0" applyNumberFormat="1" applyFill="1" applyBorder="1" applyAlignment="1" applyProtection="1">
      <alignment horizontal="left" vertical="center" wrapText="1"/>
    </xf>
    <xf numFmtId="0" fontId="0" fillId="3" borderId="35" xfId="0" applyNumberFormat="1" applyFill="1" applyBorder="1" applyAlignment="1" applyProtection="1">
      <alignment horizontal="left" vertical="center" wrapText="1"/>
    </xf>
    <xf numFmtId="0" fontId="7" fillId="3" borderId="60" xfId="6" applyFont="1" applyFill="1" applyBorder="1" applyAlignment="1" applyProtection="1">
      <alignment vertical="top"/>
    </xf>
    <xf numFmtId="0" fontId="9" fillId="0" borderId="156" xfId="16" quotePrefix="1" applyNumberFormat="1" applyFont="1" applyBorder="1" applyAlignment="1" applyProtection="1">
      <alignment horizontal="left" vertical="top" wrapText="1"/>
    </xf>
    <xf numFmtId="0" fontId="0" fillId="0" borderId="157" xfId="0" applyNumberFormat="1" applyBorder="1" applyAlignment="1" applyProtection="1"/>
    <xf numFmtId="0" fontId="0" fillId="0" borderId="158" xfId="0" applyNumberFormat="1" applyBorder="1" applyAlignment="1" applyProtection="1"/>
    <xf numFmtId="49" fontId="9" fillId="0" borderId="159" xfId="16" quotePrefix="1" applyNumberFormat="1" applyFont="1" applyBorder="1" applyAlignment="1" applyProtection="1">
      <alignment horizontal="left" vertical="top" wrapText="1"/>
    </xf>
    <xf numFmtId="0" fontId="0" fillId="0" borderId="160" xfId="0" applyBorder="1" applyAlignment="1" applyProtection="1"/>
    <xf numFmtId="0" fontId="0" fillId="0" borderId="161" xfId="0" applyBorder="1" applyAlignment="1" applyProtection="1"/>
    <xf numFmtId="0" fontId="102" fillId="3" borderId="34" xfId="9" applyFont="1" applyFill="1" applyBorder="1" applyAlignment="1" applyProtection="1">
      <alignment vertical="center" wrapText="1"/>
    </xf>
    <xf numFmtId="0" fontId="102" fillId="3" borderId="35" xfId="9" applyFont="1" applyFill="1" applyBorder="1" applyAlignment="1" applyProtection="1">
      <alignment vertical="center" wrapText="1"/>
    </xf>
    <xf numFmtId="0" fontId="7" fillId="3" borderId="54" xfId="9" applyFont="1" applyFill="1" applyBorder="1" applyAlignment="1" applyProtection="1">
      <alignment horizontal="center" vertical="center"/>
    </xf>
    <xf numFmtId="0" fontId="7" fillId="3" borderId="28" xfId="9" applyFont="1" applyFill="1" applyBorder="1" applyAlignment="1" applyProtection="1">
      <alignment horizontal="center" vertical="center"/>
    </xf>
    <xf numFmtId="0" fontId="7" fillId="3" borderId="24" xfId="9" applyFont="1" applyFill="1" applyBorder="1" applyAlignment="1" applyProtection="1">
      <alignment horizontal="center" vertical="center"/>
    </xf>
    <xf numFmtId="0" fontId="7" fillId="3" borderId="14" xfId="9" applyFont="1" applyFill="1" applyBorder="1" applyAlignment="1" applyProtection="1">
      <alignment horizontal="center" vertical="center"/>
    </xf>
    <xf numFmtId="0" fontId="7" fillId="3" borderId="19" xfId="9" applyFont="1" applyFill="1" applyBorder="1" applyAlignment="1" applyProtection="1">
      <alignment horizontal="center" vertical="center"/>
    </xf>
    <xf numFmtId="0" fontId="7" fillId="3" borderId="52" xfId="9" applyFont="1" applyFill="1" applyBorder="1" applyAlignment="1" applyProtection="1">
      <alignment horizontal="center" vertical="center"/>
    </xf>
    <xf numFmtId="0" fontId="7" fillId="3" borderId="51" xfId="9" applyFont="1" applyFill="1" applyBorder="1" applyAlignment="1" applyProtection="1">
      <alignment horizontal="center" vertical="center"/>
    </xf>
    <xf numFmtId="0" fontId="12" fillId="0" borderId="3" xfId="9" applyFont="1" applyFill="1" applyBorder="1" applyAlignment="1" applyProtection="1">
      <alignment horizontal="left" vertical="top"/>
    </xf>
    <xf numFmtId="0" fontId="12" fillId="0" borderId="60" xfId="9" applyFont="1" applyFill="1" applyBorder="1" applyAlignment="1" applyProtection="1">
      <alignment horizontal="left" vertical="top"/>
    </xf>
    <xf numFmtId="0" fontId="12" fillId="0" borderId="4" xfId="9" applyFont="1" applyFill="1" applyBorder="1" applyAlignment="1" applyProtection="1">
      <alignment horizontal="left" vertical="top"/>
    </xf>
    <xf numFmtId="0" fontId="7" fillId="3" borderId="53" xfId="6" applyFont="1" applyFill="1" applyBorder="1" applyAlignment="1" applyProtection="1">
      <alignment horizontal="center" vertical="center" wrapText="1"/>
    </xf>
    <xf numFmtId="0" fontId="7" fillId="3" borderId="110" xfId="6" applyFont="1" applyFill="1" applyBorder="1" applyAlignment="1" applyProtection="1">
      <alignment horizontal="center" vertical="center" wrapText="1"/>
    </xf>
    <xf numFmtId="0" fontId="7" fillId="3" borderId="15"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7" fillId="3" borderId="69" xfId="6" applyFont="1" applyFill="1" applyBorder="1" applyAlignment="1" applyProtection="1">
      <alignment horizontal="center" vertical="center" wrapText="1"/>
    </xf>
    <xf numFmtId="0" fontId="7" fillId="3" borderId="75" xfId="6" applyFont="1" applyFill="1" applyBorder="1" applyAlignment="1" applyProtection="1">
      <alignment horizontal="center" vertical="center" wrapText="1"/>
    </xf>
    <xf numFmtId="0" fontId="7" fillId="3" borderId="64" xfId="6" applyFont="1" applyFill="1" applyBorder="1" applyAlignment="1" applyProtection="1">
      <alignment horizontal="center" vertical="center" wrapText="1"/>
    </xf>
    <xf numFmtId="0" fontId="7" fillId="3" borderId="65" xfId="6" applyFont="1" applyFill="1" applyBorder="1" applyAlignment="1" applyProtection="1">
      <alignment horizontal="center" vertical="center" wrapText="1"/>
    </xf>
    <xf numFmtId="0" fontId="7" fillId="3" borderId="119" xfId="6" applyFont="1" applyFill="1" applyBorder="1" applyAlignment="1" applyProtection="1">
      <alignment horizontal="center" vertical="center" wrapText="1"/>
    </xf>
    <xf numFmtId="0" fontId="7" fillId="3" borderId="120"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20" fillId="0" borderId="0" xfId="6" applyFont="1" applyFill="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23" fillId="0" borderId="85" xfId="9" applyFont="1" applyFill="1" applyBorder="1" applyAlignment="1" applyProtection="1">
      <alignment horizontal="left" vertical="top" wrapText="1"/>
    </xf>
    <xf numFmtId="0" fontId="23" fillId="0" borderId="86" xfId="9" applyFont="1" applyFill="1" applyBorder="1" applyAlignment="1" applyProtection="1">
      <alignment horizontal="left" vertical="top" wrapText="1"/>
    </xf>
    <xf numFmtId="0" fontId="23" fillId="0" borderId="77" xfId="9" applyFont="1" applyFill="1" applyBorder="1" applyAlignment="1" applyProtection="1">
      <alignment horizontal="left" vertical="top" wrapText="1"/>
    </xf>
    <xf numFmtId="0" fontId="12" fillId="0" borderId="79" xfId="9" applyFont="1" applyFill="1" applyBorder="1" applyAlignment="1" applyProtection="1">
      <alignment horizontal="left" vertical="top"/>
    </xf>
    <xf numFmtId="0" fontId="12" fillId="0" borderId="80" xfId="9" applyFont="1" applyFill="1" applyBorder="1" applyAlignment="1" applyProtection="1">
      <alignment horizontal="left" vertical="top"/>
    </xf>
    <xf numFmtId="0" fontId="12" fillId="0" borderId="81" xfId="9" applyFont="1" applyFill="1" applyBorder="1" applyAlignment="1" applyProtection="1">
      <alignment horizontal="left" vertical="top"/>
    </xf>
    <xf numFmtId="0" fontId="23" fillId="0" borderId="82" xfId="9" applyFont="1" applyFill="1" applyBorder="1" applyAlignment="1" applyProtection="1">
      <alignment horizontal="left" vertical="top" wrapText="1"/>
    </xf>
    <xf numFmtId="0" fontId="23" fillId="0" borderId="83" xfId="9" applyFont="1" applyFill="1" applyBorder="1" applyAlignment="1" applyProtection="1">
      <alignment horizontal="left" vertical="top" wrapText="1"/>
    </xf>
    <xf numFmtId="0" fontId="23" fillId="0" borderId="76" xfId="9" applyFont="1" applyFill="1" applyBorder="1" applyAlignment="1" applyProtection="1">
      <alignment horizontal="left" vertical="top" wrapText="1"/>
    </xf>
    <xf numFmtId="0" fontId="23" fillId="0" borderId="87" xfId="9" applyFont="1" applyFill="1" applyBorder="1" applyAlignment="1" applyProtection="1">
      <alignment horizontal="left" vertical="top" wrapText="1"/>
    </xf>
    <xf numFmtId="0" fontId="23" fillId="0" borderId="88" xfId="9" applyFont="1" applyFill="1" applyBorder="1" applyAlignment="1" applyProtection="1">
      <alignment horizontal="left" vertical="top" wrapText="1"/>
    </xf>
    <xf numFmtId="0" fontId="23" fillId="0" borderId="78" xfId="9" applyFont="1" applyFill="1" applyBorder="1" applyAlignment="1" applyProtection="1">
      <alignment horizontal="left" vertical="top" wrapText="1"/>
    </xf>
    <xf numFmtId="0" fontId="7" fillId="3" borderId="66" xfId="6" applyFont="1" applyFill="1" applyBorder="1" applyAlignment="1" applyProtection="1">
      <alignment horizontal="center" vertical="center" wrapText="1"/>
    </xf>
    <xf numFmtId="0" fontId="7" fillId="3" borderId="67"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12" fillId="0" borderId="2" xfId="9" applyFont="1" applyFill="1" applyBorder="1" applyAlignment="1" applyProtection="1">
      <alignment horizontal="left" vertical="top"/>
    </xf>
    <xf numFmtId="0" fontId="23" fillId="0" borderId="0" xfId="9" applyFont="1" applyFill="1" applyBorder="1" applyAlignment="1" applyProtection="1">
      <alignment horizontal="left" vertical="center" wrapText="1"/>
    </xf>
    <xf numFmtId="0" fontId="12" fillId="0" borderId="60" xfId="9" applyFont="1" applyFill="1" applyBorder="1" applyAlignment="1" applyProtection="1">
      <alignment vertical="top"/>
    </xf>
    <xf numFmtId="0" fontId="23" fillId="0" borderId="33" xfId="9" applyFont="1" applyFill="1" applyBorder="1" applyAlignment="1" applyProtection="1">
      <alignment vertical="top" wrapText="1"/>
    </xf>
    <xf numFmtId="0" fontId="23" fillId="0" borderId="34" xfId="9" applyFont="1" applyFill="1" applyBorder="1" applyAlignment="1" applyProtection="1">
      <alignment vertical="top" wrapText="1"/>
    </xf>
    <xf numFmtId="0" fontId="23" fillId="0" borderId="35" xfId="9" applyFont="1" applyFill="1" applyBorder="1" applyAlignment="1" applyProtection="1">
      <alignment vertical="top" wrapText="1"/>
    </xf>
    <xf numFmtId="0" fontId="7"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16" fillId="0" borderId="33" xfId="0" applyNumberFormat="1" applyFont="1" applyFill="1" applyBorder="1" applyAlignment="1" applyProtection="1">
      <alignment vertical="center" wrapText="1"/>
    </xf>
    <xf numFmtId="0" fontId="16" fillId="0" borderId="34" xfId="0" applyFont="1" applyFill="1" applyBorder="1" applyAlignment="1">
      <alignment vertical="center" wrapText="1"/>
    </xf>
    <xf numFmtId="0" fontId="16" fillId="0" borderId="35" xfId="0" applyFont="1" applyFill="1" applyBorder="1" applyAlignment="1">
      <alignment vertical="center" wrapText="1"/>
    </xf>
    <xf numFmtId="0" fontId="23" fillId="0" borderId="85" xfId="11" applyFont="1" applyFill="1" applyBorder="1" applyAlignment="1" applyProtection="1">
      <alignment horizontal="left" vertical="top" wrapText="1"/>
    </xf>
    <xf numFmtId="0" fontId="23" fillId="0" borderId="86" xfId="11" applyFont="1" applyFill="1" applyBorder="1" applyAlignment="1" applyProtection="1">
      <alignment horizontal="left" vertical="top" wrapText="1"/>
    </xf>
    <xf numFmtId="0" fontId="23" fillId="0" borderId="77" xfId="11" applyFont="1" applyFill="1" applyBorder="1" applyAlignment="1" applyProtection="1">
      <alignment horizontal="left" vertical="top" wrapText="1"/>
    </xf>
    <xf numFmtId="0" fontId="12" fillId="0" borderId="174" xfId="11" applyFont="1" applyFill="1" applyBorder="1" applyAlignment="1" applyProtection="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12" fillId="0" borderId="0" xfId="11" applyFont="1" applyFill="1" applyAlignment="1" applyProtection="1">
      <alignment vertical="center"/>
    </xf>
    <xf numFmtId="0" fontId="12" fillId="0" borderId="79" xfId="11" applyFont="1" applyFill="1" applyBorder="1" applyAlignment="1" applyProtection="1">
      <alignment horizontal="left" vertical="top"/>
    </xf>
    <xf numFmtId="0" fontId="12" fillId="0" borderId="80" xfId="11" applyFont="1" applyFill="1" applyBorder="1" applyAlignment="1" applyProtection="1">
      <alignment horizontal="left" vertical="top"/>
    </xf>
    <xf numFmtId="0" fontId="12" fillId="0" borderId="81" xfId="11" applyFont="1" applyFill="1" applyBorder="1" applyAlignment="1" applyProtection="1">
      <alignment horizontal="left" vertical="top"/>
    </xf>
    <xf numFmtId="0" fontId="23" fillId="0" borderId="82" xfId="11" applyFont="1" applyFill="1" applyBorder="1" applyAlignment="1" applyProtection="1">
      <alignment horizontal="left" vertical="top" wrapText="1"/>
    </xf>
    <xf numFmtId="0" fontId="23" fillId="0" borderId="83" xfId="11" applyFont="1" applyFill="1" applyBorder="1" applyAlignment="1" applyProtection="1">
      <alignment horizontal="left" vertical="top" wrapText="1"/>
    </xf>
    <xf numFmtId="0" fontId="23" fillId="0" borderId="76" xfId="11" applyFont="1" applyFill="1" applyBorder="1" applyAlignment="1" applyProtection="1">
      <alignment horizontal="left" vertical="top" wrapText="1"/>
    </xf>
    <xf numFmtId="0" fontId="23" fillId="0" borderId="85" xfId="11" applyFont="1" applyFill="1" applyBorder="1" applyAlignment="1" applyProtection="1">
      <alignment vertical="top" wrapText="1"/>
    </xf>
    <xf numFmtId="0" fontId="23" fillId="0" borderId="86" xfId="11" applyFont="1" applyFill="1" applyBorder="1" applyAlignment="1" applyProtection="1">
      <alignment vertical="top" wrapText="1"/>
    </xf>
    <xf numFmtId="0" fontId="23" fillId="0" borderId="77" xfId="11" applyFont="1" applyFill="1" applyBorder="1" applyAlignment="1" applyProtection="1">
      <alignment vertical="top" wrapText="1"/>
    </xf>
    <xf numFmtId="0" fontId="7" fillId="3" borderId="14" xfId="6" applyFont="1" applyFill="1" applyBorder="1" applyAlignment="1" applyProtection="1">
      <alignment vertical="center"/>
    </xf>
    <xf numFmtId="0" fontId="7" fillId="3" borderId="15" xfId="6" applyFont="1" applyFill="1" applyBorder="1" applyAlignment="1" applyProtection="1">
      <alignment vertical="center"/>
    </xf>
    <xf numFmtId="0" fontId="7" fillId="3" borderId="19" xfId="6" applyFont="1" applyFill="1" applyBorder="1" applyAlignment="1" applyProtection="1">
      <alignment vertical="center"/>
    </xf>
    <xf numFmtId="0" fontId="7" fillId="3" borderId="20" xfId="6" applyFont="1" applyFill="1" applyBorder="1" applyAlignment="1" applyProtection="1">
      <alignment vertical="center"/>
    </xf>
    <xf numFmtId="0" fontId="16" fillId="0" borderId="34" xfId="0" applyNumberFormat="1" applyFont="1" applyFill="1" applyBorder="1" applyAlignment="1" applyProtection="1">
      <alignment vertical="center" wrapText="1"/>
    </xf>
    <xf numFmtId="0" fontId="16" fillId="0" borderId="35" xfId="0" applyNumberFormat="1" applyFont="1" applyFill="1" applyBorder="1" applyAlignment="1" applyProtection="1">
      <alignment vertical="center" wrapText="1"/>
    </xf>
    <xf numFmtId="0" fontId="7" fillId="3" borderId="273" xfId="6" applyFont="1" applyFill="1" applyBorder="1" applyAlignment="1" applyProtection="1">
      <alignment horizontal="center" vertical="center" wrapText="1"/>
    </xf>
    <xf numFmtId="0" fontId="7" fillId="3" borderId="301" xfId="6" applyFont="1" applyFill="1" applyBorder="1" applyAlignment="1" applyProtection="1">
      <alignment horizontal="center" vertical="center" wrapText="1"/>
    </xf>
    <xf numFmtId="0" fontId="7" fillId="3" borderId="299" xfId="6" applyFont="1" applyFill="1" applyBorder="1" applyAlignment="1" applyProtection="1">
      <alignment horizontal="center" vertical="center" wrapText="1"/>
    </xf>
    <xf numFmtId="0" fontId="7" fillId="3" borderId="300" xfId="6" applyFont="1" applyFill="1" applyBorder="1" applyAlignment="1" applyProtection="1">
      <alignment horizontal="center" vertical="center" wrapText="1"/>
    </xf>
    <xf numFmtId="0" fontId="7" fillId="3" borderId="274" xfId="6" applyFont="1" applyFill="1" applyBorder="1" applyAlignment="1" applyProtection="1">
      <alignment horizontal="center" vertical="center" wrapText="1"/>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15" borderId="15" xfId="6" applyFont="1" applyFill="1" applyBorder="1" applyAlignment="1" applyProtection="1">
      <alignment horizontal="center" vertical="center" wrapText="1"/>
    </xf>
    <xf numFmtId="0" fontId="7" fillId="15" borderId="20" xfId="6" applyFont="1" applyFill="1" applyBorder="1" applyAlignment="1" applyProtection="1">
      <alignment horizontal="center" vertical="center" wrapText="1"/>
    </xf>
    <xf numFmtId="0" fontId="7" fillId="15" borderId="16" xfId="6" applyFont="1" applyFill="1" applyBorder="1" applyAlignment="1" applyProtection="1">
      <alignment horizontal="center" vertical="center" wrapText="1"/>
    </xf>
    <xf numFmtId="0" fontId="7" fillId="15" borderId="21" xfId="6" applyFont="1" applyFill="1" applyBorder="1" applyAlignment="1" applyProtection="1">
      <alignment horizontal="center" vertical="center" wrapText="1"/>
    </xf>
    <xf numFmtId="0" fontId="7" fillId="3" borderId="298" xfId="6" applyFont="1" applyFill="1" applyBorder="1" applyAlignment="1" applyProtection="1">
      <alignment horizontal="center" vertical="center" wrapText="1"/>
    </xf>
    <xf numFmtId="0" fontId="7" fillId="3" borderId="198" xfId="6" applyFont="1" applyFill="1" applyBorder="1" applyAlignment="1" applyProtection="1">
      <alignment horizontal="center" vertical="center" wrapText="1"/>
    </xf>
    <xf numFmtId="0" fontId="7" fillId="3" borderId="204" xfId="6" applyFont="1" applyFill="1" applyBorder="1" applyAlignment="1" applyProtection="1">
      <alignment horizontal="center" vertical="center" wrapText="1"/>
    </xf>
    <xf numFmtId="0" fontId="23" fillId="0" borderId="187" xfId="11" applyFont="1" applyFill="1" applyBorder="1" applyAlignment="1" applyProtection="1">
      <alignment vertical="top" wrapText="1"/>
    </xf>
    <xf numFmtId="0" fontId="23" fillId="0" borderId="188" xfId="11" applyFont="1" applyFill="1" applyBorder="1" applyAlignment="1" applyProtection="1">
      <alignment vertical="top" wrapText="1"/>
    </xf>
    <xf numFmtId="0" fontId="23" fillId="0" borderId="321" xfId="11" applyFont="1" applyFill="1" applyBorder="1" applyAlignment="1" applyProtection="1">
      <alignment vertical="top" wrapText="1"/>
    </xf>
    <xf numFmtId="0" fontId="12" fillId="0" borderId="0" xfId="11" applyFont="1" applyFill="1" applyBorder="1" applyAlignment="1" applyProtection="1">
      <alignment vertical="center"/>
    </xf>
    <xf numFmtId="0" fontId="7" fillId="15" borderId="18" xfId="6" applyFont="1" applyFill="1" applyBorder="1" applyAlignment="1" applyProtection="1">
      <alignment horizontal="center" vertical="center" wrapText="1"/>
    </xf>
    <xf numFmtId="0" fontId="7" fillId="15" borderId="23" xfId="6" applyFont="1" applyFill="1" applyBorder="1" applyAlignment="1" applyProtection="1">
      <alignment horizontal="center" vertical="center" wrapText="1"/>
    </xf>
    <xf numFmtId="0" fontId="65" fillId="0" borderId="20" xfId="17" applyFont="1" applyFill="1" applyBorder="1" applyAlignment="1">
      <alignment horizontal="center" vertical="center" wrapText="1"/>
    </xf>
    <xf numFmtId="0" fontId="65" fillId="0" borderId="21" xfId="17" applyFont="1" applyFill="1" applyBorder="1" applyAlignment="1">
      <alignment horizontal="center" vertical="center" wrapText="1"/>
    </xf>
    <xf numFmtId="0" fontId="7" fillId="3" borderId="55" xfId="6" applyFont="1" applyFill="1" applyBorder="1" applyAlignment="1" applyProtection="1">
      <alignment horizontal="center" vertical="center" wrapText="1"/>
    </xf>
    <xf numFmtId="0" fontId="46" fillId="0" borderId="110" xfId="17" applyBorder="1" applyAlignment="1">
      <alignment horizontal="center" vertical="center" wrapText="1"/>
    </xf>
    <xf numFmtId="0" fontId="24" fillId="15" borderId="33" xfId="0" applyNumberFormat="1" applyFont="1" applyFill="1" applyBorder="1" applyAlignment="1" applyProtection="1">
      <alignment vertical="center"/>
    </xf>
    <xf numFmtId="0" fontId="24" fillId="15" borderId="34" xfId="0" applyNumberFormat="1" applyFont="1" applyFill="1" applyBorder="1" applyAlignment="1" applyProtection="1">
      <alignment vertical="center"/>
    </xf>
    <xf numFmtId="0" fontId="24" fillId="15" borderId="35" xfId="0" applyNumberFormat="1" applyFont="1" applyFill="1" applyBorder="1" applyAlignment="1" applyProtection="1">
      <alignment vertical="center"/>
    </xf>
    <xf numFmtId="0" fontId="12" fillId="0" borderId="181" xfId="11" applyFont="1" applyFill="1" applyBorder="1" applyAlignment="1" applyProtection="1">
      <alignment vertical="top"/>
    </xf>
    <xf numFmtId="0" fontId="12" fillId="0" borderId="182" xfId="11" applyFont="1" applyFill="1" applyBorder="1" applyAlignment="1" applyProtection="1">
      <alignment vertical="top"/>
    </xf>
    <xf numFmtId="0" fontId="12" fillId="0" borderId="319" xfId="11" applyFont="1" applyFill="1" applyBorder="1" applyAlignment="1" applyProtection="1">
      <alignment vertical="top"/>
    </xf>
    <xf numFmtId="0" fontId="23" fillId="0" borderId="184" xfId="11" applyFont="1" applyFill="1" applyBorder="1" applyAlignment="1" applyProtection="1">
      <alignment vertical="top" wrapText="1"/>
    </xf>
    <xf numFmtId="0" fontId="23" fillId="0" borderId="185" xfId="11" applyFont="1" applyFill="1" applyBorder="1" applyAlignment="1" applyProtection="1">
      <alignment vertical="top" wrapText="1"/>
    </xf>
    <xf numFmtId="0" fontId="23" fillId="0" borderId="320" xfId="11" applyFont="1" applyFill="1" applyBorder="1" applyAlignment="1" applyProtection="1">
      <alignment vertical="top" wrapText="1"/>
    </xf>
    <xf numFmtId="0" fontId="7" fillId="3" borderId="33" xfId="11" applyFont="1" applyFill="1" applyBorder="1" applyAlignment="1" applyProtection="1">
      <alignment horizontal="center" vertical="center"/>
    </xf>
    <xf numFmtId="0" fontId="7" fillId="3" borderId="34"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131" xfId="6" applyFont="1" applyFill="1" applyBorder="1" applyAlignment="1" applyProtection="1">
      <alignment horizontal="center" vertical="center"/>
    </xf>
    <xf numFmtId="0" fontId="7" fillId="3" borderId="130"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34" xfId="6" applyFont="1" applyFill="1" applyBorder="1" applyAlignment="1" applyProtection="1">
      <alignment horizontal="center" vertical="center"/>
    </xf>
    <xf numFmtId="0" fontId="7" fillId="3" borderId="18" xfId="6" applyFont="1" applyFill="1" applyBorder="1" applyAlignment="1" applyProtection="1">
      <alignment horizontal="center" vertical="center"/>
    </xf>
    <xf numFmtId="0" fontId="7" fillId="3" borderId="23" xfId="6" applyFont="1" applyFill="1" applyBorder="1" applyAlignment="1" applyProtection="1">
      <alignment horizontal="center" vertical="center"/>
    </xf>
    <xf numFmtId="9" fontId="58" fillId="0" borderId="197" xfId="11" applyNumberFormat="1" applyFont="1" applyFill="1" applyBorder="1" applyAlignment="1">
      <alignment vertical="center" wrapText="1"/>
    </xf>
    <xf numFmtId="9" fontId="58" fillId="0" borderId="198" xfId="11" applyNumberFormat="1" applyFont="1" applyFill="1" applyBorder="1" applyAlignment="1">
      <alignment vertical="center" wrapText="1"/>
    </xf>
    <xf numFmtId="9" fontId="58" fillId="0" borderId="199" xfId="11" applyNumberFormat="1" applyFont="1" applyFill="1" applyBorder="1" applyAlignment="1">
      <alignment vertical="center" wrapText="1"/>
    </xf>
    <xf numFmtId="0" fontId="102" fillId="3" borderId="33" xfId="11" applyFont="1" applyFill="1" applyBorder="1" applyAlignment="1" applyProtection="1">
      <alignment vertical="center"/>
    </xf>
    <xf numFmtId="0" fontId="108" fillId="0" borderId="34" xfId="22" applyFont="1" applyBorder="1" applyAlignment="1"/>
    <xf numFmtId="0" fontId="108" fillId="0" borderId="35" xfId="22" applyFont="1" applyBorder="1" applyAlignment="1"/>
    <xf numFmtId="0" fontId="16" fillId="0" borderId="131" xfId="11" applyFont="1" applyFill="1" applyBorder="1" applyAlignment="1" applyProtection="1">
      <alignment vertical="center" wrapText="1"/>
    </xf>
    <xf numFmtId="0" fontId="16" fillId="0" borderId="110" xfId="11" applyFont="1" applyFill="1" applyBorder="1" applyAlignment="1" applyProtection="1">
      <alignment vertical="center" wrapText="1"/>
    </xf>
    <xf numFmtId="0" fontId="16" fillId="0" borderId="22" xfId="11" applyFont="1" applyFill="1" applyBorder="1" applyAlignment="1" applyProtection="1">
      <alignment vertical="center" wrapText="1"/>
    </xf>
    <xf numFmtId="9" fontId="58" fillId="0" borderId="200" xfId="11" applyNumberFormat="1" applyFont="1" applyFill="1" applyBorder="1" applyAlignment="1">
      <alignment vertical="center" wrapText="1"/>
    </xf>
    <xf numFmtId="9" fontId="58" fillId="0" borderId="201" xfId="11" applyNumberFormat="1" applyFont="1" applyFill="1" applyBorder="1" applyAlignment="1">
      <alignment vertical="center" wrapText="1"/>
    </xf>
    <xf numFmtId="9" fontId="58" fillId="0" borderId="202" xfId="11" applyNumberFormat="1" applyFont="1" applyFill="1" applyBorder="1" applyAlignment="1">
      <alignment vertical="center" wrapText="1"/>
    </xf>
    <xf numFmtId="0" fontId="7" fillId="3" borderId="228" xfId="6" applyFont="1" applyFill="1" applyBorder="1" applyAlignment="1" applyProtection="1">
      <alignment vertical="center"/>
    </xf>
    <xf numFmtId="0" fontId="7" fillId="3" borderId="155" xfId="6" applyFont="1" applyFill="1" applyBorder="1" applyAlignment="1" applyProtection="1">
      <alignment vertical="center"/>
    </xf>
    <xf numFmtId="0" fontId="7" fillId="3" borderId="15" xfId="11" applyFont="1" applyFill="1" applyBorder="1" applyAlignment="1" applyProtection="1">
      <alignment horizontal="center" vertical="center"/>
    </xf>
    <xf numFmtId="0" fontId="7" fillId="3" borderId="155" xfId="11" applyFont="1" applyFill="1" applyBorder="1" applyAlignment="1" applyProtection="1">
      <alignment horizontal="center" vertical="center"/>
    </xf>
    <xf numFmtId="0" fontId="7" fillId="3" borderId="20" xfId="11" applyFont="1" applyFill="1" applyBorder="1" applyAlignment="1" applyProtection="1">
      <alignment horizontal="center" vertical="center"/>
    </xf>
    <xf numFmtId="0" fontId="7" fillId="3" borderId="16" xfId="11" applyFont="1" applyFill="1" applyBorder="1" applyAlignment="1" applyProtection="1">
      <alignment horizontal="center" vertical="center"/>
    </xf>
    <xf numFmtId="0" fontId="7" fillId="3" borderId="302" xfId="11" applyFont="1" applyFill="1" applyBorder="1" applyAlignment="1" applyProtection="1">
      <alignment horizontal="center" vertical="center"/>
    </xf>
    <xf numFmtId="0" fontId="7" fillId="3" borderId="21" xfId="11" applyFont="1" applyFill="1" applyBorder="1" applyAlignment="1" applyProtection="1">
      <alignment horizontal="center" vertical="center"/>
    </xf>
    <xf numFmtId="0" fontId="7" fillId="3" borderId="33" xfId="11" applyFont="1" applyFill="1" applyBorder="1" applyAlignment="1" applyProtection="1">
      <alignment horizontal="center" vertical="center" wrapText="1"/>
    </xf>
    <xf numFmtId="0" fontId="7" fillId="3" borderId="34" xfId="11" applyFont="1" applyFill="1" applyBorder="1" applyAlignment="1" applyProtection="1">
      <alignment horizontal="center" vertical="center" wrapText="1"/>
    </xf>
    <xf numFmtId="0" fontId="7" fillId="3" borderId="35" xfId="11" applyFont="1" applyFill="1" applyBorder="1" applyAlignment="1" applyProtection="1">
      <alignment horizontal="center" vertical="center" wrapText="1"/>
    </xf>
    <xf numFmtId="0" fontId="24" fillId="3" borderId="191" xfId="0" applyNumberFormat="1" applyFont="1" applyFill="1" applyBorder="1" applyAlignment="1" applyProtection="1">
      <alignment vertical="center"/>
    </xf>
    <xf numFmtId="0" fontId="24" fillId="3" borderId="192" xfId="0" applyNumberFormat="1" applyFont="1" applyFill="1" applyBorder="1" applyAlignment="1" applyProtection="1">
      <alignment vertical="center"/>
    </xf>
    <xf numFmtId="0" fontId="24" fillId="3" borderId="193" xfId="0" applyNumberFormat="1" applyFont="1" applyFill="1" applyBorder="1" applyAlignment="1" applyProtection="1">
      <alignment vertical="center"/>
    </xf>
    <xf numFmtId="9" fontId="73" fillId="0" borderId="194" xfId="11" applyNumberFormat="1" applyFont="1" applyFill="1" applyBorder="1" applyAlignment="1">
      <alignment vertical="center" wrapText="1"/>
    </xf>
    <xf numFmtId="9" fontId="73" fillId="0" borderId="195" xfId="11" applyNumberFormat="1" applyFont="1" applyFill="1" applyBorder="1" applyAlignment="1">
      <alignment vertical="center" wrapText="1"/>
    </xf>
    <xf numFmtId="9" fontId="73" fillId="0" borderId="196" xfId="11" applyNumberFormat="1" applyFont="1" applyFill="1" applyBorder="1" applyAlignment="1">
      <alignment vertical="center" wrapText="1"/>
    </xf>
    <xf numFmtId="0" fontId="7" fillId="3" borderId="55" xfId="11" applyFont="1" applyFill="1" applyBorder="1" applyAlignment="1" applyProtection="1">
      <alignment horizontal="center" vertical="center"/>
    </xf>
    <xf numFmtId="0" fontId="7" fillId="3" borderId="53"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287" xfId="6" applyFont="1" applyFill="1" applyBorder="1" applyAlignment="1" applyProtection="1">
      <alignment horizontal="center" vertical="center" wrapText="1"/>
    </xf>
    <xf numFmtId="0" fontId="46" fillId="0" borderId="176" xfId="17" applyBorder="1" applyAlignment="1" applyProtection="1">
      <alignment horizontal="center" vertical="center" wrapText="1"/>
    </xf>
    <xf numFmtId="0" fontId="46" fillId="0" borderId="177" xfId="17" applyBorder="1" applyAlignment="1" applyProtection="1">
      <alignment horizontal="center" vertical="center" wrapText="1"/>
    </xf>
    <xf numFmtId="0" fontId="7" fillId="3" borderId="178" xfId="6" applyFont="1" applyFill="1" applyBorder="1" applyAlignment="1" applyProtection="1">
      <alignment horizontal="center" vertical="center" wrapText="1"/>
    </xf>
    <xf numFmtId="0" fontId="46" fillId="0" borderId="15" xfId="17" applyBorder="1" applyAlignment="1" applyProtection="1">
      <alignment horizontal="center" vertical="center" wrapText="1"/>
    </xf>
    <xf numFmtId="0" fontId="46" fillId="0" borderId="52" xfId="17" applyBorder="1" applyAlignment="1" applyProtection="1">
      <alignment horizontal="center" vertical="center" wrapText="1"/>
    </xf>
    <xf numFmtId="0" fontId="46" fillId="0" borderId="23" xfId="17" applyBorder="1" applyAlignment="1" applyProtection="1">
      <alignment horizontal="center" vertical="center" wrapText="1"/>
    </xf>
    <xf numFmtId="0" fontId="46" fillId="0" borderId="16" xfId="17" applyBorder="1" applyAlignment="1" applyProtection="1">
      <alignment horizontal="center" vertical="center" wrapText="1"/>
    </xf>
    <xf numFmtId="0" fontId="7" fillId="3" borderId="36" xfId="6" applyFont="1" applyFill="1" applyBorder="1" applyAlignment="1" applyProtection="1">
      <alignment horizontal="center" vertical="center" wrapText="1"/>
    </xf>
    <xf numFmtId="0" fontId="7" fillId="3" borderId="205" xfId="6" applyFont="1" applyFill="1" applyBorder="1" applyAlignment="1" applyProtection="1">
      <alignment horizontal="center" vertical="center"/>
    </xf>
    <xf numFmtId="0" fontId="46" fillId="0" borderId="293" xfId="17" applyBorder="1" applyAlignment="1" applyProtection="1">
      <alignment horizontal="center" vertical="center"/>
    </xf>
    <xf numFmtId="9" fontId="59" fillId="0" borderId="118" xfId="11" applyNumberFormat="1" applyFont="1" applyFill="1" applyBorder="1" applyAlignment="1">
      <alignment horizontal="left" vertical="top" wrapText="1"/>
    </xf>
    <xf numFmtId="9" fontId="59" fillId="0" borderId="42" xfId="11" applyNumberFormat="1" applyFont="1" applyFill="1" applyBorder="1" applyAlignment="1">
      <alignment horizontal="left" vertical="top" wrapText="1"/>
    </xf>
    <xf numFmtId="9" fontId="59" fillId="0" borderId="126" xfId="11" applyNumberFormat="1" applyFont="1" applyFill="1" applyBorder="1" applyAlignment="1">
      <alignment horizontal="left" vertical="top" wrapText="1"/>
    </xf>
    <xf numFmtId="9" fontId="59" fillId="0" borderId="40" xfId="11" applyNumberFormat="1" applyFont="1" applyFill="1" applyBorder="1" applyAlignment="1">
      <alignment horizontal="left" vertical="top" wrapText="1"/>
    </xf>
    <xf numFmtId="9" fontId="59" fillId="0" borderId="45" xfId="11" applyNumberFormat="1" applyFont="1" applyFill="1" applyBorder="1" applyAlignment="1">
      <alignment horizontal="left" vertical="top" wrapText="1"/>
    </xf>
    <xf numFmtId="9" fontId="59" fillId="0" borderId="27" xfId="11" applyNumberFormat="1" applyFont="1" applyFill="1" applyBorder="1" applyAlignment="1">
      <alignment horizontal="left" vertical="top" wrapText="1"/>
    </xf>
    <xf numFmtId="9" fontId="59" fillId="0" borderId="38" xfId="11" applyNumberFormat="1" applyFont="1" applyFill="1" applyBorder="1" applyAlignment="1">
      <alignment vertical="top" wrapText="1"/>
    </xf>
    <xf numFmtId="9" fontId="59" fillId="0" borderId="29" xfId="11" applyNumberFormat="1" applyFont="1" applyFill="1" applyBorder="1" applyAlignment="1">
      <alignment vertical="top" wrapText="1"/>
    </xf>
    <xf numFmtId="9" fontId="59" fillId="0" borderId="26" xfId="11" applyNumberFormat="1" applyFont="1" applyFill="1" applyBorder="1" applyAlignment="1">
      <alignment vertical="top" wrapText="1"/>
    </xf>
    <xf numFmtId="9" fontId="16" fillId="0" borderId="38" xfId="11" applyNumberFormat="1" applyFont="1" applyFill="1" applyBorder="1" applyAlignment="1">
      <alignment vertical="top" wrapText="1"/>
    </xf>
    <xf numFmtId="9" fontId="16" fillId="0" borderId="29" xfId="11" applyNumberFormat="1" applyFont="1" applyFill="1" applyBorder="1" applyAlignment="1">
      <alignment vertical="top" wrapText="1"/>
    </xf>
    <xf numFmtId="9" fontId="16" fillId="0" borderId="26" xfId="11" applyNumberFormat="1" applyFont="1" applyFill="1" applyBorder="1" applyAlignment="1">
      <alignment vertical="top" wrapText="1"/>
    </xf>
    <xf numFmtId="0" fontId="46" fillId="0" borderId="23" xfId="17" applyBorder="1" applyAlignment="1">
      <alignment horizontal="center" vertical="center" wrapText="1"/>
    </xf>
    <xf numFmtId="0" fontId="24" fillId="3" borderId="33" xfId="11" applyFont="1" applyFill="1" applyBorder="1" applyAlignment="1" applyProtection="1">
      <alignment vertical="center"/>
    </xf>
    <xf numFmtId="0" fontId="46" fillId="0" borderId="34" xfId="22" applyBorder="1" applyAlignment="1"/>
    <xf numFmtId="0" fontId="46" fillId="0" borderId="35" xfId="22" applyBorder="1" applyAlignment="1"/>
    <xf numFmtId="9" fontId="73" fillId="0" borderId="6" xfId="11" applyNumberFormat="1" applyFont="1" applyFill="1" applyBorder="1" applyAlignment="1">
      <alignment horizontal="left" vertical="center" wrapText="1"/>
    </xf>
    <xf numFmtId="0" fontId="74" fillId="0" borderId="6" xfId="22" applyFont="1" applyBorder="1" applyAlignment="1">
      <alignment horizontal="left" vertical="center" wrapText="1"/>
    </xf>
    <xf numFmtId="0" fontId="74" fillId="0" borderId="7" xfId="22" applyFont="1" applyBorder="1" applyAlignment="1">
      <alignment horizontal="left" vertical="center" wrapText="1"/>
    </xf>
    <xf numFmtId="9" fontId="59" fillId="0" borderId="52" xfId="11" applyNumberFormat="1" applyFont="1" applyFill="1" applyBorder="1" applyAlignment="1">
      <alignment horizontal="left" vertical="top" wrapText="1"/>
    </xf>
    <xf numFmtId="9" fontId="59" fillId="0" borderId="53" xfId="11" applyNumberFormat="1" applyFont="1" applyFill="1" applyBorder="1" applyAlignment="1">
      <alignment horizontal="left" vertical="top" wrapText="1"/>
    </xf>
    <xf numFmtId="9" fontId="59" fillId="0" borderId="17" xfId="11" applyNumberFormat="1" applyFont="1" applyFill="1" applyBorder="1" applyAlignment="1">
      <alignment horizontal="left" vertical="top" wrapText="1"/>
    </xf>
    <xf numFmtId="0" fontId="7" fillId="3" borderId="55" xfId="11" applyFont="1" applyFill="1" applyBorder="1" applyAlignment="1" applyProtection="1">
      <alignment horizontal="center" vertical="center" wrapText="1"/>
    </xf>
    <xf numFmtId="0" fontId="7" fillId="3" borderId="53" xfId="11" applyFont="1" applyFill="1" applyBorder="1" applyAlignment="1" applyProtection="1">
      <alignment horizontal="center" vertical="center" wrapText="1"/>
    </xf>
    <xf numFmtId="0" fontId="7" fillId="3" borderId="61" xfId="11" applyFont="1" applyFill="1" applyBorder="1" applyAlignment="1" applyProtection="1">
      <alignment horizontal="center" vertical="center" wrapText="1"/>
    </xf>
    <xf numFmtId="0" fontId="7" fillId="3" borderId="286" xfId="6" applyFont="1" applyFill="1" applyBorder="1" applyAlignment="1" applyProtection="1">
      <alignment horizontal="center" vertical="center" wrapText="1"/>
    </xf>
    <xf numFmtId="0" fontId="7" fillId="3" borderId="288" xfId="6" applyFont="1" applyFill="1" applyBorder="1" applyAlignment="1" applyProtection="1">
      <alignment horizontal="center" vertical="center" wrapText="1"/>
    </xf>
    <xf numFmtId="0" fontId="7" fillId="3" borderId="294" xfId="6" applyFont="1" applyFill="1" applyBorder="1" applyAlignment="1" applyProtection="1">
      <alignment horizontal="center" vertical="center" wrapText="1"/>
    </xf>
    <xf numFmtId="9" fontId="16" fillId="0" borderId="33" xfId="11" applyNumberFormat="1" applyFont="1" applyFill="1" applyBorder="1" applyAlignment="1">
      <alignment vertical="center" wrapText="1"/>
    </xf>
    <xf numFmtId="9" fontId="16" fillId="0" borderId="34" xfId="11" applyNumberFormat="1" applyFont="1" applyFill="1" applyBorder="1" applyAlignment="1">
      <alignment vertical="center" wrapText="1"/>
    </xf>
    <xf numFmtId="9" fontId="16" fillId="0" borderId="35" xfId="11" applyNumberFormat="1" applyFont="1" applyFill="1" applyBorder="1" applyAlignment="1">
      <alignment vertical="center" wrapText="1"/>
    </xf>
    <xf numFmtId="9" fontId="59" fillId="0" borderId="38" xfId="11" applyNumberFormat="1" applyFont="1" applyFill="1" applyBorder="1" applyAlignment="1">
      <alignment vertical="center" wrapText="1"/>
    </xf>
    <xf numFmtId="9" fontId="59" fillId="0" borderId="29" xfId="11" applyNumberFormat="1" applyFont="1" applyFill="1" applyBorder="1" applyAlignment="1">
      <alignment vertical="center" wrapText="1"/>
    </xf>
    <xf numFmtId="9" fontId="59" fillId="0" borderId="26" xfId="11" applyNumberFormat="1" applyFont="1" applyFill="1" applyBorder="1" applyAlignment="1">
      <alignment vertical="center" wrapText="1"/>
    </xf>
    <xf numFmtId="9" fontId="59" fillId="0" borderId="40" xfId="11" applyNumberFormat="1" applyFont="1" applyFill="1" applyBorder="1" applyAlignment="1">
      <alignment vertical="center" wrapText="1"/>
    </xf>
    <xf numFmtId="9" fontId="59" fillId="0" borderId="45" xfId="11" applyNumberFormat="1" applyFont="1" applyFill="1" applyBorder="1" applyAlignment="1">
      <alignment vertical="center" wrapText="1"/>
    </xf>
    <xf numFmtId="9" fontId="59" fillId="0" borderId="27" xfId="11" applyNumberFormat="1" applyFont="1" applyFill="1" applyBorder="1" applyAlignment="1">
      <alignment vertical="center" wrapText="1"/>
    </xf>
    <xf numFmtId="0" fontId="7" fillId="3" borderId="33" xfId="11" applyFont="1" applyFill="1" applyBorder="1" applyAlignment="1" applyProtection="1">
      <alignment vertical="center"/>
    </xf>
    <xf numFmtId="0" fontId="7" fillId="3" borderId="61" xfId="11" applyFont="1" applyFill="1" applyBorder="1" applyAlignment="1" applyProtection="1">
      <alignment vertical="center"/>
    </xf>
    <xf numFmtId="9" fontId="59" fillId="0" borderId="52" xfId="11" applyNumberFormat="1" applyFont="1" applyFill="1" applyBorder="1" applyAlignment="1">
      <alignment vertical="center" wrapText="1"/>
    </xf>
    <xf numFmtId="9" fontId="59" fillId="0" borderId="53" xfId="11" applyNumberFormat="1" applyFont="1" applyFill="1" applyBorder="1" applyAlignment="1">
      <alignment vertical="center" wrapText="1"/>
    </xf>
    <xf numFmtId="9" fontId="59" fillId="0" borderId="17" xfId="11" applyNumberFormat="1" applyFont="1" applyFill="1" applyBorder="1" applyAlignment="1">
      <alignment vertical="center" wrapText="1"/>
    </xf>
    <xf numFmtId="0" fontId="24" fillId="3" borderId="34" xfId="11" applyFont="1" applyFill="1" applyBorder="1" applyAlignment="1" applyProtection="1">
      <alignment vertical="center"/>
    </xf>
    <xf numFmtId="0" fontId="24" fillId="3" borderId="35" xfId="11" applyFont="1" applyFill="1" applyBorder="1" applyAlignment="1" applyProtection="1">
      <alignment vertical="center"/>
    </xf>
    <xf numFmtId="9" fontId="73" fillId="0" borderId="60" xfId="11" applyNumberFormat="1" applyFont="1" applyFill="1" applyBorder="1" applyAlignment="1">
      <alignment vertical="center" wrapText="1"/>
    </xf>
    <xf numFmtId="9" fontId="73" fillId="0" borderId="34" xfId="11" applyNumberFormat="1" applyFont="1" applyFill="1" applyBorder="1" applyAlignment="1">
      <alignment vertical="center" wrapText="1"/>
    </xf>
    <xf numFmtId="9" fontId="73" fillId="0" borderId="35" xfId="11" applyNumberFormat="1" applyFont="1" applyFill="1" applyBorder="1" applyAlignment="1">
      <alignment vertical="center" wrapText="1"/>
    </xf>
    <xf numFmtId="9" fontId="16" fillId="0" borderId="33" xfId="11" applyNumberFormat="1" applyFont="1" applyFill="1" applyBorder="1" applyAlignment="1">
      <alignment vertical="top" wrapText="1"/>
    </xf>
    <xf numFmtId="9" fontId="16" fillId="0" borderId="34" xfId="11" applyNumberFormat="1" applyFont="1" applyFill="1" applyBorder="1" applyAlignment="1">
      <alignment vertical="top" wrapText="1"/>
    </xf>
    <xf numFmtId="9" fontId="16" fillId="0" borderId="35" xfId="11" applyNumberFormat="1" applyFont="1" applyFill="1"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0" fillId="0" borderId="168" xfId="0" applyBorder="1" applyAlignment="1">
      <alignment vertical="top"/>
    </xf>
    <xf numFmtId="0" fontId="0" fillId="0" borderId="0" xfId="0" applyBorder="1"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3" fillId="0" borderId="87" xfId="11" applyFont="1" applyFill="1" applyBorder="1" applyAlignment="1" applyProtection="1">
      <alignment horizontal="left" vertical="top" wrapText="1"/>
    </xf>
    <xf numFmtId="0" fontId="23" fillId="0" borderId="88" xfId="11" applyFont="1" applyFill="1" applyBorder="1" applyAlignment="1" applyProtection="1">
      <alignment horizontal="left" vertical="top" wrapText="1"/>
    </xf>
    <xf numFmtId="0" fontId="23" fillId="0" borderId="78" xfId="11" applyFont="1" applyFill="1" applyBorder="1" applyAlignment="1" applyProtection="1">
      <alignment horizontal="left" vertical="top" wrapText="1"/>
    </xf>
    <xf numFmtId="0" fontId="23" fillId="0" borderId="174" xfId="11" applyFont="1" applyFill="1" applyBorder="1" applyAlignment="1" applyProtection="1">
      <alignment horizontal="left" vertical="center" wrapText="1"/>
    </xf>
    <xf numFmtId="0" fontId="23" fillId="0" borderId="80" xfId="11" applyFont="1" applyFill="1" applyBorder="1" applyAlignment="1" applyProtection="1">
      <alignment horizontal="left" vertical="center" wrapText="1"/>
    </xf>
    <xf numFmtId="0" fontId="23" fillId="0" borderId="81" xfId="11" applyFont="1" applyFill="1" applyBorder="1" applyAlignment="1" applyProtection="1">
      <alignment horizontal="left" vertical="center" wrapText="1"/>
    </xf>
    <xf numFmtId="0" fontId="67" fillId="0" borderId="174" xfId="11" applyFont="1" applyFill="1" applyBorder="1" applyAlignment="1" applyProtection="1">
      <alignment horizontal="left" vertical="top" wrapText="1"/>
    </xf>
    <xf numFmtId="0" fontId="23" fillId="0" borderId="80" xfId="11" applyFont="1" applyFill="1" applyBorder="1" applyAlignment="1" applyProtection="1">
      <alignment horizontal="left" vertical="top" wrapText="1"/>
    </xf>
    <xf numFmtId="0" fontId="46" fillId="0" borderId="80" xfId="22" applyBorder="1" applyAlignment="1"/>
    <xf numFmtId="0" fontId="46" fillId="0" borderId="81" xfId="22" applyBorder="1" applyAlignment="1"/>
    <xf numFmtId="0" fontId="30" fillId="0" borderId="61" xfId="0" applyFont="1" applyBorder="1" applyAlignment="1">
      <alignment vertical="top" wrapText="1"/>
    </xf>
    <xf numFmtId="0" fontId="30" fillId="0" borderId="3" xfId="0" applyFont="1" applyBorder="1" applyAlignment="1">
      <alignment vertical="top" wrapText="1"/>
    </xf>
    <xf numFmtId="0" fontId="30" fillId="0" borderId="4" xfId="0" applyFont="1" applyBorder="1" applyAlignment="1">
      <alignment vertical="top" wrapText="1"/>
    </xf>
    <xf numFmtId="0" fontId="9"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23" fillId="0" borderId="174" xfId="11" applyFont="1" applyFill="1" applyBorder="1" applyAlignment="1" applyProtection="1">
      <alignment horizontal="left" vertical="top" wrapText="1"/>
    </xf>
    <xf numFmtId="0" fontId="7" fillId="3" borderId="2" xfId="11" applyFont="1" applyFill="1" applyBorder="1" applyAlignment="1" applyProtection="1">
      <alignment vertical="center"/>
    </xf>
    <xf numFmtId="0" fontId="7" fillId="3" borderId="3" xfId="11" applyFont="1" applyFill="1" applyBorder="1" applyAlignment="1" applyProtection="1">
      <alignment vertical="center"/>
    </xf>
    <xf numFmtId="0" fontId="102" fillId="3" borderId="34" xfId="9" applyFont="1" applyFill="1" applyBorder="1" applyAlignment="1" applyProtection="1">
      <alignment vertical="center"/>
    </xf>
    <xf numFmtId="0" fontId="102" fillId="3" borderId="35" xfId="9" applyFont="1" applyFill="1" applyBorder="1" applyAlignment="1" applyProtection="1">
      <alignment vertical="center"/>
    </xf>
    <xf numFmtId="0" fontId="23" fillId="0" borderId="81" xfId="11" applyFont="1" applyFill="1" applyBorder="1" applyAlignment="1" applyProtection="1">
      <alignment horizontal="left" vertical="top" wrapText="1"/>
    </xf>
    <xf numFmtId="0" fontId="94" fillId="0" borderId="326" xfId="0" applyFont="1" applyBorder="1" applyAlignment="1">
      <alignment horizontal="center" vertical="center" wrapText="1"/>
    </xf>
    <xf numFmtId="0" fontId="94" fillId="0" borderId="327" xfId="0" applyFont="1" applyBorder="1" applyAlignment="1">
      <alignment horizontal="center" vertical="center" wrapText="1"/>
    </xf>
    <xf numFmtId="0" fontId="94" fillId="0" borderId="332" xfId="0" applyFont="1" applyBorder="1" applyAlignment="1">
      <alignment horizontal="center" vertical="center" wrapText="1"/>
    </xf>
    <xf numFmtId="0" fontId="94" fillId="0" borderId="244" xfId="0" applyFont="1" applyBorder="1" applyAlignment="1">
      <alignment horizontal="center" vertical="center" wrapText="1"/>
    </xf>
    <xf numFmtId="0" fontId="94" fillId="0" borderId="245" xfId="0" applyFont="1" applyBorder="1" applyAlignment="1">
      <alignment horizontal="center" vertical="center" wrapText="1"/>
    </xf>
    <xf numFmtId="0" fontId="94" fillId="0" borderId="333" xfId="0" applyFont="1" applyBorder="1" applyAlignment="1">
      <alignment horizontal="center" vertical="center" wrapText="1"/>
    </xf>
    <xf numFmtId="0" fontId="94" fillId="0" borderId="334" xfId="0" applyFont="1" applyBorder="1" applyAlignment="1">
      <alignment horizontal="center" vertical="center" wrapText="1"/>
    </xf>
    <xf numFmtId="0" fontId="94" fillId="0" borderId="322" xfId="0" applyFont="1" applyBorder="1" applyAlignment="1">
      <alignment horizontal="center" vertical="center" wrapText="1"/>
    </xf>
    <xf numFmtId="0" fontId="94" fillId="0" borderId="257" xfId="0" applyFont="1" applyBorder="1" applyAlignment="1">
      <alignment horizontal="center" vertical="center" wrapText="1"/>
    </xf>
    <xf numFmtId="0" fontId="94" fillId="0" borderId="258" xfId="0" applyFont="1" applyBorder="1" applyAlignment="1">
      <alignment horizontal="center" vertical="center" wrapText="1"/>
    </xf>
    <xf numFmtId="0" fontId="95" fillId="0" borderId="323" xfId="11" applyFont="1" applyFill="1" applyBorder="1" applyAlignment="1" applyProtection="1">
      <alignment horizontal="center" vertical="top" wrapText="1"/>
    </xf>
    <xf numFmtId="0" fontId="3" fillId="0" borderId="324" xfId="0" applyFont="1" applyBorder="1" applyAlignment="1">
      <alignment horizontal="center" vertical="top"/>
    </xf>
    <xf numFmtId="0" fontId="3" fillId="0" borderId="325" xfId="0" applyFont="1" applyBorder="1" applyAlignment="1">
      <alignment horizontal="center" vertical="top"/>
    </xf>
    <xf numFmtId="0" fontId="94" fillId="0" borderId="329" xfId="0" applyFont="1" applyBorder="1" applyAlignment="1">
      <alignment horizontal="center" vertical="center" wrapText="1"/>
    </xf>
    <xf numFmtId="0" fontId="94" fillId="0" borderId="330" xfId="0" applyFont="1" applyBorder="1" applyAlignment="1">
      <alignment horizontal="center" vertical="center" wrapText="1"/>
    </xf>
    <xf numFmtId="0" fontId="94" fillId="0" borderId="331" xfId="0" applyFont="1" applyBorder="1" applyAlignment="1">
      <alignment horizontal="center" vertical="center" wrapText="1"/>
    </xf>
    <xf numFmtId="0" fontId="23" fillId="0" borderId="33" xfId="11" applyFont="1" applyFill="1" applyBorder="1" applyAlignment="1" applyProtection="1">
      <alignment vertical="top" wrapText="1"/>
    </xf>
    <xf numFmtId="0" fontId="20"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23"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9" fontId="59" fillId="0" borderId="51" xfId="11" applyNumberFormat="1" applyFont="1" applyFill="1" applyBorder="1" applyAlignment="1">
      <alignment vertical="center" wrapText="1"/>
    </xf>
    <xf numFmtId="9" fontId="59" fillId="0" borderId="110" xfId="11" applyNumberFormat="1" applyFont="1" applyFill="1" applyBorder="1" applyAlignment="1">
      <alignment vertical="center" wrapText="1"/>
    </xf>
    <xf numFmtId="9" fontId="59" fillId="0" borderId="22" xfId="11" applyNumberFormat="1" applyFont="1" applyFill="1" applyBorder="1" applyAlignment="1">
      <alignment vertical="center" wrapText="1"/>
    </xf>
    <xf numFmtId="0" fontId="9" fillId="0" borderId="168" xfId="0" applyFont="1" applyFill="1" applyBorder="1" applyAlignment="1">
      <alignment vertical="center" wrapText="1"/>
    </xf>
    <xf numFmtId="0" fontId="9" fillId="0" borderId="0" xfId="0" applyFont="1" applyFill="1" applyBorder="1" applyAlignment="1">
      <alignment vertical="center" wrapText="1"/>
    </xf>
    <xf numFmtId="0" fontId="9" fillId="0" borderId="169" xfId="0" applyFont="1" applyFill="1" applyBorder="1" applyAlignment="1">
      <alignment vertical="center" wrapText="1"/>
    </xf>
    <xf numFmtId="0" fontId="102" fillId="3" borderId="34" xfId="11" applyFont="1" applyFill="1" applyBorder="1" applyAlignment="1" applyProtection="1">
      <alignment vertical="center"/>
    </xf>
    <xf numFmtId="0" fontId="102" fillId="3" borderId="35" xfId="11" applyFont="1" applyFill="1" applyBorder="1" applyAlignment="1" applyProtection="1">
      <alignment vertical="center"/>
    </xf>
    <xf numFmtId="0" fontId="7" fillId="3" borderId="33" xfId="22" applyFont="1" applyFill="1" applyBorder="1" applyAlignment="1"/>
    <xf numFmtId="0" fontId="7" fillId="3" borderId="34" xfId="22" applyFont="1" applyFill="1" applyBorder="1" applyAlignment="1"/>
    <xf numFmtId="0" fontId="7" fillId="3" borderId="35" xfId="22" applyFont="1" applyFill="1" applyBorder="1" applyAlignment="1"/>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24" fillId="3" borderId="53" xfId="11" applyFont="1" applyFill="1" applyBorder="1" applyAlignment="1" applyProtection="1">
      <alignment vertical="center"/>
    </xf>
    <xf numFmtId="0" fontId="24" fillId="3" borderId="17" xfId="11" applyFont="1" applyFill="1" applyBorder="1" applyAlignment="1" applyProtection="1">
      <alignment vertical="center"/>
    </xf>
    <xf numFmtId="0" fontId="7" fillId="3" borderId="33" xfId="22" applyFont="1" applyFill="1" applyBorder="1" applyAlignment="1">
      <alignment wrapText="1"/>
    </xf>
    <xf numFmtId="0" fontId="7" fillId="3" borderId="34" xfId="22" applyFont="1" applyFill="1" applyBorder="1" applyAlignment="1">
      <alignment wrapText="1"/>
    </xf>
    <xf numFmtId="0" fontId="7" fillId="3" borderId="35" xfId="22" applyFont="1" applyFill="1" applyBorder="1" applyAlignment="1">
      <alignment wrapText="1"/>
    </xf>
    <xf numFmtId="9" fontId="88" fillId="0" borderId="57" xfId="11" applyNumberFormat="1" applyFont="1" applyFill="1" applyBorder="1" applyAlignment="1">
      <alignment horizontal="left" vertical="top" wrapText="1"/>
    </xf>
    <xf numFmtId="9" fontId="88" fillId="0" borderId="45" xfId="11" applyNumberFormat="1" applyFont="1" applyFill="1" applyBorder="1" applyAlignment="1">
      <alignment horizontal="left" vertical="top" wrapText="1"/>
    </xf>
    <xf numFmtId="9" fontId="88" fillId="0" borderId="27" xfId="11" applyNumberFormat="1" applyFont="1" applyFill="1" applyBorder="1" applyAlignment="1">
      <alignment horizontal="left" vertical="top" wrapText="1"/>
    </xf>
    <xf numFmtId="9" fontId="88" fillId="0" borderId="38"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8" fillId="0" borderId="29" xfId="11" applyNumberFormat="1" applyFont="1" applyFill="1" applyBorder="1" applyAlignment="1">
      <alignment horizontal="left" vertical="top" wrapText="1"/>
    </xf>
    <xf numFmtId="9" fontId="88" fillId="0" borderId="223" xfId="11" applyNumberFormat="1" applyFont="1" applyFill="1" applyBorder="1" applyAlignment="1">
      <alignment horizontal="left" vertical="top" wrapText="1"/>
    </xf>
    <xf numFmtId="9" fontId="88" fillId="0" borderId="225" xfId="11" applyNumberFormat="1" applyFont="1" applyFill="1" applyBorder="1" applyAlignment="1">
      <alignment horizontal="left" vertical="top" wrapText="1"/>
    </xf>
    <xf numFmtId="9" fontId="88" fillId="0" borderId="226" xfId="11" applyNumberFormat="1" applyFont="1" applyFill="1" applyBorder="1" applyAlignment="1">
      <alignment horizontal="left" vertical="top" wrapText="1"/>
    </xf>
    <xf numFmtId="9" fontId="88" fillId="0" borderId="227" xfId="11" applyNumberFormat="1" applyFont="1" applyFill="1" applyBorder="1" applyAlignment="1">
      <alignment horizontal="left" vertical="top" wrapText="1"/>
    </xf>
    <xf numFmtId="0" fontId="12"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8" fillId="0" borderId="54" xfId="11" applyNumberFormat="1" applyFont="1" applyFill="1" applyBorder="1" applyAlignment="1">
      <alignment horizontal="left" vertical="top" wrapText="1"/>
    </xf>
    <xf numFmtId="9" fontId="88" fillId="0" borderId="28" xfId="11" applyNumberFormat="1" applyFont="1" applyFill="1" applyBorder="1" applyAlignment="1">
      <alignment horizontal="left" vertical="top" wrapText="1"/>
    </xf>
    <xf numFmtId="9" fontId="88" fillId="0" borderId="24" xfId="11" applyNumberFormat="1" applyFont="1" applyFill="1" applyBorder="1" applyAlignment="1">
      <alignment horizontal="left" vertical="top" wrapText="1"/>
    </xf>
    <xf numFmtId="9" fontId="88" fillId="0" borderId="56" xfId="11" applyNumberFormat="1" applyFont="1" applyFill="1" applyBorder="1" applyAlignment="1">
      <alignment horizontal="left" vertical="top" wrapText="1"/>
    </xf>
    <xf numFmtId="9" fontId="88" fillId="0" borderId="26"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23" xfId="0" applyBorder="1" applyAlignment="1">
      <alignment horizontal="left" vertical="top" wrapText="1"/>
    </xf>
    <xf numFmtId="9" fontId="88" fillId="0" borderId="38" xfId="11" applyNumberFormat="1" applyFont="1" applyFill="1" applyBorder="1" applyAlignment="1">
      <alignment horizontal="left" vertical="center" wrapText="1"/>
    </xf>
    <xf numFmtId="9" fontId="88" fillId="0" borderId="29" xfId="11" applyNumberFormat="1" applyFont="1" applyFill="1" applyBorder="1" applyAlignment="1">
      <alignment horizontal="left" vertical="center" wrapText="1"/>
    </xf>
    <xf numFmtId="9" fontId="88" fillId="0" borderId="26" xfId="11" applyNumberFormat="1" applyFont="1" applyFill="1" applyBorder="1" applyAlignment="1">
      <alignment horizontal="left" vertical="center" wrapText="1"/>
    </xf>
    <xf numFmtId="9" fontId="88" fillId="0" borderId="40" xfId="11" applyNumberFormat="1" applyFont="1" applyFill="1" applyBorder="1" applyAlignment="1">
      <alignment horizontal="left" vertical="center" wrapText="1"/>
    </xf>
    <xf numFmtId="9" fontId="88" fillId="0" borderId="45" xfId="11" applyNumberFormat="1" applyFont="1" applyFill="1" applyBorder="1" applyAlignment="1">
      <alignment horizontal="left" vertical="center" wrapText="1"/>
    </xf>
    <xf numFmtId="9" fontId="88" fillId="0" borderId="27" xfId="11" applyNumberFormat="1" applyFont="1" applyFill="1" applyBorder="1" applyAlignment="1">
      <alignment horizontal="left" vertical="center" wrapText="1"/>
    </xf>
    <xf numFmtId="9" fontId="88" fillId="0" borderId="219" xfId="11" applyNumberFormat="1" applyFont="1" applyFill="1" applyBorder="1" applyAlignment="1">
      <alignment horizontal="left" vertical="top" wrapText="1"/>
    </xf>
    <xf numFmtId="9" fontId="88" fillId="0" borderId="220" xfId="11" applyNumberFormat="1" applyFont="1" applyFill="1" applyBorder="1" applyAlignment="1">
      <alignment horizontal="left" vertical="top" wrapText="1"/>
    </xf>
    <xf numFmtId="9" fontId="88" fillId="0" borderId="221" xfId="11" applyNumberFormat="1" applyFont="1" applyFill="1" applyBorder="1" applyAlignment="1">
      <alignment horizontal="left" vertical="top" wrapText="1"/>
    </xf>
    <xf numFmtId="0" fontId="7" fillId="3" borderId="60" xfId="22" applyFont="1" applyFill="1" applyBorder="1" applyAlignment="1"/>
    <xf numFmtId="9" fontId="73" fillId="0" borderId="3" xfId="11" applyNumberFormat="1" applyFont="1" applyFill="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9" fontId="88" fillId="0" borderId="36" xfId="11" applyNumberFormat="1" applyFont="1" applyFill="1" applyBorder="1" applyAlignment="1">
      <alignment horizontal="left" vertical="center" wrapText="1"/>
    </xf>
    <xf numFmtId="9" fontId="88" fillId="0" borderId="28" xfId="11" applyNumberFormat="1" applyFont="1" applyFill="1" applyBorder="1" applyAlignment="1">
      <alignment horizontal="left" vertical="center" wrapText="1"/>
    </xf>
    <xf numFmtId="9" fontId="88" fillId="0" borderId="24" xfId="11" applyNumberFormat="1" applyFont="1" applyFill="1" applyBorder="1" applyAlignment="1">
      <alignment horizontal="left" vertical="center" wrapText="1"/>
    </xf>
    <xf numFmtId="9" fontId="16" fillId="0" borderId="38" xfId="11" applyNumberFormat="1" applyFont="1" applyFill="1" applyBorder="1" applyAlignment="1">
      <alignment horizontal="left" vertical="center" wrapText="1"/>
    </xf>
    <xf numFmtId="9" fontId="16" fillId="0" borderId="29" xfId="11" applyNumberFormat="1" applyFont="1" applyFill="1" applyBorder="1" applyAlignment="1">
      <alignment horizontal="left" vertical="center" wrapText="1"/>
    </xf>
    <xf numFmtId="9" fontId="16" fillId="0" borderId="26" xfId="11" applyNumberFormat="1" applyFont="1" applyFill="1" applyBorder="1" applyAlignment="1">
      <alignment horizontal="left" vertical="center" wrapText="1"/>
    </xf>
    <xf numFmtId="0" fontId="9" fillId="0" borderId="55" xfId="0" applyFont="1" applyBorder="1" applyAlignment="1">
      <alignment vertical="top" wrapText="1"/>
    </xf>
    <xf numFmtId="0" fontId="9" fillId="0" borderId="53" xfId="0" applyFont="1" applyBorder="1" applyAlignment="1">
      <alignment vertical="top" wrapText="1"/>
    </xf>
    <xf numFmtId="0" fontId="9" fillId="0" borderId="17" xfId="0" applyFont="1" applyBorder="1" applyAlignment="1">
      <alignment vertical="top" wrapText="1"/>
    </xf>
    <xf numFmtId="0" fontId="9" fillId="0" borderId="168" xfId="0" applyFont="1" applyBorder="1" applyAlignment="1">
      <alignment vertical="top" wrapText="1"/>
    </xf>
    <xf numFmtId="0" fontId="9" fillId="0" borderId="0" xfId="0" applyFont="1" applyBorder="1" applyAlignment="1">
      <alignment vertical="top" wrapText="1"/>
    </xf>
    <xf numFmtId="0" fontId="9" fillId="0" borderId="169" xfId="0" applyFont="1" applyBorder="1" applyAlignment="1">
      <alignment vertical="top" wrapText="1"/>
    </xf>
    <xf numFmtId="0" fontId="9" fillId="0" borderId="131" xfId="0" applyFont="1" applyBorder="1" applyAlignment="1">
      <alignment vertical="top" wrapText="1"/>
    </xf>
    <xf numFmtId="0" fontId="9" fillId="0" borderId="110" xfId="0" applyFont="1" applyBorder="1" applyAlignment="1">
      <alignment vertical="top" wrapText="1"/>
    </xf>
    <xf numFmtId="0" fontId="9" fillId="0" borderId="22" xfId="0" applyFont="1" applyBorder="1" applyAlignment="1">
      <alignment vertical="top" wrapText="1"/>
    </xf>
    <xf numFmtId="0" fontId="88" fillId="0" borderId="85" xfId="11" applyNumberFormat="1" applyFont="1" applyFill="1" applyBorder="1" applyAlignment="1">
      <alignment horizontal="left" vertical="top" wrapText="1"/>
    </xf>
    <xf numFmtId="0" fontId="88" fillId="0" borderId="86" xfId="11" applyNumberFormat="1" applyFont="1" applyFill="1" applyBorder="1" applyAlignment="1">
      <alignment horizontal="left" vertical="top" wrapText="1"/>
    </xf>
    <xf numFmtId="0" fontId="88" fillId="0" borderId="77" xfId="11" applyNumberFormat="1" applyFont="1" applyFill="1" applyBorder="1" applyAlignment="1">
      <alignment horizontal="left" vertical="top" wrapText="1"/>
    </xf>
    <xf numFmtId="0" fontId="88" fillId="0" borderId="85" xfId="11" applyNumberFormat="1" applyFont="1" applyFill="1" applyBorder="1" applyAlignment="1">
      <alignment vertical="top" wrapText="1"/>
    </xf>
    <xf numFmtId="0" fontId="88" fillId="0" borderId="86" xfId="11" applyNumberFormat="1" applyFont="1" applyFill="1" applyBorder="1" applyAlignment="1">
      <alignment vertical="top" wrapText="1"/>
    </xf>
    <xf numFmtId="0" fontId="88" fillId="0" borderId="77" xfId="11" applyNumberFormat="1" applyFont="1" applyFill="1" applyBorder="1" applyAlignment="1">
      <alignment vertical="top" wrapText="1"/>
    </xf>
    <xf numFmtId="0" fontId="71" fillId="0" borderId="0" xfId="11" applyFont="1" applyFill="1" applyAlignment="1" applyProtection="1">
      <alignment vertical="center"/>
    </xf>
    <xf numFmtId="0" fontId="12" fillId="0" borderId="79" xfId="11" applyFont="1" applyFill="1" applyBorder="1" applyAlignment="1" applyProtection="1">
      <alignment vertical="center"/>
    </xf>
    <xf numFmtId="0" fontId="12" fillId="0" borderId="80" xfId="11" applyFont="1" applyFill="1" applyBorder="1" applyAlignment="1" applyProtection="1">
      <alignment vertical="center"/>
    </xf>
    <xf numFmtId="0" fontId="12" fillId="0" borderId="81" xfId="11" applyFont="1" applyFill="1" applyBorder="1" applyAlignment="1" applyProtection="1">
      <alignment vertical="center"/>
    </xf>
    <xf numFmtId="0" fontId="23" fillId="0" borderId="82" xfId="11" applyFont="1" applyFill="1" applyBorder="1" applyAlignment="1" applyProtection="1">
      <alignment vertical="top" wrapText="1"/>
    </xf>
    <xf numFmtId="0" fontId="23" fillId="0" borderId="83" xfId="11" applyFont="1" applyFill="1" applyBorder="1" applyAlignment="1" applyProtection="1">
      <alignment vertical="top" wrapText="1"/>
    </xf>
    <xf numFmtId="0" fontId="23" fillId="0" borderId="76" xfId="11" applyFont="1" applyFill="1" applyBorder="1" applyAlignment="1" applyProtection="1">
      <alignment vertical="top" wrapText="1"/>
    </xf>
    <xf numFmtId="0" fontId="46" fillId="0" borderId="34" xfId="22" applyBorder="1" applyAlignment="1" applyProtection="1">
      <alignment horizontal="center" vertical="center" wrapText="1"/>
    </xf>
    <xf numFmtId="0" fontId="46" fillId="0" borderId="35" xfId="22" applyBorder="1" applyAlignment="1" applyProtection="1">
      <alignment horizontal="center" vertical="center" wrapText="1"/>
    </xf>
    <xf numFmtId="0" fontId="46" fillId="0" borderId="57" xfId="22" applyBorder="1" applyAlignment="1" applyProtection="1">
      <alignment horizontal="center" vertical="center" wrapText="1"/>
    </xf>
    <xf numFmtId="0" fontId="46" fillId="0" borderId="7" xfId="22" applyBorder="1" applyAlignment="1" applyProtection="1">
      <alignment horizontal="center" vertical="center" wrapText="1"/>
    </xf>
    <xf numFmtId="0" fontId="46" fillId="0" borderId="28" xfId="22" applyBorder="1" applyAlignment="1" applyProtection="1">
      <alignment horizontal="center" vertical="center" wrapText="1"/>
    </xf>
    <xf numFmtId="0" fontId="46" fillId="0" borderId="37" xfId="22" applyBorder="1" applyAlignment="1" applyProtection="1">
      <alignment horizontal="center" vertical="center" wrapText="1"/>
    </xf>
    <xf numFmtId="0" fontId="7" fillId="3" borderId="31" xfId="6" applyFont="1" applyFill="1" applyBorder="1" applyAlignment="1" applyProtection="1">
      <alignment horizontal="center" vertical="center" wrapText="1"/>
    </xf>
    <xf numFmtId="0" fontId="46" fillId="0" borderId="30" xfId="22" applyBorder="1" applyAlignment="1" applyProtection="1">
      <alignment horizontal="center" vertical="center" wrapText="1"/>
    </xf>
    <xf numFmtId="0" fontId="46" fillId="0" borderId="6" xfId="22" applyBorder="1" applyAlignment="1" applyProtection="1">
      <alignment horizontal="center" vertical="center" wrapText="1"/>
    </xf>
    <xf numFmtId="0" fontId="46" fillId="0" borderId="36" xfId="22" applyBorder="1" applyAlignment="1" applyProtection="1">
      <alignment horizontal="center" vertical="center" wrapText="1"/>
    </xf>
    <xf numFmtId="0" fontId="46" fillId="0" borderId="53" xfId="22" applyBorder="1" applyAlignment="1" applyProtection="1">
      <alignment horizontal="center" vertical="center" wrapText="1"/>
    </xf>
    <xf numFmtId="0" fontId="46" fillId="0" borderId="17" xfId="22" applyBorder="1" applyAlignment="1" applyProtection="1">
      <alignment horizontal="center" vertical="center" wrapText="1"/>
    </xf>
    <xf numFmtId="0" fontId="16" fillId="0" borderId="33" xfId="0" applyFont="1" applyFill="1" applyBorder="1" applyAlignment="1">
      <alignment horizontal="left" vertical="center" wrapText="1"/>
    </xf>
    <xf numFmtId="0" fontId="16" fillId="0" borderId="34" xfId="0" applyFont="1" applyFill="1" applyBorder="1" applyAlignment="1">
      <alignment horizontal="left" vertical="center" wrapText="1"/>
    </xf>
    <xf numFmtId="0" fontId="16" fillId="0" borderId="35" xfId="0" applyFont="1" applyFill="1" applyBorder="1" applyAlignment="1">
      <alignment horizontal="left" vertical="center" wrapText="1"/>
    </xf>
    <xf numFmtId="0" fontId="88" fillId="0" borderId="6" xfId="11" applyNumberFormat="1" applyFont="1" applyFill="1" applyBorder="1" applyAlignment="1">
      <alignment horizontal="left" vertical="top" wrapText="1"/>
    </xf>
    <xf numFmtId="0" fontId="88" fillId="0" borderId="7" xfId="11" applyNumberFormat="1" applyFont="1" applyFill="1" applyBorder="1" applyAlignment="1">
      <alignment horizontal="left" vertical="top" wrapText="1"/>
    </xf>
    <xf numFmtId="0" fontId="88" fillId="0" borderId="9" xfId="11" applyNumberFormat="1" applyFont="1" applyFill="1" applyBorder="1" applyAlignment="1">
      <alignment horizontal="left" vertical="top" wrapText="1"/>
    </xf>
    <xf numFmtId="0" fontId="88" fillId="0" borderId="10" xfId="11" applyNumberFormat="1" applyFont="1" applyFill="1" applyBorder="1" applyAlignment="1">
      <alignment horizontal="left" vertical="top" wrapText="1"/>
    </xf>
    <xf numFmtId="0" fontId="88" fillId="0" borderId="12" xfId="11" applyNumberFormat="1" applyFont="1" applyFill="1" applyBorder="1" applyAlignment="1">
      <alignment horizontal="left" vertical="top" wrapText="1"/>
    </xf>
    <xf numFmtId="0" fontId="88" fillId="0" borderId="13" xfId="11" applyNumberFormat="1" applyFont="1" applyFill="1" applyBorder="1" applyAlignment="1">
      <alignment horizontal="left" vertical="top" wrapText="1"/>
    </xf>
    <xf numFmtId="9" fontId="59" fillId="0" borderId="38" xfId="11" applyNumberFormat="1" applyFont="1" applyFill="1" applyBorder="1" applyAlignment="1">
      <alignment horizontal="left" vertical="top" wrapText="1"/>
    </xf>
    <xf numFmtId="9" fontId="59" fillId="0" borderId="29" xfId="11" applyNumberFormat="1" applyFont="1" applyFill="1" applyBorder="1" applyAlignment="1">
      <alignment horizontal="left" vertical="top" wrapText="1"/>
    </xf>
    <xf numFmtId="9" fontId="59" fillId="0" borderId="26" xfId="11" applyNumberFormat="1" applyFont="1" applyFill="1" applyBorder="1" applyAlignment="1">
      <alignment horizontal="left" vertical="top" wrapText="1"/>
    </xf>
    <xf numFmtId="0" fontId="46" fillId="0" borderId="34" xfId="22" applyBorder="1" applyAlignment="1">
      <alignment vertical="center"/>
    </xf>
    <xf numFmtId="0" fontId="46" fillId="0" borderId="35" xfId="22" applyBorder="1" applyAlignment="1">
      <alignment vertical="center"/>
    </xf>
    <xf numFmtId="0" fontId="46" fillId="0" borderId="53" xfId="22" applyBorder="1" applyAlignment="1">
      <alignment horizontal="center" vertical="center" wrapText="1"/>
    </xf>
    <xf numFmtId="0" fontId="46" fillId="0" borderId="17" xfId="22" applyBorder="1" applyAlignment="1">
      <alignment horizontal="center" vertical="center" wrapText="1"/>
    </xf>
    <xf numFmtId="0" fontId="46" fillId="26" borderId="0" xfId="22" applyFill="1" applyAlignment="1">
      <alignment horizontal="center"/>
    </xf>
    <xf numFmtId="0" fontId="100" fillId="0" borderId="0" xfId="18" applyFont="1" applyAlignment="1">
      <alignment horizontal="left" wrapText="1"/>
    </xf>
    <xf numFmtId="9" fontId="59" fillId="0" borderId="36" xfId="11" applyNumberFormat="1" applyFont="1" applyFill="1" applyBorder="1" applyAlignment="1">
      <alignment horizontal="left" vertical="top" wrapText="1"/>
    </xf>
    <xf numFmtId="9" fontId="59" fillId="0" borderId="28" xfId="11" applyNumberFormat="1" applyFont="1" applyFill="1" applyBorder="1" applyAlignment="1">
      <alignment horizontal="left" vertical="top" wrapText="1"/>
    </xf>
    <xf numFmtId="9" fontId="59" fillId="0" borderId="24" xfId="11" applyNumberFormat="1" applyFont="1" applyFill="1" applyBorder="1" applyAlignment="1">
      <alignment horizontal="left" vertical="top" wrapText="1"/>
    </xf>
    <xf numFmtId="9" fontId="59" fillId="0" borderId="48" xfId="11" applyNumberFormat="1" applyFont="1" applyFill="1" applyBorder="1" applyAlignment="1">
      <alignment horizontal="left" vertical="top" wrapText="1"/>
    </xf>
    <xf numFmtId="9" fontId="59" fillId="0" borderId="114" xfId="11" applyNumberFormat="1" applyFont="1" applyFill="1" applyBorder="1" applyAlignment="1">
      <alignment horizontal="left" vertical="top" wrapText="1"/>
    </xf>
    <xf numFmtId="9" fontId="59" fillId="0" borderId="115" xfId="11" applyNumberFormat="1" applyFont="1" applyFill="1" applyBorder="1" applyAlignment="1">
      <alignment horizontal="left" vertical="top" wrapText="1"/>
    </xf>
    <xf numFmtId="0" fontId="46" fillId="0" borderId="34" xfId="22" applyBorder="1" applyAlignment="1">
      <alignment horizontal="center" vertical="center" wrapText="1"/>
    </xf>
    <xf numFmtId="0" fontId="46" fillId="0" borderId="35" xfId="22" applyBorder="1" applyAlignment="1">
      <alignment horizontal="center" vertical="center" wrapText="1"/>
    </xf>
    <xf numFmtId="0" fontId="46" fillId="0" borderId="170" xfId="22" applyBorder="1" applyAlignment="1">
      <alignment horizontal="center" vertical="center" wrapText="1"/>
    </xf>
    <xf numFmtId="0" fontId="46" fillId="0" borderId="23" xfId="22" applyBorder="1" applyAlignment="1">
      <alignment horizontal="center" vertical="center" wrapText="1"/>
    </xf>
    <xf numFmtId="0" fontId="46" fillId="0" borderId="57" xfId="22" applyBorder="1" applyAlignment="1">
      <alignment horizontal="center" vertical="center" wrapText="1"/>
    </xf>
    <xf numFmtId="0" fontId="46" fillId="0" borderId="7" xfId="22" applyBorder="1" applyAlignment="1">
      <alignment horizontal="center" vertical="center" wrapText="1"/>
    </xf>
    <xf numFmtId="0" fontId="46" fillId="0" borderId="28" xfId="22" applyBorder="1" applyAlignment="1">
      <alignment horizontal="center" vertical="center" wrapText="1"/>
    </xf>
    <xf numFmtId="0" fontId="46" fillId="0" borderId="37" xfId="22" applyBorder="1" applyAlignment="1">
      <alignment horizontal="center" vertical="center" wrapText="1"/>
    </xf>
    <xf numFmtId="0" fontId="46" fillId="0" borderId="30" xfId="22" applyBorder="1" applyAlignment="1">
      <alignment horizontal="center" vertical="center" wrapText="1"/>
    </xf>
    <xf numFmtId="0" fontId="46" fillId="0" borderId="6" xfId="22" applyBorder="1" applyAlignment="1">
      <alignment horizontal="center" vertical="center" wrapText="1"/>
    </xf>
    <xf numFmtId="0" fontId="46" fillId="0" borderId="36" xfId="22" applyBorder="1" applyAlignment="1">
      <alignment horizontal="center" vertical="center" wrapText="1"/>
    </xf>
    <xf numFmtId="9" fontId="81" fillId="0" borderId="38" xfId="11" applyNumberFormat="1" applyFont="1" applyFill="1" applyBorder="1" applyAlignment="1">
      <alignment horizontal="left" vertical="top" wrapText="1"/>
    </xf>
    <xf numFmtId="9" fontId="81" fillId="0" borderId="29" xfId="11" applyNumberFormat="1" applyFont="1" applyFill="1" applyBorder="1" applyAlignment="1">
      <alignment horizontal="left" vertical="top" wrapText="1"/>
    </xf>
    <xf numFmtId="9" fontId="81" fillId="0" borderId="26" xfId="11" applyNumberFormat="1" applyFont="1" applyFill="1" applyBorder="1" applyAlignment="1">
      <alignment horizontal="left" vertical="top" wrapText="1"/>
    </xf>
    <xf numFmtId="0" fontId="72" fillId="0" borderId="131" xfId="22" applyFont="1" applyFill="1" applyBorder="1" applyAlignment="1"/>
    <xf numFmtId="0" fontId="72" fillId="0" borderId="110" xfId="22" applyFont="1" applyFill="1" applyBorder="1" applyAlignment="1"/>
    <xf numFmtId="0" fontId="72" fillId="0" borderId="22" xfId="22" applyFont="1" applyFill="1" applyBorder="1" applyAlignment="1"/>
    <xf numFmtId="0" fontId="71" fillId="9" borderId="0" xfId="11" applyFont="1" applyFill="1" applyAlignment="1">
      <alignment vertical="center"/>
    </xf>
    <xf numFmtId="0" fontId="71" fillId="0" borderId="0" xfId="11" applyFont="1" applyAlignment="1">
      <alignment vertical="center"/>
    </xf>
    <xf numFmtId="9" fontId="73" fillId="0" borderId="15" xfId="11" applyNumberFormat="1" applyFont="1" applyFill="1" applyBorder="1" applyAlignment="1">
      <alignment horizontal="left" vertical="top" wrapText="1"/>
    </xf>
    <xf numFmtId="0" fontId="74" fillId="0" borderId="15" xfId="22" applyFont="1" applyBorder="1" applyAlignment="1">
      <alignment horizontal="left" vertical="top" wrapText="1"/>
    </xf>
    <xf numFmtId="0" fontId="74" fillId="0" borderId="16" xfId="22" applyFont="1" applyBorder="1" applyAlignment="1">
      <alignment horizontal="left" vertical="top" wrapText="1"/>
    </xf>
    <xf numFmtId="9" fontId="81" fillId="0" borderId="36" xfId="11" applyNumberFormat="1" applyFont="1" applyFill="1" applyBorder="1" applyAlignment="1">
      <alignment horizontal="left" vertical="top" wrapText="1"/>
    </xf>
    <xf numFmtId="9" fontId="81" fillId="0" borderId="28" xfId="11" applyNumberFormat="1" applyFont="1" applyFill="1" applyBorder="1" applyAlignment="1">
      <alignment horizontal="left" vertical="top" wrapText="1"/>
    </xf>
    <xf numFmtId="9" fontId="81" fillId="0" borderId="24" xfId="11" applyNumberFormat="1" applyFont="1" applyFill="1" applyBorder="1" applyAlignment="1">
      <alignment horizontal="left" vertical="top" wrapText="1"/>
    </xf>
    <xf numFmtId="0" fontId="46" fillId="0" borderId="57" xfId="22" applyBorder="1" applyAlignment="1">
      <alignment wrapText="1"/>
    </xf>
    <xf numFmtId="0" fontId="46" fillId="0" borderId="27" xfId="22" applyBorder="1" applyAlignment="1">
      <alignment wrapText="1"/>
    </xf>
    <xf numFmtId="0" fontId="67" fillId="0" borderId="229" xfId="0" applyFont="1" applyBorder="1" applyAlignment="1">
      <alignment vertical="center" wrapText="1"/>
    </xf>
    <xf numFmtId="0" fontId="67" fillId="0" borderId="230" xfId="0" applyFont="1" applyBorder="1" applyAlignment="1">
      <alignment vertical="center" wrapText="1"/>
    </xf>
    <xf numFmtId="0" fontId="67" fillId="0" borderId="217" xfId="0" applyFont="1" applyBorder="1" applyAlignment="1">
      <alignment vertical="center" wrapText="1"/>
    </xf>
    <xf numFmtId="0" fontId="67" fillId="0" borderId="206" xfId="0" applyFont="1" applyBorder="1" applyAlignment="1">
      <alignment vertical="center" wrapText="1"/>
    </xf>
    <xf numFmtId="0" fontId="46" fillId="0" borderId="56" xfId="22" applyBorder="1" applyAlignment="1">
      <alignment wrapText="1"/>
    </xf>
    <xf numFmtId="0" fontId="46" fillId="0" borderId="26" xfId="22" applyBorder="1" applyAlignment="1">
      <alignment wrapText="1"/>
    </xf>
    <xf numFmtId="9" fontId="88" fillId="0" borderId="342" xfId="11" applyNumberFormat="1" applyFont="1" applyFill="1" applyBorder="1" applyAlignment="1">
      <alignment vertical="top" wrapText="1"/>
    </xf>
    <xf numFmtId="9" fontId="88" fillId="0" borderId="0" xfId="11" applyNumberFormat="1" applyFont="1" applyFill="1" applyBorder="1" applyAlignment="1">
      <alignment vertical="top" wrapText="1"/>
    </xf>
    <xf numFmtId="9" fontId="88" fillId="0" borderId="169" xfId="11" applyNumberFormat="1" applyFont="1" applyFill="1" applyBorder="1" applyAlignment="1">
      <alignment vertical="top" wrapText="1"/>
    </xf>
    <xf numFmtId="9" fontId="88" fillId="0" borderId="51" xfId="11" applyNumberFormat="1" applyFont="1" applyFill="1" applyBorder="1" applyAlignment="1">
      <alignment vertical="top" wrapText="1"/>
    </xf>
    <xf numFmtId="9" fontId="88" fillId="0" borderId="110" xfId="11" applyNumberFormat="1" applyFont="1" applyFill="1" applyBorder="1" applyAlignment="1">
      <alignment vertical="top" wrapText="1"/>
    </xf>
    <xf numFmtId="9" fontId="88" fillId="0" borderId="22" xfId="11" applyNumberFormat="1" applyFont="1" applyFill="1" applyBorder="1" applyAlignment="1">
      <alignment vertical="top" wrapText="1"/>
    </xf>
    <xf numFmtId="0" fontId="7" fillId="3" borderId="35" xfId="11" applyFont="1" applyFill="1" applyBorder="1" applyAlignment="1" applyProtection="1">
      <alignment vertical="center"/>
    </xf>
    <xf numFmtId="0" fontId="7" fillId="3" borderId="54" xfId="11" applyFont="1" applyFill="1" applyBorder="1" applyAlignment="1" applyProtection="1">
      <alignment vertical="center"/>
    </xf>
    <xf numFmtId="0" fontId="7" fillId="3" borderId="24" xfId="11" applyFont="1" applyFill="1" applyBorder="1" applyAlignment="1" applyProtection="1">
      <alignment vertical="center"/>
    </xf>
    <xf numFmtId="9" fontId="88" fillId="0" borderId="118" xfId="11" applyNumberFormat="1" applyFont="1" applyFill="1" applyBorder="1" applyAlignment="1">
      <alignment vertical="top" wrapText="1"/>
    </xf>
    <xf numFmtId="9" fontId="88" fillId="0" borderId="42" xfId="11" applyNumberFormat="1" applyFont="1" applyFill="1" applyBorder="1" applyAlignment="1">
      <alignment vertical="top" wrapText="1"/>
    </xf>
    <xf numFmtId="9" fontId="88" fillId="0" borderId="126" xfId="11" applyNumberFormat="1" applyFont="1" applyFill="1" applyBorder="1" applyAlignment="1">
      <alignment vertical="top" wrapText="1"/>
    </xf>
    <xf numFmtId="9" fontId="73" fillId="0" borderId="343" xfId="11" applyNumberFormat="1" applyFont="1" applyFill="1" applyBorder="1" applyAlignment="1">
      <alignment vertical="top" wrapText="1"/>
    </xf>
    <xf numFmtId="9" fontId="73" fillId="0" borderId="34" xfId="11" applyNumberFormat="1" applyFont="1" applyFill="1" applyBorder="1" applyAlignment="1">
      <alignment vertical="top" wrapText="1"/>
    </xf>
    <xf numFmtId="9" fontId="73" fillId="0" borderId="35" xfId="11" applyNumberFormat="1" applyFont="1" applyFill="1" applyBorder="1" applyAlignment="1">
      <alignment vertical="top" wrapText="1"/>
    </xf>
    <xf numFmtId="9" fontId="73" fillId="0" borderId="344" xfId="11" applyNumberFormat="1" applyFont="1" applyFill="1" applyBorder="1" applyAlignment="1">
      <alignment vertical="top" wrapText="1"/>
    </xf>
    <xf numFmtId="9" fontId="73" fillId="0" borderId="345" xfId="11" applyNumberFormat="1" applyFont="1" applyFill="1" applyBorder="1" applyAlignment="1">
      <alignment vertical="top" wrapText="1"/>
    </xf>
    <xf numFmtId="9" fontId="73" fillId="0" borderId="346" xfId="11" applyNumberFormat="1" applyFont="1" applyFill="1" applyBorder="1" applyAlignment="1">
      <alignment vertical="top" wrapText="1"/>
    </xf>
    <xf numFmtId="0" fontId="102" fillId="3" borderId="33" xfId="9" applyFont="1" applyFill="1" applyBorder="1" applyAlignment="1" applyProtection="1">
      <alignment vertical="center"/>
    </xf>
    <xf numFmtId="0" fontId="5" fillId="3" borderId="33" xfId="9" applyFont="1" applyFill="1" applyBorder="1" applyAlignment="1" applyProtection="1">
      <alignment wrapText="1"/>
    </xf>
    <xf numFmtId="0" fontId="5" fillId="3" borderId="34" xfId="9" applyFont="1" applyFill="1" applyBorder="1" applyAlignment="1" applyProtection="1"/>
    <xf numFmtId="0" fontId="5" fillId="3" borderId="35" xfId="9" applyFont="1" applyFill="1" applyBorder="1" applyAlignment="1" applyProtection="1"/>
    <xf numFmtId="9" fontId="73" fillId="0" borderId="36" xfId="11" applyNumberFormat="1" applyFont="1" applyFill="1" applyBorder="1" applyAlignment="1">
      <alignment vertical="top" wrapText="1"/>
    </xf>
    <xf numFmtId="9" fontId="73" fillId="0" borderId="28" xfId="11" applyNumberFormat="1" applyFont="1" applyFill="1" applyBorder="1" applyAlignment="1">
      <alignment vertical="top" wrapText="1"/>
    </xf>
    <xf numFmtId="9" fontId="73" fillId="0" borderId="24" xfId="11" applyNumberFormat="1" applyFont="1" applyFill="1" applyBorder="1" applyAlignment="1">
      <alignment vertical="top" wrapText="1"/>
    </xf>
    <xf numFmtId="9" fontId="73" fillId="0" borderId="60" xfId="11" applyNumberFormat="1" applyFont="1" applyFill="1" applyBorder="1" applyAlignment="1">
      <alignment vertical="top" wrapText="1"/>
    </xf>
    <xf numFmtId="9" fontId="88" fillId="0" borderId="52" xfId="11" applyNumberFormat="1" applyFont="1" applyFill="1" applyBorder="1" applyAlignment="1">
      <alignment vertical="top" wrapText="1"/>
    </xf>
    <xf numFmtId="9" fontId="88" fillId="0" borderId="53" xfId="11" applyNumberFormat="1" applyFont="1" applyFill="1" applyBorder="1" applyAlignment="1">
      <alignment vertical="top" wrapText="1"/>
    </xf>
    <xf numFmtId="9" fontId="88" fillId="0" borderId="17" xfId="11" applyNumberFormat="1" applyFont="1" applyFill="1" applyBorder="1" applyAlignment="1">
      <alignment vertical="top" wrapText="1"/>
    </xf>
    <xf numFmtId="9" fontId="88" fillId="0" borderId="342" xfId="11" applyNumberFormat="1" applyFont="1" applyFill="1" applyBorder="1" applyAlignment="1">
      <alignment vertical="top"/>
    </xf>
    <xf numFmtId="9" fontId="88" fillId="0" borderId="0" xfId="11" applyNumberFormat="1" applyFont="1" applyFill="1" applyBorder="1" applyAlignment="1">
      <alignment vertical="top"/>
    </xf>
    <xf numFmtId="9" fontId="88" fillId="0" borderId="169" xfId="11" applyNumberFormat="1" applyFont="1" applyFill="1" applyBorder="1" applyAlignment="1">
      <alignment vertical="top"/>
    </xf>
    <xf numFmtId="0" fontId="20" fillId="0" borderId="38" xfId="6" applyFont="1" applyBorder="1" applyAlignment="1">
      <alignment horizontal="left" vertical="top" wrapText="1"/>
    </xf>
    <xf numFmtId="0" fontId="20" fillId="0" borderId="29" xfId="6" applyFont="1" applyBorder="1" applyAlignment="1">
      <alignment horizontal="left" vertical="top" wrapText="1"/>
    </xf>
    <xf numFmtId="0" fontId="20" fillId="0" borderId="26" xfId="6" applyFont="1" applyBorder="1" applyAlignment="1">
      <alignment horizontal="left" vertical="top" wrapText="1"/>
    </xf>
    <xf numFmtId="0" fontId="20" fillId="0" borderId="36" xfId="6" applyFont="1" applyBorder="1" applyAlignment="1">
      <alignment horizontal="left" vertical="top" wrapText="1"/>
    </xf>
    <xf numFmtId="0" fontId="20" fillId="0" borderId="28" xfId="6" applyFont="1" applyBorder="1" applyAlignment="1">
      <alignment horizontal="left" vertical="top" wrapText="1"/>
    </xf>
    <xf numFmtId="0" fontId="20" fillId="0" borderId="24" xfId="6" applyFont="1" applyBorder="1" applyAlignment="1">
      <alignment horizontal="left" vertical="top" wrapText="1"/>
    </xf>
    <xf numFmtId="0" fontId="20" fillId="0" borderId="38" xfId="6" applyFont="1" applyBorder="1" applyAlignment="1">
      <alignment horizontal="left" vertical="top"/>
    </xf>
    <xf numFmtId="0" fontId="20" fillId="0" borderId="29" xfId="6" applyFont="1" applyBorder="1" applyAlignment="1">
      <alignment horizontal="left" vertical="top"/>
    </xf>
    <xf numFmtId="0" fontId="20" fillId="0" borderId="26" xfId="6" applyFont="1" applyBorder="1" applyAlignment="1">
      <alignment horizontal="left" vertical="top"/>
    </xf>
    <xf numFmtId="0" fontId="20" fillId="0" borderId="40" xfId="6" applyFont="1" applyBorder="1" applyAlignment="1">
      <alignment vertical="top" wrapText="1"/>
    </xf>
    <xf numFmtId="0" fontId="20" fillId="0" borderId="45" xfId="6" applyFont="1" applyBorder="1" applyAlignment="1">
      <alignment vertical="top" wrapText="1"/>
    </xf>
    <xf numFmtId="0" fontId="20" fillId="0" borderId="27" xfId="6" applyFont="1" applyBorder="1" applyAlignment="1">
      <alignment vertical="top" wrapText="1"/>
    </xf>
  </cellXfs>
  <cellStyles count="12364">
    <cellStyle name="Att1" xfId="25"/>
    <cellStyle name="Att1 2" xfId="26"/>
    <cellStyle name="Att1 2 2" xfId="27"/>
    <cellStyle name="Att1 3" xfId="28"/>
    <cellStyle name="Att1 3 2" xfId="29"/>
    <cellStyle name="Att1 3 3" xfId="30"/>
    <cellStyle name="Att1 4" xfId="31"/>
    <cellStyle name="Att1 4 2" xfId="32"/>
    <cellStyle name="Att1 4 3" xfId="33"/>
    <cellStyle name="Comma" xfId="1" builtinId="3"/>
    <cellStyle name="Comma 10" xfId="12324"/>
    <cellStyle name="Comma 11" xfId="12334"/>
    <cellStyle name="Comma 12" xfId="12349"/>
    <cellStyle name="Comma 2" xfId="10"/>
    <cellStyle name="Comma 2 10" xfId="35"/>
    <cellStyle name="Comma 2 10 2" xfId="36"/>
    <cellStyle name="Comma 2 10 2 2" xfId="37"/>
    <cellStyle name="Comma 2 10 2 2 2" xfId="38"/>
    <cellStyle name="Comma 2 10 2 2 2 2" xfId="7181"/>
    <cellStyle name="Comma 2 10 2 2 3" xfId="7180"/>
    <cellStyle name="Comma 2 10 2 2 4" xfId="4782"/>
    <cellStyle name="Comma 2 10 2 3" xfId="39"/>
    <cellStyle name="Comma 2 10 2 3 2" xfId="7182"/>
    <cellStyle name="Comma 2 10 2 4" xfId="7179"/>
    <cellStyle name="Comma 2 10 2 5" xfId="4781"/>
    <cellStyle name="Comma 2 10 3" xfId="40"/>
    <cellStyle name="Comma 2 10 3 2" xfId="41"/>
    <cellStyle name="Comma 2 10 3 2 2" xfId="7184"/>
    <cellStyle name="Comma 2 10 3 3" xfId="7183"/>
    <cellStyle name="Comma 2 10 3 4" xfId="4783"/>
    <cellStyle name="Comma 2 10 4" xfId="42"/>
    <cellStyle name="Comma 2 10 4 2" xfId="43"/>
    <cellStyle name="Comma 2 10 4 2 2" xfId="7186"/>
    <cellStyle name="Comma 2 10 4 3" xfId="7185"/>
    <cellStyle name="Comma 2 10 4 4" xfId="4784"/>
    <cellStyle name="Comma 2 10 5" xfId="44"/>
    <cellStyle name="Comma 2 10 5 2" xfId="7187"/>
    <cellStyle name="Comma 2 10 6" xfId="7178"/>
    <cellStyle name="Comma 2 10 7" xfId="4780"/>
    <cellStyle name="Comma 2 11" xfId="45"/>
    <cellStyle name="Comma 2 11 2" xfId="46"/>
    <cellStyle name="Comma 2 11 2 2" xfId="47"/>
    <cellStyle name="Comma 2 11 2 2 2" xfId="48"/>
    <cellStyle name="Comma 2 11 2 2 2 2" xfId="7191"/>
    <cellStyle name="Comma 2 11 2 2 3" xfId="7190"/>
    <cellStyle name="Comma 2 11 2 2 4" xfId="4787"/>
    <cellStyle name="Comma 2 11 2 3" xfId="49"/>
    <cellStyle name="Comma 2 11 2 3 2" xfId="7192"/>
    <cellStyle name="Comma 2 11 2 4" xfId="7189"/>
    <cellStyle name="Comma 2 11 2 5" xfId="4786"/>
    <cellStyle name="Comma 2 11 3" xfId="50"/>
    <cellStyle name="Comma 2 11 3 2" xfId="51"/>
    <cellStyle name="Comma 2 11 3 2 2" xfId="7194"/>
    <cellStyle name="Comma 2 11 3 3" xfId="7193"/>
    <cellStyle name="Comma 2 11 3 4" xfId="4788"/>
    <cellStyle name="Comma 2 11 4" xfId="52"/>
    <cellStyle name="Comma 2 11 4 2" xfId="53"/>
    <cellStyle name="Comma 2 11 4 2 2" xfId="7196"/>
    <cellStyle name="Comma 2 11 4 3" xfId="7195"/>
    <cellStyle name="Comma 2 11 4 4" xfId="4789"/>
    <cellStyle name="Comma 2 11 5" xfId="54"/>
    <cellStyle name="Comma 2 11 5 2" xfId="7197"/>
    <cellStyle name="Comma 2 11 6" xfId="7188"/>
    <cellStyle name="Comma 2 11 7" xfId="4785"/>
    <cellStyle name="Comma 2 12" xfId="55"/>
    <cellStyle name="Comma 2 12 2" xfId="56"/>
    <cellStyle name="Comma 2 12 2 2" xfId="57"/>
    <cellStyle name="Comma 2 12 2 2 2" xfId="58"/>
    <cellStyle name="Comma 2 12 2 2 2 2" xfId="7201"/>
    <cellStyle name="Comma 2 12 2 2 3" xfId="7200"/>
    <cellStyle name="Comma 2 12 2 2 4" xfId="4792"/>
    <cellStyle name="Comma 2 12 2 3" xfId="59"/>
    <cellStyle name="Comma 2 12 2 3 2" xfId="7202"/>
    <cellStyle name="Comma 2 12 2 4" xfId="7199"/>
    <cellStyle name="Comma 2 12 2 5" xfId="4791"/>
    <cellStyle name="Comma 2 12 3" xfId="60"/>
    <cellStyle name="Comma 2 12 3 2" xfId="61"/>
    <cellStyle name="Comma 2 12 3 2 2" xfId="7204"/>
    <cellStyle name="Comma 2 12 3 3" xfId="7203"/>
    <cellStyle name="Comma 2 12 3 4" xfId="4793"/>
    <cellStyle name="Comma 2 12 4" xfId="62"/>
    <cellStyle name="Comma 2 12 4 2" xfId="63"/>
    <cellStyle name="Comma 2 12 4 2 2" xfId="7206"/>
    <cellStyle name="Comma 2 12 4 3" xfId="7205"/>
    <cellStyle name="Comma 2 12 4 4" xfId="4794"/>
    <cellStyle name="Comma 2 12 5" xfId="64"/>
    <cellStyle name="Comma 2 12 5 2" xfId="7207"/>
    <cellStyle name="Comma 2 12 6" xfId="7198"/>
    <cellStyle name="Comma 2 12 7" xfId="4790"/>
    <cellStyle name="Comma 2 13" xfId="65"/>
    <cellStyle name="Comma 2 13 2" xfId="66"/>
    <cellStyle name="Comma 2 13 2 2" xfId="67"/>
    <cellStyle name="Comma 2 13 2 2 2" xfId="68"/>
    <cellStyle name="Comma 2 13 2 2 2 2" xfId="7211"/>
    <cellStyle name="Comma 2 13 2 2 3" xfId="7210"/>
    <cellStyle name="Comma 2 13 2 2 4" xfId="4797"/>
    <cellStyle name="Comma 2 13 2 3" xfId="69"/>
    <cellStyle name="Comma 2 13 2 3 2" xfId="7212"/>
    <cellStyle name="Comma 2 13 2 4" xfId="7209"/>
    <cellStyle name="Comma 2 13 2 5" xfId="4796"/>
    <cellStyle name="Comma 2 13 3" xfId="70"/>
    <cellStyle name="Comma 2 13 3 2" xfId="71"/>
    <cellStyle name="Comma 2 13 3 2 2" xfId="7214"/>
    <cellStyle name="Comma 2 13 3 3" xfId="7213"/>
    <cellStyle name="Comma 2 13 3 4" xfId="4798"/>
    <cellStyle name="Comma 2 13 4" xfId="72"/>
    <cellStyle name="Comma 2 13 4 2" xfId="73"/>
    <cellStyle name="Comma 2 13 4 2 2" xfId="7216"/>
    <cellStyle name="Comma 2 13 4 3" xfId="7215"/>
    <cellStyle name="Comma 2 13 4 4" xfId="4799"/>
    <cellStyle name="Comma 2 13 5" xfId="74"/>
    <cellStyle name="Comma 2 13 5 2" xfId="7217"/>
    <cellStyle name="Comma 2 13 6" xfId="7208"/>
    <cellStyle name="Comma 2 13 7" xfId="4795"/>
    <cellStyle name="Comma 2 14" xfId="75"/>
    <cellStyle name="Comma 2 14 2" xfId="76"/>
    <cellStyle name="Comma 2 14 2 2" xfId="77"/>
    <cellStyle name="Comma 2 14 2 2 2" xfId="7220"/>
    <cellStyle name="Comma 2 14 2 3" xfId="7219"/>
    <cellStyle name="Comma 2 14 2 4" xfId="4801"/>
    <cellStyle name="Comma 2 14 3" xfId="78"/>
    <cellStyle name="Comma 2 14 3 2" xfId="79"/>
    <cellStyle name="Comma 2 14 3 2 2" xfId="7222"/>
    <cellStyle name="Comma 2 14 3 3" xfId="7221"/>
    <cellStyle name="Comma 2 14 3 4" xfId="4802"/>
    <cellStyle name="Comma 2 14 4" xfId="80"/>
    <cellStyle name="Comma 2 14 4 2" xfId="7223"/>
    <cellStyle name="Comma 2 14 5" xfId="7218"/>
    <cellStyle name="Comma 2 14 6" xfId="4800"/>
    <cellStyle name="Comma 2 15" xfId="81"/>
    <cellStyle name="Comma 2 15 2" xfId="82"/>
    <cellStyle name="Comma 2 15 2 2" xfId="83"/>
    <cellStyle name="Comma 2 15 2 2 2" xfId="7226"/>
    <cellStyle name="Comma 2 15 2 3" xfId="7225"/>
    <cellStyle name="Comma 2 15 2 4" xfId="4804"/>
    <cellStyle name="Comma 2 15 3" xfId="84"/>
    <cellStyle name="Comma 2 15 3 2" xfId="7227"/>
    <cellStyle name="Comma 2 15 4" xfId="7224"/>
    <cellStyle name="Comma 2 15 5" xfId="4803"/>
    <cellStyle name="Comma 2 16" xfId="85"/>
    <cellStyle name="Comma 2 16 2" xfId="86"/>
    <cellStyle name="Comma 2 16 2 2" xfId="7229"/>
    <cellStyle name="Comma 2 16 3" xfId="7228"/>
    <cellStyle name="Comma 2 16 4" xfId="4805"/>
    <cellStyle name="Comma 2 17" xfId="87"/>
    <cellStyle name="Comma 2 17 2" xfId="88"/>
    <cellStyle name="Comma 2 17 2 2" xfId="7231"/>
    <cellStyle name="Comma 2 17 3" xfId="7230"/>
    <cellStyle name="Comma 2 17 4" xfId="4806"/>
    <cellStyle name="Comma 2 18" xfId="89"/>
    <cellStyle name="Comma 2 18 2" xfId="7233"/>
    <cellStyle name="Comma 2 18 3" xfId="7232"/>
    <cellStyle name="Comma 2 18 4" xfId="4807"/>
    <cellStyle name="Comma 2 19" xfId="34"/>
    <cellStyle name="Comma 2 19 2" xfId="7234"/>
    <cellStyle name="Comma 2 2" xfId="13"/>
    <cellStyle name="Comma 2 2 10" xfId="91"/>
    <cellStyle name="Comma 2 2 10 2" xfId="92"/>
    <cellStyle name="Comma 2 2 10 2 2" xfId="93"/>
    <cellStyle name="Comma 2 2 10 2 2 2" xfId="7238"/>
    <cellStyle name="Comma 2 2 10 2 3" xfId="7237"/>
    <cellStyle name="Comma 2 2 10 2 4" xfId="4810"/>
    <cellStyle name="Comma 2 2 10 3" xfId="94"/>
    <cellStyle name="Comma 2 2 10 3 2" xfId="95"/>
    <cellStyle name="Comma 2 2 10 3 2 2" xfId="7240"/>
    <cellStyle name="Comma 2 2 10 3 3" xfId="7239"/>
    <cellStyle name="Comma 2 2 10 3 4" xfId="4811"/>
    <cellStyle name="Comma 2 2 10 4" xfId="96"/>
    <cellStyle name="Comma 2 2 10 4 2" xfId="7241"/>
    <cellStyle name="Comma 2 2 10 5" xfId="7236"/>
    <cellStyle name="Comma 2 2 10 6" xfId="4809"/>
    <cellStyle name="Comma 2 2 11" xfId="97"/>
    <cellStyle name="Comma 2 2 11 2" xfId="98"/>
    <cellStyle name="Comma 2 2 11 2 2" xfId="99"/>
    <cellStyle name="Comma 2 2 11 2 2 2" xfId="7244"/>
    <cellStyle name="Comma 2 2 11 2 3" xfId="7243"/>
    <cellStyle name="Comma 2 2 11 2 4" xfId="4813"/>
    <cellStyle name="Comma 2 2 11 3" xfId="100"/>
    <cellStyle name="Comma 2 2 11 3 2" xfId="7245"/>
    <cellStyle name="Comma 2 2 11 4" xfId="7242"/>
    <cellStyle name="Comma 2 2 11 5" xfId="4812"/>
    <cellStyle name="Comma 2 2 12" xfId="101"/>
    <cellStyle name="Comma 2 2 12 2" xfId="102"/>
    <cellStyle name="Comma 2 2 12 2 2" xfId="7247"/>
    <cellStyle name="Comma 2 2 12 3" xfId="7246"/>
    <cellStyle name="Comma 2 2 12 4" xfId="4814"/>
    <cellStyle name="Comma 2 2 13" xfId="103"/>
    <cellStyle name="Comma 2 2 13 2" xfId="104"/>
    <cellStyle name="Comma 2 2 13 2 2" xfId="7249"/>
    <cellStyle name="Comma 2 2 13 3" xfId="7248"/>
    <cellStyle name="Comma 2 2 13 4" xfId="4815"/>
    <cellStyle name="Comma 2 2 14" xfId="105"/>
    <cellStyle name="Comma 2 2 14 2" xfId="7251"/>
    <cellStyle name="Comma 2 2 14 3" xfId="7250"/>
    <cellStyle name="Comma 2 2 14 4" xfId="4816"/>
    <cellStyle name="Comma 2 2 15" xfId="90"/>
    <cellStyle name="Comma 2 2 15 2" xfId="7252"/>
    <cellStyle name="Comma 2 2 16" xfId="7235"/>
    <cellStyle name="Comma 2 2 17" xfId="4808"/>
    <cellStyle name="Comma 2 2 18" xfId="12327"/>
    <cellStyle name="Comma 2 2 19" xfId="12337"/>
    <cellStyle name="Comma 2 2 2" xfId="106"/>
    <cellStyle name="Comma 2 2 2 10" xfId="107"/>
    <cellStyle name="Comma 2 2 2 10 2" xfId="108"/>
    <cellStyle name="Comma 2 2 2 10 2 2" xfId="7255"/>
    <cellStyle name="Comma 2 2 2 10 3" xfId="7254"/>
    <cellStyle name="Comma 2 2 2 10 4" xfId="4818"/>
    <cellStyle name="Comma 2 2 2 11" xfId="109"/>
    <cellStyle name="Comma 2 2 2 11 2" xfId="7256"/>
    <cellStyle name="Comma 2 2 2 12" xfId="7253"/>
    <cellStyle name="Comma 2 2 2 13" xfId="4817"/>
    <cellStyle name="Comma 2 2 2 14" xfId="12332"/>
    <cellStyle name="Comma 2 2 2 15" xfId="12342"/>
    <cellStyle name="Comma 2 2 2 16" xfId="12357"/>
    <cellStyle name="Comma 2 2 2 2" xfId="110"/>
    <cellStyle name="Comma 2 2 2 2 10" xfId="111"/>
    <cellStyle name="Comma 2 2 2 2 10 2" xfId="7258"/>
    <cellStyle name="Comma 2 2 2 2 11" xfId="7257"/>
    <cellStyle name="Comma 2 2 2 2 12" xfId="4819"/>
    <cellStyle name="Comma 2 2 2 2 2" xfId="112"/>
    <cellStyle name="Comma 2 2 2 2 2 2" xfId="113"/>
    <cellStyle name="Comma 2 2 2 2 2 2 2" xfId="114"/>
    <cellStyle name="Comma 2 2 2 2 2 2 2 2" xfId="115"/>
    <cellStyle name="Comma 2 2 2 2 2 2 2 2 2" xfId="7262"/>
    <cellStyle name="Comma 2 2 2 2 2 2 2 3" xfId="7261"/>
    <cellStyle name="Comma 2 2 2 2 2 2 2 4" xfId="4822"/>
    <cellStyle name="Comma 2 2 2 2 2 2 3" xfId="116"/>
    <cellStyle name="Comma 2 2 2 2 2 2 3 2" xfId="7263"/>
    <cellStyle name="Comma 2 2 2 2 2 2 4" xfId="7260"/>
    <cellStyle name="Comma 2 2 2 2 2 2 5" xfId="4821"/>
    <cellStyle name="Comma 2 2 2 2 2 3" xfId="117"/>
    <cellStyle name="Comma 2 2 2 2 2 3 2" xfId="118"/>
    <cellStyle name="Comma 2 2 2 2 2 3 2 2" xfId="7265"/>
    <cellStyle name="Comma 2 2 2 2 2 3 3" xfId="7264"/>
    <cellStyle name="Comma 2 2 2 2 2 3 4" xfId="4823"/>
    <cellStyle name="Comma 2 2 2 2 2 4" xfId="119"/>
    <cellStyle name="Comma 2 2 2 2 2 4 2" xfId="120"/>
    <cellStyle name="Comma 2 2 2 2 2 4 2 2" xfId="7267"/>
    <cellStyle name="Comma 2 2 2 2 2 4 3" xfId="7266"/>
    <cellStyle name="Comma 2 2 2 2 2 4 4" xfId="4824"/>
    <cellStyle name="Comma 2 2 2 2 2 5" xfId="121"/>
    <cellStyle name="Comma 2 2 2 2 2 5 2" xfId="7268"/>
    <cellStyle name="Comma 2 2 2 2 2 6" xfId="7259"/>
    <cellStyle name="Comma 2 2 2 2 2 7" xfId="4820"/>
    <cellStyle name="Comma 2 2 2 2 3" xfId="122"/>
    <cellStyle name="Comma 2 2 2 2 3 2" xfId="123"/>
    <cellStyle name="Comma 2 2 2 2 3 2 2" xfId="124"/>
    <cellStyle name="Comma 2 2 2 2 3 2 2 2" xfId="125"/>
    <cellStyle name="Comma 2 2 2 2 3 2 2 2 2" xfId="7272"/>
    <cellStyle name="Comma 2 2 2 2 3 2 2 3" xfId="7271"/>
    <cellStyle name="Comma 2 2 2 2 3 2 2 4" xfId="4827"/>
    <cellStyle name="Comma 2 2 2 2 3 2 3" xfId="126"/>
    <cellStyle name="Comma 2 2 2 2 3 2 3 2" xfId="7273"/>
    <cellStyle name="Comma 2 2 2 2 3 2 4" xfId="7270"/>
    <cellStyle name="Comma 2 2 2 2 3 2 5" xfId="4826"/>
    <cellStyle name="Comma 2 2 2 2 3 3" xfId="127"/>
    <cellStyle name="Comma 2 2 2 2 3 3 2" xfId="128"/>
    <cellStyle name="Comma 2 2 2 2 3 3 2 2" xfId="7275"/>
    <cellStyle name="Comma 2 2 2 2 3 3 3" xfId="7274"/>
    <cellStyle name="Comma 2 2 2 2 3 3 4" xfId="4828"/>
    <cellStyle name="Comma 2 2 2 2 3 4" xfId="129"/>
    <cellStyle name="Comma 2 2 2 2 3 4 2" xfId="130"/>
    <cellStyle name="Comma 2 2 2 2 3 4 2 2" xfId="7277"/>
    <cellStyle name="Comma 2 2 2 2 3 4 3" xfId="7276"/>
    <cellStyle name="Comma 2 2 2 2 3 4 4" xfId="4829"/>
    <cellStyle name="Comma 2 2 2 2 3 5" xfId="131"/>
    <cellStyle name="Comma 2 2 2 2 3 5 2" xfId="7278"/>
    <cellStyle name="Comma 2 2 2 2 3 6" xfId="7269"/>
    <cellStyle name="Comma 2 2 2 2 3 7" xfId="4825"/>
    <cellStyle name="Comma 2 2 2 2 4" xfId="132"/>
    <cellStyle name="Comma 2 2 2 2 4 2" xfId="133"/>
    <cellStyle name="Comma 2 2 2 2 4 2 2" xfId="134"/>
    <cellStyle name="Comma 2 2 2 2 4 2 2 2" xfId="135"/>
    <cellStyle name="Comma 2 2 2 2 4 2 2 2 2" xfId="7282"/>
    <cellStyle name="Comma 2 2 2 2 4 2 2 3" xfId="7281"/>
    <cellStyle name="Comma 2 2 2 2 4 2 2 4" xfId="4832"/>
    <cellStyle name="Comma 2 2 2 2 4 2 3" xfId="136"/>
    <cellStyle name="Comma 2 2 2 2 4 2 3 2" xfId="7283"/>
    <cellStyle name="Comma 2 2 2 2 4 2 4" xfId="7280"/>
    <cellStyle name="Comma 2 2 2 2 4 2 5" xfId="4831"/>
    <cellStyle name="Comma 2 2 2 2 4 3" xfId="137"/>
    <cellStyle name="Comma 2 2 2 2 4 3 2" xfId="138"/>
    <cellStyle name="Comma 2 2 2 2 4 3 2 2" xfId="7285"/>
    <cellStyle name="Comma 2 2 2 2 4 3 3" xfId="7284"/>
    <cellStyle name="Comma 2 2 2 2 4 3 4" xfId="4833"/>
    <cellStyle name="Comma 2 2 2 2 4 4" xfId="139"/>
    <cellStyle name="Comma 2 2 2 2 4 4 2" xfId="140"/>
    <cellStyle name="Comma 2 2 2 2 4 4 2 2" xfId="7287"/>
    <cellStyle name="Comma 2 2 2 2 4 4 3" xfId="7286"/>
    <cellStyle name="Comma 2 2 2 2 4 4 4" xfId="4834"/>
    <cellStyle name="Comma 2 2 2 2 4 5" xfId="141"/>
    <cellStyle name="Comma 2 2 2 2 4 5 2" xfId="7288"/>
    <cellStyle name="Comma 2 2 2 2 4 6" xfId="7279"/>
    <cellStyle name="Comma 2 2 2 2 4 7" xfId="4830"/>
    <cellStyle name="Comma 2 2 2 2 5" xfId="142"/>
    <cellStyle name="Comma 2 2 2 2 5 2" xfId="143"/>
    <cellStyle name="Comma 2 2 2 2 5 2 2" xfId="144"/>
    <cellStyle name="Comma 2 2 2 2 5 2 2 2" xfId="145"/>
    <cellStyle name="Comma 2 2 2 2 5 2 2 2 2" xfId="7292"/>
    <cellStyle name="Comma 2 2 2 2 5 2 2 3" xfId="7291"/>
    <cellStyle name="Comma 2 2 2 2 5 2 2 4" xfId="4837"/>
    <cellStyle name="Comma 2 2 2 2 5 2 3" xfId="146"/>
    <cellStyle name="Comma 2 2 2 2 5 2 3 2" xfId="7293"/>
    <cellStyle name="Comma 2 2 2 2 5 2 4" xfId="7290"/>
    <cellStyle name="Comma 2 2 2 2 5 2 5" xfId="4836"/>
    <cellStyle name="Comma 2 2 2 2 5 3" xfId="147"/>
    <cellStyle name="Comma 2 2 2 2 5 3 2" xfId="148"/>
    <cellStyle name="Comma 2 2 2 2 5 3 2 2" xfId="7295"/>
    <cellStyle name="Comma 2 2 2 2 5 3 3" xfId="7294"/>
    <cellStyle name="Comma 2 2 2 2 5 3 4" xfId="4838"/>
    <cellStyle name="Comma 2 2 2 2 5 4" xfId="149"/>
    <cellStyle name="Comma 2 2 2 2 5 4 2" xfId="150"/>
    <cellStyle name="Comma 2 2 2 2 5 4 2 2" xfId="7297"/>
    <cellStyle name="Comma 2 2 2 2 5 4 3" xfId="7296"/>
    <cellStyle name="Comma 2 2 2 2 5 4 4" xfId="4839"/>
    <cellStyle name="Comma 2 2 2 2 5 5" xfId="151"/>
    <cellStyle name="Comma 2 2 2 2 5 5 2" xfId="7298"/>
    <cellStyle name="Comma 2 2 2 2 5 6" xfId="7289"/>
    <cellStyle name="Comma 2 2 2 2 5 7" xfId="4835"/>
    <cellStyle name="Comma 2 2 2 2 6" xfId="152"/>
    <cellStyle name="Comma 2 2 2 2 6 2" xfId="153"/>
    <cellStyle name="Comma 2 2 2 2 6 2 2" xfId="154"/>
    <cellStyle name="Comma 2 2 2 2 6 2 2 2" xfId="7301"/>
    <cellStyle name="Comma 2 2 2 2 6 2 3" xfId="7300"/>
    <cellStyle name="Comma 2 2 2 2 6 2 4" xfId="4841"/>
    <cellStyle name="Comma 2 2 2 2 6 3" xfId="155"/>
    <cellStyle name="Comma 2 2 2 2 6 3 2" xfId="156"/>
    <cellStyle name="Comma 2 2 2 2 6 3 2 2" xfId="7303"/>
    <cellStyle name="Comma 2 2 2 2 6 3 3" xfId="7302"/>
    <cellStyle name="Comma 2 2 2 2 6 3 4" xfId="4842"/>
    <cellStyle name="Comma 2 2 2 2 6 4" xfId="157"/>
    <cellStyle name="Comma 2 2 2 2 6 4 2" xfId="7304"/>
    <cellStyle name="Comma 2 2 2 2 6 5" xfId="7299"/>
    <cellStyle name="Comma 2 2 2 2 6 6" xfId="4840"/>
    <cellStyle name="Comma 2 2 2 2 7" xfId="158"/>
    <cellStyle name="Comma 2 2 2 2 7 2" xfId="159"/>
    <cellStyle name="Comma 2 2 2 2 7 2 2" xfId="160"/>
    <cellStyle name="Comma 2 2 2 2 7 2 2 2" xfId="7307"/>
    <cellStyle name="Comma 2 2 2 2 7 2 3" xfId="7306"/>
    <cellStyle name="Comma 2 2 2 2 7 2 4" xfId="4844"/>
    <cellStyle name="Comma 2 2 2 2 7 3" xfId="161"/>
    <cellStyle name="Comma 2 2 2 2 7 3 2" xfId="7308"/>
    <cellStyle name="Comma 2 2 2 2 7 4" xfId="7305"/>
    <cellStyle name="Comma 2 2 2 2 7 5" xfId="4843"/>
    <cellStyle name="Comma 2 2 2 2 8" xfId="162"/>
    <cellStyle name="Comma 2 2 2 2 8 2" xfId="163"/>
    <cellStyle name="Comma 2 2 2 2 8 2 2" xfId="7310"/>
    <cellStyle name="Comma 2 2 2 2 8 3" xfId="7309"/>
    <cellStyle name="Comma 2 2 2 2 8 4" xfId="4845"/>
    <cellStyle name="Comma 2 2 2 2 9" xfId="164"/>
    <cellStyle name="Comma 2 2 2 2 9 2" xfId="165"/>
    <cellStyle name="Comma 2 2 2 2 9 2 2" xfId="7312"/>
    <cellStyle name="Comma 2 2 2 2 9 3" xfId="7311"/>
    <cellStyle name="Comma 2 2 2 2 9 4" xfId="4846"/>
    <cellStyle name="Comma 2 2 2 3" xfId="166"/>
    <cellStyle name="Comma 2 2 2 3 2" xfId="167"/>
    <cellStyle name="Comma 2 2 2 3 2 2" xfId="168"/>
    <cellStyle name="Comma 2 2 2 3 2 2 2" xfId="169"/>
    <cellStyle name="Comma 2 2 2 3 2 2 2 2" xfId="7316"/>
    <cellStyle name="Comma 2 2 2 3 2 2 3" xfId="7315"/>
    <cellStyle name="Comma 2 2 2 3 2 2 4" xfId="4849"/>
    <cellStyle name="Comma 2 2 2 3 2 3" xfId="170"/>
    <cellStyle name="Comma 2 2 2 3 2 3 2" xfId="7317"/>
    <cellStyle name="Comma 2 2 2 3 2 4" xfId="7314"/>
    <cellStyle name="Comma 2 2 2 3 2 5" xfId="4848"/>
    <cellStyle name="Comma 2 2 2 3 3" xfId="171"/>
    <cellStyle name="Comma 2 2 2 3 3 2" xfId="172"/>
    <cellStyle name="Comma 2 2 2 3 3 2 2" xfId="7319"/>
    <cellStyle name="Comma 2 2 2 3 3 3" xfId="7318"/>
    <cellStyle name="Comma 2 2 2 3 3 4" xfId="4850"/>
    <cellStyle name="Comma 2 2 2 3 4" xfId="173"/>
    <cellStyle name="Comma 2 2 2 3 4 2" xfId="174"/>
    <cellStyle name="Comma 2 2 2 3 4 2 2" xfId="7321"/>
    <cellStyle name="Comma 2 2 2 3 4 3" xfId="7320"/>
    <cellStyle name="Comma 2 2 2 3 4 4" xfId="4851"/>
    <cellStyle name="Comma 2 2 2 3 5" xfId="175"/>
    <cellStyle name="Comma 2 2 2 3 5 2" xfId="7322"/>
    <cellStyle name="Comma 2 2 2 3 6" xfId="7313"/>
    <cellStyle name="Comma 2 2 2 3 7" xfId="4847"/>
    <cellStyle name="Comma 2 2 2 4" xfId="176"/>
    <cellStyle name="Comma 2 2 2 4 2" xfId="177"/>
    <cellStyle name="Comma 2 2 2 4 2 2" xfId="178"/>
    <cellStyle name="Comma 2 2 2 4 2 2 2" xfId="179"/>
    <cellStyle name="Comma 2 2 2 4 2 2 2 2" xfId="7326"/>
    <cellStyle name="Comma 2 2 2 4 2 2 3" xfId="7325"/>
    <cellStyle name="Comma 2 2 2 4 2 2 4" xfId="4854"/>
    <cellStyle name="Comma 2 2 2 4 2 3" xfId="180"/>
    <cellStyle name="Comma 2 2 2 4 2 3 2" xfId="7327"/>
    <cellStyle name="Comma 2 2 2 4 2 4" xfId="7324"/>
    <cellStyle name="Comma 2 2 2 4 2 5" xfId="4853"/>
    <cellStyle name="Comma 2 2 2 4 3" xfId="181"/>
    <cellStyle name="Comma 2 2 2 4 3 2" xfId="182"/>
    <cellStyle name="Comma 2 2 2 4 3 2 2" xfId="7329"/>
    <cellStyle name="Comma 2 2 2 4 3 3" xfId="7328"/>
    <cellStyle name="Comma 2 2 2 4 3 4" xfId="4855"/>
    <cellStyle name="Comma 2 2 2 4 4" xfId="183"/>
    <cellStyle name="Comma 2 2 2 4 4 2" xfId="184"/>
    <cellStyle name="Comma 2 2 2 4 4 2 2" xfId="7331"/>
    <cellStyle name="Comma 2 2 2 4 4 3" xfId="7330"/>
    <cellStyle name="Comma 2 2 2 4 4 4" xfId="4856"/>
    <cellStyle name="Comma 2 2 2 4 5" xfId="185"/>
    <cellStyle name="Comma 2 2 2 4 5 2" xfId="7332"/>
    <cellStyle name="Comma 2 2 2 4 6" xfId="7323"/>
    <cellStyle name="Comma 2 2 2 4 7" xfId="4852"/>
    <cellStyle name="Comma 2 2 2 5" xfId="186"/>
    <cellStyle name="Comma 2 2 2 5 2" xfId="187"/>
    <cellStyle name="Comma 2 2 2 5 2 2" xfId="188"/>
    <cellStyle name="Comma 2 2 2 5 2 2 2" xfId="189"/>
    <cellStyle name="Comma 2 2 2 5 2 2 2 2" xfId="7336"/>
    <cellStyle name="Comma 2 2 2 5 2 2 3" xfId="7335"/>
    <cellStyle name="Comma 2 2 2 5 2 2 4" xfId="4859"/>
    <cellStyle name="Comma 2 2 2 5 2 3" xfId="190"/>
    <cellStyle name="Comma 2 2 2 5 2 3 2" xfId="7337"/>
    <cellStyle name="Comma 2 2 2 5 2 4" xfId="7334"/>
    <cellStyle name="Comma 2 2 2 5 2 5" xfId="4858"/>
    <cellStyle name="Comma 2 2 2 5 3" xfId="191"/>
    <cellStyle name="Comma 2 2 2 5 3 2" xfId="192"/>
    <cellStyle name="Comma 2 2 2 5 3 2 2" xfId="7339"/>
    <cellStyle name="Comma 2 2 2 5 3 3" xfId="7338"/>
    <cellStyle name="Comma 2 2 2 5 3 4" xfId="4860"/>
    <cellStyle name="Comma 2 2 2 5 4" xfId="193"/>
    <cellStyle name="Comma 2 2 2 5 4 2" xfId="194"/>
    <cellStyle name="Comma 2 2 2 5 4 2 2" xfId="7341"/>
    <cellStyle name="Comma 2 2 2 5 4 3" xfId="7340"/>
    <cellStyle name="Comma 2 2 2 5 4 4" xfId="4861"/>
    <cellStyle name="Comma 2 2 2 5 5" xfId="195"/>
    <cellStyle name="Comma 2 2 2 5 5 2" xfId="7342"/>
    <cellStyle name="Comma 2 2 2 5 6" xfId="7333"/>
    <cellStyle name="Comma 2 2 2 5 7" xfId="4857"/>
    <cellStyle name="Comma 2 2 2 6" xfId="196"/>
    <cellStyle name="Comma 2 2 2 6 2" xfId="197"/>
    <cellStyle name="Comma 2 2 2 6 2 2" xfId="198"/>
    <cellStyle name="Comma 2 2 2 6 2 2 2" xfId="199"/>
    <cellStyle name="Comma 2 2 2 6 2 2 2 2" xfId="7346"/>
    <cellStyle name="Comma 2 2 2 6 2 2 3" xfId="7345"/>
    <cellStyle name="Comma 2 2 2 6 2 2 4" xfId="4864"/>
    <cellStyle name="Comma 2 2 2 6 2 3" xfId="200"/>
    <cellStyle name="Comma 2 2 2 6 2 3 2" xfId="7347"/>
    <cellStyle name="Comma 2 2 2 6 2 4" xfId="7344"/>
    <cellStyle name="Comma 2 2 2 6 2 5" xfId="4863"/>
    <cellStyle name="Comma 2 2 2 6 3" xfId="201"/>
    <cellStyle name="Comma 2 2 2 6 3 2" xfId="202"/>
    <cellStyle name="Comma 2 2 2 6 3 2 2" xfId="7349"/>
    <cellStyle name="Comma 2 2 2 6 3 3" xfId="7348"/>
    <cellStyle name="Comma 2 2 2 6 3 4" xfId="4865"/>
    <cellStyle name="Comma 2 2 2 6 4" xfId="203"/>
    <cellStyle name="Comma 2 2 2 6 4 2" xfId="204"/>
    <cellStyle name="Comma 2 2 2 6 4 2 2" xfId="7351"/>
    <cellStyle name="Comma 2 2 2 6 4 3" xfId="7350"/>
    <cellStyle name="Comma 2 2 2 6 4 4" xfId="4866"/>
    <cellStyle name="Comma 2 2 2 6 5" xfId="205"/>
    <cellStyle name="Comma 2 2 2 6 5 2" xfId="7352"/>
    <cellStyle name="Comma 2 2 2 6 6" xfId="7343"/>
    <cellStyle name="Comma 2 2 2 6 7" xfId="4862"/>
    <cellStyle name="Comma 2 2 2 7" xfId="206"/>
    <cellStyle name="Comma 2 2 2 7 2" xfId="207"/>
    <cellStyle name="Comma 2 2 2 7 2 2" xfId="208"/>
    <cellStyle name="Comma 2 2 2 7 2 2 2" xfId="7355"/>
    <cellStyle name="Comma 2 2 2 7 2 3" xfId="7354"/>
    <cellStyle name="Comma 2 2 2 7 2 4" xfId="4868"/>
    <cellStyle name="Comma 2 2 2 7 3" xfId="209"/>
    <cellStyle name="Comma 2 2 2 7 3 2" xfId="210"/>
    <cellStyle name="Comma 2 2 2 7 3 2 2" xfId="7357"/>
    <cellStyle name="Comma 2 2 2 7 3 3" xfId="7356"/>
    <cellStyle name="Comma 2 2 2 7 3 4" xfId="4869"/>
    <cellStyle name="Comma 2 2 2 7 4" xfId="211"/>
    <cellStyle name="Comma 2 2 2 7 4 2" xfId="7358"/>
    <cellStyle name="Comma 2 2 2 7 5" xfId="7353"/>
    <cellStyle name="Comma 2 2 2 7 6" xfId="4867"/>
    <cellStyle name="Comma 2 2 2 8" xfId="212"/>
    <cellStyle name="Comma 2 2 2 8 2" xfId="213"/>
    <cellStyle name="Comma 2 2 2 8 2 2" xfId="214"/>
    <cellStyle name="Comma 2 2 2 8 2 2 2" xfId="7361"/>
    <cellStyle name="Comma 2 2 2 8 2 3" xfId="7360"/>
    <cellStyle name="Comma 2 2 2 8 2 4" xfId="4871"/>
    <cellStyle name="Comma 2 2 2 8 3" xfId="215"/>
    <cellStyle name="Comma 2 2 2 8 3 2" xfId="7362"/>
    <cellStyle name="Comma 2 2 2 8 4" xfId="7359"/>
    <cellStyle name="Comma 2 2 2 8 5" xfId="4870"/>
    <cellStyle name="Comma 2 2 2 9" xfId="216"/>
    <cellStyle name="Comma 2 2 2 9 2" xfId="217"/>
    <cellStyle name="Comma 2 2 2 9 2 2" xfId="7364"/>
    <cellStyle name="Comma 2 2 2 9 3" xfId="7363"/>
    <cellStyle name="Comma 2 2 2 9 4" xfId="4872"/>
    <cellStyle name="Comma 2 2 20" xfId="12352"/>
    <cellStyle name="Comma 2 2 3" xfId="218"/>
    <cellStyle name="Comma 2 2 3 10" xfId="219"/>
    <cellStyle name="Comma 2 2 3 10 2" xfId="220"/>
    <cellStyle name="Comma 2 2 3 10 2 2" xfId="7367"/>
    <cellStyle name="Comma 2 2 3 10 3" xfId="7366"/>
    <cellStyle name="Comma 2 2 3 10 4" xfId="4874"/>
    <cellStyle name="Comma 2 2 3 11" xfId="221"/>
    <cellStyle name="Comma 2 2 3 11 2" xfId="7368"/>
    <cellStyle name="Comma 2 2 3 12" xfId="7365"/>
    <cellStyle name="Comma 2 2 3 13" xfId="4873"/>
    <cellStyle name="Comma 2 2 3 14" xfId="12347"/>
    <cellStyle name="Comma 2 2 3 15" xfId="12362"/>
    <cellStyle name="Comma 2 2 3 2" xfId="222"/>
    <cellStyle name="Comma 2 2 3 2 10" xfId="223"/>
    <cellStyle name="Comma 2 2 3 2 10 2" xfId="7370"/>
    <cellStyle name="Comma 2 2 3 2 11" xfId="7369"/>
    <cellStyle name="Comma 2 2 3 2 12" xfId="4875"/>
    <cellStyle name="Comma 2 2 3 2 2" xfId="224"/>
    <cellStyle name="Comma 2 2 3 2 2 2" xfId="225"/>
    <cellStyle name="Comma 2 2 3 2 2 2 2" xfId="226"/>
    <cellStyle name="Comma 2 2 3 2 2 2 2 2" xfId="227"/>
    <cellStyle name="Comma 2 2 3 2 2 2 2 2 2" xfId="7374"/>
    <cellStyle name="Comma 2 2 3 2 2 2 2 3" xfId="7373"/>
    <cellStyle name="Comma 2 2 3 2 2 2 2 4" xfId="4878"/>
    <cellStyle name="Comma 2 2 3 2 2 2 3" xfId="228"/>
    <cellStyle name="Comma 2 2 3 2 2 2 3 2" xfId="7375"/>
    <cellStyle name="Comma 2 2 3 2 2 2 4" xfId="7372"/>
    <cellStyle name="Comma 2 2 3 2 2 2 5" xfId="4877"/>
    <cellStyle name="Comma 2 2 3 2 2 3" xfId="229"/>
    <cellStyle name="Comma 2 2 3 2 2 3 2" xfId="230"/>
    <cellStyle name="Comma 2 2 3 2 2 3 2 2" xfId="7377"/>
    <cellStyle name="Comma 2 2 3 2 2 3 3" xfId="7376"/>
    <cellStyle name="Comma 2 2 3 2 2 3 4" xfId="4879"/>
    <cellStyle name="Comma 2 2 3 2 2 4" xfId="231"/>
    <cellStyle name="Comma 2 2 3 2 2 4 2" xfId="232"/>
    <cellStyle name="Comma 2 2 3 2 2 4 2 2" xfId="7379"/>
    <cellStyle name="Comma 2 2 3 2 2 4 3" xfId="7378"/>
    <cellStyle name="Comma 2 2 3 2 2 4 4" xfId="4880"/>
    <cellStyle name="Comma 2 2 3 2 2 5" xfId="233"/>
    <cellStyle name="Comma 2 2 3 2 2 5 2" xfId="7380"/>
    <cellStyle name="Comma 2 2 3 2 2 6" xfId="7371"/>
    <cellStyle name="Comma 2 2 3 2 2 7" xfId="4876"/>
    <cellStyle name="Comma 2 2 3 2 3" xfId="234"/>
    <cellStyle name="Comma 2 2 3 2 3 2" xfId="235"/>
    <cellStyle name="Comma 2 2 3 2 3 2 2" xfId="236"/>
    <cellStyle name="Comma 2 2 3 2 3 2 2 2" xfId="237"/>
    <cellStyle name="Comma 2 2 3 2 3 2 2 2 2" xfId="7384"/>
    <cellStyle name="Comma 2 2 3 2 3 2 2 3" xfId="7383"/>
    <cellStyle name="Comma 2 2 3 2 3 2 2 4" xfId="4883"/>
    <cellStyle name="Comma 2 2 3 2 3 2 3" xfId="238"/>
    <cellStyle name="Comma 2 2 3 2 3 2 3 2" xfId="7385"/>
    <cellStyle name="Comma 2 2 3 2 3 2 4" xfId="7382"/>
    <cellStyle name="Comma 2 2 3 2 3 2 5" xfId="4882"/>
    <cellStyle name="Comma 2 2 3 2 3 3" xfId="239"/>
    <cellStyle name="Comma 2 2 3 2 3 3 2" xfId="240"/>
    <cellStyle name="Comma 2 2 3 2 3 3 2 2" xfId="7387"/>
    <cellStyle name="Comma 2 2 3 2 3 3 3" xfId="7386"/>
    <cellStyle name="Comma 2 2 3 2 3 3 4" xfId="4884"/>
    <cellStyle name="Comma 2 2 3 2 3 4" xfId="241"/>
    <cellStyle name="Comma 2 2 3 2 3 4 2" xfId="242"/>
    <cellStyle name="Comma 2 2 3 2 3 4 2 2" xfId="7389"/>
    <cellStyle name="Comma 2 2 3 2 3 4 3" xfId="7388"/>
    <cellStyle name="Comma 2 2 3 2 3 4 4" xfId="4885"/>
    <cellStyle name="Comma 2 2 3 2 3 5" xfId="243"/>
    <cellStyle name="Comma 2 2 3 2 3 5 2" xfId="7390"/>
    <cellStyle name="Comma 2 2 3 2 3 6" xfId="7381"/>
    <cellStyle name="Comma 2 2 3 2 3 7" xfId="4881"/>
    <cellStyle name="Comma 2 2 3 2 4" xfId="244"/>
    <cellStyle name="Comma 2 2 3 2 4 2" xfId="245"/>
    <cellStyle name="Comma 2 2 3 2 4 2 2" xfId="246"/>
    <cellStyle name="Comma 2 2 3 2 4 2 2 2" xfId="247"/>
    <cellStyle name="Comma 2 2 3 2 4 2 2 2 2" xfId="7394"/>
    <cellStyle name="Comma 2 2 3 2 4 2 2 3" xfId="7393"/>
    <cellStyle name="Comma 2 2 3 2 4 2 2 4" xfId="4888"/>
    <cellStyle name="Comma 2 2 3 2 4 2 3" xfId="248"/>
    <cellStyle name="Comma 2 2 3 2 4 2 3 2" xfId="7395"/>
    <cellStyle name="Comma 2 2 3 2 4 2 4" xfId="7392"/>
    <cellStyle name="Comma 2 2 3 2 4 2 5" xfId="4887"/>
    <cellStyle name="Comma 2 2 3 2 4 3" xfId="249"/>
    <cellStyle name="Comma 2 2 3 2 4 3 2" xfId="250"/>
    <cellStyle name="Comma 2 2 3 2 4 3 2 2" xfId="7397"/>
    <cellStyle name="Comma 2 2 3 2 4 3 3" xfId="7396"/>
    <cellStyle name="Comma 2 2 3 2 4 3 4" xfId="4889"/>
    <cellStyle name="Comma 2 2 3 2 4 4" xfId="251"/>
    <cellStyle name="Comma 2 2 3 2 4 4 2" xfId="252"/>
    <cellStyle name="Comma 2 2 3 2 4 4 2 2" xfId="7399"/>
    <cellStyle name="Comma 2 2 3 2 4 4 3" xfId="7398"/>
    <cellStyle name="Comma 2 2 3 2 4 4 4" xfId="4890"/>
    <cellStyle name="Comma 2 2 3 2 4 5" xfId="253"/>
    <cellStyle name="Comma 2 2 3 2 4 5 2" xfId="7400"/>
    <cellStyle name="Comma 2 2 3 2 4 6" xfId="7391"/>
    <cellStyle name="Comma 2 2 3 2 4 7" xfId="4886"/>
    <cellStyle name="Comma 2 2 3 2 5" xfId="254"/>
    <cellStyle name="Comma 2 2 3 2 5 2" xfId="255"/>
    <cellStyle name="Comma 2 2 3 2 5 2 2" xfId="256"/>
    <cellStyle name="Comma 2 2 3 2 5 2 2 2" xfId="257"/>
    <cellStyle name="Comma 2 2 3 2 5 2 2 2 2" xfId="7404"/>
    <cellStyle name="Comma 2 2 3 2 5 2 2 3" xfId="7403"/>
    <cellStyle name="Comma 2 2 3 2 5 2 2 4" xfId="4893"/>
    <cellStyle name="Comma 2 2 3 2 5 2 3" xfId="258"/>
    <cellStyle name="Comma 2 2 3 2 5 2 3 2" xfId="7405"/>
    <cellStyle name="Comma 2 2 3 2 5 2 4" xfId="7402"/>
    <cellStyle name="Comma 2 2 3 2 5 2 5" xfId="4892"/>
    <cellStyle name="Comma 2 2 3 2 5 3" xfId="259"/>
    <cellStyle name="Comma 2 2 3 2 5 3 2" xfId="260"/>
    <cellStyle name="Comma 2 2 3 2 5 3 2 2" xfId="7407"/>
    <cellStyle name="Comma 2 2 3 2 5 3 3" xfId="7406"/>
    <cellStyle name="Comma 2 2 3 2 5 3 4" xfId="4894"/>
    <cellStyle name="Comma 2 2 3 2 5 4" xfId="261"/>
    <cellStyle name="Comma 2 2 3 2 5 4 2" xfId="262"/>
    <cellStyle name="Comma 2 2 3 2 5 4 2 2" xfId="7409"/>
    <cellStyle name="Comma 2 2 3 2 5 4 3" xfId="7408"/>
    <cellStyle name="Comma 2 2 3 2 5 4 4" xfId="4895"/>
    <cellStyle name="Comma 2 2 3 2 5 5" xfId="263"/>
    <cellStyle name="Comma 2 2 3 2 5 5 2" xfId="7410"/>
    <cellStyle name="Comma 2 2 3 2 5 6" xfId="7401"/>
    <cellStyle name="Comma 2 2 3 2 5 7" xfId="4891"/>
    <cellStyle name="Comma 2 2 3 2 6" xfId="264"/>
    <cellStyle name="Comma 2 2 3 2 6 2" xfId="265"/>
    <cellStyle name="Comma 2 2 3 2 6 2 2" xfId="266"/>
    <cellStyle name="Comma 2 2 3 2 6 2 2 2" xfId="7413"/>
    <cellStyle name="Comma 2 2 3 2 6 2 3" xfId="7412"/>
    <cellStyle name="Comma 2 2 3 2 6 2 4" xfId="4897"/>
    <cellStyle name="Comma 2 2 3 2 6 3" xfId="267"/>
    <cellStyle name="Comma 2 2 3 2 6 3 2" xfId="268"/>
    <cellStyle name="Comma 2 2 3 2 6 3 2 2" xfId="7415"/>
    <cellStyle name="Comma 2 2 3 2 6 3 3" xfId="7414"/>
    <cellStyle name="Comma 2 2 3 2 6 3 4" xfId="4898"/>
    <cellStyle name="Comma 2 2 3 2 6 4" xfId="269"/>
    <cellStyle name="Comma 2 2 3 2 6 4 2" xfId="7416"/>
    <cellStyle name="Comma 2 2 3 2 6 5" xfId="7411"/>
    <cellStyle name="Comma 2 2 3 2 6 6" xfId="4896"/>
    <cellStyle name="Comma 2 2 3 2 7" xfId="270"/>
    <cellStyle name="Comma 2 2 3 2 7 2" xfId="271"/>
    <cellStyle name="Comma 2 2 3 2 7 2 2" xfId="272"/>
    <cellStyle name="Comma 2 2 3 2 7 2 2 2" xfId="7419"/>
    <cellStyle name="Comma 2 2 3 2 7 2 3" xfId="7418"/>
    <cellStyle name="Comma 2 2 3 2 7 2 4" xfId="4900"/>
    <cellStyle name="Comma 2 2 3 2 7 3" xfId="273"/>
    <cellStyle name="Comma 2 2 3 2 7 3 2" xfId="7420"/>
    <cellStyle name="Comma 2 2 3 2 7 4" xfId="7417"/>
    <cellStyle name="Comma 2 2 3 2 7 5" xfId="4899"/>
    <cellStyle name="Comma 2 2 3 2 8" xfId="274"/>
    <cellStyle name="Comma 2 2 3 2 8 2" xfId="275"/>
    <cellStyle name="Comma 2 2 3 2 8 2 2" xfId="7422"/>
    <cellStyle name="Comma 2 2 3 2 8 3" xfId="7421"/>
    <cellStyle name="Comma 2 2 3 2 8 4" xfId="4901"/>
    <cellStyle name="Comma 2 2 3 2 9" xfId="276"/>
    <cellStyle name="Comma 2 2 3 2 9 2" xfId="277"/>
    <cellStyle name="Comma 2 2 3 2 9 2 2" xfId="7424"/>
    <cellStyle name="Comma 2 2 3 2 9 3" xfId="7423"/>
    <cellStyle name="Comma 2 2 3 2 9 4" xfId="4902"/>
    <cellStyle name="Comma 2 2 3 3" xfId="278"/>
    <cellStyle name="Comma 2 2 3 3 2" xfId="279"/>
    <cellStyle name="Comma 2 2 3 3 2 2" xfId="280"/>
    <cellStyle name="Comma 2 2 3 3 2 2 2" xfId="281"/>
    <cellStyle name="Comma 2 2 3 3 2 2 2 2" xfId="7428"/>
    <cellStyle name="Comma 2 2 3 3 2 2 3" xfId="7427"/>
    <cellStyle name="Comma 2 2 3 3 2 2 4" xfId="4905"/>
    <cellStyle name="Comma 2 2 3 3 2 3" xfId="282"/>
    <cellStyle name="Comma 2 2 3 3 2 3 2" xfId="7429"/>
    <cellStyle name="Comma 2 2 3 3 2 4" xfId="7426"/>
    <cellStyle name="Comma 2 2 3 3 2 5" xfId="4904"/>
    <cellStyle name="Comma 2 2 3 3 3" xfId="283"/>
    <cellStyle name="Comma 2 2 3 3 3 2" xfId="284"/>
    <cellStyle name="Comma 2 2 3 3 3 2 2" xfId="7431"/>
    <cellStyle name="Comma 2 2 3 3 3 3" xfId="7430"/>
    <cellStyle name="Comma 2 2 3 3 3 4" xfId="4906"/>
    <cellStyle name="Comma 2 2 3 3 4" xfId="285"/>
    <cellStyle name="Comma 2 2 3 3 4 2" xfId="286"/>
    <cellStyle name="Comma 2 2 3 3 4 2 2" xfId="7433"/>
    <cellStyle name="Comma 2 2 3 3 4 3" xfId="7432"/>
    <cellStyle name="Comma 2 2 3 3 4 4" xfId="4907"/>
    <cellStyle name="Comma 2 2 3 3 5" xfId="287"/>
    <cellStyle name="Comma 2 2 3 3 5 2" xfId="7434"/>
    <cellStyle name="Comma 2 2 3 3 6" xfId="7425"/>
    <cellStyle name="Comma 2 2 3 3 7" xfId="4903"/>
    <cellStyle name="Comma 2 2 3 4" xfId="288"/>
    <cellStyle name="Comma 2 2 3 4 2" xfId="289"/>
    <cellStyle name="Comma 2 2 3 4 2 2" xfId="290"/>
    <cellStyle name="Comma 2 2 3 4 2 2 2" xfId="291"/>
    <cellStyle name="Comma 2 2 3 4 2 2 2 2" xfId="7438"/>
    <cellStyle name="Comma 2 2 3 4 2 2 3" xfId="7437"/>
    <cellStyle name="Comma 2 2 3 4 2 2 4" xfId="4910"/>
    <cellStyle name="Comma 2 2 3 4 2 3" xfId="292"/>
    <cellStyle name="Comma 2 2 3 4 2 3 2" xfId="7439"/>
    <cellStyle name="Comma 2 2 3 4 2 4" xfId="7436"/>
    <cellStyle name="Comma 2 2 3 4 2 5" xfId="4909"/>
    <cellStyle name="Comma 2 2 3 4 3" xfId="293"/>
    <cellStyle name="Comma 2 2 3 4 3 2" xfId="294"/>
    <cellStyle name="Comma 2 2 3 4 3 2 2" xfId="7441"/>
    <cellStyle name="Comma 2 2 3 4 3 3" xfId="7440"/>
    <cellStyle name="Comma 2 2 3 4 3 4" xfId="4911"/>
    <cellStyle name="Comma 2 2 3 4 4" xfId="295"/>
    <cellStyle name="Comma 2 2 3 4 4 2" xfId="296"/>
    <cellStyle name="Comma 2 2 3 4 4 2 2" xfId="7443"/>
    <cellStyle name="Comma 2 2 3 4 4 3" xfId="7442"/>
    <cellStyle name="Comma 2 2 3 4 4 4" xfId="4912"/>
    <cellStyle name="Comma 2 2 3 4 5" xfId="297"/>
    <cellStyle name="Comma 2 2 3 4 5 2" xfId="7444"/>
    <cellStyle name="Comma 2 2 3 4 6" xfId="7435"/>
    <cellStyle name="Comma 2 2 3 4 7" xfId="4908"/>
    <cellStyle name="Comma 2 2 3 5" xfId="298"/>
    <cellStyle name="Comma 2 2 3 5 2" xfId="299"/>
    <cellStyle name="Comma 2 2 3 5 2 2" xfId="300"/>
    <cellStyle name="Comma 2 2 3 5 2 2 2" xfId="301"/>
    <cellStyle name="Comma 2 2 3 5 2 2 2 2" xfId="7448"/>
    <cellStyle name="Comma 2 2 3 5 2 2 3" xfId="7447"/>
    <cellStyle name="Comma 2 2 3 5 2 2 4" xfId="4915"/>
    <cellStyle name="Comma 2 2 3 5 2 3" xfId="302"/>
    <cellStyle name="Comma 2 2 3 5 2 3 2" xfId="7449"/>
    <cellStyle name="Comma 2 2 3 5 2 4" xfId="7446"/>
    <cellStyle name="Comma 2 2 3 5 2 5" xfId="4914"/>
    <cellStyle name="Comma 2 2 3 5 3" xfId="303"/>
    <cellStyle name="Comma 2 2 3 5 3 2" xfId="304"/>
    <cellStyle name="Comma 2 2 3 5 3 2 2" xfId="7451"/>
    <cellStyle name="Comma 2 2 3 5 3 3" xfId="7450"/>
    <cellStyle name="Comma 2 2 3 5 3 4" xfId="4916"/>
    <cellStyle name="Comma 2 2 3 5 4" xfId="305"/>
    <cellStyle name="Comma 2 2 3 5 4 2" xfId="306"/>
    <cellStyle name="Comma 2 2 3 5 4 2 2" xfId="7453"/>
    <cellStyle name="Comma 2 2 3 5 4 3" xfId="7452"/>
    <cellStyle name="Comma 2 2 3 5 4 4" xfId="4917"/>
    <cellStyle name="Comma 2 2 3 5 5" xfId="307"/>
    <cellStyle name="Comma 2 2 3 5 5 2" xfId="7454"/>
    <cellStyle name="Comma 2 2 3 5 6" xfId="7445"/>
    <cellStyle name="Comma 2 2 3 5 7" xfId="4913"/>
    <cellStyle name="Comma 2 2 3 6" xfId="308"/>
    <cellStyle name="Comma 2 2 3 6 2" xfId="309"/>
    <cellStyle name="Comma 2 2 3 6 2 2" xfId="310"/>
    <cellStyle name="Comma 2 2 3 6 2 2 2" xfId="311"/>
    <cellStyle name="Comma 2 2 3 6 2 2 2 2" xfId="7458"/>
    <cellStyle name="Comma 2 2 3 6 2 2 3" xfId="7457"/>
    <cellStyle name="Comma 2 2 3 6 2 2 4" xfId="4920"/>
    <cellStyle name="Comma 2 2 3 6 2 3" xfId="312"/>
    <cellStyle name="Comma 2 2 3 6 2 3 2" xfId="7459"/>
    <cellStyle name="Comma 2 2 3 6 2 4" xfId="7456"/>
    <cellStyle name="Comma 2 2 3 6 2 5" xfId="4919"/>
    <cellStyle name="Comma 2 2 3 6 3" xfId="313"/>
    <cellStyle name="Comma 2 2 3 6 3 2" xfId="314"/>
    <cellStyle name="Comma 2 2 3 6 3 2 2" xfId="7461"/>
    <cellStyle name="Comma 2 2 3 6 3 3" xfId="7460"/>
    <cellStyle name="Comma 2 2 3 6 3 4" xfId="4921"/>
    <cellStyle name="Comma 2 2 3 6 4" xfId="315"/>
    <cellStyle name="Comma 2 2 3 6 4 2" xfId="316"/>
    <cellStyle name="Comma 2 2 3 6 4 2 2" xfId="7463"/>
    <cellStyle name="Comma 2 2 3 6 4 3" xfId="7462"/>
    <cellStyle name="Comma 2 2 3 6 4 4" xfId="4922"/>
    <cellStyle name="Comma 2 2 3 6 5" xfId="317"/>
    <cellStyle name="Comma 2 2 3 6 5 2" xfId="7464"/>
    <cellStyle name="Comma 2 2 3 6 6" xfId="7455"/>
    <cellStyle name="Comma 2 2 3 6 7" xfId="4918"/>
    <cellStyle name="Comma 2 2 3 7" xfId="318"/>
    <cellStyle name="Comma 2 2 3 7 2" xfId="319"/>
    <cellStyle name="Comma 2 2 3 7 2 2" xfId="320"/>
    <cellStyle name="Comma 2 2 3 7 2 2 2" xfId="7467"/>
    <cellStyle name="Comma 2 2 3 7 2 3" xfId="7466"/>
    <cellStyle name="Comma 2 2 3 7 2 4" xfId="4924"/>
    <cellStyle name="Comma 2 2 3 7 3" xfId="321"/>
    <cellStyle name="Comma 2 2 3 7 3 2" xfId="322"/>
    <cellStyle name="Comma 2 2 3 7 3 2 2" xfId="7469"/>
    <cellStyle name="Comma 2 2 3 7 3 3" xfId="7468"/>
    <cellStyle name="Comma 2 2 3 7 3 4" xfId="4925"/>
    <cellStyle name="Comma 2 2 3 7 4" xfId="323"/>
    <cellStyle name="Comma 2 2 3 7 4 2" xfId="7470"/>
    <cellStyle name="Comma 2 2 3 7 5" xfId="7465"/>
    <cellStyle name="Comma 2 2 3 7 6" xfId="4923"/>
    <cellStyle name="Comma 2 2 3 8" xfId="324"/>
    <cellStyle name="Comma 2 2 3 8 2" xfId="325"/>
    <cellStyle name="Comma 2 2 3 8 2 2" xfId="326"/>
    <cellStyle name="Comma 2 2 3 8 2 2 2" xfId="7473"/>
    <cellStyle name="Comma 2 2 3 8 2 3" xfId="7472"/>
    <cellStyle name="Comma 2 2 3 8 2 4" xfId="4927"/>
    <cellStyle name="Comma 2 2 3 8 3" xfId="327"/>
    <cellStyle name="Comma 2 2 3 8 3 2" xfId="7474"/>
    <cellStyle name="Comma 2 2 3 8 4" xfId="7471"/>
    <cellStyle name="Comma 2 2 3 8 5" xfId="4926"/>
    <cellStyle name="Comma 2 2 3 9" xfId="328"/>
    <cellStyle name="Comma 2 2 3 9 2" xfId="329"/>
    <cellStyle name="Comma 2 2 3 9 2 2" xfId="7476"/>
    <cellStyle name="Comma 2 2 3 9 3" xfId="7475"/>
    <cellStyle name="Comma 2 2 3 9 4" xfId="4928"/>
    <cellStyle name="Comma 2 2 4" xfId="330"/>
    <cellStyle name="Comma 2 2 4 10" xfId="331"/>
    <cellStyle name="Comma 2 2 4 10 2" xfId="332"/>
    <cellStyle name="Comma 2 2 4 10 2 2" xfId="7479"/>
    <cellStyle name="Comma 2 2 4 10 3" xfId="7478"/>
    <cellStyle name="Comma 2 2 4 10 4" xfId="4930"/>
    <cellStyle name="Comma 2 2 4 11" xfId="333"/>
    <cellStyle name="Comma 2 2 4 11 2" xfId="7480"/>
    <cellStyle name="Comma 2 2 4 12" xfId="7477"/>
    <cellStyle name="Comma 2 2 4 13" xfId="4929"/>
    <cellStyle name="Comma 2 2 4 2" xfId="334"/>
    <cellStyle name="Comma 2 2 4 2 10" xfId="335"/>
    <cellStyle name="Comma 2 2 4 2 10 2" xfId="7482"/>
    <cellStyle name="Comma 2 2 4 2 11" xfId="7481"/>
    <cellStyle name="Comma 2 2 4 2 12" xfId="4931"/>
    <cellStyle name="Comma 2 2 4 2 2" xfId="336"/>
    <cellStyle name="Comma 2 2 4 2 2 2" xfId="337"/>
    <cellStyle name="Comma 2 2 4 2 2 2 2" xfId="338"/>
    <cellStyle name="Comma 2 2 4 2 2 2 2 2" xfId="339"/>
    <cellStyle name="Comma 2 2 4 2 2 2 2 2 2" xfId="7486"/>
    <cellStyle name="Comma 2 2 4 2 2 2 2 3" xfId="7485"/>
    <cellStyle name="Comma 2 2 4 2 2 2 2 4" xfId="4934"/>
    <cellStyle name="Comma 2 2 4 2 2 2 3" xfId="340"/>
    <cellStyle name="Comma 2 2 4 2 2 2 3 2" xfId="7487"/>
    <cellStyle name="Comma 2 2 4 2 2 2 4" xfId="7484"/>
    <cellStyle name="Comma 2 2 4 2 2 2 5" xfId="4933"/>
    <cellStyle name="Comma 2 2 4 2 2 3" xfId="341"/>
    <cellStyle name="Comma 2 2 4 2 2 3 2" xfId="342"/>
    <cellStyle name="Comma 2 2 4 2 2 3 2 2" xfId="7489"/>
    <cellStyle name="Comma 2 2 4 2 2 3 3" xfId="7488"/>
    <cellStyle name="Comma 2 2 4 2 2 3 4" xfId="4935"/>
    <cellStyle name="Comma 2 2 4 2 2 4" xfId="343"/>
    <cellStyle name="Comma 2 2 4 2 2 4 2" xfId="344"/>
    <cellStyle name="Comma 2 2 4 2 2 4 2 2" xfId="7491"/>
    <cellStyle name="Comma 2 2 4 2 2 4 3" xfId="7490"/>
    <cellStyle name="Comma 2 2 4 2 2 4 4" xfId="4936"/>
    <cellStyle name="Comma 2 2 4 2 2 5" xfId="345"/>
    <cellStyle name="Comma 2 2 4 2 2 5 2" xfId="7492"/>
    <cellStyle name="Comma 2 2 4 2 2 6" xfId="7483"/>
    <cellStyle name="Comma 2 2 4 2 2 7" xfId="4932"/>
    <cellStyle name="Comma 2 2 4 2 3" xfId="346"/>
    <cellStyle name="Comma 2 2 4 2 3 2" xfId="347"/>
    <cellStyle name="Comma 2 2 4 2 3 2 2" xfId="348"/>
    <cellStyle name="Comma 2 2 4 2 3 2 2 2" xfId="349"/>
    <cellStyle name="Comma 2 2 4 2 3 2 2 2 2" xfId="7496"/>
    <cellStyle name="Comma 2 2 4 2 3 2 2 3" xfId="7495"/>
    <cellStyle name="Comma 2 2 4 2 3 2 2 4" xfId="4939"/>
    <cellStyle name="Comma 2 2 4 2 3 2 3" xfId="350"/>
    <cellStyle name="Comma 2 2 4 2 3 2 3 2" xfId="7497"/>
    <cellStyle name="Comma 2 2 4 2 3 2 4" xfId="7494"/>
    <cellStyle name="Comma 2 2 4 2 3 2 5" xfId="4938"/>
    <cellStyle name="Comma 2 2 4 2 3 3" xfId="351"/>
    <cellStyle name="Comma 2 2 4 2 3 3 2" xfId="352"/>
    <cellStyle name="Comma 2 2 4 2 3 3 2 2" xfId="7499"/>
    <cellStyle name="Comma 2 2 4 2 3 3 3" xfId="7498"/>
    <cellStyle name="Comma 2 2 4 2 3 3 4" xfId="4940"/>
    <cellStyle name="Comma 2 2 4 2 3 4" xfId="353"/>
    <cellStyle name="Comma 2 2 4 2 3 4 2" xfId="354"/>
    <cellStyle name="Comma 2 2 4 2 3 4 2 2" xfId="7501"/>
    <cellStyle name="Comma 2 2 4 2 3 4 3" xfId="7500"/>
    <cellStyle name="Comma 2 2 4 2 3 4 4" xfId="4941"/>
    <cellStyle name="Comma 2 2 4 2 3 5" xfId="355"/>
    <cellStyle name="Comma 2 2 4 2 3 5 2" xfId="7502"/>
    <cellStyle name="Comma 2 2 4 2 3 6" xfId="7493"/>
    <cellStyle name="Comma 2 2 4 2 3 7" xfId="4937"/>
    <cellStyle name="Comma 2 2 4 2 4" xfId="356"/>
    <cellStyle name="Comma 2 2 4 2 4 2" xfId="357"/>
    <cellStyle name="Comma 2 2 4 2 4 2 2" xfId="358"/>
    <cellStyle name="Comma 2 2 4 2 4 2 2 2" xfId="359"/>
    <cellStyle name="Comma 2 2 4 2 4 2 2 2 2" xfId="7506"/>
    <cellStyle name="Comma 2 2 4 2 4 2 2 3" xfId="7505"/>
    <cellStyle name="Comma 2 2 4 2 4 2 2 4" xfId="4944"/>
    <cellStyle name="Comma 2 2 4 2 4 2 3" xfId="360"/>
    <cellStyle name="Comma 2 2 4 2 4 2 3 2" xfId="7507"/>
    <cellStyle name="Comma 2 2 4 2 4 2 4" xfId="7504"/>
    <cellStyle name="Comma 2 2 4 2 4 2 5" xfId="4943"/>
    <cellStyle name="Comma 2 2 4 2 4 3" xfId="361"/>
    <cellStyle name="Comma 2 2 4 2 4 3 2" xfId="362"/>
    <cellStyle name="Comma 2 2 4 2 4 3 2 2" xfId="7509"/>
    <cellStyle name="Comma 2 2 4 2 4 3 3" xfId="7508"/>
    <cellStyle name="Comma 2 2 4 2 4 3 4" xfId="4945"/>
    <cellStyle name="Comma 2 2 4 2 4 4" xfId="363"/>
    <cellStyle name="Comma 2 2 4 2 4 4 2" xfId="364"/>
    <cellStyle name="Comma 2 2 4 2 4 4 2 2" xfId="7511"/>
    <cellStyle name="Comma 2 2 4 2 4 4 3" xfId="7510"/>
    <cellStyle name="Comma 2 2 4 2 4 4 4" xfId="4946"/>
    <cellStyle name="Comma 2 2 4 2 4 5" xfId="365"/>
    <cellStyle name="Comma 2 2 4 2 4 5 2" xfId="7512"/>
    <cellStyle name="Comma 2 2 4 2 4 6" xfId="7503"/>
    <cellStyle name="Comma 2 2 4 2 4 7" xfId="4942"/>
    <cellStyle name="Comma 2 2 4 2 5" xfId="366"/>
    <cellStyle name="Comma 2 2 4 2 5 2" xfId="367"/>
    <cellStyle name="Comma 2 2 4 2 5 2 2" xfId="368"/>
    <cellStyle name="Comma 2 2 4 2 5 2 2 2" xfId="369"/>
    <cellStyle name="Comma 2 2 4 2 5 2 2 2 2" xfId="7516"/>
    <cellStyle name="Comma 2 2 4 2 5 2 2 3" xfId="7515"/>
    <cellStyle name="Comma 2 2 4 2 5 2 2 4" xfId="4949"/>
    <cellStyle name="Comma 2 2 4 2 5 2 3" xfId="370"/>
    <cellStyle name="Comma 2 2 4 2 5 2 3 2" xfId="7517"/>
    <cellStyle name="Comma 2 2 4 2 5 2 4" xfId="7514"/>
    <cellStyle name="Comma 2 2 4 2 5 2 5" xfId="4948"/>
    <cellStyle name="Comma 2 2 4 2 5 3" xfId="371"/>
    <cellStyle name="Comma 2 2 4 2 5 3 2" xfId="372"/>
    <cellStyle name="Comma 2 2 4 2 5 3 2 2" xfId="7519"/>
    <cellStyle name="Comma 2 2 4 2 5 3 3" xfId="7518"/>
    <cellStyle name="Comma 2 2 4 2 5 3 4" xfId="4950"/>
    <cellStyle name="Comma 2 2 4 2 5 4" xfId="373"/>
    <cellStyle name="Comma 2 2 4 2 5 4 2" xfId="374"/>
    <cellStyle name="Comma 2 2 4 2 5 4 2 2" xfId="7521"/>
    <cellStyle name="Comma 2 2 4 2 5 4 3" xfId="7520"/>
    <cellStyle name="Comma 2 2 4 2 5 4 4" xfId="4951"/>
    <cellStyle name="Comma 2 2 4 2 5 5" xfId="375"/>
    <cellStyle name="Comma 2 2 4 2 5 5 2" xfId="7522"/>
    <cellStyle name="Comma 2 2 4 2 5 6" xfId="7513"/>
    <cellStyle name="Comma 2 2 4 2 5 7" xfId="4947"/>
    <cellStyle name="Comma 2 2 4 2 6" xfId="376"/>
    <cellStyle name="Comma 2 2 4 2 6 2" xfId="377"/>
    <cellStyle name="Comma 2 2 4 2 6 2 2" xfId="378"/>
    <cellStyle name="Comma 2 2 4 2 6 2 2 2" xfId="7525"/>
    <cellStyle name="Comma 2 2 4 2 6 2 3" xfId="7524"/>
    <cellStyle name="Comma 2 2 4 2 6 2 4" xfId="4953"/>
    <cellStyle name="Comma 2 2 4 2 6 3" xfId="379"/>
    <cellStyle name="Comma 2 2 4 2 6 3 2" xfId="380"/>
    <cellStyle name="Comma 2 2 4 2 6 3 2 2" xfId="7527"/>
    <cellStyle name="Comma 2 2 4 2 6 3 3" xfId="7526"/>
    <cellStyle name="Comma 2 2 4 2 6 3 4" xfId="4954"/>
    <cellStyle name="Comma 2 2 4 2 6 4" xfId="381"/>
    <cellStyle name="Comma 2 2 4 2 6 4 2" xfId="7528"/>
    <cellStyle name="Comma 2 2 4 2 6 5" xfId="7523"/>
    <cellStyle name="Comma 2 2 4 2 6 6" xfId="4952"/>
    <cellStyle name="Comma 2 2 4 2 7" xfId="382"/>
    <cellStyle name="Comma 2 2 4 2 7 2" xfId="383"/>
    <cellStyle name="Comma 2 2 4 2 7 2 2" xfId="384"/>
    <cellStyle name="Comma 2 2 4 2 7 2 2 2" xfId="7531"/>
    <cellStyle name="Comma 2 2 4 2 7 2 3" xfId="7530"/>
    <cellStyle name="Comma 2 2 4 2 7 2 4" xfId="4956"/>
    <cellStyle name="Comma 2 2 4 2 7 3" xfId="385"/>
    <cellStyle name="Comma 2 2 4 2 7 3 2" xfId="7532"/>
    <cellStyle name="Comma 2 2 4 2 7 4" xfId="7529"/>
    <cellStyle name="Comma 2 2 4 2 7 5" xfId="4955"/>
    <cellStyle name="Comma 2 2 4 2 8" xfId="386"/>
    <cellStyle name="Comma 2 2 4 2 8 2" xfId="387"/>
    <cellStyle name="Comma 2 2 4 2 8 2 2" xfId="7534"/>
    <cellStyle name="Comma 2 2 4 2 8 3" xfId="7533"/>
    <cellStyle name="Comma 2 2 4 2 8 4" xfId="4957"/>
    <cellStyle name="Comma 2 2 4 2 9" xfId="388"/>
    <cellStyle name="Comma 2 2 4 2 9 2" xfId="389"/>
    <cellStyle name="Comma 2 2 4 2 9 2 2" xfId="7536"/>
    <cellStyle name="Comma 2 2 4 2 9 3" xfId="7535"/>
    <cellStyle name="Comma 2 2 4 2 9 4" xfId="4958"/>
    <cellStyle name="Comma 2 2 4 3" xfId="390"/>
    <cellStyle name="Comma 2 2 4 3 2" xfId="391"/>
    <cellStyle name="Comma 2 2 4 3 2 2" xfId="392"/>
    <cellStyle name="Comma 2 2 4 3 2 2 2" xfId="393"/>
    <cellStyle name="Comma 2 2 4 3 2 2 2 2" xfId="7540"/>
    <cellStyle name="Comma 2 2 4 3 2 2 3" xfId="7539"/>
    <cellStyle name="Comma 2 2 4 3 2 2 4" xfId="4961"/>
    <cellStyle name="Comma 2 2 4 3 2 3" xfId="394"/>
    <cellStyle name="Comma 2 2 4 3 2 3 2" xfId="7541"/>
    <cellStyle name="Comma 2 2 4 3 2 4" xfId="7538"/>
    <cellStyle name="Comma 2 2 4 3 2 5" xfId="4960"/>
    <cellStyle name="Comma 2 2 4 3 3" xfId="395"/>
    <cellStyle name="Comma 2 2 4 3 3 2" xfId="396"/>
    <cellStyle name="Comma 2 2 4 3 3 2 2" xfId="7543"/>
    <cellStyle name="Comma 2 2 4 3 3 3" xfId="7542"/>
    <cellStyle name="Comma 2 2 4 3 3 4" xfId="4962"/>
    <cellStyle name="Comma 2 2 4 3 4" xfId="397"/>
    <cellStyle name="Comma 2 2 4 3 4 2" xfId="398"/>
    <cellStyle name="Comma 2 2 4 3 4 2 2" xfId="7545"/>
    <cellStyle name="Comma 2 2 4 3 4 3" xfId="7544"/>
    <cellStyle name="Comma 2 2 4 3 4 4" xfId="4963"/>
    <cellStyle name="Comma 2 2 4 3 5" xfId="399"/>
    <cellStyle name="Comma 2 2 4 3 5 2" xfId="7546"/>
    <cellStyle name="Comma 2 2 4 3 6" xfId="7537"/>
    <cellStyle name="Comma 2 2 4 3 7" xfId="4959"/>
    <cellStyle name="Comma 2 2 4 4" xfId="400"/>
    <cellStyle name="Comma 2 2 4 4 2" xfId="401"/>
    <cellStyle name="Comma 2 2 4 4 2 2" xfId="402"/>
    <cellStyle name="Comma 2 2 4 4 2 2 2" xfId="403"/>
    <cellStyle name="Comma 2 2 4 4 2 2 2 2" xfId="7550"/>
    <cellStyle name="Comma 2 2 4 4 2 2 3" xfId="7549"/>
    <cellStyle name="Comma 2 2 4 4 2 2 4" xfId="4966"/>
    <cellStyle name="Comma 2 2 4 4 2 3" xfId="404"/>
    <cellStyle name="Comma 2 2 4 4 2 3 2" xfId="7551"/>
    <cellStyle name="Comma 2 2 4 4 2 4" xfId="7548"/>
    <cellStyle name="Comma 2 2 4 4 2 5" xfId="4965"/>
    <cellStyle name="Comma 2 2 4 4 3" xfId="405"/>
    <cellStyle name="Comma 2 2 4 4 3 2" xfId="406"/>
    <cellStyle name="Comma 2 2 4 4 3 2 2" xfId="7553"/>
    <cellStyle name="Comma 2 2 4 4 3 3" xfId="7552"/>
    <cellStyle name="Comma 2 2 4 4 3 4" xfId="4967"/>
    <cellStyle name="Comma 2 2 4 4 4" xfId="407"/>
    <cellStyle name="Comma 2 2 4 4 4 2" xfId="408"/>
    <cellStyle name="Comma 2 2 4 4 4 2 2" xfId="7555"/>
    <cellStyle name="Comma 2 2 4 4 4 3" xfId="7554"/>
    <cellStyle name="Comma 2 2 4 4 4 4" xfId="4968"/>
    <cellStyle name="Comma 2 2 4 4 5" xfId="409"/>
    <cellStyle name="Comma 2 2 4 4 5 2" xfId="7556"/>
    <cellStyle name="Comma 2 2 4 4 6" xfId="7547"/>
    <cellStyle name="Comma 2 2 4 4 7" xfId="4964"/>
    <cellStyle name="Comma 2 2 4 5" xfId="410"/>
    <cellStyle name="Comma 2 2 4 5 2" xfId="411"/>
    <cellStyle name="Comma 2 2 4 5 2 2" xfId="412"/>
    <cellStyle name="Comma 2 2 4 5 2 2 2" xfId="413"/>
    <cellStyle name="Comma 2 2 4 5 2 2 2 2" xfId="7560"/>
    <cellStyle name="Comma 2 2 4 5 2 2 3" xfId="7559"/>
    <cellStyle name="Comma 2 2 4 5 2 2 4" xfId="4971"/>
    <cellStyle name="Comma 2 2 4 5 2 3" xfId="414"/>
    <cellStyle name="Comma 2 2 4 5 2 3 2" xfId="7561"/>
    <cellStyle name="Comma 2 2 4 5 2 4" xfId="7558"/>
    <cellStyle name="Comma 2 2 4 5 2 5" xfId="4970"/>
    <cellStyle name="Comma 2 2 4 5 3" xfId="415"/>
    <cellStyle name="Comma 2 2 4 5 3 2" xfId="416"/>
    <cellStyle name="Comma 2 2 4 5 3 2 2" xfId="7563"/>
    <cellStyle name="Comma 2 2 4 5 3 3" xfId="7562"/>
    <cellStyle name="Comma 2 2 4 5 3 4" xfId="4972"/>
    <cellStyle name="Comma 2 2 4 5 4" xfId="417"/>
    <cellStyle name="Comma 2 2 4 5 4 2" xfId="418"/>
    <cellStyle name="Comma 2 2 4 5 4 2 2" xfId="7565"/>
    <cellStyle name="Comma 2 2 4 5 4 3" xfId="7564"/>
    <cellStyle name="Comma 2 2 4 5 4 4" xfId="4973"/>
    <cellStyle name="Comma 2 2 4 5 5" xfId="419"/>
    <cellStyle name="Comma 2 2 4 5 5 2" xfId="7566"/>
    <cellStyle name="Comma 2 2 4 5 6" xfId="7557"/>
    <cellStyle name="Comma 2 2 4 5 7" xfId="4969"/>
    <cellStyle name="Comma 2 2 4 6" xfId="420"/>
    <cellStyle name="Comma 2 2 4 6 2" xfId="421"/>
    <cellStyle name="Comma 2 2 4 6 2 2" xfId="422"/>
    <cellStyle name="Comma 2 2 4 6 2 2 2" xfId="423"/>
    <cellStyle name="Comma 2 2 4 6 2 2 2 2" xfId="7570"/>
    <cellStyle name="Comma 2 2 4 6 2 2 3" xfId="7569"/>
    <cellStyle name="Comma 2 2 4 6 2 2 4" xfId="4976"/>
    <cellStyle name="Comma 2 2 4 6 2 3" xfId="424"/>
    <cellStyle name="Comma 2 2 4 6 2 3 2" xfId="7571"/>
    <cellStyle name="Comma 2 2 4 6 2 4" xfId="7568"/>
    <cellStyle name="Comma 2 2 4 6 2 5" xfId="4975"/>
    <cellStyle name="Comma 2 2 4 6 3" xfId="425"/>
    <cellStyle name="Comma 2 2 4 6 3 2" xfId="426"/>
    <cellStyle name="Comma 2 2 4 6 3 2 2" xfId="7573"/>
    <cellStyle name="Comma 2 2 4 6 3 3" xfId="7572"/>
    <cellStyle name="Comma 2 2 4 6 3 4" xfId="4977"/>
    <cellStyle name="Comma 2 2 4 6 4" xfId="427"/>
    <cellStyle name="Comma 2 2 4 6 4 2" xfId="428"/>
    <cellStyle name="Comma 2 2 4 6 4 2 2" xfId="7575"/>
    <cellStyle name="Comma 2 2 4 6 4 3" xfId="7574"/>
    <cellStyle name="Comma 2 2 4 6 4 4" xfId="4978"/>
    <cellStyle name="Comma 2 2 4 6 5" xfId="429"/>
    <cellStyle name="Comma 2 2 4 6 5 2" xfId="7576"/>
    <cellStyle name="Comma 2 2 4 6 6" xfId="7567"/>
    <cellStyle name="Comma 2 2 4 6 7" xfId="4974"/>
    <cellStyle name="Comma 2 2 4 7" xfId="430"/>
    <cellStyle name="Comma 2 2 4 7 2" xfId="431"/>
    <cellStyle name="Comma 2 2 4 7 2 2" xfId="432"/>
    <cellStyle name="Comma 2 2 4 7 2 2 2" xfId="7579"/>
    <cellStyle name="Comma 2 2 4 7 2 3" xfId="7578"/>
    <cellStyle name="Comma 2 2 4 7 2 4" xfId="4980"/>
    <cellStyle name="Comma 2 2 4 7 3" xfId="433"/>
    <cellStyle name="Comma 2 2 4 7 3 2" xfId="434"/>
    <cellStyle name="Comma 2 2 4 7 3 2 2" xfId="7581"/>
    <cellStyle name="Comma 2 2 4 7 3 3" xfId="7580"/>
    <cellStyle name="Comma 2 2 4 7 3 4" xfId="4981"/>
    <cellStyle name="Comma 2 2 4 7 4" xfId="435"/>
    <cellStyle name="Comma 2 2 4 7 4 2" xfId="7582"/>
    <cellStyle name="Comma 2 2 4 7 5" xfId="7577"/>
    <cellStyle name="Comma 2 2 4 7 6" xfId="4979"/>
    <cellStyle name="Comma 2 2 4 8" xfId="436"/>
    <cellStyle name="Comma 2 2 4 8 2" xfId="437"/>
    <cellStyle name="Comma 2 2 4 8 2 2" xfId="438"/>
    <cellStyle name="Comma 2 2 4 8 2 2 2" xfId="7585"/>
    <cellStyle name="Comma 2 2 4 8 2 3" xfId="7584"/>
    <cellStyle name="Comma 2 2 4 8 2 4" xfId="4983"/>
    <cellStyle name="Comma 2 2 4 8 3" xfId="439"/>
    <cellStyle name="Comma 2 2 4 8 3 2" xfId="7586"/>
    <cellStyle name="Comma 2 2 4 8 4" xfId="7583"/>
    <cellStyle name="Comma 2 2 4 8 5" xfId="4982"/>
    <cellStyle name="Comma 2 2 4 9" xfId="440"/>
    <cellStyle name="Comma 2 2 4 9 2" xfId="441"/>
    <cellStyle name="Comma 2 2 4 9 2 2" xfId="7588"/>
    <cellStyle name="Comma 2 2 4 9 3" xfId="7587"/>
    <cellStyle name="Comma 2 2 4 9 4" xfId="4984"/>
    <cellStyle name="Comma 2 2 5" xfId="442"/>
    <cellStyle name="Comma 2 2 5 10" xfId="443"/>
    <cellStyle name="Comma 2 2 5 10 2" xfId="7590"/>
    <cellStyle name="Comma 2 2 5 11" xfId="7589"/>
    <cellStyle name="Comma 2 2 5 12" xfId="4985"/>
    <cellStyle name="Comma 2 2 5 2" xfId="444"/>
    <cellStyle name="Comma 2 2 5 2 2" xfId="445"/>
    <cellStyle name="Comma 2 2 5 2 2 2" xfId="446"/>
    <cellStyle name="Comma 2 2 5 2 2 2 2" xfId="447"/>
    <cellStyle name="Comma 2 2 5 2 2 2 2 2" xfId="7594"/>
    <cellStyle name="Comma 2 2 5 2 2 2 3" xfId="7593"/>
    <cellStyle name="Comma 2 2 5 2 2 2 4" xfId="4988"/>
    <cellStyle name="Comma 2 2 5 2 2 3" xfId="448"/>
    <cellStyle name="Comma 2 2 5 2 2 3 2" xfId="7595"/>
    <cellStyle name="Comma 2 2 5 2 2 4" xfId="7592"/>
    <cellStyle name="Comma 2 2 5 2 2 5" xfId="4987"/>
    <cellStyle name="Comma 2 2 5 2 3" xfId="449"/>
    <cellStyle name="Comma 2 2 5 2 3 2" xfId="450"/>
    <cellStyle name="Comma 2 2 5 2 3 2 2" xfId="7597"/>
    <cellStyle name="Comma 2 2 5 2 3 3" xfId="7596"/>
    <cellStyle name="Comma 2 2 5 2 3 4" xfId="4989"/>
    <cellStyle name="Comma 2 2 5 2 4" xfId="451"/>
    <cellStyle name="Comma 2 2 5 2 4 2" xfId="452"/>
    <cellStyle name="Comma 2 2 5 2 4 2 2" xfId="7599"/>
    <cellStyle name="Comma 2 2 5 2 4 3" xfId="7598"/>
    <cellStyle name="Comma 2 2 5 2 4 4" xfId="4990"/>
    <cellStyle name="Comma 2 2 5 2 5" xfId="453"/>
    <cellStyle name="Comma 2 2 5 2 5 2" xfId="7600"/>
    <cellStyle name="Comma 2 2 5 2 6" xfId="7591"/>
    <cellStyle name="Comma 2 2 5 2 7" xfId="4986"/>
    <cellStyle name="Comma 2 2 5 3" xfId="454"/>
    <cellStyle name="Comma 2 2 5 3 2" xfId="455"/>
    <cellStyle name="Comma 2 2 5 3 2 2" xfId="456"/>
    <cellStyle name="Comma 2 2 5 3 2 2 2" xfId="457"/>
    <cellStyle name="Comma 2 2 5 3 2 2 2 2" xfId="7604"/>
    <cellStyle name="Comma 2 2 5 3 2 2 3" xfId="7603"/>
    <cellStyle name="Comma 2 2 5 3 2 2 4" xfId="4993"/>
    <cellStyle name="Comma 2 2 5 3 2 3" xfId="458"/>
    <cellStyle name="Comma 2 2 5 3 2 3 2" xfId="7605"/>
    <cellStyle name="Comma 2 2 5 3 2 4" xfId="7602"/>
    <cellStyle name="Comma 2 2 5 3 2 5" xfId="4992"/>
    <cellStyle name="Comma 2 2 5 3 3" xfId="459"/>
    <cellStyle name="Comma 2 2 5 3 3 2" xfId="460"/>
    <cellStyle name="Comma 2 2 5 3 3 2 2" xfId="7607"/>
    <cellStyle name="Comma 2 2 5 3 3 3" xfId="7606"/>
    <cellStyle name="Comma 2 2 5 3 3 4" xfId="4994"/>
    <cellStyle name="Comma 2 2 5 3 4" xfId="461"/>
    <cellStyle name="Comma 2 2 5 3 4 2" xfId="462"/>
    <cellStyle name="Comma 2 2 5 3 4 2 2" xfId="7609"/>
    <cellStyle name="Comma 2 2 5 3 4 3" xfId="7608"/>
    <cellStyle name="Comma 2 2 5 3 4 4" xfId="4995"/>
    <cellStyle name="Comma 2 2 5 3 5" xfId="463"/>
    <cellStyle name="Comma 2 2 5 3 5 2" xfId="7610"/>
    <cellStyle name="Comma 2 2 5 3 6" xfId="7601"/>
    <cellStyle name="Comma 2 2 5 3 7" xfId="4991"/>
    <cellStyle name="Comma 2 2 5 4" xfId="464"/>
    <cellStyle name="Comma 2 2 5 4 2" xfId="465"/>
    <cellStyle name="Comma 2 2 5 4 2 2" xfId="466"/>
    <cellStyle name="Comma 2 2 5 4 2 2 2" xfId="467"/>
    <cellStyle name="Comma 2 2 5 4 2 2 2 2" xfId="7614"/>
    <cellStyle name="Comma 2 2 5 4 2 2 3" xfId="7613"/>
    <cellStyle name="Comma 2 2 5 4 2 2 4" xfId="4998"/>
    <cellStyle name="Comma 2 2 5 4 2 3" xfId="468"/>
    <cellStyle name="Comma 2 2 5 4 2 3 2" xfId="7615"/>
    <cellStyle name="Comma 2 2 5 4 2 4" xfId="7612"/>
    <cellStyle name="Comma 2 2 5 4 2 5" xfId="4997"/>
    <cellStyle name="Comma 2 2 5 4 3" xfId="469"/>
    <cellStyle name="Comma 2 2 5 4 3 2" xfId="470"/>
    <cellStyle name="Comma 2 2 5 4 3 2 2" xfId="7617"/>
    <cellStyle name="Comma 2 2 5 4 3 3" xfId="7616"/>
    <cellStyle name="Comma 2 2 5 4 3 4" xfId="4999"/>
    <cellStyle name="Comma 2 2 5 4 4" xfId="471"/>
    <cellStyle name="Comma 2 2 5 4 4 2" xfId="472"/>
    <cellStyle name="Comma 2 2 5 4 4 2 2" xfId="7619"/>
    <cellStyle name="Comma 2 2 5 4 4 3" xfId="7618"/>
    <cellStyle name="Comma 2 2 5 4 4 4" xfId="5000"/>
    <cellStyle name="Comma 2 2 5 4 5" xfId="473"/>
    <cellStyle name="Comma 2 2 5 4 5 2" xfId="7620"/>
    <cellStyle name="Comma 2 2 5 4 6" xfId="7611"/>
    <cellStyle name="Comma 2 2 5 4 7" xfId="4996"/>
    <cellStyle name="Comma 2 2 5 5" xfId="474"/>
    <cellStyle name="Comma 2 2 5 5 2" xfId="475"/>
    <cellStyle name="Comma 2 2 5 5 2 2" xfId="476"/>
    <cellStyle name="Comma 2 2 5 5 2 2 2" xfId="477"/>
    <cellStyle name="Comma 2 2 5 5 2 2 2 2" xfId="7624"/>
    <cellStyle name="Comma 2 2 5 5 2 2 3" xfId="7623"/>
    <cellStyle name="Comma 2 2 5 5 2 2 4" xfId="5003"/>
    <cellStyle name="Comma 2 2 5 5 2 3" xfId="478"/>
    <cellStyle name="Comma 2 2 5 5 2 3 2" xfId="7625"/>
    <cellStyle name="Comma 2 2 5 5 2 4" xfId="7622"/>
    <cellStyle name="Comma 2 2 5 5 2 5" xfId="5002"/>
    <cellStyle name="Comma 2 2 5 5 3" xfId="479"/>
    <cellStyle name="Comma 2 2 5 5 3 2" xfId="480"/>
    <cellStyle name="Comma 2 2 5 5 3 2 2" xfId="7627"/>
    <cellStyle name="Comma 2 2 5 5 3 3" xfId="7626"/>
    <cellStyle name="Comma 2 2 5 5 3 4" xfId="5004"/>
    <cellStyle name="Comma 2 2 5 5 4" xfId="481"/>
    <cellStyle name="Comma 2 2 5 5 4 2" xfId="482"/>
    <cellStyle name="Comma 2 2 5 5 4 2 2" xfId="7629"/>
    <cellStyle name="Comma 2 2 5 5 4 3" xfId="7628"/>
    <cellStyle name="Comma 2 2 5 5 4 4" xfId="5005"/>
    <cellStyle name="Comma 2 2 5 5 5" xfId="483"/>
    <cellStyle name="Comma 2 2 5 5 5 2" xfId="7630"/>
    <cellStyle name="Comma 2 2 5 5 6" xfId="7621"/>
    <cellStyle name="Comma 2 2 5 5 7" xfId="5001"/>
    <cellStyle name="Comma 2 2 5 6" xfId="484"/>
    <cellStyle name="Comma 2 2 5 6 2" xfId="485"/>
    <cellStyle name="Comma 2 2 5 6 2 2" xfId="486"/>
    <cellStyle name="Comma 2 2 5 6 2 2 2" xfId="7633"/>
    <cellStyle name="Comma 2 2 5 6 2 3" xfId="7632"/>
    <cellStyle name="Comma 2 2 5 6 2 4" xfId="5007"/>
    <cellStyle name="Comma 2 2 5 6 3" xfId="487"/>
    <cellStyle name="Comma 2 2 5 6 3 2" xfId="488"/>
    <cellStyle name="Comma 2 2 5 6 3 2 2" xfId="7635"/>
    <cellStyle name="Comma 2 2 5 6 3 3" xfId="7634"/>
    <cellStyle name="Comma 2 2 5 6 3 4" xfId="5008"/>
    <cellStyle name="Comma 2 2 5 6 4" xfId="489"/>
    <cellStyle name="Comma 2 2 5 6 4 2" xfId="7636"/>
    <cellStyle name="Comma 2 2 5 6 5" xfId="7631"/>
    <cellStyle name="Comma 2 2 5 6 6" xfId="5006"/>
    <cellStyle name="Comma 2 2 5 7" xfId="490"/>
    <cellStyle name="Comma 2 2 5 7 2" xfId="491"/>
    <cellStyle name="Comma 2 2 5 7 2 2" xfId="492"/>
    <cellStyle name="Comma 2 2 5 7 2 2 2" xfId="7639"/>
    <cellStyle name="Comma 2 2 5 7 2 3" xfId="7638"/>
    <cellStyle name="Comma 2 2 5 7 2 4" xfId="5010"/>
    <cellStyle name="Comma 2 2 5 7 3" xfId="493"/>
    <cellStyle name="Comma 2 2 5 7 3 2" xfId="7640"/>
    <cellStyle name="Comma 2 2 5 7 4" xfId="7637"/>
    <cellStyle name="Comma 2 2 5 7 5" xfId="5009"/>
    <cellStyle name="Comma 2 2 5 8" xfId="494"/>
    <cellStyle name="Comma 2 2 5 8 2" xfId="495"/>
    <cellStyle name="Comma 2 2 5 8 2 2" xfId="7642"/>
    <cellStyle name="Comma 2 2 5 8 3" xfId="7641"/>
    <cellStyle name="Comma 2 2 5 8 4" xfId="5011"/>
    <cellStyle name="Comma 2 2 5 9" xfId="496"/>
    <cellStyle name="Comma 2 2 5 9 2" xfId="497"/>
    <cellStyle name="Comma 2 2 5 9 2 2" xfId="7644"/>
    <cellStyle name="Comma 2 2 5 9 3" xfId="7643"/>
    <cellStyle name="Comma 2 2 5 9 4" xfId="5012"/>
    <cellStyle name="Comma 2 2 6" xfId="498"/>
    <cellStyle name="Comma 2 2 6 2" xfId="499"/>
    <cellStyle name="Comma 2 2 6 2 2" xfId="500"/>
    <cellStyle name="Comma 2 2 6 2 2 2" xfId="501"/>
    <cellStyle name="Comma 2 2 6 2 2 2 2" xfId="7648"/>
    <cellStyle name="Comma 2 2 6 2 2 3" xfId="7647"/>
    <cellStyle name="Comma 2 2 6 2 2 4" xfId="5015"/>
    <cellStyle name="Comma 2 2 6 2 3" xfId="502"/>
    <cellStyle name="Comma 2 2 6 2 3 2" xfId="7649"/>
    <cellStyle name="Comma 2 2 6 2 4" xfId="7646"/>
    <cellStyle name="Comma 2 2 6 2 5" xfId="5014"/>
    <cellStyle name="Comma 2 2 6 3" xfId="503"/>
    <cellStyle name="Comma 2 2 6 3 2" xfId="504"/>
    <cellStyle name="Comma 2 2 6 3 2 2" xfId="7651"/>
    <cellStyle name="Comma 2 2 6 3 3" xfId="7650"/>
    <cellStyle name="Comma 2 2 6 3 4" xfId="5016"/>
    <cellStyle name="Comma 2 2 6 4" xfId="505"/>
    <cellStyle name="Comma 2 2 6 4 2" xfId="506"/>
    <cellStyle name="Comma 2 2 6 4 2 2" xfId="7653"/>
    <cellStyle name="Comma 2 2 6 4 3" xfId="7652"/>
    <cellStyle name="Comma 2 2 6 4 4" xfId="5017"/>
    <cellStyle name="Comma 2 2 6 5" xfId="507"/>
    <cellStyle name="Comma 2 2 6 5 2" xfId="7654"/>
    <cellStyle name="Comma 2 2 6 6" xfId="7645"/>
    <cellStyle name="Comma 2 2 6 7" xfId="5013"/>
    <cellStyle name="Comma 2 2 7" xfId="508"/>
    <cellStyle name="Comma 2 2 7 2" xfId="509"/>
    <cellStyle name="Comma 2 2 7 2 2" xfId="510"/>
    <cellStyle name="Comma 2 2 7 2 2 2" xfId="511"/>
    <cellStyle name="Comma 2 2 7 2 2 2 2" xfId="7658"/>
    <cellStyle name="Comma 2 2 7 2 2 3" xfId="7657"/>
    <cellStyle name="Comma 2 2 7 2 2 4" xfId="5020"/>
    <cellStyle name="Comma 2 2 7 2 3" xfId="512"/>
    <cellStyle name="Comma 2 2 7 2 3 2" xfId="7659"/>
    <cellStyle name="Comma 2 2 7 2 4" xfId="7656"/>
    <cellStyle name="Comma 2 2 7 2 5" xfId="5019"/>
    <cellStyle name="Comma 2 2 7 3" xfId="513"/>
    <cellStyle name="Comma 2 2 7 3 2" xfId="514"/>
    <cellStyle name="Comma 2 2 7 3 2 2" xfId="7661"/>
    <cellStyle name="Comma 2 2 7 3 3" xfId="7660"/>
    <cellStyle name="Comma 2 2 7 3 4" xfId="5021"/>
    <cellStyle name="Comma 2 2 7 4" xfId="515"/>
    <cellStyle name="Comma 2 2 7 4 2" xfId="516"/>
    <cellStyle name="Comma 2 2 7 4 2 2" xfId="7663"/>
    <cellStyle name="Comma 2 2 7 4 3" xfId="7662"/>
    <cellStyle name="Comma 2 2 7 4 4" xfId="5022"/>
    <cellStyle name="Comma 2 2 7 5" xfId="517"/>
    <cellStyle name="Comma 2 2 7 5 2" xfId="7664"/>
    <cellStyle name="Comma 2 2 7 6" xfId="7655"/>
    <cellStyle name="Comma 2 2 7 7" xfId="5018"/>
    <cellStyle name="Comma 2 2 8" xfId="518"/>
    <cellStyle name="Comma 2 2 8 2" xfId="519"/>
    <cellStyle name="Comma 2 2 8 2 2" xfId="520"/>
    <cellStyle name="Comma 2 2 8 2 2 2" xfId="521"/>
    <cellStyle name="Comma 2 2 8 2 2 2 2" xfId="7668"/>
    <cellStyle name="Comma 2 2 8 2 2 3" xfId="7667"/>
    <cellStyle name="Comma 2 2 8 2 2 4" xfId="5025"/>
    <cellStyle name="Comma 2 2 8 2 3" xfId="522"/>
    <cellStyle name="Comma 2 2 8 2 3 2" xfId="7669"/>
    <cellStyle name="Comma 2 2 8 2 4" xfId="7666"/>
    <cellStyle name="Comma 2 2 8 2 5" xfId="5024"/>
    <cellStyle name="Comma 2 2 8 3" xfId="523"/>
    <cellStyle name="Comma 2 2 8 3 2" xfId="524"/>
    <cellStyle name="Comma 2 2 8 3 2 2" xfId="7671"/>
    <cellStyle name="Comma 2 2 8 3 3" xfId="7670"/>
    <cellStyle name="Comma 2 2 8 3 4" xfId="5026"/>
    <cellStyle name="Comma 2 2 8 4" xfId="525"/>
    <cellStyle name="Comma 2 2 8 4 2" xfId="526"/>
    <cellStyle name="Comma 2 2 8 4 2 2" xfId="7673"/>
    <cellStyle name="Comma 2 2 8 4 3" xfId="7672"/>
    <cellStyle name="Comma 2 2 8 4 4" xfId="5027"/>
    <cellStyle name="Comma 2 2 8 5" xfId="527"/>
    <cellStyle name="Comma 2 2 8 5 2" xfId="7674"/>
    <cellStyle name="Comma 2 2 8 6" xfId="7665"/>
    <cellStyle name="Comma 2 2 8 7" xfId="5023"/>
    <cellStyle name="Comma 2 2 9" xfId="528"/>
    <cellStyle name="Comma 2 2 9 2" xfId="529"/>
    <cellStyle name="Comma 2 2 9 2 2" xfId="530"/>
    <cellStyle name="Comma 2 2 9 2 2 2" xfId="531"/>
    <cellStyle name="Comma 2 2 9 2 2 2 2" xfId="7678"/>
    <cellStyle name="Comma 2 2 9 2 2 3" xfId="7677"/>
    <cellStyle name="Comma 2 2 9 2 2 4" xfId="5030"/>
    <cellStyle name="Comma 2 2 9 2 3" xfId="532"/>
    <cellStyle name="Comma 2 2 9 2 3 2" xfId="7679"/>
    <cellStyle name="Comma 2 2 9 2 4" xfId="7676"/>
    <cellStyle name="Comma 2 2 9 2 5" xfId="5029"/>
    <cellStyle name="Comma 2 2 9 3" xfId="533"/>
    <cellStyle name="Comma 2 2 9 3 2" xfId="534"/>
    <cellStyle name="Comma 2 2 9 3 2 2" xfId="7681"/>
    <cellStyle name="Comma 2 2 9 3 3" xfId="7680"/>
    <cellStyle name="Comma 2 2 9 3 4" xfId="5031"/>
    <cellStyle name="Comma 2 2 9 4" xfId="535"/>
    <cellStyle name="Comma 2 2 9 4 2" xfId="536"/>
    <cellStyle name="Comma 2 2 9 4 2 2" xfId="7683"/>
    <cellStyle name="Comma 2 2 9 4 3" xfId="7682"/>
    <cellStyle name="Comma 2 2 9 4 4" xfId="5032"/>
    <cellStyle name="Comma 2 2 9 5" xfId="537"/>
    <cellStyle name="Comma 2 2 9 5 2" xfId="7684"/>
    <cellStyle name="Comma 2 2 9 6" xfId="7675"/>
    <cellStyle name="Comma 2 2 9 7" xfId="5028"/>
    <cellStyle name="Comma 2 20" xfId="7177"/>
    <cellStyle name="Comma 2 21" xfId="4779"/>
    <cellStyle name="Comma 2 22" xfId="12325"/>
    <cellStyle name="Comma 2 23" xfId="12335"/>
    <cellStyle name="Comma 2 24" xfId="12350"/>
    <cellStyle name="Comma 2 3" xfId="538"/>
    <cellStyle name="Comma 2 3 10" xfId="539"/>
    <cellStyle name="Comma 2 3 10 2" xfId="540"/>
    <cellStyle name="Comma 2 3 10 2 2" xfId="541"/>
    <cellStyle name="Comma 2 3 10 2 2 2" xfId="7688"/>
    <cellStyle name="Comma 2 3 10 2 3" xfId="7687"/>
    <cellStyle name="Comma 2 3 10 2 4" xfId="5035"/>
    <cellStyle name="Comma 2 3 10 3" xfId="542"/>
    <cellStyle name="Comma 2 3 10 3 2" xfId="543"/>
    <cellStyle name="Comma 2 3 10 3 2 2" xfId="7690"/>
    <cellStyle name="Comma 2 3 10 3 3" xfId="7689"/>
    <cellStyle name="Comma 2 3 10 3 4" xfId="5036"/>
    <cellStyle name="Comma 2 3 10 4" xfId="544"/>
    <cellStyle name="Comma 2 3 10 4 2" xfId="7691"/>
    <cellStyle name="Comma 2 3 10 5" xfId="7686"/>
    <cellStyle name="Comma 2 3 10 6" xfId="5034"/>
    <cellStyle name="Comma 2 3 11" xfId="545"/>
    <cellStyle name="Comma 2 3 11 2" xfId="546"/>
    <cellStyle name="Comma 2 3 11 2 2" xfId="547"/>
    <cellStyle name="Comma 2 3 11 2 2 2" xfId="7694"/>
    <cellStyle name="Comma 2 3 11 2 3" xfId="7693"/>
    <cellStyle name="Comma 2 3 11 2 4" xfId="5038"/>
    <cellStyle name="Comma 2 3 11 3" xfId="548"/>
    <cellStyle name="Comma 2 3 11 3 2" xfId="7695"/>
    <cellStyle name="Comma 2 3 11 4" xfId="7692"/>
    <cellStyle name="Comma 2 3 11 5" xfId="5037"/>
    <cellStyle name="Comma 2 3 12" xfId="549"/>
    <cellStyle name="Comma 2 3 12 2" xfId="550"/>
    <cellStyle name="Comma 2 3 12 2 2" xfId="7697"/>
    <cellStyle name="Comma 2 3 12 3" xfId="7696"/>
    <cellStyle name="Comma 2 3 12 4" xfId="5039"/>
    <cellStyle name="Comma 2 3 13" xfId="551"/>
    <cellStyle name="Comma 2 3 13 2" xfId="552"/>
    <cellStyle name="Comma 2 3 13 2 2" xfId="7699"/>
    <cellStyle name="Comma 2 3 13 3" xfId="7698"/>
    <cellStyle name="Comma 2 3 13 4" xfId="5040"/>
    <cellStyle name="Comma 2 3 14" xfId="553"/>
    <cellStyle name="Comma 2 3 14 2" xfId="7700"/>
    <cellStyle name="Comma 2 3 15" xfId="7685"/>
    <cellStyle name="Comma 2 3 16" xfId="5033"/>
    <cellStyle name="Comma 2 3 17" xfId="12330"/>
    <cellStyle name="Comma 2 3 18" xfId="12340"/>
    <cellStyle name="Comma 2 3 19" xfId="12355"/>
    <cellStyle name="Comma 2 3 2" xfId="554"/>
    <cellStyle name="Comma 2 3 2 10" xfId="555"/>
    <cellStyle name="Comma 2 3 2 10 2" xfId="556"/>
    <cellStyle name="Comma 2 3 2 10 2 2" xfId="7703"/>
    <cellStyle name="Comma 2 3 2 10 3" xfId="7702"/>
    <cellStyle name="Comma 2 3 2 10 4" xfId="5042"/>
    <cellStyle name="Comma 2 3 2 11" xfId="557"/>
    <cellStyle name="Comma 2 3 2 11 2" xfId="7704"/>
    <cellStyle name="Comma 2 3 2 12" xfId="7701"/>
    <cellStyle name="Comma 2 3 2 13" xfId="5041"/>
    <cellStyle name="Comma 2 3 2 2" xfId="558"/>
    <cellStyle name="Comma 2 3 2 2 10" xfId="559"/>
    <cellStyle name="Comma 2 3 2 2 10 2" xfId="7706"/>
    <cellStyle name="Comma 2 3 2 2 11" xfId="7705"/>
    <cellStyle name="Comma 2 3 2 2 12" xfId="5043"/>
    <cellStyle name="Comma 2 3 2 2 2" xfId="560"/>
    <cellStyle name="Comma 2 3 2 2 2 2" xfId="561"/>
    <cellStyle name="Comma 2 3 2 2 2 2 2" xfId="562"/>
    <cellStyle name="Comma 2 3 2 2 2 2 2 2" xfId="563"/>
    <cellStyle name="Comma 2 3 2 2 2 2 2 2 2" xfId="7710"/>
    <cellStyle name="Comma 2 3 2 2 2 2 2 3" xfId="7709"/>
    <cellStyle name="Comma 2 3 2 2 2 2 2 4" xfId="5046"/>
    <cellStyle name="Comma 2 3 2 2 2 2 3" xfId="564"/>
    <cellStyle name="Comma 2 3 2 2 2 2 3 2" xfId="7711"/>
    <cellStyle name="Comma 2 3 2 2 2 2 4" xfId="7708"/>
    <cellStyle name="Comma 2 3 2 2 2 2 5" xfId="5045"/>
    <cellStyle name="Comma 2 3 2 2 2 3" xfId="565"/>
    <cellStyle name="Comma 2 3 2 2 2 3 2" xfId="566"/>
    <cellStyle name="Comma 2 3 2 2 2 3 2 2" xfId="7713"/>
    <cellStyle name="Comma 2 3 2 2 2 3 3" xfId="7712"/>
    <cellStyle name="Comma 2 3 2 2 2 3 4" xfId="5047"/>
    <cellStyle name="Comma 2 3 2 2 2 4" xfId="567"/>
    <cellStyle name="Comma 2 3 2 2 2 4 2" xfId="568"/>
    <cellStyle name="Comma 2 3 2 2 2 4 2 2" xfId="7715"/>
    <cellStyle name="Comma 2 3 2 2 2 4 3" xfId="7714"/>
    <cellStyle name="Comma 2 3 2 2 2 4 4" xfId="5048"/>
    <cellStyle name="Comma 2 3 2 2 2 5" xfId="569"/>
    <cellStyle name="Comma 2 3 2 2 2 5 2" xfId="7716"/>
    <cellStyle name="Comma 2 3 2 2 2 6" xfId="7707"/>
    <cellStyle name="Comma 2 3 2 2 2 7" xfId="5044"/>
    <cellStyle name="Comma 2 3 2 2 3" xfId="570"/>
    <cellStyle name="Comma 2 3 2 2 3 2" xfId="571"/>
    <cellStyle name="Comma 2 3 2 2 3 2 2" xfId="572"/>
    <cellStyle name="Comma 2 3 2 2 3 2 2 2" xfId="573"/>
    <cellStyle name="Comma 2 3 2 2 3 2 2 2 2" xfId="7720"/>
    <cellStyle name="Comma 2 3 2 2 3 2 2 3" xfId="7719"/>
    <cellStyle name="Comma 2 3 2 2 3 2 2 4" xfId="5051"/>
    <cellStyle name="Comma 2 3 2 2 3 2 3" xfId="574"/>
    <cellStyle name="Comma 2 3 2 2 3 2 3 2" xfId="7721"/>
    <cellStyle name="Comma 2 3 2 2 3 2 4" xfId="7718"/>
    <cellStyle name="Comma 2 3 2 2 3 2 5" xfId="5050"/>
    <cellStyle name="Comma 2 3 2 2 3 3" xfId="575"/>
    <cellStyle name="Comma 2 3 2 2 3 3 2" xfId="576"/>
    <cellStyle name="Comma 2 3 2 2 3 3 2 2" xfId="7723"/>
    <cellStyle name="Comma 2 3 2 2 3 3 3" xfId="7722"/>
    <cellStyle name="Comma 2 3 2 2 3 3 4" xfId="5052"/>
    <cellStyle name="Comma 2 3 2 2 3 4" xfId="577"/>
    <cellStyle name="Comma 2 3 2 2 3 4 2" xfId="578"/>
    <cellStyle name="Comma 2 3 2 2 3 4 2 2" xfId="7725"/>
    <cellStyle name="Comma 2 3 2 2 3 4 3" xfId="7724"/>
    <cellStyle name="Comma 2 3 2 2 3 4 4" xfId="5053"/>
    <cellStyle name="Comma 2 3 2 2 3 5" xfId="579"/>
    <cellStyle name="Comma 2 3 2 2 3 5 2" xfId="7726"/>
    <cellStyle name="Comma 2 3 2 2 3 6" xfId="7717"/>
    <cellStyle name="Comma 2 3 2 2 3 7" xfId="5049"/>
    <cellStyle name="Comma 2 3 2 2 4" xfId="580"/>
    <cellStyle name="Comma 2 3 2 2 4 2" xfId="581"/>
    <cellStyle name="Comma 2 3 2 2 4 2 2" xfId="582"/>
    <cellStyle name="Comma 2 3 2 2 4 2 2 2" xfId="583"/>
    <cellStyle name="Comma 2 3 2 2 4 2 2 2 2" xfId="7730"/>
    <cellStyle name="Comma 2 3 2 2 4 2 2 3" xfId="7729"/>
    <cellStyle name="Comma 2 3 2 2 4 2 2 4" xfId="5056"/>
    <cellStyle name="Comma 2 3 2 2 4 2 3" xfId="584"/>
    <cellStyle name="Comma 2 3 2 2 4 2 3 2" xfId="7731"/>
    <cellStyle name="Comma 2 3 2 2 4 2 4" xfId="7728"/>
    <cellStyle name="Comma 2 3 2 2 4 2 5" xfId="5055"/>
    <cellStyle name="Comma 2 3 2 2 4 3" xfId="585"/>
    <cellStyle name="Comma 2 3 2 2 4 3 2" xfId="586"/>
    <cellStyle name="Comma 2 3 2 2 4 3 2 2" xfId="7733"/>
    <cellStyle name="Comma 2 3 2 2 4 3 3" xfId="7732"/>
    <cellStyle name="Comma 2 3 2 2 4 3 4" xfId="5057"/>
    <cellStyle name="Comma 2 3 2 2 4 4" xfId="587"/>
    <cellStyle name="Comma 2 3 2 2 4 4 2" xfId="588"/>
    <cellStyle name="Comma 2 3 2 2 4 4 2 2" xfId="7735"/>
    <cellStyle name="Comma 2 3 2 2 4 4 3" xfId="7734"/>
    <cellStyle name="Comma 2 3 2 2 4 4 4" xfId="5058"/>
    <cellStyle name="Comma 2 3 2 2 4 5" xfId="589"/>
    <cellStyle name="Comma 2 3 2 2 4 5 2" xfId="7736"/>
    <cellStyle name="Comma 2 3 2 2 4 6" xfId="7727"/>
    <cellStyle name="Comma 2 3 2 2 4 7" xfId="5054"/>
    <cellStyle name="Comma 2 3 2 2 5" xfId="590"/>
    <cellStyle name="Comma 2 3 2 2 5 2" xfId="591"/>
    <cellStyle name="Comma 2 3 2 2 5 2 2" xfId="592"/>
    <cellStyle name="Comma 2 3 2 2 5 2 2 2" xfId="593"/>
    <cellStyle name="Comma 2 3 2 2 5 2 2 2 2" xfId="7740"/>
    <cellStyle name="Comma 2 3 2 2 5 2 2 3" xfId="7739"/>
    <cellStyle name="Comma 2 3 2 2 5 2 2 4" xfId="5061"/>
    <cellStyle name="Comma 2 3 2 2 5 2 3" xfId="594"/>
    <cellStyle name="Comma 2 3 2 2 5 2 3 2" xfId="7741"/>
    <cellStyle name="Comma 2 3 2 2 5 2 4" xfId="7738"/>
    <cellStyle name="Comma 2 3 2 2 5 2 5" xfId="5060"/>
    <cellStyle name="Comma 2 3 2 2 5 3" xfId="595"/>
    <cellStyle name="Comma 2 3 2 2 5 3 2" xfId="596"/>
    <cellStyle name="Comma 2 3 2 2 5 3 2 2" xfId="7743"/>
    <cellStyle name="Comma 2 3 2 2 5 3 3" xfId="7742"/>
    <cellStyle name="Comma 2 3 2 2 5 3 4" xfId="5062"/>
    <cellStyle name="Comma 2 3 2 2 5 4" xfId="597"/>
    <cellStyle name="Comma 2 3 2 2 5 4 2" xfId="598"/>
    <cellStyle name="Comma 2 3 2 2 5 4 2 2" xfId="7745"/>
    <cellStyle name="Comma 2 3 2 2 5 4 3" xfId="7744"/>
    <cellStyle name="Comma 2 3 2 2 5 4 4" xfId="5063"/>
    <cellStyle name="Comma 2 3 2 2 5 5" xfId="599"/>
    <cellStyle name="Comma 2 3 2 2 5 5 2" xfId="7746"/>
    <cellStyle name="Comma 2 3 2 2 5 6" xfId="7737"/>
    <cellStyle name="Comma 2 3 2 2 5 7" xfId="5059"/>
    <cellStyle name="Comma 2 3 2 2 6" xfId="600"/>
    <cellStyle name="Comma 2 3 2 2 6 2" xfId="601"/>
    <cellStyle name="Comma 2 3 2 2 6 2 2" xfId="602"/>
    <cellStyle name="Comma 2 3 2 2 6 2 2 2" xfId="7749"/>
    <cellStyle name="Comma 2 3 2 2 6 2 3" xfId="7748"/>
    <cellStyle name="Comma 2 3 2 2 6 2 4" xfId="5065"/>
    <cellStyle name="Comma 2 3 2 2 6 3" xfId="603"/>
    <cellStyle name="Comma 2 3 2 2 6 3 2" xfId="604"/>
    <cellStyle name="Comma 2 3 2 2 6 3 2 2" xfId="7751"/>
    <cellStyle name="Comma 2 3 2 2 6 3 3" xfId="7750"/>
    <cellStyle name="Comma 2 3 2 2 6 3 4" xfId="5066"/>
    <cellStyle name="Comma 2 3 2 2 6 4" xfId="605"/>
    <cellStyle name="Comma 2 3 2 2 6 4 2" xfId="7752"/>
    <cellStyle name="Comma 2 3 2 2 6 5" xfId="7747"/>
    <cellStyle name="Comma 2 3 2 2 6 6" xfId="5064"/>
    <cellStyle name="Comma 2 3 2 2 7" xfId="606"/>
    <cellStyle name="Comma 2 3 2 2 7 2" xfId="607"/>
    <cellStyle name="Comma 2 3 2 2 7 2 2" xfId="608"/>
    <cellStyle name="Comma 2 3 2 2 7 2 2 2" xfId="7755"/>
    <cellStyle name="Comma 2 3 2 2 7 2 3" xfId="7754"/>
    <cellStyle name="Comma 2 3 2 2 7 2 4" xfId="5068"/>
    <cellStyle name="Comma 2 3 2 2 7 3" xfId="609"/>
    <cellStyle name="Comma 2 3 2 2 7 3 2" xfId="7756"/>
    <cellStyle name="Comma 2 3 2 2 7 4" xfId="7753"/>
    <cellStyle name="Comma 2 3 2 2 7 5" xfId="5067"/>
    <cellStyle name="Comma 2 3 2 2 8" xfId="610"/>
    <cellStyle name="Comma 2 3 2 2 8 2" xfId="611"/>
    <cellStyle name="Comma 2 3 2 2 8 2 2" xfId="7758"/>
    <cellStyle name="Comma 2 3 2 2 8 3" xfId="7757"/>
    <cellStyle name="Comma 2 3 2 2 8 4" xfId="5069"/>
    <cellStyle name="Comma 2 3 2 2 9" xfId="612"/>
    <cellStyle name="Comma 2 3 2 2 9 2" xfId="613"/>
    <cellStyle name="Comma 2 3 2 2 9 2 2" xfId="7760"/>
    <cellStyle name="Comma 2 3 2 2 9 3" xfId="7759"/>
    <cellStyle name="Comma 2 3 2 2 9 4" xfId="5070"/>
    <cellStyle name="Comma 2 3 2 3" xfId="614"/>
    <cellStyle name="Comma 2 3 2 3 2" xfId="615"/>
    <cellStyle name="Comma 2 3 2 3 2 2" xfId="616"/>
    <cellStyle name="Comma 2 3 2 3 2 2 2" xfId="617"/>
    <cellStyle name="Comma 2 3 2 3 2 2 2 2" xfId="7764"/>
    <cellStyle name="Comma 2 3 2 3 2 2 3" xfId="7763"/>
    <cellStyle name="Comma 2 3 2 3 2 2 4" xfId="5073"/>
    <cellStyle name="Comma 2 3 2 3 2 3" xfId="618"/>
    <cellStyle name="Comma 2 3 2 3 2 3 2" xfId="7765"/>
    <cellStyle name="Comma 2 3 2 3 2 4" xfId="7762"/>
    <cellStyle name="Comma 2 3 2 3 2 5" xfId="5072"/>
    <cellStyle name="Comma 2 3 2 3 3" xfId="619"/>
    <cellStyle name="Comma 2 3 2 3 3 2" xfId="620"/>
    <cellStyle name="Comma 2 3 2 3 3 2 2" xfId="7767"/>
    <cellStyle name="Comma 2 3 2 3 3 3" xfId="7766"/>
    <cellStyle name="Comma 2 3 2 3 3 4" xfId="5074"/>
    <cellStyle name="Comma 2 3 2 3 4" xfId="621"/>
    <cellStyle name="Comma 2 3 2 3 4 2" xfId="622"/>
    <cellStyle name="Comma 2 3 2 3 4 2 2" xfId="7769"/>
    <cellStyle name="Comma 2 3 2 3 4 3" xfId="7768"/>
    <cellStyle name="Comma 2 3 2 3 4 4" xfId="5075"/>
    <cellStyle name="Comma 2 3 2 3 5" xfId="623"/>
    <cellStyle name="Comma 2 3 2 3 5 2" xfId="7770"/>
    <cellStyle name="Comma 2 3 2 3 6" xfId="7761"/>
    <cellStyle name="Comma 2 3 2 3 7" xfId="5071"/>
    <cellStyle name="Comma 2 3 2 4" xfId="624"/>
    <cellStyle name="Comma 2 3 2 4 2" xfId="625"/>
    <cellStyle name="Comma 2 3 2 4 2 2" xfId="626"/>
    <cellStyle name="Comma 2 3 2 4 2 2 2" xfId="627"/>
    <cellStyle name="Comma 2 3 2 4 2 2 2 2" xfId="7774"/>
    <cellStyle name="Comma 2 3 2 4 2 2 3" xfId="7773"/>
    <cellStyle name="Comma 2 3 2 4 2 2 4" xfId="5078"/>
    <cellStyle name="Comma 2 3 2 4 2 3" xfId="628"/>
    <cellStyle name="Comma 2 3 2 4 2 3 2" xfId="7775"/>
    <cellStyle name="Comma 2 3 2 4 2 4" xfId="7772"/>
    <cellStyle name="Comma 2 3 2 4 2 5" xfId="5077"/>
    <cellStyle name="Comma 2 3 2 4 3" xfId="629"/>
    <cellStyle name="Comma 2 3 2 4 3 2" xfId="630"/>
    <cellStyle name="Comma 2 3 2 4 3 2 2" xfId="7777"/>
    <cellStyle name="Comma 2 3 2 4 3 3" xfId="7776"/>
    <cellStyle name="Comma 2 3 2 4 3 4" xfId="5079"/>
    <cellStyle name="Comma 2 3 2 4 4" xfId="631"/>
    <cellStyle name="Comma 2 3 2 4 4 2" xfId="632"/>
    <cellStyle name="Comma 2 3 2 4 4 2 2" xfId="7779"/>
    <cellStyle name="Comma 2 3 2 4 4 3" xfId="7778"/>
    <cellStyle name="Comma 2 3 2 4 4 4" xfId="5080"/>
    <cellStyle name="Comma 2 3 2 4 5" xfId="633"/>
    <cellStyle name="Comma 2 3 2 4 5 2" xfId="7780"/>
    <cellStyle name="Comma 2 3 2 4 6" xfId="7771"/>
    <cellStyle name="Comma 2 3 2 4 7" xfId="5076"/>
    <cellStyle name="Comma 2 3 2 5" xfId="634"/>
    <cellStyle name="Comma 2 3 2 5 2" xfId="635"/>
    <cellStyle name="Comma 2 3 2 5 2 2" xfId="636"/>
    <cellStyle name="Comma 2 3 2 5 2 2 2" xfId="637"/>
    <cellStyle name="Comma 2 3 2 5 2 2 2 2" xfId="7784"/>
    <cellStyle name="Comma 2 3 2 5 2 2 3" xfId="7783"/>
    <cellStyle name="Comma 2 3 2 5 2 2 4" xfId="5083"/>
    <cellStyle name="Comma 2 3 2 5 2 3" xfId="638"/>
    <cellStyle name="Comma 2 3 2 5 2 3 2" xfId="7785"/>
    <cellStyle name="Comma 2 3 2 5 2 4" xfId="7782"/>
    <cellStyle name="Comma 2 3 2 5 2 5" xfId="5082"/>
    <cellStyle name="Comma 2 3 2 5 3" xfId="639"/>
    <cellStyle name="Comma 2 3 2 5 3 2" xfId="640"/>
    <cellStyle name="Comma 2 3 2 5 3 2 2" xfId="7787"/>
    <cellStyle name="Comma 2 3 2 5 3 3" xfId="7786"/>
    <cellStyle name="Comma 2 3 2 5 3 4" xfId="5084"/>
    <cellStyle name="Comma 2 3 2 5 4" xfId="641"/>
    <cellStyle name="Comma 2 3 2 5 4 2" xfId="642"/>
    <cellStyle name="Comma 2 3 2 5 4 2 2" xfId="7789"/>
    <cellStyle name="Comma 2 3 2 5 4 3" xfId="7788"/>
    <cellStyle name="Comma 2 3 2 5 4 4" xfId="5085"/>
    <cellStyle name="Comma 2 3 2 5 5" xfId="643"/>
    <cellStyle name="Comma 2 3 2 5 5 2" xfId="7790"/>
    <cellStyle name="Comma 2 3 2 5 6" xfId="7781"/>
    <cellStyle name="Comma 2 3 2 5 7" xfId="5081"/>
    <cellStyle name="Comma 2 3 2 6" xfId="644"/>
    <cellStyle name="Comma 2 3 2 6 2" xfId="645"/>
    <cellStyle name="Comma 2 3 2 6 2 2" xfId="646"/>
    <cellStyle name="Comma 2 3 2 6 2 2 2" xfId="647"/>
    <cellStyle name="Comma 2 3 2 6 2 2 2 2" xfId="7794"/>
    <cellStyle name="Comma 2 3 2 6 2 2 3" xfId="7793"/>
    <cellStyle name="Comma 2 3 2 6 2 2 4" xfId="5088"/>
    <cellStyle name="Comma 2 3 2 6 2 3" xfId="648"/>
    <cellStyle name="Comma 2 3 2 6 2 3 2" xfId="7795"/>
    <cellStyle name="Comma 2 3 2 6 2 4" xfId="7792"/>
    <cellStyle name="Comma 2 3 2 6 2 5" xfId="5087"/>
    <cellStyle name="Comma 2 3 2 6 3" xfId="649"/>
    <cellStyle name="Comma 2 3 2 6 3 2" xfId="650"/>
    <cellStyle name="Comma 2 3 2 6 3 2 2" xfId="7797"/>
    <cellStyle name="Comma 2 3 2 6 3 3" xfId="7796"/>
    <cellStyle name="Comma 2 3 2 6 3 4" xfId="5089"/>
    <cellStyle name="Comma 2 3 2 6 4" xfId="651"/>
    <cellStyle name="Comma 2 3 2 6 4 2" xfId="652"/>
    <cellStyle name="Comma 2 3 2 6 4 2 2" xfId="7799"/>
    <cellStyle name="Comma 2 3 2 6 4 3" xfId="7798"/>
    <cellStyle name="Comma 2 3 2 6 4 4" xfId="5090"/>
    <cellStyle name="Comma 2 3 2 6 5" xfId="653"/>
    <cellStyle name="Comma 2 3 2 6 5 2" xfId="7800"/>
    <cellStyle name="Comma 2 3 2 6 6" xfId="7791"/>
    <cellStyle name="Comma 2 3 2 6 7" xfId="5086"/>
    <cellStyle name="Comma 2 3 2 7" xfId="654"/>
    <cellStyle name="Comma 2 3 2 7 2" xfId="655"/>
    <cellStyle name="Comma 2 3 2 7 2 2" xfId="656"/>
    <cellStyle name="Comma 2 3 2 7 2 2 2" xfId="7803"/>
    <cellStyle name="Comma 2 3 2 7 2 3" xfId="7802"/>
    <cellStyle name="Comma 2 3 2 7 2 4" xfId="5092"/>
    <cellStyle name="Comma 2 3 2 7 3" xfId="657"/>
    <cellStyle name="Comma 2 3 2 7 3 2" xfId="658"/>
    <cellStyle name="Comma 2 3 2 7 3 2 2" xfId="7805"/>
    <cellStyle name="Comma 2 3 2 7 3 3" xfId="7804"/>
    <cellStyle name="Comma 2 3 2 7 3 4" xfId="5093"/>
    <cellStyle name="Comma 2 3 2 7 4" xfId="659"/>
    <cellStyle name="Comma 2 3 2 7 4 2" xfId="7806"/>
    <cellStyle name="Comma 2 3 2 7 5" xfId="7801"/>
    <cellStyle name="Comma 2 3 2 7 6" xfId="5091"/>
    <cellStyle name="Comma 2 3 2 8" xfId="660"/>
    <cellStyle name="Comma 2 3 2 8 2" xfId="661"/>
    <cellStyle name="Comma 2 3 2 8 2 2" xfId="662"/>
    <cellStyle name="Comma 2 3 2 8 2 2 2" xfId="7809"/>
    <cellStyle name="Comma 2 3 2 8 2 3" xfId="7808"/>
    <cellStyle name="Comma 2 3 2 8 2 4" xfId="5095"/>
    <cellStyle name="Comma 2 3 2 8 3" xfId="663"/>
    <cellStyle name="Comma 2 3 2 8 3 2" xfId="7810"/>
    <cellStyle name="Comma 2 3 2 8 4" xfId="7807"/>
    <cellStyle name="Comma 2 3 2 8 5" xfId="5094"/>
    <cellStyle name="Comma 2 3 2 9" xfId="664"/>
    <cellStyle name="Comma 2 3 2 9 2" xfId="665"/>
    <cellStyle name="Comma 2 3 2 9 2 2" xfId="7812"/>
    <cellStyle name="Comma 2 3 2 9 3" xfId="7811"/>
    <cellStyle name="Comma 2 3 2 9 4" xfId="5096"/>
    <cellStyle name="Comma 2 3 3" xfId="666"/>
    <cellStyle name="Comma 2 3 3 10" xfId="667"/>
    <cellStyle name="Comma 2 3 3 10 2" xfId="668"/>
    <cellStyle name="Comma 2 3 3 10 2 2" xfId="7815"/>
    <cellStyle name="Comma 2 3 3 10 3" xfId="7814"/>
    <cellStyle name="Comma 2 3 3 10 4" xfId="5098"/>
    <cellStyle name="Comma 2 3 3 11" xfId="669"/>
    <cellStyle name="Comma 2 3 3 11 2" xfId="7816"/>
    <cellStyle name="Comma 2 3 3 12" xfId="7813"/>
    <cellStyle name="Comma 2 3 3 13" xfId="5097"/>
    <cellStyle name="Comma 2 3 3 2" xfId="670"/>
    <cellStyle name="Comma 2 3 3 2 10" xfId="671"/>
    <cellStyle name="Comma 2 3 3 2 10 2" xfId="7818"/>
    <cellStyle name="Comma 2 3 3 2 11" xfId="7817"/>
    <cellStyle name="Comma 2 3 3 2 12" xfId="5099"/>
    <cellStyle name="Comma 2 3 3 2 2" xfId="672"/>
    <cellStyle name="Comma 2 3 3 2 2 2" xfId="673"/>
    <cellStyle name="Comma 2 3 3 2 2 2 2" xfId="674"/>
    <cellStyle name="Comma 2 3 3 2 2 2 2 2" xfId="675"/>
    <cellStyle name="Comma 2 3 3 2 2 2 2 2 2" xfId="7822"/>
    <cellStyle name="Comma 2 3 3 2 2 2 2 3" xfId="7821"/>
    <cellStyle name="Comma 2 3 3 2 2 2 2 4" xfId="5102"/>
    <cellStyle name="Comma 2 3 3 2 2 2 3" xfId="676"/>
    <cellStyle name="Comma 2 3 3 2 2 2 3 2" xfId="7823"/>
    <cellStyle name="Comma 2 3 3 2 2 2 4" xfId="7820"/>
    <cellStyle name="Comma 2 3 3 2 2 2 5" xfId="5101"/>
    <cellStyle name="Comma 2 3 3 2 2 3" xfId="677"/>
    <cellStyle name="Comma 2 3 3 2 2 3 2" xfId="678"/>
    <cellStyle name="Comma 2 3 3 2 2 3 2 2" xfId="7825"/>
    <cellStyle name="Comma 2 3 3 2 2 3 3" xfId="7824"/>
    <cellStyle name="Comma 2 3 3 2 2 3 4" xfId="5103"/>
    <cellStyle name="Comma 2 3 3 2 2 4" xfId="679"/>
    <cellStyle name="Comma 2 3 3 2 2 4 2" xfId="680"/>
    <cellStyle name="Comma 2 3 3 2 2 4 2 2" xfId="7827"/>
    <cellStyle name="Comma 2 3 3 2 2 4 3" xfId="7826"/>
    <cellStyle name="Comma 2 3 3 2 2 4 4" xfId="5104"/>
    <cellStyle name="Comma 2 3 3 2 2 5" xfId="681"/>
    <cellStyle name="Comma 2 3 3 2 2 5 2" xfId="7828"/>
    <cellStyle name="Comma 2 3 3 2 2 6" xfId="7819"/>
    <cellStyle name="Comma 2 3 3 2 2 7" xfId="5100"/>
    <cellStyle name="Comma 2 3 3 2 3" xfId="682"/>
    <cellStyle name="Comma 2 3 3 2 3 2" xfId="683"/>
    <cellStyle name="Comma 2 3 3 2 3 2 2" xfId="684"/>
    <cellStyle name="Comma 2 3 3 2 3 2 2 2" xfId="685"/>
    <cellStyle name="Comma 2 3 3 2 3 2 2 2 2" xfId="7832"/>
    <cellStyle name="Comma 2 3 3 2 3 2 2 3" xfId="7831"/>
    <cellStyle name="Comma 2 3 3 2 3 2 2 4" xfId="5107"/>
    <cellStyle name="Comma 2 3 3 2 3 2 3" xfId="686"/>
    <cellStyle name="Comma 2 3 3 2 3 2 3 2" xfId="7833"/>
    <cellStyle name="Comma 2 3 3 2 3 2 4" xfId="7830"/>
    <cellStyle name="Comma 2 3 3 2 3 2 5" xfId="5106"/>
    <cellStyle name="Comma 2 3 3 2 3 3" xfId="687"/>
    <cellStyle name="Comma 2 3 3 2 3 3 2" xfId="688"/>
    <cellStyle name="Comma 2 3 3 2 3 3 2 2" xfId="7835"/>
    <cellStyle name="Comma 2 3 3 2 3 3 3" xfId="7834"/>
    <cellStyle name="Comma 2 3 3 2 3 3 4" xfId="5108"/>
    <cellStyle name="Comma 2 3 3 2 3 4" xfId="689"/>
    <cellStyle name="Comma 2 3 3 2 3 4 2" xfId="690"/>
    <cellStyle name="Comma 2 3 3 2 3 4 2 2" xfId="7837"/>
    <cellStyle name="Comma 2 3 3 2 3 4 3" xfId="7836"/>
    <cellStyle name="Comma 2 3 3 2 3 4 4" xfId="5109"/>
    <cellStyle name="Comma 2 3 3 2 3 5" xfId="691"/>
    <cellStyle name="Comma 2 3 3 2 3 5 2" xfId="7838"/>
    <cellStyle name="Comma 2 3 3 2 3 6" xfId="7829"/>
    <cellStyle name="Comma 2 3 3 2 3 7" xfId="5105"/>
    <cellStyle name="Comma 2 3 3 2 4" xfId="692"/>
    <cellStyle name="Comma 2 3 3 2 4 2" xfId="693"/>
    <cellStyle name="Comma 2 3 3 2 4 2 2" xfId="694"/>
    <cellStyle name="Comma 2 3 3 2 4 2 2 2" xfId="695"/>
    <cellStyle name="Comma 2 3 3 2 4 2 2 2 2" xfId="7842"/>
    <cellStyle name="Comma 2 3 3 2 4 2 2 3" xfId="7841"/>
    <cellStyle name="Comma 2 3 3 2 4 2 2 4" xfId="5112"/>
    <cellStyle name="Comma 2 3 3 2 4 2 3" xfId="696"/>
    <cellStyle name="Comma 2 3 3 2 4 2 3 2" xfId="7843"/>
    <cellStyle name="Comma 2 3 3 2 4 2 4" xfId="7840"/>
    <cellStyle name="Comma 2 3 3 2 4 2 5" xfId="5111"/>
    <cellStyle name="Comma 2 3 3 2 4 3" xfId="697"/>
    <cellStyle name="Comma 2 3 3 2 4 3 2" xfId="698"/>
    <cellStyle name="Comma 2 3 3 2 4 3 2 2" xfId="7845"/>
    <cellStyle name="Comma 2 3 3 2 4 3 3" xfId="7844"/>
    <cellStyle name="Comma 2 3 3 2 4 3 4" xfId="5113"/>
    <cellStyle name="Comma 2 3 3 2 4 4" xfId="699"/>
    <cellStyle name="Comma 2 3 3 2 4 4 2" xfId="700"/>
    <cellStyle name="Comma 2 3 3 2 4 4 2 2" xfId="7847"/>
    <cellStyle name="Comma 2 3 3 2 4 4 3" xfId="7846"/>
    <cellStyle name="Comma 2 3 3 2 4 4 4" xfId="5114"/>
    <cellStyle name="Comma 2 3 3 2 4 5" xfId="701"/>
    <cellStyle name="Comma 2 3 3 2 4 5 2" xfId="7848"/>
    <cellStyle name="Comma 2 3 3 2 4 6" xfId="7839"/>
    <cellStyle name="Comma 2 3 3 2 4 7" xfId="5110"/>
    <cellStyle name="Comma 2 3 3 2 5" xfId="702"/>
    <cellStyle name="Comma 2 3 3 2 5 2" xfId="703"/>
    <cellStyle name="Comma 2 3 3 2 5 2 2" xfId="704"/>
    <cellStyle name="Comma 2 3 3 2 5 2 2 2" xfId="705"/>
    <cellStyle name="Comma 2 3 3 2 5 2 2 2 2" xfId="7852"/>
    <cellStyle name="Comma 2 3 3 2 5 2 2 3" xfId="7851"/>
    <cellStyle name="Comma 2 3 3 2 5 2 2 4" xfId="5117"/>
    <cellStyle name="Comma 2 3 3 2 5 2 3" xfId="706"/>
    <cellStyle name="Comma 2 3 3 2 5 2 3 2" xfId="7853"/>
    <cellStyle name="Comma 2 3 3 2 5 2 4" xfId="7850"/>
    <cellStyle name="Comma 2 3 3 2 5 2 5" xfId="5116"/>
    <cellStyle name="Comma 2 3 3 2 5 3" xfId="707"/>
    <cellStyle name="Comma 2 3 3 2 5 3 2" xfId="708"/>
    <cellStyle name="Comma 2 3 3 2 5 3 2 2" xfId="7855"/>
    <cellStyle name="Comma 2 3 3 2 5 3 3" xfId="7854"/>
    <cellStyle name="Comma 2 3 3 2 5 3 4" xfId="5118"/>
    <cellStyle name="Comma 2 3 3 2 5 4" xfId="709"/>
    <cellStyle name="Comma 2 3 3 2 5 4 2" xfId="710"/>
    <cellStyle name="Comma 2 3 3 2 5 4 2 2" xfId="7857"/>
    <cellStyle name="Comma 2 3 3 2 5 4 3" xfId="7856"/>
    <cellStyle name="Comma 2 3 3 2 5 4 4" xfId="5119"/>
    <cellStyle name="Comma 2 3 3 2 5 5" xfId="711"/>
    <cellStyle name="Comma 2 3 3 2 5 5 2" xfId="7858"/>
    <cellStyle name="Comma 2 3 3 2 5 6" xfId="7849"/>
    <cellStyle name="Comma 2 3 3 2 5 7" xfId="5115"/>
    <cellStyle name="Comma 2 3 3 2 6" xfId="712"/>
    <cellStyle name="Comma 2 3 3 2 6 2" xfId="713"/>
    <cellStyle name="Comma 2 3 3 2 6 2 2" xfId="714"/>
    <cellStyle name="Comma 2 3 3 2 6 2 2 2" xfId="7861"/>
    <cellStyle name="Comma 2 3 3 2 6 2 3" xfId="7860"/>
    <cellStyle name="Comma 2 3 3 2 6 2 4" xfId="5121"/>
    <cellStyle name="Comma 2 3 3 2 6 3" xfId="715"/>
    <cellStyle name="Comma 2 3 3 2 6 3 2" xfId="716"/>
    <cellStyle name="Comma 2 3 3 2 6 3 2 2" xfId="7863"/>
    <cellStyle name="Comma 2 3 3 2 6 3 3" xfId="7862"/>
    <cellStyle name="Comma 2 3 3 2 6 3 4" xfId="5122"/>
    <cellStyle name="Comma 2 3 3 2 6 4" xfId="717"/>
    <cellStyle name="Comma 2 3 3 2 6 4 2" xfId="7864"/>
    <cellStyle name="Comma 2 3 3 2 6 5" xfId="7859"/>
    <cellStyle name="Comma 2 3 3 2 6 6" xfId="5120"/>
    <cellStyle name="Comma 2 3 3 2 7" xfId="718"/>
    <cellStyle name="Comma 2 3 3 2 7 2" xfId="719"/>
    <cellStyle name="Comma 2 3 3 2 7 2 2" xfId="720"/>
    <cellStyle name="Comma 2 3 3 2 7 2 2 2" xfId="7867"/>
    <cellStyle name="Comma 2 3 3 2 7 2 3" xfId="7866"/>
    <cellStyle name="Comma 2 3 3 2 7 2 4" xfId="5124"/>
    <cellStyle name="Comma 2 3 3 2 7 3" xfId="721"/>
    <cellStyle name="Comma 2 3 3 2 7 3 2" xfId="7868"/>
    <cellStyle name="Comma 2 3 3 2 7 4" xfId="7865"/>
    <cellStyle name="Comma 2 3 3 2 7 5" xfId="5123"/>
    <cellStyle name="Comma 2 3 3 2 8" xfId="722"/>
    <cellStyle name="Comma 2 3 3 2 8 2" xfId="723"/>
    <cellStyle name="Comma 2 3 3 2 8 2 2" xfId="7870"/>
    <cellStyle name="Comma 2 3 3 2 8 3" xfId="7869"/>
    <cellStyle name="Comma 2 3 3 2 8 4" xfId="5125"/>
    <cellStyle name="Comma 2 3 3 2 9" xfId="724"/>
    <cellStyle name="Comma 2 3 3 2 9 2" xfId="725"/>
    <cellStyle name="Comma 2 3 3 2 9 2 2" xfId="7872"/>
    <cellStyle name="Comma 2 3 3 2 9 3" xfId="7871"/>
    <cellStyle name="Comma 2 3 3 2 9 4" xfId="5126"/>
    <cellStyle name="Comma 2 3 3 3" xfId="726"/>
    <cellStyle name="Comma 2 3 3 3 2" xfId="727"/>
    <cellStyle name="Comma 2 3 3 3 2 2" xfId="728"/>
    <cellStyle name="Comma 2 3 3 3 2 2 2" xfId="729"/>
    <cellStyle name="Comma 2 3 3 3 2 2 2 2" xfId="7876"/>
    <cellStyle name="Comma 2 3 3 3 2 2 3" xfId="7875"/>
    <cellStyle name="Comma 2 3 3 3 2 2 4" xfId="5129"/>
    <cellStyle name="Comma 2 3 3 3 2 3" xfId="730"/>
    <cellStyle name="Comma 2 3 3 3 2 3 2" xfId="7877"/>
    <cellStyle name="Comma 2 3 3 3 2 4" xfId="7874"/>
    <cellStyle name="Comma 2 3 3 3 2 5" xfId="5128"/>
    <cellStyle name="Comma 2 3 3 3 3" xfId="731"/>
    <cellStyle name="Comma 2 3 3 3 3 2" xfId="732"/>
    <cellStyle name="Comma 2 3 3 3 3 2 2" xfId="7879"/>
    <cellStyle name="Comma 2 3 3 3 3 3" xfId="7878"/>
    <cellStyle name="Comma 2 3 3 3 3 4" xfId="5130"/>
    <cellStyle name="Comma 2 3 3 3 4" xfId="733"/>
    <cellStyle name="Comma 2 3 3 3 4 2" xfId="734"/>
    <cellStyle name="Comma 2 3 3 3 4 2 2" xfId="7881"/>
    <cellStyle name="Comma 2 3 3 3 4 3" xfId="7880"/>
    <cellStyle name="Comma 2 3 3 3 4 4" xfId="5131"/>
    <cellStyle name="Comma 2 3 3 3 5" xfId="735"/>
    <cellStyle name="Comma 2 3 3 3 5 2" xfId="7882"/>
    <cellStyle name="Comma 2 3 3 3 6" xfId="7873"/>
    <cellStyle name="Comma 2 3 3 3 7" xfId="5127"/>
    <cellStyle name="Comma 2 3 3 4" xfId="736"/>
    <cellStyle name="Comma 2 3 3 4 2" xfId="737"/>
    <cellStyle name="Comma 2 3 3 4 2 2" xfId="738"/>
    <cellStyle name="Comma 2 3 3 4 2 2 2" xfId="739"/>
    <cellStyle name="Comma 2 3 3 4 2 2 2 2" xfId="7886"/>
    <cellStyle name="Comma 2 3 3 4 2 2 3" xfId="7885"/>
    <cellStyle name="Comma 2 3 3 4 2 2 4" xfId="5134"/>
    <cellStyle name="Comma 2 3 3 4 2 3" xfId="740"/>
    <cellStyle name="Comma 2 3 3 4 2 3 2" xfId="7887"/>
    <cellStyle name="Comma 2 3 3 4 2 4" xfId="7884"/>
    <cellStyle name="Comma 2 3 3 4 2 5" xfId="5133"/>
    <cellStyle name="Comma 2 3 3 4 3" xfId="741"/>
    <cellStyle name="Comma 2 3 3 4 3 2" xfId="742"/>
    <cellStyle name="Comma 2 3 3 4 3 2 2" xfId="7889"/>
    <cellStyle name="Comma 2 3 3 4 3 3" xfId="7888"/>
    <cellStyle name="Comma 2 3 3 4 3 4" xfId="5135"/>
    <cellStyle name="Comma 2 3 3 4 4" xfId="743"/>
    <cellStyle name="Comma 2 3 3 4 4 2" xfId="744"/>
    <cellStyle name="Comma 2 3 3 4 4 2 2" xfId="7891"/>
    <cellStyle name="Comma 2 3 3 4 4 3" xfId="7890"/>
    <cellStyle name="Comma 2 3 3 4 4 4" xfId="5136"/>
    <cellStyle name="Comma 2 3 3 4 5" xfId="745"/>
    <cellStyle name="Comma 2 3 3 4 5 2" xfId="7892"/>
    <cellStyle name="Comma 2 3 3 4 6" xfId="7883"/>
    <cellStyle name="Comma 2 3 3 4 7" xfId="5132"/>
    <cellStyle name="Comma 2 3 3 5" xfId="746"/>
    <cellStyle name="Comma 2 3 3 5 2" xfId="747"/>
    <cellStyle name="Comma 2 3 3 5 2 2" xfId="748"/>
    <cellStyle name="Comma 2 3 3 5 2 2 2" xfId="749"/>
    <cellStyle name="Comma 2 3 3 5 2 2 2 2" xfId="7896"/>
    <cellStyle name="Comma 2 3 3 5 2 2 3" xfId="7895"/>
    <cellStyle name="Comma 2 3 3 5 2 2 4" xfId="5139"/>
    <cellStyle name="Comma 2 3 3 5 2 3" xfId="750"/>
    <cellStyle name="Comma 2 3 3 5 2 3 2" xfId="7897"/>
    <cellStyle name="Comma 2 3 3 5 2 4" xfId="7894"/>
    <cellStyle name="Comma 2 3 3 5 2 5" xfId="5138"/>
    <cellStyle name="Comma 2 3 3 5 3" xfId="751"/>
    <cellStyle name="Comma 2 3 3 5 3 2" xfId="752"/>
    <cellStyle name="Comma 2 3 3 5 3 2 2" xfId="7899"/>
    <cellStyle name="Comma 2 3 3 5 3 3" xfId="7898"/>
    <cellStyle name="Comma 2 3 3 5 3 4" xfId="5140"/>
    <cellStyle name="Comma 2 3 3 5 4" xfId="753"/>
    <cellStyle name="Comma 2 3 3 5 4 2" xfId="754"/>
    <cellStyle name="Comma 2 3 3 5 4 2 2" xfId="7901"/>
    <cellStyle name="Comma 2 3 3 5 4 3" xfId="7900"/>
    <cellStyle name="Comma 2 3 3 5 4 4" xfId="5141"/>
    <cellStyle name="Comma 2 3 3 5 5" xfId="755"/>
    <cellStyle name="Comma 2 3 3 5 5 2" xfId="7902"/>
    <cellStyle name="Comma 2 3 3 5 6" xfId="7893"/>
    <cellStyle name="Comma 2 3 3 5 7" xfId="5137"/>
    <cellStyle name="Comma 2 3 3 6" xfId="756"/>
    <cellStyle name="Comma 2 3 3 6 2" xfId="757"/>
    <cellStyle name="Comma 2 3 3 6 2 2" xfId="758"/>
    <cellStyle name="Comma 2 3 3 6 2 2 2" xfId="759"/>
    <cellStyle name="Comma 2 3 3 6 2 2 2 2" xfId="7906"/>
    <cellStyle name="Comma 2 3 3 6 2 2 3" xfId="7905"/>
    <cellStyle name="Comma 2 3 3 6 2 2 4" xfId="5144"/>
    <cellStyle name="Comma 2 3 3 6 2 3" xfId="760"/>
    <cellStyle name="Comma 2 3 3 6 2 3 2" xfId="7907"/>
    <cellStyle name="Comma 2 3 3 6 2 4" xfId="7904"/>
    <cellStyle name="Comma 2 3 3 6 2 5" xfId="5143"/>
    <cellStyle name="Comma 2 3 3 6 3" xfId="761"/>
    <cellStyle name="Comma 2 3 3 6 3 2" xfId="762"/>
    <cellStyle name="Comma 2 3 3 6 3 2 2" xfId="7909"/>
    <cellStyle name="Comma 2 3 3 6 3 3" xfId="7908"/>
    <cellStyle name="Comma 2 3 3 6 3 4" xfId="5145"/>
    <cellStyle name="Comma 2 3 3 6 4" xfId="763"/>
    <cellStyle name="Comma 2 3 3 6 4 2" xfId="764"/>
    <cellStyle name="Comma 2 3 3 6 4 2 2" xfId="7911"/>
    <cellStyle name="Comma 2 3 3 6 4 3" xfId="7910"/>
    <cellStyle name="Comma 2 3 3 6 4 4" xfId="5146"/>
    <cellStyle name="Comma 2 3 3 6 5" xfId="765"/>
    <cellStyle name="Comma 2 3 3 6 5 2" xfId="7912"/>
    <cellStyle name="Comma 2 3 3 6 6" xfId="7903"/>
    <cellStyle name="Comma 2 3 3 6 7" xfId="5142"/>
    <cellStyle name="Comma 2 3 3 7" xfId="766"/>
    <cellStyle name="Comma 2 3 3 7 2" xfId="767"/>
    <cellStyle name="Comma 2 3 3 7 2 2" xfId="768"/>
    <cellStyle name="Comma 2 3 3 7 2 2 2" xfId="7915"/>
    <cellStyle name="Comma 2 3 3 7 2 3" xfId="7914"/>
    <cellStyle name="Comma 2 3 3 7 2 4" xfId="5148"/>
    <cellStyle name="Comma 2 3 3 7 3" xfId="769"/>
    <cellStyle name="Comma 2 3 3 7 3 2" xfId="770"/>
    <cellStyle name="Comma 2 3 3 7 3 2 2" xfId="7917"/>
    <cellStyle name="Comma 2 3 3 7 3 3" xfId="7916"/>
    <cellStyle name="Comma 2 3 3 7 3 4" xfId="5149"/>
    <cellStyle name="Comma 2 3 3 7 4" xfId="771"/>
    <cellStyle name="Comma 2 3 3 7 4 2" xfId="7918"/>
    <cellStyle name="Comma 2 3 3 7 5" xfId="7913"/>
    <cellStyle name="Comma 2 3 3 7 6" xfId="5147"/>
    <cellStyle name="Comma 2 3 3 8" xfId="772"/>
    <cellStyle name="Comma 2 3 3 8 2" xfId="773"/>
    <cellStyle name="Comma 2 3 3 8 2 2" xfId="774"/>
    <cellStyle name="Comma 2 3 3 8 2 2 2" xfId="7921"/>
    <cellStyle name="Comma 2 3 3 8 2 3" xfId="7920"/>
    <cellStyle name="Comma 2 3 3 8 2 4" xfId="5151"/>
    <cellStyle name="Comma 2 3 3 8 3" xfId="775"/>
    <cellStyle name="Comma 2 3 3 8 3 2" xfId="7922"/>
    <cellStyle name="Comma 2 3 3 8 4" xfId="7919"/>
    <cellStyle name="Comma 2 3 3 8 5" xfId="5150"/>
    <cellStyle name="Comma 2 3 3 9" xfId="776"/>
    <cellStyle name="Comma 2 3 3 9 2" xfId="777"/>
    <cellStyle name="Comma 2 3 3 9 2 2" xfId="7924"/>
    <cellStyle name="Comma 2 3 3 9 3" xfId="7923"/>
    <cellStyle name="Comma 2 3 3 9 4" xfId="5152"/>
    <cellStyle name="Comma 2 3 4" xfId="778"/>
    <cellStyle name="Comma 2 3 4 10" xfId="779"/>
    <cellStyle name="Comma 2 3 4 10 2" xfId="780"/>
    <cellStyle name="Comma 2 3 4 10 2 2" xfId="7927"/>
    <cellStyle name="Comma 2 3 4 10 3" xfId="7926"/>
    <cellStyle name="Comma 2 3 4 10 4" xfId="5154"/>
    <cellStyle name="Comma 2 3 4 11" xfId="781"/>
    <cellStyle name="Comma 2 3 4 11 2" xfId="7928"/>
    <cellStyle name="Comma 2 3 4 12" xfId="7925"/>
    <cellStyle name="Comma 2 3 4 13" xfId="5153"/>
    <cellStyle name="Comma 2 3 4 2" xfId="782"/>
    <cellStyle name="Comma 2 3 4 2 10" xfId="783"/>
    <cellStyle name="Comma 2 3 4 2 10 2" xfId="7930"/>
    <cellStyle name="Comma 2 3 4 2 11" xfId="7929"/>
    <cellStyle name="Comma 2 3 4 2 12" xfId="5155"/>
    <cellStyle name="Comma 2 3 4 2 2" xfId="784"/>
    <cellStyle name="Comma 2 3 4 2 2 2" xfId="785"/>
    <cellStyle name="Comma 2 3 4 2 2 2 2" xfId="786"/>
    <cellStyle name="Comma 2 3 4 2 2 2 2 2" xfId="787"/>
    <cellStyle name="Comma 2 3 4 2 2 2 2 2 2" xfId="7934"/>
    <cellStyle name="Comma 2 3 4 2 2 2 2 3" xfId="7933"/>
    <cellStyle name="Comma 2 3 4 2 2 2 2 4" xfId="5158"/>
    <cellStyle name="Comma 2 3 4 2 2 2 3" xfId="788"/>
    <cellStyle name="Comma 2 3 4 2 2 2 3 2" xfId="7935"/>
    <cellStyle name="Comma 2 3 4 2 2 2 4" xfId="7932"/>
    <cellStyle name="Comma 2 3 4 2 2 2 5" xfId="5157"/>
    <cellStyle name="Comma 2 3 4 2 2 3" xfId="789"/>
    <cellStyle name="Comma 2 3 4 2 2 3 2" xfId="790"/>
    <cellStyle name="Comma 2 3 4 2 2 3 2 2" xfId="7937"/>
    <cellStyle name="Comma 2 3 4 2 2 3 3" xfId="7936"/>
    <cellStyle name="Comma 2 3 4 2 2 3 4" xfId="5159"/>
    <cellStyle name="Comma 2 3 4 2 2 4" xfId="791"/>
    <cellStyle name="Comma 2 3 4 2 2 4 2" xfId="792"/>
    <cellStyle name="Comma 2 3 4 2 2 4 2 2" xfId="7939"/>
    <cellStyle name="Comma 2 3 4 2 2 4 3" xfId="7938"/>
    <cellStyle name="Comma 2 3 4 2 2 4 4" xfId="5160"/>
    <cellStyle name="Comma 2 3 4 2 2 5" xfId="793"/>
    <cellStyle name="Comma 2 3 4 2 2 5 2" xfId="7940"/>
    <cellStyle name="Comma 2 3 4 2 2 6" xfId="7931"/>
    <cellStyle name="Comma 2 3 4 2 2 7" xfId="5156"/>
    <cellStyle name="Comma 2 3 4 2 3" xfId="794"/>
    <cellStyle name="Comma 2 3 4 2 3 2" xfId="795"/>
    <cellStyle name="Comma 2 3 4 2 3 2 2" xfId="796"/>
    <cellStyle name="Comma 2 3 4 2 3 2 2 2" xfId="797"/>
    <cellStyle name="Comma 2 3 4 2 3 2 2 2 2" xfId="7944"/>
    <cellStyle name="Comma 2 3 4 2 3 2 2 3" xfId="7943"/>
    <cellStyle name="Comma 2 3 4 2 3 2 2 4" xfId="5163"/>
    <cellStyle name="Comma 2 3 4 2 3 2 3" xfId="798"/>
    <cellStyle name="Comma 2 3 4 2 3 2 3 2" xfId="7945"/>
    <cellStyle name="Comma 2 3 4 2 3 2 4" xfId="7942"/>
    <cellStyle name="Comma 2 3 4 2 3 2 5" xfId="5162"/>
    <cellStyle name="Comma 2 3 4 2 3 3" xfId="799"/>
    <cellStyle name="Comma 2 3 4 2 3 3 2" xfId="800"/>
    <cellStyle name="Comma 2 3 4 2 3 3 2 2" xfId="7947"/>
    <cellStyle name="Comma 2 3 4 2 3 3 3" xfId="7946"/>
    <cellStyle name="Comma 2 3 4 2 3 3 4" xfId="5164"/>
    <cellStyle name="Comma 2 3 4 2 3 4" xfId="801"/>
    <cellStyle name="Comma 2 3 4 2 3 4 2" xfId="802"/>
    <cellStyle name="Comma 2 3 4 2 3 4 2 2" xfId="7949"/>
    <cellStyle name="Comma 2 3 4 2 3 4 3" xfId="7948"/>
    <cellStyle name="Comma 2 3 4 2 3 4 4" xfId="5165"/>
    <cellStyle name="Comma 2 3 4 2 3 5" xfId="803"/>
    <cellStyle name="Comma 2 3 4 2 3 5 2" xfId="7950"/>
    <cellStyle name="Comma 2 3 4 2 3 6" xfId="7941"/>
    <cellStyle name="Comma 2 3 4 2 3 7" xfId="5161"/>
    <cellStyle name="Comma 2 3 4 2 4" xfId="804"/>
    <cellStyle name="Comma 2 3 4 2 4 2" xfId="805"/>
    <cellStyle name="Comma 2 3 4 2 4 2 2" xfId="806"/>
    <cellStyle name="Comma 2 3 4 2 4 2 2 2" xfId="807"/>
    <cellStyle name="Comma 2 3 4 2 4 2 2 2 2" xfId="7954"/>
    <cellStyle name="Comma 2 3 4 2 4 2 2 3" xfId="7953"/>
    <cellStyle name="Comma 2 3 4 2 4 2 2 4" xfId="5168"/>
    <cellStyle name="Comma 2 3 4 2 4 2 3" xfId="808"/>
    <cellStyle name="Comma 2 3 4 2 4 2 3 2" xfId="7955"/>
    <cellStyle name="Comma 2 3 4 2 4 2 4" xfId="7952"/>
    <cellStyle name="Comma 2 3 4 2 4 2 5" xfId="5167"/>
    <cellStyle name="Comma 2 3 4 2 4 3" xfId="809"/>
    <cellStyle name="Comma 2 3 4 2 4 3 2" xfId="810"/>
    <cellStyle name="Comma 2 3 4 2 4 3 2 2" xfId="7957"/>
    <cellStyle name="Comma 2 3 4 2 4 3 3" xfId="7956"/>
    <cellStyle name="Comma 2 3 4 2 4 3 4" xfId="5169"/>
    <cellStyle name="Comma 2 3 4 2 4 4" xfId="811"/>
    <cellStyle name="Comma 2 3 4 2 4 4 2" xfId="812"/>
    <cellStyle name="Comma 2 3 4 2 4 4 2 2" xfId="7959"/>
    <cellStyle name="Comma 2 3 4 2 4 4 3" xfId="7958"/>
    <cellStyle name="Comma 2 3 4 2 4 4 4" xfId="5170"/>
    <cellStyle name="Comma 2 3 4 2 4 5" xfId="813"/>
    <cellStyle name="Comma 2 3 4 2 4 5 2" xfId="7960"/>
    <cellStyle name="Comma 2 3 4 2 4 6" xfId="7951"/>
    <cellStyle name="Comma 2 3 4 2 4 7" xfId="5166"/>
    <cellStyle name="Comma 2 3 4 2 5" xfId="814"/>
    <cellStyle name="Comma 2 3 4 2 5 2" xfId="815"/>
    <cellStyle name="Comma 2 3 4 2 5 2 2" xfId="816"/>
    <cellStyle name="Comma 2 3 4 2 5 2 2 2" xfId="817"/>
    <cellStyle name="Comma 2 3 4 2 5 2 2 2 2" xfId="7964"/>
    <cellStyle name="Comma 2 3 4 2 5 2 2 3" xfId="7963"/>
    <cellStyle name="Comma 2 3 4 2 5 2 2 4" xfId="5173"/>
    <cellStyle name="Comma 2 3 4 2 5 2 3" xfId="818"/>
    <cellStyle name="Comma 2 3 4 2 5 2 3 2" xfId="7965"/>
    <cellStyle name="Comma 2 3 4 2 5 2 4" xfId="7962"/>
    <cellStyle name="Comma 2 3 4 2 5 2 5" xfId="5172"/>
    <cellStyle name="Comma 2 3 4 2 5 3" xfId="819"/>
    <cellStyle name="Comma 2 3 4 2 5 3 2" xfId="820"/>
    <cellStyle name="Comma 2 3 4 2 5 3 2 2" xfId="7967"/>
    <cellStyle name="Comma 2 3 4 2 5 3 3" xfId="7966"/>
    <cellStyle name="Comma 2 3 4 2 5 3 4" xfId="5174"/>
    <cellStyle name="Comma 2 3 4 2 5 4" xfId="821"/>
    <cellStyle name="Comma 2 3 4 2 5 4 2" xfId="822"/>
    <cellStyle name="Comma 2 3 4 2 5 4 2 2" xfId="7969"/>
    <cellStyle name="Comma 2 3 4 2 5 4 3" xfId="7968"/>
    <cellStyle name="Comma 2 3 4 2 5 4 4" xfId="5175"/>
    <cellStyle name="Comma 2 3 4 2 5 5" xfId="823"/>
    <cellStyle name="Comma 2 3 4 2 5 5 2" xfId="7970"/>
    <cellStyle name="Comma 2 3 4 2 5 6" xfId="7961"/>
    <cellStyle name="Comma 2 3 4 2 5 7" xfId="5171"/>
    <cellStyle name="Comma 2 3 4 2 6" xfId="824"/>
    <cellStyle name="Comma 2 3 4 2 6 2" xfId="825"/>
    <cellStyle name="Comma 2 3 4 2 6 2 2" xfId="826"/>
    <cellStyle name="Comma 2 3 4 2 6 2 2 2" xfId="7973"/>
    <cellStyle name="Comma 2 3 4 2 6 2 3" xfId="7972"/>
    <cellStyle name="Comma 2 3 4 2 6 2 4" xfId="5177"/>
    <cellStyle name="Comma 2 3 4 2 6 3" xfId="827"/>
    <cellStyle name="Comma 2 3 4 2 6 3 2" xfId="828"/>
    <cellStyle name="Comma 2 3 4 2 6 3 2 2" xfId="7975"/>
    <cellStyle name="Comma 2 3 4 2 6 3 3" xfId="7974"/>
    <cellStyle name="Comma 2 3 4 2 6 3 4" xfId="5178"/>
    <cellStyle name="Comma 2 3 4 2 6 4" xfId="829"/>
    <cellStyle name="Comma 2 3 4 2 6 4 2" xfId="7976"/>
    <cellStyle name="Comma 2 3 4 2 6 5" xfId="7971"/>
    <cellStyle name="Comma 2 3 4 2 6 6" xfId="5176"/>
    <cellStyle name="Comma 2 3 4 2 7" xfId="830"/>
    <cellStyle name="Comma 2 3 4 2 7 2" xfId="831"/>
    <cellStyle name="Comma 2 3 4 2 7 2 2" xfId="832"/>
    <cellStyle name="Comma 2 3 4 2 7 2 2 2" xfId="7979"/>
    <cellStyle name="Comma 2 3 4 2 7 2 3" xfId="7978"/>
    <cellStyle name="Comma 2 3 4 2 7 2 4" xfId="5180"/>
    <cellStyle name="Comma 2 3 4 2 7 3" xfId="833"/>
    <cellStyle name="Comma 2 3 4 2 7 3 2" xfId="7980"/>
    <cellStyle name="Comma 2 3 4 2 7 4" xfId="7977"/>
    <cellStyle name="Comma 2 3 4 2 7 5" xfId="5179"/>
    <cellStyle name="Comma 2 3 4 2 8" xfId="834"/>
    <cellStyle name="Comma 2 3 4 2 8 2" xfId="835"/>
    <cellStyle name="Comma 2 3 4 2 8 2 2" xfId="7982"/>
    <cellStyle name="Comma 2 3 4 2 8 3" xfId="7981"/>
    <cellStyle name="Comma 2 3 4 2 8 4" xfId="5181"/>
    <cellStyle name="Comma 2 3 4 2 9" xfId="836"/>
    <cellStyle name="Comma 2 3 4 2 9 2" xfId="837"/>
    <cellStyle name="Comma 2 3 4 2 9 2 2" xfId="7984"/>
    <cellStyle name="Comma 2 3 4 2 9 3" xfId="7983"/>
    <cellStyle name="Comma 2 3 4 2 9 4" xfId="5182"/>
    <cellStyle name="Comma 2 3 4 3" xfId="838"/>
    <cellStyle name="Comma 2 3 4 3 2" xfId="839"/>
    <cellStyle name="Comma 2 3 4 3 2 2" xfId="840"/>
    <cellStyle name="Comma 2 3 4 3 2 2 2" xfId="841"/>
    <cellStyle name="Comma 2 3 4 3 2 2 2 2" xfId="7988"/>
    <cellStyle name="Comma 2 3 4 3 2 2 3" xfId="7987"/>
    <cellStyle name="Comma 2 3 4 3 2 2 4" xfId="5185"/>
    <cellStyle name="Comma 2 3 4 3 2 3" xfId="842"/>
    <cellStyle name="Comma 2 3 4 3 2 3 2" xfId="7989"/>
    <cellStyle name="Comma 2 3 4 3 2 4" xfId="7986"/>
    <cellStyle name="Comma 2 3 4 3 2 5" xfId="5184"/>
    <cellStyle name="Comma 2 3 4 3 3" xfId="843"/>
    <cellStyle name="Comma 2 3 4 3 3 2" xfId="844"/>
    <cellStyle name="Comma 2 3 4 3 3 2 2" xfId="7991"/>
    <cellStyle name="Comma 2 3 4 3 3 3" xfId="7990"/>
    <cellStyle name="Comma 2 3 4 3 3 4" xfId="5186"/>
    <cellStyle name="Comma 2 3 4 3 4" xfId="845"/>
    <cellStyle name="Comma 2 3 4 3 4 2" xfId="846"/>
    <cellStyle name="Comma 2 3 4 3 4 2 2" xfId="7993"/>
    <cellStyle name="Comma 2 3 4 3 4 3" xfId="7992"/>
    <cellStyle name="Comma 2 3 4 3 4 4" xfId="5187"/>
    <cellStyle name="Comma 2 3 4 3 5" xfId="847"/>
    <cellStyle name="Comma 2 3 4 3 5 2" xfId="7994"/>
    <cellStyle name="Comma 2 3 4 3 6" xfId="7985"/>
    <cellStyle name="Comma 2 3 4 3 7" xfId="5183"/>
    <cellStyle name="Comma 2 3 4 4" xfId="848"/>
    <cellStyle name="Comma 2 3 4 4 2" xfId="849"/>
    <cellStyle name="Comma 2 3 4 4 2 2" xfId="850"/>
    <cellStyle name="Comma 2 3 4 4 2 2 2" xfId="851"/>
    <cellStyle name="Comma 2 3 4 4 2 2 2 2" xfId="7998"/>
    <cellStyle name="Comma 2 3 4 4 2 2 3" xfId="7997"/>
    <cellStyle name="Comma 2 3 4 4 2 2 4" xfId="5190"/>
    <cellStyle name="Comma 2 3 4 4 2 3" xfId="852"/>
    <cellStyle name="Comma 2 3 4 4 2 3 2" xfId="7999"/>
    <cellStyle name="Comma 2 3 4 4 2 4" xfId="7996"/>
    <cellStyle name="Comma 2 3 4 4 2 5" xfId="5189"/>
    <cellStyle name="Comma 2 3 4 4 3" xfId="853"/>
    <cellStyle name="Comma 2 3 4 4 3 2" xfId="854"/>
    <cellStyle name="Comma 2 3 4 4 3 2 2" xfId="8001"/>
    <cellStyle name="Comma 2 3 4 4 3 3" xfId="8000"/>
    <cellStyle name="Comma 2 3 4 4 3 4" xfId="5191"/>
    <cellStyle name="Comma 2 3 4 4 4" xfId="855"/>
    <cellStyle name="Comma 2 3 4 4 4 2" xfId="856"/>
    <cellStyle name="Comma 2 3 4 4 4 2 2" xfId="8003"/>
    <cellStyle name="Comma 2 3 4 4 4 3" xfId="8002"/>
    <cellStyle name="Comma 2 3 4 4 4 4" xfId="5192"/>
    <cellStyle name="Comma 2 3 4 4 5" xfId="857"/>
    <cellStyle name="Comma 2 3 4 4 5 2" xfId="8004"/>
    <cellStyle name="Comma 2 3 4 4 6" xfId="7995"/>
    <cellStyle name="Comma 2 3 4 4 7" xfId="5188"/>
    <cellStyle name="Comma 2 3 4 5" xfId="858"/>
    <cellStyle name="Comma 2 3 4 5 2" xfId="859"/>
    <cellStyle name="Comma 2 3 4 5 2 2" xfId="860"/>
    <cellStyle name="Comma 2 3 4 5 2 2 2" xfId="861"/>
    <cellStyle name="Comma 2 3 4 5 2 2 2 2" xfId="8008"/>
    <cellStyle name="Comma 2 3 4 5 2 2 3" xfId="8007"/>
    <cellStyle name="Comma 2 3 4 5 2 2 4" xfId="5195"/>
    <cellStyle name="Comma 2 3 4 5 2 3" xfId="862"/>
    <cellStyle name="Comma 2 3 4 5 2 3 2" xfId="8009"/>
    <cellStyle name="Comma 2 3 4 5 2 4" xfId="8006"/>
    <cellStyle name="Comma 2 3 4 5 2 5" xfId="5194"/>
    <cellStyle name="Comma 2 3 4 5 3" xfId="863"/>
    <cellStyle name="Comma 2 3 4 5 3 2" xfId="864"/>
    <cellStyle name="Comma 2 3 4 5 3 2 2" xfId="8011"/>
    <cellStyle name="Comma 2 3 4 5 3 3" xfId="8010"/>
    <cellStyle name="Comma 2 3 4 5 3 4" xfId="5196"/>
    <cellStyle name="Comma 2 3 4 5 4" xfId="865"/>
    <cellStyle name="Comma 2 3 4 5 4 2" xfId="866"/>
    <cellStyle name="Comma 2 3 4 5 4 2 2" xfId="8013"/>
    <cellStyle name="Comma 2 3 4 5 4 3" xfId="8012"/>
    <cellStyle name="Comma 2 3 4 5 4 4" xfId="5197"/>
    <cellStyle name="Comma 2 3 4 5 5" xfId="867"/>
    <cellStyle name="Comma 2 3 4 5 5 2" xfId="8014"/>
    <cellStyle name="Comma 2 3 4 5 6" xfId="8005"/>
    <cellStyle name="Comma 2 3 4 5 7" xfId="5193"/>
    <cellStyle name="Comma 2 3 4 6" xfId="868"/>
    <cellStyle name="Comma 2 3 4 6 2" xfId="869"/>
    <cellStyle name="Comma 2 3 4 6 2 2" xfId="870"/>
    <cellStyle name="Comma 2 3 4 6 2 2 2" xfId="871"/>
    <cellStyle name="Comma 2 3 4 6 2 2 2 2" xfId="8018"/>
    <cellStyle name="Comma 2 3 4 6 2 2 3" xfId="8017"/>
    <cellStyle name="Comma 2 3 4 6 2 2 4" xfId="5200"/>
    <cellStyle name="Comma 2 3 4 6 2 3" xfId="872"/>
    <cellStyle name="Comma 2 3 4 6 2 3 2" xfId="8019"/>
    <cellStyle name="Comma 2 3 4 6 2 4" xfId="8016"/>
    <cellStyle name="Comma 2 3 4 6 2 5" xfId="5199"/>
    <cellStyle name="Comma 2 3 4 6 3" xfId="873"/>
    <cellStyle name="Comma 2 3 4 6 3 2" xfId="874"/>
    <cellStyle name="Comma 2 3 4 6 3 2 2" xfId="8021"/>
    <cellStyle name="Comma 2 3 4 6 3 3" xfId="8020"/>
    <cellStyle name="Comma 2 3 4 6 3 4" xfId="5201"/>
    <cellStyle name="Comma 2 3 4 6 4" xfId="875"/>
    <cellStyle name="Comma 2 3 4 6 4 2" xfId="876"/>
    <cellStyle name="Comma 2 3 4 6 4 2 2" xfId="8023"/>
    <cellStyle name="Comma 2 3 4 6 4 3" xfId="8022"/>
    <cellStyle name="Comma 2 3 4 6 4 4" xfId="5202"/>
    <cellStyle name="Comma 2 3 4 6 5" xfId="877"/>
    <cellStyle name="Comma 2 3 4 6 5 2" xfId="8024"/>
    <cellStyle name="Comma 2 3 4 6 6" xfId="8015"/>
    <cellStyle name="Comma 2 3 4 6 7" xfId="5198"/>
    <cellStyle name="Comma 2 3 4 7" xfId="878"/>
    <cellStyle name="Comma 2 3 4 7 2" xfId="879"/>
    <cellStyle name="Comma 2 3 4 7 2 2" xfId="880"/>
    <cellStyle name="Comma 2 3 4 7 2 2 2" xfId="8027"/>
    <cellStyle name="Comma 2 3 4 7 2 3" xfId="8026"/>
    <cellStyle name="Comma 2 3 4 7 2 4" xfId="5204"/>
    <cellStyle name="Comma 2 3 4 7 3" xfId="881"/>
    <cellStyle name="Comma 2 3 4 7 3 2" xfId="882"/>
    <cellStyle name="Comma 2 3 4 7 3 2 2" xfId="8029"/>
    <cellStyle name="Comma 2 3 4 7 3 3" xfId="8028"/>
    <cellStyle name="Comma 2 3 4 7 3 4" xfId="5205"/>
    <cellStyle name="Comma 2 3 4 7 4" xfId="883"/>
    <cellStyle name="Comma 2 3 4 7 4 2" xfId="8030"/>
    <cellStyle name="Comma 2 3 4 7 5" xfId="8025"/>
    <cellStyle name="Comma 2 3 4 7 6" xfId="5203"/>
    <cellStyle name="Comma 2 3 4 8" xfId="884"/>
    <cellStyle name="Comma 2 3 4 8 2" xfId="885"/>
    <cellStyle name="Comma 2 3 4 8 2 2" xfId="886"/>
    <cellStyle name="Comma 2 3 4 8 2 2 2" xfId="8033"/>
    <cellStyle name="Comma 2 3 4 8 2 3" xfId="8032"/>
    <cellStyle name="Comma 2 3 4 8 2 4" xfId="5207"/>
    <cellStyle name="Comma 2 3 4 8 3" xfId="887"/>
    <cellStyle name="Comma 2 3 4 8 3 2" xfId="8034"/>
    <cellStyle name="Comma 2 3 4 8 4" xfId="8031"/>
    <cellStyle name="Comma 2 3 4 8 5" xfId="5206"/>
    <cellStyle name="Comma 2 3 4 9" xfId="888"/>
    <cellStyle name="Comma 2 3 4 9 2" xfId="889"/>
    <cellStyle name="Comma 2 3 4 9 2 2" xfId="8036"/>
    <cellStyle name="Comma 2 3 4 9 3" xfId="8035"/>
    <cellStyle name="Comma 2 3 4 9 4" xfId="5208"/>
    <cellStyle name="Comma 2 3 5" xfId="890"/>
    <cellStyle name="Comma 2 3 5 10" xfId="891"/>
    <cellStyle name="Comma 2 3 5 10 2" xfId="8038"/>
    <cellStyle name="Comma 2 3 5 11" xfId="8037"/>
    <cellStyle name="Comma 2 3 5 12" xfId="5209"/>
    <cellStyle name="Comma 2 3 5 2" xfId="892"/>
    <cellStyle name="Comma 2 3 5 2 2" xfId="893"/>
    <cellStyle name="Comma 2 3 5 2 2 2" xfId="894"/>
    <cellStyle name="Comma 2 3 5 2 2 2 2" xfId="895"/>
    <cellStyle name="Comma 2 3 5 2 2 2 2 2" xfId="8042"/>
    <cellStyle name="Comma 2 3 5 2 2 2 3" xfId="8041"/>
    <cellStyle name="Comma 2 3 5 2 2 2 4" xfId="5212"/>
    <cellStyle name="Comma 2 3 5 2 2 3" xfId="896"/>
    <cellStyle name="Comma 2 3 5 2 2 3 2" xfId="8043"/>
    <cellStyle name="Comma 2 3 5 2 2 4" xfId="8040"/>
    <cellStyle name="Comma 2 3 5 2 2 5" xfId="5211"/>
    <cellStyle name="Comma 2 3 5 2 3" xfId="897"/>
    <cellStyle name="Comma 2 3 5 2 3 2" xfId="898"/>
    <cellStyle name="Comma 2 3 5 2 3 2 2" xfId="8045"/>
    <cellStyle name="Comma 2 3 5 2 3 3" xfId="8044"/>
    <cellStyle name="Comma 2 3 5 2 3 4" xfId="5213"/>
    <cellStyle name="Comma 2 3 5 2 4" xfId="899"/>
    <cellStyle name="Comma 2 3 5 2 4 2" xfId="900"/>
    <cellStyle name="Comma 2 3 5 2 4 2 2" xfId="8047"/>
    <cellStyle name="Comma 2 3 5 2 4 3" xfId="8046"/>
    <cellStyle name="Comma 2 3 5 2 4 4" xfId="5214"/>
    <cellStyle name="Comma 2 3 5 2 5" xfId="901"/>
    <cellStyle name="Comma 2 3 5 2 5 2" xfId="8048"/>
    <cellStyle name="Comma 2 3 5 2 6" xfId="8039"/>
    <cellStyle name="Comma 2 3 5 2 7" xfId="5210"/>
    <cellStyle name="Comma 2 3 5 3" xfId="902"/>
    <cellStyle name="Comma 2 3 5 3 2" xfId="903"/>
    <cellStyle name="Comma 2 3 5 3 2 2" xfId="904"/>
    <cellStyle name="Comma 2 3 5 3 2 2 2" xfId="905"/>
    <cellStyle name="Comma 2 3 5 3 2 2 2 2" xfId="8052"/>
    <cellStyle name="Comma 2 3 5 3 2 2 3" xfId="8051"/>
    <cellStyle name="Comma 2 3 5 3 2 2 4" xfId="5217"/>
    <cellStyle name="Comma 2 3 5 3 2 3" xfId="906"/>
    <cellStyle name="Comma 2 3 5 3 2 3 2" xfId="8053"/>
    <cellStyle name="Comma 2 3 5 3 2 4" xfId="8050"/>
    <cellStyle name="Comma 2 3 5 3 2 5" xfId="5216"/>
    <cellStyle name="Comma 2 3 5 3 3" xfId="907"/>
    <cellStyle name="Comma 2 3 5 3 3 2" xfId="908"/>
    <cellStyle name="Comma 2 3 5 3 3 2 2" xfId="8055"/>
    <cellStyle name="Comma 2 3 5 3 3 3" xfId="8054"/>
    <cellStyle name="Comma 2 3 5 3 3 4" xfId="5218"/>
    <cellStyle name="Comma 2 3 5 3 4" xfId="909"/>
    <cellStyle name="Comma 2 3 5 3 4 2" xfId="910"/>
    <cellStyle name="Comma 2 3 5 3 4 2 2" xfId="8057"/>
    <cellStyle name="Comma 2 3 5 3 4 3" xfId="8056"/>
    <cellStyle name="Comma 2 3 5 3 4 4" xfId="5219"/>
    <cellStyle name="Comma 2 3 5 3 5" xfId="911"/>
    <cellStyle name="Comma 2 3 5 3 5 2" xfId="8058"/>
    <cellStyle name="Comma 2 3 5 3 6" xfId="8049"/>
    <cellStyle name="Comma 2 3 5 3 7" xfId="5215"/>
    <cellStyle name="Comma 2 3 5 4" xfId="912"/>
    <cellStyle name="Comma 2 3 5 4 2" xfId="913"/>
    <cellStyle name="Comma 2 3 5 4 2 2" xfId="914"/>
    <cellStyle name="Comma 2 3 5 4 2 2 2" xfId="915"/>
    <cellStyle name="Comma 2 3 5 4 2 2 2 2" xfId="8062"/>
    <cellStyle name="Comma 2 3 5 4 2 2 3" xfId="8061"/>
    <cellStyle name="Comma 2 3 5 4 2 2 4" xfId="5222"/>
    <cellStyle name="Comma 2 3 5 4 2 3" xfId="916"/>
    <cellStyle name="Comma 2 3 5 4 2 3 2" xfId="8063"/>
    <cellStyle name="Comma 2 3 5 4 2 4" xfId="8060"/>
    <cellStyle name="Comma 2 3 5 4 2 5" xfId="5221"/>
    <cellStyle name="Comma 2 3 5 4 3" xfId="917"/>
    <cellStyle name="Comma 2 3 5 4 3 2" xfId="918"/>
    <cellStyle name="Comma 2 3 5 4 3 2 2" xfId="8065"/>
    <cellStyle name="Comma 2 3 5 4 3 3" xfId="8064"/>
    <cellStyle name="Comma 2 3 5 4 3 4" xfId="5223"/>
    <cellStyle name="Comma 2 3 5 4 4" xfId="919"/>
    <cellStyle name="Comma 2 3 5 4 4 2" xfId="920"/>
    <cellStyle name="Comma 2 3 5 4 4 2 2" xfId="8067"/>
    <cellStyle name="Comma 2 3 5 4 4 3" xfId="8066"/>
    <cellStyle name="Comma 2 3 5 4 4 4" xfId="5224"/>
    <cellStyle name="Comma 2 3 5 4 5" xfId="921"/>
    <cellStyle name="Comma 2 3 5 4 5 2" xfId="8068"/>
    <cellStyle name="Comma 2 3 5 4 6" xfId="8059"/>
    <cellStyle name="Comma 2 3 5 4 7" xfId="5220"/>
    <cellStyle name="Comma 2 3 5 5" xfId="922"/>
    <cellStyle name="Comma 2 3 5 5 2" xfId="923"/>
    <cellStyle name="Comma 2 3 5 5 2 2" xfId="924"/>
    <cellStyle name="Comma 2 3 5 5 2 2 2" xfId="925"/>
    <cellStyle name="Comma 2 3 5 5 2 2 2 2" xfId="8072"/>
    <cellStyle name="Comma 2 3 5 5 2 2 3" xfId="8071"/>
    <cellStyle name="Comma 2 3 5 5 2 2 4" xfId="5227"/>
    <cellStyle name="Comma 2 3 5 5 2 3" xfId="926"/>
    <cellStyle name="Comma 2 3 5 5 2 3 2" xfId="8073"/>
    <cellStyle name="Comma 2 3 5 5 2 4" xfId="8070"/>
    <cellStyle name="Comma 2 3 5 5 2 5" xfId="5226"/>
    <cellStyle name="Comma 2 3 5 5 3" xfId="927"/>
    <cellStyle name="Comma 2 3 5 5 3 2" xfId="928"/>
    <cellStyle name="Comma 2 3 5 5 3 2 2" xfId="8075"/>
    <cellStyle name="Comma 2 3 5 5 3 3" xfId="8074"/>
    <cellStyle name="Comma 2 3 5 5 3 4" xfId="5228"/>
    <cellStyle name="Comma 2 3 5 5 4" xfId="929"/>
    <cellStyle name="Comma 2 3 5 5 4 2" xfId="930"/>
    <cellStyle name="Comma 2 3 5 5 4 2 2" xfId="8077"/>
    <cellStyle name="Comma 2 3 5 5 4 3" xfId="8076"/>
    <cellStyle name="Comma 2 3 5 5 4 4" xfId="5229"/>
    <cellStyle name="Comma 2 3 5 5 5" xfId="931"/>
    <cellStyle name="Comma 2 3 5 5 5 2" xfId="8078"/>
    <cellStyle name="Comma 2 3 5 5 6" xfId="8069"/>
    <cellStyle name="Comma 2 3 5 5 7" xfId="5225"/>
    <cellStyle name="Comma 2 3 5 6" xfId="932"/>
    <cellStyle name="Comma 2 3 5 6 2" xfId="933"/>
    <cellStyle name="Comma 2 3 5 6 2 2" xfId="934"/>
    <cellStyle name="Comma 2 3 5 6 2 2 2" xfId="8081"/>
    <cellStyle name="Comma 2 3 5 6 2 3" xfId="8080"/>
    <cellStyle name="Comma 2 3 5 6 2 4" xfId="5231"/>
    <cellStyle name="Comma 2 3 5 6 3" xfId="935"/>
    <cellStyle name="Comma 2 3 5 6 3 2" xfId="936"/>
    <cellStyle name="Comma 2 3 5 6 3 2 2" xfId="8083"/>
    <cellStyle name="Comma 2 3 5 6 3 3" xfId="8082"/>
    <cellStyle name="Comma 2 3 5 6 3 4" xfId="5232"/>
    <cellStyle name="Comma 2 3 5 6 4" xfId="937"/>
    <cellStyle name="Comma 2 3 5 6 4 2" xfId="8084"/>
    <cellStyle name="Comma 2 3 5 6 5" xfId="8079"/>
    <cellStyle name="Comma 2 3 5 6 6" xfId="5230"/>
    <cellStyle name="Comma 2 3 5 7" xfId="938"/>
    <cellStyle name="Comma 2 3 5 7 2" xfId="939"/>
    <cellStyle name="Comma 2 3 5 7 2 2" xfId="940"/>
    <cellStyle name="Comma 2 3 5 7 2 2 2" xfId="8087"/>
    <cellStyle name="Comma 2 3 5 7 2 3" xfId="8086"/>
    <cellStyle name="Comma 2 3 5 7 2 4" xfId="5234"/>
    <cellStyle name="Comma 2 3 5 7 3" xfId="941"/>
    <cellStyle name="Comma 2 3 5 7 3 2" xfId="8088"/>
    <cellStyle name="Comma 2 3 5 7 4" xfId="8085"/>
    <cellStyle name="Comma 2 3 5 7 5" xfId="5233"/>
    <cellStyle name="Comma 2 3 5 8" xfId="942"/>
    <cellStyle name="Comma 2 3 5 8 2" xfId="943"/>
    <cellStyle name="Comma 2 3 5 8 2 2" xfId="8090"/>
    <cellStyle name="Comma 2 3 5 8 3" xfId="8089"/>
    <cellStyle name="Comma 2 3 5 8 4" xfId="5235"/>
    <cellStyle name="Comma 2 3 5 9" xfId="944"/>
    <cellStyle name="Comma 2 3 5 9 2" xfId="945"/>
    <cellStyle name="Comma 2 3 5 9 2 2" xfId="8092"/>
    <cellStyle name="Comma 2 3 5 9 3" xfId="8091"/>
    <cellStyle name="Comma 2 3 5 9 4" xfId="5236"/>
    <cellStyle name="Comma 2 3 6" xfId="946"/>
    <cellStyle name="Comma 2 3 6 2" xfId="947"/>
    <cellStyle name="Comma 2 3 6 2 2" xfId="948"/>
    <cellStyle name="Comma 2 3 6 2 2 2" xfId="949"/>
    <cellStyle name="Comma 2 3 6 2 2 2 2" xfId="8096"/>
    <cellStyle name="Comma 2 3 6 2 2 3" xfId="8095"/>
    <cellStyle name="Comma 2 3 6 2 2 4" xfId="5239"/>
    <cellStyle name="Comma 2 3 6 2 3" xfId="950"/>
    <cellStyle name="Comma 2 3 6 2 3 2" xfId="8097"/>
    <cellStyle name="Comma 2 3 6 2 4" xfId="8094"/>
    <cellStyle name="Comma 2 3 6 2 5" xfId="5238"/>
    <cellStyle name="Comma 2 3 6 3" xfId="951"/>
    <cellStyle name="Comma 2 3 6 3 2" xfId="952"/>
    <cellStyle name="Comma 2 3 6 3 2 2" xfId="8099"/>
    <cellStyle name="Comma 2 3 6 3 3" xfId="8098"/>
    <cellStyle name="Comma 2 3 6 3 4" xfId="5240"/>
    <cellStyle name="Comma 2 3 6 4" xfId="953"/>
    <cellStyle name="Comma 2 3 6 4 2" xfId="954"/>
    <cellStyle name="Comma 2 3 6 4 2 2" xfId="8101"/>
    <cellStyle name="Comma 2 3 6 4 3" xfId="8100"/>
    <cellStyle name="Comma 2 3 6 4 4" xfId="5241"/>
    <cellStyle name="Comma 2 3 6 5" xfId="955"/>
    <cellStyle name="Comma 2 3 6 5 2" xfId="8102"/>
    <cellStyle name="Comma 2 3 6 6" xfId="8093"/>
    <cellStyle name="Comma 2 3 6 7" xfId="5237"/>
    <cellStyle name="Comma 2 3 7" xfId="956"/>
    <cellStyle name="Comma 2 3 7 2" xfId="957"/>
    <cellStyle name="Comma 2 3 7 2 2" xfId="958"/>
    <cellStyle name="Comma 2 3 7 2 2 2" xfId="959"/>
    <cellStyle name="Comma 2 3 7 2 2 2 2" xfId="8106"/>
    <cellStyle name="Comma 2 3 7 2 2 3" xfId="8105"/>
    <cellStyle name="Comma 2 3 7 2 2 4" xfId="5244"/>
    <cellStyle name="Comma 2 3 7 2 3" xfId="960"/>
    <cellStyle name="Comma 2 3 7 2 3 2" xfId="8107"/>
    <cellStyle name="Comma 2 3 7 2 4" xfId="8104"/>
    <cellStyle name="Comma 2 3 7 2 5" xfId="5243"/>
    <cellStyle name="Comma 2 3 7 3" xfId="961"/>
    <cellStyle name="Comma 2 3 7 3 2" xfId="962"/>
    <cellStyle name="Comma 2 3 7 3 2 2" xfId="8109"/>
    <cellStyle name="Comma 2 3 7 3 3" xfId="8108"/>
    <cellStyle name="Comma 2 3 7 3 4" xfId="5245"/>
    <cellStyle name="Comma 2 3 7 4" xfId="963"/>
    <cellStyle name="Comma 2 3 7 4 2" xfId="964"/>
    <cellStyle name="Comma 2 3 7 4 2 2" xfId="8111"/>
    <cellStyle name="Comma 2 3 7 4 3" xfId="8110"/>
    <cellStyle name="Comma 2 3 7 4 4" xfId="5246"/>
    <cellStyle name="Comma 2 3 7 5" xfId="965"/>
    <cellStyle name="Comma 2 3 7 5 2" xfId="8112"/>
    <cellStyle name="Comma 2 3 7 6" xfId="8103"/>
    <cellStyle name="Comma 2 3 7 7" xfId="5242"/>
    <cellStyle name="Comma 2 3 8" xfId="966"/>
    <cellStyle name="Comma 2 3 8 2" xfId="967"/>
    <cellStyle name="Comma 2 3 8 2 2" xfId="968"/>
    <cellStyle name="Comma 2 3 8 2 2 2" xfId="969"/>
    <cellStyle name="Comma 2 3 8 2 2 2 2" xfId="8116"/>
    <cellStyle name="Comma 2 3 8 2 2 3" xfId="8115"/>
    <cellStyle name="Comma 2 3 8 2 2 4" xfId="5249"/>
    <cellStyle name="Comma 2 3 8 2 3" xfId="970"/>
    <cellStyle name="Comma 2 3 8 2 3 2" xfId="8117"/>
    <cellStyle name="Comma 2 3 8 2 4" xfId="8114"/>
    <cellStyle name="Comma 2 3 8 2 5" xfId="5248"/>
    <cellStyle name="Comma 2 3 8 3" xfId="971"/>
    <cellStyle name="Comma 2 3 8 3 2" xfId="972"/>
    <cellStyle name="Comma 2 3 8 3 2 2" xfId="8119"/>
    <cellStyle name="Comma 2 3 8 3 3" xfId="8118"/>
    <cellStyle name="Comma 2 3 8 3 4" xfId="5250"/>
    <cellStyle name="Comma 2 3 8 4" xfId="973"/>
    <cellStyle name="Comma 2 3 8 4 2" xfId="974"/>
    <cellStyle name="Comma 2 3 8 4 2 2" xfId="8121"/>
    <cellStyle name="Comma 2 3 8 4 3" xfId="8120"/>
    <cellStyle name="Comma 2 3 8 4 4" xfId="5251"/>
    <cellStyle name="Comma 2 3 8 5" xfId="975"/>
    <cellStyle name="Comma 2 3 8 5 2" xfId="8122"/>
    <cellStyle name="Comma 2 3 8 6" xfId="8113"/>
    <cellStyle name="Comma 2 3 8 7" xfId="5247"/>
    <cellStyle name="Comma 2 3 9" xfId="976"/>
    <cellStyle name="Comma 2 3 9 2" xfId="977"/>
    <cellStyle name="Comma 2 3 9 2 2" xfId="978"/>
    <cellStyle name="Comma 2 3 9 2 2 2" xfId="979"/>
    <cellStyle name="Comma 2 3 9 2 2 2 2" xfId="8126"/>
    <cellStyle name="Comma 2 3 9 2 2 3" xfId="8125"/>
    <cellStyle name="Comma 2 3 9 2 2 4" xfId="5254"/>
    <cellStyle name="Comma 2 3 9 2 3" xfId="980"/>
    <cellStyle name="Comma 2 3 9 2 3 2" xfId="8127"/>
    <cellStyle name="Comma 2 3 9 2 4" xfId="8124"/>
    <cellStyle name="Comma 2 3 9 2 5" xfId="5253"/>
    <cellStyle name="Comma 2 3 9 3" xfId="981"/>
    <cellStyle name="Comma 2 3 9 3 2" xfId="982"/>
    <cellStyle name="Comma 2 3 9 3 2 2" xfId="8129"/>
    <cellStyle name="Comma 2 3 9 3 3" xfId="8128"/>
    <cellStyle name="Comma 2 3 9 3 4" xfId="5255"/>
    <cellStyle name="Comma 2 3 9 4" xfId="983"/>
    <cellStyle name="Comma 2 3 9 4 2" xfId="984"/>
    <cellStyle name="Comma 2 3 9 4 2 2" xfId="8131"/>
    <cellStyle name="Comma 2 3 9 4 3" xfId="8130"/>
    <cellStyle name="Comma 2 3 9 4 4" xfId="5256"/>
    <cellStyle name="Comma 2 3 9 5" xfId="985"/>
    <cellStyle name="Comma 2 3 9 5 2" xfId="8132"/>
    <cellStyle name="Comma 2 3 9 6" xfId="8123"/>
    <cellStyle name="Comma 2 3 9 7" xfId="5252"/>
    <cellStyle name="Comma 2 4" xfId="986"/>
    <cellStyle name="Comma 2 4 10" xfId="987"/>
    <cellStyle name="Comma 2 4 10 2" xfId="988"/>
    <cellStyle name="Comma 2 4 10 2 2" xfId="989"/>
    <cellStyle name="Comma 2 4 10 2 2 2" xfId="8136"/>
    <cellStyle name="Comma 2 4 10 2 3" xfId="8135"/>
    <cellStyle name="Comma 2 4 10 2 4" xfId="5259"/>
    <cellStyle name="Comma 2 4 10 3" xfId="990"/>
    <cellStyle name="Comma 2 4 10 3 2" xfId="991"/>
    <cellStyle name="Comma 2 4 10 3 2 2" xfId="8138"/>
    <cellStyle name="Comma 2 4 10 3 3" xfId="8137"/>
    <cellStyle name="Comma 2 4 10 3 4" xfId="5260"/>
    <cellStyle name="Comma 2 4 10 4" xfId="992"/>
    <cellStyle name="Comma 2 4 10 4 2" xfId="8139"/>
    <cellStyle name="Comma 2 4 10 5" xfId="8134"/>
    <cellStyle name="Comma 2 4 10 6" xfId="5258"/>
    <cellStyle name="Comma 2 4 11" xfId="993"/>
    <cellStyle name="Comma 2 4 11 2" xfId="994"/>
    <cellStyle name="Comma 2 4 11 2 2" xfId="995"/>
    <cellStyle name="Comma 2 4 11 2 2 2" xfId="8142"/>
    <cellStyle name="Comma 2 4 11 2 3" xfId="8141"/>
    <cellStyle name="Comma 2 4 11 2 4" xfId="5262"/>
    <cellStyle name="Comma 2 4 11 3" xfId="996"/>
    <cellStyle name="Comma 2 4 11 3 2" xfId="8143"/>
    <cellStyle name="Comma 2 4 11 4" xfId="8140"/>
    <cellStyle name="Comma 2 4 11 5" xfId="5261"/>
    <cellStyle name="Comma 2 4 12" xfId="997"/>
    <cellStyle name="Comma 2 4 12 2" xfId="998"/>
    <cellStyle name="Comma 2 4 12 2 2" xfId="8145"/>
    <cellStyle name="Comma 2 4 12 3" xfId="8144"/>
    <cellStyle name="Comma 2 4 12 4" xfId="5263"/>
    <cellStyle name="Comma 2 4 13" xfId="999"/>
    <cellStyle name="Comma 2 4 13 2" xfId="1000"/>
    <cellStyle name="Comma 2 4 13 2 2" xfId="8147"/>
    <cellStyle name="Comma 2 4 13 3" xfId="8146"/>
    <cellStyle name="Comma 2 4 13 4" xfId="5264"/>
    <cellStyle name="Comma 2 4 14" xfId="1001"/>
    <cellStyle name="Comma 2 4 14 2" xfId="8148"/>
    <cellStyle name="Comma 2 4 15" xfId="8133"/>
    <cellStyle name="Comma 2 4 16" xfId="5257"/>
    <cellStyle name="Comma 2 4 17" xfId="12345"/>
    <cellStyle name="Comma 2 4 18" xfId="12360"/>
    <cellStyle name="Comma 2 4 2" xfId="1002"/>
    <cellStyle name="Comma 2 4 2 10" xfId="1003"/>
    <cellStyle name="Comma 2 4 2 10 2" xfId="1004"/>
    <cellStyle name="Comma 2 4 2 10 2 2" xfId="8151"/>
    <cellStyle name="Comma 2 4 2 10 3" xfId="8150"/>
    <cellStyle name="Comma 2 4 2 10 4" xfId="5266"/>
    <cellStyle name="Comma 2 4 2 11" xfId="1005"/>
    <cellStyle name="Comma 2 4 2 11 2" xfId="8152"/>
    <cellStyle name="Comma 2 4 2 12" xfId="8149"/>
    <cellStyle name="Comma 2 4 2 13" xfId="5265"/>
    <cellStyle name="Comma 2 4 2 2" xfId="1006"/>
    <cellStyle name="Comma 2 4 2 2 10" xfId="1007"/>
    <cellStyle name="Comma 2 4 2 2 10 2" xfId="8154"/>
    <cellStyle name="Comma 2 4 2 2 11" xfId="8153"/>
    <cellStyle name="Comma 2 4 2 2 12" xfId="5267"/>
    <cellStyle name="Comma 2 4 2 2 2" xfId="1008"/>
    <cellStyle name="Comma 2 4 2 2 2 2" xfId="1009"/>
    <cellStyle name="Comma 2 4 2 2 2 2 2" xfId="1010"/>
    <cellStyle name="Comma 2 4 2 2 2 2 2 2" xfId="1011"/>
    <cellStyle name="Comma 2 4 2 2 2 2 2 2 2" xfId="8158"/>
    <cellStyle name="Comma 2 4 2 2 2 2 2 3" xfId="8157"/>
    <cellStyle name="Comma 2 4 2 2 2 2 2 4" xfId="5270"/>
    <cellStyle name="Comma 2 4 2 2 2 2 3" xfId="1012"/>
    <cellStyle name="Comma 2 4 2 2 2 2 3 2" xfId="8159"/>
    <cellStyle name="Comma 2 4 2 2 2 2 4" xfId="8156"/>
    <cellStyle name="Comma 2 4 2 2 2 2 5" xfId="5269"/>
    <cellStyle name="Comma 2 4 2 2 2 3" xfId="1013"/>
    <cellStyle name="Comma 2 4 2 2 2 3 2" xfId="1014"/>
    <cellStyle name="Comma 2 4 2 2 2 3 2 2" xfId="8161"/>
    <cellStyle name="Comma 2 4 2 2 2 3 3" xfId="8160"/>
    <cellStyle name="Comma 2 4 2 2 2 3 4" xfId="5271"/>
    <cellStyle name="Comma 2 4 2 2 2 4" xfId="1015"/>
    <cellStyle name="Comma 2 4 2 2 2 4 2" xfId="1016"/>
    <cellStyle name="Comma 2 4 2 2 2 4 2 2" xfId="8163"/>
    <cellStyle name="Comma 2 4 2 2 2 4 3" xfId="8162"/>
    <cellStyle name="Comma 2 4 2 2 2 4 4" xfId="5272"/>
    <cellStyle name="Comma 2 4 2 2 2 5" xfId="1017"/>
    <cellStyle name="Comma 2 4 2 2 2 5 2" xfId="8164"/>
    <cellStyle name="Comma 2 4 2 2 2 6" xfId="8155"/>
    <cellStyle name="Comma 2 4 2 2 2 7" xfId="5268"/>
    <cellStyle name="Comma 2 4 2 2 3" xfId="1018"/>
    <cellStyle name="Comma 2 4 2 2 3 2" xfId="1019"/>
    <cellStyle name="Comma 2 4 2 2 3 2 2" xfId="1020"/>
    <cellStyle name="Comma 2 4 2 2 3 2 2 2" xfId="1021"/>
    <cellStyle name="Comma 2 4 2 2 3 2 2 2 2" xfId="8168"/>
    <cellStyle name="Comma 2 4 2 2 3 2 2 3" xfId="8167"/>
    <cellStyle name="Comma 2 4 2 2 3 2 2 4" xfId="5275"/>
    <cellStyle name="Comma 2 4 2 2 3 2 3" xfId="1022"/>
    <cellStyle name="Comma 2 4 2 2 3 2 3 2" xfId="8169"/>
    <cellStyle name="Comma 2 4 2 2 3 2 4" xfId="8166"/>
    <cellStyle name="Comma 2 4 2 2 3 2 5" xfId="5274"/>
    <cellStyle name="Comma 2 4 2 2 3 3" xfId="1023"/>
    <cellStyle name="Comma 2 4 2 2 3 3 2" xfId="1024"/>
    <cellStyle name="Comma 2 4 2 2 3 3 2 2" xfId="8171"/>
    <cellStyle name="Comma 2 4 2 2 3 3 3" xfId="8170"/>
    <cellStyle name="Comma 2 4 2 2 3 3 4" xfId="5276"/>
    <cellStyle name="Comma 2 4 2 2 3 4" xfId="1025"/>
    <cellStyle name="Comma 2 4 2 2 3 4 2" xfId="1026"/>
    <cellStyle name="Comma 2 4 2 2 3 4 2 2" xfId="8173"/>
    <cellStyle name="Comma 2 4 2 2 3 4 3" xfId="8172"/>
    <cellStyle name="Comma 2 4 2 2 3 4 4" xfId="5277"/>
    <cellStyle name="Comma 2 4 2 2 3 5" xfId="1027"/>
    <cellStyle name="Comma 2 4 2 2 3 5 2" xfId="8174"/>
    <cellStyle name="Comma 2 4 2 2 3 6" xfId="8165"/>
    <cellStyle name="Comma 2 4 2 2 3 7" xfId="5273"/>
    <cellStyle name="Comma 2 4 2 2 4" xfId="1028"/>
    <cellStyle name="Comma 2 4 2 2 4 2" xfId="1029"/>
    <cellStyle name="Comma 2 4 2 2 4 2 2" xfId="1030"/>
    <cellStyle name="Comma 2 4 2 2 4 2 2 2" xfId="1031"/>
    <cellStyle name="Comma 2 4 2 2 4 2 2 2 2" xfId="8178"/>
    <cellStyle name="Comma 2 4 2 2 4 2 2 3" xfId="8177"/>
    <cellStyle name="Comma 2 4 2 2 4 2 2 4" xfId="5280"/>
    <cellStyle name="Comma 2 4 2 2 4 2 3" xfId="1032"/>
    <cellStyle name="Comma 2 4 2 2 4 2 3 2" xfId="8179"/>
    <cellStyle name="Comma 2 4 2 2 4 2 4" xfId="8176"/>
    <cellStyle name="Comma 2 4 2 2 4 2 5" xfId="5279"/>
    <cellStyle name="Comma 2 4 2 2 4 3" xfId="1033"/>
    <cellStyle name="Comma 2 4 2 2 4 3 2" xfId="1034"/>
    <cellStyle name="Comma 2 4 2 2 4 3 2 2" xfId="8181"/>
    <cellStyle name="Comma 2 4 2 2 4 3 3" xfId="8180"/>
    <cellStyle name="Comma 2 4 2 2 4 3 4" xfId="5281"/>
    <cellStyle name="Comma 2 4 2 2 4 4" xfId="1035"/>
    <cellStyle name="Comma 2 4 2 2 4 4 2" xfId="1036"/>
    <cellStyle name="Comma 2 4 2 2 4 4 2 2" xfId="8183"/>
    <cellStyle name="Comma 2 4 2 2 4 4 3" xfId="8182"/>
    <cellStyle name="Comma 2 4 2 2 4 4 4" xfId="5282"/>
    <cellStyle name="Comma 2 4 2 2 4 5" xfId="1037"/>
    <cellStyle name="Comma 2 4 2 2 4 5 2" xfId="8184"/>
    <cellStyle name="Comma 2 4 2 2 4 6" xfId="8175"/>
    <cellStyle name="Comma 2 4 2 2 4 7" xfId="5278"/>
    <cellStyle name="Comma 2 4 2 2 5" xfId="1038"/>
    <cellStyle name="Comma 2 4 2 2 5 2" xfId="1039"/>
    <cellStyle name="Comma 2 4 2 2 5 2 2" xfId="1040"/>
    <cellStyle name="Comma 2 4 2 2 5 2 2 2" xfId="1041"/>
    <cellStyle name="Comma 2 4 2 2 5 2 2 2 2" xfId="8188"/>
    <cellStyle name="Comma 2 4 2 2 5 2 2 3" xfId="8187"/>
    <cellStyle name="Comma 2 4 2 2 5 2 2 4" xfId="5285"/>
    <cellStyle name="Comma 2 4 2 2 5 2 3" xfId="1042"/>
    <cellStyle name="Comma 2 4 2 2 5 2 3 2" xfId="8189"/>
    <cellStyle name="Comma 2 4 2 2 5 2 4" xfId="8186"/>
    <cellStyle name="Comma 2 4 2 2 5 2 5" xfId="5284"/>
    <cellStyle name="Comma 2 4 2 2 5 3" xfId="1043"/>
    <cellStyle name="Comma 2 4 2 2 5 3 2" xfId="1044"/>
    <cellStyle name="Comma 2 4 2 2 5 3 2 2" xfId="8191"/>
    <cellStyle name="Comma 2 4 2 2 5 3 3" xfId="8190"/>
    <cellStyle name="Comma 2 4 2 2 5 3 4" xfId="5286"/>
    <cellStyle name="Comma 2 4 2 2 5 4" xfId="1045"/>
    <cellStyle name="Comma 2 4 2 2 5 4 2" xfId="1046"/>
    <cellStyle name="Comma 2 4 2 2 5 4 2 2" xfId="8193"/>
    <cellStyle name="Comma 2 4 2 2 5 4 3" xfId="8192"/>
    <cellStyle name="Comma 2 4 2 2 5 4 4" xfId="5287"/>
    <cellStyle name="Comma 2 4 2 2 5 5" xfId="1047"/>
    <cellStyle name="Comma 2 4 2 2 5 5 2" xfId="8194"/>
    <cellStyle name="Comma 2 4 2 2 5 6" xfId="8185"/>
    <cellStyle name="Comma 2 4 2 2 5 7" xfId="5283"/>
    <cellStyle name="Comma 2 4 2 2 6" xfId="1048"/>
    <cellStyle name="Comma 2 4 2 2 6 2" xfId="1049"/>
    <cellStyle name="Comma 2 4 2 2 6 2 2" xfId="1050"/>
    <cellStyle name="Comma 2 4 2 2 6 2 2 2" xfId="8197"/>
    <cellStyle name="Comma 2 4 2 2 6 2 3" xfId="8196"/>
    <cellStyle name="Comma 2 4 2 2 6 2 4" xfId="5289"/>
    <cellStyle name="Comma 2 4 2 2 6 3" xfId="1051"/>
    <cellStyle name="Comma 2 4 2 2 6 3 2" xfId="1052"/>
    <cellStyle name="Comma 2 4 2 2 6 3 2 2" xfId="8199"/>
    <cellStyle name="Comma 2 4 2 2 6 3 3" xfId="8198"/>
    <cellStyle name="Comma 2 4 2 2 6 3 4" xfId="5290"/>
    <cellStyle name="Comma 2 4 2 2 6 4" xfId="1053"/>
    <cellStyle name="Comma 2 4 2 2 6 4 2" xfId="8200"/>
    <cellStyle name="Comma 2 4 2 2 6 5" xfId="8195"/>
    <cellStyle name="Comma 2 4 2 2 6 6" xfId="5288"/>
    <cellStyle name="Comma 2 4 2 2 7" xfId="1054"/>
    <cellStyle name="Comma 2 4 2 2 7 2" xfId="1055"/>
    <cellStyle name="Comma 2 4 2 2 7 2 2" xfId="1056"/>
    <cellStyle name="Comma 2 4 2 2 7 2 2 2" xfId="8203"/>
    <cellStyle name="Comma 2 4 2 2 7 2 3" xfId="8202"/>
    <cellStyle name="Comma 2 4 2 2 7 2 4" xfId="5292"/>
    <cellStyle name="Comma 2 4 2 2 7 3" xfId="1057"/>
    <cellStyle name="Comma 2 4 2 2 7 3 2" xfId="8204"/>
    <cellStyle name="Comma 2 4 2 2 7 4" xfId="8201"/>
    <cellStyle name="Comma 2 4 2 2 7 5" xfId="5291"/>
    <cellStyle name="Comma 2 4 2 2 8" xfId="1058"/>
    <cellStyle name="Comma 2 4 2 2 8 2" xfId="1059"/>
    <cellStyle name="Comma 2 4 2 2 8 2 2" xfId="8206"/>
    <cellStyle name="Comma 2 4 2 2 8 3" xfId="8205"/>
    <cellStyle name="Comma 2 4 2 2 8 4" xfId="5293"/>
    <cellStyle name="Comma 2 4 2 2 9" xfId="1060"/>
    <cellStyle name="Comma 2 4 2 2 9 2" xfId="1061"/>
    <cellStyle name="Comma 2 4 2 2 9 2 2" xfId="8208"/>
    <cellStyle name="Comma 2 4 2 2 9 3" xfId="8207"/>
    <cellStyle name="Comma 2 4 2 2 9 4" xfId="5294"/>
    <cellStyle name="Comma 2 4 2 3" xfId="1062"/>
    <cellStyle name="Comma 2 4 2 3 2" xfId="1063"/>
    <cellStyle name="Comma 2 4 2 3 2 2" xfId="1064"/>
    <cellStyle name="Comma 2 4 2 3 2 2 2" xfId="1065"/>
    <cellStyle name="Comma 2 4 2 3 2 2 2 2" xfId="8212"/>
    <cellStyle name="Comma 2 4 2 3 2 2 3" xfId="8211"/>
    <cellStyle name="Comma 2 4 2 3 2 2 4" xfId="5297"/>
    <cellStyle name="Comma 2 4 2 3 2 3" xfId="1066"/>
    <cellStyle name="Comma 2 4 2 3 2 3 2" xfId="8213"/>
    <cellStyle name="Comma 2 4 2 3 2 4" xfId="8210"/>
    <cellStyle name="Comma 2 4 2 3 2 5" xfId="5296"/>
    <cellStyle name="Comma 2 4 2 3 3" xfId="1067"/>
    <cellStyle name="Comma 2 4 2 3 3 2" xfId="1068"/>
    <cellStyle name="Comma 2 4 2 3 3 2 2" xfId="8215"/>
    <cellStyle name="Comma 2 4 2 3 3 3" xfId="8214"/>
    <cellStyle name="Comma 2 4 2 3 3 4" xfId="5298"/>
    <cellStyle name="Comma 2 4 2 3 4" xfId="1069"/>
    <cellStyle name="Comma 2 4 2 3 4 2" xfId="1070"/>
    <cellStyle name="Comma 2 4 2 3 4 2 2" xfId="8217"/>
    <cellStyle name="Comma 2 4 2 3 4 3" xfId="8216"/>
    <cellStyle name="Comma 2 4 2 3 4 4" xfId="5299"/>
    <cellStyle name="Comma 2 4 2 3 5" xfId="1071"/>
    <cellStyle name="Comma 2 4 2 3 5 2" xfId="8218"/>
    <cellStyle name="Comma 2 4 2 3 6" xfId="8209"/>
    <cellStyle name="Comma 2 4 2 3 7" xfId="5295"/>
    <cellStyle name="Comma 2 4 2 4" xfId="1072"/>
    <cellStyle name="Comma 2 4 2 4 2" xfId="1073"/>
    <cellStyle name="Comma 2 4 2 4 2 2" xfId="1074"/>
    <cellStyle name="Comma 2 4 2 4 2 2 2" xfId="1075"/>
    <cellStyle name="Comma 2 4 2 4 2 2 2 2" xfId="8222"/>
    <cellStyle name="Comma 2 4 2 4 2 2 3" xfId="8221"/>
    <cellStyle name="Comma 2 4 2 4 2 2 4" xfId="5302"/>
    <cellStyle name="Comma 2 4 2 4 2 3" xfId="1076"/>
    <cellStyle name="Comma 2 4 2 4 2 3 2" xfId="8223"/>
    <cellStyle name="Comma 2 4 2 4 2 4" xfId="8220"/>
    <cellStyle name="Comma 2 4 2 4 2 5" xfId="5301"/>
    <cellStyle name="Comma 2 4 2 4 3" xfId="1077"/>
    <cellStyle name="Comma 2 4 2 4 3 2" xfId="1078"/>
    <cellStyle name="Comma 2 4 2 4 3 2 2" xfId="8225"/>
    <cellStyle name="Comma 2 4 2 4 3 3" xfId="8224"/>
    <cellStyle name="Comma 2 4 2 4 3 4" xfId="5303"/>
    <cellStyle name="Comma 2 4 2 4 4" xfId="1079"/>
    <cellStyle name="Comma 2 4 2 4 4 2" xfId="1080"/>
    <cellStyle name="Comma 2 4 2 4 4 2 2" xfId="8227"/>
    <cellStyle name="Comma 2 4 2 4 4 3" xfId="8226"/>
    <cellStyle name="Comma 2 4 2 4 4 4" xfId="5304"/>
    <cellStyle name="Comma 2 4 2 4 5" xfId="1081"/>
    <cellStyle name="Comma 2 4 2 4 5 2" xfId="8228"/>
    <cellStyle name="Comma 2 4 2 4 6" xfId="8219"/>
    <cellStyle name="Comma 2 4 2 4 7" xfId="5300"/>
    <cellStyle name="Comma 2 4 2 5" xfId="1082"/>
    <cellStyle name="Comma 2 4 2 5 2" xfId="1083"/>
    <cellStyle name="Comma 2 4 2 5 2 2" xfId="1084"/>
    <cellStyle name="Comma 2 4 2 5 2 2 2" xfId="1085"/>
    <cellStyle name="Comma 2 4 2 5 2 2 2 2" xfId="8232"/>
    <cellStyle name="Comma 2 4 2 5 2 2 3" xfId="8231"/>
    <cellStyle name="Comma 2 4 2 5 2 2 4" xfId="5307"/>
    <cellStyle name="Comma 2 4 2 5 2 3" xfId="1086"/>
    <cellStyle name="Comma 2 4 2 5 2 3 2" xfId="8233"/>
    <cellStyle name="Comma 2 4 2 5 2 4" xfId="8230"/>
    <cellStyle name="Comma 2 4 2 5 2 5" xfId="5306"/>
    <cellStyle name="Comma 2 4 2 5 3" xfId="1087"/>
    <cellStyle name="Comma 2 4 2 5 3 2" xfId="1088"/>
    <cellStyle name="Comma 2 4 2 5 3 2 2" xfId="8235"/>
    <cellStyle name="Comma 2 4 2 5 3 3" xfId="8234"/>
    <cellStyle name="Comma 2 4 2 5 3 4" xfId="5308"/>
    <cellStyle name="Comma 2 4 2 5 4" xfId="1089"/>
    <cellStyle name="Comma 2 4 2 5 4 2" xfId="1090"/>
    <cellStyle name="Comma 2 4 2 5 4 2 2" xfId="8237"/>
    <cellStyle name="Comma 2 4 2 5 4 3" xfId="8236"/>
    <cellStyle name="Comma 2 4 2 5 4 4" xfId="5309"/>
    <cellStyle name="Comma 2 4 2 5 5" xfId="1091"/>
    <cellStyle name="Comma 2 4 2 5 5 2" xfId="8238"/>
    <cellStyle name="Comma 2 4 2 5 6" xfId="8229"/>
    <cellStyle name="Comma 2 4 2 5 7" xfId="5305"/>
    <cellStyle name="Comma 2 4 2 6" xfId="1092"/>
    <cellStyle name="Comma 2 4 2 6 2" xfId="1093"/>
    <cellStyle name="Comma 2 4 2 6 2 2" xfId="1094"/>
    <cellStyle name="Comma 2 4 2 6 2 2 2" xfId="1095"/>
    <cellStyle name="Comma 2 4 2 6 2 2 2 2" xfId="8242"/>
    <cellStyle name="Comma 2 4 2 6 2 2 3" xfId="8241"/>
    <cellStyle name="Comma 2 4 2 6 2 2 4" xfId="5312"/>
    <cellStyle name="Comma 2 4 2 6 2 3" xfId="1096"/>
    <cellStyle name="Comma 2 4 2 6 2 3 2" xfId="8243"/>
    <cellStyle name="Comma 2 4 2 6 2 4" xfId="8240"/>
    <cellStyle name="Comma 2 4 2 6 2 5" xfId="5311"/>
    <cellStyle name="Comma 2 4 2 6 3" xfId="1097"/>
    <cellStyle name="Comma 2 4 2 6 3 2" xfId="1098"/>
    <cellStyle name="Comma 2 4 2 6 3 2 2" xfId="8245"/>
    <cellStyle name="Comma 2 4 2 6 3 3" xfId="8244"/>
    <cellStyle name="Comma 2 4 2 6 3 4" xfId="5313"/>
    <cellStyle name="Comma 2 4 2 6 4" xfId="1099"/>
    <cellStyle name="Comma 2 4 2 6 4 2" xfId="1100"/>
    <cellStyle name="Comma 2 4 2 6 4 2 2" xfId="8247"/>
    <cellStyle name="Comma 2 4 2 6 4 3" xfId="8246"/>
    <cellStyle name="Comma 2 4 2 6 4 4" xfId="5314"/>
    <cellStyle name="Comma 2 4 2 6 5" xfId="1101"/>
    <cellStyle name="Comma 2 4 2 6 5 2" xfId="8248"/>
    <cellStyle name="Comma 2 4 2 6 6" xfId="8239"/>
    <cellStyle name="Comma 2 4 2 6 7" xfId="5310"/>
    <cellStyle name="Comma 2 4 2 7" xfId="1102"/>
    <cellStyle name="Comma 2 4 2 7 2" xfId="1103"/>
    <cellStyle name="Comma 2 4 2 7 2 2" xfId="1104"/>
    <cellStyle name="Comma 2 4 2 7 2 2 2" xfId="8251"/>
    <cellStyle name="Comma 2 4 2 7 2 3" xfId="8250"/>
    <cellStyle name="Comma 2 4 2 7 2 4" xfId="5316"/>
    <cellStyle name="Comma 2 4 2 7 3" xfId="1105"/>
    <cellStyle name="Comma 2 4 2 7 3 2" xfId="1106"/>
    <cellStyle name="Comma 2 4 2 7 3 2 2" xfId="8253"/>
    <cellStyle name="Comma 2 4 2 7 3 3" xfId="8252"/>
    <cellStyle name="Comma 2 4 2 7 3 4" xfId="5317"/>
    <cellStyle name="Comma 2 4 2 7 4" xfId="1107"/>
    <cellStyle name="Comma 2 4 2 7 4 2" xfId="8254"/>
    <cellStyle name="Comma 2 4 2 7 5" xfId="8249"/>
    <cellStyle name="Comma 2 4 2 7 6" xfId="5315"/>
    <cellStyle name="Comma 2 4 2 8" xfId="1108"/>
    <cellStyle name="Comma 2 4 2 8 2" xfId="1109"/>
    <cellStyle name="Comma 2 4 2 8 2 2" xfId="1110"/>
    <cellStyle name="Comma 2 4 2 8 2 2 2" xfId="8257"/>
    <cellStyle name="Comma 2 4 2 8 2 3" xfId="8256"/>
    <cellStyle name="Comma 2 4 2 8 2 4" xfId="5319"/>
    <cellStyle name="Comma 2 4 2 8 3" xfId="1111"/>
    <cellStyle name="Comma 2 4 2 8 3 2" xfId="8258"/>
    <cellStyle name="Comma 2 4 2 8 4" xfId="8255"/>
    <cellStyle name="Comma 2 4 2 8 5" xfId="5318"/>
    <cellStyle name="Comma 2 4 2 9" xfId="1112"/>
    <cellStyle name="Comma 2 4 2 9 2" xfId="1113"/>
    <cellStyle name="Comma 2 4 2 9 2 2" xfId="8260"/>
    <cellStyle name="Comma 2 4 2 9 3" xfId="8259"/>
    <cellStyle name="Comma 2 4 2 9 4" xfId="5320"/>
    <cellStyle name="Comma 2 4 3" xfId="1114"/>
    <cellStyle name="Comma 2 4 3 10" xfId="1115"/>
    <cellStyle name="Comma 2 4 3 10 2" xfId="1116"/>
    <cellStyle name="Comma 2 4 3 10 2 2" xfId="8263"/>
    <cellStyle name="Comma 2 4 3 10 3" xfId="8262"/>
    <cellStyle name="Comma 2 4 3 10 4" xfId="5322"/>
    <cellStyle name="Comma 2 4 3 11" xfId="1117"/>
    <cellStyle name="Comma 2 4 3 11 2" xfId="8264"/>
    <cellStyle name="Comma 2 4 3 12" xfId="8261"/>
    <cellStyle name="Comma 2 4 3 13" xfId="5321"/>
    <cellStyle name="Comma 2 4 3 2" xfId="1118"/>
    <cellStyle name="Comma 2 4 3 2 10" xfId="1119"/>
    <cellStyle name="Comma 2 4 3 2 10 2" xfId="8266"/>
    <cellStyle name="Comma 2 4 3 2 11" xfId="8265"/>
    <cellStyle name="Comma 2 4 3 2 12" xfId="5323"/>
    <cellStyle name="Comma 2 4 3 2 2" xfId="1120"/>
    <cellStyle name="Comma 2 4 3 2 2 2" xfId="1121"/>
    <cellStyle name="Comma 2 4 3 2 2 2 2" xfId="1122"/>
    <cellStyle name="Comma 2 4 3 2 2 2 2 2" xfId="1123"/>
    <cellStyle name="Comma 2 4 3 2 2 2 2 2 2" xfId="8270"/>
    <cellStyle name="Comma 2 4 3 2 2 2 2 3" xfId="8269"/>
    <cellStyle name="Comma 2 4 3 2 2 2 2 4" xfId="5326"/>
    <cellStyle name="Comma 2 4 3 2 2 2 3" xfId="1124"/>
    <cellStyle name="Comma 2 4 3 2 2 2 3 2" xfId="8271"/>
    <cellStyle name="Comma 2 4 3 2 2 2 4" xfId="8268"/>
    <cellStyle name="Comma 2 4 3 2 2 2 5" xfId="5325"/>
    <cellStyle name="Comma 2 4 3 2 2 3" xfId="1125"/>
    <cellStyle name="Comma 2 4 3 2 2 3 2" xfId="1126"/>
    <cellStyle name="Comma 2 4 3 2 2 3 2 2" xfId="8273"/>
    <cellStyle name="Comma 2 4 3 2 2 3 3" xfId="8272"/>
    <cellStyle name="Comma 2 4 3 2 2 3 4" xfId="5327"/>
    <cellStyle name="Comma 2 4 3 2 2 4" xfId="1127"/>
    <cellStyle name="Comma 2 4 3 2 2 4 2" xfId="1128"/>
    <cellStyle name="Comma 2 4 3 2 2 4 2 2" xfId="8275"/>
    <cellStyle name="Comma 2 4 3 2 2 4 3" xfId="8274"/>
    <cellStyle name="Comma 2 4 3 2 2 4 4" xfId="5328"/>
    <cellStyle name="Comma 2 4 3 2 2 5" xfId="1129"/>
    <cellStyle name="Comma 2 4 3 2 2 5 2" xfId="8276"/>
    <cellStyle name="Comma 2 4 3 2 2 6" xfId="8267"/>
    <cellStyle name="Comma 2 4 3 2 2 7" xfId="5324"/>
    <cellStyle name="Comma 2 4 3 2 3" xfId="1130"/>
    <cellStyle name="Comma 2 4 3 2 3 2" xfId="1131"/>
    <cellStyle name="Comma 2 4 3 2 3 2 2" xfId="1132"/>
    <cellStyle name="Comma 2 4 3 2 3 2 2 2" xfId="1133"/>
    <cellStyle name="Comma 2 4 3 2 3 2 2 2 2" xfId="8280"/>
    <cellStyle name="Comma 2 4 3 2 3 2 2 3" xfId="8279"/>
    <cellStyle name="Comma 2 4 3 2 3 2 2 4" xfId="5331"/>
    <cellStyle name="Comma 2 4 3 2 3 2 3" xfId="1134"/>
    <cellStyle name="Comma 2 4 3 2 3 2 3 2" xfId="8281"/>
    <cellStyle name="Comma 2 4 3 2 3 2 4" xfId="8278"/>
    <cellStyle name="Comma 2 4 3 2 3 2 5" xfId="5330"/>
    <cellStyle name="Comma 2 4 3 2 3 3" xfId="1135"/>
    <cellStyle name="Comma 2 4 3 2 3 3 2" xfId="1136"/>
    <cellStyle name="Comma 2 4 3 2 3 3 2 2" xfId="8283"/>
    <cellStyle name="Comma 2 4 3 2 3 3 3" xfId="8282"/>
    <cellStyle name="Comma 2 4 3 2 3 3 4" xfId="5332"/>
    <cellStyle name="Comma 2 4 3 2 3 4" xfId="1137"/>
    <cellStyle name="Comma 2 4 3 2 3 4 2" xfId="1138"/>
    <cellStyle name="Comma 2 4 3 2 3 4 2 2" xfId="8285"/>
    <cellStyle name="Comma 2 4 3 2 3 4 3" xfId="8284"/>
    <cellStyle name="Comma 2 4 3 2 3 4 4" xfId="5333"/>
    <cellStyle name="Comma 2 4 3 2 3 5" xfId="1139"/>
    <cellStyle name="Comma 2 4 3 2 3 5 2" xfId="8286"/>
    <cellStyle name="Comma 2 4 3 2 3 6" xfId="8277"/>
    <cellStyle name="Comma 2 4 3 2 3 7" xfId="5329"/>
    <cellStyle name="Comma 2 4 3 2 4" xfId="1140"/>
    <cellStyle name="Comma 2 4 3 2 4 2" xfId="1141"/>
    <cellStyle name="Comma 2 4 3 2 4 2 2" xfId="1142"/>
    <cellStyle name="Comma 2 4 3 2 4 2 2 2" xfId="1143"/>
    <cellStyle name="Comma 2 4 3 2 4 2 2 2 2" xfId="8290"/>
    <cellStyle name="Comma 2 4 3 2 4 2 2 3" xfId="8289"/>
    <cellStyle name="Comma 2 4 3 2 4 2 2 4" xfId="5336"/>
    <cellStyle name="Comma 2 4 3 2 4 2 3" xfId="1144"/>
    <cellStyle name="Comma 2 4 3 2 4 2 3 2" xfId="8291"/>
    <cellStyle name="Comma 2 4 3 2 4 2 4" xfId="8288"/>
    <cellStyle name="Comma 2 4 3 2 4 2 5" xfId="5335"/>
    <cellStyle name="Comma 2 4 3 2 4 3" xfId="1145"/>
    <cellStyle name="Comma 2 4 3 2 4 3 2" xfId="1146"/>
    <cellStyle name="Comma 2 4 3 2 4 3 2 2" xfId="8293"/>
    <cellStyle name="Comma 2 4 3 2 4 3 3" xfId="8292"/>
    <cellStyle name="Comma 2 4 3 2 4 3 4" xfId="5337"/>
    <cellStyle name="Comma 2 4 3 2 4 4" xfId="1147"/>
    <cellStyle name="Comma 2 4 3 2 4 4 2" xfId="1148"/>
    <cellStyle name="Comma 2 4 3 2 4 4 2 2" xfId="8295"/>
    <cellStyle name="Comma 2 4 3 2 4 4 3" xfId="8294"/>
    <cellStyle name="Comma 2 4 3 2 4 4 4" xfId="5338"/>
    <cellStyle name="Comma 2 4 3 2 4 5" xfId="1149"/>
    <cellStyle name="Comma 2 4 3 2 4 5 2" xfId="8296"/>
    <cellStyle name="Comma 2 4 3 2 4 6" xfId="8287"/>
    <cellStyle name="Comma 2 4 3 2 4 7" xfId="5334"/>
    <cellStyle name="Comma 2 4 3 2 5" xfId="1150"/>
    <cellStyle name="Comma 2 4 3 2 5 2" xfId="1151"/>
    <cellStyle name="Comma 2 4 3 2 5 2 2" xfId="1152"/>
    <cellStyle name="Comma 2 4 3 2 5 2 2 2" xfId="1153"/>
    <cellStyle name="Comma 2 4 3 2 5 2 2 2 2" xfId="8300"/>
    <cellStyle name="Comma 2 4 3 2 5 2 2 3" xfId="8299"/>
    <cellStyle name="Comma 2 4 3 2 5 2 2 4" xfId="5341"/>
    <cellStyle name="Comma 2 4 3 2 5 2 3" xfId="1154"/>
    <cellStyle name="Comma 2 4 3 2 5 2 3 2" xfId="8301"/>
    <cellStyle name="Comma 2 4 3 2 5 2 4" xfId="8298"/>
    <cellStyle name="Comma 2 4 3 2 5 2 5" xfId="5340"/>
    <cellStyle name="Comma 2 4 3 2 5 3" xfId="1155"/>
    <cellStyle name="Comma 2 4 3 2 5 3 2" xfId="1156"/>
    <cellStyle name="Comma 2 4 3 2 5 3 2 2" xfId="8303"/>
    <cellStyle name="Comma 2 4 3 2 5 3 3" xfId="8302"/>
    <cellStyle name="Comma 2 4 3 2 5 3 4" xfId="5342"/>
    <cellStyle name="Comma 2 4 3 2 5 4" xfId="1157"/>
    <cellStyle name="Comma 2 4 3 2 5 4 2" xfId="1158"/>
    <cellStyle name="Comma 2 4 3 2 5 4 2 2" xfId="8305"/>
    <cellStyle name="Comma 2 4 3 2 5 4 3" xfId="8304"/>
    <cellStyle name="Comma 2 4 3 2 5 4 4" xfId="5343"/>
    <cellStyle name="Comma 2 4 3 2 5 5" xfId="1159"/>
    <cellStyle name="Comma 2 4 3 2 5 5 2" xfId="8306"/>
    <cellStyle name="Comma 2 4 3 2 5 6" xfId="8297"/>
    <cellStyle name="Comma 2 4 3 2 5 7" xfId="5339"/>
    <cellStyle name="Comma 2 4 3 2 6" xfId="1160"/>
    <cellStyle name="Comma 2 4 3 2 6 2" xfId="1161"/>
    <cellStyle name="Comma 2 4 3 2 6 2 2" xfId="1162"/>
    <cellStyle name="Comma 2 4 3 2 6 2 2 2" xfId="8309"/>
    <cellStyle name="Comma 2 4 3 2 6 2 3" xfId="8308"/>
    <cellStyle name="Comma 2 4 3 2 6 2 4" xfId="5345"/>
    <cellStyle name="Comma 2 4 3 2 6 3" xfId="1163"/>
    <cellStyle name="Comma 2 4 3 2 6 3 2" xfId="1164"/>
    <cellStyle name="Comma 2 4 3 2 6 3 2 2" xfId="8311"/>
    <cellStyle name="Comma 2 4 3 2 6 3 3" xfId="8310"/>
    <cellStyle name="Comma 2 4 3 2 6 3 4" xfId="5346"/>
    <cellStyle name="Comma 2 4 3 2 6 4" xfId="1165"/>
    <cellStyle name="Comma 2 4 3 2 6 4 2" xfId="8312"/>
    <cellStyle name="Comma 2 4 3 2 6 5" xfId="8307"/>
    <cellStyle name="Comma 2 4 3 2 6 6" xfId="5344"/>
    <cellStyle name="Comma 2 4 3 2 7" xfId="1166"/>
    <cellStyle name="Comma 2 4 3 2 7 2" xfId="1167"/>
    <cellStyle name="Comma 2 4 3 2 7 2 2" xfId="1168"/>
    <cellStyle name="Comma 2 4 3 2 7 2 2 2" xfId="8315"/>
    <cellStyle name="Comma 2 4 3 2 7 2 3" xfId="8314"/>
    <cellStyle name="Comma 2 4 3 2 7 2 4" xfId="5348"/>
    <cellStyle name="Comma 2 4 3 2 7 3" xfId="1169"/>
    <cellStyle name="Comma 2 4 3 2 7 3 2" xfId="8316"/>
    <cellStyle name="Comma 2 4 3 2 7 4" xfId="8313"/>
    <cellStyle name="Comma 2 4 3 2 7 5" xfId="5347"/>
    <cellStyle name="Comma 2 4 3 2 8" xfId="1170"/>
    <cellStyle name="Comma 2 4 3 2 8 2" xfId="1171"/>
    <cellStyle name="Comma 2 4 3 2 8 2 2" xfId="8318"/>
    <cellStyle name="Comma 2 4 3 2 8 3" xfId="8317"/>
    <cellStyle name="Comma 2 4 3 2 8 4" xfId="5349"/>
    <cellStyle name="Comma 2 4 3 2 9" xfId="1172"/>
    <cellStyle name="Comma 2 4 3 2 9 2" xfId="1173"/>
    <cellStyle name="Comma 2 4 3 2 9 2 2" xfId="8320"/>
    <cellStyle name="Comma 2 4 3 2 9 3" xfId="8319"/>
    <cellStyle name="Comma 2 4 3 2 9 4" xfId="5350"/>
    <cellStyle name="Comma 2 4 3 3" xfId="1174"/>
    <cellStyle name="Comma 2 4 3 3 2" xfId="1175"/>
    <cellStyle name="Comma 2 4 3 3 2 2" xfId="1176"/>
    <cellStyle name="Comma 2 4 3 3 2 2 2" xfId="1177"/>
    <cellStyle name="Comma 2 4 3 3 2 2 2 2" xfId="8324"/>
    <cellStyle name="Comma 2 4 3 3 2 2 3" xfId="8323"/>
    <cellStyle name="Comma 2 4 3 3 2 2 4" xfId="5353"/>
    <cellStyle name="Comma 2 4 3 3 2 3" xfId="1178"/>
    <cellStyle name="Comma 2 4 3 3 2 3 2" xfId="8325"/>
    <cellStyle name="Comma 2 4 3 3 2 4" xfId="8322"/>
    <cellStyle name="Comma 2 4 3 3 2 5" xfId="5352"/>
    <cellStyle name="Comma 2 4 3 3 3" xfId="1179"/>
    <cellStyle name="Comma 2 4 3 3 3 2" xfId="1180"/>
    <cellStyle name="Comma 2 4 3 3 3 2 2" xfId="8327"/>
    <cellStyle name="Comma 2 4 3 3 3 3" xfId="8326"/>
    <cellStyle name="Comma 2 4 3 3 3 4" xfId="5354"/>
    <cellStyle name="Comma 2 4 3 3 4" xfId="1181"/>
    <cellStyle name="Comma 2 4 3 3 4 2" xfId="1182"/>
    <cellStyle name="Comma 2 4 3 3 4 2 2" xfId="8329"/>
    <cellStyle name="Comma 2 4 3 3 4 3" xfId="8328"/>
    <cellStyle name="Comma 2 4 3 3 4 4" xfId="5355"/>
    <cellStyle name="Comma 2 4 3 3 5" xfId="1183"/>
    <cellStyle name="Comma 2 4 3 3 5 2" xfId="8330"/>
    <cellStyle name="Comma 2 4 3 3 6" xfId="8321"/>
    <cellStyle name="Comma 2 4 3 3 7" xfId="5351"/>
    <cellStyle name="Comma 2 4 3 4" xfId="1184"/>
    <cellStyle name="Comma 2 4 3 4 2" xfId="1185"/>
    <cellStyle name="Comma 2 4 3 4 2 2" xfId="1186"/>
    <cellStyle name="Comma 2 4 3 4 2 2 2" xfId="1187"/>
    <cellStyle name="Comma 2 4 3 4 2 2 2 2" xfId="8334"/>
    <cellStyle name="Comma 2 4 3 4 2 2 3" xfId="8333"/>
    <cellStyle name="Comma 2 4 3 4 2 2 4" xfId="5358"/>
    <cellStyle name="Comma 2 4 3 4 2 3" xfId="1188"/>
    <cellStyle name="Comma 2 4 3 4 2 3 2" xfId="8335"/>
    <cellStyle name="Comma 2 4 3 4 2 4" xfId="8332"/>
    <cellStyle name="Comma 2 4 3 4 2 5" xfId="5357"/>
    <cellStyle name="Comma 2 4 3 4 3" xfId="1189"/>
    <cellStyle name="Comma 2 4 3 4 3 2" xfId="1190"/>
    <cellStyle name="Comma 2 4 3 4 3 2 2" xfId="8337"/>
    <cellStyle name="Comma 2 4 3 4 3 3" xfId="8336"/>
    <cellStyle name="Comma 2 4 3 4 3 4" xfId="5359"/>
    <cellStyle name="Comma 2 4 3 4 4" xfId="1191"/>
    <cellStyle name="Comma 2 4 3 4 4 2" xfId="1192"/>
    <cellStyle name="Comma 2 4 3 4 4 2 2" xfId="8339"/>
    <cellStyle name="Comma 2 4 3 4 4 3" xfId="8338"/>
    <cellStyle name="Comma 2 4 3 4 4 4" xfId="5360"/>
    <cellStyle name="Comma 2 4 3 4 5" xfId="1193"/>
    <cellStyle name="Comma 2 4 3 4 5 2" xfId="8340"/>
    <cellStyle name="Comma 2 4 3 4 6" xfId="8331"/>
    <cellStyle name="Comma 2 4 3 4 7" xfId="5356"/>
    <cellStyle name="Comma 2 4 3 5" xfId="1194"/>
    <cellStyle name="Comma 2 4 3 5 2" xfId="1195"/>
    <cellStyle name="Comma 2 4 3 5 2 2" xfId="1196"/>
    <cellStyle name="Comma 2 4 3 5 2 2 2" xfId="1197"/>
    <cellStyle name="Comma 2 4 3 5 2 2 2 2" xfId="8344"/>
    <cellStyle name="Comma 2 4 3 5 2 2 3" xfId="8343"/>
    <cellStyle name="Comma 2 4 3 5 2 2 4" xfId="5363"/>
    <cellStyle name="Comma 2 4 3 5 2 3" xfId="1198"/>
    <cellStyle name="Comma 2 4 3 5 2 3 2" xfId="8345"/>
    <cellStyle name="Comma 2 4 3 5 2 4" xfId="8342"/>
    <cellStyle name="Comma 2 4 3 5 2 5" xfId="5362"/>
    <cellStyle name="Comma 2 4 3 5 3" xfId="1199"/>
    <cellStyle name="Comma 2 4 3 5 3 2" xfId="1200"/>
    <cellStyle name="Comma 2 4 3 5 3 2 2" xfId="8347"/>
    <cellStyle name="Comma 2 4 3 5 3 3" xfId="8346"/>
    <cellStyle name="Comma 2 4 3 5 3 4" xfId="5364"/>
    <cellStyle name="Comma 2 4 3 5 4" xfId="1201"/>
    <cellStyle name="Comma 2 4 3 5 4 2" xfId="1202"/>
    <cellStyle name="Comma 2 4 3 5 4 2 2" xfId="8349"/>
    <cellStyle name="Comma 2 4 3 5 4 3" xfId="8348"/>
    <cellStyle name="Comma 2 4 3 5 4 4" xfId="5365"/>
    <cellStyle name="Comma 2 4 3 5 5" xfId="1203"/>
    <cellStyle name="Comma 2 4 3 5 5 2" xfId="8350"/>
    <cellStyle name="Comma 2 4 3 5 6" xfId="8341"/>
    <cellStyle name="Comma 2 4 3 5 7" xfId="5361"/>
    <cellStyle name="Comma 2 4 3 6" xfId="1204"/>
    <cellStyle name="Comma 2 4 3 6 2" xfId="1205"/>
    <cellStyle name="Comma 2 4 3 6 2 2" xfId="1206"/>
    <cellStyle name="Comma 2 4 3 6 2 2 2" xfId="1207"/>
    <cellStyle name="Comma 2 4 3 6 2 2 2 2" xfId="8354"/>
    <cellStyle name="Comma 2 4 3 6 2 2 3" xfId="8353"/>
    <cellStyle name="Comma 2 4 3 6 2 2 4" xfId="5368"/>
    <cellStyle name="Comma 2 4 3 6 2 3" xfId="1208"/>
    <cellStyle name="Comma 2 4 3 6 2 3 2" xfId="8355"/>
    <cellStyle name="Comma 2 4 3 6 2 4" xfId="8352"/>
    <cellStyle name="Comma 2 4 3 6 2 5" xfId="5367"/>
    <cellStyle name="Comma 2 4 3 6 3" xfId="1209"/>
    <cellStyle name="Comma 2 4 3 6 3 2" xfId="1210"/>
    <cellStyle name="Comma 2 4 3 6 3 2 2" xfId="8357"/>
    <cellStyle name="Comma 2 4 3 6 3 3" xfId="8356"/>
    <cellStyle name="Comma 2 4 3 6 3 4" xfId="5369"/>
    <cellStyle name="Comma 2 4 3 6 4" xfId="1211"/>
    <cellStyle name="Comma 2 4 3 6 4 2" xfId="1212"/>
    <cellStyle name="Comma 2 4 3 6 4 2 2" xfId="8359"/>
    <cellStyle name="Comma 2 4 3 6 4 3" xfId="8358"/>
    <cellStyle name="Comma 2 4 3 6 4 4" xfId="5370"/>
    <cellStyle name="Comma 2 4 3 6 5" xfId="1213"/>
    <cellStyle name="Comma 2 4 3 6 5 2" xfId="8360"/>
    <cellStyle name="Comma 2 4 3 6 6" xfId="8351"/>
    <cellStyle name="Comma 2 4 3 6 7" xfId="5366"/>
    <cellStyle name="Comma 2 4 3 7" xfId="1214"/>
    <cellStyle name="Comma 2 4 3 7 2" xfId="1215"/>
    <cellStyle name="Comma 2 4 3 7 2 2" xfId="1216"/>
    <cellStyle name="Comma 2 4 3 7 2 2 2" xfId="8363"/>
    <cellStyle name="Comma 2 4 3 7 2 3" xfId="8362"/>
    <cellStyle name="Comma 2 4 3 7 2 4" xfId="5372"/>
    <cellStyle name="Comma 2 4 3 7 3" xfId="1217"/>
    <cellStyle name="Comma 2 4 3 7 3 2" xfId="1218"/>
    <cellStyle name="Comma 2 4 3 7 3 2 2" xfId="8365"/>
    <cellStyle name="Comma 2 4 3 7 3 3" xfId="8364"/>
    <cellStyle name="Comma 2 4 3 7 3 4" xfId="5373"/>
    <cellStyle name="Comma 2 4 3 7 4" xfId="1219"/>
    <cellStyle name="Comma 2 4 3 7 4 2" xfId="8366"/>
    <cellStyle name="Comma 2 4 3 7 5" xfId="8361"/>
    <cellStyle name="Comma 2 4 3 7 6" xfId="5371"/>
    <cellStyle name="Comma 2 4 3 8" xfId="1220"/>
    <cellStyle name="Comma 2 4 3 8 2" xfId="1221"/>
    <cellStyle name="Comma 2 4 3 8 2 2" xfId="1222"/>
    <cellStyle name="Comma 2 4 3 8 2 2 2" xfId="8369"/>
    <cellStyle name="Comma 2 4 3 8 2 3" xfId="8368"/>
    <cellStyle name="Comma 2 4 3 8 2 4" xfId="5375"/>
    <cellStyle name="Comma 2 4 3 8 3" xfId="1223"/>
    <cellStyle name="Comma 2 4 3 8 3 2" xfId="8370"/>
    <cellStyle name="Comma 2 4 3 8 4" xfId="8367"/>
    <cellStyle name="Comma 2 4 3 8 5" xfId="5374"/>
    <cellStyle name="Comma 2 4 3 9" xfId="1224"/>
    <cellStyle name="Comma 2 4 3 9 2" xfId="1225"/>
    <cellStyle name="Comma 2 4 3 9 2 2" xfId="8372"/>
    <cellStyle name="Comma 2 4 3 9 3" xfId="8371"/>
    <cellStyle name="Comma 2 4 3 9 4" xfId="5376"/>
    <cellStyle name="Comma 2 4 4" xfId="1226"/>
    <cellStyle name="Comma 2 4 4 10" xfId="1227"/>
    <cellStyle name="Comma 2 4 4 10 2" xfId="1228"/>
    <cellStyle name="Comma 2 4 4 10 2 2" xfId="8375"/>
    <cellStyle name="Comma 2 4 4 10 3" xfId="8374"/>
    <cellStyle name="Comma 2 4 4 10 4" xfId="5378"/>
    <cellStyle name="Comma 2 4 4 11" xfId="1229"/>
    <cellStyle name="Comma 2 4 4 11 2" xfId="8376"/>
    <cellStyle name="Comma 2 4 4 12" xfId="8373"/>
    <cellStyle name="Comma 2 4 4 13" xfId="5377"/>
    <cellStyle name="Comma 2 4 4 2" xfId="1230"/>
    <cellStyle name="Comma 2 4 4 2 10" xfId="1231"/>
    <cellStyle name="Comma 2 4 4 2 10 2" xfId="8378"/>
    <cellStyle name="Comma 2 4 4 2 11" xfId="8377"/>
    <cellStyle name="Comma 2 4 4 2 12" xfId="5379"/>
    <cellStyle name="Comma 2 4 4 2 2" xfId="1232"/>
    <cellStyle name="Comma 2 4 4 2 2 2" xfId="1233"/>
    <cellStyle name="Comma 2 4 4 2 2 2 2" xfId="1234"/>
    <cellStyle name="Comma 2 4 4 2 2 2 2 2" xfId="1235"/>
    <cellStyle name="Comma 2 4 4 2 2 2 2 2 2" xfId="8382"/>
    <cellStyle name="Comma 2 4 4 2 2 2 2 3" xfId="8381"/>
    <cellStyle name="Comma 2 4 4 2 2 2 2 4" xfId="5382"/>
    <cellStyle name="Comma 2 4 4 2 2 2 3" xfId="1236"/>
    <cellStyle name="Comma 2 4 4 2 2 2 3 2" xfId="8383"/>
    <cellStyle name="Comma 2 4 4 2 2 2 4" xfId="8380"/>
    <cellStyle name="Comma 2 4 4 2 2 2 5" xfId="5381"/>
    <cellStyle name="Comma 2 4 4 2 2 3" xfId="1237"/>
    <cellStyle name="Comma 2 4 4 2 2 3 2" xfId="1238"/>
    <cellStyle name="Comma 2 4 4 2 2 3 2 2" xfId="8385"/>
    <cellStyle name="Comma 2 4 4 2 2 3 3" xfId="8384"/>
    <cellStyle name="Comma 2 4 4 2 2 3 4" xfId="5383"/>
    <cellStyle name="Comma 2 4 4 2 2 4" xfId="1239"/>
    <cellStyle name="Comma 2 4 4 2 2 4 2" xfId="1240"/>
    <cellStyle name="Comma 2 4 4 2 2 4 2 2" xfId="8387"/>
    <cellStyle name="Comma 2 4 4 2 2 4 3" xfId="8386"/>
    <cellStyle name="Comma 2 4 4 2 2 4 4" xfId="5384"/>
    <cellStyle name="Comma 2 4 4 2 2 5" xfId="1241"/>
    <cellStyle name="Comma 2 4 4 2 2 5 2" xfId="8388"/>
    <cellStyle name="Comma 2 4 4 2 2 6" xfId="8379"/>
    <cellStyle name="Comma 2 4 4 2 2 7" xfId="5380"/>
    <cellStyle name="Comma 2 4 4 2 3" xfId="1242"/>
    <cellStyle name="Comma 2 4 4 2 3 2" xfId="1243"/>
    <cellStyle name="Comma 2 4 4 2 3 2 2" xfId="1244"/>
    <cellStyle name="Comma 2 4 4 2 3 2 2 2" xfId="1245"/>
    <cellStyle name="Comma 2 4 4 2 3 2 2 2 2" xfId="8392"/>
    <cellStyle name="Comma 2 4 4 2 3 2 2 3" xfId="8391"/>
    <cellStyle name="Comma 2 4 4 2 3 2 2 4" xfId="5387"/>
    <cellStyle name="Comma 2 4 4 2 3 2 3" xfId="1246"/>
    <cellStyle name="Comma 2 4 4 2 3 2 3 2" xfId="8393"/>
    <cellStyle name="Comma 2 4 4 2 3 2 4" xfId="8390"/>
    <cellStyle name="Comma 2 4 4 2 3 2 5" xfId="5386"/>
    <cellStyle name="Comma 2 4 4 2 3 3" xfId="1247"/>
    <cellStyle name="Comma 2 4 4 2 3 3 2" xfId="1248"/>
    <cellStyle name="Comma 2 4 4 2 3 3 2 2" xfId="8395"/>
    <cellStyle name="Comma 2 4 4 2 3 3 3" xfId="8394"/>
    <cellStyle name="Comma 2 4 4 2 3 3 4" xfId="5388"/>
    <cellStyle name="Comma 2 4 4 2 3 4" xfId="1249"/>
    <cellStyle name="Comma 2 4 4 2 3 4 2" xfId="1250"/>
    <cellStyle name="Comma 2 4 4 2 3 4 2 2" xfId="8397"/>
    <cellStyle name="Comma 2 4 4 2 3 4 3" xfId="8396"/>
    <cellStyle name="Comma 2 4 4 2 3 4 4" xfId="5389"/>
    <cellStyle name="Comma 2 4 4 2 3 5" xfId="1251"/>
    <cellStyle name="Comma 2 4 4 2 3 5 2" xfId="8398"/>
    <cellStyle name="Comma 2 4 4 2 3 6" xfId="8389"/>
    <cellStyle name="Comma 2 4 4 2 3 7" xfId="5385"/>
    <cellStyle name="Comma 2 4 4 2 4" xfId="1252"/>
    <cellStyle name="Comma 2 4 4 2 4 2" xfId="1253"/>
    <cellStyle name="Comma 2 4 4 2 4 2 2" xfId="1254"/>
    <cellStyle name="Comma 2 4 4 2 4 2 2 2" xfId="1255"/>
    <cellStyle name="Comma 2 4 4 2 4 2 2 2 2" xfId="8402"/>
    <cellStyle name="Comma 2 4 4 2 4 2 2 3" xfId="8401"/>
    <cellStyle name="Comma 2 4 4 2 4 2 2 4" xfId="5392"/>
    <cellStyle name="Comma 2 4 4 2 4 2 3" xfId="1256"/>
    <cellStyle name="Comma 2 4 4 2 4 2 3 2" xfId="8403"/>
    <cellStyle name="Comma 2 4 4 2 4 2 4" xfId="8400"/>
    <cellStyle name="Comma 2 4 4 2 4 2 5" xfId="5391"/>
    <cellStyle name="Comma 2 4 4 2 4 3" xfId="1257"/>
    <cellStyle name="Comma 2 4 4 2 4 3 2" xfId="1258"/>
    <cellStyle name="Comma 2 4 4 2 4 3 2 2" xfId="8405"/>
    <cellStyle name="Comma 2 4 4 2 4 3 3" xfId="8404"/>
    <cellStyle name="Comma 2 4 4 2 4 3 4" xfId="5393"/>
    <cellStyle name="Comma 2 4 4 2 4 4" xfId="1259"/>
    <cellStyle name="Comma 2 4 4 2 4 4 2" xfId="1260"/>
    <cellStyle name="Comma 2 4 4 2 4 4 2 2" xfId="8407"/>
    <cellStyle name="Comma 2 4 4 2 4 4 3" xfId="8406"/>
    <cellStyle name="Comma 2 4 4 2 4 4 4" xfId="5394"/>
    <cellStyle name="Comma 2 4 4 2 4 5" xfId="1261"/>
    <cellStyle name="Comma 2 4 4 2 4 5 2" xfId="8408"/>
    <cellStyle name="Comma 2 4 4 2 4 6" xfId="8399"/>
    <cellStyle name="Comma 2 4 4 2 4 7" xfId="5390"/>
    <cellStyle name="Comma 2 4 4 2 5" xfId="1262"/>
    <cellStyle name="Comma 2 4 4 2 5 2" xfId="1263"/>
    <cellStyle name="Comma 2 4 4 2 5 2 2" xfId="1264"/>
    <cellStyle name="Comma 2 4 4 2 5 2 2 2" xfId="1265"/>
    <cellStyle name="Comma 2 4 4 2 5 2 2 2 2" xfId="8412"/>
    <cellStyle name="Comma 2 4 4 2 5 2 2 3" xfId="8411"/>
    <cellStyle name="Comma 2 4 4 2 5 2 2 4" xfId="5397"/>
    <cellStyle name="Comma 2 4 4 2 5 2 3" xfId="1266"/>
    <cellStyle name="Comma 2 4 4 2 5 2 3 2" xfId="8413"/>
    <cellStyle name="Comma 2 4 4 2 5 2 4" xfId="8410"/>
    <cellStyle name="Comma 2 4 4 2 5 2 5" xfId="5396"/>
    <cellStyle name="Comma 2 4 4 2 5 3" xfId="1267"/>
    <cellStyle name="Comma 2 4 4 2 5 3 2" xfId="1268"/>
    <cellStyle name="Comma 2 4 4 2 5 3 2 2" xfId="8415"/>
    <cellStyle name="Comma 2 4 4 2 5 3 3" xfId="8414"/>
    <cellStyle name="Comma 2 4 4 2 5 3 4" xfId="5398"/>
    <cellStyle name="Comma 2 4 4 2 5 4" xfId="1269"/>
    <cellStyle name="Comma 2 4 4 2 5 4 2" xfId="1270"/>
    <cellStyle name="Comma 2 4 4 2 5 4 2 2" xfId="8417"/>
    <cellStyle name="Comma 2 4 4 2 5 4 3" xfId="8416"/>
    <cellStyle name="Comma 2 4 4 2 5 4 4" xfId="5399"/>
    <cellStyle name="Comma 2 4 4 2 5 5" xfId="1271"/>
    <cellStyle name="Comma 2 4 4 2 5 5 2" xfId="8418"/>
    <cellStyle name="Comma 2 4 4 2 5 6" xfId="8409"/>
    <cellStyle name="Comma 2 4 4 2 5 7" xfId="5395"/>
    <cellStyle name="Comma 2 4 4 2 6" xfId="1272"/>
    <cellStyle name="Comma 2 4 4 2 6 2" xfId="1273"/>
    <cellStyle name="Comma 2 4 4 2 6 2 2" xfId="1274"/>
    <cellStyle name="Comma 2 4 4 2 6 2 2 2" xfId="8421"/>
    <cellStyle name="Comma 2 4 4 2 6 2 3" xfId="8420"/>
    <cellStyle name="Comma 2 4 4 2 6 2 4" xfId="5401"/>
    <cellStyle name="Comma 2 4 4 2 6 3" xfId="1275"/>
    <cellStyle name="Comma 2 4 4 2 6 3 2" xfId="1276"/>
    <cellStyle name="Comma 2 4 4 2 6 3 2 2" xfId="8423"/>
    <cellStyle name="Comma 2 4 4 2 6 3 3" xfId="8422"/>
    <cellStyle name="Comma 2 4 4 2 6 3 4" xfId="5402"/>
    <cellStyle name="Comma 2 4 4 2 6 4" xfId="1277"/>
    <cellStyle name="Comma 2 4 4 2 6 4 2" xfId="8424"/>
    <cellStyle name="Comma 2 4 4 2 6 5" xfId="8419"/>
    <cellStyle name="Comma 2 4 4 2 6 6" xfId="5400"/>
    <cellStyle name="Comma 2 4 4 2 7" xfId="1278"/>
    <cellStyle name="Comma 2 4 4 2 7 2" xfId="1279"/>
    <cellStyle name="Comma 2 4 4 2 7 2 2" xfId="1280"/>
    <cellStyle name="Comma 2 4 4 2 7 2 2 2" xfId="8427"/>
    <cellStyle name="Comma 2 4 4 2 7 2 3" xfId="8426"/>
    <cellStyle name="Comma 2 4 4 2 7 2 4" xfId="5404"/>
    <cellStyle name="Comma 2 4 4 2 7 3" xfId="1281"/>
    <cellStyle name="Comma 2 4 4 2 7 3 2" xfId="8428"/>
    <cellStyle name="Comma 2 4 4 2 7 4" xfId="8425"/>
    <cellStyle name="Comma 2 4 4 2 7 5" xfId="5403"/>
    <cellStyle name="Comma 2 4 4 2 8" xfId="1282"/>
    <cellStyle name="Comma 2 4 4 2 8 2" xfId="1283"/>
    <cellStyle name="Comma 2 4 4 2 8 2 2" xfId="8430"/>
    <cellStyle name="Comma 2 4 4 2 8 3" xfId="8429"/>
    <cellStyle name="Comma 2 4 4 2 8 4" xfId="5405"/>
    <cellStyle name="Comma 2 4 4 2 9" xfId="1284"/>
    <cellStyle name="Comma 2 4 4 2 9 2" xfId="1285"/>
    <cellStyle name="Comma 2 4 4 2 9 2 2" xfId="8432"/>
    <cellStyle name="Comma 2 4 4 2 9 3" xfId="8431"/>
    <cellStyle name="Comma 2 4 4 2 9 4" xfId="5406"/>
    <cellStyle name="Comma 2 4 4 3" xfId="1286"/>
    <cellStyle name="Comma 2 4 4 3 2" xfId="1287"/>
    <cellStyle name="Comma 2 4 4 3 2 2" xfId="1288"/>
    <cellStyle name="Comma 2 4 4 3 2 2 2" xfId="1289"/>
    <cellStyle name="Comma 2 4 4 3 2 2 2 2" xfId="8436"/>
    <cellStyle name="Comma 2 4 4 3 2 2 3" xfId="8435"/>
    <cellStyle name="Comma 2 4 4 3 2 2 4" xfId="5409"/>
    <cellStyle name="Comma 2 4 4 3 2 3" xfId="1290"/>
    <cellStyle name="Comma 2 4 4 3 2 3 2" xfId="8437"/>
    <cellStyle name="Comma 2 4 4 3 2 4" xfId="8434"/>
    <cellStyle name="Comma 2 4 4 3 2 5" xfId="5408"/>
    <cellStyle name="Comma 2 4 4 3 3" xfId="1291"/>
    <cellStyle name="Comma 2 4 4 3 3 2" xfId="1292"/>
    <cellStyle name="Comma 2 4 4 3 3 2 2" xfId="8439"/>
    <cellStyle name="Comma 2 4 4 3 3 3" xfId="8438"/>
    <cellStyle name="Comma 2 4 4 3 3 4" xfId="5410"/>
    <cellStyle name="Comma 2 4 4 3 4" xfId="1293"/>
    <cellStyle name="Comma 2 4 4 3 4 2" xfId="1294"/>
    <cellStyle name="Comma 2 4 4 3 4 2 2" xfId="8441"/>
    <cellStyle name="Comma 2 4 4 3 4 3" xfId="8440"/>
    <cellStyle name="Comma 2 4 4 3 4 4" xfId="5411"/>
    <cellStyle name="Comma 2 4 4 3 5" xfId="1295"/>
    <cellStyle name="Comma 2 4 4 3 5 2" xfId="8442"/>
    <cellStyle name="Comma 2 4 4 3 6" xfId="8433"/>
    <cellStyle name="Comma 2 4 4 3 7" xfId="5407"/>
    <cellStyle name="Comma 2 4 4 4" xfId="1296"/>
    <cellStyle name="Comma 2 4 4 4 2" xfId="1297"/>
    <cellStyle name="Comma 2 4 4 4 2 2" xfId="1298"/>
    <cellStyle name="Comma 2 4 4 4 2 2 2" xfId="1299"/>
    <cellStyle name="Comma 2 4 4 4 2 2 2 2" xfId="8446"/>
    <cellStyle name="Comma 2 4 4 4 2 2 3" xfId="8445"/>
    <cellStyle name="Comma 2 4 4 4 2 2 4" xfId="5414"/>
    <cellStyle name="Comma 2 4 4 4 2 3" xfId="1300"/>
    <cellStyle name="Comma 2 4 4 4 2 3 2" xfId="8447"/>
    <cellStyle name="Comma 2 4 4 4 2 4" xfId="8444"/>
    <cellStyle name="Comma 2 4 4 4 2 5" xfId="5413"/>
    <cellStyle name="Comma 2 4 4 4 3" xfId="1301"/>
    <cellStyle name="Comma 2 4 4 4 3 2" xfId="1302"/>
    <cellStyle name="Comma 2 4 4 4 3 2 2" xfId="8449"/>
    <cellStyle name="Comma 2 4 4 4 3 3" xfId="8448"/>
    <cellStyle name="Comma 2 4 4 4 3 4" xfId="5415"/>
    <cellStyle name="Comma 2 4 4 4 4" xfId="1303"/>
    <cellStyle name="Comma 2 4 4 4 4 2" xfId="1304"/>
    <cellStyle name="Comma 2 4 4 4 4 2 2" xfId="8451"/>
    <cellStyle name="Comma 2 4 4 4 4 3" xfId="8450"/>
    <cellStyle name="Comma 2 4 4 4 4 4" xfId="5416"/>
    <cellStyle name="Comma 2 4 4 4 5" xfId="1305"/>
    <cellStyle name="Comma 2 4 4 4 5 2" xfId="8452"/>
    <cellStyle name="Comma 2 4 4 4 6" xfId="8443"/>
    <cellStyle name="Comma 2 4 4 4 7" xfId="5412"/>
    <cellStyle name="Comma 2 4 4 5" xfId="1306"/>
    <cellStyle name="Comma 2 4 4 5 2" xfId="1307"/>
    <cellStyle name="Comma 2 4 4 5 2 2" xfId="1308"/>
    <cellStyle name="Comma 2 4 4 5 2 2 2" xfId="1309"/>
    <cellStyle name="Comma 2 4 4 5 2 2 2 2" xfId="8456"/>
    <cellStyle name="Comma 2 4 4 5 2 2 3" xfId="8455"/>
    <cellStyle name="Comma 2 4 4 5 2 2 4" xfId="5419"/>
    <cellStyle name="Comma 2 4 4 5 2 3" xfId="1310"/>
    <cellStyle name="Comma 2 4 4 5 2 3 2" xfId="8457"/>
    <cellStyle name="Comma 2 4 4 5 2 4" xfId="8454"/>
    <cellStyle name="Comma 2 4 4 5 2 5" xfId="5418"/>
    <cellStyle name="Comma 2 4 4 5 3" xfId="1311"/>
    <cellStyle name="Comma 2 4 4 5 3 2" xfId="1312"/>
    <cellStyle name="Comma 2 4 4 5 3 2 2" xfId="8459"/>
    <cellStyle name="Comma 2 4 4 5 3 3" xfId="8458"/>
    <cellStyle name="Comma 2 4 4 5 3 4" xfId="5420"/>
    <cellStyle name="Comma 2 4 4 5 4" xfId="1313"/>
    <cellStyle name="Comma 2 4 4 5 4 2" xfId="1314"/>
    <cellStyle name="Comma 2 4 4 5 4 2 2" xfId="8461"/>
    <cellStyle name="Comma 2 4 4 5 4 3" xfId="8460"/>
    <cellStyle name="Comma 2 4 4 5 4 4" xfId="5421"/>
    <cellStyle name="Comma 2 4 4 5 5" xfId="1315"/>
    <cellStyle name="Comma 2 4 4 5 5 2" xfId="8462"/>
    <cellStyle name="Comma 2 4 4 5 6" xfId="8453"/>
    <cellStyle name="Comma 2 4 4 5 7" xfId="5417"/>
    <cellStyle name="Comma 2 4 4 6" xfId="1316"/>
    <cellStyle name="Comma 2 4 4 6 2" xfId="1317"/>
    <cellStyle name="Comma 2 4 4 6 2 2" xfId="1318"/>
    <cellStyle name="Comma 2 4 4 6 2 2 2" xfId="1319"/>
    <cellStyle name="Comma 2 4 4 6 2 2 2 2" xfId="8466"/>
    <cellStyle name="Comma 2 4 4 6 2 2 3" xfId="8465"/>
    <cellStyle name="Comma 2 4 4 6 2 2 4" xfId="5424"/>
    <cellStyle name="Comma 2 4 4 6 2 3" xfId="1320"/>
    <cellStyle name="Comma 2 4 4 6 2 3 2" xfId="8467"/>
    <cellStyle name="Comma 2 4 4 6 2 4" xfId="8464"/>
    <cellStyle name="Comma 2 4 4 6 2 5" xfId="5423"/>
    <cellStyle name="Comma 2 4 4 6 3" xfId="1321"/>
    <cellStyle name="Comma 2 4 4 6 3 2" xfId="1322"/>
    <cellStyle name="Comma 2 4 4 6 3 2 2" xfId="8469"/>
    <cellStyle name="Comma 2 4 4 6 3 3" xfId="8468"/>
    <cellStyle name="Comma 2 4 4 6 3 4" xfId="5425"/>
    <cellStyle name="Comma 2 4 4 6 4" xfId="1323"/>
    <cellStyle name="Comma 2 4 4 6 4 2" xfId="1324"/>
    <cellStyle name="Comma 2 4 4 6 4 2 2" xfId="8471"/>
    <cellStyle name="Comma 2 4 4 6 4 3" xfId="8470"/>
    <cellStyle name="Comma 2 4 4 6 4 4" xfId="5426"/>
    <cellStyle name="Comma 2 4 4 6 5" xfId="1325"/>
    <cellStyle name="Comma 2 4 4 6 5 2" xfId="8472"/>
    <cellStyle name="Comma 2 4 4 6 6" xfId="8463"/>
    <cellStyle name="Comma 2 4 4 6 7" xfId="5422"/>
    <cellStyle name="Comma 2 4 4 7" xfId="1326"/>
    <cellStyle name="Comma 2 4 4 7 2" xfId="1327"/>
    <cellStyle name="Comma 2 4 4 7 2 2" xfId="1328"/>
    <cellStyle name="Comma 2 4 4 7 2 2 2" xfId="8475"/>
    <cellStyle name="Comma 2 4 4 7 2 3" xfId="8474"/>
    <cellStyle name="Comma 2 4 4 7 2 4" xfId="5428"/>
    <cellStyle name="Comma 2 4 4 7 3" xfId="1329"/>
    <cellStyle name="Comma 2 4 4 7 3 2" xfId="1330"/>
    <cellStyle name="Comma 2 4 4 7 3 2 2" xfId="8477"/>
    <cellStyle name="Comma 2 4 4 7 3 3" xfId="8476"/>
    <cellStyle name="Comma 2 4 4 7 3 4" xfId="5429"/>
    <cellStyle name="Comma 2 4 4 7 4" xfId="1331"/>
    <cellStyle name="Comma 2 4 4 7 4 2" xfId="8478"/>
    <cellStyle name="Comma 2 4 4 7 5" xfId="8473"/>
    <cellStyle name="Comma 2 4 4 7 6" xfId="5427"/>
    <cellStyle name="Comma 2 4 4 8" xfId="1332"/>
    <cellStyle name="Comma 2 4 4 8 2" xfId="1333"/>
    <cellStyle name="Comma 2 4 4 8 2 2" xfId="1334"/>
    <cellStyle name="Comma 2 4 4 8 2 2 2" xfId="8481"/>
    <cellStyle name="Comma 2 4 4 8 2 3" xfId="8480"/>
    <cellStyle name="Comma 2 4 4 8 2 4" xfId="5431"/>
    <cellStyle name="Comma 2 4 4 8 3" xfId="1335"/>
    <cellStyle name="Comma 2 4 4 8 3 2" xfId="8482"/>
    <cellStyle name="Comma 2 4 4 8 4" xfId="8479"/>
    <cellStyle name="Comma 2 4 4 8 5" xfId="5430"/>
    <cellStyle name="Comma 2 4 4 9" xfId="1336"/>
    <cellStyle name="Comma 2 4 4 9 2" xfId="1337"/>
    <cellStyle name="Comma 2 4 4 9 2 2" xfId="8484"/>
    <cellStyle name="Comma 2 4 4 9 3" xfId="8483"/>
    <cellStyle name="Comma 2 4 4 9 4" xfId="5432"/>
    <cellStyle name="Comma 2 4 5" xfId="1338"/>
    <cellStyle name="Comma 2 4 5 10" xfId="1339"/>
    <cellStyle name="Comma 2 4 5 10 2" xfId="8486"/>
    <cellStyle name="Comma 2 4 5 11" xfId="8485"/>
    <cellStyle name="Comma 2 4 5 12" xfId="5433"/>
    <cellStyle name="Comma 2 4 5 2" xfId="1340"/>
    <cellStyle name="Comma 2 4 5 2 2" xfId="1341"/>
    <cellStyle name="Comma 2 4 5 2 2 2" xfId="1342"/>
    <cellStyle name="Comma 2 4 5 2 2 2 2" xfId="1343"/>
    <cellStyle name="Comma 2 4 5 2 2 2 2 2" xfId="8490"/>
    <cellStyle name="Comma 2 4 5 2 2 2 3" xfId="8489"/>
    <cellStyle name="Comma 2 4 5 2 2 2 4" xfId="5436"/>
    <cellStyle name="Comma 2 4 5 2 2 3" xfId="1344"/>
    <cellStyle name="Comma 2 4 5 2 2 3 2" xfId="8491"/>
    <cellStyle name="Comma 2 4 5 2 2 4" xfId="8488"/>
    <cellStyle name="Comma 2 4 5 2 2 5" xfId="5435"/>
    <cellStyle name="Comma 2 4 5 2 3" xfId="1345"/>
    <cellStyle name="Comma 2 4 5 2 3 2" xfId="1346"/>
    <cellStyle name="Comma 2 4 5 2 3 2 2" xfId="8493"/>
    <cellStyle name="Comma 2 4 5 2 3 3" xfId="8492"/>
    <cellStyle name="Comma 2 4 5 2 3 4" xfId="5437"/>
    <cellStyle name="Comma 2 4 5 2 4" xfId="1347"/>
    <cellStyle name="Comma 2 4 5 2 4 2" xfId="1348"/>
    <cellStyle name="Comma 2 4 5 2 4 2 2" xfId="8495"/>
    <cellStyle name="Comma 2 4 5 2 4 3" xfId="8494"/>
    <cellStyle name="Comma 2 4 5 2 4 4" xfId="5438"/>
    <cellStyle name="Comma 2 4 5 2 5" xfId="1349"/>
    <cellStyle name="Comma 2 4 5 2 5 2" xfId="8496"/>
    <cellStyle name="Comma 2 4 5 2 6" xfId="8487"/>
    <cellStyle name="Comma 2 4 5 2 7" xfId="5434"/>
    <cellStyle name="Comma 2 4 5 3" xfId="1350"/>
    <cellStyle name="Comma 2 4 5 3 2" xfId="1351"/>
    <cellStyle name="Comma 2 4 5 3 2 2" xfId="1352"/>
    <cellStyle name="Comma 2 4 5 3 2 2 2" xfId="1353"/>
    <cellStyle name="Comma 2 4 5 3 2 2 2 2" xfId="8500"/>
    <cellStyle name="Comma 2 4 5 3 2 2 3" xfId="8499"/>
    <cellStyle name="Comma 2 4 5 3 2 2 4" xfId="5441"/>
    <cellStyle name="Comma 2 4 5 3 2 3" xfId="1354"/>
    <cellStyle name="Comma 2 4 5 3 2 3 2" xfId="8501"/>
    <cellStyle name="Comma 2 4 5 3 2 4" xfId="8498"/>
    <cellStyle name="Comma 2 4 5 3 2 5" xfId="5440"/>
    <cellStyle name="Comma 2 4 5 3 3" xfId="1355"/>
    <cellStyle name="Comma 2 4 5 3 3 2" xfId="1356"/>
    <cellStyle name="Comma 2 4 5 3 3 2 2" xfId="8503"/>
    <cellStyle name="Comma 2 4 5 3 3 3" xfId="8502"/>
    <cellStyle name="Comma 2 4 5 3 3 4" xfId="5442"/>
    <cellStyle name="Comma 2 4 5 3 4" xfId="1357"/>
    <cellStyle name="Comma 2 4 5 3 4 2" xfId="1358"/>
    <cellStyle name="Comma 2 4 5 3 4 2 2" xfId="8505"/>
    <cellStyle name="Comma 2 4 5 3 4 3" xfId="8504"/>
    <cellStyle name="Comma 2 4 5 3 4 4" xfId="5443"/>
    <cellStyle name="Comma 2 4 5 3 5" xfId="1359"/>
    <cellStyle name="Comma 2 4 5 3 5 2" xfId="8506"/>
    <cellStyle name="Comma 2 4 5 3 6" xfId="8497"/>
    <cellStyle name="Comma 2 4 5 3 7" xfId="5439"/>
    <cellStyle name="Comma 2 4 5 4" xfId="1360"/>
    <cellStyle name="Comma 2 4 5 4 2" xfId="1361"/>
    <cellStyle name="Comma 2 4 5 4 2 2" xfId="1362"/>
    <cellStyle name="Comma 2 4 5 4 2 2 2" xfId="1363"/>
    <cellStyle name="Comma 2 4 5 4 2 2 2 2" xfId="8510"/>
    <cellStyle name="Comma 2 4 5 4 2 2 3" xfId="8509"/>
    <cellStyle name="Comma 2 4 5 4 2 2 4" xfId="5446"/>
    <cellStyle name="Comma 2 4 5 4 2 3" xfId="1364"/>
    <cellStyle name="Comma 2 4 5 4 2 3 2" xfId="8511"/>
    <cellStyle name="Comma 2 4 5 4 2 4" xfId="8508"/>
    <cellStyle name="Comma 2 4 5 4 2 5" xfId="5445"/>
    <cellStyle name="Comma 2 4 5 4 3" xfId="1365"/>
    <cellStyle name="Comma 2 4 5 4 3 2" xfId="1366"/>
    <cellStyle name="Comma 2 4 5 4 3 2 2" xfId="8513"/>
    <cellStyle name="Comma 2 4 5 4 3 3" xfId="8512"/>
    <cellStyle name="Comma 2 4 5 4 3 4" xfId="5447"/>
    <cellStyle name="Comma 2 4 5 4 4" xfId="1367"/>
    <cellStyle name="Comma 2 4 5 4 4 2" xfId="1368"/>
    <cellStyle name="Comma 2 4 5 4 4 2 2" xfId="8515"/>
    <cellStyle name="Comma 2 4 5 4 4 3" xfId="8514"/>
    <cellStyle name="Comma 2 4 5 4 4 4" xfId="5448"/>
    <cellStyle name="Comma 2 4 5 4 5" xfId="1369"/>
    <cellStyle name="Comma 2 4 5 4 5 2" xfId="8516"/>
    <cellStyle name="Comma 2 4 5 4 6" xfId="8507"/>
    <cellStyle name="Comma 2 4 5 4 7" xfId="5444"/>
    <cellStyle name="Comma 2 4 5 5" xfId="1370"/>
    <cellStyle name="Comma 2 4 5 5 2" xfId="1371"/>
    <cellStyle name="Comma 2 4 5 5 2 2" xfId="1372"/>
    <cellStyle name="Comma 2 4 5 5 2 2 2" xfId="1373"/>
    <cellStyle name="Comma 2 4 5 5 2 2 2 2" xfId="8520"/>
    <cellStyle name="Comma 2 4 5 5 2 2 3" xfId="8519"/>
    <cellStyle name="Comma 2 4 5 5 2 2 4" xfId="5451"/>
    <cellStyle name="Comma 2 4 5 5 2 3" xfId="1374"/>
    <cellStyle name="Comma 2 4 5 5 2 3 2" xfId="8521"/>
    <cellStyle name="Comma 2 4 5 5 2 4" xfId="8518"/>
    <cellStyle name="Comma 2 4 5 5 2 5" xfId="5450"/>
    <cellStyle name="Comma 2 4 5 5 3" xfId="1375"/>
    <cellStyle name="Comma 2 4 5 5 3 2" xfId="1376"/>
    <cellStyle name="Comma 2 4 5 5 3 2 2" xfId="8523"/>
    <cellStyle name="Comma 2 4 5 5 3 3" xfId="8522"/>
    <cellStyle name="Comma 2 4 5 5 3 4" xfId="5452"/>
    <cellStyle name="Comma 2 4 5 5 4" xfId="1377"/>
    <cellStyle name="Comma 2 4 5 5 4 2" xfId="1378"/>
    <cellStyle name="Comma 2 4 5 5 4 2 2" xfId="8525"/>
    <cellStyle name="Comma 2 4 5 5 4 3" xfId="8524"/>
    <cellStyle name="Comma 2 4 5 5 4 4" xfId="5453"/>
    <cellStyle name="Comma 2 4 5 5 5" xfId="1379"/>
    <cellStyle name="Comma 2 4 5 5 5 2" xfId="8526"/>
    <cellStyle name="Comma 2 4 5 5 6" xfId="8517"/>
    <cellStyle name="Comma 2 4 5 5 7" xfId="5449"/>
    <cellStyle name="Comma 2 4 5 6" xfId="1380"/>
    <cellStyle name="Comma 2 4 5 6 2" xfId="1381"/>
    <cellStyle name="Comma 2 4 5 6 2 2" xfId="1382"/>
    <cellStyle name="Comma 2 4 5 6 2 2 2" xfId="8529"/>
    <cellStyle name="Comma 2 4 5 6 2 3" xfId="8528"/>
    <cellStyle name="Comma 2 4 5 6 2 4" xfId="5455"/>
    <cellStyle name="Comma 2 4 5 6 3" xfId="1383"/>
    <cellStyle name="Comma 2 4 5 6 3 2" xfId="1384"/>
    <cellStyle name="Comma 2 4 5 6 3 2 2" xfId="8531"/>
    <cellStyle name="Comma 2 4 5 6 3 3" xfId="8530"/>
    <cellStyle name="Comma 2 4 5 6 3 4" xfId="5456"/>
    <cellStyle name="Comma 2 4 5 6 4" xfId="1385"/>
    <cellStyle name="Comma 2 4 5 6 4 2" xfId="8532"/>
    <cellStyle name="Comma 2 4 5 6 5" xfId="8527"/>
    <cellStyle name="Comma 2 4 5 6 6" xfId="5454"/>
    <cellStyle name="Comma 2 4 5 7" xfId="1386"/>
    <cellStyle name="Comma 2 4 5 7 2" xfId="1387"/>
    <cellStyle name="Comma 2 4 5 7 2 2" xfId="1388"/>
    <cellStyle name="Comma 2 4 5 7 2 2 2" xfId="8535"/>
    <cellStyle name="Comma 2 4 5 7 2 3" xfId="8534"/>
    <cellStyle name="Comma 2 4 5 7 2 4" xfId="5458"/>
    <cellStyle name="Comma 2 4 5 7 3" xfId="1389"/>
    <cellStyle name="Comma 2 4 5 7 3 2" xfId="8536"/>
    <cellStyle name="Comma 2 4 5 7 4" xfId="8533"/>
    <cellStyle name="Comma 2 4 5 7 5" xfId="5457"/>
    <cellStyle name="Comma 2 4 5 8" xfId="1390"/>
    <cellStyle name="Comma 2 4 5 8 2" xfId="1391"/>
    <cellStyle name="Comma 2 4 5 8 2 2" xfId="8538"/>
    <cellStyle name="Comma 2 4 5 8 3" xfId="8537"/>
    <cellStyle name="Comma 2 4 5 8 4" xfId="5459"/>
    <cellStyle name="Comma 2 4 5 9" xfId="1392"/>
    <cellStyle name="Comma 2 4 5 9 2" xfId="1393"/>
    <cellStyle name="Comma 2 4 5 9 2 2" xfId="8540"/>
    <cellStyle name="Comma 2 4 5 9 3" xfId="8539"/>
    <cellStyle name="Comma 2 4 5 9 4" xfId="5460"/>
    <cellStyle name="Comma 2 4 6" xfId="1394"/>
    <cellStyle name="Comma 2 4 6 2" xfId="1395"/>
    <cellStyle name="Comma 2 4 6 2 2" xfId="1396"/>
    <cellStyle name="Comma 2 4 6 2 2 2" xfId="1397"/>
    <cellStyle name="Comma 2 4 6 2 2 2 2" xfId="8544"/>
    <cellStyle name="Comma 2 4 6 2 2 3" xfId="8543"/>
    <cellStyle name="Comma 2 4 6 2 2 4" xfId="5463"/>
    <cellStyle name="Comma 2 4 6 2 3" xfId="1398"/>
    <cellStyle name="Comma 2 4 6 2 3 2" xfId="8545"/>
    <cellStyle name="Comma 2 4 6 2 4" xfId="8542"/>
    <cellStyle name="Comma 2 4 6 2 5" xfId="5462"/>
    <cellStyle name="Comma 2 4 6 3" xfId="1399"/>
    <cellStyle name="Comma 2 4 6 3 2" xfId="1400"/>
    <cellStyle name="Comma 2 4 6 3 2 2" xfId="8547"/>
    <cellStyle name="Comma 2 4 6 3 3" xfId="8546"/>
    <cellStyle name="Comma 2 4 6 3 4" xfId="5464"/>
    <cellStyle name="Comma 2 4 6 4" xfId="1401"/>
    <cellStyle name="Comma 2 4 6 4 2" xfId="1402"/>
    <cellStyle name="Comma 2 4 6 4 2 2" xfId="8549"/>
    <cellStyle name="Comma 2 4 6 4 3" xfId="8548"/>
    <cellStyle name="Comma 2 4 6 4 4" xfId="5465"/>
    <cellStyle name="Comma 2 4 6 5" xfId="1403"/>
    <cellStyle name="Comma 2 4 6 5 2" xfId="8550"/>
    <cellStyle name="Comma 2 4 6 6" xfId="8541"/>
    <cellStyle name="Comma 2 4 6 7" xfId="5461"/>
    <cellStyle name="Comma 2 4 7" xfId="1404"/>
    <cellStyle name="Comma 2 4 7 2" xfId="1405"/>
    <cellStyle name="Comma 2 4 7 2 2" xfId="1406"/>
    <cellStyle name="Comma 2 4 7 2 2 2" xfId="1407"/>
    <cellStyle name="Comma 2 4 7 2 2 2 2" xfId="8554"/>
    <cellStyle name="Comma 2 4 7 2 2 3" xfId="8553"/>
    <cellStyle name="Comma 2 4 7 2 2 4" xfId="5468"/>
    <cellStyle name="Comma 2 4 7 2 3" xfId="1408"/>
    <cellStyle name="Comma 2 4 7 2 3 2" xfId="8555"/>
    <cellStyle name="Comma 2 4 7 2 4" xfId="8552"/>
    <cellStyle name="Comma 2 4 7 2 5" xfId="5467"/>
    <cellStyle name="Comma 2 4 7 3" xfId="1409"/>
    <cellStyle name="Comma 2 4 7 3 2" xfId="1410"/>
    <cellStyle name="Comma 2 4 7 3 2 2" xfId="8557"/>
    <cellStyle name="Comma 2 4 7 3 3" xfId="8556"/>
    <cellStyle name="Comma 2 4 7 3 4" xfId="5469"/>
    <cellStyle name="Comma 2 4 7 4" xfId="1411"/>
    <cellStyle name="Comma 2 4 7 4 2" xfId="1412"/>
    <cellStyle name="Comma 2 4 7 4 2 2" xfId="8559"/>
    <cellStyle name="Comma 2 4 7 4 3" xfId="8558"/>
    <cellStyle name="Comma 2 4 7 4 4" xfId="5470"/>
    <cellStyle name="Comma 2 4 7 5" xfId="1413"/>
    <cellStyle name="Comma 2 4 7 5 2" xfId="8560"/>
    <cellStyle name="Comma 2 4 7 6" xfId="8551"/>
    <cellStyle name="Comma 2 4 7 7" xfId="5466"/>
    <cellStyle name="Comma 2 4 8" xfId="1414"/>
    <cellStyle name="Comma 2 4 8 2" xfId="1415"/>
    <cellStyle name="Comma 2 4 8 2 2" xfId="1416"/>
    <cellStyle name="Comma 2 4 8 2 2 2" xfId="1417"/>
    <cellStyle name="Comma 2 4 8 2 2 2 2" xfId="8564"/>
    <cellStyle name="Comma 2 4 8 2 2 3" xfId="8563"/>
    <cellStyle name="Comma 2 4 8 2 2 4" xfId="5473"/>
    <cellStyle name="Comma 2 4 8 2 3" xfId="1418"/>
    <cellStyle name="Comma 2 4 8 2 3 2" xfId="8565"/>
    <cellStyle name="Comma 2 4 8 2 4" xfId="8562"/>
    <cellStyle name="Comma 2 4 8 2 5" xfId="5472"/>
    <cellStyle name="Comma 2 4 8 3" xfId="1419"/>
    <cellStyle name="Comma 2 4 8 3 2" xfId="1420"/>
    <cellStyle name="Comma 2 4 8 3 2 2" xfId="8567"/>
    <cellStyle name="Comma 2 4 8 3 3" xfId="8566"/>
    <cellStyle name="Comma 2 4 8 3 4" xfId="5474"/>
    <cellStyle name="Comma 2 4 8 4" xfId="1421"/>
    <cellStyle name="Comma 2 4 8 4 2" xfId="1422"/>
    <cellStyle name="Comma 2 4 8 4 2 2" xfId="8569"/>
    <cellStyle name="Comma 2 4 8 4 3" xfId="8568"/>
    <cellStyle name="Comma 2 4 8 4 4" xfId="5475"/>
    <cellStyle name="Comma 2 4 8 5" xfId="1423"/>
    <cellStyle name="Comma 2 4 8 5 2" xfId="8570"/>
    <cellStyle name="Comma 2 4 8 6" xfId="8561"/>
    <cellStyle name="Comma 2 4 8 7" xfId="5471"/>
    <cellStyle name="Comma 2 4 9" xfId="1424"/>
    <cellStyle name="Comma 2 4 9 2" xfId="1425"/>
    <cellStyle name="Comma 2 4 9 2 2" xfId="1426"/>
    <cellStyle name="Comma 2 4 9 2 2 2" xfId="1427"/>
    <cellStyle name="Comma 2 4 9 2 2 2 2" xfId="8574"/>
    <cellStyle name="Comma 2 4 9 2 2 3" xfId="8573"/>
    <cellStyle name="Comma 2 4 9 2 2 4" xfId="5478"/>
    <cellStyle name="Comma 2 4 9 2 3" xfId="1428"/>
    <cellStyle name="Comma 2 4 9 2 3 2" xfId="8575"/>
    <cellStyle name="Comma 2 4 9 2 4" xfId="8572"/>
    <cellStyle name="Comma 2 4 9 2 5" xfId="5477"/>
    <cellStyle name="Comma 2 4 9 3" xfId="1429"/>
    <cellStyle name="Comma 2 4 9 3 2" xfId="1430"/>
    <cellStyle name="Comma 2 4 9 3 2 2" xfId="8577"/>
    <cellStyle name="Comma 2 4 9 3 3" xfId="8576"/>
    <cellStyle name="Comma 2 4 9 3 4" xfId="5479"/>
    <cellStyle name="Comma 2 4 9 4" xfId="1431"/>
    <cellStyle name="Comma 2 4 9 4 2" xfId="1432"/>
    <cellStyle name="Comma 2 4 9 4 2 2" xfId="8579"/>
    <cellStyle name="Comma 2 4 9 4 3" xfId="8578"/>
    <cellStyle name="Comma 2 4 9 4 4" xfId="5480"/>
    <cellStyle name="Comma 2 4 9 5" xfId="1433"/>
    <cellStyle name="Comma 2 4 9 5 2" xfId="8580"/>
    <cellStyle name="Comma 2 4 9 6" xfId="8571"/>
    <cellStyle name="Comma 2 4 9 7" xfId="5476"/>
    <cellStyle name="Comma 2 5" xfId="1434"/>
    <cellStyle name="Comma 2 5 10" xfId="1435"/>
    <cellStyle name="Comma 2 5 10 2" xfId="1436"/>
    <cellStyle name="Comma 2 5 10 2 2" xfId="1437"/>
    <cellStyle name="Comma 2 5 10 2 2 2" xfId="8584"/>
    <cellStyle name="Comma 2 5 10 2 3" xfId="8583"/>
    <cellStyle name="Comma 2 5 10 2 4" xfId="5483"/>
    <cellStyle name="Comma 2 5 10 3" xfId="1438"/>
    <cellStyle name="Comma 2 5 10 3 2" xfId="1439"/>
    <cellStyle name="Comma 2 5 10 3 2 2" xfId="8586"/>
    <cellStyle name="Comma 2 5 10 3 3" xfId="8585"/>
    <cellStyle name="Comma 2 5 10 3 4" xfId="5484"/>
    <cellStyle name="Comma 2 5 10 4" xfId="1440"/>
    <cellStyle name="Comma 2 5 10 4 2" xfId="8587"/>
    <cellStyle name="Comma 2 5 10 5" xfId="8582"/>
    <cellStyle name="Comma 2 5 10 6" xfId="5482"/>
    <cellStyle name="Comma 2 5 11" xfId="1441"/>
    <cellStyle name="Comma 2 5 11 2" xfId="1442"/>
    <cellStyle name="Comma 2 5 11 2 2" xfId="1443"/>
    <cellStyle name="Comma 2 5 11 2 2 2" xfId="8590"/>
    <cellStyle name="Comma 2 5 11 2 3" xfId="8589"/>
    <cellStyle name="Comma 2 5 11 2 4" xfId="5486"/>
    <cellStyle name="Comma 2 5 11 3" xfId="1444"/>
    <cellStyle name="Comma 2 5 11 3 2" xfId="8591"/>
    <cellStyle name="Comma 2 5 11 4" xfId="8588"/>
    <cellStyle name="Comma 2 5 11 5" xfId="5485"/>
    <cellStyle name="Comma 2 5 12" xfId="1445"/>
    <cellStyle name="Comma 2 5 12 2" xfId="1446"/>
    <cellStyle name="Comma 2 5 12 2 2" xfId="8593"/>
    <cellStyle name="Comma 2 5 12 3" xfId="8592"/>
    <cellStyle name="Comma 2 5 12 4" xfId="5487"/>
    <cellStyle name="Comma 2 5 13" xfId="1447"/>
    <cellStyle name="Comma 2 5 13 2" xfId="1448"/>
    <cellStyle name="Comma 2 5 13 2 2" xfId="8595"/>
    <cellStyle name="Comma 2 5 13 3" xfId="8594"/>
    <cellStyle name="Comma 2 5 13 4" xfId="5488"/>
    <cellStyle name="Comma 2 5 14" xfId="1449"/>
    <cellStyle name="Comma 2 5 14 2" xfId="8596"/>
    <cellStyle name="Comma 2 5 15" xfId="8581"/>
    <cellStyle name="Comma 2 5 16" xfId="5481"/>
    <cellStyle name="Comma 2 5 2" xfId="1450"/>
    <cellStyle name="Comma 2 5 2 10" xfId="1451"/>
    <cellStyle name="Comma 2 5 2 10 2" xfId="1452"/>
    <cellStyle name="Comma 2 5 2 10 2 2" xfId="8599"/>
    <cellStyle name="Comma 2 5 2 10 3" xfId="8598"/>
    <cellStyle name="Comma 2 5 2 10 4" xfId="5490"/>
    <cellStyle name="Comma 2 5 2 11" xfId="1453"/>
    <cellStyle name="Comma 2 5 2 11 2" xfId="8600"/>
    <cellStyle name="Comma 2 5 2 12" xfId="8597"/>
    <cellStyle name="Comma 2 5 2 13" xfId="5489"/>
    <cellStyle name="Comma 2 5 2 2" xfId="1454"/>
    <cellStyle name="Comma 2 5 2 2 10" xfId="1455"/>
    <cellStyle name="Comma 2 5 2 2 10 2" xfId="8602"/>
    <cellStyle name="Comma 2 5 2 2 11" xfId="8601"/>
    <cellStyle name="Comma 2 5 2 2 12" xfId="5491"/>
    <cellStyle name="Comma 2 5 2 2 2" xfId="1456"/>
    <cellStyle name="Comma 2 5 2 2 2 2" xfId="1457"/>
    <cellStyle name="Comma 2 5 2 2 2 2 2" xfId="1458"/>
    <cellStyle name="Comma 2 5 2 2 2 2 2 2" xfId="1459"/>
    <cellStyle name="Comma 2 5 2 2 2 2 2 2 2" xfId="8606"/>
    <cellStyle name="Comma 2 5 2 2 2 2 2 3" xfId="8605"/>
    <cellStyle name="Comma 2 5 2 2 2 2 2 4" xfId="5494"/>
    <cellStyle name="Comma 2 5 2 2 2 2 3" xfId="1460"/>
    <cellStyle name="Comma 2 5 2 2 2 2 3 2" xfId="8607"/>
    <cellStyle name="Comma 2 5 2 2 2 2 4" xfId="8604"/>
    <cellStyle name="Comma 2 5 2 2 2 2 5" xfId="5493"/>
    <cellStyle name="Comma 2 5 2 2 2 3" xfId="1461"/>
    <cellStyle name="Comma 2 5 2 2 2 3 2" xfId="1462"/>
    <cellStyle name="Comma 2 5 2 2 2 3 2 2" xfId="8609"/>
    <cellStyle name="Comma 2 5 2 2 2 3 3" xfId="8608"/>
    <cellStyle name="Comma 2 5 2 2 2 3 4" xfId="5495"/>
    <cellStyle name="Comma 2 5 2 2 2 4" xfId="1463"/>
    <cellStyle name="Comma 2 5 2 2 2 4 2" xfId="1464"/>
    <cellStyle name="Comma 2 5 2 2 2 4 2 2" xfId="8611"/>
    <cellStyle name="Comma 2 5 2 2 2 4 3" xfId="8610"/>
    <cellStyle name="Comma 2 5 2 2 2 4 4" xfId="5496"/>
    <cellStyle name="Comma 2 5 2 2 2 5" xfId="1465"/>
    <cellStyle name="Comma 2 5 2 2 2 5 2" xfId="8612"/>
    <cellStyle name="Comma 2 5 2 2 2 6" xfId="8603"/>
    <cellStyle name="Comma 2 5 2 2 2 7" xfId="5492"/>
    <cellStyle name="Comma 2 5 2 2 3" xfId="1466"/>
    <cellStyle name="Comma 2 5 2 2 3 2" xfId="1467"/>
    <cellStyle name="Comma 2 5 2 2 3 2 2" xfId="1468"/>
    <cellStyle name="Comma 2 5 2 2 3 2 2 2" xfId="1469"/>
    <cellStyle name="Comma 2 5 2 2 3 2 2 2 2" xfId="8616"/>
    <cellStyle name="Comma 2 5 2 2 3 2 2 3" xfId="8615"/>
    <cellStyle name="Comma 2 5 2 2 3 2 2 4" xfId="5499"/>
    <cellStyle name="Comma 2 5 2 2 3 2 3" xfId="1470"/>
    <cellStyle name="Comma 2 5 2 2 3 2 3 2" xfId="8617"/>
    <cellStyle name="Comma 2 5 2 2 3 2 4" xfId="8614"/>
    <cellStyle name="Comma 2 5 2 2 3 2 5" xfId="5498"/>
    <cellStyle name="Comma 2 5 2 2 3 3" xfId="1471"/>
    <cellStyle name="Comma 2 5 2 2 3 3 2" xfId="1472"/>
    <cellStyle name="Comma 2 5 2 2 3 3 2 2" xfId="8619"/>
    <cellStyle name="Comma 2 5 2 2 3 3 3" xfId="8618"/>
    <cellStyle name="Comma 2 5 2 2 3 3 4" xfId="5500"/>
    <cellStyle name="Comma 2 5 2 2 3 4" xfId="1473"/>
    <cellStyle name="Comma 2 5 2 2 3 4 2" xfId="1474"/>
    <cellStyle name="Comma 2 5 2 2 3 4 2 2" xfId="8621"/>
    <cellStyle name="Comma 2 5 2 2 3 4 3" xfId="8620"/>
    <cellStyle name="Comma 2 5 2 2 3 4 4" xfId="5501"/>
    <cellStyle name="Comma 2 5 2 2 3 5" xfId="1475"/>
    <cellStyle name="Comma 2 5 2 2 3 5 2" xfId="8622"/>
    <cellStyle name="Comma 2 5 2 2 3 6" xfId="8613"/>
    <cellStyle name="Comma 2 5 2 2 3 7" xfId="5497"/>
    <cellStyle name="Comma 2 5 2 2 4" xfId="1476"/>
    <cellStyle name="Comma 2 5 2 2 4 2" xfId="1477"/>
    <cellStyle name="Comma 2 5 2 2 4 2 2" xfId="1478"/>
    <cellStyle name="Comma 2 5 2 2 4 2 2 2" xfId="1479"/>
    <cellStyle name="Comma 2 5 2 2 4 2 2 2 2" xfId="8626"/>
    <cellStyle name="Comma 2 5 2 2 4 2 2 3" xfId="8625"/>
    <cellStyle name="Comma 2 5 2 2 4 2 2 4" xfId="5504"/>
    <cellStyle name="Comma 2 5 2 2 4 2 3" xfId="1480"/>
    <cellStyle name="Comma 2 5 2 2 4 2 3 2" xfId="8627"/>
    <cellStyle name="Comma 2 5 2 2 4 2 4" xfId="8624"/>
    <cellStyle name="Comma 2 5 2 2 4 2 5" xfId="5503"/>
    <cellStyle name="Comma 2 5 2 2 4 3" xfId="1481"/>
    <cellStyle name="Comma 2 5 2 2 4 3 2" xfId="1482"/>
    <cellStyle name="Comma 2 5 2 2 4 3 2 2" xfId="8629"/>
    <cellStyle name="Comma 2 5 2 2 4 3 3" xfId="8628"/>
    <cellStyle name="Comma 2 5 2 2 4 3 4" xfId="5505"/>
    <cellStyle name="Comma 2 5 2 2 4 4" xfId="1483"/>
    <cellStyle name="Comma 2 5 2 2 4 4 2" xfId="1484"/>
    <cellStyle name="Comma 2 5 2 2 4 4 2 2" xfId="8631"/>
    <cellStyle name="Comma 2 5 2 2 4 4 3" xfId="8630"/>
    <cellStyle name="Comma 2 5 2 2 4 4 4" xfId="5506"/>
    <cellStyle name="Comma 2 5 2 2 4 5" xfId="1485"/>
    <cellStyle name="Comma 2 5 2 2 4 5 2" xfId="8632"/>
    <cellStyle name="Comma 2 5 2 2 4 6" xfId="8623"/>
    <cellStyle name="Comma 2 5 2 2 4 7" xfId="5502"/>
    <cellStyle name="Comma 2 5 2 2 5" xfId="1486"/>
    <cellStyle name="Comma 2 5 2 2 5 2" xfId="1487"/>
    <cellStyle name="Comma 2 5 2 2 5 2 2" xfId="1488"/>
    <cellStyle name="Comma 2 5 2 2 5 2 2 2" xfId="1489"/>
    <cellStyle name="Comma 2 5 2 2 5 2 2 2 2" xfId="8636"/>
    <cellStyle name="Comma 2 5 2 2 5 2 2 3" xfId="8635"/>
    <cellStyle name="Comma 2 5 2 2 5 2 2 4" xfId="5509"/>
    <cellStyle name="Comma 2 5 2 2 5 2 3" xfId="1490"/>
    <cellStyle name="Comma 2 5 2 2 5 2 3 2" xfId="8637"/>
    <cellStyle name="Comma 2 5 2 2 5 2 4" xfId="8634"/>
    <cellStyle name="Comma 2 5 2 2 5 2 5" xfId="5508"/>
    <cellStyle name="Comma 2 5 2 2 5 3" xfId="1491"/>
    <cellStyle name="Comma 2 5 2 2 5 3 2" xfId="1492"/>
    <cellStyle name="Comma 2 5 2 2 5 3 2 2" xfId="8639"/>
    <cellStyle name="Comma 2 5 2 2 5 3 3" xfId="8638"/>
    <cellStyle name="Comma 2 5 2 2 5 3 4" xfId="5510"/>
    <cellStyle name="Comma 2 5 2 2 5 4" xfId="1493"/>
    <cellStyle name="Comma 2 5 2 2 5 4 2" xfId="1494"/>
    <cellStyle name="Comma 2 5 2 2 5 4 2 2" xfId="8641"/>
    <cellStyle name="Comma 2 5 2 2 5 4 3" xfId="8640"/>
    <cellStyle name="Comma 2 5 2 2 5 4 4" xfId="5511"/>
    <cellStyle name="Comma 2 5 2 2 5 5" xfId="1495"/>
    <cellStyle name="Comma 2 5 2 2 5 5 2" xfId="8642"/>
    <cellStyle name="Comma 2 5 2 2 5 6" xfId="8633"/>
    <cellStyle name="Comma 2 5 2 2 5 7" xfId="5507"/>
    <cellStyle name="Comma 2 5 2 2 6" xfId="1496"/>
    <cellStyle name="Comma 2 5 2 2 6 2" xfId="1497"/>
    <cellStyle name="Comma 2 5 2 2 6 2 2" xfId="1498"/>
    <cellStyle name="Comma 2 5 2 2 6 2 2 2" xfId="8645"/>
    <cellStyle name="Comma 2 5 2 2 6 2 3" xfId="8644"/>
    <cellStyle name="Comma 2 5 2 2 6 2 4" xfId="5513"/>
    <cellStyle name="Comma 2 5 2 2 6 3" xfId="1499"/>
    <cellStyle name="Comma 2 5 2 2 6 3 2" xfId="1500"/>
    <cellStyle name="Comma 2 5 2 2 6 3 2 2" xfId="8647"/>
    <cellStyle name="Comma 2 5 2 2 6 3 3" xfId="8646"/>
    <cellStyle name="Comma 2 5 2 2 6 3 4" xfId="5514"/>
    <cellStyle name="Comma 2 5 2 2 6 4" xfId="1501"/>
    <cellStyle name="Comma 2 5 2 2 6 4 2" xfId="8648"/>
    <cellStyle name="Comma 2 5 2 2 6 5" xfId="8643"/>
    <cellStyle name="Comma 2 5 2 2 6 6" xfId="5512"/>
    <cellStyle name="Comma 2 5 2 2 7" xfId="1502"/>
    <cellStyle name="Comma 2 5 2 2 7 2" xfId="1503"/>
    <cellStyle name="Comma 2 5 2 2 7 2 2" xfId="1504"/>
    <cellStyle name="Comma 2 5 2 2 7 2 2 2" xfId="8651"/>
    <cellStyle name="Comma 2 5 2 2 7 2 3" xfId="8650"/>
    <cellStyle name="Comma 2 5 2 2 7 2 4" xfId="5516"/>
    <cellStyle name="Comma 2 5 2 2 7 3" xfId="1505"/>
    <cellStyle name="Comma 2 5 2 2 7 3 2" xfId="8652"/>
    <cellStyle name="Comma 2 5 2 2 7 4" xfId="8649"/>
    <cellStyle name="Comma 2 5 2 2 7 5" xfId="5515"/>
    <cellStyle name="Comma 2 5 2 2 8" xfId="1506"/>
    <cellStyle name="Comma 2 5 2 2 8 2" xfId="1507"/>
    <cellStyle name="Comma 2 5 2 2 8 2 2" xfId="8654"/>
    <cellStyle name="Comma 2 5 2 2 8 3" xfId="8653"/>
    <cellStyle name="Comma 2 5 2 2 8 4" xfId="5517"/>
    <cellStyle name="Comma 2 5 2 2 9" xfId="1508"/>
    <cellStyle name="Comma 2 5 2 2 9 2" xfId="1509"/>
    <cellStyle name="Comma 2 5 2 2 9 2 2" xfId="8656"/>
    <cellStyle name="Comma 2 5 2 2 9 3" xfId="8655"/>
    <cellStyle name="Comma 2 5 2 2 9 4" xfId="5518"/>
    <cellStyle name="Comma 2 5 2 3" xfId="1510"/>
    <cellStyle name="Comma 2 5 2 3 2" xfId="1511"/>
    <cellStyle name="Comma 2 5 2 3 2 2" xfId="1512"/>
    <cellStyle name="Comma 2 5 2 3 2 2 2" xfId="1513"/>
    <cellStyle name="Comma 2 5 2 3 2 2 2 2" xfId="8660"/>
    <cellStyle name="Comma 2 5 2 3 2 2 3" xfId="8659"/>
    <cellStyle name="Comma 2 5 2 3 2 2 4" xfId="5521"/>
    <cellStyle name="Comma 2 5 2 3 2 3" xfId="1514"/>
    <cellStyle name="Comma 2 5 2 3 2 3 2" xfId="8661"/>
    <cellStyle name="Comma 2 5 2 3 2 4" xfId="8658"/>
    <cellStyle name="Comma 2 5 2 3 2 5" xfId="5520"/>
    <cellStyle name="Comma 2 5 2 3 3" xfId="1515"/>
    <cellStyle name="Comma 2 5 2 3 3 2" xfId="1516"/>
    <cellStyle name="Comma 2 5 2 3 3 2 2" xfId="8663"/>
    <cellStyle name="Comma 2 5 2 3 3 3" xfId="8662"/>
    <cellStyle name="Comma 2 5 2 3 3 4" xfId="5522"/>
    <cellStyle name="Comma 2 5 2 3 4" xfId="1517"/>
    <cellStyle name="Comma 2 5 2 3 4 2" xfId="1518"/>
    <cellStyle name="Comma 2 5 2 3 4 2 2" xfId="8665"/>
    <cellStyle name="Comma 2 5 2 3 4 3" xfId="8664"/>
    <cellStyle name="Comma 2 5 2 3 4 4" xfId="5523"/>
    <cellStyle name="Comma 2 5 2 3 5" xfId="1519"/>
    <cellStyle name="Comma 2 5 2 3 5 2" xfId="8666"/>
    <cellStyle name="Comma 2 5 2 3 6" xfId="8657"/>
    <cellStyle name="Comma 2 5 2 3 7" xfId="5519"/>
    <cellStyle name="Comma 2 5 2 4" xfId="1520"/>
    <cellStyle name="Comma 2 5 2 4 2" xfId="1521"/>
    <cellStyle name="Comma 2 5 2 4 2 2" xfId="1522"/>
    <cellStyle name="Comma 2 5 2 4 2 2 2" xfId="1523"/>
    <cellStyle name="Comma 2 5 2 4 2 2 2 2" xfId="8670"/>
    <cellStyle name="Comma 2 5 2 4 2 2 3" xfId="8669"/>
    <cellStyle name="Comma 2 5 2 4 2 2 4" xfId="5526"/>
    <cellStyle name="Comma 2 5 2 4 2 3" xfId="1524"/>
    <cellStyle name="Comma 2 5 2 4 2 3 2" xfId="8671"/>
    <cellStyle name="Comma 2 5 2 4 2 4" xfId="8668"/>
    <cellStyle name="Comma 2 5 2 4 2 5" xfId="5525"/>
    <cellStyle name="Comma 2 5 2 4 3" xfId="1525"/>
    <cellStyle name="Comma 2 5 2 4 3 2" xfId="1526"/>
    <cellStyle name="Comma 2 5 2 4 3 2 2" xfId="8673"/>
    <cellStyle name="Comma 2 5 2 4 3 3" xfId="8672"/>
    <cellStyle name="Comma 2 5 2 4 3 4" xfId="5527"/>
    <cellStyle name="Comma 2 5 2 4 4" xfId="1527"/>
    <cellStyle name="Comma 2 5 2 4 4 2" xfId="1528"/>
    <cellStyle name="Comma 2 5 2 4 4 2 2" xfId="8675"/>
    <cellStyle name="Comma 2 5 2 4 4 3" xfId="8674"/>
    <cellStyle name="Comma 2 5 2 4 4 4" xfId="5528"/>
    <cellStyle name="Comma 2 5 2 4 5" xfId="1529"/>
    <cellStyle name="Comma 2 5 2 4 5 2" xfId="8676"/>
    <cellStyle name="Comma 2 5 2 4 6" xfId="8667"/>
    <cellStyle name="Comma 2 5 2 4 7" xfId="5524"/>
    <cellStyle name="Comma 2 5 2 5" xfId="1530"/>
    <cellStyle name="Comma 2 5 2 5 2" xfId="1531"/>
    <cellStyle name="Comma 2 5 2 5 2 2" xfId="1532"/>
    <cellStyle name="Comma 2 5 2 5 2 2 2" xfId="1533"/>
    <cellStyle name="Comma 2 5 2 5 2 2 2 2" xfId="8680"/>
    <cellStyle name="Comma 2 5 2 5 2 2 3" xfId="8679"/>
    <cellStyle name="Comma 2 5 2 5 2 2 4" xfId="5531"/>
    <cellStyle name="Comma 2 5 2 5 2 3" xfId="1534"/>
    <cellStyle name="Comma 2 5 2 5 2 3 2" xfId="8681"/>
    <cellStyle name="Comma 2 5 2 5 2 4" xfId="8678"/>
    <cellStyle name="Comma 2 5 2 5 2 5" xfId="5530"/>
    <cellStyle name="Comma 2 5 2 5 3" xfId="1535"/>
    <cellStyle name="Comma 2 5 2 5 3 2" xfId="1536"/>
    <cellStyle name="Comma 2 5 2 5 3 2 2" xfId="8683"/>
    <cellStyle name="Comma 2 5 2 5 3 3" xfId="8682"/>
    <cellStyle name="Comma 2 5 2 5 3 4" xfId="5532"/>
    <cellStyle name="Comma 2 5 2 5 4" xfId="1537"/>
    <cellStyle name="Comma 2 5 2 5 4 2" xfId="1538"/>
    <cellStyle name="Comma 2 5 2 5 4 2 2" xfId="8685"/>
    <cellStyle name="Comma 2 5 2 5 4 3" xfId="8684"/>
    <cellStyle name="Comma 2 5 2 5 4 4" xfId="5533"/>
    <cellStyle name="Comma 2 5 2 5 5" xfId="1539"/>
    <cellStyle name="Comma 2 5 2 5 5 2" xfId="8686"/>
    <cellStyle name="Comma 2 5 2 5 6" xfId="8677"/>
    <cellStyle name="Comma 2 5 2 5 7" xfId="5529"/>
    <cellStyle name="Comma 2 5 2 6" xfId="1540"/>
    <cellStyle name="Comma 2 5 2 6 2" xfId="1541"/>
    <cellStyle name="Comma 2 5 2 6 2 2" xfId="1542"/>
    <cellStyle name="Comma 2 5 2 6 2 2 2" xfId="1543"/>
    <cellStyle name="Comma 2 5 2 6 2 2 2 2" xfId="8690"/>
    <cellStyle name="Comma 2 5 2 6 2 2 3" xfId="8689"/>
    <cellStyle name="Comma 2 5 2 6 2 2 4" xfId="5536"/>
    <cellStyle name="Comma 2 5 2 6 2 3" xfId="1544"/>
    <cellStyle name="Comma 2 5 2 6 2 3 2" xfId="8691"/>
    <cellStyle name="Comma 2 5 2 6 2 4" xfId="8688"/>
    <cellStyle name="Comma 2 5 2 6 2 5" xfId="5535"/>
    <cellStyle name="Comma 2 5 2 6 3" xfId="1545"/>
    <cellStyle name="Comma 2 5 2 6 3 2" xfId="1546"/>
    <cellStyle name="Comma 2 5 2 6 3 2 2" xfId="8693"/>
    <cellStyle name="Comma 2 5 2 6 3 3" xfId="8692"/>
    <cellStyle name="Comma 2 5 2 6 3 4" xfId="5537"/>
    <cellStyle name="Comma 2 5 2 6 4" xfId="1547"/>
    <cellStyle name="Comma 2 5 2 6 4 2" xfId="1548"/>
    <cellStyle name="Comma 2 5 2 6 4 2 2" xfId="8695"/>
    <cellStyle name="Comma 2 5 2 6 4 3" xfId="8694"/>
    <cellStyle name="Comma 2 5 2 6 4 4" xfId="5538"/>
    <cellStyle name="Comma 2 5 2 6 5" xfId="1549"/>
    <cellStyle name="Comma 2 5 2 6 5 2" xfId="8696"/>
    <cellStyle name="Comma 2 5 2 6 6" xfId="8687"/>
    <cellStyle name="Comma 2 5 2 6 7" xfId="5534"/>
    <cellStyle name="Comma 2 5 2 7" xfId="1550"/>
    <cellStyle name="Comma 2 5 2 7 2" xfId="1551"/>
    <cellStyle name="Comma 2 5 2 7 2 2" xfId="1552"/>
    <cellStyle name="Comma 2 5 2 7 2 2 2" xfId="8699"/>
    <cellStyle name="Comma 2 5 2 7 2 3" xfId="8698"/>
    <cellStyle name="Comma 2 5 2 7 2 4" xfId="5540"/>
    <cellStyle name="Comma 2 5 2 7 3" xfId="1553"/>
    <cellStyle name="Comma 2 5 2 7 3 2" xfId="1554"/>
    <cellStyle name="Comma 2 5 2 7 3 2 2" xfId="8701"/>
    <cellStyle name="Comma 2 5 2 7 3 3" xfId="8700"/>
    <cellStyle name="Comma 2 5 2 7 3 4" xfId="5541"/>
    <cellStyle name="Comma 2 5 2 7 4" xfId="1555"/>
    <cellStyle name="Comma 2 5 2 7 4 2" xfId="8702"/>
    <cellStyle name="Comma 2 5 2 7 5" xfId="8697"/>
    <cellStyle name="Comma 2 5 2 7 6" xfId="5539"/>
    <cellStyle name="Comma 2 5 2 8" xfId="1556"/>
    <cellStyle name="Comma 2 5 2 8 2" xfId="1557"/>
    <cellStyle name="Comma 2 5 2 8 2 2" xfId="1558"/>
    <cellStyle name="Comma 2 5 2 8 2 2 2" xfId="8705"/>
    <cellStyle name="Comma 2 5 2 8 2 3" xfId="8704"/>
    <cellStyle name="Comma 2 5 2 8 2 4" xfId="5543"/>
    <cellStyle name="Comma 2 5 2 8 3" xfId="1559"/>
    <cellStyle name="Comma 2 5 2 8 3 2" xfId="8706"/>
    <cellStyle name="Comma 2 5 2 8 4" xfId="8703"/>
    <cellStyle name="Comma 2 5 2 8 5" xfId="5542"/>
    <cellStyle name="Comma 2 5 2 9" xfId="1560"/>
    <cellStyle name="Comma 2 5 2 9 2" xfId="1561"/>
    <cellStyle name="Comma 2 5 2 9 2 2" xfId="8708"/>
    <cellStyle name="Comma 2 5 2 9 3" xfId="8707"/>
    <cellStyle name="Comma 2 5 2 9 4" xfId="5544"/>
    <cellStyle name="Comma 2 5 3" xfId="1562"/>
    <cellStyle name="Comma 2 5 3 10" xfId="1563"/>
    <cellStyle name="Comma 2 5 3 10 2" xfId="1564"/>
    <cellStyle name="Comma 2 5 3 10 2 2" xfId="8711"/>
    <cellStyle name="Comma 2 5 3 10 3" xfId="8710"/>
    <cellStyle name="Comma 2 5 3 10 4" xfId="5546"/>
    <cellStyle name="Comma 2 5 3 11" xfId="1565"/>
    <cellStyle name="Comma 2 5 3 11 2" xfId="8712"/>
    <cellStyle name="Comma 2 5 3 12" xfId="8709"/>
    <cellStyle name="Comma 2 5 3 13" xfId="5545"/>
    <cellStyle name="Comma 2 5 3 2" xfId="1566"/>
    <cellStyle name="Comma 2 5 3 2 10" xfId="1567"/>
    <cellStyle name="Comma 2 5 3 2 10 2" xfId="8714"/>
    <cellStyle name="Comma 2 5 3 2 11" xfId="8713"/>
    <cellStyle name="Comma 2 5 3 2 12" xfId="5547"/>
    <cellStyle name="Comma 2 5 3 2 2" xfId="1568"/>
    <cellStyle name="Comma 2 5 3 2 2 2" xfId="1569"/>
    <cellStyle name="Comma 2 5 3 2 2 2 2" xfId="1570"/>
    <cellStyle name="Comma 2 5 3 2 2 2 2 2" xfId="1571"/>
    <cellStyle name="Comma 2 5 3 2 2 2 2 2 2" xfId="8718"/>
    <cellStyle name="Comma 2 5 3 2 2 2 2 3" xfId="8717"/>
    <cellStyle name="Comma 2 5 3 2 2 2 2 4" xfId="5550"/>
    <cellStyle name="Comma 2 5 3 2 2 2 3" xfId="1572"/>
    <cellStyle name="Comma 2 5 3 2 2 2 3 2" xfId="8719"/>
    <cellStyle name="Comma 2 5 3 2 2 2 4" xfId="8716"/>
    <cellStyle name="Comma 2 5 3 2 2 2 5" xfId="5549"/>
    <cellStyle name="Comma 2 5 3 2 2 3" xfId="1573"/>
    <cellStyle name="Comma 2 5 3 2 2 3 2" xfId="1574"/>
    <cellStyle name="Comma 2 5 3 2 2 3 2 2" xfId="8721"/>
    <cellStyle name="Comma 2 5 3 2 2 3 3" xfId="8720"/>
    <cellStyle name="Comma 2 5 3 2 2 3 4" xfId="5551"/>
    <cellStyle name="Comma 2 5 3 2 2 4" xfId="1575"/>
    <cellStyle name="Comma 2 5 3 2 2 4 2" xfId="1576"/>
    <cellStyle name="Comma 2 5 3 2 2 4 2 2" xfId="8723"/>
    <cellStyle name="Comma 2 5 3 2 2 4 3" xfId="8722"/>
    <cellStyle name="Comma 2 5 3 2 2 4 4" xfId="5552"/>
    <cellStyle name="Comma 2 5 3 2 2 5" xfId="1577"/>
    <cellStyle name="Comma 2 5 3 2 2 5 2" xfId="8724"/>
    <cellStyle name="Comma 2 5 3 2 2 6" xfId="8715"/>
    <cellStyle name="Comma 2 5 3 2 2 7" xfId="5548"/>
    <cellStyle name="Comma 2 5 3 2 3" xfId="1578"/>
    <cellStyle name="Comma 2 5 3 2 3 2" xfId="1579"/>
    <cellStyle name="Comma 2 5 3 2 3 2 2" xfId="1580"/>
    <cellStyle name="Comma 2 5 3 2 3 2 2 2" xfId="1581"/>
    <cellStyle name="Comma 2 5 3 2 3 2 2 2 2" xfId="8728"/>
    <cellStyle name="Comma 2 5 3 2 3 2 2 3" xfId="8727"/>
    <cellStyle name="Comma 2 5 3 2 3 2 2 4" xfId="5555"/>
    <cellStyle name="Comma 2 5 3 2 3 2 3" xfId="1582"/>
    <cellStyle name="Comma 2 5 3 2 3 2 3 2" xfId="8729"/>
    <cellStyle name="Comma 2 5 3 2 3 2 4" xfId="8726"/>
    <cellStyle name="Comma 2 5 3 2 3 2 5" xfId="5554"/>
    <cellStyle name="Comma 2 5 3 2 3 3" xfId="1583"/>
    <cellStyle name="Comma 2 5 3 2 3 3 2" xfId="1584"/>
    <cellStyle name="Comma 2 5 3 2 3 3 2 2" xfId="8731"/>
    <cellStyle name="Comma 2 5 3 2 3 3 3" xfId="8730"/>
    <cellStyle name="Comma 2 5 3 2 3 3 4" xfId="5556"/>
    <cellStyle name="Comma 2 5 3 2 3 4" xfId="1585"/>
    <cellStyle name="Comma 2 5 3 2 3 4 2" xfId="1586"/>
    <cellStyle name="Comma 2 5 3 2 3 4 2 2" xfId="8733"/>
    <cellStyle name="Comma 2 5 3 2 3 4 3" xfId="8732"/>
    <cellStyle name="Comma 2 5 3 2 3 4 4" xfId="5557"/>
    <cellStyle name="Comma 2 5 3 2 3 5" xfId="1587"/>
    <cellStyle name="Comma 2 5 3 2 3 5 2" xfId="8734"/>
    <cellStyle name="Comma 2 5 3 2 3 6" xfId="8725"/>
    <cellStyle name="Comma 2 5 3 2 3 7" xfId="5553"/>
    <cellStyle name="Comma 2 5 3 2 4" xfId="1588"/>
    <cellStyle name="Comma 2 5 3 2 4 2" xfId="1589"/>
    <cellStyle name="Comma 2 5 3 2 4 2 2" xfId="1590"/>
    <cellStyle name="Comma 2 5 3 2 4 2 2 2" xfId="1591"/>
    <cellStyle name="Comma 2 5 3 2 4 2 2 2 2" xfId="8738"/>
    <cellStyle name="Comma 2 5 3 2 4 2 2 3" xfId="8737"/>
    <cellStyle name="Comma 2 5 3 2 4 2 2 4" xfId="5560"/>
    <cellStyle name="Comma 2 5 3 2 4 2 3" xfId="1592"/>
    <cellStyle name="Comma 2 5 3 2 4 2 3 2" xfId="8739"/>
    <cellStyle name="Comma 2 5 3 2 4 2 4" xfId="8736"/>
    <cellStyle name="Comma 2 5 3 2 4 2 5" xfId="5559"/>
    <cellStyle name="Comma 2 5 3 2 4 3" xfId="1593"/>
    <cellStyle name="Comma 2 5 3 2 4 3 2" xfId="1594"/>
    <cellStyle name="Comma 2 5 3 2 4 3 2 2" xfId="8741"/>
    <cellStyle name="Comma 2 5 3 2 4 3 3" xfId="8740"/>
    <cellStyle name="Comma 2 5 3 2 4 3 4" xfId="5561"/>
    <cellStyle name="Comma 2 5 3 2 4 4" xfId="1595"/>
    <cellStyle name="Comma 2 5 3 2 4 4 2" xfId="1596"/>
    <cellStyle name="Comma 2 5 3 2 4 4 2 2" xfId="8743"/>
    <cellStyle name="Comma 2 5 3 2 4 4 3" xfId="8742"/>
    <cellStyle name="Comma 2 5 3 2 4 4 4" xfId="5562"/>
    <cellStyle name="Comma 2 5 3 2 4 5" xfId="1597"/>
    <cellStyle name="Comma 2 5 3 2 4 5 2" xfId="8744"/>
    <cellStyle name="Comma 2 5 3 2 4 6" xfId="8735"/>
    <cellStyle name="Comma 2 5 3 2 4 7" xfId="5558"/>
    <cellStyle name="Comma 2 5 3 2 5" xfId="1598"/>
    <cellStyle name="Comma 2 5 3 2 5 2" xfId="1599"/>
    <cellStyle name="Comma 2 5 3 2 5 2 2" xfId="1600"/>
    <cellStyle name="Comma 2 5 3 2 5 2 2 2" xfId="1601"/>
    <cellStyle name="Comma 2 5 3 2 5 2 2 2 2" xfId="8748"/>
    <cellStyle name="Comma 2 5 3 2 5 2 2 3" xfId="8747"/>
    <cellStyle name="Comma 2 5 3 2 5 2 2 4" xfId="5565"/>
    <cellStyle name="Comma 2 5 3 2 5 2 3" xfId="1602"/>
    <cellStyle name="Comma 2 5 3 2 5 2 3 2" xfId="8749"/>
    <cellStyle name="Comma 2 5 3 2 5 2 4" xfId="8746"/>
    <cellStyle name="Comma 2 5 3 2 5 2 5" xfId="5564"/>
    <cellStyle name="Comma 2 5 3 2 5 3" xfId="1603"/>
    <cellStyle name="Comma 2 5 3 2 5 3 2" xfId="1604"/>
    <cellStyle name="Comma 2 5 3 2 5 3 2 2" xfId="8751"/>
    <cellStyle name="Comma 2 5 3 2 5 3 3" xfId="8750"/>
    <cellStyle name="Comma 2 5 3 2 5 3 4" xfId="5566"/>
    <cellStyle name="Comma 2 5 3 2 5 4" xfId="1605"/>
    <cellStyle name="Comma 2 5 3 2 5 4 2" xfId="1606"/>
    <cellStyle name="Comma 2 5 3 2 5 4 2 2" xfId="8753"/>
    <cellStyle name="Comma 2 5 3 2 5 4 3" xfId="8752"/>
    <cellStyle name="Comma 2 5 3 2 5 4 4" xfId="5567"/>
    <cellStyle name="Comma 2 5 3 2 5 5" xfId="1607"/>
    <cellStyle name="Comma 2 5 3 2 5 5 2" xfId="8754"/>
    <cellStyle name="Comma 2 5 3 2 5 6" xfId="8745"/>
    <cellStyle name="Comma 2 5 3 2 5 7" xfId="5563"/>
    <cellStyle name="Comma 2 5 3 2 6" xfId="1608"/>
    <cellStyle name="Comma 2 5 3 2 6 2" xfId="1609"/>
    <cellStyle name="Comma 2 5 3 2 6 2 2" xfId="1610"/>
    <cellStyle name="Comma 2 5 3 2 6 2 2 2" xfId="8757"/>
    <cellStyle name="Comma 2 5 3 2 6 2 3" xfId="8756"/>
    <cellStyle name="Comma 2 5 3 2 6 2 4" xfId="5569"/>
    <cellStyle name="Comma 2 5 3 2 6 3" xfId="1611"/>
    <cellStyle name="Comma 2 5 3 2 6 3 2" xfId="1612"/>
    <cellStyle name="Comma 2 5 3 2 6 3 2 2" xfId="8759"/>
    <cellStyle name="Comma 2 5 3 2 6 3 3" xfId="8758"/>
    <cellStyle name="Comma 2 5 3 2 6 3 4" xfId="5570"/>
    <cellStyle name="Comma 2 5 3 2 6 4" xfId="1613"/>
    <cellStyle name="Comma 2 5 3 2 6 4 2" xfId="8760"/>
    <cellStyle name="Comma 2 5 3 2 6 5" xfId="8755"/>
    <cellStyle name="Comma 2 5 3 2 6 6" xfId="5568"/>
    <cellStyle name="Comma 2 5 3 2 7" xfId="1614"/>
    <cellStyle name="Comma 2 5 3 2 7 2" xfId="1615"/>
    <cellStyle name="Comma 2 5 3 2 7 2 2" xfId="1616"/>
    <cellStyle name="Comma 2 5 3 2 7 2 2 2" xfId="8763"/>
    <cellStyle name="Comma 2 5 3 2 7 2 3" xfId="8762"/>
    <cellStyle name="Comma 2 5 3 2 7 2 4" xfId="5572"/>
    <cellStyle name="Comma 2 5 3 2 7 3" xfId="1617"/>
    <cellStyle name="Comma 2 5 3 2 7 3 2" xfId="8764"/>
    <cellStyle name="Comma 2 5 3 2 7 4" xfId="8761"/>
    <cellStyle name="Comma 2 5 3 2 7 5" xfId="5571"/>
    <cellStyle name="Comma 2 5 3 2 8" xfId="1618"/>
    <cellStyle name="Comma 2 5 3 2 8 2" xfId="1619"/>
    <cellStyle name="Comma 2 5 3 2 8 2 2" xfId="8766"/>
    <cellStyle name="Comma 2 5 3 2 8 3" xfId="8765"/>
    <cellStyle name="Comma 2 5 3 2 8 4" xfId="5573"/>
    <cellStyle name="Comma 2 5 3 2 9" xfId="1620"/>
    <cellStyle name="Comma 2 5 3 2 9 2" xfId="1621"/>
    <cellStyle name="Comma 2 5 3 2 9 2 2" xfId="8768"/>
    <cellStyle name="Comma 2 5 3 2 9 3" xfId="8767"/>
    <cellStyle name="Comma 2 5 3 2 9 4" xfId="5574"/>
    <cellStyle name="Comma 2 5 3 3" xfId="1622"/>
    <cellStyle name="Comma 2 5 3 3 2" xfId="1623"/>
    <cellStyle name="Comma 2 5 3 3 2 2" xfId="1624"/>
    <cellStyle name="Comma 2 5 3 3 2 2 2" xfId="1625"/>
    <cellStyle name="Comma 2 5 3 3 2 2 2 2" xfId="8772"/>
    <cellStyle name="Comma 2 5 3 3 2 2 3" xfId="8771"/>
    <cellStyle name="Comma 2 5 3 3 2 2 4" xfId="5577"/>
    <cellStyle name="Comma 2 5 3 3 2 3" xfId="1626"/>
    <cellStyle name="Comma 2 5 3 3 2 3 2" xfId="8773"/>
    <cellStyle name="Comma 2 5 3 3 2 4" xfId="8770"/>
    <cellStyle name="Comma 2 5 3 3 2 5" xfId="5576"/>
    <cellStyle name="Comma 2 5 3 3 3" xfId="1627"/>
    <cellStyle name="Comma 2 5 3 3 3 2" xfId="1628"/>
    <cellStyle name="Comma 2 5 3 3 3 2 2" xfId="8775"/>
    <cellStyle name="Comma 2 5 3 3 3 3" xfId="8774"/>
    <cellStyle name="Comma 2 5 3 3 3 4" xfId="5578"/>
    <cellStyle name="Comma 2 5 3 3 4" xfId="1629"/>
    <cellStyle name="Comma 2 5 3 3 4 2" xfId="1630"/>
    <cellStyle name="Comma 2 5 3 3 4 2 2" xfId="8777"/>
    <cellStyle name="Comma 2 5 3 3 4 3" xfId="8776"/>
    <cellStyle name="Comma 2 5 3 3 4 4" xfId="5579"/>
    <cellStyle name="Comma 2 5 3 3 5" xfId="1631"/>
    <cellStyle name="Comma 2 5 3 3 5 2" xfId="8778"/>
    <cellStyle name="Comma 2 5 3 3 6" xfId="8769"/>
    <cellStyle name="Comma 2 5 3 3 7" xfId="5575"/>
    <cellStyle name="Comma 2 5 3 4" xfId="1632"/>
    <cellStyle name="Comma 2 5 3 4 2" xfId="1633"/>
    <cellStyle name="Comma 2 5 3 4 2 2" xfId="1634"/>
    <cellStyle name="Comma 2 5 3 4 2 2 2" xfId="1635"/>
    <cellStyle name="Comma 2 5 3 4 2 2 2 2" xfId="8782"/>
    <cellStyle name="Comma 2 5 3 4 2 2 3" xfId="8781"/>
    <cellStyle name="Comma 2 5 3 4 2 2 4" xfId="5582"/>
    <cellStyle name="Comma 2 5 3 4 2 3" xfId="1636"/>
    <cellStyle name="Comma 2 5 3 4 2 3 2" xfId="8783"/>
    <cellStyle name="Comma 2 5 3 4 2 4" xfId="8780"/>
    <cellStyle name="Comma 2 5 3 4 2 5" xfId="5581"/>
    <cellStyle name="Comma 2 5 3 4 3" xfId="1637"/>
    <cellStyle name="Comma 2 5 3 4 3 2" xfId="1638"/>
    <cellStyle name="Comma 2 5 3 4 3 2 2" xfId="8785"/>
    <cellStyle name="Comma 2 5 3 4 3 3" xfId="8784"/>
    <cellStyle name="Comma 2 5 3 4 3 4" xfId="5583"/>
    <cellStyle name="Comma 2 5 3 4 4" xfId="1639"/>
    <cellStyle name="Comma 2 5 3 4 4 2" xfId="1640"/>
    <cellStyle name="Comma 2 5 3 4 4 2 2" xfId="8787"/>
    <cellStyle name="Comma 2 5 3 4 4 3" xfId="8786"/>
    <cellStyle name="Comma 2 5 3 4 4 4" xfId="5584"/>
    <cellStyle name="Comma 2 5 3 4 5" xfId="1641"/>
    <cellStyle name="Comma 2 5 3 4 5 2" xfId="8788"/>
    <cellStyle name="Comma 2 5 3 4 6" xfId="8779"/>
    <cellStyle name="Comma 2 5 3 4 7" xfId="5580"/>
    <cellStyle name="Comma 2 5 3 5" xfId="1642"/>
    <cellStyle name="Comma 2 5 3 5 2" xfId="1643"/>
    <cellStyle name="Comma 2 5 3 5 2 2" xfId="1644"/>
    <cellStyle name="Comma 2 5 3 5 2 2 2" xfId="1645"/>
    <cellStyle name="Comma 2 5 3 5 2 2 2 2" xfId="8792"/>
    <cellStyle name="Comma 2 5 3 5 2 2 3" xfId="8791"/>
    <cellStyle name="Comma 2 5 3 5 2 2 4" xfId="5587"/>
    <cellStyle name="Comma 2 5 3 5 2 3" xfId="1646"/>
    <cellStyle name="Comma 2 5 3 5 2 3 2" xfId="8793"/>
    <cellStyle name="Comma 2 5 3 5 2 4" xfId="8790"/>
    <cellStyle name="Comma 2 5 3 5 2 5" xfId="5586"/>
    <cellStyle name="Comma 2 5 3 5 3" xfId="1647"/>
    <cellStyle name="Comma 2 5 3 5 3 2" xfId="1648"/>
    <cellStyle name="Comma 2 5 3 5 3 2 2" xfId="8795"/>
    <cellStyle name="Comma 2 5 3 5 3 3" xfId="8794"/>
    <cellStyle name="Comma 2 5 3 5 3 4" xfId="5588"/>
    <cellStyle name="Comma 2 5 3 5 4" xfId="1649"/>
    <cellStyle name="Comma 2 5 3 5 4 2" xfId="1650"/>
    <cellStyle name="Comma 2 5 3 5 4 2 2" xfId="8797"/>
    <cellStyle name="Comma 2 5 3 5 4 3" xfId="8796"/>
    <cellStyle name="Comma 2 5 3 5 4 4" xfId="5589"/>
    <cellStyle name="Comma 2 5 3 5 5" xfId="1651"/>
    <cellStyle name="Comma 2 5 3 5 5 2" xfId="8798"/>
    <cellStyle name="Comma 2 5 3 5 6" xfId="8789"/>
    <cellStyle name="Comma 2 5 3 5 7" xfId="5585"/>
    <cellStyle name="Comma 2 5 3 6" xfId="1652"/>
    <cellStyle name="Comma 2 5 3 6 2" xfId="1653"/>
    <cellStyle name="Comma 2 5 3 6 2 2" xfId="1654"/>
    <cellStyle name="Comma 2 5 3 6 2 2 2" xfId="1655"/>
    <cellStyle name="Comma 2 5 3 6 2 2 2 2" xfId="8802"/>
    <cellStyle name="Comma 2 5 3 6 2 2 3" xfId="8801"/>
    <cellStyle name="Comma 2 5 3 6 2 2 4" xfId="5592"/>
    <cellStyle name="Comma 2 5 3 6 2 3" xfId="1656"/>
    <cellStyle name="Comma 2 5 3 6 2 3 2" xfId="8803"/>
    <cellStyle name="Comma 2 5 3 6 2 4" xfId="8800"/>
    <cellStyle name="Comma 2 5 3 6 2 5" xfId="5591"/>
    <cellStyle name="Comma 2 5 3 6 3" xfId="1657"/>
    <cellStyle name="Comma 2 5 3 6 3 2" xfId="1658"/>
    <cellStyle name="Comma 2 5 3 6 3 2 2" xfId="8805"/>
    <cellStyle name="Comma 2 5 3 6 3 3" xfId="8804"/>
    <cellStyle name="Comma 2 5 3 6 3 4" xfId="5593"/>
    <cellStyle name="Comma 2 5 3 6 4" xfId="1659"/>
    <cellStyle name="Comma 2 5 3 6 4 2" xfId="1660"/>
    <cellStyle name="Comma 2 5 3 6 4 2 2" xfId="8807"/>
    <cellStyle name="Comma 2 5 3 6 4 3" xfId="8806"/>
    <cellStyle name="Comma 2 5 3 6 4 4" xfId="5594"/>
    <cellStyle name="Comma 2 5 3 6 5" xfId="1661"/>
    <cellStyle name="Comma 2 5 3 6 5 2" xfId="8808"/>
    <cellStyle name="Comma 2 5 3 6 6" xfId="8799"/>
    <cellStyle name="Comma 2 5 3 6 7" xfId="5590"/>
    <cellStyle name="Comma 2 5 3 7" xfId="1662"/>
    <cellStyle name="Comma 2 5 3 7 2" xfId="1663"/>
    <cellStyle name="Comma 2 5 3 7 2 2" xfId="1664"/>
    <cellStyle name="Comma 2 5 3 7 2 2 2" xfId="8811"/>
    <cellStyle name="Comma 2 5 3 7 2 3" xfId="8810"/>
    <cellStyle name="Comma 2 5 3 7 2 4" xfId="5596"/>
    <cellStyle name="Comma 2 5 3 7 3" xfId="1665"/>
    <cellStyle name="Comma 2 5 3 7 3 2" xfId="1666"/>
    <cellStyle name="Comma 2 5 3 7 3 2 2" xfId="8813"/>
    <cellStyle name="Comma 2 5 3 7 3 3" xfId="8812"/>
    <cellStyle name="Comma 2 5 3 7 3 4" xfId="5597"/>
    <cellStyle name="Comma 2 5 3 7 4" xfId="1667"/>
    <cellStyle name="Comma 2 5 3 7 4 2" xfId="8814"/>
    <cellStyle name="Comma 2 5 3 7 5" xfId="8809"/>
    <cellStyle name="Comma 2 5 3 7 6" xfId="5595"/>
    <cellStyle name="Comma 2 5 3 8" xfId="1668"/>
    <cellStyle name="Comma 2 5 3 8 2" xfId="1669"/>
    <cellStyle name="Comma 2 5 3 8 2 2" xfId="1670"/>
    <cellStyle name="Comma 2 5 3 8 2 2 2" xfId="8817"/>
    <cellStyle name="Comma 2 5 3 8 2 3" xfId="8816"/>
    <cellStyle name="Comma 2 5 3 8 2 4" xfId="5599"/>
    <cellStyle name="Comma 2 5 3 8 3" xfId="1671"/>
    <cellStyle name="Comma 2 5 3 8 3 2" xfId="8818"/>
    <cellStyle name="Comma 2 5 3 8 4" xfId="8815"/>
    <cellStyle name="Comma 2 5 3 8 5" xfId="5598"/>
    <cellStyle name="Comma 2 5 3 9" xfId="1672"/>
    <cellStyle name="Comma 2 5 3 9 2" xfId="1673"/>
    <cellStyle name="Comma 2 5 3 9 2 2" xfId="8820"/>
    <cellStyle name="Comma 2 5 3 9 3" xfId="8819"/>
    <cellStyle name="Comma 2 5 3 9 4" xfId="5600"/>
    <cellStyle name="Comma 2 5 4" xfId="1674"/>
    <cellStyle name="Comma 2 5 4 10" xfId="1675"/>
    <cellStyle name="Comma 2 5 4 10 2" xfId="1676"/>
    <cellStyle name="Comma 2 5 4 10 2 2" xfId="8823"/>
    <cellStyle name="Comma 2 5 4 10 3" xfId="8822"/>
    <cellStyle name="Comma 2 5 4 10 4" xfId="5602"/>
    <cellStyle name="Comma 2 5 4 11" xfId="1677"/>
    <cellStyle name="Comma 2 5 4 11 2" xfId="8824"/>
    <cellStyle name="Comma 2 5 4 12" xfId="8821"/>
    <cellStyle name="Comma 2 5 4 13" xfId="5601"/>
    <cellStyle name="Comma 2 5 4 2" xfId="1678"/>
    <cellStyle name="Comma 2 5 4 2 10" xfId="1679"/>
    <cellStyle name="Comma 2 5 4 2 10 2" xfId="8826"/>
    <cellStyle name="Comma 2 5 4 2 11" xfId="8825"/>
    <cellStyle name="Comma 2 5 4 2 12" xfId="5603"/>
    <cellStyle name="Comma 2 5 4 2 2" xfId="1680"/>
    <cellStyle name="Comma 2 5 4 2 2 2" xfId="1681"/>
    <cellStyle name="Comma 2 5 4 2 2 2 2" xfId="1682"/>
    <cellStyle name="Comma 2 5 4 2 2 2 2 2" xfId="1683"/>
    <cellStyle name="Comma 2 5 4 2 2 2 2 2 2" xfId="8830"/>
    <cellStyle name="Comma 2 5 4 2 2 2 2 3" xfId="8829"/>
    <cellStyle name="Comma 2 5 4 2 2 2 2 4" xfId="5606"/>
    <cellStyle name="Comma 2 5 4 2 2 2 3" xfId="1684"/>
    <cellStyle name="Comma 2 5 4 2 2 2 3 2" xfId="8831"/>
    <cellStyle name="Comma 2 5 4 2 2 2 4" xfId="8828"/>
    <cellStyle name="Comma 2 5 4 2 2 2 5" xfId="5605"/>
    <cellStyle name="Comma 2 5 4 2 2 3" xfId="1685"/>
    <cellStyle name="Comma 2 5 4 2 2 3 2" xfId="1686"/>
    <cellStyle name="Comma 2 5 4 2 2 3 2 2" xfId="8833"/>
    <cellStyle name="Comma 2 5 4 2 2 3 3" xfId="8832"/>
    <cellStyle name="Comma 2 5 4 2 2 3 4" xfId="5607"/>
    <cellStyle name="Comma 2 5 4 2 2 4" xfId="1687"/>
    <cellStyle name="Comma 2 5 4 2 2 4 2" xfId="1688"/>
    <cellStyle name="Comma 2 5 4 2 2 4 2 2" xfId="8835"/>
    <cellStyle name="Comma 2 5 4 2 2 4 3" xfId="8834"/>
    <cellStyle name="Comma 2 5 4 2 2 4 4" xfId="5608"/>
    <cellStyle name="Comma 2 5 4 2 2 5" xfId="1689"/>
    <cellStyle name="Comma 2 5 4 2 2 5 2" xfId="8836"/>
    <cellStyle name="Comma 2 5 4 2 2 6" xfId="8827"/>
    <cellStyle name="Comma 2 5 4 2 2 7" xfId="5604"/>
    <cellStyle name="Comma 2 5 4 2 3" xfId="1690"/>
    <cellStyle name="Comma 2 5 4 2 3 2" xfId="1691"/>
    <cellStyle name="Comma 2 5 4 2 3 2 2" xfId="1692"/>
    <cellStyle name="Comma 2 5 4 2 3 2 2 2" xfId="1693"/>
    <cellStyle name="Comma 2 5 4 2 3 2 2 2 2" xfId="8840"/>
    <cellStyle name="Comma 2 5 4 2 3 2 2 3" xfId="8839"/>
    <cellStyle name="Comma 2 5 4 2 3 2 2 4" xfId="5611"/>
    <cellStyle name="Comma 2 5 4 2 3 2 3" xfId="1694"/>
    <cellStyle name="Comma 2 5 4 2 3 2 3 2" xfId="8841"/>
    <cellStyle name="Comma 2 5 4 2 3 2 4" xfId="8838"/>
    <cellStyle name="Comma 2 5 4 2 3 2 5" xfId="5610"/>
    <cellStyle name="Comma 2 5 4 2 3 3" xfId="1695"/>
    <cellStyle name="Comma 2 5 4 2 3 3 2" xfId="1696"/>
    <cellStyle name="Comma 2 5 4 2 3 3 2 2" xfId="8843"/>
    <cellStyle name="Comma 2 5 4 2 3 3 3" xfId="8842"/>
    <cellStyle name="Comma 2 5 4 2 3 3 4" xfId="5612"/>
    <cellStyle name="Comma 2 5 4 2 3 4" xfId="1697"/>
    <cellStyle name="Comma 2 5 4 2 3 4 2" xfId="1698"/>
    <cellStyle name="Comma 2 5 4 2 3 4 2 2" xfId="8845"/>
    <cellStyle name="Comma 2 5 4 2 3 4 3" xfId="8844"/>
    <cellStyle name="Comma 2 5 4 2 3 4 4" xfId="5613"/>
    <cellStyle name="Comma 2 5 4 2 3 5" xfId="1699"/>
    <cellStyle name="Comma 2 5 4 2 3 5 2" xfId="8846"/>
    <cellStyle name="Comma 2 5 4 2 3 6" xfId="8837"/>
    <cellStyle name="Comma 2 5 4 2 3 7" xfId="5609"/>
    <cellStyle name="Comma 2 5 4 2 4" xfId="1700"/>
    <cellStyle name="Comma 2 5 4 2 4 2" xfId="1701"/>
    <cellStyle name="Comma 2 5 4 2 4 2 2" xfId="1702"/>
    <cellStyle name="Comma 2 5 4 2 4 2 2 2" xfId="1703"/>
    <cellStyle name="Comma 2 5 4 2 4 2 2 2 2" xfId="8850"/>
    <cellStyle name="Comma 2 5 4 2 4 2 2 3" xfId="8849"/>
    <cellStyle name="Comma 2 5 4 2 4 2 2 4" xfId="5616"/>
    <cellStyle name="Comma 2 5 4 2 4 2 3" xfId="1704"/>
    <cellStyle name="Comma 2 5 4 2 4 2 3 2" xfId="8851"/>
    <cellStyle name="Comma 2 5 4 2 4 2 4" xfId="8848"/>
    <cellStyle name="Comma 2 5 4 2 4 2 5" xfId="5615"/>
    <cellStyle name="Comma 2 5 4 2 4 3" xfId="1705"/>
    <cellStyle name="Comma 2 5 4 2 4 3 2" xfId="1706"/>
    <cellStyle name="Comma 2 5 4 2 4 3 2 2" xfId="8853"/>
    <cellStyle name="Comma 2 5 4 2 4 3 3" xfId="8852"/>
    <cellStyle name="Comma 2 5 4 2 4 3 4" xfId="5617"/>
    <cellStyle name="Comma 2 5 4 2 4 4" xfId="1707"/>
    <cellStyle name="Comma 2 5 4 2 4 4 2" xfId="1708"/>
    <cellStyle name="Comma 2 5 4 2 4 4 2 2" xfId="8855"/>
    <cellStyle name="Comma 2 5 4 2 4 4 3" xfId="8854"/>
    <cellStyle name="Comma 2 5 4 2 4 4 4" xfId="5618"/>
    <cellStyle name="Comma 2 5 4 2 4 5" xfId="1709"/>
    <cellStyle name="Comma 2 5 4 2 4 5 2" xfId="8856"/>
    <cellStyle name="Comma 2 5 4 2 4 6" xfId="8847"/>
    <cellStyle name="Comma 2 5 4 2 4 7" xfId="5614"/>
    <cellStyle name="Comma 2 5 4 2 5" xfId="1710"/>
    <cellStyle name="Comma 2 5 4 2 5 2" xfId="1711"/>
    <cellStyle name="Comma 2 5 4 2 5 2 2" xfId="1712"/>
    <cellStyle name="Comma 2 5 4 2 5 2 2 2" xfId="1713"/>
    <cellStyle name="Comma 2 5 4 2 5 2 2 2 2" xfId="8860"/>
    <cellStyle name="Comma 2 5 4 2 5 2 2 3" xfId="8859"/>
    <cellStyle name="Comma 2 5 4 2 5 2 2 4" xfId="5621"/>
    <cellStyle name="Comma 2 5 4 2 5 2 3" xfId="1714"/>
    <cellStyle name="Comma 2 5 4 2 5 2 3 2" xfId="8861"/>
    <cellStyle name="Comma 2 5 4 2 5 2 4" xfId="8858"/>
    <cellStyle name="Comma 2 5 4 2 5 2 5" xfId="5620"/>
    <cellStyle name="Comma 2 5 4 2 5 3" xfId="1715"/>
    <cellStyle name="Comma 2 5 4 2 5 3 2" xfId="1716"/>
    <cellStyle name="Comma 2 5 4 2 5 3 2 2" xfId="8863"/>
    <cellStyle name="Comma 2 5 4 2 5 3 3" xfId="8862"/>
    <cellStyle name="Comma 2 5 4 2 5 3 4" xfId="5622"/>
    <cellStyle name="Comma 2 5 4 2 5 4" xfId="1717"/>
    <cellStyle name="Comma 2 5 4 2 5 4 2" xfId="1718"/>
    <cellStyle name="Comma 2 5 4 2 5 4 2 2" xfId="8865"/>
    <cellStyle name="Comma 2 5 4 2 5 4 3" xfId="8864"/>
    <cellStyle name="Comma 2 5 4 2 5 4 4" xfId="5623"/>
    <cellStyle name="Comma 2 5 4 2 5 5" xfId="1719"/>
    <cellStyle name="Comma 2 5 4 2 5 5 2" xfId="8866"/>
    <cellStyle name="Comma 2 5 4 2 5 6" xfId="8857"/>
    <cellStyle name="Comma 2 5 4 2 5 7" xfId="5619"/>
    <cellStyle name="Comma 2 5 4 2 6" xfId="1720"/>
    <cellStyle name="Comma 2 5 4 2 6 2" xfId="1721"/>
    <cellStyle name="Comma 2 5 4 2 6 2 2" xfId="1722"/>
    <cellStyle name="Comma 2 5 4 2 6 2 2 2" xfId="8869"/>
    <cellStyle name="Comma 2 5 4 2 6 2 3" xfId="8868"/>
    <cellStyle name="Comma 2 5 4 2 6 2 4" xfId="5625"/>
    <cellStyle name="Comma 2 5 4 2 6 3" xfId="1723"/>
    <cellStyle name="Comma 2 5 4 2 6 3 2" xfId="1724"/>
    <cellStyle name="Comma 2 5 4 2 6 3 2 2" xfId="8871"/>
    <cellStyle name="Comma 2 5 4 2 6 3 3" xfId="8870"/>
    <cellStyle name="Comma 2 5 4 2 6 3 4" xfId="5626"/>
    <cellStyle name="Comma 2 5 4 2 6 4" xfId="1725"/>
    <cellStyle name="Comma 2 5 4 2 6 4 2" xfId="8872"/>
    <cellStyle name="Comma 2 5 4 2 6 5" xfId="8867"/>
    <cellStyle name="Comma 2 5 4 2 6 6" xfId="5624"/>
    <cellStyle name="Comma 2 5 4 2 7" xfId="1726"/>
    <cellStyle name="Comma 2 5 4 2 7 2" xfId="1727"/>
    <cellStyle name="Comma 2 5 4 2 7 2 2" xfId="1728"/>
    <cellStyle name="Comma 2 5 4 2 7 2 2 2" xfId="8875"/>
    <cellStyle name="Comma 2 5 4 2 7 2 3" xfId="8874"/>
    <cellStyle name="Comma 2 5 4 2 7 2 4" xfId="5628"/>
    <cellStyle name="Comma 2 5 4 2 7 3" xfId="1729"/>
    <cellStyle name="Comma 2 5 4 2 7 3 2" xfId="8876"/>
    <cellStyle name="Comma 2 5 4 2 7 4" xfId="8873"/>
    <cellStyle name="Comma 2 5 4 2 7 5" xfId="5627"/>
    <cellStyle name="Comma 2 5 4 2 8" xfId="1730"/>
    <cellStyle name="Comma 2 5 4 2 8 2" xfId="1731"/>
    <cellStyle name="Comma 2 5 4 2 8 2 2" xfId="8878"/>
    <cellStyle name="Comma 2 5 4 2 8 3" xfId="8877"/>
    <cellStyle name="Comma 2 5 4 2 8 4" xfId="5629"/>
    <cellStyle name="Comma 2 5 4 2 9" xfId="1732"/>
    <cellStyle name="Comma 2 5 4 2 9 2" xfId="1733"/>
    <cellStyle name="Comma 2 5 4 2 9 2 2" xfId="8880"/>
    <cellStyle name="Comma 2 5 4 2 9 3" xfId="8879"/>
    <cellStyle name="Comma 2 5 4 2 9 4" xfId="5630"/>
    <cellStyle name="Comma 2 5 4 3" xfId="1734"/>
    <cellStyle name="Comma 2 5 4 3 2" xfId="1735"/>
    <cellStyle name="Comma 2 5 4 3 2 2" xfId="1736"/>
    <cellStyle name="Comma 2 5 4 3 2 2 2" xfId="1737"/>
    <cellStyle name="Comma 2 5 4 3 2 2 2 2" xfId="8884"/>
    <cellStyle name="Comma 2 5 4 3 2 2 3" xfId="8883"/>
    <cellStyle name="Comma 2 5 4 3 2 2 4" xfId="5633"/>
    <cellStyle name="Comma 2 5 4 3 2 3" xfId="1738"/>
    <cellStyle name="Comma 2 5 4 3 2 3 2" xfId="8885"/>
    <cellStyle name="Comma 2 5 4 3 2 4" xfId="8882"/>
    <cellStyle name="Comma 2 5 4 3 2 5" xfId="5632"/>
    <cellStyle name="Comma 2 5 4 3 3" xfId="1739"/>
    <cellStyle name="Comma 2 5 4 3 3 2" xfId="1740"/>
    <cellStyle name="Comma 2 5 4 3 3 2 2" xfId="8887"/>
    <cellStyle name="Comma 2 5 4 3 3 3" xfId="8886"/>
    <cellStyle name="Comma 2 5 4 3 3 4" xfId="5634"/>
    <cellStyle name="Comma 2 5 4 3 4" xfId="1741"/>
    <cellStyle name="Comma 2 5 4 3 4 2" xfId="1742"/>
    <cellStyle name="Comma 2 5 4 3 4 2 2" xfId="8889"/>
    <cellStyle name="Comma 2 5 4 3 4 3" xfId="8888"/>
    <cellStyle name="Comma 2 5 4 3 4 4" xfId="5635"/>
    <cellStyle name="Comma 2 5 4 3 5" xfId="1743"/>
    <cellStyle name="Comma 2 5 4 3 5 2" xfId="8890"/>
    <cellStyle name="Comma 2 5 4 3 6" xfId="8881"/>
    <cellStyle name="Comma 2 5 4 3 7" xfId="5631"/>
    <cellStyle name="Comma 2 5 4 4" xfId="1744"/>
    <cellStyle name="Comma 2 5 4 4 2" xfId="1745"/>
    <cellStyle name="Comma 2 5 4 4 2 2" xfId="1746"/>
    <cellStyle name="Comma 2 5 4 4 2 2 2" xfId="1747"/>
    <cellStyle name="Comma 2 5 4 4 2 2 2 2" xfId="8894"/>
    <cellStyle name="Comma 2 5 4 4 2 2 3" xfId="8893"/>
    <cellStyle name="Comma 2 5 4 4 2 2 4" xfId="5638"/>
    <cellStyle name="Comma 2 5 4 4 2 3" xfId="1748"/>
    <cellStyle name="Comma 2 5 4 4 2 3 2" xfId="8895"/>
    <cellStyle name="Comma 2 5 4 4 2 4" xfId="8892"/>
    <cellStyle name="Comma 2 5 4 4 2 5" xfId="5637"/>
    <cellStyle name="Comma 2 5 4 4 3" xfId="1749"/>
    <cellStyle name="Comma 2 5 4 4 3 2" xfId="1750"/>
    <cellStyle name="Comma 2 5 4 4 3 2 2" xfId="8897"/>
    <cellStyle name="Comma 2 5 4 4 3 3" xfId="8896"/>
    <cellStyle name="Comma 2 5 4 4 3 4" xfId="5639"/>
    <cellStyle name="Comma 2 5 4 4 4" xfId="1751"/>
    <cellStyle name="Comma 2 5 4 4 4 2" xfId="1752"/>
    <cellStyle name="Comma 2 5 4 4 4 2 2" xfId="8899"/>
    <cellStyle name="Comma 2 5 4 4 4 3" xfId="8898"/>
    <cellStyle name="Comma 2 5 4 4 4 4" xfId="5640"/>
    <cellStyle name="Comma 2 5 4 4 5" xfId="1753"/>
    <cellStyle name="Comma 2 5 4 4 5 2" xfId="8900"/>
    <cellStyle name="Comma 2 5 4 4 6" xfId="8891"/>
    <cellStyle name="Comma 2 5 4 4 7" xfId="5636"/>
    <cellStyle name="Comma 2 5 4 5" xfId="1754"/>
    <cellStyle name="Comma 2 5 4 5 2" xfId="1755"/>
    <cellStyle name="Comma 2 5 4 5 2 2" xfId="1756"/>
    <cellStyle name="Comma 2 5 4 5 2 2 2" xfId="1757"/>
    <cellStyle name="Comma 2 5 4 5 2 2 2 2" xfId="8904"/>
    <cellStyle name="Comma 2 5 4 5 2 2 3" xfId="8903"/>
    <cellStyle name="Comma 2 5 4 5 2 2 4" xfId="5643"/>
    <cellStyle name="Comma 2 5 4 5 2 3" xfId="1758"/>
    <cellStyle name="Comma 2 5 4 5 2 3 2" xfId="8905"/>
    <cellStyle name="Comma 2 5 4 5 2 4" xfId="8902"/>
    <cellStyle name="Comma 2 5 4 5 2 5" xfId="5642"/>
    <cellStyle name="Comma 2 5 4 5 3" xfId="1759"/>
    <cellStyle name="Comma 2 5 4 5 3 2" xfId="1760"/>
    <cellStyle name="Comma 2 5 4 5 3 2 2" xfId="8907"/>
    <cellStyle name="Comma 2 5 4 5 3 3" xfId="8906"/>
    <cellStyle name="Comma 2 5 4 5 3 4" xfId="5644"/>
    <cellStyle name="Comma 2 5 4 5 4" xfId="1761"/>
    <cellStyle name="Comma 2 5 4 5 4 2" xfId="1762"/>
    <cellStyle name="Comma 2 5 4 5 4 2 2" xfId="8909"/>
    <cellStyle name="Comma 2 5 4 5 4 3" xfId="8908"/>
    <cellStyle name="Comma 2 5 4 5 4 4" xfId="5645"/>
    <cellStyle name="Comma 2 5 4 5 5" xfId="1763"/>
    <cellStyle name="Comma 2 5 4 5 5 2" xfId="8910"/>
    <cellStyle name="Comma 2 5 4 5 6" xfId="8901"/>
    <cellStyle name="Comma 2 5 4 5 7" xfId="5641"/>
    <cellStyle name="Comma 2 5 4 6" xfId="1764"/>
    <cellStyle name="Comma 2 5 4 6 2" xfId="1765"/>
    <cellStyle name="Comma 2 5 4 6 2 2" xfId="1766"/>
    <cellStyle name="Comma 2 5 4 6 2 2 2" xfId="1767"/>
    <cellStyle name="Comma 2 5 4 6 2 2 2 2" xfId="8914"/>
    <cellStyle name="Comma 2 5 4 6 2 2 3" xfId="8913"/>
    <cellStyle name="Comma 2 5 4 6 2 2 4" xfId="5648"/>
    <cellStyle name="Comma 2 5 4 6 2 3" xfId="1768"/>
    <cellStyle name="Comma 2 5 4 6 2 3 2" xfId="8915"/>
    <cellStyle name="Comma 2 5 4 6 2 4" xfId="8912"/>
    <cellStyle name="Comma 2 5 4 6 2 5" xfId="5647"/>
    <cellStyle name="Comma 2 5 4 6 3" xfId="1769"/>
    <cellStyle name="Comma 2 5 4 6 3 2" xfId="1770"/>
    <cellStyle name="Comma 2 5 4 6 3 2 2" xfId="8917"/>
    <cellStyle name="Comma 2 5 4 6 3 3" xfId="8916"/>
    <cellStyle name="Comma 2 5 4 6 3 4" xfId="5649"/>
    <cellStyle name="Comma 2 5 4 6 4" xfId="1771"/>
    <cellStyle name="Comma 2 5 4 6 4 2" xfId="1772"/>
    <cellStyle name="Comma 2 5 4 6 4 2 2" xfId="8919"/>
    <cellStyle name="Comma 2 5 4 6 4 3" xfId="8918"/>
    <cellStyle name="Comma 2 5 4 6 4 4" xfId="5650"/>
    <cellStyle name="Comma 2 5 4 6 5" xfId="1773"/>
    <cellStyle name="Comma 2 5 4 6 5 2" xfId="8920"/>
    <cellStyle name="Comma 2 5 4 6 6" xfId="8911"/>
    <cellStyle name="Comma 2 5 4 6 7" xfId="5646"/>
    <cellStyle name="Comma 2 5 4 7" xfId="1774"/>
    <cellStyle name="Comma 2 5 4 7 2" xfId="1775"/>
    <cellStyle name="Comma 2 5 4 7 2 2" xfId="1776"/>
    <cellStyle name="Comma 2 5 4 7 2 2 2" xfId="8923"/>
    <cellStyle name="Comma 2 5 4 7 2 3" xfId="8922"/>
    <cellStyle name="Comma 2 5 4 7 2 4" xfId="5652"/>
    <cellStyle name="Comma 2 5 4 7 3" xfId="1777"/>
    <cellStyle name="Comma 2 5 4 7 3 2" xfId="1778"/>
    <cellStyle name="Comma 2 5 4 7 3 2 2" xfId="8925"/>
    <cellStyle name="Comma 2 5 4 7 3 3" xfId="8924"/>
    <cellStyle name="Comma 2 5 4 7 3 4" xfId="5653"/>
    <cellStyle name="Comma 2 5 4 7 4" xfId="1779"/>
    <cellStyle name="Comma 2 5 4 7 4 2" xfId="8926"/>
    <cellStyle name="Comma 2 5 4 7 5" xfId="8921"/>
    <cellStyle name="Comma 2 5 4 7 6" xfId="5651"/>
    <cellStyle name="Comma 2 5 4 8" xfId="1780"/>
    <cellStyle name="Comma 2 5 4 8 2" xfId="1781"/>
    <cellStyle name="Comma 2 5 4 8 2 2" xfId="1782"/>
    <cellStyle name="Comma 2 5 4 8 2 2 2" xfId="8929"/>
    <cellStyle name="Comma 2 5 4 8 2 3" xfId="8928"/>
    <cellStyle name="Comma 2 5 4 8 2 4" xfId="5655"/>
    <cellStyle name="Comma 2 5 4 8 3" xfId="1783"/>
    <cellStyle name="Comma 2 5 4 8 3 2" xfId="8930"/>
    <cellStyle name="Comma 2 5 4 8 4" xfId="8927"/>
    <cellStyle name="Comma 2 5 4 8 5" xfId="5654"/>
    <cellStyle name="Comma 2 5 4 9" xfId="1784"/>
    <cellStyle name="Comma 2 5 4 9 2" xfId="1785"/>
    <cellStyle name="Comma 2 5 4 9 2 2" xfId="8932"/>
    <cellStyle name="Comma 2 5 4 9 3" xfId="8931"/>
    <cellStyle name="Comma 2 5 4 9 4" xfId="5656"/>
    <cellStyle name="Comma 2 5 5" xfId="1786"/>
    <cellStyle name="Comma 2 5 5 10" xfId="1787"/>
    <cellStyle name="Comma 2 5 5 10 2" xfId="8934"/>
    <cellStyle name="Comma 2 5 5 11" xfId="8933"/>
    <cellStyle name="Comma 2 5 5 12" xfId="5657"/>
    <cellStyle name="Comma 2 5 5 2" xfId="1788"/>
    <cellStyle name="Comma 2 5 5 2 2" xfId="1789"/>
    <cellStyle name="Comma 2 5 5 2 2 2" xfId="1790"/>
    <cellStyle name="Comma 2 5 5 2 2 2 2" xfId="1791"/>
    <cellStyle name="Comma 2 5 5 2 2 2 2 2" xfId="8938"/>
    <cellStyle name="Comma 2 5 5 2 2 2 3" xfId="8937"/>
    <cellStyle name="Comma 2 5 5 2 2 2 4" xfId="5660"/>
    <cellStyle name="Comma 2 5 5 2 2 3" xfId="1792"/>
    <cellStyle name="Comma 2 5 5 2 2 3 2" xfId="8939"/>
    <cellStyle name="Comma 2 5 5 2 2 4" xfId="8936"/>
    <cellStyle name="Comma 2 5 5 2 2 5" xfId="5659"/>
    <cellStyle name="Comma 2 5 5 2 3" xfId="1793"/>
    <cellStyle name="Comma 2 5 5 2 3 2" xfId="1794"/>
    <cellStyle name="Comma 2 5 5 2 3 2 2" xfId="8941"/>
    <cellStyle name="Comma 2 5 5 2 3 3" xfId="8940"/>
    <cellStyle name="Comma 2 5 5 2 3 4" xfId="5661"/>
    <cellStyle name="Comma 2 5 5 2 4" xfId="1795"/>
    <cellStyle name="Comma 2 5 5 2 4 2" xfId="1796"/>
    <cellStyle name="Comma 2 5 5 2 4 2 2" xfId="8943"/>
    <cellStyle name="Comma 2 5 5 2 4 3" xfId="8942"/>
    <cellStyle name="Comma 2 5 5 2 4 4" xfId="5662"/>
    <cellStyle name="Comma 2 5 5 2 5" xfId="1797"/>
    <cellStyle name="Comma 2 5 5 2 5 2" xfId="8944"/>
    <cellStyle name="Comma 2 5 5 2 6" xfId="8935"/>
    <cellStyle name="Comma 2 5 5 2 7" xfId="5658"/>
    <cellStyle name="Comma 2 5 5 3" xfId="1798"/>
    <cellStyle name="Comma 2 5 5 3 2" xfId="1799"/>
    <cellStyle name="Comma 2 5 5 3 2 2" xfId="1800"/>
    <cellStyle name="Comma 2 5 5 3 2 2 2" xfId="1801"/>
    <cellStyle name="Comma 2 5 5 3 2 2 2 2" xfId="8948"/>
    <cellStyle name="Comma 2 5 5 3 2 2 3" xfId="8947"/>
    <cellStyle name="Comma 2 5 5 3 2 2 4" xfId="5665"/>
    <cellStyle name="Comma 2 5 5 3 2 3" xfId="1802"/>
    <cellStyle name="Comma 2 5 5 3 2 3 2" xfId="8949"/>
    <cellStyle name="Comma 2 5 5 3 2 4" xfId="8946"/>
    <cellStyle name="Comma 2 5 5 3 2 5" xfId="5664"/>
    <cellStyle name="Comma 2 5 5 3 3" xfId="1803"/>
    <cellStyle name="Comma 2 5 5 3 3 2" xfId="1804"/>
    <cellStyle name="Comma 2 5 5 3 3 2 2" xfId="8951"/>
    <cellStyle name="Comma 2 5 5 3 3 3" xfId="8950"/>
    <cellStyle name="Comma 2 5 5 3 3 4" xfId="5666"/>
    <cellStyle name="Comma 2 5 5 3 4" xfId="1805"/>
    <cellStyle name="Comma 2 5 5 3 4 2" xfId="1806"/>
    <cellStyle name="Comma 2 5 5 3 4 2 2" xfId="8953"/>
    <cellStyle name="Comma 2 5 5 3 4 3" xfId="8952"/>
    <cellStyle name="Comma 2 5 5 3 4 4" xfId="5667"/>
    <cellStyle name="Comma 2 5 5 3 5" xfId="1807"/>
    <cellStyle name="Comma 2 5 5 3 5 2" xfId="8954"/>
    <cellStyle name="Comma 2 5 5 3 6" xfId="8945"/>
    <cellStyle name="Comma 2 5 5 3 7" xfId="5663"/>
    <cellStyle name="Comma 2 5 5 4" xfId="1808"/>
    <cellStyle name="Comma 2 5 5 4 2" xfId="1809"/>
    <cellStyle name="Comma 2 5 5 4 2 2" xfId="1810"/>
    <cellStyle name="Comma 2 5 5 4 2 2 2" xfId="1811"/>
    <cellStyle name="Comma 2 5 5 4 2 2 2 2" xfId="8958"/>
    <cellStyle name="Comma 2 5 5 4 2 2 3" xfId="8957"/>
    <cellStyle name="Comma 2 5 5 4 2 2 4" xfId="5670"/>
    <cellStyle name="Comma 2 5 5 4 2 3" xfId="1812"/>
    <cellStyle name="Comma 2 5 5 4 2 3 2" xfId="8959"/>
    <cellStyle name="Comma 2 5 5 4 2 4" xfId="8956"/>
    <cellStyle name="Comma 2 5 5 4 2 5" xfId="5669"/>
    <cellStyle name="Comma 2 5 5 4 3" xfId="1813"/>
    <cellStyle name="Comma 2 5 5 4 3 2" xfId="1814"/>
    <cellStyle name="Comma 2 5 5 4 3 2 2" xfId="8961"/>
    <cellStyle name="Comma 2 5 5 4 3 3" xfId="8960"/>
    <cellStyle name="Comma 2 5 5 4 3 4" xfId="5671"/>
    <cellStyle name="Comma 2 5 5 4 4" xfId="1815"/>
    <cellStyle name="Comma 2 5 5 4 4 2" xfId="1816"/>
    <cellStyle name="Comma 2 5 5 4 4 2 2" xfId="8963"/>
    <cellStyle name="Comma 2 5 5 4 4 3" xfId="8962"/>
    <cellStyle name="Comma 2 5 5 4 4 4" xfId="5672"/>
    <cellStyle name="Comma 2 5 5 4 5" xfId="1817"/>
    <cellStyle name="Comma 2 5 5 4 5 2" xfId="8964"/>
    <cellStyle name="Comma 2 5 5 4 6" xfId="8955"/>
    <cellStyle name="Comma 2 5 5 4 7" xfId="5668"/>
    <cellStyle name="Comma 2 5 5 5" xfId="1818"/>
    <cellStyle name="Comma 2 5 5 5 2" xfId="1819"/>
    <cellStyle name="Comma 2 5 5 5 2 2" xfId="1820"/>
    <cellStyle name="Comma 2 5 5 5 2 2 2" xfId="1821"/>
    <cellStyle name="Comma 2 5 5 5 2 2 2 2" xfId="8968"/>
    <cellStyle name="Comma 2 5 5 5 2 2 3" xfId="8967"/>
    <cellStyle name="Comma 2 5 5 5 2 2 4" xfId="5675"/>
    <cellStyle name="Comma 2 5 5 5 2 3" xfId="1822"/>
    <cellStyle name="Comma 2 5 5 5 2 3 2" xfId="8969"/>
    <cellStyle name="Comma 2 5 5 5 2 4" xfId="8966"/>
    <cellStyle name="Comma 2 5 5 5 2 5" xfId="5674"/>
    <cellStyle name="Comma 2 5 5 5 3" xfId="1823"/>
    <cellStyle name="Comma 2 5 5 5 3 2" xfId="1824"/>
    <cellStyle name="Comma 2 5 5 5 3 2 2" xfId="8971"/>
    <cellStyle name="Comma 2 5 5 5 3 3" xfId="8970"/>
    <cellStyle name="Comma 2 5 5 5 3 4" xfId="5676"/>
    <cellStyle name="Comma 2 5 5 5 4" xfId="1825"/>
    <cellStyle name="Comma 2 5 5 5 4 2" xfId="1826"/>
    <cellStyle name="Comma 2 5 5 5 4 2 2" xfId="8973"/>
    <cellStyle name="Comma 2 5 5 5 4 3" xfId="8972"/>
    <cellStyle name="Comma 2 5 5 5 4 4" xfId="5677"/>
    <cellStyle name="Comma 2 5 5 5 5" xfId="1827"/>
    <cellStyle name="Comma 2 5 5 5 5 2" xfId="8974"/>
    <cellStyle name="Comma 2 5 5 5 6" xfId="8965"/>
    <cellStyle name="Comma 2 5 5 5 7" xfId="5673"/>
    <cellStyle name="Comma 2 5 5 6" xfId="1828"/>
    <cellStyle name="Comma 2 5 5 6 2" xfId="1829"/>
    <cellStyle name="Comma 2 5 5 6 2 2" xfId="1830"/>
    <cellStyle name="Comma 2 5 5 6 2 2 2" xfId="8977"/>
    <cellStyle name="Comma 2 5 5 6 2 3" xfId="8976"/>
    <cellStyle name="Comma 2 5 5 6 2 4" xfId="5679"/>
    <cellStyle name="Comma 2 5 5 6 3" xfId="1831"/>
    <cellStyle name="Comma 2 5 5 6 3 2" xfId="1832"/>
    <cellStyle name="Comma 2 5 5 6 3 2 2" xfId="8979"/>
    <cellStyle name="Comma 2 5 5 6 3 3" xfId="8978"/>
    <cellStyle name="Comma 2 5 5 6 3 4" xfId="5680"/>
    <cellStyle name="Comma 2 5 5 6 4" xfId="1833"/>
    <cellStyle name="Comma 2 5 5 6 4 2" xfId="8980"/>
    <cellStyle name="Comma 2 5 5 6 5" xfId="8975"/>
    <cellStyle name="Comma 2 5 5 6 6" xfId="5678"/>
    <cellStyle name="Comma 2 5 5 7" xfId="1834"/>
    <cellStyle name="Comma 2 5 5 7 2" xfId="1835"/>
    <cellStyle name="Comma 2 5 5 7 2 2" xfId="1836"/>
    <cellStyle name="Comma 2 5 5 7 2 2 2" xfId="8983"/>
    <cellStyle name="Comma 2 5 5 7 2 3" xfId="8982"/>
    <cellStyle name="Comma 2 5 5 7 2 4" xfId="5682"/>
    <cellStyle name="Comma 2 5 5 7 3" xfId="1837"/>
    <cellStyle name="Comma 2 5 5 7 3 2" xfId="8984"/>
    <cellStyle name="Comma 2 5 5 7 4" xfId="8981"/>
    <cellStyle name="Comma 2 5 5 7 5" xfId="5681"/>
    <cellStyle name="Comma 2 5 5 8" xfId="1838"/>
    <cellStyle name="Comma 2 5 5 8 2" xfId="1839"/>
    <cellStyle name="Comma 2 5 5 8 2 2" xfId="8986"/>
    <cellStyle name="Comma 2 5 5 8 3" xfId="8985"/>
    <cellStyle name="Comma 2 5 5 8 4" xfId="5683"/>
    <cellStyle name="Comma 2 5 5 9" xfId="1840"/>
    <cellStyle name="Comma 2 5 5 9 2" xfId="1841"/>
    <cellStyle name="Comma 2 5 5 9 2 2" xfId="8988"/>
    <cellStyle name="Comma 2 5 5 9 3" xfId="8987"/>
    <cellStyle name="Comma 2 5 5 9 4" xfId="5684"/>
    <cellStyle name="Comma 2 5 6" xfId="1842"/>
    <cellStyle name="Comma 2 5 6 2" xfId="1843"/>
    <cellStyle name="Comma 2 5 6 2 2" xfId="1844"/>
    <cellStyle name="Comma 2 5 6 2 2 2" xfId="1845"/>
    <cellStyle name="Comma 2 5 6 2 2 2 2" xfId="8992"/>
    <cellStyle name="Comma 2 5 6 2 2 3" xfId="8991"/>
    <cellStyle name="Comma 2 5 6 2 2 4" xfId="5687"/>
    <cellStyle name="Comma 2 5 6 2 3" xfId="1846"/>
    <cellStyle name="Comma 2 5 6 2 3 2" xfId="8993"/>
    <cellStyle name="Comma 2 5 6 2 4" xfId="8990"/>
    <cellStyle name="Comma 2 5 6 2 5" xfId="5686"/>
    <cellStyle name="Comma 2 5 6 3" xfId="1847"/>
    <cellStyle name="Comma 2 5 6 3 2" xfId="1848"/>
    <cellStyle name="Comma 2 5 6 3 2 2" xfId="8995"/>
    <cellStyle name="Comma 2 5 6 3 3" xfId="8994"/>
    <cellStyle name="Comma 2 5 6 3 4" xfId="5688"/>
    <cellStyle name="Comma 2 5 6 4" xfId="1849"/>
    <cellStyle name="Comma 2 5 6 4 2" xfId="1850"/>
    <cellStyle name="Comma 2 5 6 4 2 2" xfId="8997"/>
    <cellStyle name="Comma 2 5 6 4 3" xfId="8996"/>
    <cellStyle name="Comma 2 5 6 4 4" xfId="5689"/>
    <cellStyle name="Comma 2 5 6 5" xfId="1851"/>
    <cellStyle name="Comma 2 5 6 5 2" xfId="8998"/>
    <cellStyle name="Comma 2 5 6 6" xfId="8989"/>
    <cellStyle name="Comma 2 5 6 7" xfId="5685"/>
    <cellStyle name="Comma 2 5 7" xfId="1852"/>
    <cellStyle name="Comma 2 5 7 2" xfId="1853"/>
    <cellStyle name="Comma 2 5 7 2 2" xfId="1854"/>
    <cellStyle name="Comma 2 5 7 2 2 2" xfId="1855"/>
    <cellStyle name="Comma 2 5 7 2 2 2 2" xfId="9002"/>
    <cellStyle name="Comma 2 5 7 2 2 3" xfId="9001"/>
    <cellStyle name="Comma 2 5 7 2 2 4" xfId="5692"/>
    <cellStyle name="Comma 2 5 7 2 3" xfId="1856"/>
    <cellStyle name="Comma 2 5 7 2 3 2" xfId="9003"/>
    <cellStyle name="Comma 2 5 7 2 4" xfId="9000"/>
    <cellStyle name="Comma 2 5 7 2 5" xfId="5691"/>
    <cellStyle name="Comma 2 5 7 3" xfId="1857"/>
    <cellStyle name="Comma 2 5 7 3 2" xfId="1858"/>
    <cellStyle name="Comma 2 5 7 3 2 2" xfId="9005"/>
    <cellStyle name="Comma 2 5 7 3 3" xfId="9004"/>
    <cellStyle name="Comma 2 5 7 3 4" xfId="5693"/>
    <cellStyle name="Comma 2 5 7 4" xfId="1859"/>
    <cellStyle name="Comma 2 5 7 4 2" xfId="1860"/>
    <cellStyle name="Comma 2 5 7 4 2 2" xfId="9007"/>
    <cellStyle name="Comma 2 5 7 4 3" xfId="9006"/>
    <cellStyle name="Comma 2 5 7 4 4" xfId="5694"/>
    <cellStyle name="Comma 2 5 7 5" xfId="1861"/>
    <cellStyle name="Comma 2 5 7 5 2" xfId="9008"/>
    <cellStyle name="Comma 2 5 7 6" xfId="8999"/>
    <cellStyle name="Comma 2 5 7 7" xfId="5690"/>
    <cellStyle name="Comma 2 5 8" xfId="1862"/>
    <cellStyle name="Comma 2 5 8 2" xfId="1863"/>
    <cellStyle name="Comma 2 5 8 2 2" xfId="1864"/>
    <cellStyle name="Comma 2 5 8 2 2 2" xfId="1865"/>
    <cellStyle name="Comma 2 5 8 2 2 2 2" xfId="9012"/>
    <cellStyle name="Comma 2 5 8 2 2 3" xfId="9011"/>
    <cellStyle name="Comma 2 5 8 2 2 4" xfId="5697"/>
    <cellStyle name="Comma 2 5 8 2 3" xfId="1866"/>
    <cellStyle name="Comma 2 5 8 2 3 2" xfId="9013"/>
    <cellStyle name="Comma 2 5 8 2 4" xfId="9010"/>
    <cellStyle name="Comma 2 5 8 2 5" xfId="5696"/>
    <cellStyle name="Comma 2 5 8 3" xfId="1867"/>
    <cellStyle name="Comma 2 5 8 3 2" xfId="1868"/>
    <cellStyle name="Comma 2 5 8 3 2 2" xfId="9015"/>
    <cellStyle name="Comma 2 5 8 3 3" xfId="9014"/>
    <cellStyle name="Comma 2 5 8 3 4" xfId="5698"/>
    <cellStyle name="Comma 2 5 8 4" xfId="1869"/>
    <cellStyle name="Comma 2 5 8 4 2" xfId="1870"/>
    <cellStyle name="Comma 2 5 8 4 2 2" xfId="9017"/>
    <cellStyle name="Comma 2 5 8 4 3" xfId="9016"/>
    <cellStyle name="Comma 2 5 8 4 4" xfId="5699"/>
    <cellStyle name="Comma 2 5 8 5" xfId="1871"/>
    <cellStyle name="Comma 2 5 8 5 2" xfId="9018"/>
    <cellStyle name="Comma 2 5 8 6" xfId="9009"/>
    <cellStyle name="Comma 2 5 8 7" xfId="5695"/>
    <cellStyle name="Comma 2 5 9" xfId="1872"/>
    <cellStyle name="Comma 2 5 9 2" xfId="1873"/>
    <cellStyle name="Comma 2 5 9 2 2" xfId="1874"/>
    <cellStyle name="Comma 2 5 9 2 2 2" xfId="1875"/>
    <cellStyle name="Comma 2 5 9 2 2 2 2" xfId="9022"/>
    <cellStyle name="Comma 2 5 9 2 2 3" xfId="9021"/>
    <cellStyle name="Comma 2 5 9 2 2 4" xfId="5702"/>
    <cellStyle name="Comma 2 5 9 2 3" xfId="1876"/>
    <cellStyle name="Comma 2 5 9 2 3 2" xfId="9023"/>
    <cellStyle name="Comma 2 5 9 2 4" xfId="9020"/>
    <cellStyle name="Comma 2 5 9 2 5" xfId="5701"/>
    <cellStyle name="Comma 2 5 9 3" xfId="1877"/>
    <cellStyle name="Comma 2 5 9 3 2" xfId="1878"/>
    <cellStyle name="Comma 2 5 9 3 2 2" xfId="9025"/>
    <cellStyle name="Comma 2 5 9 3 3" xfId="9024"/>
    <cellStyle name="Comma 2 5 9 3 4" xfId="5703"/>
    <cellStyle name="Comma 2 5 9 4" xfId="1879"/>
    <cellStyle name="Comma 2 5 9 4 2" xfId="1880"/>
    <cellStyle name="Comma 2 5 9 4 2 2" xfId="9027"/>
    <cellStyle name="Comma 2 5 9 4 3" xfId="9026"/>
    <cellStyle name="Comma 2 5 9 4 4" xfId="5704"/>
    <cellStyle name="Comma 2 5 9 5" xfId="1881"/>
    <cellStyle name="Comma 2 5 9 5 2" xfId="9028"/>
    <cellStyle name="Comma 2 5 9 6" xfId="9019"/>
    <cellStyle name="Comma 2 5 9 7" xfId="5700"/>
    <cellStyle name="Comma 2 6" xfId="1882"/>
    <cellStyle name="Comma 2 6 10" xfId="1883"/>
    <cellStyle name="Comma 2 6 10 2" xfId="1884"/>
    <cellStyle name="Comma 2 6 10 2 2" xfId="9031"/>
    <cellStyle name="Comma 2 6 10 3" xfId="9030"/>
    <cellStyle name="Comma 2 6 10 4" xfId="5706"/>
    <cellStyle name="Comma 2 6 11" xfId="1885"/>
    <cellStyle name="Comma 2 6 11 2" xfId="9032"/>
    <cellStyle name="Comma 2 6 12" xfId="9029"/>
    <cellStyle name="Comma 2 6 13" xfId="5705"/>
    <cellStyle name="Comma 2 6 2" xfId="1886"/>
    <cellStyle name="Comma 2 6 2 10" xfId="1887"/>
    <cellStyle name="Comma 2 6 2 10 2" xfId="9034"/>
    <cellStyle name="Comma 2 6 2 11" xfId="9033"/>
    <cellStyle name="Comma 2 6 2 12" xfId="5707"/>
    <cellStyle name="Comma 2 6 2 2" xfId="1888"/>
    <cellStyle name="Comma 2 6 2 2 2" xfId="1889"/>
    <cellStyle name="Comma 2 6 2 2 2 2" xfId="1890"/>
    <cellStyle name="Comma 2 6 2 2 2 2 2" xfId="1891"/>
    <cellStyle name="Comma 2 6 2 2 2 2 2 2" xfId="9038"/>
    <cellStyle name="Comma 2 6 2 2 2 2 3" xfId="9037"/>
    <cellStyle name="Comma 2 6 2 2 2 2 4" xfId="5710"/>
    <cellStyle name="Comma 2 6 2 2 2 3" xfId="1892"/>
    <cellStyle name="Comma 2 6 2 2 2 3 2" xfId="9039"/>
    <cellStyle name="Comma 2 6 2 2 2 4" xfId="9036"/>
    <cellStyle name="Comma 2 6 2 2 2 5" xfId="5709"/>
    <cellStyle name="Comma 2 6 2 2 3" xfId="1893"/>
    <cellStyle name="Comma 2 6 2 2 3 2" xfId="1894"/>
    <cellStyle name="Comma 2 6 2 2 3 2 2" xfId="9041"/>
    <cellStyle name="Comma 2 6 2 2 3 3" xfId="9040"/>
    <cellStyle name="Comma 2 6 2 2 3 4" xfId="5711"/>
    <cellStyle name="Comma 2 6 2 2 4" xfId="1895"/>
    <cellStyle name="Comma 2 6 2 2 4 2" xfId="1896"/>
    <cellStyle name="Comma 2 6 2 2 4 2 2" xfId="9043"/>
    <cellStyle name="Comma 2 6 2 2 4 3" xfId="9042"/>
    <cellStyle name="Comma 2 6 2 2 4 4" xfId="5712"/>
    <cellStyle name="Comma 2 6 2 2 5" xfId="1897"/>
    <cellStyle name="Comma 2 6 2 2 5 2" xfId="9044"/>
    <cellStyle name="Comma 2 6 2 2 6" xfId="9035"/>
    <cellStyle name="Comma 2 6 2 2 7" xfId="5708"/>
    <cellStyle name="Comma 2 6 2 3" xfId="1898"/>
    <cellStyle name="Comma 2 6 2 3 2" xfId="1899"/>
    <cellStyle name="Comma 2 6 2 3 2 2" xfId="1900"/>
    <cellStyle name="Comma 2 6 2 3 2 2 2" xfId="1901"/>
    <cellStyle name="Comma 2 6 2 3 2 2 2 2" xfId="9048"/>
    <cellStyle name="Comma 2 6 2 3 2 2 3" xfId="9047"/>
    <cellStyle name="Comma 2 6 2 3 2 2 4" xfId="5715"/>
    <cellStyle name="Comma 2 6 2 3 2 3" xfId="1902"/>
    <cellStyle name="Comma 2 6 2 3 2 3 2" xfId="9049"/>
    <cellStyle name="Comma 2 6 2 3 2 4" xfId="9046"/>
    <cellStyle name="Comma 2 6 2 3 2 5" xfId="5714"/>
    <cellStyle name="Comma 2 6 2 3 3" xfId="1903"/>
    <cellStyle name="Comma 2 6 2 3 3 2" xfId="1904"/>
    <cellStyle name="Comma 2 6 2 3 3 2 2" xfId="9051"/>
    <cellStyle name="Comma 2 6 2 3 3 3" xfId="9050"/>
    <cellStyle name="Comma 2 6 2 3 3 4" xfId="5716"/>
    <cellStyle name="Comma 2 6 2 3 4" xfId="1905"/>
    <cellStyle name="Comma 2 6 2 3 4 2" xfId="1906"/>
    <cellStyle name="Comma 2 6 2 3 4 2 2" xfId="9053"/>
    <cellStyle name="Comma 2 6 2 3 4 3" xfId="9052"/>
    <cellStyle name="Comma 2 6 2 3 4 4" xfId="5717"/>
    <cellStyle name="Comma 2 6 2 3 5" xfId="1907"/>
    <cellStyle name="Comma 2 6 2 3 5 2" xfId="9054"/>
    <cellStyle name="Comma 2 6 2 3 6" xfId="9045"/>
    <cellStyle name="Comma 2 6 2 3 7" xfId="5713"/>
    <cellStyle name="Comma 2 6 2 4" xfId="1908"/>
    <cellStyle name="Comma 2 6 2 4 2" xfId="1909"/>
    <cellStyle name="Comma 2 6 2 4 2 2" xfId="1910"/>
    <cellStyle name="Comma 2 6 2 4 2 2 2" xfId="1911"/>
    <cellStyle name="Comma 2 6 2 4 2 2 2 2" xfId="9058"/>
    <cellStyle name="Comma 2 6 2 4 2 2 3" xfId="9057"/>
    <cellStyle name="Comma 2 6 2 4 2 2 4" xfId="5720"/>
    <cellStyle name="Comma 2 6 2 4 2 3" xfId="1912"/>
    <cellStyle name="Comma 2 6 2 4 2 3 2" xfId="9059"/>
    <cellStyle name="Comma 2 6 2 4 2 4" xfId="9056"/>
    <cellStyle name="Comma 2 6 2 4 2 5" xfId="5719"/>
    <cellStyle name="Comma 2 6 2 4 3" xfId="1913"/>
    <cellStyle name="Comma 2 6 2 4 3 2" xfId="1914"/>
    <cellStyle name="Comma 2 6 2 4 3 2 2" xfId="9061"/>
    <cellStyle name="Comma 2 6 2 4 3 3" xfId="9060"/>
    <cellStyle name="Comma 2 6 2 4 3 4" xfId="5721"/>
    <cellStyle name="Comma 2 6 2 4 4" xfId="1915"/>
    <cellStyle name="Comma 2 6 2 4 4 2" xfId="1916"/>
    <cellStyle name="Comma 2 6 2 4 4 2 2" xfId="9063"/>
    <cellStyle name="Comma 2 6 2 4 4 3" xfId="9062"/>
    <cellStyle name="Comma 2 6 2 4 4 4" xfId="5722"/>
    <cellStyle name="Comma 2 6 2 4 5" xfId="1917"/>
    <cellStyle name="Comma 2 6 2 4 5 2" xfId="9064"/>
    <cellStyle name="Comma 2 6 2 4 6" xfId="9055"/>
    <cellStyle name="Comma 2 6 2 4 7" xfId="5718"/>
    <cellStyle name="Comma 2 6 2 5" xfId="1918"/>
    <cellStyle name="Comma 2 6 2 5 2" xfId="1919"/>
    <cellStyle name="Comma 2 6 2 5 2 2" xfId="1920"/>
    <cellStyle name="Comma 2 6 2 5 2 2 2" xfId="1921"/>
    <cellStyle name="Comma 2 6 2 5 2 2 2 2" xfId="9068"/>
    <cellStyle name="Comma 2 6 2 5 2 2 3" xfId="9067"/>
    <cellStyle name="Comma 2 6 2 5 2 2 4" xfId="5725"/>
    <cellStyle name="Comma 2 6 2 5 2 3" xfId="1922"/>
    <cellStyle name="Comma 2 6 2 5 2 3 2" xfId="9069"/>
    <cellStyle name="Comma 2 6 2 5 2 4" xfId="9066"/>
    <cellStyle name="Comma 2 6 2 5 2 5" xfId="5724"/>
    <cellStyle name="Comma 2 6 2 5 3" xfId="1923"/>
    <cellStyle name="Comma 2 6 2 5 3 2" xfId="1924"/>
    <cellStyle name="Comma 2 6 2 5 3 2 2" xfId="9071"/>
    <cellStyle name="Comma 2 6 2 5 3 3" xfId="9070"/>
    <cellStyle name="Comma 2 6 2 5 3 4" xfId="5726"/>
    <cellStyle name="Comma 2 6 2 5 4" xfId="1925"/>
    <cellStyle name="Comma 2 6 2 5 4 2" xfId="1926"/>
    <cellStyle name="Comma 2 6 2 5 4 2 2" xfId="9073"/>
    <cellStyle name="Comma 2 6 2 5 4 3" xfId="9072"/>
    <cellStyle name="Comma 2 6 2 5 4 4" xfId="5727"/>
    <cellStyle name="Comma 2 6 2 5 5" xfId="1927"/>
    <cellStyle name="Comma 2 6 2 5 5 2" xfId="9074"/>
    <cellStyle name="Comma 2 6 2 5 6" xfId="9065"/>
    <cellStyle name="Comma 2 6 2 5 7" xfId="5723"/>
    <cellStyle name="Comma 2 6 2 6" xfId="1928"/>
    <cellStyle name="Comma 2 6 2 6 2" xfId="1929"/>
    <cellStyle name="Comma 2 6 2 6 2 2" xfId="1930"/>
    <cellStyle name="Comma 2 6 2 6 2 2 2" xfId="9077"/>
    <cellStyle name="Comma 2 6 2 6 2 3" xfId="9076"/>
    <cellStyle name="Comma 2 6 2 6 2 4" xfId="5729"/>
    <cellStyle name="Comma 2 6 2 6 3" xfId="1931"/>
    <cellStyle name="Comma 2 6 2 6 3 2" xfId="1932"/>
    <cellStyle name="Comma 2 6 2 6 3 2 2" xfId="9079"/>
    <cellStyle name="Comma 2 6 2 6 3 3" xfId="9078"/>
    <cellStyle name="Comma 2 6 2 6 3 4" xfId="5730"/>
    <cellStyle name="Comma 2 6 2 6 4" xfId="1933"/>
    <cellStyle name="Comma 2 6 2 6 4 2" xfId="9080"/>
    <cellStyle name="Comma 2 6 2 6 5" xfId="9075"/>
    <cellStyle name="Comma 2 6 2 6 6" xfId="5728"/>
    <cellStyle name="Comma 2 6 2 7" xfId="1934"/>
    <cellStyle name="Comma 2 6 2 7 2" xfId="1935"/>
    <cellStyle name="Comma 2 6 2 7 2 2" xfId="1936"/>
    <cellStyle name="Comma 2 6 2 7 2 2 2" xfId="9083"/>
    <cellStyle name="Comma 2 6 2 7 2 3" xfId="9082"/>
    <cellStyle name="Comma 2 6 2 7 2 4" xfId="5732"/>
    <cellStyle name="Comma 2 6 2 7 3" xfId="1937"/>
    <cellStyle name="Comma 2 6 2 7 3 2" xfId="9084"/>
    <cellStyle name="Comma 2 6 2 7 4" xfId="9081"/>
    <cellStyle name="Comma 2 6 2 7 5" xfId="5731"/>
    <cellStyle name="Comma 2 6 2 8" xfId="1938"/>
    <cellStyle name="Comma 2 6 2 8 2" xfId="1939"/>
    <cellStyle name="Comma 2 6 2 8 2 2" xfId="9086"/>
    <cellStyle name="Comma 2 6 2 8 3" xfId="9085"/>
    <cellStyle name="Comma 2 6 2 8 4" xfId="5733"/>
    <cellStyle name="Comma 2 6 2 9" xfId="1940"/>
    <cellStyle name="Comma 2 6 2 9 2" xfId="1941"/>
    <cellStyle name="Comma 2 6 2 9 2 2" xfId="9088"/>
    <cellStyle name="Comma 2 6 2 9 3" xfId="9087"/>
    <cellStyle name="Comma 2 6 2 9 4" xfId="5734"/>
    <cellStyle name="Comma 2 6 3" xfId="1942"/>
    <cellStyle name="Comma 2 6 3 2" xfId="1943"/>
    <cellStyle name="Comma 2 6 3 2 2" xfId="1944"/>
    <cellStyle name="Comma 2 6 3 2 2 2" xfId="1945"/>
    <cellStyle name="Comma 2 6 3 2 2 2 2" xfId="9092"/>
    <cellStyle name="Comma 2 6 3 2 2 3" xfId="9091"/>
    <cellStyle name="Comma 2 6 3 2 2 4" xfId="5737"/>
    <cellStyle name="Comma 2 6 3 2 3" xfId="1946"/>
    <cellStyle name="Comma 2 6 3 2 3 2" xfId="9093"/>
    <cellStyle name="Comma 2 6 3 2 4" xfId="9090"/>
    <cellStyle name="Comma 2 6 3 2 5" xfId="5736"/>
    <cellStyle name="Comma 2 6 3 3" xfId="1947"/>
    <cellStyle name="Comma 2 6 3 3 2" xfId="1948"/>
    <cellStyle name="Comma 2 6 3 3 2 2" xfId="9095"/>
    <cellStyle name="Comma 2 6 3 3 3" xfId="9094"/>
    <cellStyle name="Comma 2 6 3 3 4" xfId="5738"/>
    <cellStyle name="Comma 2 6 3 4" xfId="1949"/>
    <cellStyle name="Comma 2 6 3 4 2" xfId="1950"/>
    <cellStyle name="Comma 2 6 3 4 2 2" xfId="9097"/>
    <cellStyle name="Comma 2 6 3 4 3" xfId="9096"/>
    <cellStyle name="Comma 2 6 3 4 4" xfId="5739"/>
    <cellStyle name="Comma 2 6 3 5" xfId="1951"/>
    <cellStyle name="Comma 2 6 3 5 2" xfId="9098"/>
    <cellStyle name="Comma 2 6 3 6" xfId="9089"/>
    <cellStyle name="Comma 2 6 3 7" xfId="5735"/>
    <cellStyle name="Comma 2 6 4" xfId="1952"/>
    <cellStyle name="Comma 2 6 4 2" xfId="1953"/>
    <cellStyle name="Comma 2 6 4 2 2" xfId="1954"/>
    <cellStyle name="Comma 2 6 4 2 2 2" xfId="1955"/>
    <cellStyle name="Comma 2 6 4 2 2 2 2" xfId="9102"/>
    <cellStyle name="Comma 2 6 4 2 2 3" xfId="9101"/>
    <cellStyle name="Comma 2 6 4 2 2 4" xfId="5742"/>
    <cellStyle name="Comma 2 6 4 2 3" xfId="1956"/>
    <cellStyle name="Comma 2 6 4 2 3 2" xfId="9103"/>
    <cellStyle name="Comma 2 6 4 2 4" xfId="9100"/>
    <cellStyle name="Comma 2 6 4 2 5" xfId="5741"/>
    <cellStyle name="Comma 2 6 4 3" xfId="1957"/>
    <cellStyle name="Comma 2 6 4 3 2" xfId="1958"/>
    <cellStyle name="Comma 2 6 4 3 2 2" xfId="9105"/>
    <cellStyle name="Comma 2 6 4 3 3" xfId="9104"/>
    <cellStyle name="Comma 2 6 4 3 4" xfId="5743"/>
    <cellStyle name="Comma 2 6 4 4" xfId="1959"/>
    <cellStyle name="Comma 2 6 4 4 2" xfId="1960"/>
    <cellStyle name="Comma 2 6 4 4 2 2" xfId="9107"/>
    <cellStyle name="Comma 2 6 4 4 3" xfId="9106"/>
    <cellStyle name="Comma 2 6 4 4 4" xfId="5744"/>
    <cellStyle name="Comma 2 6 4 5" xfId="1961"/>
    <cellStyle name="Comma 2 6 4 5 2" xfId="9108"/>
    <cellStyle name="Comma 2 6 4 6" xfId="9099"/>
    <cellStyle name="Comma 2 6 4 7" xfId="5740"/>
    <cellStyle name="Comma 2 6 5" xfId="1962"/>
    <cellStyle name="Comma 2 6 5 2" xfId="1963"/>
    <cellStyle name="Comma 2 6 5 2 2" xfId="1964"/>
    <cellStyle name="Comma 2 6 5 2 2 2" xfId="1965"/>
    <cellStyle name="Comma 2 6 5 2 2 2 2" xfId="9112"/>
    <cellStyle name="Comma 2 6 5 2 2 3" xfId="9111"/>
    <cellStyle name="Comma 2 6 5 2 2 4" xfId="5747"/>
    <cellStyle name="Comma 2 6 5 2 3" xfId="1966"/>
    <cellStyle name="Comma 2 6 5 2 3 2" xfId="9113"/>
    <cellStyle name="Comma 2 6 5 2 4" xfId="9110"/>
    <cellStyle name="Comma 2 6 5 2 5" xfId="5746"/>
    <cellStyle name="Comma 2 6 5 3" xfId="1967"/>
    <cellStyle name="Comma 2 6 5 3 2" xfId="1968"/>
    <cellStyle name="Comma 2 6 5 3 2 2" xfId="9115"/>
    <cellStyle name="Comma 2 6 5 3 3" xfId="9114"/>
    <cellStyle name="Comma 2 6 5 3 4" xfId="5748"/>
    <cellStyle name="Comma 2 6 5 4" xfId="1969"/>
    <cellStyle name="Comma 2 6 5 4 2" xfId="1970"/>
    <cellStyle name="Comma 2 6 5 4 2 2" xfId="9117"/>
    <cellStyle name="Comma 2 6 5 4 3" xfId="9116"/>
    <cellStyle name="Comma 2 6 5 4 4" xfId="5749"/>
    <cellStyle name="Comma 2 6 5 5" xfId="1971"/>
    <cellStyle name="Comma 2 6 5 5 2" xfId="9118"/>
    <cellStyle name="Comma 2 6 5 6" xfId="9109"/>
    <cellStyle name="Comma 2 6 5 7" xfId="5745"/>
    <cellStyle name="Comma 2 6 6" xfId="1972"/>
    <cellStyle name="Comma 2 6 6 2" xfId="1973"/>
    <cellStyle name="Comma 2 6 6 2 2" xfId="1974"/>
    <cellStyle name="Comma 2 6 6 2 2 2" xfId="1975"/>
    <cellStyle name="Comma 2 6 6 2 2 2 2" xfId="9122"/>
    <cellStyle name="Comma 2 6 6 2 2 3" xfId="9121"/>
    <cellStyle name="Comma 2 6 6 2 2 4" xfId="5752"/>
    <cellStyle name="Comma 2 6 6 2 3" xfId="1976"/>
    <cellStyle name="Comma 2 6 6 2 3 2" xfId="9123"/>
    <cellStyle name="Comma 2 6 6 2 4" xfId="9120"/>
    <cellStyle name="Comma 2 6 6 2 5" xfId="5751"/>
    <cellStyle name="Comma 2 6 6 3" xfId="1977"/>
    <cellStyle name="Comma 2 6 6 3 2" xfId="1978"/>
    <cellStyle name="Comma 2 6 6 3 2 2" xfId="9125"/>
    <cellStyle name="Comma 2 6 6 3 3" xfId="9124"/>
    <cellStyle name="Comma 2 6 6 3 4" xfId="5753"/>
    <cellStyle name="Comma 2 6 6 4" xfId="1979"/>
    <cellStyle name="Comma 2 6 6 4 2" xfId="1980"/>
    <cellStyle name="Comma 2 6 6 4 2 2" xfId="9127"/>
    <cellStyle name="Comma 2 6 6 4 3" xfId="9126"/>
    <cellStyle name="Comma 2 6 6 4 4" xfId="5754"/>
    <cellStyle name="Comma 2 6 6 5" xfId="1981"/>
    <cellStyle name="Comma 2 6 6 5 2" xfId="9128"/>
    <cellStyle name="Comma 2 6 6 6" xfId="9119"/>
    <cellStyle name="Comma 2 6 6 7" xfId="5750"/>
    <cellStyle name="Comma 2 6 7" xfId="1982"/>
    <cellStyle name="Comma 2 6 7 2" xfId="1983"/>
    <cellStyle name="Comma 2 6 7 2 2" xfId="1984"/>
    <cellStyle name="Comma 2 6 7 2 2 2" xfId="9131"/>
    <cellStyle name="Comma 2 6 7 2 3" xfId="9130"/>
    <cellStyle name="Comma 2 6 7 2 4" xfId="5756"/>
    <cellStyle name="Comma 2 6 7 3" xfId="1985"/>
    <cellStyle name="Comma 2 6 7 3 2" xfId="1986"/>
    <cellStyle name="Comma 2 6 7 3 2 2" xfId="9133"/>
    <cellStyle name="Comma 2 6 7 3 3" xfId="9132"/>
    <cellStyle name="Comma 2 6 7 3 4" xfId="5757"/>
    <cellStyle name="Comma 2 6 7 4" xfId="1987"/>
    <cellStyle name="Comma 2 6 7 4 2" xfId="9134"/>
    <cellStyle name="Comma 2 6 7 5" xfId="9129"/>
    <cellStyle name="Comma 2 6 7 6" xfId="5755"/>
    <cellStyle name="Comma 2 6 8" xfId="1988"/>
    <cellStyle name="Comma 2 6 8 2" xfId="1989"/>
    <cellStyle name="Comma 2 6 8 2 2" xfId="1990"/>
    <cellStyle name="Comma 2 6 8 2 2 2" xfId="9137"/>
    <cellStyle name="Comma 2 6 8 2 3" xfId="9136"/>
    <cellStyle name="Comma 2 6 8 2 4" xfId="5759"/>
    <cellStyle name="Comma 2 6 8 3" xfId="1991"/>
    <cellStyle name="Comma 2 6 8 3 2" xfId="9138"/>
    <cellStyle name="Comma 2 6 8 4" xfId="9135"/>
    <cellStyle name="Comma 2 6 8 5" xfId="5758"/>
    <cellStyle name="Comma 2 6 9" xfId="1992"/>
    <cellStyle name="Comma 2 6 9 2" xfId="1993"/>
    <cellStyle name="Comma 2 6 9 2 2" xfId="9140"/>
    <cellStyle name="Comma 2 6 9 3" xfId="9139"/>
    <cellStyle name="Comma 2 6 9 4" xfId="5760"/>
    <cellStyle name="Comma 2 7" xfId="1994"/>
    <cellStyle name="Comma 2 7 10" xfId="1995"/>
    <cellStyle name="Comma 2 7 10 2" xfId="1996"/>
    <cellStyle name="Comma 2 7 10 2 2" xfId="9143"/>
    <cellStyle name="Comma 2 7 10 3" xfId="9142"/>
    <cellStyle name="Comma 2 7 10 4" xfId="5762"/>
    <cellStyle name="Comma 2 7 11" xfId="1997"/>
    <cellStyle name="Comma 2 7 11 2" xfId="9144"/>
    <cellStyle name="Comma 2 7 12" xfId="9141"/>
    <cellStyle name="Comma 2 7 13" xfId="5761"/>
    <cellStyle name="Comma 2 7 2" xfId="1998"/>
    <cellStyle name="Comma 2 7 2 10" xfId="1999"/>
    <cellStyle name="Comma 2 7 2 10 2" xfId="9146"/>
    <cellStyle name="Comma 2 7 2 11" xfId="9145"/>
    <cellStyle name="Comma 2 7 2 12" xfId="5763"/>
    <cellStyle name="Comma 2 7 2 2" xfId="2000"/>
    <cellStyle name="Comma 2 7 2 2 2" xfId="2001"/>
    <cellStyle name="Comma 2 7 2 2 2 2" xfId="2002"/>
    <cellStyle name="Comma 2 7 2 2 2 2 2" xfId="2003"/>
    <cellStyle name="Comma 2 7 2 2 2 2 2 2" xfId="9150"/>
    <cellStyle name="Comma 2 7 2 2 2 2 3" xfId="9149"/>
    <cellStyle name="Comma 2 7 2 2 2 2 4" xfId="5766"/>
    <cellStyle name="Comma 2 7 2 2 2 3" xfId="2004"/>
    <cellStyle name="Comma 2 7 2 2 2 3 2" xfId="9151"/>
    <cellStyle name="Comma 2 7 2 2 2 4" xfId="9148"/>
    <cellStyle name="Comma 2 7 2 2 2 5" xfId="5765"/>
    <cellStyle name="Comma 2 7 2 2 3" xfId="2005"/>
    <cellStyle name="Comma 2 7 2 2 3 2" xfId="2006"/>
    <cellStyle name="Comma 2 7 2 2 3 2 2" xfId="9153"/>
    <cellStyle name="Comma 2 7 2 2 3 3" xfId="9152"/>
    <cellStyle name="Comma 2 7 2 2 3 4" xfId="5767"/>
    <cellStyle name="Comma 2 7 2 2 4" xfId="2007"/>
    <cellStyle name="Comma 2 7 2 2 4 2" xfId="2008"/>
    <cellStyle name="Comma 2 7 2 2 4 2 2" xfId="9155"/>
    <cellStyle name="Comma 2 7 2 2 4 3" xfId="9154"/>
    <cellStyle name="Comma 2 7 2 2 4 4" xfId="5768"/>
    <cellStyle name="Comma 2 7 2 2 5" xfId="2009"/>
    <cellStyle name="Comma 2 7 2 2 5 2" xfId="9156"/>
    <cellStyle name="Comma 2 7 2 2 6" xfId="9147"/>
    <cellStyle name="Comma 2 7 2 2 7" xfId="5764"/>
    <cellStyle name="Comma 2 7 2 3" xfId="2010"/>
    <cellStyle name="Comma 2 7 2 3 2" xfId="2011"/>
    <cellStyle name="Comma 2 7 2 3 2 2" xfId="2012"/>
    <cellStyle name="Comma 2 7 2 3 2 2 2" xfId="2013"/>
    <cellStyle name="Comma 2 7 2 3 2 2 2 2" xfId="9160"/>
    <cellStyle name="Comma 2 7 2 3 2 2 3" xfId="9159"/>
    <cellStyle name="Comma 2 7 2 3 2 2 4" xfId="5771"/>
    <cellStyle name="Comma 2 7 2 3 2 3" xfId="2014"/>
    <cellStyle name="Comma 2 7 2 3 2 3 2" xfId="9161"/>
    <cellStyle name="Comma 2 7 2 3 2 4" xfId="9158"/>
    <cellStyle name="Comma 2 7 2 3 2 5" xfId="5770"/>
    <cellStyle name="Comma 2 7 2 3 3" xfId="2015"/>
    <cellStyle name="Comma 2 7 2 3 3 2" xfId="2016"/>
    <cellStyle name="Comma 2 7 2 3 3 2 2" xfId="9163"/>
    <cellStyle name="Comma 2 7 2 3 3 3" xfId="9162"/>
    <cellStyle name="Comma 2 7 2 3 3 4" xfId="5772"/>
    <cellStyle name="Comma 2 7 2 3 4" xfId="2017"/>
    <cellStyle name="Comma 2 7 2 3 4 2" xfId="2018"/>
    <cellStyle name="Comma 2 7 2 3 4 2 2" xfId="9165"/>
    <cellStyle name="Comma 2 7 2 3 4 3" xfId="9164"/>
    <cellStyle name="Comma 2 7 2 3 4 4" xfId="5773"/>
    <cellStyle name="Comma 2 7 2 3 5" xfId="2019"/>
    <cellStyle name="Comma 2 7 2 3 5 2" xfId="9166"/>
    <cellStyle name="Comma 2 7 2 3 6" xfId="9157"/>
    <cellStyle name="Comma 2 7 2 3 7" xfId="5769"/>
    <cellStyle name="Comma 2 7 2 4" xfId="2020"/>
    <cellStyle name="Comma 2 7 2 4 2" xfId="2021"/>
    <cellStyle name="Comma 2 7 2 4 2 2" xfId="2022"/>
    <cellStyle name="Comma 2 7 2 4 2 2 2" xfId="2023"/>
    <cellStyle name="Comma 2 7 2 4 2 2 2 2" xfId="9170"/>
    <cellStyle name="Comma 2 7 2 4 2 2 3" xfId="9169"/>
    <cellStyle name="Comma 2 7 2 4 2 2 4" xfId="5776"/>
    <cellStyle name="Comma 2 7 2 4 2 3" xfId="2024"/>
    <cellStyle name="Comma 2 7 2 4 2 3 2" xfId="9171"/>
    <cellStyle name="Comma 2 7 2 4 2 4" xfId="9168"/>
    <cellStyle name="Comma 2 7 2 4 2 5" xfId="5775"/>
    <cellStyle name="Comma 2 7 2 4 3" xfId="2025"/>
    <cellStyle name="Comma 2 7 2 4 3 2" xfId="2026"/>
    <cellStyle name="Comma 2 7 2 4 3 2 2" xfId="9173"/>
    <cellStyle name="Comma 2 7 2 4 3 3" xfId="9172"/>
    <cellStyle name="Comma 2 7 2 4 3 4" xfId="5777"/>
    <cellStyle name="Comma 2 7 2 4 4" xfId="2027"/>
    <cellStyle name="Comma 2 7 2 4 4 2" xfId="2028"/>
    <cellStyle name="Comma 2 7 2 4 4 2 2" xfId="9175"/>
    <cellStyle name="Comma 2 7 2 4 4 3" xfId="9174"/>
    <cellStyle name="Comma 2 7 2 4 4 4" xfId="5778"/>
    <cellStyle name="Comma 2 7 2 4 5" xfId="2029"/>
    <cellStyle name="Comma 2 7 2 4 5 2" xfId="9176"/>
    <cellStyle name="Comma 2 7 2 4 6" xfId="9167"/>
    <cellStyle name="Comma 2 7 2 4 7" xfId="5774"/>
    <cellStyle name="Comma 2 7 2 5" xfId="2030"/>
    <cellStyle name="Comma 2 7 2 5 2" xfId="2031"/>
    <cellStyle name="Comma 2 7 2 5 2 2" xfId="2032"/>
    <cellStyle name="Comma 2 7 2 5 2 2 2" xfId="2033"/>
    <cellStyle name="Comma 2 7 2 5 2 2 2 2" xfId="9180"/>
    <cellStyle name="Comma 2 7 2 5 2 2 3" xfId="9179"/>
    <cellStyle name="Comma 2 7 2 5 2 2 4" xfId="5781"/>
    <cellStyle name="Comma 2 7 2 5 2 3" xfId="2034"/>
    <cellStyle name="Comma 2 7 2 5 2 3 2" xfId="9181"/>
    <cellStyle name="Comma 2 7 2 5 2 4" xfId="9178"/>
    <cellStyle name="Comma 2 7 2 5 2 5" xfId="5780"/>
    <cellStyle name="Comma 2 7 2 5 3" xfId="2035"/>
    <cellStyle name="Comma 2 7 2 5 3 2" xfId="2036"/>
    <cellStyle name="Comma 2 7 2 5 3 2 2" xfId="9183"/>
    <cellStyle name="Comma 2 7 2 5 3 3" xfId="9182"/>
    <cellStyle name="Comma 2 7 2 5 3 4" xfId="5782"/>
    <cellStyle name="Comma 2 7 2 5 4" xfId="2037"/>
    <cellStyle name="Comma 2 7 2 5 4 2" xfId="2038"/>
    <cellStyle name="Comma 2 7 2 5 4 2 2" xfId="9185"/>
    <cellStyle name="Comma 2 7 2 5 4 3" xfId="9184"/>
    <cellStyle name="Comma 2 7 2 5 4 4" xfId="5783"/>
    <cellStyle name="Comma 2 7 2 5 5" xfId="2039"/>
    <cellStyle name="Comma 2 7 2 5 5 2" xfId="9186"/>
    <cellStyle name="Comma 2 7 2 5 6" xfId="9177"/>
    <cellStyle name="Comma 2 7 2 5 7" xfId="5779"/>
    <cellStyle name="Comma 2 7 2 6" xfId="2040"/>
    <cellStyle name="Comma 2 7 2 6 2" xfId="2041"/>
    <cellStyle name="Comma 2 7 2 6 2 2" xfId="2042"/>
    <cellStyle name="Comma 2 7 2 6 2 2 2" xfId="9189"/>
    <cellStyle name="Comma 2 7 2 6 2 3" xfId="9188"/>
    <cellStyle name="Comma 2 7 2 6 2 4" xfId="5785"/>
    <cellStyle name="Comma 2 7 2 6 3" xfId="2043"/>
    <cellStyle name="Comma 2 7 2 6 3 2" xfId="2044"/>
    <cellStyle name="Comma 2 7 2 6 3 2 2" xfId="9191"/>
    <cellStyle name="Comma 2 7 2 6 3 3" xfId="9190"/>
    <cellStyle name="Comma 2 7 2 6 3 4" xfId="5786"/>
    <cellStyle name="Comma 2 7 2 6 4" xfId="2045"/>
    <cellStyle name="Comma 2 7 2 6 4 2" xfId="9192"/>
    <cellStyle name="Comma 2 7 2 6 5" xfId="9187"/>
    <cellStyle name="Comma 2 7 2 6 6" xfId="5784"/>
    <cellStyle name="Comma 2 7 2 7" xfId="2046"/>
    <cellStyle name="Comma 2 7 2 7 2" xfId="2047"/>
    <cellStyle name="Comma 2 7 2 7 2 2" xfId="2048"/>
    <cellStyle name="Comma 2 7 2 7 2 2 2" xfId="9195"/>
    <cellStyle name="Comma 2 7 2 7 2 3" xfId="9194"/>
    <cellStyle name="Comma 2 7 2 7 2 4" xfId="5788"/>
    <cellStyle name="Comma 2 7 2 7 3" xfId="2049"/>
    <cellStyle name="Comma 2 7 2 7 3 2" xfId="9196"/>
    <cellStyle name="Comma 2 7 2 7 4" xfId="9193"/>
    <cellStyle name="Comma 2 7 2 7 5" xfId="5787"/>
    <cellStyle name="Comma 2 7 2 8" xfId="2050"/>
    <cellStyle name="Comma 2 7 2 8 2" xfId="2051"/>
    <cellStyle name="Comma 2 7 2 8 2 2" xfId="9198"/>
    <cellStyle name="Comma 2 7 2 8 3" xfId="9197"/>
    <cellStyle name="Comma 2 7 2 8 4" xfId="5789"/>
    <cellStyle name="Comma 2 7 2 9" xfId="2052"/>
    <cellStyle name="Comma 2 7 2 9 2" xfId="2053"/>
    <cellStyle name="Comma 2 7 2 9 2 2" xfId="9200"/>
    <cellStyle name="Comma 2 7 2 9 3" xfId="9199"/>
    <cellStyle name="Comma 2 7 2 9 4" xfId="5790"/>
    <cellStyle name="Comma 2 7 3" xfId="2054"/>
    <cellStyle name="Comma 2 7 3 2" xfId="2055"/>
    <cellStyle name="Comma 2 7 3 2 2" xfId="2056"/>
    <cellStyle name="Comma 2 7 3 2 2 2" xfId="2057"/>
    <cellStyle name="Comma 2 7 3 2 2 2 2" xfId="9204"/>
    <cellStyle name="Comma 2 7 3 2 2 3" xfId="9203"/>
    <cellStyle name="Comma 2 7 3 2 2 4" xfId="5793"/>
    <cellStyle name="Comma 2 7 3 2 3" xfId="2058"/>
    <cellStyle name="Comma 2 7 3 2 3 2" xfId="9205"/>
    <cellStyle name="Comma 2 7 3 2 4" xfId="9202"/>
    <cellStyle name="Comma 2 7 3 2 5" xfId="5792"/>
    <cellStyle name="Comma 2 7 3 3" xfId="2059"/>
    <cellStyle name="Comma 2 7 3 3 2" xfId="2060"/>
    <cellStyle name="Comma 2 7 3 3 2 2" xfId="9207"/>
    <cellStyle name="Comma 2 7 3 3 3" xfId="9206"/>
    <cellStyle name="Comma 2 7 3 3 4" xfId="5794"/>
    <cellStyle name="Comma 2 7 3 4" xfId="2061"/>
    <cellStyle name="Comma 2 7 3 4 2" xfId="2062"/>
    <cellStyle name="Comma 2 7 3 4 2 2" xfId="9209"/>
    <cellStyle name="Comma 2 7 3 4 3" xfId="9208"/>
    <cellStyle name="Comma 2 7 3 4 4" xfId="5795"/>
    <cellStyle name="Comma 2 7 3 5" xfId="2063"/>
    <cellStyle name="Comma 2 7 3 5 2" xfId="9210"/>
    <cellStyle name="Comma 2 7 3 6" xfId="9201"/>
    <cellStyle name="Comma 2 7 3 7" xfId="5791"/>
    <cellStyle name="Comma 2 7 4" xfId="2064"/>
    <cellStyle name="Comma 2 7 4 2" xfId="2065"/>
    <cellStyle name="Comma 2 7 4 2 2" xfId="2066"/>
    <cellStyle name="Comma 2 7 4 2 2 2" xfId="2067"/>
    <cellStyle name="Comma 2 7 4 2 2 2 2" xfId="9214"/>
    <cellStyle name="Comma 2 7 4 2 2 3" xfId="9213"/>
    <cellStyle name="Comma 2 7 4 2 2 4" xfId="5798"/>
    <cellStyle name="Comma 2 7 4 2 3" xfId="2068"/>
    <cellStyle name="Comma 2 7 4 2 3 2" xfId="9215"/>
    <cellStyle name="Comma 2 7 4 2 4" xfId="9212"/>
    <cellStyle name="Comma 2 7 4 2 5" xfId="5797"/>
    <cellStyle name="Comma 2 7 4 3" xfId="2069"/>
    <cellStyle name="Comma 2 7 4 3 2" xfId="2070"/>
    <cellStyle name="Comma 2 7 4 3 2 2" xfId="9217"/>
    <cellStyle name="Comma 2 7 4 3 3" xfId="9216"/>
    <cellStyle name="Comma 2 7 4 3 4" xfId="5799"/>
    <cellStyle name="Comma 2 7 4 4" xfId="2071"/>
    <cellStyle name="Comma 2 7 4 4 2" xfId="2072"/>
    <cellStyle name="Comma 2 7 4 4 2 2" xfId="9219"/>
    <cellStyle name="Comma 2 7 4 4 3" xfId="9218"/>
    <cellStyle name="Comma 2 7 4 4 4" xfId="5800"/>
    <cellStyle name="Comma 2 7 4 5" xfId="2073"/>
    <cellStyle name="Comma 2 7 4 5 2" xfId="9220"/>
    <cellStyle name="Comma 2 7 4 6" xfId="9211"/>
    <cellStyle name="Comma 2 7 4 7" xfId="5796"/>
    <cellStyle name="Comma 2 7 5" xfId="2074"/>
    <cellStyle name="Comma 2 7 5 2" xfId="2075"/>
    <cellStyle name="Comma 2 7 5 2 2" xfId="2076"/>
    <cellStyle name="Comma 2 7 5 2 2 2" xfId="2077"/>
    <cellStyle name="Comma 2 7 5 2 2 2 2" xfId="9224"/>
    <cellStyle name="Comma 2 7 5 2 2 3" xfId="9223"/>
    <cellStyle name="Comma 2 7 5 2 2 4" xfId="5803"/>
    <cellStyle name="Comma 2 7 5 2 3" xfId="2078"/>
    <cellStyle name="Comma 2 7 5 2 3 2" xfId="9225"/>
    <cellStyle name="Comma 2 7 5 2 4" xfId="9222"/>
    <cellStyle name="Comma 2 7 5 2 5" xfId="5802"/>
    <cellStyle name="Comma 2 7 5 3" xfId="2079"/>
    <cellStyle name="Comma 2 7 5 3 2" xfId="2080"/>
    <cellStyle name="Comma 2 7 5 3 2 2" xfId="9227"/>
    <cellStyle name="Comma 2 7 5 3 3" xfId="9226"/>
    <cellStyle name="Comma 2 7 5 3 4" xfId="5804"/>
    <cellStyle name="Comma 2 7 5 4" xfId="2081"/>
    <cellStyle name="Comma 2 7 5 4 2" xfId="2082"/>
    <cellStyle name="Comma 2 7 5 4 2 2" xfId="9229"/>
    <cellStyle name="Comma 2 7 5 4 3" xfId="9228"/>
    <cellStyle name="Comma 2 7 5 4 4" xfId="5805"/>
    <cellStyle name="Comma 2 7 5 5" xfId="2083"/>
    <cellStyle name="Comma 2 7 5 5 2" xfId="9230"/>
    <cellStyle name="Comma 2 7 5 6" xfId="9221"/>
    <cellStyle name="Comma 2 7 5 7" xfId="5801"/>
    <cellStyle name="Comma 2 7 6" xfId="2084"/>
    <cellStyle name="Comma 2 7 6 2" xfId="2085"/>
    <cellStyle name="Comma 2 7 6 2 2" xfId="2086"/>
    <cellStyle name="Comma 2 7 6 2 2 2" xfId="2087"/>
    <cellStyle name="Comma 2 7 6 2 2 2 2" xfId="9234"/>
    <cellStyle name="Comma 2 7 6 2 2 3" xfId="9233"/>
    <cellStyle name="Comma 2 7 6 2 2 4" xfId="5808"/>
    <cellStyle name="Comma 2 7 6 2 3" xfId="2088"/>
    <cellStyle name="Comma 2 7 6 2 3 2" xfId="9235"/>
    <cellStyle name="Comma 2 7 6 2 4" xfId="9232"/>
    <cellStyle name="Comma 2 7 6 2 5" xfId="5807"/>
    <cellStyle name="Comma 2 7 6 3" xfId="2089"/>
    <cellStyle name="Comma 2 7 6 3 2" xfId="2090"/>
    <cellStyle name="Comma 2 7 6 3 2 2" xfId="9237"/>
    <cellStyle name="Comma 2 7 6 3 3" xfId="9236"/>
    <cellStyle name="Comma 2 7 6 3 4" xfId="5809"/>
    <cellStyle name="Comma 2 7 6 4" xfId="2091"/>
    <cellStyle name="Comma 2 7 6 4 2" xfId="2092"/>
    <cellStyle name="Comma 2 7 6 4 2 2" xfId="9239"/>
    <cellStyle name="Comma 2 7 6 4 3" xfId="9238"/>
    <cellStyle name="Comma 2 7 6 4 4" xfId="5810"/>
    <cellStyle name="Comma 2 7 6 5" xfId="2093"/>
    <cellStyle name="Comma 2 7 6 5 2" xfId="9240"/>
    <cellStyle name="Comma 2 7 6 6" xfId="9231"/>
    <cellStyle name="Comma 2 7 6 7" xfId="5806"/>
    <cellStyle name="Comma 2 7 7" xfId="2094"/>
    <cellStyle name="Comma 2 7 7 2" xfId="2095"/>
    <cellStyle name="Comma 2 7 7 2 2" xfId="2096"/>
    <cellStyle name="Comma 2 7 7 2 2 2" xfId="9243"/>
    <cellStyle name="Comma 2 7 7 2 3" xfId="9242"/>
    <cellStyle name="Comma 2 7 7 2 4" xfId="5812"/>
    <cellStyle name="Comma 2 7 7 3" xfId="2097"/>
    <cellStyle name="Comma 2 7 7 3 2" xfId="2098"/>
    <cellStyle name="Comma 2 7 7 3 2 2" xfId="9245"/>
    <cellStyle name="Comma 2 7 7 3 3" xfId="9244"/>
    <cellStyle name="Comma 2 7 7 3 4" xfId="5813"/>
    <cellStyle name="Comma 2 7 7 4" xfId="2099"/>
    <cellStyle name="Comma 2 7 7 4 2" xfId="9246"/>
    <cellStyle name="Comma 2 7 7 5" xfId="9241"/>
    <cellStyle name="Comma 2 7 7 6" xfId="5811"/>
    <cellStyle name="Comma 2 7 8" xfId="2100"/>
    <cellStyle name="Comma 2 7 8 2" xfId="2101"/>
    <cellStyle name="Comma 2 7 8 2 2" xfId="2102"/>
    <cellStyle name="Comma 2 7 8 2 2 2" xfId="9249"/>
    <cellStyle name="Comma 2 7 8 2 3" xfId="9248"/>
    <cellStyle name="Comma 2 7 8 2 4" xfId="5815"/>
    <cellStyle name="Comma 2 7 8 3" xfId="2103"/>
    <cellStyle name="Comma 2 7 8 3 2" xfId="9250"/>
    <cellStyle name="Comma 2 7 8 4" xfId="9247"/>
    <cellStyle name="Comma 2 7 8 5" xfId="5814"/>
    <cellStyle name="Comma 2 7 9" xfId="2104"/>
    <cellStyle name="Comma 2 7 9 2" xfId="2105"/>
    <cellStyle name="Comma 2 7 9 2 2" xfId="9252"/>
    <cellStyle name="Comma 2 7 9 3" xfId="9251"/>
    <cellStyle name="Comma 2 7 9 4" xfId="5816"/>
    <cellStyle name="Comma 2 8" xfId="2106"/>
    <cellStyle name="Comma 2 8 10" xfId="2107"/>
    <cellStyle name="Comma 2 8 10 2" xfId="2108"/>
    <cellStyle name="Comma 2 8 10 2 2" xfId="9255"/>
    <cellStyle name="Comma 2 8 10 3" xfId="9254"/>
    <cellStyle name="Comma 2 8 10 4" xfId="5818"/>
    <cellStyle name="Comma 2 8 11" xfId="2109"/>
    <cellStyle name="Comma 2 8 11 2" xfId="9256"/>
    <cellStyle name="Comma 2 8 12" xfId="9253"/>
    <cellStyle name="Comma 2 8 13" xfId="5817"/>
    <cellStyle name="Comma 2 8 2" xfId="2110"/>
    <cellStyle name="Comma 2 8 2 10" xfId="2111"/>
    <cellStyle name="Comma 2 8 2 10 2" xfId="9258"/>
    <cellStyle name="Comma 2 8 2 11" xfId="9257"/>
    <cellStyle name="Comma 2 8 2 12" xfId="5819"/>
    <cellStyle name="Comma 2 8 2 2" xfId="2112"/>
    <cellStyle name="Comma 2 8 2 2 2" xfId="2113"/>
    <cellStyle name="Comma 2 8 2 2 2 2" xfId="2114"/>
    <cellStyle name="Comma 2 8 2 2 2 2 2" xfId="2115"/>
    <cellStyle name="Comma 2 8 2 2 2 2 2 2" xfId="9262"/>
    <cellStyle name="Comma 2 8 2 2 2 2 3" xfId="9261"/>
    <cellStyle name="Comma 2 8 2 2 2 2 4" xfId="5822"/>
    <cellStyle name="Comma 2 8 2 2 2 3" xfId="2116"/>
    <cellStyle name="Comma 2 8 2 2 2 3 2" xfId="9263"/>
    <cellStyle name="Comma 2 8 2 2 2 4" xfId="9260"/>
    <cellStyle name="Comma 2 8 2 2 2 5" xfId="5821"/>
    <cellStyle name="Comma 2 8 2 2 3" xfId="2117"/>
    <cellStyle name="Comma 2 8 2 2 3 2" xfId="2118"/>
    <cellStyle name="Comma 2 8 2 2 3 2 2" xfId="9265"/>
    <cellStyle name="Comma 2 8 2 2 3 3" xfId="9264"/>
    <cellStyle name="Comma 2 8 2 2 3 4" xfId="5823"/>
    <cellStyle name="Comma 2 8 2 2 4" xfId="2119"/>
    <cellStyle name="Comma 2 8 2 2 4 2" xfId="2120"/>
    <cellStyle name="Comma 2 8 2 2 4 2 2" xfId="9267"/>
    <cellStyle name="Comma 2 8 2 2 4 3" xfId="9266"/>
    <cellStyle name="Comma 2 8 2 2 4 4" xfId="5824"/>
    <cellStyle name="Comma 2 8 2 2 5" xfId="2121"/>
    <cellStyle name="Comma 2 8 2 2 5 2" xfId="9268"/>
    <cellStyle name="Comma 2 8 2 2 6" xfId="9259"/>
    <cellStyle name="Comma 2 8 2 2 7" xfId="5820"/>
    <cellStyle name="Comma 2 8 2 3" xfId="2122"/>
    <cellStyle name="Comma 2 8 2 3 2" xfId="2123"/>
    <cellStyle name="Comma 2 8 2 3 2 2" xfId="2124"/>
    <cellStyle name="Comma 2 8 2 3 2 2 2" xfId="2125"/>
    <cellStyle name="Comma 2 8 2 3 2 2 2 2" xfId="9272"/>
    <cellStyle name="Comma 2 8 2 3 2 2 3" xfId="9271"/>
    <cellStyle name="Comma 2 8 2 3 2 2 4" xfId="5827"/>
    <cellStyle name="Comma 2 8 2 3 2 3" xfId="2126"/>
    <cellStyle name="Comma 2 8 2 3 2 3 2" xfId="9273"/>
    <cellStyle name="Comma 2 8 2 3 2 4" xfId="9270"/>
    <cellStyle name="Comma 2 8 2 3 2 5" xfId="5826"/>
    <cellStyle name="Comma 2 8 2 3 3" xfId="2127"/>
    <cellStyle name="Comma 2 8 2 3 3 2" xfId="2128"/>
    <cellStyle name="Comma 2 8 2 3 3 2 2" xfId="9275"/>
    <cellStyle name="Comma 2 8 2 3 3 3" xfId="9274"/>
    <cellStyle name="Comma 2 8 2 3 3 4" xfId="5828"/>
    <cellStyle name="Comma 2 8 2 3 4" xfId="2129"/>
    <cellStyle name="Comma 2 8 2 3 4 2" xfId="2130"/>
    <cellStyle name="Comma 2 8 2 3 4 2 2" xfId="9277"/>
    <cellStyle name="Comma 2 8 2 3 4 3" xfId="9276"/>
    <cellStyle name="Comma 2 8 2 3 4 4" xfId="5829"/>
    <cellStyle name="Comma 2 8 2 3 5" xfId="2131"/>
    <cellStyle name="Comma 2 8 2 3 5 2" xfId="9278"/>
    <cellStyle name="Comma 2 8 2 3 6" xfId="9269"/>
    <cellStyle name="Comma 2 8 2 3 7" xfId="5825"/>
    <cellStyle name="Comma 2 8 2 4" xfId="2132"/>
    <cellStyle name="Comma 2 8 2 4 2" xfId="2133"/>
    <cellStyle name="Comma 2 8 2 4 2 2" xfId="2134"/>
    <cellStyle name="Comma 2 8 2 4 2 2 2" xfId="2135"/>
    <cellStyle name="Comma 2 8 2 4 2 2 2 2" xfId="9282"/>
    <cellStyle name="Comma 2 8 2 4 2 2 3" xfId="9281"/>
    <cellStyle name="Comma 2 8 2 4 2 2 4" xfId="5832"/>
    <cellStyle name="Comma 2 8 2 4 2 3" xfId="2136"/>
    <cellStyle name="Comma 2 8 2 4 2 3 2" xfId="9283"/>
    <cellStyle name="Comma 2 8 2 4 2 4" xfId="9280"/>
    <cellStyle name="Comma 2 8 2 4 2 5" xfId="5831"/>
    <cellStyle name="Comma 2 8 2 4 3" xfId="2137"/>
    <cellStyle name="Comma 2 8 2 4 3 2" xfId="2138"/>
    <cellStyle name="Comma 2 8 2 4 3 2 2" xfId="9285"/>
    <cellStyle name="Comma 2 8 2 4 3 3" xfId="9284"/>
    <cellStyle name="Comma 2 8 2 4 3 4" xfId="5833"/>
    <cellStyle name="Comma 2 8 2 4 4" xfId="2139"/>
    <cellStyle name="Comma 2 8 2 4 4 2" xfId="2140"/>
    <cellStyle name="Comma 2 8 2 4 4 2 2" xfId="9287"/>
    <cellStyle name="Comma 2 8 2 4 4 3" xfId="9286"/>
    <cellStyle name="Comma 2 8 2 4 4 4" xfId="5834"/>
    <cellStyle name="Comma 2 8 2 4 5" xfId="2141"/>
    <cellStyle name="Comma 2 8 2 4 5 2" xfId="9288"/>
    <cellStyle name="Comma 2 8 2 4 6" xfId="9279"/>
    <cellStyle name="Comma 2 8 2 4 7" xfId="5830"/>
    <cellStyle name="Comma 2 8 2 5" xfId="2142"/>
    <cellStyle name="Comma 2 8 2 5 2" xfId="2143"/>
    <cellStyle name="Comma 2 8 2 5 2 2" xfId="2144"/>
    <cellStyle name="Comma 2 8 2 5 2 2 2" xfId="2145"/>
    <cellStyle name="Comma 2 8 2 5 2 2 2 2" xfId="9292"/>
    <cellStyle name="Comma 2 8 2 5 2 2 3" xfId="9291"/>
    <cellStyle name="Comma 2 8 2 5 2 2 4" xfId="5837"/>
    <cellStyle name="Comma 2 8 2 5 2 3" xfId="2146"/>
    <cellStyle name="Comma 2 8 2 5 2 3 2" xfId="9293"/>
    <cellStyle name="Comma 2 8 2 5 2 4" xfId="9290"/>
    <cellStyle name="Comma 2 8 2 5 2 5" xfId="5836"/>
    <cellStyle name="Comma 2 8 2 5 3" xfId="2147"/>
    <cellStyle name="Comma 2 8 2 5 3 2" xfId="2148"/>
    <cellStyle name="Comma 2 8 2 5 3 2 2" xfId="9295"/>
    <cellStyle name="Comma 2 8 2 5 3 3" xfId="9294"/>
    <cellStyle name="Comma 2 8 2 5 3 4" xfId="5838"/>
    <cellStyle name="Comma 2 8 2 5 4" xfId="2149"/>
    <cellStyle name="Comma 2 8 2 5 4 2" xfId="2150"/>
    <cellStyle name="Comma 2 8 2 5 4 2 2" xfId="9297"/>
    <cellStyle name="Comma 2 8 2 5 4 3" xfId="9296"/>
    <cellStyle name="Comma 2 8 2 5 4 4" xfId="5839"/>
    <cellStyle name="Comma 2 8 2 5 5" xfId="2151"/>
    <cellStyle name="Comma 2 8 2 5 5 2" xfId="9298"/>
    <cellStyle name="Comma 2 8 2 5 6" xfId="9289"/>
    <cellStyle name="Comma 2 8 2 5 7" xfId="5835"/>
    <cellStyle name="Comma 2 8 2 6" xfId="2152"/>
    <cellStyle name="Comma 2 8 2 6 2" xfId="2153"/>
    <cellStyle name="Comma 2 8 2 6 2 2" xfId="2154"/>
    <cellStyle name="Comma 2 8 2 6 2 2 2" xfId="9301"/>
    <cellStyle name="Comma 2 8 2 6 2 3" xfId="9300"/>
    <cellStyle name="Comma 2 8 2 6 2 4" xfId="5841"/>
    <cellStyle name="Comma 2 8 2 6 3" xfId="2155"/>
    <cellStyle name="Comma 2 8 2 6 3 2" xfId="2156"/>
    <cellStyle name="Comma 2 8 2 6 3 2 2" xfId="9303"/>
    <cellStyle name="Comma 2 8 2 6 3 3" xfId="9302"/>
    <cellStyle name="Comma 2 8 2 6 3 4" xfId="5842"/>
    <cellStyle name="Comma 2 8 2 6 4" xfId="2157"/>
    <cellStyle name="Comma 2 8 2 6 4 2" xfId="9304"/>
    <cellStyle name="Comma 2 8 2 6 5" xfId="9299"/>
    <cellStyle name="Comma 2 8 2 6 6" xfId="5840"/>
    <cellStyle name="Comma 2 8 2 7" xfId="2158"/>
    <cellStyle name="Comma 2 8 2 7 2" xfId="2159"/>
    <cellStyle name="Comma 2 8 2 7 2 2" xfId="2160"/>
    <cellStyle name="Comma 2 8 2 7 2 2 2" xfId="9307"/>
    <cellStyle name="Comma 2 8 2 7 2 3" xfId="9306"/>
    <cellStyle name="Comma 2 8 2 7 2 4" xfId="5844"/>
    <cellStyle name="Comma 2 8 2 7 3" xfId="2161"/>
    <cellStyle name="Comma 2 8 2 7 3 2" xfId="9308"/>
    <cellStyle name="Comma 2 8 2 7 4" xfId="9305"/>
    <cellStyle name="Comma 2 8 2 7 5" xfId="5843"/>
    <cellStyle name="Comma 2 8 2 8" xfId="2162"/>
    <cellStyle name="Comma 2 8 2 8 2" xfId="2163"/>
    <cellStyle name="Comma 2 8 2 8 2 2" xfId="9310"/>
    <cellStyle name="Comma 2 8 2 8 3" xfId="9309"/>
    <cellStyle name="Comma 2 8 2 8 4" xfId="5845"/>
    <cellStyle name="Comma 2 8 2 9" xfId="2164"/>
    <cellStyle name="Comma 2 8 2 9 2" xfId="2165"/>
    <cellStyle name="Comma 2 8 2 9 2 2" xfId="9312"/>
    <cellStyle name="Comma 2 8 2 9 3" xfId="9311"/>
    <cellStyle name="Comma 2 8 2 9 4" xfId="5846"/>
    <cellStyle name="Comma 2 8 3" xfId="2166"/>
    <cellStyle name="Comma 2 8 3 2" xfId="2167"/>
    <cellStyle name="Comma 2 8 3 2 2" xfId="2168"/>
    <cellStyle name="Comma 2 8 3 2 2 2" xfId="2169"/>
    <cellStyle name="Comma 2 8 3 2 2 2 2" xfId="9316"/>
    <cellStyle name="Comma 2 8 3 2 2 3" xfId="9315"/>
    <cellStyle name="Comma 2 8 3 2 2 4" xfId="5849"/>
    <cellStyle name="Comma 2 8 3 2 3" xfId="2170"/>
    <cellStyle name="Comma 2 8 3 2 3 2" xfId="9317"/>
    <cellStyle name="Comma 2 8 3 2 4" xfId="9314"/>
    <cellStyle name="Comma 2 8 3 2 5" xfId="5848"/>
    <cellStyle name="Comma 2 8 3 3" xfId="2171"/>
    <cellStyle name="Comma 2 8 3 3 2" xfId="2172"/>
    <cellStyle name="Comma 2 8 3 3 2 2" xfId="9319"/>
    <cellStyle name="Comma 2 8 3 3 3" xfId="9318"/>
    <cellStyle name="Comma 2 8 3 3 4" xfId="5850"/>
    <cellStyle name="Comma 2 8 3 4" xfId="2173"/>
    <cellStyle name="Comma 2 8 3 4 2" xfId="2174"/>
    <cellStyle name="Comma 2 8 3 4 2 2" xfId="9321"/>
    <cellStyle name="Comma 2 8 3 4 3" xfId="9320"/>
    <cellStyle name="Comma 2 8 3 4 4" xfId="5851"/>
    <cellStyle name="Comma 2 8 3 5" xfId="2175"/>
    <cellStyle name="Comma 2 8 3 5 2" xfId="9322"/>
    <cellStyle name="Comma 2 8 3 6" xfId="9313"/>
    <cellStyle name="Comma 2 8 3 7" xfId="5847"/>
    <cellStyle name="Comma 2 8 4" xfId="2176"/>
    <cellStyle name="Comma 2 8 4 2" xfId="2177"/>
    <cellStyle name="Comma 2 8 4 2 2" xfId="2178"/>
    <cellStyle name="Comma 2 8 4 2 2 2" xfId="2179"/>
    <cellStyle name="Comma 2 8 4 2 2 2 2" xfId="9326"/>
    <cellStyle name="Comma 2 8 4 2 2 3" xfId="9325"/>
    <cellStyle name="Comma 2 8 4 2 2 4" xfId="5854"/>
    <cellStyle name="Comma 2 8 4 2 3" xfId="2180"/>
    <cellStyle name="Comma 2 8 4 2 3 2" xfId="9327"/>
    <cellStyle name="Comma 2 8 4 2 4" xfId="9324"/>
    <cellStyle name="Comma 2 8 4 2 5" xfId="5853"/>
    <cellStyle name="Comma 2 8 4 3" xfId="2181"/>
    <cellStyle name="Comma 2 8 4 3 2" xfId="2182"/>
    <cellStyle name="Comma 2 8 4 3 2 2" xfId="9329"/>
    <cellStyle name="Comma 2 8 4 3 3" xfId="9328"/>
    <cellStyle name="Comma 2 8 4 3 4" xfId="5855"/>
    <cellStyle name="Comma 2 8 4 4" xfId="2183"/>
    <cellStyle name="Comma 2 8 4 4 2" xfId="2184"/>
    <cellStyle name="Comma 2 8 4 4 2 2" xfId="9331"/>
    <cellStyle name="Comma 2 8 4 4 3" xfId="9330"/>
    <cellStyle name="Comma 2 8 4 4 4" xfId="5856"/>
    <cellStyle name="Comma 2 8 4 5" xfId="2185"/>
    <cellStyle name="Comma 2 8 4 5 2" xfId="9332"/>
    <cellStyle name="Comma 2 8 4 6" xfId="9323"/>
    <cellStyle name="Comma 2 8 4 7" xfId="5852"/>
    <cellStyle name="Comma 2 8 5" xfId="2186"/>
    <cellStyle name="Comma 2 8 5 2" xfId="2187"/>
    <cellStyle name="Comma 2 8 5 2 2" xfId="2188"/>
    <cellStyle name="Comma 2 8 5 2 2 2" xfId="2189"/>
    <cellStyle name="Comma 2 8 5 2 2 2 2" xfId="9336"/>
    <cellStyle name="Comma 2 8 5 2 2 3" xfId="9335"/>
    <cellStyle name="Comma 2 8 5 2 2 4" xfId="5859"/>
    <cellStyle name="Comma 2 8 5 2 3" xfId="2190"/>
    <cellStyle name="Comma 2 8 5 2 3 2" xfId="9337"/>
    <cellStyle name="Comma 2 8 5 2 4" xfId="9334"/>
    <cellStyle name="Comma 2 8 5 2 5" xfId="5858"/>
    <cellStyle name="Comma 2 8 5 3" xfId="2191"/>
    <cellStyle name="Comma 2 8 5 3 2" xfId="2192"/>
    <cellStyle name="Comma 2 8 5 3 2 2" xfId="9339"/>
    <cellStyle name="Comma 2 8 5 3 3" xfId="9338"/>
    <cellStyle name="Comma 2 8 5 3 4" xfId="5860"/>
    <cellStyle name="Comma 2 8 5 4" xfId="2193"/>
    <cellStyle name="Comma 2 8 5 4 2" xfId="2194"/>
    <cellStyle name="Comma 2 8 5 4 2 2" xfId="9341"/>
    <cellStyle name="Comma 2 8 5 4 3" xfId="9340"/>
    <cellStyle name="Comma 2 8 5 4 4" xfId="5861"/>
    <cellStyle name="Comma 2 8 5 5" xfId="2195"/>
    <cellStyle name="Comma 2 8 5 5 2" xfId="9342"/>
    <cellStyle name="Comma 2 8 5 6" xfId="9333"/>
    <cellStyle name="Comma 2 8 5 7" xfId="5857"/>
    <cellStyle name="Comma 2 8 6" xfId="2196"/>
    <cellStyle name="Comma 2 8 6 2" xfId="2197"/>
    <cellStyle name="Comma 2 8 6 2 2" xfId="2198"/>
    <cellStyle name="Comma 2 8 6 2 2 2" xfId="2199"/>
    <cellStyle name="Comma 2 8 6 2 2 2 2" xfId="9346"/>
    <cellStyle name="Comma 2 8 6 2 2 3" xfId="9345"/>
    <cellStyle name="Comma 2 8 6 2 2 4" xfId="5864"/>
    <cellStyle name="Comma 2 8 6 2 3" xfId="2200"/>
    <cellStyle name="Comma 2 8 6 2 3 2" xfId="9347"/>
    <cellStyle name="Comma 2 8 6 2 4" xfId="9344"/>
    <cellStyle name="Comma 2 8 6 2 5" xfId="5863"/>
    <cellStyle name="Comma 2 8 6 3" xfId="2201"/>
    <cellStyle name="Comma 2 8 6 3 2" xfId="2202"/>
    <cellStyle name="Comma 2 8 6 3 2 2" xfId="9349"/>
    <cellStyle name="Comma 2 8 6 3 3" xfId="9348"/>
    <cellStyle name="Comma 2 8 6 3 4" xfId="5865"/>
    <cellStyle name="Comma 2 8 6 4" xfId="2203"/>
    <cellStyle name="Comma 2 8 6 4 2" xfId="2204"/>
    <cellStyle name="Comma 2 8 6 4 2 2" xfId="9351"/>
    <cellStyle name="Comma 2 8 6 4 3" xfId="9350"/>
    <cellStyle name="Comma 2 8 6 4 4" xfId="5866"/>
    <cellStyle name="Comma 2 8 6 5" xfId="2205"/>
    <cellStyle name="Comma 2 8 6 5 2" xfId="9352"/>
    <cellStyle name="Comma 2 8 6 6" xfId="9343"/>
    <cellStyle name="Comma 2 8 6 7" xfId="5862"/>
    <cellStyle name="Comma 2 8 7" xfId="2206"/>
    <cellStyle name="Comma 2 8 7 2" xfId="2207"/>
    <cellStyle name="Comma 2 8 7 2 2" xfId="2208"/>
    <cellStyle name="Comma 2 8 7 2 2 2" xfId="9355"/>
    <cellStyle name="Comma 2 8 7 2 3" xfId="9354"/>
    <cellStyle name="Comma 2 8 7 2 4" xfId="5868"/>
    <cellStyle name="Comma 2 8 7 3" xfId="2209"/>
    <cellStyle name="Comma 2 8 7 3 2" xfId="2210"/>
    <cellStyle name="Comma 2 8 7 3 2 2" xfId="9357"/>
    <cellStyle name="Comma 2 8 7 3 3" xfId="9356"/>
    <cellStyle name="Comma 2 8 7 3 4" xfId="5869"/>
    <cellStyle name="Comma 2 8 7 4" xfId="2211"/>
    <cellStyle name="Comma 2 8 7 4 2" xfId="9358"/>
    <cellStyle name="Comma 2 8 7 5" xfId="9353"/>
    <cellStyle name="Comma 2 8 7 6" xfId="5867"/>
    <cellStyle name="Comma 2 8 8" xfId="2212"/>
    <cellStyle name="Comma 2 8 8 2" xfId="2213"/>
    <cellStyle name="Comma 2 8 8 2 2" xfId="2214"/>
    <cellStyle name="Comma 2 8 8 2 2 2" xfId="9361"/>
    <cellStyle name="Comma 2 8 8 2 3" xfId="9360"/>
    <cellStyle name="Comma 2 8 8 2 4" xfId="5871"/>
    <cellStyle name="Comma 2 8 8 3" xfId="2215"/>
    <cellStyle name="Comma 2 8 8 3 2" xfId="9362"/>
    <cellStyle name="Comma 2 8 8 4" xfId="9359"/>
    <cellStyle name="Comma 2 8 8 5" xfId="5870"/>
    <cellStyle name="Comma 2 8 9" xfId="2216"/>
    <cellStyle name="Comma 2 8 9 2" xfId="2217"/>
    <cellStyle name="Comma 2 8 9 2 2" xfId="9364"/>
    <cellStyle name="Comma 2 8 9 3" xfId="9363"/>
    <cellStyle name="Comma 2 8 9 4" xfId="5872"/>
    <cellStyle name="Comma 2 9" xfId="2218"/>
    <cellStyle name="Comma 2 9 10" xfId="2219"/>
    <cellStyle name="Comma 2 9 10 2" xfId="9366"/>
    <cellStyle name="Comma 2 9 11" xfId="9365"/>
    <cellStyle name="Comma 2 9 12" xfId="5873"/>
    <cellStyle name="Comma 2 9 2" xfId="2220"/>
    <cellStyle name="Comma 2 9 2 2" xfId="2221"/>
    <cellStyle name="Comma 2 9 2 2 2" xfId="2222"/>
    <cellStyle name="Comma 2 9 2 2 2 2" xfId="2223"/>
    <cellStyle name="Comma 2 9 2 2 2 2 2" xfId="9370"/>
    <cellStyle name="Comma 2 9 2 2 2 3" xfId="9369"/>
    <cellStyle name="Comma 2 9 2 2 2 4" xfId="5876"/>
    <cellStyle name="Comma 2 9 2 2 3" xfId="2224"/>
    <cellStyle name="Comma 2 9 2 2 3 2" xfId="9371"/>
    <cellStyle name="Comma 2 9 2 2 4" xfId="9368"/>
    <cellStyle name="Comma 2 9 2 2 5" xfId="5875"/>
    <cellStyle name="Comma 2 9 2 3" xfId="2225"/>
    <cellStyle name="Comma 2 9 2 3 2" xfId="2226"/>
    <cellStyle name="Comma 2 9 2 3 2 2" xfId="9373"/>
    <cellStyle name="Comma 2 9 2 3 3" xfId="9372"/>
    <cellStyle name="Comma 2 9 2 3 4" xfId="5877"/>
    <cellStyle name="Comma 2 9 2 4" xfId="2227"/>
    <cellStyle name="Comma 2 9 2 4 2" xfId="2228"/>
    <cellStyle name="Comma 2 9 2 4 2 2" xfId="9375"/>
    <cellStyle name="Comma 2 9 2 4 3" xfId="9374"/>
    <cellStyle name="Comma 2 9 2 4 4" xfId="5878"/>
    <cellStyle name="Comma 2 9 2 5" xfId="2229"/>
    <cellStyle name="Comma 2 9 2 5 2" xfId="9376"/>
    <cellStyle name="Comma 2 9 2 6" xfId="9367"/>
    <cellStyle name="Comma 2 9 2 7" xfId="5874"/>
    <cellStyle name="Comma 2 9 3" xfId="2230"/>
    <cellStyle name="Comma 2 9 3 2" xfId="2231"/>
    <cellStyle name="Comma 2 9 3 2 2" xfId="2232"/>
    <cellStyle name="Comma 2 9 3 2 2 2" xfId="2233"/>
    <cellStyle name="Comma 2 9 3 2 2 2 2" xfId="9380"/>
    <cellStyle name="Comma 2 9 3 2 2 3" xfId="9379"/>
    <cellStyle name="Comma 2 9 3 2 2 4" xfId="5881"/>
    <cellStyle name="Comma 2 9 3 2 3" xfId="2234"/>
    <cellStyle name="Comma 2 9 3 2 3 2" xfId="9381"/>
    <cellStyle name="Comma 2 9 3 2 4" xfId="9378"/>
    <cellStyle name="Comma 2 9 3 2 5" xfId="5880"/>
    <cellStyle name="Comma 2 9 3 3" xfId="2235"/>
    <cellStyle name="Comma 2 9 3 3 2" xfId="2236"/>
    <cellStyle name="Comma 2 9 3 3 2 2" xfId="9383"/>
    <cellStyle name="Comma 2 9 3 3 3" xfId="9382"/>
    <cellStyle name="Comma 2 9 3 3 4" xfId="5882"/>
    <cellStyle name="Comma 2 9 3 4" xfId="2237"/>
    <cellStyle name="Comma 2 9 3 4 2" xfId="2238"/>
    <cellStyle name="Comma 2 9 3 4 2 2" xfId="9385"/>
    <cellStyle name="Comma 2 9 3 4 3" xfId="9384"/>
    <cellStyle name="Comma 2 9 3 4 4" xfId="5883"/>
    <cellStyle name="Comma 2 9 3 5" xfId="2239"/>
    <cellStyle name="Comma 2 9 3 5 2" xfId="9386"/>
    <cellStyle name="Comma 2 9 3 6" xfId="9377"/>
    <cellStyle name="Comma 2 9 3 7" xfId="5879"/>
    <cellStyle name="Comma 2 9 4" xfId="2240"/>
    <cellStyle name="Comma 2 9 4 2" xfId="2241"/>
    <cellStyle name="Comma 2 9 4 2 2" xfId="2242"/>
    <cellStyle name="Comma 2 9 4 2 2 2" xfId="2243"/>
    <cellStyle name="Comma 2 9 4 2 2 2 2" xfId="9390"/>
    <cellStyle name="Comma 2 9 4 2 2 3" xfId="9389"/>
    <cellStyle name="Comma 2 9 4 2 2 4" xfId="5886"/>
    <cellStyle name="Comma 2 9 4 2 3" xfId="2244"/>
    <cellStyle name="Comma 2 9 4 2 3 2" xfId="9391"/>
    <cellStyle name="Comma 2 9 4 2 4" xfId="9388"/>
    <cellStyle name="Comma 2 9 4 2 5" xfId="5885"/>
    <cellStyle name="Comma 2 9 4 3" xfId="2245"/>
    <cellStyle name="Comma 2 9 4 3 2" xfId="2246"/>
    <cellStyle name="Comma 2 9 4 3 2 2" xfId="9393"/>
    <cellStyle name="Comma 2 9 4 3 3" xfId="9392"/>
    <cellStyle name="Comma 2 9 4 3 4" xfId="5887"/>
    <cellStyle name="Comma 2 9 4 4" xfId="2247"/>
    <cellStyle name="Comma 2 9 4 4 2" xfId="2248"/>
    <cellStyle name="Comma 2 9 4 4 2 2" xfId="9395"/>
    <cellStyle name="Comma 2 9 4 4 3" xfId="9394"/>
    <cellStyle name="Comma 2 9 4 4 4" xfId="5888"/>
    <cellStyle name="Comma 2 9 4 5" xfId="2249"/>
    <cellStyle name="Comma 2 9 4 5 2" xfId="9396"/>
    <cellStyle name="Comma 2 9 4 6" xfId="9387"/>
    <cellStyle name="Comma 2 9 4 7" xfId="5884"/>
    <cellStyle name="Comma 2 9 5" xfId="2250"/>
    <cellStyle name="Comma 2 9 5 2" xfId="2251"/>
    <cellStyle name="Comma 2 9 5 2 2" xfId="2252"/>
    <cellStyle name="Comma 2 9 5 2 2 2" xfId="2253"/>
    <cellStyle name="Comma 2 9 5 2 2 2 2" xfId="9400"/>
    <cellStyle name="Comma 2 9 5 2 2 3" xfId="9399"/>
    <cellStyle name="Comma 2 9 5 2 2 4" xfId="5891"/>
    <cellStyle name="Comma 2 9 5 2 3" xfId="2254"/>
    <cellStyle name="Comma 2 9 5 2 3 2" xfId="9401"/>
    <cellStyle name="Comma 2 9 5 2 4" xfId="9398"/>
    <cellStyle name="Comma 2 9 5 2 5" xfId="5890"/>
    <cellStyle name="Comma 2 9 5 3" xfId="2255"/>
    <cellStyle name="Comma 2 9 5 3 2" xfId="2256"/>
    <cellStyle name="Comma 2 9 5 3 2 2" xfId="9403"/>
    <cellStyle name="Comma 2 9 5 3 3" xfId="9402"/>
    <cellStyle name="Comma 2 9 5 3 4" xfId="5892"/>
    <cellStyle name="Comma 2 9 5 4" xfId="2257"/>
    <cellStyle name="Comma 2 9 5 4 2" xfId="2258"/>
    <cellStyle name="Comma 2 9 5 4 2 2" xfId="9405"/>
    <cellStyle name="Comma 2 9 5 4 3" xfId="9404"/>
    <cellStyle name="Comma 2 9 5 4 4" xfId="5893"/>
    <cellStyle name="Comma 2 9 5 5" xfId="2259"/>
    <cellStyle name="Comma 2 9 5 5 2" xfId="9406"/>
    <cellStyle name="Comma 2 9 5 6" xfId="9397"/>
    <cellStyle name="Comma 2 9 5 7" xfId="5889"/>
    <cellStyle name="Comma 2 9 6" xfId="2260"/>
    <cellStyle name="Comma 2 9 6 2" xfId="2261"/>
    <cellStyle name="Comma 2 9 6 2 2" xfId="2262"/>
    <cellStyle name="Comma 2 9 6 2 2 2" xfId="9409"/>
    <cellStyle name="Comma 2 9 6 2 3" xfId="9408"/>
    <cellStyle name="Comma 2 9 6 2 4" xfId="5895"/>
    <cellStyle name="Comma 2 9 6 3" xfId="2263"/>
    <cellStyle name="Comma 2 9 6 3 2" xfId="2264"/>
    <cellStyle name="Comma 2 9 6 3 2 2" xfId="9411"/>
    <cellStyle name="Comma 2 9 6 3 3" xfId="9410"/>
    <cellStyle name="Comma 2 9 6 3 4" xfId="5896"/>
    <cellStyle name="Comma 2 9 6 4" xfId="2265"/>
    <cellStyle name="Comma 2 9 6 4 2" xfId="9412"/>
    <cellStyle name="Comma 2 9 6 5" xfId="9407"/>
    <cellStyle name="Comma 2 9 6 6" xfId="5894"/>
    <cellStyle name="Comma 2 9 7" xfId="2266"/>
    <cellStyle name="Comma 2 9 7 2" xfId="2267"/>
    <cellStyle name="Comma 2 9 7 2 2" xfId="2268"/>
    <cellStyle name="Comma 2 9 7 2 2 2" xfId="9415"/>
    <cellStyle name="Comma 2 9 7 2 3" xfId="9414"/>
    <cellStyle name="Comma 2 9 7 2 4" xfId="5898"/>
    <cellStyle name="Comma 2 9 7 3" xfId="2269"/>
    <cellStyle name="Comma 2 9 7 3 2" xfId="9416"/>
    <cellStyle name="Comma 2 9 7 4" xfId="9413"/>
    <cellStyle name="Comma 2 9 7 5" xfId="5897"/>
    <cellStyle name="Comma 2 9 8" xfId="2270"/>
    <cellStyle name="Comma 2 9 8 2" xfId="2271"/>
    <cellStyle name="Comma 2 9 8 2 2" xfId="9418"/>
    <cellStyle name="Comma 2 9 8 3" xfId="9417"/>
    <cellStyle name="Comma 2 9 8 4" xfId="5899"/>
    <cellStyle name="Comma 2 9 9" xfId="2272"/>
    <cellStyle name="Comma 2 9 9 2" xfId="2273"/>
    <cellStyle name="Comma 2 9 9 2 2" xfId="9420"/>
    <cellStyle name="Comma 2 9 9 3" xfId="9419"/>
    <cellStyle name="Comma 2 9 9 4" xfId="5900"/>
    <cellStyle name="Comma 3" xfId="12"/>
    <cellStyle name="Comma 3 10" xfId="2275"/>
    <cellStyle name="Comma 3 10 2" xfId="2276"/>
    <cellStyle name="Comma 3 10 2 2" xfId="2277"/>
    <cellStyle name="Comma 3 10 2 2 2" xfId="9424"/>
    <cellStyle name="Comma 3 10 2 3" xfId="9423"/>
    <cellStyle name="Comma 3 10 2 4" xfId="5903"/>
    <cellStyle name="Comma 3 10 3" xfId="2278"/>
    <cellStyle name="Comma 3 10 3 2" xfId="2279"/>
    <cellStyle name="Comma 3 10 3 2 2" xfId="9426"/>
    <cellStyle name="Comma 3 10 3 3" xfId="9425"/>
    <cellStyle name="Comma 3 10 3 4" xfId="5904"/>
    <cellStyle name="Comma 3 10 4" xfId="2280"/>
    <cellStyle name="Comma 3 10 4 2" xfId="9427"/>
    <cellStyle name="Comma 3 10 5" xfId="9422"/>
    <cellStyle name="Comma 3 10 6" xfId="5902"/>
    <cellStyle name="Comma 3 11" xfId="2281"/>
    <cellStyle name="Comma 3 11 2" xfId="2282"/>
    <cellStyle name="Comma 3 11 2 2" xfId="2283"/>
    <cellStyle name="Comma 3 11 2 2 2" xfId="9430"/>
    <cellStyle name="Comma 3 11 2 3" xfId="9429"/>
    <cellStyle name="Comma 3 11 2 4" xfId="5906"/>
    <cellStyle name="Comma 3 11 3" xfId="2284"/>
    <cellStyle name="Comma 3 11 3 2" xfId="9431"/>
    <cellStyle name="Comma 3 11 4" xfId="9428"/>
    <cellStyle name="Comma 3 11 5" xfId="5905"/>
    <cellStyle name="Comma 3 12" xfId="2285"/>
    <cellStyle name="Comma 3 12 2" xfId="2286"/>
    <cellStyle name="Comma 3 12 2 2" xfId="9433"/>
    <cellStyle name="Comma 3 12 3" xfId="9432"/>
    <cellStyle name="Comma 3 12 4" xfId="5907"/>
    <cellStyle name="Comma 3 13" xfId="2287"/>
    <cellStyle name="Comma 3 13 2" xfId="2288"/>
    <cellStyle name="Comma 3 13 2 2" xfId="9435"/>
    <cellStyle name="Comma 3 13 3" xfId="9434"/>
    <cellStyle name="Comma 3 13 4" xfId="5908"/>
    <cellStyle name="Comma 3 14" xfId="2289"/>
    <cellStyle name="Comma 3 14 2" xfId="9437"/>
    <cellStyle name="Comma 3 14 3" xfId="9436"/>
    <cellStyle name="Comma 3 14 4" xfId="5909"/>
    <cellStyle name="Comma 3 15" xfId="2274"/>
    <cellStyle name="Comma 3 15 2" xfId="9438"/>
    <cellStyle name="Comma 3 16" xfId="9421"/>
    <cellStyle name="Comma 3 17" xfId="12311"/>
    <cellStyle name="Comma 3 18" xfId="5901"/>
    <cellStyle name="Comma 3 19" xfId="12326"/>
    <cellStyle name="Comma 3 2" xfId="2290"/>
    <cellStyle name="Comma 3 2 10" xfId="2291"/>
    <cellStyle name="Comma 3 2 10 2" xfId="2292"/>
    <cellStyle name="Comma 3 2 10 2 2" xfId="9441"/>
    <cellStyle name="Comma 3 2 10 3" xfId="9440"/>
    <cellStyle name="Comma 3 2 10 4" xfId="5911"/>
    <cellStyle name="Comma 3 2 11" xfId="2293"/>
    <cellStyle name="Comma 3 2 11 2" xfId="9442"/>
    <cellStyle name="Comma 3 2 12" xfId="9439"/>
    <cellStyle name="Comma 3 2 13" xfId="5910"/>
    <cellStyle name="Comma 3 2 14" xfId="12331"/>
    <cellStyle name="Comma 3 2 15" xfId="12341"/>
    <cellStyle name="Comma 3 2 16" xfId="12356"/>
    <cellStyle name="Comma 3 2 2" xfId="2294"/>
    <cellStyle name="Comma 3 2 2 10" xfId="2295"/>
    <cellStyle name="Comma 3 2 2 10 2" xfId="9444"/>
    <cellStyle name="Comma 3 2 2 11" xfId="9443"/>
    <cellStyle name="Comma 3 2 2 12" xfId="5912"/>
    <cellStyle name="Comma 3 2 2 2" xfId="2296"/>
    <cellStyle name="Comma 3 2 2 2 2" xfId="2297"/>
    <cellStyle name="Comma 3 2 2 2 2 2" xfId="2298"/>
    <cellStyle name="Comma 3 2 2 2 2 2 2" xfId="2299"/>
    <cellStyle name="Comma 3 2 2 2 2 2 2 2" xfId="9448"/>
    <cellStyle name="Comma 3 2 2 2 2 2 3" xfId="9447"/>
    <cellStyle name="Comma 3 2 2 2 2 2 4" xfId="5915"/>
    <cellStyle name="Comma 3 2 2 2 2 3" xfId="2300"/>
    <cellStyle name="Comma 3 2 2 2 2 3 2" xfId="9449"/>
    <cellStyle name="Comma 3 2 2 2 2 4" xfId="9446"/>
    <cellStyle name="Comma 3 2 2 2 2 5" xfId="5914"/>
    <cellStyle name="Comma 3 2 2 2 3" xfId="2301"/>
    <cellStyle name="Comma 3 2 2 2 3 2" xfId="2302"/>
    <cellStyle name="Comma 3 2 2 2 3 2 2" xfId="9451"/>
    <cellStyle name="Comma 3 2 2 2 3 3" xfId="9450"/>
    <cellStyle name="Comma 3 2 2 2 3 4" xfId="5916"/>
    <cellStyle name="Comma 3 2 2 2 4" xfId="2303"/>
    <cellStyle name="Comma 3 2 2 2 4 2" xfId="2304"/>
    <cellStyle name="Comma 3 2 2 2 4 2 2" xfId="9453"/>
    <cellStyle name="Comma 3 2 2 2 4 3" xfId="9452"/>
    <cellStyle name="Comma 3 2 2 2 4 4" xfId="5917"/>
    <cellStyle name="Comma 3 2 2 2 5" xfId="2305"/>
    <cellStyle name="Comma 3 2 2 2 5 2" xfId="9454"/>
    <cellStyle name="Comma 3 2 2 2 6" xfId="9445"/>
    <cellStyle name="Comma 3 2 2 2 7" xfId="5913"/>
    <cellStyle name="Comma 3 2 2 3" xfId="2306"/>
    <cellStyle name="Comma 3 2 2 3 2" xfId="2307"/>
    <cellStyle name="Comma 3 2 2 3 2 2" xfId="2308"/>
    <cellStyle name="Comma 3 2 2 3 2 2 2" xfId="2309"/>
    <cellStyle name="Comma 3 2 2 3 2 2 2 2" xfId="9458"/>
    <cellStyle name="Comma 3 2 2 3 2 2 3" xfId="9457"/>
    <cellStyle name="Comma 3 2 2 3 2 2 4" xfId="5920"/>
    <cellStyle name="Comma 3 2 2 3 2 3" xfId="2310"/>
    <cellStyle name="Comma 3 2 2 3 2 3 2" xfId="9459"/>
    <cellStyle name="Comma 3 2 2 3 2 4" xfId="9456"/>
    <cellStyle name="Comma 3 2 2 3 2 5" xfId="5919"/>
    <cellStyle name="Comma 3 2 2 3 3" xfId="2311"/>
    <cellStyle name="Comma 3 2 2 3 3 2" xfId="2312"/>
    <cellStyle name="Comma 3 2 2 3 3 2 2" xfId="9461"/>
    <cellStyle name="Comma 3 2 2 3 3 3" xfId="9460"/>
    <cellStyle name="Comma 3 2 2 3 3 4" xfId="5921"/>
    <cellStyle name="Comma 3 2 2 3 4" xfId="2313"/>
    <cellStyle name="Comma 3 2 2 3 4 2" xfId="2314"/>
    <cellStyle name="Comma 3 2 2 3 4 2 2" xfId="9463"/>
    <cellStyle name="Comma 3 2 2 3 4 3" xfId="9462"/>
    <cellStyle name="Comma 3 2 2 3 4 4" xfId="5922"/>
    <cellStyle name="Comma 3 2 2 3 5" xfId="2315"/>
    <cellStyle name="Comma 3 2 2 3 5 2" xfId="9464"/>
    <cellStyle name="Comma 3 2 2 3 6" xfId="9455"/>
    <cellStyle name="Comma 3 2 2 3 7" xfId="5918"/>
    <cellStyle name="Comma 3 2 2 4" xfId="2316"/>
    <cellStyle name="Comma 3 2 2 4 2" xfId="2317"/>
    <cellStyle name="Comma 3 2 2 4 2 2" xfId="2318"/>
    <cellStyle name="Comma 3 2 2 4 2 2 2" xfId="2319"/>
    <cellStyle name="Comma 3 2 2 4 2 2 2 2" xfId="9468"/>
    <cellStyle name="Comma 3 2 2 4 2 2 3" xfId="9467"/>
    <cellStyle name="Comma 3 2 2 4 2 2 4" xfId="5925"/>
    <cellStyle name="Comma 3 2 2 4 2 3" xfId="2320"/>
    <cellStyle name="Comma 3 2 2 4 2 3 2" xfId="9469"/>
    <cellStyle name="Comma 3 2 2 4 2 4" xfId="9466"/>
    <cellStyle name="Comma 3 2 2 4 2 5" xfId="5924"/>
    <cellStyle name="Comma 3 2 2 4 3" xfId="2321"/>
    <cellStyle name="Comma 3 2 2 4 3 2" xfId="2322"/>
    <cellStyle name="Comma 3 2 2 4 3 2 2" xfId="9471"/>
    <cellStyle name="Comma 3 2 2 4 3 3" xfId="9470"/>
    <cellStyle name="Comma 3 2 2 4 3 4" xfId="5926"/>
    <cellStyle name="Comma 3 2 2 4 4" xfId="2323"/>
    <cellStyle name="Comma 3 2 2 4 4 2" xfId="2324"/>
    <cellStyle name="Comma 3 2 2 4 4 2 2" xfId="9473"/>
    <cellStyle name="Comma 3 2 2 4 4 3" xfId="9472"/>
    <cellStyle name="Comma 3 2 2 4 4 4" xfId="5927"/>
    <cellStyle name="Comma 3 2 2 4 5" xfId="2325"/>
    <cellStyle name="Comma 3 2 2 4 5 2" xfId="9474"/>
    <cellStyle name="Comma 3 2 2 4 6" xfId="9465"/>
    <cellStyle name="Comma 3 2 2 4 7" xfId="5923"/>
    <cellStyle name="Comma 3 2 2 5" xfId="2326"/>
    <cellStyle name="Comma 3 2 2 5 2" xfId="2327"/>
    <cellStyle name="Comma 3 2 2 5 2 2" xfId="2328"/>
    <cellStyle name="Comma 3 2 2 5 2 2 2" xfId="2329"/>
    <cellStyle name="Comma 3 2 2 5 2 2 2 2" xfId="9478"/>
    <cellStyle name="Comma 3 2 2 5 2 2 3" xfId="9477"/>
    <cellStyle name="Comma 3 2 2 5 2 2 4" xfId="5930"/>
    <cellStyle name="Comma 3 2 2 5 2 3" xfId="2330"/>
    <cellStyle name="Comma 3 2 2 5 2 3 2" xfId="9479"/>
    <cellStyle name="Comma 3 2 2 5 2 4" xfId="9476"/>
    <cellStyle name="Comma 3 2 2 5 2 5" xfId="5929"/>
    <cellStyle name="Comma 3 2 2 5 3" xfId="2331"/>
    <cellStyle name="Comma 3 2 2 5 3 2" xfId="2332"/>
    <cellStyle name="Comma 3 2 2 5 3 2 2" xfId="9481"/>
    <cellStyle name="Comma 3 2 2 5 3 3" xfId="9480"/>
    <cellStyle name="Comma 3 2 2 5 3 4" xfId="5931"/>
    <cellStyle name="Comma 3 2 2 5 4" xfId="2333"/>
    <cellStyle name="Comma 3 2 2 5 4 2" xfId="2334"/>
    <cellStyle name="Comma 3 2 2 5 4 2 2" xfId="9483"/>
    <cellStyle name="Comma 3 2 2 5 4 3" xfId="9482"/>
    <cellStyle name="Comma 3 2 2 5 4 4" xfId="5932"/>
    <cellStyle name="Comma 3 2 2 5 5" xfId="2335"/>
    <cellStyle name="Comma 3 2 2 5 5 2" xfId="9484"/>
    <cellStyle name="Comma 3 2 2 5 6" xfId="9475"/>
    <cellStyle name="Comma 3 2 2 5 7" xfId="5928"/>
    <cellStyle name="Comma 3 2 2 6" xfId="2336"/>
    <cellStyle name="Comma 3 2 2 6 2" xfId="2337"/>
    <cellStyle name="Comma 3 2 2 6 2 2" xfId="2338"/>
    <cellStyle name="Comma 3 2 2 6 2 2 2" xfId="9487"/>
    <cellStyle name="Comma 3 2 2 6 2 3" xfId="9486"/>
    <cellStyle name="Comma 3 2 2 6 2 4" xfId="5934"/>
    <cellStyle name="Comma 3 2 2 6 3" xfId="2339"/>
    <cellStyle name="Comma 3 2 2 6 3 2" xfId="2340"/>
    <cellStyle name="Comma 3 2 2 6 3 2 2" xfId="9489"/>
    <cellStyle name="Comma 3 2 2 6 3 3" xfId="9488"/>
    <cellStyle name="Comma 3 2 2 6 3 4" xfId="5935"/>
    <cellStyle name="Comma 3 2 2 6 4" xfId="2341"/>
    <cellStyle name="Comma 3 2 2 6 4 2" xfId="9490"/>
    <cellStyle name="Comma 3 2 2 6 5" xfId="9485"/>
    <cellStyle name="Comma 3 2 2 6 6" xfId="5933"/>
    <cellStyle name="Comma 3 2 2 7" xfId="2342"/>
    <cellStyle name="Comma 3 2 2 7 2" xfId="2343"/>
    <cellStyle name="Comma 3 2 2 7 2 2" xfId="2344"/>
    <cellStyle name="Comma 3 2 2 7 2 2 2" xfId="9493"/>
    <cellStyle name="Comma 3 2 2 7 2 3" xfId="9492"/>
    <cellStyle name="Comma 3 2 2 7 2 4" xfId="5937"/>
    <cellStyle name="Comma 3 2 2 7 3" xfId="2345"/>
    <cellStyle name="Comma 3 2 2 7 3 2" xfId="9494"/>
    <cellStyle name="Comma 3 2 2 7 4" xfId="9491"/>
    <cellStyle name="Comma 3 2 2 7 5" xfId="5936"/>
    <cellStyle name="Comma 3 2 2 8" xfId="2346"/>
    <cellStyle name="Comma 3 2 2 8 2" xfId="2347"/>
    <cellStyle name="Comma 3 2 2 8 2 2" xfId="9496"/>
    <cellStyle name="Comma 3 2 2 8 3" xfId="9495"/>
    <cellStyle name="Comma 3 2 2 8 4" xfId="5938"/>
    <cellStyle name="Comma 3 2 2 9" xfId="2348"/>
    <cellStyle name="Comma 3 2 2 9 2" xfId="2349"/>
    <cellStyle name="Comma 3 2 2 9 2 2" xfId="9498"/>
    <cellStyle name="Comma 3 2 2 9 3" xfId="9497"/>
    <cellStyle name="Comma 3 2 2 9 4" xfId="5939"/>
    <cellStyle name="Comma 3 2 3" xfId="2350"/>
    <cellStyle name="Comma 3 2 3 2" xfId="2351"/>
    <cellStyle name="Comma 3 2 3 2 2" xfId="2352"/>
    <cellStyle name="Comma 3 2 3 2 2 2" xfId="2353"/>
    <cellStyle name="Comma 3 2 3 2 2 2 2" xfId="9502"/>
    <cellStyle name="Comma 3 2 3 2 2 3" xfId="9501"/>
    <cellStyle name="Comma 3 2 3 2 2 4" xfId="5942"/>
    <cellStyle name="Comma 3 2 3 2 3" xfId="2354"/>
    <cellStyle name="Comma 3 2 3 2 3 2" xfId="9503"/>
    <cellStyle name="Comma 3 2 3 2 4" xfId="9500"/>
    <cellStyle name="Comma 3 2 3 2 5" xfId="5941"/>
    <cellStyle name="Comma 3 2 3 3" xfId="2355"/>
    <cellStyle name="Comma 3 2 3 3 2" xfId="2356"/>
    <cellStyle name="Comma 3 2 3 3 2 2" xfId="9505"/>
    <cellStyle name="Comma 3 2 3 3 3" xfId="9504"/>
    <cellStyle name="Comma 3 2 3 3 4" xfId="5943"/>
    <cellStyle name="Comma 3 2 3 4" xfId="2357"/>
    <cellStyle name="Comma 3 2 3 4 2" xfId="2358"/>
    <cellStyle name="Comma 3 2 3 4 2 2" xfId="9507"/>
    <cellStyle name="Comma 3 2 3 4 3" xfId="9506"/>
    <cellStyle name="Comma 3 2 3 4 4" xfId="5944"/>
    <cellStyle name="Comma 3 2 3 5" xfId="2359"/>
    <cellStyle name="Comma 3 2 3 5 2" xfId="9508"/>
    <cellStyle name="Comma 3 2 3 6" xfId="9499"/>
    <cellStyle name="Comma 3 2 3 7" xfId="5940"/>
    <cellStyle name="Comma 3 2 4" xfId="2360"/>
    <cellStyle name="Comma 3 2 4 2" xfId="2361"/>
    <cellStyle name="Comma 3 2 4 2 2" xfId="2362"/>
    <cellStyle name="Comma 3 2 4 2 2 2" xfId="2363"/>
    <cellStyle name="Comma 3 2 4 2 2 2 2" xfId="9512"/>
    <cellStyle name="Comma 3 2 4 2 2 3" xfId="9511"/>
    <cellStyle name="Comma 3 2 4 2 2 4" xfId="5947"/>
    <cellStyle name="Comma 3 2 4 2 3" xfId="2364"/>
    <cellStyle name="Comma 3 2 4 2 3 2" xfId="9513"/>
    <cellStyle name="Comma 3 2 4 2 4" xfId="9510"/>
    <cellStyle name="Comma 3 2 4 2 5" xfId="5946"/>
    <cellStyle name="Comma 3 2 4 3" xfId="2365"/>
    <cellStyle name="Comma 3 2 4 3 2" xfId="2366"/>
    <cellStyle name="Comma 3 2 4 3 2 2" xfId="9515"/>
    <cellStyle name="Comma 3 2 4 3 3" xfId="9514"/>
    <cellStyle name="Comma 3 2 4 3 4" xfId="5948"/>
    <cellStyle name="Comma 3 2 4 4" xfId="2367"/>
    <cellStyle name="Comma 3 2 4 4 2" xfId="2368"/>
    <cellStyle name="Comma 3 2 4 4 2 2" xfId="9517"/>
    <cellStyle name="Comma 3 2 4 4 3" xfId="9516"/>
    <cellStyle name="Comma 3 2 4 4 4" xfId="5949"/>
    <cellStyle name="Comma 3 2 4 5" xfId="2369"/>
    <cellStyle name="Comma 3 2 4 5 2" xfId="9518"/>
    <cellStyle name="Comma 3 2 4 6" xfId="9509"/>
    <cellStyle name="Comma 3 2 4 7" xfId="5945"/>
    <cellStyle name="Comma 3 2 5" xfId="2370"/>
    <cellStyle name="Comma 3 2 5 2" xfId="2371"/>
    <cellStyle name="Comma 3 2 5 2 2" xfId="2372"/>
    <cellStyle name="Comma 3 2 5 2 2 2" xfId="2373"/>
    <cellStyle name="Comma 3 2 5 2 2 2 2" xfId="9522"/>
    <cellStyle name="Comma 3 2 5 2 2 3" xfId="9521"/>
    <cellStyle name="Comma 3 2 5 2 2 4" xfId="5952"/>
    <cellStyle name="Comma 3 2 5 2 3" xfId="2374"/>
    <cellStyle name="Comma 3 2 5 2 3 2" xfId="9523"/>
    <cellStyle name="Comma 3 2 5 2 4" xfId="9520"/>
    <cellStyle name="Comma 3 2 5 2 5" xfId="5951"/>
    <cellStyle name="Comma 3 2 5 3" xfId="2375"/>
    <cellStyle name="Comma 3 2 5 3 2" xfId="2376"/>
    <cellStyle name="Comma 3 2 5 3 2 2" xfId="9525"/>
    <cellStyle name="Comma 3 2 5 3 3" xfId="9524"/>
    <cellStyle name="Comma 3 2 5 3 4" xfId="5953"/>
    <cellStyle name="Comma 3 2 5 4" xfId="2377"/>
    <cellStyle name="Comma 3 2 5 4 2" xfId="2378"/>
    <cellStyle name="Comma 3 2 5 4 2 2" xfId="9527"/>
    <cellStyle name="Comma 3 2 5 4 3" xfId="9526"/>
    <cellStyle name="Comma 3 2 5 4 4" xfId="5954"/>
    <cellStyle name="Comma 3 2 5 5" xfId="2379"/>
    <cellStyle name="Comma 3 2 5 5 2" xfId="9528"/>
    <cellStyle name="Comma 3 2 5 6" xfId="9519"/>
    <cellStyle name="Comma 3 2 5 7" xfId="5950"/>
    <cellStyle name="Comma 3 2 6" xfId="2380"/>
    <cellStyle name="Comma 3 2 6 2" xfId="2381"/>
    <cellStyle name="Comma 3 2 6 2 2" xfId="2382"/>
    <cellStyle name="Comma 3 2 6 2 2 2" xfId="2383"/>
    <cellStyle name="Comma 3 2 6 2 2 2 2" xfId="9532"/>
    <cellStyle name="Comma 3 2 6 2 2 3" xfId="9531"/>
    <cellStyle name="Comma 3 2 6 2 2 4" xfId="5957"/>
    <cellStyle name="Comma 3 2 6 2 3" xfId="2384"/>
    <cellStyle name="Comma 3 2 6 2 3 2" xfId="9533"/>
    <cellStyle name="Comma 3 2 6 2 4" xfId="9530"/>
    <cellStyle name="Comma 3 2 6 2 5" xfId="5956"/>
    <cellStyle name="Comma 3 2 6 3" xfId="2385"/>
    <cellStyle name="Comma 3 2 6 3 2" xfId="2386"/>
    <cellStyle name="Comma 3 2 6 3 2 2" xfId="9535"/>
    <cellStyle name="Comma 3 2 6 3 3" xfId="9534"/>
    <cellStyle name="Comma 3 2 6 3 4" xfId="5958"/>
    <cellStyle name="Comma 3 2 6 4" xfId="2387"/>
    <cellStyle name="Comma 3 2 6 4 2" xfId="2388"/>
    <cellStyle name="Comma 3 2 6 4 2 2" xfId="9537"/>
    <cellStyle name="Comma 3 2 6 4 3" xfId="9536"/>
    <cellStyle name="Comma 3 2 6 4 4" xfId="5959"/>
    <cellStyle name="Comma 3 2 6 5" xfId="2389"/>
    <cellStyle name="Comma 3 2 6 5 2" xfId="9538"/>
    <cellStyle name="Comma 3 2 6 6" xfId="9529"/>
    <cellStyle name="Comma 3 2 6 7" xfId="5955"/>
    <cellStyle name="Comma 3 2 7" xfId="2390"/>
    <cellStyle name="Comma 3 2 7 2" xfId="2391"/>
    <cellStyle name="Comma 3 2 7 2 2" xfId="2392"/>
    <cellStyle name="Comma 3 2 7 2 2 2" xfId="9541"/>
    <cellStyle name="Comma 3 2 7 2 3" xfId="9540"/>
    <cellStyle name="Comma 3 2 7 2 4" xfId="5961"/>
    <cellStyle name="Comma 3 2 7 3" xfId="2393"/>
    <cellStyle name="Comma 3 2 7 3 2" xfId="2394"/>
    <cellStyle name="Comma 3 2 7 3 2 2" xfId="9543"/>
    <cellStyle name="Comma 3 2 7 3 3" xfId="9542"/>
    <cellStyle name="Comma 3 2 7 3 4" xfId="5962"/>
    <cellStyle name="Comma 3 2 7 4" xfId="2395"/>
    <cellStyle name="Comma 3 2 7 4 2" xfId="9544"/>
    <cellStyle name="Comma 3 2 7 5" xfId="9539"/>
    <cellStyle name="Comma 3 2 7 6" xfId="5960"/>
    <cellStyle name="Comma 3 2 8" xfId="2396"/>
    <cellStyle name="Comma 3 2 8 2" xfId="2397"/>
    <cellStyle name="Comma 3 2 8 2 2" xfId="2398"/>
    <cellStyle name="Comma 3 2 8 2 2 2" xfId="9547"/>
    <cellStyle name="Comma 3 2 8 2 3" xfId="9546"/>
    <cellStyle name="Comma 3 2 8 2 4" xfId="5964"/>
    <cellStyle name="Comma 3 2 8 3" xfId="2399"/>
    <cellStyle name="Comma 3 2 8 3 2" xfId="9548"/>
    <cellStyle name="Comma 3 2 8 4" xfId="9545"/>
    <cellStyle name="Comma 3 2 8 5" xfId="5963"/>
    <cellStyle name="Comma 3 2 9" xfId="2400"/>
    <cellStyle name="Comma 3 2 9 2" xfId="2401"/>
    <cellStyle name="Comma 3 2 9 2 2" xfId="9550"/>
    <cellStyle name="Comma 3 2 9 3" xfId="9549"/>
    <cellStyle name="Comma 3 2 9 4" xfId="5965"/>
    <cellStyle name="Comma 3 20" xfId="12336"/>
    <cellStyle name="Comma 3 21" xfId="12351"/>
    <cellStyle name="Comma 3 3" xfId="2402"/>
    <cellStyle name="Comma 3 3 10" xfId="2403"/>
    <cellStyle name="Comma 3 3 10 2" xfId="2404"/>
    <cellStyle name="Comma 3 3 10 2 2" xfId="9553"/>
    <cellStyle name="Comma 3 3 10 3" xfId="9552"/>
    <cellStyle name="Comma 3 3 10 4" xfId="5967"/>
    <cellStyle name="Comma 3 3 11" xfId="2405"/>
    <cellStyle name="Comma 3 3 11 2" xfId="9554"/>
    <cellStyle name="Comma 3 3 12" xfId="9551"/>
    <cellStyle name="Comma 3 3 13" xfId="5966"/>
    <cellStyle name="Comma 3 3 14" xfId="12346"/>
    <cellStyle name="Comma 3 3 15" xfId="12361"/>
    <cellStyle name="Comma 3 3 2" xfId="2406"/>
    <cellStyle name="Comma 3 3 2 10" xfId="2407"/>
    <cellStyle name="Comma 3 3 2 10 2" xfId="9556"/>
    <cellStyle name="Comma 3 3 2 11" xfId="9555"/>
    <cellStyle name="Comma 3 3 2 12" xfId="5968"/>
    <cellStyle name="Comma 3 3 2 2" xfId="2408"/>
    <cellStyle name="Comma 3 3 2 2 2" xfId="2409"/>
    <cellStyle name="Comma 3 3 2 2 2 2" xfId="2410"/>
    <cellStyle name="Comma 3 3 2 2 2 2 2" xfId="2411"/>
    <cellStyle name="Comma 3 3 2 2 2 2 2 2" xfId="9560"/>
    <cellStyle name="Comma 3 3 2 2 2 2 3" xfId="9559"/>
    <cellStyle name="Comma 3 3 2 2 2 2 4" xfId="5971"/>
    <cellStyle name="Comma 3 3 2 2 2 3" xfId="2412"/>
    <cellStyle name="Comma 3 3 2 2 2 3 2" xfId="9561"/>
    <cellStyle name="Comma 3 3 2 2 2 4" xfId="9558"/>
    <cellStyle name="Comma 3 3 2 2 2 5" xfId="5970"/>
    <cellStyle name="Comma 3 3 2 2 3" xfId="2413"/>
    <cellStyle name="Comma 3 3 2 2 3 2" xfId="2414"/>
    <cellStyle name="Comma 3 3 2 2 3 2 2" xfId="9563"/>
    <cellStyle name="Comma 3 3 2 2 3 3" xfId="9562"/>
    <cellStyle name="Comma 3 3 2 2 3 4" xfId="5972"/>
    <cellStyle name="Comma 3 3 2 2 4" xfId="2415"/>
    <cellStyle name="Comma 3 3 2 2 4 2" xfId="2416"/>
    <cellStyle name="Comma 3 3 2 2 4 2 2" xfId="9565"/>
    <cellStyle name="Comma 3 3 2 2 4 3" xfId="9564"/>
    <cellStyle name="Comma 3 3 2 2 4 4" xfId="5973"/>
    <cellStyle name="Comma 3 3 2 2 5" xfId="2417"/>
    <cellStyle name="Comma 3 3 2 2 5 2" xfId="9566"/>
    <cellStyle name="Comma 3 3 2 2 6" xfId="9557"/>
    <cellStyle name="Comma 3 3 2 2 7" xfId="5969"/>
    <cellStyle name="Comma 3 3 2 3" xfId="2418"/>
    <cellStyle name="Comma 3 3 2 3 2" xfId="2419"/>
    <cellStyle name="Comma 3 3 2 3 2 2" xfId="2420"/>
    <cellStyle name="Comma 3 3 2 3 2 2 2" xfId="2421"/>
    <cellStyle name="Comma 3 3 2 3 2 2 2 2" xfId="9570"/>
    <cellStyle name="Comma 3 3 2 3 2 2 3" xfId="9569"/>
    <cellStyle name="Comma 3 3 2 3 2 2 4" xfId="5976"/>
    <cellStyle name="Comma 3 3 2 3 2 3" xfId="2422"/>
    <cellStyle name="Comma 3 3 2 3 2 3 2" xfId="9571"/>
    <cellStyle name="Comma 3 3 2 3 2 4" xfId="9568"/>
    <cellStyle name="Comma 3 3 2 3 2 5" xfId="5975"/>
    <cellStyle name="Comma 3 3 2 3 3" xfId="2423"/>
    <cellStyle name="Comma 3 3 2 3 3 2" xfId="2424"/>
    <cellStyle name="Comma 3 3 2 3 3 2 2" xfId="9573"/>
    <cellStyle name="Comma 3 3 2 3 3 3" xfId="9572"/>
    <cellStyle name="Comma 3 3 2 3 3 4" xfId="5977"/>
    <cellStyle name="Comma 3 3 2 3 4" xfId="2425"/>
    <cellStyle name="Comma 3 3 2 3 4 2" xfId="2426"/>
    <cellStyle name="Comma 3 3 2 3 4 2 2" xfId="9575"/>
    <cellStyle name="Comma 3 3 2 3 4 3" xfId="9574"/>
    <cellStyle name="Comma 3 3 2 3 4 4" xfId="5978"/>
    <cellStyle name="Comma 3 3 2 3 5" xfId="2427"/>
    <cellStyle name="Comma 3 3 2 3 5 2" xfId="9576"/>
    <cellStyle name="Comma 3 3 2 3 6" xfId="9567"/>
    <cellStyle name="Comma 3 3 2 3 7" xfId="5974"/>
    <cellStyle name="Comma 3 3 2 4" xfId="2428"/>
    <cellStyle name="Comma 3 3 2 4 2" xfId="2429"/>
    <cellStyle name="Comma 3 3 2 4 2 2" xfId="2430"/>
    <cellStyle name="Comma 3 3 2 4 2 2 2" xfId="2431"/>
    <cellStyle name="Comma 3 3 2 4 2 2 2 2" xfId="9580"/>
    <cellStyle name="Comma 3 3 2 4 2 2 3" xfId="9579"/>
    <cellStyle name="Comma 3 3 2 4 2 2 4" xfId="5981"/>
    <cellStyle name="Comma 3 3 2 4 2 3" xfId="2432"/>
    <cellStyle name="Comma 3 3 2 4 2 3 2" xfId="9581"/>
    <cellStyle name="Comma 3 3 2 4 2 4" xfId="9578"/>
    <cellStyle name="Comma 3 3 2 4 2 5" xfId="5980"/>
    <cellStyle name="Comma 3 3 2 4 3" xfId="2433"/>
    <cellStyle name="Comma 3 3 2 4 3 2" xfId="2434"/>
    <cellStyle name="Comma 3 3 2 4 3 2 2" xfId="9583"/>
    <cellStyle name="Comma 3 3 2 4 3 3" xfId="9582"/>
    <cellStyle name="Comma 3 3 2 4 3 4" xfId="5982"/>
    <cellStyle name="Comma 3 3 2 4 4" xfId="2435"/>
    <cellStyle name="Comma 3 3 2 4 4 2" xfId="2436"/>
    <cellStyle name="Comma 3 3 2 4 4 2 2" xfId="9585"/>
    <cellStyle name="Comma 3 3 2 4 4 3" xfId="9584"/>
    <cellStyle name="Comma 3 3 2 4 4 4" xfId="5983"/>
    <cellStyle name="Comma 3 3 2 4 5" xfId="2437"/>
    <cellStyle name="Comma 3 3 2 4 5 2" xfId="9586"/>
    <cellStyle name="Comma 3 3 2 4 6" xfId="9577"/>
    <cellStyle name="Comma 3 3 2 4 7" xfId="5979"/>
    <cellStyle name="Comma 3 3 2 5" xfId="2438"/>
    <cellStyle name="Comma 3 3 2 5 2" xfId="2439"/>
    <cellStyle name="Comma 3 3 2 5 2 2" xfId="2440"/>
    <cellStyle name="Comma 3 3 2 5 2 2 2" xfId="2441"/>
    <cellStyle name="Comma 3 3 2 5 2 2 2 2" xfId="9590"/>
    <cellStyle name="Comma 3 3 2 5 2 2 3" xfId="9589"/>
    <cellStyle name="Comma 3 3 2 5 2 2 4" xfId="5986"/>
    <cellStyle name="Comma 3 3 2 5 2 3" xfId="2442"/>
    <cellStyle name="Comma 3 3 2 5 2 3 2" xfId="9591"/>
    <cellStyle name="Comma 3 3 2 5 2 4" xfId="9588"/>
    <cellStyle name="Comma 3 3 2 5 2 5" xfId="5985"/>
    <cellStyle name="Comma 3 3 2 5 3" xfId="2443"/>
    <cellStyle name="Comma 3 3 2 5 3 2" xfId="2444"/>
    <cellStyle name="Comma 3 3 2 5 3 2 2" xfId="9593"/>
    <cellStyle name="Comma 3 3 2 5 3 3" xfId="9592"/>
    <cellStyle name="Comma 3 3 2 5 3 4" xfId="5987"/>
    <cellStyle name="Comma 3 3 2 5 4" xfId="2445"/>
    <cellStyle name="Comma 3 3 2 5 4 2" xfId="2446"/>
    <cellStyle name="Comma 3 3 2 5 4 2 2" xfId="9595"/>
    <cellStyle name="Comma 3 3 2 5 4 3" xfId="9594"/>
    <cellStyle name="Comma 3 3 2 5 4 4" xfId="5988"/>
    <cellStyle name="Comma 3 3 2 5 5" xfId="2447"/>
    <cellStyle name="Comma 3 3 2 5 5 2" xfId="9596"/>
    <cellStyle name="Comma 3 3 2 5 6" xfId="9587"/>
    <cellStyle name="Comma 3 3 2 5 7" xfId="5984"/>
    <cellStyle name="Comma 3 3 2 6" xfId="2448"/>
    <cellStyle name="Comma 3 3 2 6 2" xfId="2449"/>
    <cellStyle name="Comma 3 3 2 6 2 2" xfId="2450"/>
    <cellStyle name="Comma 3 3 2 6 2 2 2" xfId="9599"/>
    <cellStyle name="Comma 3 3 2 6 2 3" xfId="9598"/>
    <cellStyle name="Comma 3 3 2 6 2 4" xfId="5990"/>
    <cellStyle name="Comma 3 3 2 6 3" xfId="2451"/>
    <cellStyle name="Comma 3 3 2 6 3 2" xfId="2452"/>
    <cellStyle name="Comma 3 3 2 6 3 2 2" xfId="9601"/>
    <cellStyle name="Comma 3 3 2 6 3 3" xfId="9600"/>
    <cellStyle name="Comma 3 3 2 6 3 4" xfId="5991"/>
    <cellStyle name="Comma 3 3 2 6 4" xfId="2453"/>
    <cellStyle name="Comma 3 3 2 6 4 2" xfId="9602"/>
    <cellStyle name="Comma 3 3 2 6 5" xfId="9597"/>
    <cellStyle name="Comma 3 3 2 6 6" xfId="5989"/>
    <cellStyle name="Comma 3 3 2 7" xfId="2454"/>
    <cellStyle name="Comma 3 3 2 7 2" xfId="2455"/>
    <cellStyle name="Comma 3 3 2 7 2 2" xfId="2456"/>
    <cellStyle name="Comma 3 3 2 7 2 2 2" xfId="9605"/>
    <cellStyle name="Comma 3 3 2 7 2 3" xfId="9604"/>
    <cellStyle name="Comma 3 3 2 7 2 4" xfId="5993"/>
    <cellStyle name="Comma 3 3 2 7 3" xfId="2457"/>
    <cellStyle name="Comma 3 3 2 7 3 2" xfId="9606"/>
    <cellStyle name="Comma 3 3 2 7 4" xfId="9603"/>
    <cellStyle name="Comma 3 3 2 7 5" xfId="5992"/>
    <cellStyle name="Comma 3 3 2 8" xfId="2458"/>
    <cellStyle name="Comma 3 3 2 8 2" xfId="2459"/>
    <cellStyle name="Comma 3 3 2 8 2 2" xfId="9608"/>
    <cellStyle name="Comma 3 3 2 8 3" xfId="9607"/>
    <cellStyle name="Comma 3 3 2 8 4" xfId="5994"/>
    <cellStyle name="Comma 3 3 2 9" xfId="2460"/>
    <cellStyle name="Comma 3 3 2 9 2" xfId="2461"/>
    <cellStyle name="Comma 3 3 2 9 2 2" xfId="9610"/>
    <cellStyle name="Comma 3 3 2 9 3" xfId="9609"/>
    <cellStyle name="Comma 3 3 2 9 4" xfId="5995"/>
    <cellStyle name="Comma 3 3 3" xfId="2462"/>
    <cellStyle name="Comma 3 3 3 2" xfId="2463"/>
    <cellStyle name="Comma 3 3 3 2 2" xfId="2464"/>
    <cellStyle name="Comma 3 3 3 2 2 2" xfId="2465"/>
    <cellStyle name="Comma 3 3 3 2 2 2 2" xfId="9614"/>
    <cellStyle name="Comma 3 3 3 2 2 3" xfId="9613"/>
    <cellStyle name="Comma 3 3 3 2 2 4" xfId="5998"/>
    <cellStyle name="Comma 3 3 3 2 3" xfId="2466"/>
    <cellStyle name="Comma 3 3 3 2 3 2" xfId="9615"/>
    <cellStyle name="Comma 3 3 3 2 4" xfId="9612"/>
    <cellStyle name="Comma 3 3 3 2 5" xfId="5997"/>
    <cellStyle name="Comma 3 3 3 3" xfId="2467"/>
    <cellStyle name="Comma 3 3 3 3 2" xfId="2468"/>
    <cellStyle name="Comma 3 3 3 3 2 2" xfId="9617"/>
    <cellStyle name="Comma 3 3 3 3 3" xfId="9616"/>
    <cellStyle name="Comma 3 3 3 3 4" xfId="5999"/>
    <cellStyle name="Comma 3 3 3 4" xfId="2469"/>
    <cellStyle name="Comma 3 3 3 4 2" xfId="2470"/>
    <cellStyle name="Comma 3 3 3 4 2 2" xfId="9619"/>
    <cellStyle name="Comma 3 3 3 4 3" xfId="9618"/>
    <cellStyle name="Comma 3 3 3 4 4" xfId="6000"/>
    <cellStyle name="Comma 3 3 3 5" xfId="2471"/>
    <cellStyle name="Comma 3 3 3 5 2" xfId="9620"/>
    <cellStyle name="Comma 3 3 3 6" xfId="9611"/>
    <cellStyle name="Comma 3 3 3 7" xfId="5996"/>
    <cellStyle name="Comma 3 3 4" xfId="2472"/>
    <cellStyle name="Comma 3 3 4 2" xfId="2473"/>
    <cellStyle name="Comma 3 3 4 2 2" xfId="2474"/>
    <cellStyle name="Comma 3 3 4 2 2 2" xfId="2475"/>
    <cellStyle name="Comma 3 3 4 2 2 2 2" xfId="9624"/>
    <cellStyle name="Comma 3 3 4 2 2 3" xfId="9623"/>
    <cellStyle name="Comma 3 3 4 2 2 4" xfId="6003"/>
    <cellStyle name="Comma 3 3 4 2 3" xfId="2476"/>
    <cellStyle name="Comma 3 3 4 2 3 2" xfId="9625"/>
    <cellStyle name="Comma 3 3 4 2 4" xfId="9622"/>
    <cellStyle name="Comma 3 3 4 2 5" xfId="6002"/>
    <cellStyle name="Comma 3 3 4 3" xfId="2477"/>
    <cellStyle name="Comma 3 3 4 3 2" xfId="2478"/>
    <cellStyle name="Comma 3 3 4 3 2 2" xfId="9627"/>
    <cellStyle name="Comma 3 3 4 3 3" xfId="9626"/>
    <cellStyle name="Comma 3 3 4 3 4" xfId="6004"/>
    <cellStyle name="Comma 3 3 4 4" xfId="2479"/>
    <cellStyle name="Comma 3 3 4 4 2" xfId="2480"/>
    <cellStyle name="Comma 3 3 4 4 2 2" xfId="9629"/>
    <cellStyle name="Comma 3 3 4 4 3" xfId="9628"/>
    <cellStyle name="Comma 3 3 4 4 4" xfId="6005"/>
    <cellStyle name="Comma 3 3 4 5" xfId="2481"/>
    <cellStyle name="Comma 3 3 4 5 2" xfId="9630"/>
    <cellStyle name="Comma 3 3 4 6" xfId="9621"/>
    <cellStyle name="Comma 3 3 4 7" xfId="6001"/>
    <cellStyle name="Comma 3 3 5" xfId="2482"/>
    <cellStyle name="Comma 3 3 5 2" xfId="2483"/>
    <cellStyle name="Comma 3 3 5 2 2" xfId="2484"/>
    <cellStyle name="Comma 3 3 5 2 2 2" xfId="2485"/>
    <cellStyle name="Comma 3 3 5 2 2 2 2" xfId="9634"/>
    <cellStyle name="Comma 3 3 5 2 2 3" xfId="9633"/>
    <cellStyle name="Comma 3 3 5 2 2 4" xfId="6008"/>
    <cellStyle name="Comma 3 3 5 2 3" xfId="2486"/>
    <cellStyle name="Comma 3 3 5 2 3 2" xfId="9635"/>
    <cellStyle name="Comma 3 3 5 2 4" xfId="9632"/>
    <cellStyle name="Comma 3 3 5 2 5" xfId="6007"/>
    <cellStyle name="Comma 3 3 5 3" xfId="2487"/>
    <cellStyle name="Comma 3 3 5 3 2" xfId="2488"/>
    <cellStyle name="Comma 3 3 5 3 2 2" xfId="9637"/>
    <cellStyle name="Comma 3 3 5 3 3" xfId="9636"/>
    <cellStyle name="Comma 3 3 5 3 4" xfId="6009"/>
    <cellStyle name="Comma 3 3 5 4" xfId="2489"/>
    <cellStyle name="Comma 3 3 5 4 2" xfId="2490"/>
    <cellStyle name="Comma 3 3 5 4 2 2" xfId="9639"/>
    <cellStyle name="Comma 3 3 5 4 3" xfId="9638"/>
    <cellStyle name="Comma 3 3 5 4 4" xfId="6010"/>
    <cellStyle name="Comma 3 3 5 5" xfId="2491"/>
    <cellStyle name="Comma 3 3 5 5 2" xfId="9640"/>
    <cellStyle name="Comma 3 3 5 6" xfId="9631"/>
    <cellStyle name="Comma 3 3 5 7" xfId="6006"/>
    <cellStyle name="Comma 3 3 6" xfId="2492"/>
    <cellStyle name="Comma 3 3 6 2" xfId="2493"/>
    <cellStyle name="Comma 3 3 6 2 2" xfId="2494"/>
    <cellStyle name="Comma 3 3 6 2 2 2" xfId="2495"/>
    <cellStyle name="Comma 3 3 6 2 2 2 2" xfId="9644"/>
    <cellStyle name="Comma 3 3 6 2 2 3" xfId="9643"/>
    <cellStyle name="Comma 3 3 6 2 2 4" xfId="6013"/>
    <cellStyle name="Comma 3 3 6 2 3" xfId="2496"/>
    <cellStyle name="Comma 3 3 6 2 3 2" xfId="9645"/>
    <cellStyle name="Comma 3 3 6 2 4" xfId="9642"/>
    <cellStyle name="Comma 3 3 6 2 5" xfId="6012"/>
    <cellStyle name="Comma 3 3 6 3" xfId="2497"/>
    <cellStyle name="Comma 3 3 6 3 2" xfId="2498"/>
    <cellStyle name="Comma 3 3 6 3 2 2" xfId="9647"/>
    <cellStyle name="Comma 3 3 6 3 3" xfId="9646"/>
    <cellStyle name="Comma 3 3 6 3 4" xfId="6014"/>
    <cellStyle name="Comma 3 3 6 4" xfId="2499"/>
    <cellStyle name="Comma 3 3 6 4 2" xfId="2500"/>
    <cellStyle name="Comma 3 3 6 4 2 2" xfId="9649"/>
    <cellStyle name="Comma 3 3 6 4 3" xfId="9648"/>
    <cellStyle name="Comma 3 3 6 4 4" xfId="6015"/>
    <cellStyle name="Comma 3 3 6 5" xfId="2501"/>
    <cellStyle name="Comma 3 3 6 5 2" xfId="9650"/>
    <cellStyle name="Comma 3 3 6 6" xfId="9641"/>
    <cellStyle name="Comma 3 3 6 7" xfId="6011"/>
    <cellStyle name="Comma 3 3 7" xfId="2502"/>
    <cellStyle name="Comma 3 3 7 2" xfId="2503"/>
    <cellStyle name="Comma 3 3 7 2 2" xfId="2504"/>
    <cellStyle name="Comma 3 3 7 2 2 2" xfId="9653"/>
    <cellStyle name="Comma 3 3 7 2 3" xfId="9652"/>
    <cellStyle name="Comma 3 3 7 2 4" xfId="6017"/>
    <cellStyle name="Comma 3 3 7 3" xfId="2505"/>
    <cellStyle name="Comma 3 3 7 3 2" xfId="2506"/>
    <cellStyle name="Comma 3 3 7 3 2 2" xfId="9655"/>
    <cellStyle name="Comma 3 3 7 3 3" xfId="9654"/>
    <cellStyle name="Comma 3 3 7 3 4" xfId="6018"/>
    <cellStyle name="Comma 3 3 7 4" xfId="2507"/>
    <cellStyle name="Comma 3 3 7 4 2" xfId="9656"/>
    <cellStyle name="Comma 3 3 7 5" xfId="9651"/>
    <cellStyle name="Comma 3 3 7 6" xfId="6016"/>
    <cellStyle name="Comma 3 3 8" xfId="2508"/>
    <cellStyle name="Comma 3 3 8 2" xfId="2509"/>
    <cellStyle name="Comma 3 3 8 2 2" xfId="2510"/>
    <cellStyle name="Comma 3 3 8 2 2 2" xfId="9659"/>
    <cellStyle name="Comma 3 3 8 2 3" xfId="9658"/>
    <cellStyle name="Comma 3 3 8 2 4" xfId="6020"/>
    <cellStyle name="Comma 3 3 8 3" xfId="2511"/>
    <cellStyle name="Comma 3 3 8 3 2" xfId="9660"/>
    <cellStyle name="Comma 3 3 8 4" xfId="9657"/>
    <cellStyle name="Comma 3 3 8 5" xfId="6019"/>
    <cellStyle name="Comma 3 3 9" xfId="2512"/>
    <cellStyle name="Comma 3 3 9 2" xfId="2513"/>
    <cellStyle name="Comma 3 3 9 2 2" xfId="9662"/>
    <cellStyle name="Comma 3 3 9 3" xfId="9661"/>
    <cellStyle name="Comma 3 3 9 4" xfId="6021"/>
    <cellStyle name="Comma 3 4" xfId="2514"/>
    <cellStyle name="Comma 3 4 10" xfId="2515"/>
    <cellStyle name="Comma 3 4 10 2" xfId="2516"/>
    <cellStyle name="Comma 3 4 10 2 2" xfId="9665"/>
    <cellStyle name="Comma 3 4 10 3" xfId="9664"/>
    <cellStyle name="Comma 3 4 10 4" xfId="6023"/>
    <cellStyle name="Comma 3 4 11" xfId="2517"/>
    <cellStyle name="Comma 3 4 11 2" xfId="9666"/>
    <cellStyle name="Comma 3 4 12" xfId="9663"/>
    <cellStyle name="Comma 3 4 13" xfId="6022"/>
    <cellStyle name="Comma 3 4 2" xfId="2518"/>
    <cellStyle name="Comma 3 4 2 10" xfId="2519"/>
    <cellStyle name="Comma 3 4 2 10 2" xfId="9668"/>
    <cellStyle name="Comma 3 4 2 11" xfId="9667"/>
    <cellStyle name="Comma 3 4 2 12" xfId="6024"/>
    <cellStyle name="Comma 3 4 2 2" xfId="2520"/>
    <cellStyle name="Comma 3 4 2 2 2" xfId="2521"/>
    <cellStyle name="Comma 3 4 2 2 2 2" xfId="2522"/>
    <cellStyle name="Comma 3 4 2 2 2 2 2" xfId="2523"/>
    <cellStyle name="Comma 3 4 2 2 2 2 2 2" xfId="9672"/>
    <cellStyle name="Comma 3 4 2 2 2 2 3" xfId="9671"/>
    <cellStyle name="Comma 3 4 2 2 2 2 4" xfId="6027"/>
    <cellStyle name="Comma 3 4 2 2 2 3" xfId="2524"/>
    <cellStyle name="Comma 3 4 2 2 2 3 2" xfId="9673"/>
    <cellStyle name="Comma 3 4 2 2 2 4" xfId="9670"/>
    <cellStyle name="Comma 3 4 2 2 2 5" xfId="6026"/>
    <cellStyle name="Comma 3 4 2 2 3" xfId="2525"/>
    <cellStyle name="Comma 3 4 2 2 3 2" xfId="2526"/>
    <cellStyle name="Comma 3 4 2 2 3 2 2" xfId="9675"/>
    <cellStyle name="Comma 3 4 2 2 3 3" xfId="9674"/>
    <cellStyle name="Comma 3 4 2 2 3 4" xfId="6028"/>
    <cellStyle name="Comma 3 4 2 2 4" xfId="2527"/>
    <cellStyle name="Comma 3 4 2 2 4 2" xfId="2528"/>
    <cellStyle name="Comma 3 4 2 2 4 2 2" xfId="9677"/>
    <cellStyle name="Comma 3 4 2 2 4 3" xfId="9676"/>
    <cellStyle name="Comma 3 4 2 2 4 4" xfId="6029"/>
    <cellStyle name="Comma 3 4 2 2 5" xfId="2529"/>
    <cellStyle name="Comma 3 4 2 2 5 2" xfId="9678"/>
    <cellStyle name="Comma 3 4 2 2 6" xfId="9669"/>
    <cellStyle name="Comma 3 4 2 2 7" xfId="6025"/>
    <cellStyle name="Comma 3 4 2 3" xfId="2530"/>
    <cellStyle name="Comma 3 4 2 3 2" xfId="2531"/>
    <cellStyle name="Comma 3 4 2 3 2 2" xfId="2532"/>
    <cellStyle name="Comma 3 4 2 3 2 2 2" xfId="2533"/>
    <cellStyle name="Comma 3 4 2 3 2 2 2 2" xfId="9682"/>
    <cellStyle name="Comma 3 4 2 3 2 2 3" xfId="9681"/>
    <cellStyle name="Comma 3 4 2 3 2 2 4" xfId="6032"/>
    <cellStyle name="Comma 3 4 2 3 2 3" xfId="2534"/>
    <cellStyle name="Comma 3 4 2 3 2 3 2" xfId="9683"/>
    <cellStyle name="Comma 3 4 2 3 2 4" xfId="9680"/>
    <cellStyle name="Comma 3 4 2 3 2 5" xfId="6031"/>
    <cellStyle name="Comma 3 4 2 3 3" xfId="2535"/>
    <cellStyle name="Comma 3 4 2 3 3 2" xfId="2536"/>
    <cellStyle name="Comma 3 4 2 3 3 2 2" xfId="9685"/>
    <cellStyle name="Comma 3 4 2 3 3 3" xfId="9684"/>
    <cellStyle name="Comma 3 4 2 3 3 4" xfId="6033"/>
    <cellStyle name="Comma 3 4 2 3 4" xfId="2537"/>
    <cellStyle name="Comma 3 4 2 3 4 2" xfId="2538"/>
    <cellStyle name="Comma 3 4 2 3 4 2 2" xfId="9687"/>
    <cellStyle name="Comma 3 4 2 3 4 3" xfId="9686"/>
    <cellStyle name="Comma 3 4 2 3 4 4" xfId="6034"/>
    <cellStyle name="Comma 3 4 2 3 5" xfId="2539"/>
    <cellStyle name="Comma 3 4 2 3 5 2" xfId="9688"/>
    <cellStyle name="Comma 3 4 2 3 6" xfId="9679"/>
    <cellStyle name="Comma 3 4 2 3 7" xfId="6030"/>
    <cellStyle name="Comma 3 4 2 4" xfId="2540"/>
    <cellStyle name="Comma 3 4 2 4 2" xfId="2541"/>
    <cellStyle name="Comma 3 4 2 4 2 2" xfId="2542"/>
    <cellStyle name="Comma 3 4 2 4 2 2 2" xfId="2543"/>
    <cellStyle name="Comma 3 4 2 4 2 2 2 2" xfId="9692"/>
    <cellStyle name="Comma 3 4 2 4 2 2 3" xfId="9691"/>
    <cellStyle name="Comma 3 4 2 4 2 2 4" xfId="6037"/>
    <cellStyle name="Comma 3 4 2 4 2 3" xfId="2544"/>
    <cellStyle name="Comma 3 4 2 4 2 3 2" xfId="9693"/>
    <cellStyle name="Comma 3 4 2 4 2 4" xfId="9690"/>
    <cellStyle name="Comma 3 4 2 4 2 5" xfId="6036"/>
    <cellStyle name="Comma 3 4 2 4 3" xfId="2545"/>
    <cellStyle name="Comma 3 4 2 4 3 2" xfId="2546"/>
    <cellStyle name="Comma 3 4 2 4 3 2 2" xfId="9695"/>
    <cellStyle name="Comma 3 4 2 4 3 3" xfId="9694"/>
    <cellStyle name="Comma 3 4 2 4 3 4" xfId="6038"/>
    <cellStyle name="Comma 3 4 2 4 4" xfId="2547"/>
    <cellStyle name="Comma 3 4 2 4 4 2" xfId="2548"/>
    <cellStyle name="Comma 3 4 2 4 4 2 2" xfId="9697"/>
    <cellStyle name="Comma 3 4 2 4 4 3" xfId="9696"/>
    <cellStyle name="Comma 3 4 2 4 4 4" xfId="6039"/>
    <cellStyle name="Comma 3 4 2 4 5" xfId="2549"/>
    <cellStyle name="Comma 3 4 2 4 5 2" xfId="9698"/>
    <cellStyle name="Comma 3 4 2 4 6" xfId="9689"/>
    <cellStyle name="Comma 3 4 2 4 7" xfId="6035"/>
    <cellStyle name="Comma 3 4 2 5" xfId="2550"/>
    <cellStyle name="Comma 3 4 2 5 2" xfId="2551"/>
    <cellStyle name="Comma 3 4 2 5 2 2" xfId="2552"/>
    <cellStyle name="Comma 3 4 2 5 2 2 2" xfId="2553"/>
    <cellStyle name="Comma 3 4 2 5 2 2 2 2" xfId="9702"/>
    <cellStyle name="Comma 3 4 2 5 2 2 3" xfId="9701"/>
    <cellStyle name="Comma 3 4 2 5 2 2 4" xfId="6042"/>
    <cellStyle name="Comma 3 4 2 5 2 3" xfId="2554"/>
    <cellStyle name="Comma 3 4 2 5 2 3 2" xfId="9703"/>
    <cellStyle name="Comma 3 4 2 5 2 4" xfId="9700"/>
    <cellStyle name="Comma 3 4 2 5 2 5" xfId="6041"/>
    <cellStyle name="Comma 3 4 2 5 3" xfId="2555"/>
    <cellStyle name="Comma 3 4 2 5 3 2" xfId="2556"/>
    <cellStyle name="Comma 3 4 2 5 3 2 2" xfId="9705"/>
    <cellStyle name="Comma 3 4 2 5 3 3" xfId="9704"/>
    <cellStyle name="Comma 3 4 2 5 3 4" xfId="6043"/>
    <cellStyle name="Comma 3 4 2 5 4" xfId="2557"/>
    <cellStyle name="Comma 3 4 2 5 4 2" xfId="2558"/>
    <cellStyle name="Comma 3 4 2 5 4 2 2" xfId="9707"/>
    <cellStyle name="Comma 3 4 2 5 4 3" xfId="9706"/>
    <cellStyle name="Comma 3 4 2 5 4 4" xfId="6044"/>
    <cellStyle name="Comma 3 4 2 5 5" xfId="2559"/>
    <cellStyle name="Comma 3 4 2 5 5 2" xfId="9708"/>
    <cellStyle name="Comma 3 4 2 5 6" xfId="9699"/>
    <cellStyle name="Comma 3 4 2 5 7" xfId="6040"/>
    <cellStyle name="Comma 3 4 2 6" xfId="2560"/>
    <cellStyle name="Comma 3 4 2 6 2" xfId="2561"/>
    <cellStyle name="Comma 3 4 2 6 2 2" xfId="2562"/>
    <cellStyle name="Comma 3 4 2 6 2 2 2" xfId="9711"/>
    <cellStyle name="Comma 3 4 2 6 2 3" xfId="9710"/>
    <cellStyle name="Comma 3 4 2 6 2 4" xfId="6046"/>
    <cellStyle name="Comma 3 4 2 6 3" xfId="2563"/>
    <cellStyle name="Comma 3 4 2 6 3 2" xfId="2564"/>
    <cellStyle name="Comma 3 4 2 6 3 2 2" xfId="9713"/>
    <cellStyle name="Comma 3 4 2 6 3 3" xfId="9712"/>
    <cellStyle name="Comma 3 4 2 6 3 4" xfId="6047"/>
    <cellStyle name="Comma 3 4 2 6 4" xfId="2565"/>
    <cellStyle name="Comma 3 4 2 6 4 2" xfId="9714"/>
    <cellStyle name="Comma 3 4 2 6 5" xfId="9709"/>
    <cellStyle name="Comma 3 4 2 6 6" xfId="6045"/>
    <cellStyle name="Comma 3 4 2 7" xfId="2566"/>
    <cellStyle name="Comma 3 4 2 7 2" xfId="2567"/>
    <cellStyle name="Comma 3 4 2 7 2 2" xfId="2568"/>
    <cellStyle name="Comma 3 4 2 7 2 2 2" xfId="9717"/>
    <cellStyle name="Comma 3 4 2 7 2 3" xfId="9716"/>
    <cellStyle name="Comma 3 4 2 7 2 4" xfId="6049"/>
    <cellStyle name="Comma 3 4 2 7 3" xfId="2569"/>
    <cellStyle name="Comma 3 4 2 7 3 2" xfId="9718"/>
    <cellStyle name="Comma 3 4 2 7 4" xfId="9715"/>
    <cellStyle name="Comma 3 4 2 7 5" xfId="6048"/>
    <cellStyle name="Comma 3 4 2 8" xfId="2570"/>
    <cellStyle name="Comma 3 4 2 8 2" xfId="2571"/>
    <cellStyle name="Comma 3 4 2 8 2 2" xfId="9720"/>
    <cellStyle name="Comma 3 4 2 8 3" xfId="9719"/>
    <cellStyle name="Comma 3 4 2 8 4" xfId="6050"/>
    <cellStyle name="Comma 3 4 2 9" xfId="2572"/>
    <cellStyle name="Comma 3 4 2 9 2" xfId="2573"/>
    <cellStyle name="Comma 3 4 2 9 2 2" xfId="9722"/>
    <cellStyle name="Comma 3 4 2 9 3" xfId="9721"/>
    <cellStyle name="Comma 3 4 2 9 4" xfId="6051"/>
    <cellStyle name="Comma 3 4 3" xfId="2574"/>
    <cellStyle name="Comma 3 4 3 2" xfId="2575"/>
    <cellStyle name="Comma 3 4 3 2 2" xfId="2576"/>
    <cellStyle name="Comma 3 4 3 2 2 2" xfId="2577"/>
    <cellStyle name="Comma 3 4 3 2 2 2 2" xfId="9726"/>
    <cellStyle name="Comma 3 4 3 2 2 3" xfId="9725"/>
    <cellStyle name="Comma 3 4 3 2 2 4" xfId="6054"/>
    <cellStyle name="Comma 3 4 3 2 3" xfId="2578"/>
    <cellStyle name="Comma 3 4 3 2 3 2" xfId="9727"/>
    <cellStyle name="Comma 3 4 3 2 4" xfId="9724"/>
    <cellStyle name="Comma 3 4 3 2 5" xfId="6053"/>
    <cellStyle name="Comma 3 4 3 3" xfId="2579"/>
    <cellStyle name="Comma 3 4 3 3 2" xfId="2580"/>
    <cellStyle name="Comma 3 4 3 3 2 2" xfId="9729"/>
    <cellStyle name="Comma 3 4 3 3 3" xfId="9728"/>
    <cellStyle name="Comma 3 4 3 3 4" xfId="6055"/>
    <cellStyle name="Comma 3 4 3 4" xfId="2581"/>
    <cellStyle name="Comma 3 4 3 4 2" xfId="2582"/>
    <cellStyle name="Comma 3 4 3 4 2 2" xfId="9731"/>
    <cellStyle name="Comma 3 4 3 4 3" xfId="9730"/>
    <cellStyle name="Comma 3 4 3 4 4" xfId="6056"/>
    <cellStyle name="Comma 3 4 3 5" xfId="2583"/>
    <cellStyle name="Comma 3 4 3 5 2" xfId="9732"/>
    <cellStyle name="Comma 3 4 3 6" xfId="9723"/>
    <cellStyle name="Comma 3 4 3 7" xfId="6052"/>
    <cellStyle name="Comma 3 4 4" xfId="2584"/>
    <cellStyle name="Comma 3 4 4 2" xfId="2585"/>
    <cellStyle name="Comma 3 4 4 2 2" xfId="2586"/>
    <cellStyle name="Comma 3 4 4 2 2 2" xfId="2587"/>
    <cellStyle name="Comma 3 4 4 2 2 2 2" xfId="9736"/>
    <cellStyle name="Comma 3 4 4 2 2 3" xfId="9735"/>
    <cellStyle name="Comma 3 4 4 2 2 4" xfId="6059"/>
    <cellStyle name="Comma 3 4 4 2 3" xfId="2588"/>
    <cellStyle name="Comma 3 4 4 2 3 2" xfId="9737"/>
    <cellStyle name="Comma 3 4 4 2 4" xfId="9734"/>
    <cellStyle name="Comma 3 4 4 2 5" xfId="6058"/>
    <cellStyle name="Comma 3 4 4 3" xfId="2589"/>
    <cellStyle name="Comma 3 4 4 3 2" xfId="2590"/>
    <cellStyle name="Comma 3 4 4 3 2 2" xfId="9739"/>
    <cellStyle name="Comma 3 4 4 3 3" xfId="9738"/>
    <cellStyle name="Comma 3 4 4 3 4" xfId="6060"/>
    <cellStyle name="Comma 3 4 4 4" xfId="2591"/>
    <cellStyle name="Comma 3 4 4 4 2" xfId="2592"/>
    <cellStyle name="Comma 3 4 4 4 2 2" xfId="9741"/>
    <cellStyle name="Comma 3 4 4 4 3" xfId="9740"/>
    <cellStyle name="Comma 3 4 4 4 4" xfId="6061"/>
    <cellStyle name="Comma 3 4 4 5" xfId="2593"/>
    <cellStyle name="Comma 3 4 4 5 2" xfId="9742"/>
    <cellStyle name="Comma 3 4 4 6" xfId="9733"/>
    <cellStyle name="Comma 3 4 4 7" xfId="6057"/>
    <cellStyle name="Comma 3 4 5" xfId="2594"/>
    <cellStyle name="Comma 3 4 5 2" xfId="2595"/>
    <cellStyle name="Comma 3 4 5 2 2" xfId="2596"/>
    <cellStyle name="Comma 3 4 5 2 2 2" xfId="2597"/>
    <cellStyle name="Comma 3 4 5 2 2 2 2" xfId="9746"/>
    <cellStyle name="Comma 3 4 5 2 2 3" xfId="9745"/>
    <cellStyle name="Comma 3 4 5 2 2 4" xfId="6064"/>
    <cellStyle name="Comma 3 4 5 2 3" xfId="2598"/>
    <cellStyle name="Comma 3 4 5 2 3 2" xfId="9747"/>
    <cellStyle name="Comma 3 4 5 2 4" xfId="9744"/>
    <cellStyle name="Comma 3 4 5 2 5" xfId="6063"/>
    <cellStyle name="Comma 3 4 5 3" xfId="2599"/>
    <cellStyle name="Comma 3 4 5 3 2" xfId="2600"/>
    <cellStyle name="Comma 3 4 5 3 2 2" xfId="9749"/>
    <cellStyle name="Comma 3 4 5 3 3" xfId="9748"/>
    <cellStyle name="Comma 3 4 5 3 4" xfId="6065"/>
    <cellStyle name="Comma 3 4 5 4" xfId="2601"/>
    <cellStyle name="Comma 3 4 5 4 2" xfId="2602"/>
    <cellStyle name="Comma 3 4 5 4 2 2" xfId="9751"/>
    <cellStyle name="Comma 3 4 5 4 3" xfId="9750"/>
    <cellStyle name="Comma 3 4 5 4 4" xfId="6066"/>
    <cellStyle name="Comma 3 4 5 5" xfId="2603"/>
    <cellStyle name="Comma 3 4 5 5 2" xfId="9752"/>
    <cellStyle name="Comma 3 4 5 6" xfId="9743"/>
    <cellStyle name="Comma 3 4 5 7" xfId="6062"/>
    <cellStyle name="Comma 3 4 6" xfId="2604"/>
    <cellStyle name="Comma 3 4 6 2" xfId="2605"/>
    <cellStyle name="Comma 3 4 6 2 2" xfId="2606"/>
    <cellStyle name="Comma 3 4 6 2 2 2" xfId="2607"/>
    <cellStyle name="Comma 3 4 6 2 2 2 2" xfId="9756"/>
    <cellStyle name="Comma 3 4 6 2 2 3" xfId="9755"/>
    <cellStyle name="Comma 3 4 6 2 2 4" xfId="6069"/>
    <cellStyle name="Comma 3 4 6 2 3" xfId="2608"/>
    <cellStyle name="Comma 3 4 6 2 3 2" xfId="9757"/>
    <cellStyle name="Comma 3 4 6 2 4" xfId="9754"/>
    <cellStyle name="Comma 3 4 6 2 5" xfId="6068"/>
    <cellStyle name="Comma 3 4 6 3" xfId="2609"/>
    <cellStyle name="Comma 3 4 6 3 2" xfId="2610"/>
    <cellStyle name="Comma 3 4 6 3 2 2" xfId="9759"/>
    <cellStyle name="Comma 3 4 6 3 3" xfId="9758"/>
    <cellStyle name="Comma 3 4 6 3 4" xfId="6070"/>
    <cellStyle name="Comma 3 4 6 4" xfId="2611"/>
    <cellStyle name="Comma 3 4 6 4 2" xfId="2612"/>
    <cellStyle name="Comma 3 4 6 4 2 2" xfId="9761"/>
    <cellStyle name="Comma 3 4 6 4 3" xfId="9760"/>
    <cellStyle name="Comma 3 4 6 4 4" xfId="6071"/>
    <cellStyle name="Comma 3 4 6 5" xfId="2613"/>
    <cellStyle name="Comma 3 4 6 5 2" xfId="9762"/>
    <cellStyle name="Comma 3 4 6 6" xfId="9753"/>
    <cellStyle name="Comma 3 4 6 7" xfId="6067"/>
    <cellStyle name="Comma 3 4 7" xfId="2614"/>
    <cellStyle name="Comma 3 4 7 2" xfId="2615"/>
    <cellStyle name="Comma 3 4 7 2 2" xfId="2616"/>
    <cellStyle name="Comma 3 4 7 2 2 2" xfId="9765"/>
    <cellStyle name="Comma 3 4 7 2 3" xfId="9764"/>
    <cellStyle name="Comma 3 4 7 2 4" xfId="6073"/>
    <cellStyle name="Comma 3 4 7 3" xfId="2617"/>
    <cellStyle name="Comma 3 4 7 3 2" xfId="2618"/>
    <cellStyle name="Comma 3 4 7 3 2 2" xfId="9767"/>
    <cellStyle name="Comma 3 4 7 3 3" xfId="9766"/>
    <cellStyle name="Comma 3 4 7 3 4" xfId="6074"/>
    <cellStyle name="Comma 3 4 7 4" xfId="2619"/>
    <cellStyle name="Comma 3 4 7 4 2" xfId="9768"/>
    <cellStyle name="Comma 3 4 7 5" xfId="9763"/>
    <cellStyle name="Comma 3 4 7 6" xfId="6072"/>
    <cellStyle name="Comma 3 4 8" xfId="2620"/>
    <cellStyle name="Comma 3 4 8 2" xfId="2621"/>
    <cellStyle name="Comma 3 4 8 2 2" xfId="2622"/>
    <cellStyle name="Comma 3 4 8 2 2 2" xfId="9771"/>
    <cellStyle name="Comma 3 4 8 2 3" xfId="9770"/>
    <cellStyle name="Comma 3 4 8 2 4" xfId="6076"/>
    <cellStyle name="Comma 3 4 8 3" xfId="2623"/>
    <cellStyle name="Comma 3 4 8 3 2" xfId="9772"/>
    <cellStyle name="Comma 3 4 8 4" xfId="9769"/>
    <cellStyle name="Comma 3 4 8 5" xfId="6075"/>
    <cellStyle name="Comma 3 4 9" xfId="2624"/>
    <cellStyle name="Comma 3 4 9 2" xfId="2625"/>
    <cellStyle name="Comma 3 4 9 2 2" xfId="9774"/>
    <cellStyle name="Comma 3 4 9 3" xfId="9773"/>
    <cellStyle name="Comma 3 4 9 4" xfId="6077"/>
    <cellStyle name="Comma 3 5" xfId="2626"/>
    <cellStyle name="Comma 3 5 10" xfId="2627"/>
    <cellStyle name="Comma 3 5 10 2" xfId="9776"/>
    <cellStyle name="Comma 3 5 11" xfId="9775"/>
    <cellStyle name="Comma 3 5 12" xfId="6078"/>
    <cellStyle name="Comma 3 5 2" xfId="2628"/>
    <cellStyle name="Comma 3 5 2 2" xfId="2629"/>
    <cellStyle name="Comma 3 5 2 2 2" xfId="2630"/>
    <cellStyle name="Comma 3 5 2 2 2 2" xfId="2631"/>
    <cellStyle name="Comma 3 5 2 2 2 2 2" xfId="9780"/>
    <cellStyle name="Comma 3 5 2 2 2 3" xfId="9779"/>
    <cellStyle name="Comma 3 5 2 2 2 4" xfId="6081"/>
    <cellStyle name="Comma 3 5 2 2 3" xfId="2632"/>
    <cellStyle name="Comma 3 5 2 2 3 2" xfId="9781"/>
    <cellStyle name="Comma 3 5 2 2 4" xfId="9778"/>
    <cellStyle name="Comma 3 5 2 2 5" xfId="6080"/>
    <cellStyle name="Comma 3 5 2 3" xfId="2633"/>
    <cellStyle name="Comma 3 5 2 3 2" xfId="2634"/>
    <cellStyle name="Comma 3 5 2 3 2 2" xfId="9783"/>
    <cellStyle name="Comma 3 5 2 3 3" xfId="9782"/>
    <cellStyle name="Comma 3 5 2 3 4" xfId="6082"/>
    <cellStyle name="Comma 3 5 2 4" xfId="2635"/>
    <cellStyle name="Comma 3 5 2 4 2" xfId="2636"/>
    <cellStyle name="Comma 3 5 2 4 2 2" xfId="9785"/>
    <cellStyle name="Comma 3 5 2 4 3" xfId="9784"/>
    <cellStyle name="Comma 3 5 2 4 4" xfId="6083"/>
    <cellStyle name="Comma 3 5 2 5" xfId="2637"/>
    <cellStyle name="Comma 3 5 2 5 2" xfId="9786"/>
    <cellStyle name="Comma 3 5 2 6" xfId="9777"/>
    <cellStyle name="Comma 3 5 2 7" xfId="6079"/>
    <cellStyle name="Comma 3 5 3" xfId="2638"/>
    <cellStyle name="Comma 3 5 3 2" xfId="2639"/>
    <cellStyle name="Comma 3 5 3 2 2" xfId="2640"/>
    <cellStyle name="Comma 3 5 3 2 2 2" xfId="2641"/>
    <cellStyle name="Comma 3 5 3 2 2 2 2" xfId="9790"/>
    <cellStyle name="Comma 3 5 3 2 2 3" xfId="9789"/>
    <cellStyle name="Comma 3 5 3 2 2 4" xfId="6086"/>
    <cellStyle name="Comma 3 5 3 2 3" xfId="2642"/>
    <cellStyle name="Comma 3 5 3 2 3 2" xfId="9791"/>
    <cellStyle name="Comma 3 5 3 2 4" xfId="9788"/>
    <cellStyle name="Comma 3 5 3 2 5" xfId="6085"/>
    <cellStyle name="Comma 3 5 3 3" xfId="2643"/>
    <cellStyle name="Comma 3 5 3 3 2" xfId="2644"/>
    <cellStyle name="Comma 3 5 3 3 2 2" xfId="9793"/>
    <cellStyle name="Comma 3 5 3 3 3" xfId="9792"/>
    <cellStyle name="Comma 3 5 3 3 4" xfId="6087"/>
    <cellStyle name="Comma 3 5 3 4" xfId="2645"/>
    <cellStyle name="Comma 3 5 3 4 2" xfId="2646"/>
    <cellStyle name="Comma 3 5 3 4 2 2" xfId="9795"/>
    <cellStyle name="Comma 3 5 3 4 3" xfId="9794"/>
    <cellStyle name="Comma 3 5 3 4 4" xfId="6088"/>
    <cellStyle name="Comma 3 5 3 5" xfId="2647"/>
    <cellStyle name="Comma 3 5 3 5 2" xfId="9796"/>
    <cellStyle name="Comma 3 5 3 6" xfId="9787"/>
    <cellStyle name="Comma 3 5 3 7" xfId="6084"/>
    <cellStyle name="Comma 3 5 4" xfId="2648"/>
    <cellStyle name="Comma 3 5 4 2" xfId="2649"/>
    <cellStyle name="Comma 3 5 4 2 2" xfId="2650"/>
    <cellStyle name="Comma 3 5 4 2 2 2" xfId="2651"/>
    <cellStyle name="Comma 3 5 4 2 2 2 2" xfId="9800"/>
    <cellStyle name="Comma 3 5 4 2 2 3" xfId="9799"/>
    <cellStyle name="Comma 3 5 4 2 2 4" xfId="6091"/>
    <cellStyle name="Comma 3 5 4 2 3" xfId="2652"/>
    <cellStyle name="Comma 3 5 4 2 3 2" xfId="9801"/>
    <cellStyle name="Comma 3 5 4 2 4" xfId="9798"/>
    <cellStyle name="Comma 3 5 4 2 5" xfId="6090"/>
    <cellStyle name="Comma 3 5 4 3" xfId="2653"/>
    <cellStyle name="Comma 3 5 4 3 2" xfId="2654"/>
    <cellStyle name="Comma 3 5 4 3 2 2" xfId="9803"/>
    <cellStyle name="Comma 3 5 4 3 3" xfId="9802"/>
    <cellStyle name="Comma 3 5 4 3 4" xfId="6092"/>
    <cellStyle name="Comma 3 5 4 4" xfId="2655"/>
    <cellStyle name="Comma 3 5 4 4 2" xfId="2656"/>
    <cellStyle name="Comma 3 5 4 4 2 2" xfId="9805"/>
    <cellStyle name="Comma 3 5 4 4 3" xfId="9804"/>
    <cellStyle name="Comma 3 5 4 4 4" xfId="6093"/>
    <cellStyle name="Comma 3 5 4 5" xfId="2657"/>
    <cellStyle name="Comma 3 5 4 5 2" xfId="9806"/>
    <cellStyle name="Comma 3 5 4 6" xfId="9797"/>
    <cellStyle name="Comma 3 5 4 7" xfId="6089"/>
    <cellStyle name="Comma 3 5 5" xfId="2658"/>
    <cellStyle name="Comma 3 5 5 2" xfId="2659"/>
    <cellStyle name="Comma 3 5 5 2 2" xfId="2660"/>
    <cellStyle name="Comma 3 5 5 2 2 2" xfId="2661"/>
    <cellStyle name="Comma 3 5 5 2 2 2 2" xfId="9810"/>
    <cellStyle name="Comma 3 5 5 2 2 3" xfId="9809"/>
    <cellStyle name="Comma 3 5 5 2 2 4" xfId="6096"/>
    <cellStyle name="Comma 3 5 5 2 3" xfId="2662"/>
    <cellStyle name="Comma 3 5 5 2 3 2" xfId="9811"/>
    <cellStyle name="Comma 3 5 5 2 4" xfId="9808"/>
    <cellStyle name="Comma 3 5 5 2 5" xfId="6095"/>
    <cellStyle name="Comma 3 5 5 3" xfId="2663"/>
    <cellStyle name="Comma 3 5 5 3 2" xfId="2664"/>
    <cellStyle name="Comma 3 5 5 3 2 2" xfId="9813"/>
    <cellStyle name="Comma 3 5 5 3 3" xfId="9812"/>
    <cellStyle name="Comma 3 5 5 3 4" xfId="6097"/>
    <cellStyle name="Comma 3 5 5 4" xfId="2665"/>
    <cellStyle name="Comma 3 5 5 4 2" xfId="2666"/>
    <cellStyle name="Comma 3 5 5 4 2 2" xfId="9815"/>
    <cellStyle name="Comma 3 5 5 4 3" xfId="9814"/>
    <cellStyle name="Comma 3 5 5 4 4" xfId="6098"/>
    <cellStyle name="Comma 3 5 5 5" xfId="2667"/>
    <cellStyle name="Comma 3 5 5 5 2" xfId="9816"/>
    <cellStyle name="Comma 3 5 5 6" xfId="9807"/>
    <cellStyle name="Comma 3 5 5 7" xfId="6094"/>
    <cellStyle name="Comma 3 5 6" xfId="2668"/>
    <cellStyle name="Comma 3 5 6 2" xfId="2669"/>
    <cellStyle name="Comma 3 5 6 2 2" xfId="2670"/>
    <cellStyle name="Comma 3 5 6 2 2 2" xfId="9819"/>
    <cellStyle name="Comma 3 5 6 2 3" xfId="9818"/>
    <cellStyle name="Comma 3 5 6 2 4" xfId="6100"/>
    <cellStyle name="Comma 3 5 6 3" xfId="2671"/>
    <cellStyle name="Comma 3 5 6 3 2" xfId="2672"/>
    <cellStyle name="Comma 3 5 6 3 2 2" xfId="9821"/>
    <cellStyle name="Comma 3 5 6 3 3" xfId="9820"/>
    <cellStyle name="Comma 3 5 6 3 4" xfId="6101"/>
    <cellStyle name="Comma 3 5 6 4" xfId="2673"/>
    <cellStyle name="Comma 3 5 6 4 2" xfId="9822"/>
    <cellStyle name="Comma 3 5 6 5" xfId="9817"/>
    <cellStyle name="Comma 3 5 6 6" xfId="6099"/>
    <cellStyle name="Comma 3 5 7" xfId="2674"/>
    <cellStyle name="Comma 3 5 7 2" xfId="2675"/>
    <cellStyle name="Comma 3 5 7 2 2" xfId="2676"/>
    <cellStyle name="Comma 3 5 7 2 2 2" xfId="9825"/>
    <cellStyle name="Comma 3 5 7 2 3" xfId="9824"/>
    <cellStyle name="Comma 3 5 7 2 4" xfId="6103"/>
    <cellStyle name="Comma 3 5 7 3" xfId="2677"/>
    <cellStyle name="Comma 3 5 7 3 2" xfId="9826"/>
    <cellStyle name="Comma 3 5 7 4" xfId="9823"/>
    <cellStyle name="Comma 3 5 7 5" xfId="6102"/>
    <cellStyle name="Comma 3 5 8" xfId="2678"/>
    <cellStyle name="Comma 3 5 8 2" xfId="2679"/>
    <cellStyle name="Comma 3 5 8 2 2" xfId="9828"/>
    <cellStyle name="Comma 3 5 8 3" xfId="9827"/>
    <cellStyle name="Comma 3 5 8 4" xfId="6104"/>
    <cellStyle name="Comma 3 5 9" xfId="2680"/>
    <cellStyle name="Comma 3 5 9 2" xfId="2681"/>
    <cellStyle name="Comma 3 5 9 2 2" xfId="9830"/>
    <cellStyle name="Comma 3 5 9 3" xfId="9829"/>
    <cellStyle name="Comma 3 5 9 4" xfId="6105"/>
    <cellStyle name="Comma 3 6" xfId="2682"/>
    <cellStyle name="Comma 3 6 2" xfId="2683"/>
    <cellStyle name="Comma 3 6 2 2" xfId="2684"/>
    <cellStyle name="Comma 3 6 2 2 2" xfId="2685"/>
    <cellStyle name="Comma 3 6 2 2 2 2" xfId="9834"/>
    <cellStyle name="Comma 3 6 2 2 3" xfId="9833"/>
    <cellStyle name="Comma 3 6 2 2 4" xfId="6108"/>
    <cellStyle name="Comma 3 6 2 3" xfId="2686"/>
    <cellStyle name="Comma 3 6 2 3 2" xfId="9835"/>
    <cellStyle name="Comma 3 6 2 4" xfId="9832"/>
    <cellStyle name="Comma 3 6 2 5" xfId="6107"/>
    <cellStyle name="Comma 3 6 3" xfId="2687"/>
    <cellStyle name="Comma 3 6 3 2" xfId="2688"/>
    <cellStyle name="Comma 3 6 3 2 2" xfId="9837"/>
    <cellStyle name="Comma 3 6 3 3" xfId="9836"/>
    <cellStyle name="Comma 3 6 3 4" xfId="6109"/>
    <cellStyle name="Comma 3 6 4" xfId="2689"/>
    <cellStyle name="Comma 3 6 4 2" xfId="2690"/>
    <cellStyle name="Comma 3 6 4 2 2" xfId="9839"/>
    <cellStyle name="Comma 3 6 4 3" xfId="9838"/>
    <cellStyle name="Comma 3 6 4 4" xfId="6110"/>
    <cellStyle name="Comma 3 6 5" xfId="2691"/>
    <cellStyle name="Comma 3 6 5 2" xfId="9840"/>
    <cellStyle name="Comma 3 6 6" xfId="9831"/>
    <cellStyle name="Comma 3 6 7" xfId="6106"/>
    <cellStyle name="Comma 3 7" xfId="2692"/>
    <cellStyle name="Comma 3 7 2" xfId="2693"/>
    <cellStyle name="Comma 3 7 2 2" xfId="2694"/>
    <cellStyle name="Comma 3 7 2 2 2" xfId="2695"/>
    <cellStyle name="Comma 3 7 2 2 2 2" xfId="9844"/>
    <cellStyle name="Comma 3 7 2 2 3" xfId="9843"/>
    <cellStyle name="Comma 3 7 2 2 4" xfId="6113"/>
    <cellStyle name="Comma 3 7 2 3" xfId="2696"/>
    <cellStyle name="Comma 3 7 2 3 2" xfId="9845"/>
    <cellStyle name="Comma 3 7 2 4" xfId="9842"/>
    <cellStyle name="Comma 3 7 2 5" xfId="6112"/>
    <cellStyle name="Comma 3 7 3" xfId="2697"/>
    <cellStyle name="Comma 3 7 3 2" xfId="2698"/>
    <cellStyle name="Comma 3 7 3 2 2" xfId="9847"/>
    <cellStyle name="Comma 3 7 3 3" xfId="9846"/>
    <cellStyle name="Comma 3 7 3 4" xfId="6114"/>
    <cellStyle name="Comma 3 7 4" xfId="2699"/>
    <cellStyle name="Comma 3 7 4 2" xfId="2700"/>
    <cellStyle name="Comma 3 7 4 2 2" xfId="9849"/>
    <cellStyle name="Comma 3 7 4 3" xfId="9848"/>
    <cellStyle name="Comma 3 7 4 4" xfId="6115"/>
    <cellStyle name="Comma 3 7 5" xfId="2701"/>
    <cellStyle name="Comma 3 7 5 2" xfId="9850"/>
    <cellStyle name="Comma 3 7 6" xfId="9841"/>
    <cellStyle name="Comma 3 7 7" xfId="6111"/>
    <cellStyle name="Comma 3 8" xfId="2702"/>
    <cellStyle name="Comma 3 8 2" xfId="2703"/>
    <cellStyle name="Comma 3 8 2 2" xfId="2704"/>
    <cellStyle name="Comma 3 8 2 2 2" xfId="2705"/>
    <cellStyle name="Comma 3 8 2 2 2 2" xfId="9854"/>
    <cellStyle name="Comma 3 8 2 2 3" xfId="9853"/>
    <cellStyle name="Comma 3 8 2 2 4" xfId="6118"/>
    <cellStyle name="Comma 3 8 2 3" xfId="2706"/>
    <cellStyle name="Comma 3 8 2 3 2" xfId="9855"/>
    <cellStyle name="Comma 3 8 2 4" xfId="9852"/>
    <cellStyle name="Comma 3 8 2 5" xfId="6117"/>
    <cellStyle name="Comma 3 8 3" xfId="2707"/>
    <cellStyle name="Comma 3 8 3 2" xfId="2708"/>
    <cellStyle name="Comma 3 8 3 2 2" xfId="9857"/>
    <cellStyle name="Comma 3 8 3 3" xfId="9856"/>
    <cellStyle name="Comma 3 8 3 4" xfId="6119"/>
    <cellStyle name="Comma 3 8 4" xfId="2709"/>
    <cellStyle name="Comma 3 8 4 2" xfId="2710"/>
    <cellStyle name="Comma 3 8 4 2 2" xfId="9859"/>
    <cellStyle name="Comma 3 8 4 3" xfId="9858"/>
    <cellStyle name="Comma 3 8 4 4" xfId="6120"/>
    <cellStyle name="Comma 3 8 5" xfId="2711"/>
    <cellStyle name="Comma 3 8 5 2" xfId="9860"/>
    <cellStyle name="Comma 3 8 6" xfId="9851"/>
    <cellStyle name="Comma 3 8 7" xfId="6116"/>
    <cellStyle name="Comma 3 9" xfId="2712"/>
    <cellStyle name="Comma 3 9 2" xfId="2713"/>
    <cellStyle name="Comma 3 9 2 2" xfId="2714"/>
    <cellStyle name="Comma 3 9 2 2 2" xfId="2715"/>
    <cellStyle name="Comma 3 9 2 2 2 2" xfId="9864"/>
    <cellStyle name="Comma 3 9 2 2 3" xfId="9863"/>
    <cellStyle name="Comma 3 9 2 2 4" xfId="6123"/>
    <cellStyle name="Comma 3 9 2 3" xfId="2716"/>
    <cellStyle name="Comma 3 9 2 3 2" xfId="9865"/>
    <cellStyle name="Comma 3 9 2 4" xfId="9862"/>
    <cellStyle name="Comma 3 9 2 5" xfId="6122"/>
    <cellStyle name="Comma 3 9 3" xfId="2717"/>
    <cellStyle name="Comma 3 9 3 2" xfId="2718"/>
    <cellStyle name="Comma 3 9 3 2 2" xfId="9867"/>
    <cellStyle name="Comma 3 9 3 3" xfId="9866"/>
    <cellStyle name="Comma 3 9 3 4" xfId="6124"/>
    <cellStyle name="Comma 3 9 4" xfId="2719"/>
    <cellStyle name="Comma 3 9 4 2" xfId="2720"/>
    <cellStyle name="Comma 3 9 4 2 2" xfId="9869"/>
    <cellStyle name="Comma 3 9 4 3" xfId="9868"/>
    <cellStyle name="Comma 3 9 4 4" xfId="6125"/>
    <cellStyle name="Comma 3 9 5" xfId="2721"/>
    <cellStyle name="Comma 3 9 5 2" xfId="9870"/>
    <cellStyle name="Comma 3 9 6" xfId="9861"/>
    <cellStyle name="Comma 3 9 7" xfId="6121"/>
    <cellStyle name="Comma 4" xfId="2722"/>
    <cellStyle name="Comma 4 10" xfId="2723"/>
    <cellStyle name="Comma 4 10 2" xfId="2724"/>
    <cellStyle name="Comma 4 10 2 2" xfId="2725"/>
    <cellStyle name="Comma 4 10 2 2 2" xfId="9874"/>
    <cellStyle name="Comma 4 10 2 3" xfId="9873"/>
    <cellStyle name="Comma 4 10 2 4" xfId="6128"/>
    <cellStyle name="Comma 4 10 3" xfId="2726"/>
    <cellStyle name="Comma 4 10 3 2" xfId="2727"/>
    <cellStyle name="Comma 4 10 3 2 2" xfId="9876"/>
    <cellStyle name="Comma 4 10 3 3" xfId="9875"/>
    <cellStyle name="Comma 4 10 3 4" xfId="6129"/>
    <cellStyle name="Comma 4 10 4" xfId="2728"/>
    <cellStyle name="Comma 4 10 4 2" xfId="9877"/>
    <cellStyle name="Comma 4 10 5" xfId="9872"/>
    <cellStyle name="Comma 4 10 6" xfId="6127"/>
    <cellStyle name="Comma 4 11" xfId="2729"/>
    <cellStyle name="Comma 4 11 2" xfId="2730"/>
    <cellStyle name="Comma 4 11 2 2" xfId="2731"/>
    <cellStyle name="Comma 4 11 2 2 2" xfId="9880"/>
    <cellStyle name="Comma 4 11 2 3" xfId="9879"/>
    <cellStyle name="Comma 4 11 2 4" xfId="6131"/>
    <cellStyle name="Comma 4 11 3" xfId="2732"/>
    <cellStyle name="Comma 4 11 3 2" xfId="9881"/>
    <cellStyle name="Comma 4 11 4" xfId="9878"/>
    <cellStyle name="Comma 4 11 5" xfId="6130"/>
    <cellStyle name="Comma 4 12" xfId="2733"/>
    <cellStyle name="Comma 4 12 2" xfId="2734"/>
    <cellStyle name="Comma 4 12 2 2" xfId="9883"/>
    <cellStyle name="Comma 4 12 3" xfId="9882"/>
    <cellStyle name="Comma 4 12 4" xfId="6132"/>
    <cellStyle name="Comma 4 13" xfId="2735"/>
    <cellStyle name="Comma 4 13 2" xfId="2736"/>
    <cellStyle name="Comma 4 13 2 2" xfId="9885"/>
    <cellStyle name="Comma 4 13 3" xfId="9884"/>
    <cellStyle name="Comma 4 13 4" xfId="6133"/>
    <cellStyle name="Comma 4 14" xfId="2737"/>
    <cellStyle name="Comma 4 14 2" xfId="9886"/>
    <cellStyle name="Comma 4 15" xfId="9871"/>
    <cellStyle name="Comma 4 16" xfId="6126"/>
    <cellStyle name="Comma 4 17" xfId="12329"/>
    <cellStyle name="Comma 4 18" xfId="12339"/>
    <cellStyle name="Comma 4 19" xfId="12354"/>
    <cellStyle name="Comma 4 2" xfId="23"/>
    <cellStyle name="Comma 4 2 10" xfId="2739"/>
    <cellStyle name="Comma 4 2 10 2" xfId="2740"/>
    <cellStyle name="Comma 4 2 10 2 2" xfId="2741"/>
    <cellStyle name="Comma 4 2 10 2 2 2" xfId="9890"/>
    <cellStyle name="Comma 4 2 10 2 3" xfId="9889"/>
    <cellStyle name="Comma 4 2 10 2 4" xfId="6136"/>
    <cellStyle name="Comma 4 2 10 3" xfId="2742"/>
    <cellStyle name="Comma 4 2 10 3 2" xfId="9891"/>
    <cellStyle name="Comma 4 2 10 4" xfId="9888"/>
    <cellStyle name="Comma 4 2 10 5" xfId="6135"/>
    <cellStyle name="Comma 4 2 11" xfId="2743"/>
    <cellStyle name="Comma 4 2 11 2" xfId="2744"/>
    <cellStyle name="Comma 4 2 11 2 2" xfId="9893"/>
    <cellStyle name="Comma 4 2 11 3" xfId="9892"/>
    <cellStyle name="Comma 4 2 11 4" xfId="6137"/>
    <cellStyle name="Comma 4 2 12" xfId="2745"/>
    <cellStyle name="Comma 4 2 12 2" xfId="2746"/>
    <cellStyle name="Comma 4 2 12 2 2" xfId="9895"/>
    <cellStyle name="Comma 4 2 12 3" xfId="9894"/>
    <cellStyle name="Comma 4 2 12 4" xfId="6138"/>
    <cellStyle name="Comma 4 2 13" xfId="2747"/>
    <cellStyle name="Comma 4 2 13 2" xfId="9897"/>
    <cellStyle name="Comma 4 2 13 3" xfId="9896"/>
    <cellStyle name="Comma 4 2 13 4" xfId="6139"/>
    <cellStyle name="Comma 4 2 14" xfId="2738"/>
    <cellStyle name="Comma 4 2 14 2" xfId="9898"/>
    <cellStyle name="Comma 4 2 15" xfId="9887"/>
    <cellStyle name="Comma 4 2 16" xfId="12310"/>
    <cellStyle name="Comma 4 2 17" xfId="6134"/>
    <cellStyle name="Comma 4 2 18" xfId="12328"/>
    <cellStyle name="Comma 4 2 19" xfId="12338"/>
    <cellStyle name="Comma 4 2 2" xfId="2748"/>
    <cellStyle name="Comma 4 2 2 10" xfId="2749"/>
    <cellStyle name="Comma 4 2 2 10 2" xfId="2750"/>
    <cellStyle name="Comma 4 2 2 10 2 2" xfId="9901"/>
    <cellStyle name="Comma 4 2 2 10 3" xfId="9900"/>
    <cellStyle name="Comma 4 2 2 10 4" xfId="6141"/>
    <cellStyle name="Comma 4 2 2 11" xfId="2751"/>
    <cellStyle name="Comma 4 2 2 11 2" xfId="9902"/>
    <cellStyle name="Comma 4 2 2 12" xfId="9899"/>
    <cellStyle name="Comma 4 2 2 13" xfId="6140"/>
    <cellStyle name="Comma 4 2 2 14" xfId="12333"/>
    <cellStyle name="Comma 4 2 2 15" xfId="12343"/>
    <cellStyle name="Comma 4 2 2 16" xfId="12358"/>
    <cellStyle name="Comma 4 2 2 2" xfId="2752"/>
    <cellStyle name="Comma 4 2 2 2 10" xfId="2753"/>
    <cellStyle name="Comma 4 2 2 2 10 2" xfId="9904"/>
    <cellStyle name="Comma 4 2 2 2 11" xfId="9903"/>
    <cellStyle name="Comma 4 2 2 2 12" xfId="6142"/>
    <cellStyle name="Comma 4 2 2 2 2" xfId="2754"/>
    <cellStyle name="Comma 4 2 2 2 2 2" xfId="2755"/>
    <cellStyle name="Comma 4 2 2 2 2 2 2" xfId="2756"/>
    <cellStyle name="Comma 4 2 2 2 2 2 2 2" xfId="2757"/>
    <cellStyle name="Comma 4 2 2 2 2 2 2 2 2" xfId="9908"/>
    <cellStyle name="Comma 4 2 2 2 2 2 2 3" xfId="9907"/>
    <cellStyle name="Comma 4 2 2 2 2 2 2 4" xfId="6145"/>
    <cellStyle name="Comma 4 2 2 2 2 2 3" xfId="2758"/>
    <cellStyle name="Comma 4 2 2 2 2 2 3 2" xfId="9909"/>
    <cellStyle name="Comma 4 2 2 2 2 2 4" xfId="9906"/>
    <cellStyle name="Comma 4 2 2 2 2 2 5" xfId="6144"/>
    <cellStyle name="Comma 4 2 2 2 2 3" xfId="2759"/>
    <cellStyle name="Comma 4 2 2 2 2 3 2" xfId="2760"/>
    <cellStyle name="Comma 4 2 2 2 2 3 2 2" xfId="9911"/>
    <cellStyle name="Comma 4 2 2 2 2 3 3" xfId="9910"/>
    <cellStyle name="Comma 4 2 2 2 2 3 4" xfId="6146"/>
    <cellStyle name="Comma 4 2 2 2 2 4" xfId="2761"/>
    <cellStyle name="Comma 4 2 2 2 2 4 2" xfId="2762"/>
    <cellStyle name="Comma 4 2 2 2 2 4 2 2" xfId="9913"/>
    <cellStyle name="Comma 4 2 2 2 2 4 3" xfId="9912"/>
    <cellStyle name="Comma 4 2 2 2 2 4 4" xfId="6147"/>
    <cellStyle name="Comma 4 2 2 2 2 5" xfId="2763"/>
    <cellStyle name="Comma 4 2 2 2 2 5 2" xfId="9914"/>
    <cellStyle name="Comma 4 2 2 2 2 6" xfId="9905"/>
    <cellStyle name="Comma 4 2 2 2 2 7" xfId="6143"/>
    <cellStyle name="Comma 4 2 2 2 3" xfId="2764"/>
    <cellStyle name="Comma 4 2 2 2 3 2" xfId="2765"/>
    <cellStyle name="Comma 4 2 2 2 3 2 2" xfId="2766"/>
    <cellStyle name="Comma 4 2 2 2 3 2 2 2" xfId="2767"/>
    <cellStyle name="Comma 4 2 2 2 3 2 2 2 2" xfId="9918"/>
    <cellStyle name="Comma 4 2 2 2 3 2 2 3" xfId="9917"/>
    <cellStyle name="Comma 4 2 2 2 3 2 2 4" xfId="6150"/>
    <cellStyle name="Comma 4 2 2 2 3 2 3" xfId="2768"/>
    <cellStyle name="Comma 4 2 2 2 3 2 3 2" xfId="9919"/>
    <cellStyle name="Comma 4 2 2 2 3 2 4" xfId="9916"/>
    <cellStyle name="Comma 4 2 2 2 3 2 5" xfId="6149"/>
    <cellStyle name="Comma 4 2 2 2 3 3" xfId="2769"/>
    <cellStyle name="Comma 4 2 2 2 3 3 2" xfId="2770"/>
    <cellStyle name="Comma 4 2 2 2 3 3 2 2" xfId="9921"/>
    <cellStyle name="Comma 4 2 2 2 3 3 3" xfId="9920"/>
    <cellStyle name="Comma 4 2 2 2 3 3 4" xfId="6151"/>
    <cellStyle name="Comma 4 2 2 2 3 4" xfId="2771"/>
    <cellStyle name="Comma 4 2 2 2 3 4 2" xfId="2772"/>
    <cellStyle name="Comma 4 2 2 2 3 4 2 2" xfId="9923"/>
    <cellStyle name="Comma 4 2 2 2 3 4 3" xfId="9922"/>
    <cellStyle name="Comma 4 2 2 2 3 4 4" xfId="6152"/>
    <cellStyle name="Comma 4 2 2 2 3 5" xfId="2773"/>
    <cellStyle name="Comma 4 2 2 2 3 5 2" xfId="9924"/>
    <cellStyle name="Comma 4 2 2 2 3 6" xfId="9915"/>
    <cellStyle name="Comma 4 2 2 2 3 7" xfId="6148"/>
    <cellStyle name="Comma 4 2 2 2 4" xfId="2774"/>
    <cellStyle name="Comma 4 2 2 2 4 2" xfId="2775"/>
    <cellStyle name="Comma 4 2 2 2 4 2 2" xfId="2776"/>
    <cellStyle name="Comma 4 2 2 2 4 2 2 2" xfId="2777"/>
    <cellStyle name="Comma 4 2 2 2 4 2 2 2 2" xfId="9928"/>
    <cellStyle name="Comma 4 2 2 2 4 2 2 3" xfId="9927"/>
    <cellStyle name="Comma 4 2 2 2 4 2 2 4" xfId="6155"/>
    <cellStyle name="Comma 4 2 2 2 4 2 3" xfId="2778"/>
    <cellStyle name="Comma 4 2 2 2 4 2 3 2" xfId="9929"/>
    <cellStyle name="Comma 4 2 2 2 4 2 4" xfId="9926"/>
    <cellStyle name="Comma 4 2 2 2 4 2 5" xfId="6154"/>
    <cellStyle name="Comma 4 2 2 2 4 3" xfId="2779"/>
    <cellStyle name="Comma 4 2 2 2 4 3 2" xfId="2780"/>
    <cellStyle name="Comma 4 2 2 2 4 3 2 2" xfId="9931"/>
    <cellStyle name="Comma 4 2 2 2 4 3 3" xfId="9930"/>
    <cellStyle name="Comma 4 2 2 2 4 3 4" xfId="6156"/>
    <cellStyle name="Comma 4 2 2 2 4 4" xfId="2781"/>
    <cellStyle name="Comma 4 2 2 2 4 4 2" xfId="2782"/>
    <cellStyle name="Comma 4 2 2 2 4 4 2 2" xfId="9933"/>
    <cellStyle name="Comma 4 2 2 2 4 4 3" xfId="9932"/>
    <cellStyle name="Comma 4 2 2 2 4 4 4" xfId="6157"/>
    <cellStyle name="Comma 4 2 2 2 4 5" xfId="2783"/>
    <cellStyle name="Comma 4 2 2 2 4 5 2" xfId="9934"/>
    <cellStyle name="Comma 4 2 2 2 4 6" xfId="9925"/>
    <cellStyle name="Comma 4 2 2 2 4 7" xfId="6153"/>
    <cellStyle name="Comma 4 2 2 2 5" xfId="2784"/>
    <cellStyle name="Comma 4 2 2 2 5 2" xfId="2785"/>
    <cellStyle name="Comma 4 2 2 2 5 2 2" xfId="2786"/>
    <cellStyle name="Comma 4 2 2 2 5 2 2 2" xfId="2787"/>
    <cellStyle name="Comma 4 2 2 2 5 2 2 2 2" xfId="9938"/>
    <cellStyle name="Comma 4 2 2 2 5 2 2 3" xfId="9937"/>
    <cellStyle name="Comma 4 2 2 2 5 2 2 4" xfId="6160"/>
    <cellStyle name="Comma 4 2 2 2 5 2 3" xfId="2788"/>
    <cellStyle name="Comma 4 2 2 2 5 2 3 2" xfId="9939"/>
    <cellStyle name="Comma 4 2 2 2 5 2 4" xfId="9936"/>
    <cellStyle name="Comma 4 2 2 2 5 2 5" xfId="6159"/>
    <cellStyle name="Comma 4 2 2 2 5 3" xfId="2789"/>
    <cellStyle name="Comma 4 2 2 2 5 3 2" xfId="2790"/>
    <cellStyle name="Comma 4 2 2 2 5 3 2 2" xfId="9941"/>
    <cellStyle name="Comma 4 2 2 2 5 3 3" xfId="9940"/>
    <cellStyle name="Comma 4 2 2 2 5 3 4" xfId="6161"/>
    <cellStyle name="Comma 4 2 2 2 5 4" xfId="2791"/>
    <cellStyle name="Comma 4 2 2 2 5 4 2" xfId="2792"/>
    <cellStyle name="Comma 4 2 2 2 5 4 2 2" xfId="9943"/>
    <cellStyle name="Comma 4 2 2 2 5 4 3" xfId="9942"/>
    <cellStyle name="Comma 4 2 2 2 5 4 4" xfId="6162"/>
    <cellStyle name="Comma 4 2 2 2 5 5" xfId="2793"/>
    <cellStyle name="Comma 4 2 2 2 5 5 2" xfId="9944"/>
    <cellStyle name="Comma 4 2 2 2 5 6" xfId="9935"/>
    <cellStyle name="Comma 4 2 2 2 5 7" xfId="6158"/>
    <cellStyle name="Comma 4 2 2 2 6" xfId="2794"/>
    <cellStyle name="Comma 4 2 2 2 6 2" xfId="2795"/>
    <cellStyle name="Comma 4 2 2 2 6 2 2" xfId="2796"/>
    <cellStyle name="Comma 4 2 2 2 6 2 2 2" xfId="9947"/>
    <cellStyle name="Comma 4 2 2 2 6 2 3" xfId="9946"/>
    <cellStyle name="Comma 4 2 2 2 6 2 4" xfId="6164"/>
    <cellStyle name="Comma 4 2 2 2 6 3" xfId="2797"/>
    <cellStyle name="Comma 4 2 2 2 6 3 2" xfId="2798"/>
    <cellStyle name="Comma 4 2 2 2 6 3 2 2" xfId="9949"/>
    <cellStyle name="Comma 4 2 2 2 6 3 3" xfId="9948"/>
    <cellStyle name="Comma 4 2 2 2 6 3 4" xfId="6165"/>
    <cellStyle name="Comma 4 2 2 2 6 4" xfId="2799"/>
    <cellStyle name="Comma 4 2 2 2 6 4 2" xfId="9950"/>
    <cellStyle name="Comma 4 2 2 2 6 5" xfId="9945"/>
    <cellStyle name="Comma 4 2 2 2 6 6" xfId="6163"/>
    <cellStyle name="Comma 4 2 2 2 7" xfId="2800"/>
    <cellStyle name="Comma 4 2 2 2 7 2" xfId="2801"/>
    <cellStyle name="Comma 4 2 2 2 7 2 2" xfId="2802"/>
    <cellStyle name="Comma 4 2 2 2 7 2 2 2" xfId="9953"/>
    <cellStyle name="Comma 4 2 2 2 7 2 3" xfId="9952"/>
    <cellStyle name="Comma 4 2 2 2 7 2 4" xfId="6167"/>
    <cellStyle name="Comma 4 2 2 2 7 3" xfId="2803"/>
    <cellStyle name="Comma 4 2 2 2 7 3 2" xfId="9954"/>
    <cellStyle name="Comma 4 2 2 2 7 4" xfId="9951"/>
    <cellStyle name="Comma 4 2 2 2 7 5" xfId="6166"/>
    <cellStyle name="Comma 4 2 2 2 8" xfId="2804"/>
    <cellStyle name="Comma 4 2 2 2 8 2" xfId="2805"/>
    <cellStyle name="Comma 4 2 2 2 8 2 2" xfId="9956"/>
    <cellStyle name="Comma 4 2 2 2 8 3" xfId="9955"/>
    <cellStyle name="Comma 4 2 2 2 8 4" xfId="6168"/>
    <cellStyle name="Comma 4 2 2 2 9" xfId="2806"/>
    <cellStyle name="Comma 4 2 2 2 9 2" xfId="2807"/>
    <cellStyle name="Comma 4 2 2 2 9 2 2" xfId="9958"/>
    <cellStyle name="Comma 4 2 2 2 9 3" xfId="9957"/>
    <cellStyle name="Comma 4 2 2 2 9 4" xfId="6169"/>
    <cellStyle name="Comma 4 2 2 3" xfId="2808"/>
    <cellStyle name="Comma 4 2 2 3 2" xfId="2809"/>
    <cellStyle name="Comma 4 2 2 3 2 2" xfId="2810"/>
    <cellStyle name="Comma 4 2 2 3 2 2 2" xfId="2811"/>
    <cellStyle name="Comma 4 2 2 3 2 2 2 2" xfId="9962"/>
    <cellStyle name="Comma 4 2 2 3 2 2 3" xfId="9961"/>
    <cellStyle name="Comma 4 2 2 3 2 2 4" xfId="6172"/>
    <cellStyle name="Comma 4 2 2 3 2 3" xfId="2812"/>
    <cellStyle name="Comma 4 2 2 3 2 3 2" xfId="9963"/>
    <cellStyle name="Comma 4 2 2 3 2 4" xfId="9960"/>
    <cellStyle name="Comma 4 2 2 3 2 5" xfId="6171"/>
    <cellStyle name="Comma 4 2 2 3 3" xfId="2813"/>
    <cellStyle name="Comma 4 2 2 3 3 2" xfId="2814"/>
    <cellStyle name="Comma 4 2 2 3 3 2 2" xfId="9965"/>
    <cellStyle name="Comma 4 2 2 3 3 3" xfId="9964"/>
    <cellStyle name="Comma 4 2 2 3 3 4" xfId="6173"/>
    <cellStyle name="Comma 4 2 2 3 4" xfId="2815"/>
    <cellStyle name="Comma 4 2 2 3 4 2" xfId="2816"/>
    <cellStyle name="Comma 4 2 2 3 4 2 2" xfId="9967"/>
    <cellStyle name="Comma 4 2 2 3 4 3" xfId="9966"/>
    <cellStyle name="Comma 4 2 2 3 4 4" xfId="6174"/>
    <cellStyle name="Comma 4 2 2 3 5" xfId="2817"/>
    <cellStyle name="Comma 4 2 2 3 5 2" xfId="9968"/>
    <cellStyle name="Comma 4 2 2 3 6" xfId="9959"/>
    <cellStyle name="Comma 4 2 2 3 7" xfId="6170"/>
    <cellStyle name="Comma 4 2 2 4" xfId="2818"/>
    <cellStyle name="Comma 4 2 2 4 2" xfId="2819"/>
    <cellStyle name="Comma 4 2 2 4 2 2" xfId="2820"/>
    <cellStyle name="Comma 4 2 2 4 2 2 2" xfId="2821"/>
    <cellStyle name="Comma 4 2 2 4 2 2 2 2" xfId="9972"/>
    <cellStyle name="Comma 4 2 2 4 2 2 3" xfId="9971"/>
    <cellStyle name="Comma 4 2 2 4 2 2 4" xfId="6177"/>
    <cellStyle name="Comma 4 2 2 4 2 3" xfId="2822"/>
    <cellStyle name="Comma 4 2 2 4 2 3 2" xfId="9973"/>
    <cellStyle name="Comma 4 2 2 4 2 4" xfId="9970"/>
    <cellStyle name="Comma 4 2 2 4 2 5" xfId="6176"/>
    <cellStyle name="Comma 4 2 2 4 3" xfId="2823"/>
    <cellStyle name="Comma 4 2 2 4 3 2" xfId="2824"/>
    <cellStyle name="Comma 4 2 2 4 3 2 2" xfId="9975"/>
    <cellStyle name="Comma 4 2 2 4 3 3" xfId="9974"/>
    <cellStyle name="Comma 4 2 2 4 3 4" xfId="6178"/>
    <cellStyle name="Comma 4 2 2 4 4" xfId="2825"/>
    <cellStyle name="Comma 4 2 2 4 4 2" xfId="2826"/>
    <cellStyle name="Comma 4 2 2 4 4 2 2" xfId="9977"/>
    <cellStyle name="Comma 4 2 2 4 4 3" xfId="9976"/>
    <cellStyle name="Comma 4 2 2 4 4 4" xfId="6179"/>
    <cellStyle name="Comma 4 2 2 4 5" xfId="2827"/>
    <cellStyle name="Comma 4 2 2 4 5 2" xfId="9978"/>
    <cellStyle name="Comma 4 2 2 4 6" xfId="9969"/>
    <cellStyle name="Comma 4 2 2 4 7" xfId="6175"/>
    <cellStyle name="Comma 4 2 2 5" xfId="2828"/>
    <cellStyle name="Comma 4 2 2 5 2" xfId="2829"/>
    <cellStyle name="Comma 4 2 2 5 2 2" xfId="2830"/>
    <cellStyle name="Comma 4 2 2 5 2 2 2" xfId="2831"/>
    <cellStyle name="Comma 4 2 2 5 2 2 2 2" xfId="9982"/>
    <cellStyle name="Comma 4 2 2 5 2 2 3" xfId="9981"/>
    <cellStyle name="Comma 4 2 2 5 2 2 4" xfId="6182"/>
    <cellStyle name="Comma 4 2 2 5 2 3" xfId="2832"/>
    <cellStyle name="Comma 4 2 2 5 2 3 2" xfId="9983"/>
    <cellStyle name="Comma 4 2 2 5 2 4" xfId="9980"/>
    <cellStyle name="Comma 4 2 2 5 2 5" xfId="6181"/>
    <cellStyle name="Comma 4 2 2 5 3" xfId="2833"/>
    <cellStyle name="Comma 4 2 2 5 3 2" xfId="2834"/>
    <cellStyle name="Comma 4 2 2 5 3 2 2" xfId="9985"/>
    <cellStyle name="Comma 4 2 2 5 3 3" xfId="9984"/>
    <cellStyle name="Comma 4 2 2 5 3 4" xfId="6183"/>
    <cellStyle name="Comma 4 2 2 5 4" xfId="2835"/>
    <cellStyle name="Comma 4 2 2 5 4 2" xfId="2836"/>
    <cellStyle name="Comma 4 2 2 5 4 2 2" xfId="9987"/>
    <cellStyle name="Comma 4 2 2 5 4 3" xfId="9986"/>
    <cellStyle name="Comma 4 2 2 5 4 4" xfId="6184"/>
    <cellStyle name="Comma 4 2 2 5 5" xfId="2837"/>
    <cellStyle name="Comma 4 2 2 5 5 2" xfId="9988"/>
    <cellStyle name="Comma 4 2 2 5 6" xfId="9979"/>
    <cellStyle name="Comma 4 2 2 5 7" xfId="6180"/>
    <cellStyle name="Comma 4 2 2 6" xfId="2838"/>
    <cellStyle name="Comma 4 2 2 6 2" xfId="2839"/>
    <cellStyle name="Comma 4 2 2 6 2 2" xfId="2840"/>
    <cellStyle name="Comma 4 2 2 6 2 2 2" xfId="2841"/>
    <cellStyle name="Comma 4 2 2 6 2 2 2 2" xfId="9992"/>
    <cellStyle name="Comma 4 2 2 6 2 2 3" xfId="9991"/>
    <cellStyle name="Comma 4 2 2 6 2 2 4" xfId="6187"/>
    <cellStyle name="Comma 4 2 2 6 2 3" xfId="2842"/>
    <cellStyle name="Comma 4 2 2 6 2 3 2" xfId="9993"/>
    <cellStyle name="Comma 4 2 2 6 2 4" xfId="9990"/>
    <cellStyle name="Comma 4 2 2 6 2 5" xfId="6186"/>
    <cellStyle name="Comma 4 2 2 6 3" xfId="2843"/>
    <cellStyle name="Comma 4 2 2 6 3 2" xfId="2844"/>
    <cellStyle name="Comma 4 2 2 6 3 2 2" xfId="9995"/>
    <cellStyle name="Comma 4 2 2 6 3 3" xfId="9994"/>
    <cellStyle name="Comma 4 2 2 6 3 4" xfId="6188"/>
    <cellStyle name="Comma 4 2 2 6 4" xfId="2845"/>
    <cellStyle name="Comma 4 2 2 6 4 2" xfId="2846"/>
    <cellStyle name="Comma 4 2 2 6 4 2 2" xfId="9997"/>
    <cellStyle name="Comma 4 2 2 6 4 3" xfId="9996"/>
    <cellStyle name="Comma 4 2 2 6 4 4" xfId="6189"/>
    <cellStyle name="Comma 4 2 2 6 5" xfId="2847"/>
    <cellStyle name="Comma 4 2 2 6 5 2" xfId="9998"/>
    <cellStyle name="Comma 4 2 2 6 6" xfId="9989"/>
    <cellStyle name="Comma 4 2 2 6 7" xfId="6185"/>
    <cellStyle name="Comma 4 2 2 7" xfId="2848"/>
    <cellStyle name="Comma 4 2 2 7 2" xfId="2849"/>
    <cellStyle name="Comma 4 2 2 7 2 2" xfId="2850"/>
    <cellStyle name="Comma 4 2 2 7 2 2 2" xfId="10001"/>
    <cellStyle name="Comma 4 2 2 7 2 3" xfId="10000"/>
    <cellStyle name="Comma 4 2 2 7 2 4" xfId="6191"/>
    <cellStyle name="Comma 4 2 2 7 3" xfId="2851"/>
    <cellStyle name="Comma 4 2 2 7 3 2" xfId="2852"/>
    <cellStyle name="Comma 4 2 2 7 3 2 2" xfId="10003"/>
    <cellStyle name="Comma 4 2 2 7 3 3" xfId="10002"/>
    <cellStyle name="Comma 4 2 2 7 3 4" xfId="6192"/>
    <cellStyle name="Comma 4 2 2 7 4" xfId="2853"/>
    <cellStyle name="Comma 4 2 2 7 4 2" xfId="10004"/>
    <cellStyle name="Comma 4 2 2 7 5" xfId="9999"/>
    <cellStyle name="Comma 4 2 2 7 6" xfId="6190"/>
    <cellStyle name="Comma 4 2 2 8" xfId="2854"/>
    <cellStyle name="Comma 4 2 2 8 2" xfId="2855"/>
    <cellStyle name="Comma 4 2 2 8 2 2" xfId="2856"/>
    <cellStyle name="Comma 4 2 2 8 2 2 2" xfId="10007"/>
    <cellStyle name="Comma 4 2 2 8 2 3" xfId="10006"/>
    <cellStyle name="Comma 4 2 2 8 2 4" xfId="6194"/>
    <cellStyle name="Comma 4 2 2 8 3" xfId="2857"/>
    <cellStyle name="Comma 4 2 2 8 3 2" xfId="10008"/>
    <cellStyle name="Comma 4 2 2 8 4" xfId="10005"/>
    <cellStyle name="Comma 4 2 2 8 5" xfId="6193"/>
    <cellStyle name="Comma 4 2 2 9" xfId="2858"/>
    <cellStyle name="Comma 4 2 2 9 2" xfId="2859"/>
    <cellStyle name="Comma 4 2 2 9 2 2" xfId="10010"/>
    <cellStyle name="Comma 4 2 2 9 3" xfId="10009"/>
    <cellStyle name="Comma 4 2 2 9 4" xfId="6195"/>
    <cellStyle name="Comma 4 2 20" xfId="12353"/>
    <cellStyle name="Comma 4 2 3" xfId="2860"/>
    <cellStyle name="Comma 4 2 3 10" xfId="2861"/>
    <cellStyle name="Comma 4 2 3 10 2" xfId="2862"/>
    <cellStyle name="Comma 4 2 3 10 2 2" xfId="10013"/>
    <cellStyle name="Comma 4 2 3 10 3" xfId="10012"/>
    <cellStyle name="Comma 4 2 3 10 4" xfId="6197"/>
    <cellStyle name="Comma 4 2 3 11" xfId="2863"/>
    <cellStyle name="Comma 4 2 3 11 2" xfId="10014"/>
    <cellStyle name="Comma 4 2 3 12" xfId="10011"/>
    <cellStyle name="Comma 4 2 3 13" xfId="6196"/>
    <cellStyle name="Comma 4 2 3 14" xfId="12348"/>
    <cellStyle name="Comma 4 2 3 15" xfId="12363"/>
    <cellStyle name="Comma 4 2 3 2" xfId="2864"/>
    <cellStyle name="Comma 4 2 3 2 10" xfId="2865"/>
    <cellStyle name="Comma 4 2 3 2 10 2" xfId="10016"/>
    <cellStyle name="Comma 4 2 3 2 11" xfId="10015"/>
    <cellStyle name="Comma 4 2 3 2 12" xfId="6198"/>
    <cellStyle name="Comma 4 2 3 2 2" xfId="2866"/>
    <cellStyle name="Comma 4 2 3 2 2 2" xfId="2867"/>
    <cellStyle name="Comma 4 2 3 2 2 2 2" xfId="2868"/>
    <cellStyle name="Comma 4 2 3 2 2 2 2 2" xfId="2869"/>
    <cellStyle name="Comma 4 2 3 2 2 2 2 2 2" xfId="10020"/>
    <cellStyle name="Comma 4 2 3 2 2 2 2 3" xfId="10019"/>
    <cellStyle name="Comma 4 2 3 2 2 2 2 4" xfId="6201"/>
    <cellStyle name="Comma 4 2 3 2 2 2 3" xfId="2870"/>
    <cellStyle name="Comma 4 2 3 2 2 2 3 2" xfId="10021"/>
    <cellStyle name="Comma 4 2 3 2 2 2 4" xfId="10018"/>
    <cellStyle name="Comma 4 2 3 2 2 2 5" xfId="6200"/>
    <cellStyle name="Comma 4 2 3 2 2 3" xfId="2871"/>
    <cellStyle name="Comma 4 2 3 2 2 3 2" xfId="2872"/>
    <cellStyle name="Comma 4 2 3 2 2 3 2 2" xfId="10023"/>
    <cellStyle name="Comma 4 2 3 2 2 3 3" xfId="10022"/>
    <cellStyle name="Comma 4 2 3 2 2 3 4" xfId="6202"/>
    <cellStyle name="Comma 4 2 3 2 2 4" xfId="2873"/>
    <cellStyle name="Comma 4 2 3 2 2 4 2" xfId="2874"/>
    <cellStyle name="Comma 4 2 3 2 2 4 2 2" xfId="10025"/>
    <cellStyle name="Comma 4 2 3 2 2 4 3" xfId="10024"/>
    <cellStyle name="Comma 4 2 3 2 2 4 4" xfId="6203"/>
    <cellStyle name="Comma 4 2 3 2 2 5" xfId="2875"/>
    <cellStyle name="Comma 4 2 3 2 2 5 2" xfId="10026"/>
    <cellStyle name="Comma 4 2 3 2 2 6" xfId="10017"/>
    <cellStyle name="Comma 4 2 3 2 2 7" xfId="6199"/>
    <cellStyle name="Comma 4 2 3 2 3" xfId="2876"/>
    <cellStyle name="Comma 4 2 3 2 3 2" xfId="2877"/>
    <cellStyle name="Comma 4 2 3 2 3 2 2" xfId="2878"/>
    <cellStyle name="Comma 4 2 3 2 3 2 2 2" xfId="2879"/>
    <cellStyle name="Comma 4 2 3 2 3 2 2 2 2" xfId="10030"/>
    <cellStyle name="Comma 4 2 3 2 3 2 2 3" xfId="10029"/>
    <cellStyle name="Comma 4 2 3 2 3 2 2 4" xfId="6206"/>
    <cellStyle name="Comma 4 2 3 2 3 2 3" xfId="2880"/>
    <cellStyle name="Comma 4 2 3 2 3 2 3 2" xfId="10031"/>
    <cellStyle name="Comma 4 2 3 2 3 2 4" xfId="10028"/>
    <cellStyle name="Comma 4 2 3 2 3 2 5" xfId="6205"/>
    <cellStyle name="Comma 4 2 3 2 3 3" xfId="2881"/>
    <cellStyle name="Comma 4 2 3 2 3 3 2" xfId="2882"/>
    <cellStyle name="Comma 4 2 3 2 3 3 2 2" xfId="10033"/>
    <cellStyle name="Comma 4 2 3 2 3 3 3" xfId="10032"/>
    <cellStyle name="Comma 4 2 3 2 3 3 4" xfId="6207"/>
    <cellStyle name="Comma 4 2 3 2 3 4" xfId="2883"/>
    <cellStyle name="Comma 4 2 3 2 3 4 2" xfId="2884"/>
    <cellStyle name="Comma 4 2 3 2 3 4 2 2" xfId="10035"/>
    <cellStyle name="Comma 4 2 3 2 3 4 3" xfId="10034"/>
    <cellStyle name="Comma 4 2 3 2 3 4 4" xfId="6208"/>
    <cellStyle name="Comma 4 2 3 2 3 5" xfId="2885"/>
    <cellStyle name="Comma 4 2 3 2 3 5 2" xfId="10036"/>
    <cellStyle name="Comma 4 2 3 2 3 6" xfId="10027"/>
    <cellStyle name="Comma 4 2 3 2 3 7" xfId="6204"/>
    <cellStyle name="Comma 4 2 3 2 4" xfId="2886"/>
    <cellStyle name="Comma 4 2 3 2 4 2" xfId="2887"/>
    <cellStyle name="Comma 4 2 3 2 4 2 2" xfId="2888"/>
    <cellStyle name="Comma 4 2 3 2 4 2 2 2" xfId="2889"/>
    <cellStyle name="Comma 4 2 3 2 4 2 2 2 2" xfId="10040"/>
    <cellStyle name="Comma 4 2 3 2 4 2 2 3" xfId="10039"/>
    <cellStyle name="Comma 4 2 3 2 4 2 2 4" xfId="6211"/>
    <cellStyle name="Comma 4 2 3 2 4 2 3" xfId="2890"/>
    <cellStyle name="Comma 4 2 3 2 4 2 3 2" xfId="10041"/>
    <cellStyle name="Comma 4 2 3 2 4 2 4" xfId="10038"/>
    <cellStyle name="Comma 4 2 3 2 4 2 5" xfId="6210"/>
    <cellStyle name="Comma 4 2 3 2 4 3" xfId="2891"/>
    <cellStyle name="Comma 4 2 3 2 4 3 2" xfId="2892"/>
    <cellStyle name="Comma 4 2 3 2 4 3 2 2" xfId="10043"/>
    <cellStyle name="Comma 4 2 3 2 4 3 3" xfId="10042"/>
    <cellStyle name="Comma 4 2 3 2 4 3 4" xfId="6212"/>
    <cellStyle name="Comma 4 2 3 2 4 4" xfId="2893"/>
    <cellStyle name="Comma 4 2 3 2 4 4 2" xfId="2894"/>
    <cellStyle name="Comma 4 2 3 2 4 4 2 2" xfId="10045"/>
    <cellStyle name="Comma 4 2 3 2 4 4 3" xfId="10044"/>
    <cellStyle name="Comma 4 2 3 2 4 4 4" xfId="6213"/>
    <cellStyle name="Comma 4 2 3 2 4 5" xfId="2895"/>
    <cellStyle name="Comma 4 2 3 2 4 5 2" xfId="10046"/>
    <cellStyle name="Comma 4 2 3 2 4 6" xfId="10037"/>
    <cellStyle name="Comma 4 2 3 2 4 7" xfId="6209"/>
    <cellStyle name="Comma 4 2 3 2 5" xfId="2896"/>
    <cellStyle name="Comma 4 2 3 2 5 2" xfId="2897"/>
    <cellStyle name="Comma 4 2 3 2 5 2 2" xfId="2898"/>
    <cellStyle name="Comma 4 2 3 2 5 2 2 2" xfId="2899"/>
    <cellStyle name="Comma 4 2 3 2 5 2 2 2 2" xfId="10050"/>
    <cellStyle name="Comma 4 2 3 2 5 2 2 3" xfId="10049"/>
    <cellStyle name="Comma 4 2 3 2 5 2 2 4" xfId="6216"/>
    <cellStyle name="Comma 4 2 3 2 5 2 3" xfId="2900"/>
    <cellStyle name="Comma 4 2 3 2 5 2 3 2" xfId="10051"/>
    <cellStyle name="Comma 4 2 3 2 5 2 4" xfId="10048"/>
    <cellStyle name="Comma 4 2 3 2 5 2 5" xfId="6215"/>
    <cellStyle name="Comma 4 2 3 2 5 3" xfId="2901"/>
    <cellStyle name="Comma 4 2 3 2 5 3 2" xfId="2902"/>
    <cellStyle name="Comma 4 2 3 2 5 3 2 2" xfId="10053"/>
    <cellStyle name="Comma 4 2 3 2 5 3 3" xfId="10052"/>
    <cellStyle name="Comma 4 2 3 2 5 3 4" xfId="6217"/>
    <cellStyle name="Comma 4 2 3 2 5 4" xfId="2903"/>
    <cellStyle name="Comma 4 2 3 2 5 4 2" xfId="2904"/>
    <cellStyle name="Comma 4 2 3 2 5 4 2 2" xfId="10055"/>
    <cellStyle name="Comma 4 2 3 2 5 4 3" xfId="10054"/>
    <cellStyle name="Comma 4 2 3 2 5 4 4" xfId="6218"/>
    <cellStyle name="Comma 4 2 3 2 5 5" xfId="2905"/>
    <cellStyle name="Comma 4 2 3 2 5 5 2" xfId="10056"/>
    <cellStyle name="Comma 4 2 3 2 5 6" xfId="10047"/>
    <cellStyle name="Comma 4 2 3 2 5 7" xfId="6214"/>
    <cellStyle name="Comma 4 2 3 2 6" xfId="2906"/>
    <cellStyle name="Comma 4 2 3 2 6 2" xfId="2907"/>
    <cellStyle name="Comma 4 2 3 2 6 2 2" xfId="2908"/>
    <cellStyle name="Comma 4 2 3 2 6 2 2 2" xfId="10059"/>
    <cellStyle name="Comma 4 2 3 2 6 2 3" xfId="10058"/>
    <cellStyle name="Comma 4 2 3 2 6 2 4" xfId="6220"/>
    <cellStyle name="Comma 4 2 3 2 6 3" xfId="2909"/>
    <cellStyle name="Comma 4 2 3 2 6 3 2" xfId="2910"/>
    <cellStyle name="Comma 4 2 3 2 6 3 2 2" xfId="10061"/>
    <cellStyle name="Comma 4 2 3 2 6 3 3" xfId="10060"/>
    <cellStyle name="Comma 4 2 3 2 6 3 4" xfId="6221"/>
    <cellStyle name="Comma 4 2 3 2 6 4" xfId="2911"/>
    <cellStyle name="Comma 4 2 3 2 6 4 2" xfId="10062"/>
    <cellStyle name="Comma 4 2 3 2 6 5" xfId="10057"/>
    <cellStyle name="Comma 4 2 3 2 6 6" xfId="6219"/>
    <cellStyle name="Comma 4 2 3 2 7" xfId="2912"/>
    <cellStyle name="Comma 4 2 3 2 7 2" xfId="2913"/>
    <cellStyle name="Comma 4 2 3 2 7 2 2" xfId="2914"/>
    <cellStyle name="Comma 4 2 3 2 7 2 2 2" xfId="10065"/>
    <cellStyle name="Comma 4 2 3 2 7 2 3" xfId="10064"/>
    <cellStyle name="Comma 4 2 3 2 7 2 4" xfId="6223"/>
    <cellStyle name="Comma 4 2 3 2 7 3" xfId="2915"/>
    <cellStyle name="Comma 4 2 3 2 7 3 2" xfId="10066"/>
    <cellStyle name="Comma 4 2 3 2 7 4" xfId="10063"/>
    <cellStyle name="Comma 4 2 3 2 7 5" xfId="6222"/>
    <cellStyle name="Comma 4 2 3 2 8" xfId="2916"/>
    <cellStyle name="Comma 4 2 3 2 8 2" xfId="2917"/>
    <cellStyle name="Comma 4 2 3 2 8 2 2" xfId="10068"/>
    <cellStyle name="Comma 4 2 3 2 8 3" xfId="10067"/>
    <cellStyle name="Comma 4 2 3 2 8 4" xfId="6224"/>
    <cellStyle name="Comma 4 2 3 2 9" xfId="2918"/>
    <cellStyle name="Comma 4 2 3 2 9 2" xfId="2919"/>
    <cellStyle name="Comma 4 2 3 2 9 2 2" xfId="10070"/>
    <cellStyle name="Comma 4 2 3 2 9 3" xfId="10069"/>
    <cellStyle name="Comma 4 2 3 2 9 4" xfId="6225"/>
    <cellStyle name="Comma 4 2 3 3" xfId="2920"/>
    <cellStyle name="Comma 4 2 3 3 2" xfId="2921"/>
    <cellStyle name="Comma 4 2 3 3 2 2" xfId="2922"/>
    <cellStyle name="Comma 4 2 3 3 2 2 2" xfId="2923"/>
    <cellStyle name="Comma 4 2 3 3 2 2 2 2" xfId="10074"/>
    <cellStyle name="Comma 4 2 3 3 2 2 3" xfId="10073"/>
    <cellStyle name="Comma 4 2 3 3 2 2 4" xfId="6228"/>
    <cellStyle name="Comma 4 2 3 3 2 3" xfId="2924"/>
    <cellStyle name="Comma 4 2 3 3 2 3 2" xfId="10075"/>
    <cellStyle name="Comma 4 2 3 3 2 4" xfId="10072"/>
    <cellStyle name="Comma 4 2 3 3 2 5" xfId="6227"/>
    <cellStyle name="Comma 4 2 3 3 3" xfId="2925"/>
    <cellStyle name="Comma 4 2 3 3 3 2" xfId="2926"/>
    <cellStyle name="Comma 4 2 3 3 3 2 2" xfId="10077"/>
    <cellStyle name="Comma 4 2 3 3 3 3" xfId="10076"/>
    <cellStyle name="Comma 4 2 3 3 3 4" xfId="6229"/>
    <cellStyle name="Comma 4 2 3 3 4" xfId="2927"/>
    <cellStyle name="Comma 4 2 3 3 4 2" xfId="2928"/>
    <cellStyle name="Comma 4 2 3 3 4 2 2" xfId="10079"/>
    <cellStyle name="Comma 4 2 3 3 4 3" xfId="10078"/>
    <cellStyle name="Comma 4 2 3 3 4 4" xfId="6230"/>
    <cellStyle name="Comma 4 2 3 3 5" xfId="2929"/>
    <cellStyle name="Comma 4 2 3 3 5 2" xfId="10080"/>
    <cellStyle name="Comma 4 2 3 3 6" xfId="10071"/>
    <cellStyle name="Comma 4 2 3 3 7" xfId="6226"/>
    <cellStyle name="Comma 4 2 3 4" xfId="2930"/>
    <cellStyle name="Comma 4 2 3 4 2" xfId="2931"/>
    <cellStyle name="Comma 4 2 3 4 2 2" xfId="2932"/>
    <cellStyle name="Comma 4 2 3 4 2 2 2" xfId="2933"/>
    <cellStyle name="Comma 4 2 3 4 2 2 2 2" xfId="10084"/>
    <cellStyle name="Comma 4 2 3 4 2 2 3" xfId="10083"/>
    <cellStyle name="Comma 4 2 3 4 2 2 4" xfId="6233"/>
    <cellStyle name="Comma 4 2 3 4 2 3" xfId="2934"/>
    <cellStyle name="Comma 4 2 3 4 2 3 2" xfId="10085"/>
    <cellStyle name="Comma 4 2 3 4 2 4" xfId="10082"/>
    <cellStyle name="Comma 4 2 3 4 2 5" xfId="6232"/>
    <cellStyle name="Comma 4 2 3 4 3" xfId="2935"/>
    <cellStyle name="Comma 4 2 3 4 3 2" xfId="2936"/>
    <cellStyle name="Comma 4 2 3 4 3 2 2" xfId="10087"/>
    <cellStyle name="Comma 4 2 3 4 3 3" xfId="10086"/>
    <cellStyle name="Comma 4 2 3 4 3 4" xfId="6234"/>
    <cellStyle name="Comma 4 2 3 4 4" xfId="2937"/>
    <cellStyle name="Comma 4 2 3 4 4 2" xfId="2938"/>
    <cellStyle name="Comma 4 2 3 4 4 2 2" xfId="10089"/>
    <cellStyle name="Comma 4 2 3 4 4 3" xfId="10088"/>
    <cellStyle name="Comma 4 2 3 4 4 4" xfId="6235"/>
    <cellStyle name="Comma 4 2 3 4 5" xfId="2939"/>
    <cellStyle name="Comma 4 2 3 4 5 2" xfId="10090"/>
    <cellStyle name="Comma 4 2 3 4 6" xfId="10081"/>
    <cellStyle name="Comma 4 2 3 4 7" xfId="6231"/>
    <cellStyle name="Comma 4 2 3 5" xfId="2940"/>
    <cellStyle name="Comma 4 2 3 5 2" xfId="2941"/>
    <cellStyle name="Comma 4 2 3 5 2 2" xfId="2942"/>
    <cellStyle name="Comma 4 2 3 5 2 2 2" xfId="2943"/>
    <cellStyle name="Comma 4 2 3 5 2 2 2 2" xfId="10094"/>
    <cellStyle name="Comma 4 2 3 5 2 2 3" xfId="10093"/>
    <cellStyle name="Comma 4 2 3 5 2 2 4" xfId="6238"/>
    <cellStyle name="Comma 4 2 3 5 2 3" xfId="2944"/>
    <cellStyle name="Comma 4 2 3 5 2 3 2" xfId="10095"/>
    <cellStyle name="Comma 4 2 3 5 2 4" xfId="10092"/>
    <cellStyle name="Comma 4 2 3 5 2 5" xfId="6237"/>
    <cellStyle name="Comma 4 2 3 5 3" xfId="2945"/>
    <cellStyle name="Comma 4 2 3 5 3 2" xfId="2946"/>
    <cellStyle name="Comma 4 2 3 5 3 2 2" xfId="10097"/>
    <cellStyle name="Comma 4 2 3 5 3 3" xfId="10096"/>
    <cellStyle name="Comma 4 2 3 5 3 4" xfId="6239"/>
    <cellStyle name="Comma 4 2 3 5 4" xfId="2947"/>
    <cellStyle name="Comma 4 2 3 5 4 2" xfId="2948"/>
    <cellStyle name="Comma 4 2 3 5 4 2 2" xfId="10099"/>
    <cellStyle name="Comma 4 2 3 5 4 3" xfId="10098"/>
    <cellStyle name="Comma 4 2 3 5 4 4" xfId="6240"/>
    <cellStyle name="Comma 4 2 3 5 5" xfId="2949"/>
    <cellStyle name="Comma 4 2 3 5 5 2" xfId="10100"/>
    <cellStyle name="Comma 4 2 3 5 6" xfId="10091"/>
    <cellStyle name="Comma 4 2 3 5 7" xfId="6236"/>
    <cellStyle name="Comma 4 2 3 6" xfId="2950"/>
    <cellStyle name="Comma 4 2 3 6 2" xfId="2951"/>
    <cellStyle name="Comma 4 2 3 6 2 2" xfId="2952"/>
    <cellStyle name="Comma 4 2 3 6 2 2 2" xfId="2953"/>
    <cellStyle name="Comma 4 2 3 6 2 2 2 2" xfId="10104"/>
    <cellStyle name="Comma 4 2 3 6 2 2 3" xfId="10103"/>
    <cellStyle name="Comma 4 2 3 6 2 2 4" xfId="6243"/>
    <cellStyle name="Comma 4 2 3 6 2 3" xfId="2954"/>
    <cellStyle name="Comma 4 2 3 6 2 3 2" xfId="10105"/>
    <cellStyle name="Comma 4 2 3 6 2 4" xfId="10102"/>
    <cellStyle name="Comma 4 2 3 6 2 5" xfId="6242"/>
    <cellStyle name="Comma 4 2 3 6 3" xfId="2955"/>
    <cellStyle name="Comma 4 2 3 6 3 2" xfId="2956"/>
    <cellStyle name="Comma 4 2 3 6 3 2 2" xfId="10107"/>
    <cellStyle name="Comma 4 2 3 6 3 3" xfId="10106"/>
    <cellStyle name="Comma 4 2 3 6 3 4" xfId="6244"/>
    <cellStyle name="Comma 4 2 3 6 4" xfId="2957"/>
    <cellStyle name="Comma 4 2 3 6 4 2" xfId="2958"/>
    <cellStyle name="Comma 4 2 3 6 4 2 2" xfId="10109"/>
    <cellStyle name="Comma 4 2 3 6 4 3" xfId="10108"/>
    <cellStyle name="Comma 4 2 3 6 4 4" xfId="6245"/>
    <cellStyle name="Comma 4 2 3 6 5" xfId="2959"/>
    <cellStyle name="Comma 4 2 3 6 5 2" xfId="10110"/>
    <cellStyle name="Comma 4 2 3 6 6" xfId="10101"/>
    <cellStyle name="Comma 4 2 3 6 7" xfId="6241"/>
    <cellStyle name="Comma 4 2 3 7" xfId="2960"/>
    <cellStyle name="Comma 4 2 3 7 2" xfId="2961"/>
    <cellStyle name="Comma 4 2 3 7 2 2" xfId="2962"/>
    <cellStyle name="Comma 4 2 3 7 2 2 2" xfId="10113"/>
    <cellStyle name="Comma 4 2 3 7 2 3" xfId="10112"/>
    <cellStyle name="Comma 4 2 3 7 2 4" xfId="6247"/>
    <cellStyle name="Comma 4 2 3 7 3" xfId="2963"/>
    <cellStyle name="Comma 4 2 3 7 3 2" xfId="2964"/>
    <cellStyle name="Comma 4 2 3 7 3 2 2" xfId="10115"/>
    <cellStyle name="Comma 4 2 3 7 3 3" xfId="10114"/>
    <cellStyle name="Comma 4 2 3 7 3 4" xfId="6248"/>
    <cellStyle name="Comma 4 2 3 7 4" xfId="2965"/>
    <cellStyle name="Comma 4 2 3 7 4 2" xfId="10116"/>
    <cellStyle name="Comma 4 2 3 7 5" xfId="10111"/>
    <cellStyle name="Comma 4 2 3 7 6" xfId="6246"/>
    <cellStyle name="Comma 4 2 3 8" xfId="2966"/>
    <cellStyle name="Comma 4 2 3 8 2" xfId="2967"/>
    <cellStyle name="Comma 4 2 3 8 2 2" xfId="2968"/>
    <cellStyle name="Comma 4 2 3 8 2 2 2" xfId="10119"/>
    <cellStyle name="Comma 4 2 3 8 2 3" xfId="10118"/>
    <cellStyle name="Comma 4 2 3 8 2 4" xfId="6250"/>
    <cellStyle name="Comma 4 2 3 8 3" xfId="2969"/>
    <cellStyle name="Comma 4 2 3 8 3 2" xfId="10120"/>
    <cellStyle name="Comma 4 2 3 8 4" xfId="10117"/>
    <cellStyle name="Comma 4 2 3 8 5" xfId="6249"/>
    <cellStyle name="Comma 4 2 3 9" xfId="2970"/>
    <cellStyle name="Comma 4 2 3 9 2" xfId="2971"/>
    <cellStyle name="Comma 4 2 3 9 2 2" xfId="10122"/>
    <cellStyle name="Comma 4 2 3 9 3" xfId="10121"/>
    <cellStyle name="Comma 4 2 3 9 4" xfId="6251"/>
    <cellStyle name="Comma 4 2 4" xfId="2972"/>
    <cellStyle name="Comma 4 2 4 10" xfId="2973"/>
    <cellStyle name="Comma 4 2 4 10 2" xfId="10124"/>
    <cellStyle name="Comma 4 2 4 11" xfId="10123"/>
    <cellStyle name="Comma 4 2 4 12" xfId="6252"/>
    <cellStyle name="Comma 4 2 4 2" xfId="2974"/>
    <cellStyle name="Comma 4 2 4 2 2" xfId="2975"/>
    <cellStyle name="Comma 4 2 4 2 2 2" xfId="2976"/>
    <cellStyle name="Comma 4 2 4 2 2 2 2" xfId="2977"/>
    <cellStyle name="Comma 4 2 4 2 2 2 2 2" xfId="10128"/>
    <cellStyle name="Comma 4 2 4 2 2 2 3" xfId="10127"/>
    <cellStyle name="Comma 4 2 4 2 2 2 4" xfId="6255"/>
    <cellStyle name="Comma 4 2 4 2 2 3" xfId="2978"/>
    <cellStyle name="Comma 4 2 4 2 2 3 2" xfId="10129"/>
    <cellStyle name="Comma 4 2 4 2 2 4" xfId="10126"/>
    <cellStyle name="Comma 4 2 4 2 2 5" xfId="6254"/>
    <cellStyle name="Comma 4 2 4 2 3" xfId="2979"/>
    <cellStyle name="Comma 4 2 4 2 3 2" xfId="2980"/>
    <cellStyle name="Comma 4 2 4 2 3 2 2" xfId="10131"/>
    <cellStyle name="Comma 4 2 4 2 3 3" xfId="10130"/>
    <cellStyle name="Comma 4 2 4 2 3 4" xfId="6256"/>
    <cellStyle name="Comma 4 2 4 2 4" xfId="2981"/>
    <cellStyle name="Comma 4 2 4 2 4 2" xfId="2982"/>
    <cellStyle name="Comma 4 2 4 2 4 2 2" xfId="10133"/>
    <cellStyle name="Comma 4 2 4 2 4 3" xfId="10132"/>
    <cellStyle name="Comma 4 2 4 2 4 4" xfId="6257"/>
    <cellStyle name="Comma 4 2 4 2 5" xfId="2983"/>
    <cellStyle name="Comma 4 2 4 2 5 2" xfId="10134"/>
    <cellStyle name="Comma 4 2 4 2 6" xfId="10125"/>
    <cellStyle name="Comma 4 2 4 2 7" xfId="6253"/>
    <cellStyle name="Comma 4 2 4 3" xfId="2984"/>
    <cellStyle name="Comma 4 2 4 3 2" xfId="2985"/>
    <cellStyle name="Comma 4 2 4 3 2 2" xfId="2986"/>
    <cellStyle name="Comma 4 2 4 3 2 2 2" xfId="2987"/>
    <cellStyle name="Comma 4 2 4 3 2 2 2 2" xfId="10138"/>
    <cellStyle name="Comma 4 2 4 3 2 2 3" xfId="10137"/>
    <cellStyle name="Comma 4 2 4 3 2 2 4" xfId="6260"/>
    <cellStyle name="Comma 4 2 4 3 2 3" xfId="2988"/>
    <cellStyle name="Comma 4 2 4 3 2 3 2" xfId="10139"/>
    <cellStyle name="Comma 4 2 4 3 2 4" xfId="10136"/>
    <cellStyle name="Comma 4 2 4 3 2 5" xfId="6259"/>
    <cellStyle name="Comma 4 2 4 3 3" xfId="2989"/>
    <cellStyle name="Comma 4 2 4 3 3 2" xfId="2990"/>
    <cellStyle name="Comma 4 2 4 3 3 2 2" xfId="10141"/>
    <cellStyle name="Comma 4 2 4 3 3 3" xfId="10140"/>
    <cellStyle name="Comma 4 2 4 3 3 4" xfId="6261"/>
    <cellStyle name="Comma 4 2 4 3 4" xfId="2991"/>
    <cellStyle name="Comma 4 2 4 3 4 2" xfId="2992"/>
    <cellStyle name="Comma 4 2 4 3 4 2 2" xfId="10143"/>
    <cellStyle name="Comma 4 2 4 3 4 3" xfId="10142"/>
    <cellStyle name="Comma 4 2 4 3 4 4" xfId="6262"/>
    <cellStyle name="Comma 4 2 4 3 5" xfId="2993"/>
    <cellStyle name="Comma 4 2 4 3 5 2" xfId="10144"/>
    <cellStyle name="Comma 4 2 4 3 6" xfId="10135"/>
    <cellStyle name="Comma 4 2 4 3 7" xfId="6258"/>
    <cellStyle name="Comma 4 2 4 4" xfId="2994"/>
    <cellStyle name="Comma 4 2 4 4 2" xfId="2995"/>
    <cellStyle name="Comma 4 2 4 4 2 2" xfId="2996"/>
    <cellStyle name="Comma 4 2 4 4 2 2 2" xfId="2997"/>
    <cellStyle name="Comma 4 2 4 4 2 2 2 2" xfId="10148"/>
    <cellStyle name="Comma 4 2 4 4 2 2 3" xfId="10147"/>
    <cellStyle name="Comma 4 2 4 4 2 2 4" xfId="6265"/>
    <cellStyle name="Comma 4 2 4 4 2 3" xfId="2998"/>
    <cellStyle name="Comma 4 2 4 4 2 3 2" xfId="10149"/>
    <cellStyle name="Comma 4 2 4 4 2 4" xfId="10146"/>
    <cellStyle name="Comma 4 2 4 4 2 5" xfId="6264"/>
    <cellStyle name="Comma 4 2 4 4 3" xfId="2999"/>
    <cellStyle name="Comma 4 2 4 4 3 2" xfId="3000"/>
    <cellStyle name="Comma 4 2 4 4 3 2 2" xfId="10151"/>
    <cellStyle name="Comma 4 2 4 4 3 3" xfId="10150"/>
    <cellStyle name="Comma 4 2 4 4 3 4" xfId="6266"/>
    <cellStyle name="Comma 4 2 4 4 4" xfId="3001"/>
    <cellStyle name="Comma 4 2 4 4 4 2" xfId="3002"/>
    <cellStyle name="Comma 4 2 4 4 4 2 2" xfId="10153"/>
    <cellStyle name="Comma 4 2 4 4 4 3" xfId="10152"/>
    <cellStyle name="Comma 4 2 4 4 4 4" xfId="6267"/>
    <cellStyle name="Comma 4 2 4 4 5" xfId="3003"/>
    <cellStyle name="Comma 4 2 4 4 5 2" xfId="10154"/>
    <cellStyle name="Comma 4 2 4 4 6" xfId="10145"/>
    <cellStyle name="Comma 4 2 4 4 7" xfId="6263"/>
    <cellStyle name="Comma 4 2 4 5" xfId="3004"/>
    <cellStyle name="Comma 4 2 4 5 2" xfId="3005"/>
    <cellStyle name="Comma 4 2 4 5 2 2" xfId="3006"/>
    <cellStyle name="Comma 4 2 4 5 2 2 2" xfId="3007"/>
    <cellStyle name="Comma 4 2 4 5 2 2 2 2" xfId="10158"/>
    <cellStyle name="Comma 4 2 4 5 2 2 3" xfId="10157"/>
    <cellStyle name="Comma 4 2 4 5 2 2 4" xfId="6270"/>
    <cellStyle name="Comma 4 2 4 5 2 3" xfId="3008"/>
    <cellStyle name="Comma 4 2 4 5 2 3 2" xfId="10159"/>
    <cellStyle name="Comma 4 2 4 5 2 4" xfId="10156"/>
    <cellStyle name="Comma 4 2 4 5 2 5" xfId="6269"/>
    <cellStyle name="Comma 4 2 4 5 3" xfId="3009"/>
    <cellStyle name="Comma 4 2 4 5 3 2" xfId="3010"/>
    <cellStyle name="Comma 4 2 4 5 3 2 2" xfId="10161"/>
    <cellStyle name="Comma 4 2 4 5 3 3" xfId="10160"/>
    <cellStyle name="Comma 4 2 4 5 3 4" xfId="6271"/>
    <cellStyle name="Comma 4 2 4 5 4" xfId="3011"/>
    <cellStyle name="Comma 4 2 4 5 4 2" xfId="3012"/>
    <cellStyle name="Comma 4 2 4 5 4 2 2" xfId="10163"/>
    <cellStyle name="Comma 4 2 4 5 4 3" xfId="10162"/>
    <cellStyle name="Comma 4 2 4 5 4 4" xfId="6272"/>
    <cellStyle name="Comma 4 2 4 5 5" xfId="3013"/>
    <cellStyle name="Comma 4 2 4 5 5 2" xfId="10164"/>
    <cellStyle name="Comma 4 2 4 5 6" xfId="10155"/>
    <cellStyle name="Comma 4 2 4 5 7" xfId="6268"/>
    <cellStyle name="Comma 4 2 4 6" xfId="3014"/>
    <cellStyle name="Comma 4 2 4 6 2" xfId="3015"/>
    <cellStyle name="Comma 4 2 4 6 2 2" xfId="3016"/>
    <cellStyle name="Comma 4 2 4 6 2 2 2" xfId="10167"/>
    <cellStyle name="Comma 4 2 4 6 2 3" xfId="10166"/>
    <cellStyle name="Comma 4 2 4 6 2 4" xfId="6274"/>
    <cellStyle name="Comma 4 2 4 6 3" xfId="3017"/>
    <cellStyle name="Comma 4 2 4 6 3 2" xfId="3018"/>
    <cellStyle name="Comma 4 2 4 6 3 2 2" xfId="10169"/>
    <cellStyle name="Comma 4 2 4 6 3 3" xfId="10168"/>
    <cellStyle name="Comma 4 2 4 6 3 4" xfId="6275"/>
    <cellStyle name="Comma 4 2 4 6 4" xfId="3019"/>
    <cellStyle name="Comma 4 2 4 6 4 2" xfId="10170"/>
    <cellStyle name="Comma 4 2 4 6 5" xfId="10165"/>
    <cellStyle name="Comma 4 2 4 6 6" xfId="6273"/>
    <cellStyle name="Comma 4 2 4 7" xfId="3020"/>
    <cellStyle name="Comma 4 2 4 7 2" xfId="3021"/>
    <cellStyle name="Comma 4 2 4 7 2 2" xfId="3022"/>
    <cellStyle name="Comma 4 2 4 7 2 2 2" xfId="10173"/>
    <cellStyle name="Comma 4 2 4 7 2 3" xfId="10172"/>
    <cellStyle name="Comma 4 2 4 7 2 4" xfId="6277"/>
    <cellStyle name="Comma 4 2 4 7 3" xfId="3023"/>
    <cellStyle name="Comma 4 2 4 7 3 2" xfId="10174"/>
    <cellStyle name="Comma 4 2 4 7 4" xfId="10171"/>
    <cellStyle name="Comma 4 2 4 7 5" xfId="6276"/>
    <cellStyle name="Comma 4 2 4 8" xfId="3024"/>
    <cellStyle name="Comma 4 2 4 8 2" xfId="3025"/>
    <cellStyle name="Comma 4 2 4 8 2 2" xfId="10176"/>
    <cellStyle name="Comma 4 2 4 8 3" xfId="10175"/>
    <cellStyle name="Comma 4 2 4 8 4" xfId="6278"/>
    <cellStyle name="Comma 4 2 4 9" xfId="3026"/>
    <cellStyle name="Comma 4 2 4 9 2" xfId="3027"/>
    <cellStyle name="Comma 4 2 4 9 2 2" xfId="10178"/>
    <cellStyle name="Comma 4 2 4 9 3" xfId="10177"/>
    <cellStyle name="Comma 4 2 4 9 4" xfId="6279"/>
    <cellStyle name="Comma 4 2 5" xfId="3028"/>
    <cellStyle name="Comma 4 2 5 2" xfId="3029"/>
    <cellStyle name="Comma 4 2 5 2 2" xfId="3030"/>
    <cellStyle name="Comma 4 2 5 2 2 2" xfId="3031"/>
    <cellStyle name="Comma 4 2 5 2 2 2 2" xfId="10182"/>
    <cellStyle name="Comma 4 2 5 2 2 3" xfId="10181"/>
    <cellStyle name="Comma 4 2 5 2 2 4" xfId="6282"/>
    <cellStyle name="Comma 4 2 5 2 3" xfId="3032"/>
    <cellStyle name="Comma 4 2 5 2 3 2" xfId="10183"/>
    <cellStyle name="Comma 4 2 5 2 4" xfId="10180"/>
    <cellStyle name="Comma 4 2 5 2 5" xfId="6281"/>
    <cellStyle name="Comma 4 2 5 3" xfId="3033"/>
    <cellStyle name="Comma 4 2 5 3 2" xfId="3034"/>
    <cellStyle name="Comma 4 2 5 3 2 2" xfId="10185"/>
    <cellStyle name="Comma 4 2 5 3 3" xfId="10184"/>
    <cellStyle name="Comma 4 2 5 3 4" xfId="6283"/>
    <cellStyle name="Comma 4 2 5 4" xfId="3035"/>
    <cellStyle name="Comma 4 2 5 4 2" xfId="3036"/>
    <cellStyle name="Comma 4 2 5 4 2 2" xfId="10187"/>
    <cellStyle name="Comma 4 2 5 4 3" xfId="10186"/>
    <cellStyle name="Comma 4 2 5 4 4" xfId="6284"/>
    <cellStyle name="Comma 4 2 5 5" xfId="3037"/>
    <cellStyle name="Comma 4 2 5 5 2" xfId="10188"/>
    <cellStyle name="Comma 4 2 5 6" xfId="10179"/>
    <cellStyle name="Comma 4 2 5 7" xfId="6280"/>
    <cellStyle name="Comma 4 2 6" xfId="3038"/>
    <cellStyle name="Comma 4 2 6 2" xfId="3039"/>
    <cellStyle name="Comma 4 2 6 2 2" xfId="3040"/>
    <cellStyle name="Comma 4 2 6 2 2 2" xfId="3041"/>
    <cellStyle name="Comma 4 2 6 2 2 2 2" xfId="10192"/>
    <cellStyle name="Comma 4 2 6 2 2 3" xfId="10191"/>
    <cellStyle name="Comma 4 2 6 2 2 4" xfId="6287"/>
    <cellStyle name="Comma 4 2 6 2 3" xfId="3042"/>
    <cellStyle name="Comma 4 2 6 2 3 2" xfId="10193"/>
    <cellStyle name="Comma 4 2 6 2 4" xfId="10190"/>
    <cellStyle name="Comma 4 2 6 2 5" xfId="6286"/>
    <cellStyle name="Comma 4 2 6 3" xfId="3043"/>
    <cellStyle name="Comma 4 2 6 3 2" xfId="3044"/>
    <cellStyle name="Comma 4 2 6 3 2 2" xfId="10195"/>
    <cellStyle name="Comma 4 2 6 3 3" xfId="10194"/>
    <cellStyle name="Comma 4 2 6 3 4" xfId="6288"/>
    <cellStyle name="Comma 4 2 6 4" xfId="3045"/>
    <cellStyle name="Comma 4 2 6 4 2" xfId="3046"/>
    <cellStyle name="Comma 4 2 6 4 2 2" xfId="10197"/>
    <cellStyle name="Comma 4 2 6 4 3" xfId="10196"/>
    <cellStyle name="Comma 4 2 6 4 4" xfId="6289"/>
    <cellStyle name="Comma 4 2 6 5" xfId="3047"/>
    <cellStyle name="Comma 4 2 6 5 2" xfId="10198"/>
    <cellStyle name="Comma 4 2 6 6" xfId="10189"/>
    <cellStyle name="Comma 4 2 6 7" xfId="6285"/>
    <cellStyle name="Comma 4 2 7" xfId="3048"/>
    <cellStyle name="Comma 4 2 7 2" xfId="3049"/>
    <cellStyle name="Comma 4 2 7 2 2" xfId="3050"/>
    <cellStyle name="Comma 4 2 7 2 2 2" xfId="3051"/>
    <cellStyle name="Comma 4 2 7 2 2 2 2" xfId="10202"/>
    <cellStyle name="Comma 4 2 7 2 2 3" xfId="10201"/>
    <cellStyle name="Comma 4 2 7 2 2 4" xfId="6292"/>
    <cellStyle name="Comma 4 2 7 2 3" xfId="3052"/>
    <cellStyle name="Comma 4 2 7 2 3 2" xfId="10203"/>
    <cellStyle name="Comma 4 2 7 2 4" xfId="10200"/>
    <cellStyle name="Comma 4 2 7 2 5" xfId="6291"/>
    <cellStyle name="Comma 4 2 7 3" xfId="3053"/>
    <cellStyle name="Comma 4 2 7 3 2" xfId="3054"/>
    <cellStyle name="Comma 4 2 7 3 2 2" xfId="10205"/>
    <cellStyle name="Comma 4 2 7 3 3" xfId="10204"/>
    <cellStyle name="Comma 4 2 7 3 4" xfId="6293"/>
    <cellStyle name="Comma 4 2 7 4" xfId="3055"/>
    <cellStyle name="Comma 4 2 7 4 2" xfId="3056"/>
    <cellStyle name="Comma 4 2 7 4 2 2" xfId="10207"/>
    <cellStyle name="Comma 4 2 7 4 3" xfId="10206"/>
    <cellStyle name="Comma 4 2 7 4 4" xfId="6294"/>
    <cellStyle name="Comma 4 2 7 5" xfId="3057"/>
    <cellStyle name="Comma 4 2 7 5 2" xfId="10208"/>
    <cellStyle name="Comma 4 2 7 6" xfId="10199"/>
    <cellStyle name="Comma 4 2 7 7" xfId="6290"/>
    <cellStyle name="Comma 4 2 8" xfId="3058"/>
    <cellStyle name="Comma 4 2 8 2" xfId="3059"/>
    <cellStyle name="Comma 4 2 8 2 2" xfId="3060"/>
    <cellStyle name="Comma 4 2 8 2 2 2" xfId="3061"/>
    <cellStyle name="Comma 4 2 8 2 2 2 2" xfId="10212"/>
    <cellStyle name="Comma 4 2 8 2 2 3" xfId="10211"/>
    <cellStyle name="Comma 4 2 8 2 2 4" xfId="6297"/>
    <cellStyle name="Comma 4 2 8 2 3" xfId="3062"/>
    <cellStyle name="Comma 4 2 8 2 3 2" xfId="10213"/>
    <cellStyle name="Comma 4 2 8 2 4" xfId="10210"/>
    <cellStyle name="Comma 4 2 8 2 5" xfId="6296"/>
    <cellStyle name="Comma 4 2 8 3" xfId="3063"/>
    <cellStyle name="Comma 4 2 8 3 2" xfId="3064"/>
    <cellStyle name="Comma 4 2 8 3 2 2" xfId="10215"/>
    <cellStyle name="Comma 4 2 8 3 3" xfId="10214"/>
    <cellStyle name="Comma 4 2 8 3 4" xfId="6298"/>
    <cellStyle name="Comma 4 2 8 4" xfId="3065"/>
    <cellStyle name="Comma 4 2 8 4 2" xfId="3066"/>
    <cellStyle name="Comma 4 2 8 4 2 2" xfId="10217"/>
    <cellStyle name="Comma 4 2 8 4 3" xfId="10216"/>
    <cellStyle name="Comma 4 2 8 4 4" xfId="6299"/>
    <cellStyle name="Comma 4 2 8 5" xfId="3067"/>
    <cellStyle name="Comma 4 2 8 5 2" xfId="10218"/>
    <cellStyle name="Comma 4 2 8 6" xfId="10209"/>
    <cellStyle name="Comma 4 2 8 7" xfId="6295"/>
    <cellStyle name="Comma 4 2 9" xfId="3068"/>
    <cellStyle name="Comma 4 2 9 2" xfId="3069"/>
    <cellStyle name="Comma 4 2 9 2 2" xfId="3070"/>
    <cellStyle name="Comma 4 2 9 2 2 2" xfId="10221"/>
    <cellStyle name="Comma 4 2 9 2 3" xfId="10220"/>
    <cellStyle name="Comma 4 2 9 2 4" xfId="6301"/>
    <cellStyle name="Comma 4 2 9 3" xfId="3071"/>
    <cellStyle name="Comma 4 2 9 3 2" xfId="3072"/>
    <cellStyle name="Comma 4 2 9 3 2 2" xfId="10223"/>
    <cellStyle name="Comma 4 2 9 3 3" xfId="10222"/>
    <cellStyle name="Comma 4 2 9 3 4" xfId="6302"/>
    <cellStyle name="Comma 4 2 9 4" xfId="3073"/>
    <cellStyle name="Comma 4 2 9 4 2" xfId="10224"/>
    <cellStyle name="Comma 4 2 9 5" xfId="10219"/>
    <cellStyle name="Comma 4 2 9 6" xfId="6300"/>
    <cellStyle name="Comma 4 3" xfId="3074"/>
    <cellStyle name="Comma 4 3 10" xfId="3075"/>
    <cellStyle name="Comma 4 3 10 2" xfId="3076"/>
    <cellStyle name="Comma 4 3 10 2 2" xfId="10227"/>
    <cellStyle name="Comma 4 3 10 3" xfId="10226"/>
    <cellStyle name="Comma 4 3 10 4" xfId="6304"/>
    <cellStyle name="Comma 4 3 11" xfId="3077"/>
    <cellStyle name="Comma 4 3 11 2" xfId="10228"/>
    <cellStyle name="Comma 4 3 12" xfId="10225"/>
    <cellStyle name="Comma 4 3 13" xfId="6303"/>
    <cellStyle name="Comma 4 3 2" xfId="3078"/>
    <cellStyle name="Comma 4 3 2 10" xfId="3079"/>
    <cellStyle name="Comma 4 3 2 10 2" xfId="10230"/>
    <cellStyle name="Comma 4 3 2 11" xfId="10229"/>
    <cellStyle name="Comma 4 3 2 12" xfId="6305"/>
    <cellStyle name="Comma 4 3 2 2" xfId="3080"/>
    <cellStyle name="Comma 4 3 2 2 2" xfId="3081"/>
    <cellStyle name="Comma 4 3 2 2 2 2" xfId="3082"/>
    <cellStyle name="Comma 4 3 2 2 2 2 2" xfId="3083"/>
    <cellStyle name="Comma 4 3 2 2 2 2 2 2" xfId="10234"/>
    <cellStyle name="Comma 4 3 2 2 2 2 3" xfId="10233"/>
    <cellStyle name="Comma 4 3 2 2 2 2 4" xfId="6308"/>
    <cellStyle name="Comma 4 3 2 2 2 3" xfId="3084"/>
    <cellStyle name="Comma 4 3 2 2 2 3 2" xfId="10235"/>
    <cellStyle name="Comma 4 3 2 2 2 4" xfId="10232"/>
    <cellStyle name="Comma 4 3 2 2 2 5" xfId="6307"/>
    <cellStyle name="Comma 4 3 2 2 3" xfId="3085"/>
    <cellStyle name="Comma 4 3 2 2 3 2" xfId="3086"/>
    <cellStyle name="Comma 4 3 2 2 3 2 2" xfId="10237"/>
    <cellStyle name="Comma 4 3 2 2 3 3" xfId="10236"/>
    <cellStyle name="Comma 4 3 2 2 3 4" xfId="6309"/>
    <cellStyle name="Comma 4 3 2 2 4" xfId="3087"/>
    <cellStyle name="Comma 4 3 2 2 4 2" xfId="3088"/>
    <cellStyle name="Comma 4 3 2 2 4 2 2" xfId="10239"/>
    <cellStyle name="Comma 4 3 2 2 4 3" xfId="10238"/>
    <cellStyle name="Comma 4 3 2 2 4 4" xfId="6310"/>
    <cellStyle name="Comma 4 3 2 2 5" xfId="3089"/>
    <cellStyle name="Comma 4 3 2 2 5 2" xfId="10240"/>
    <cellStyle name="Comma 4 3 2 2 6" xfId="10231"/>
    <cellStyle name="Comma 4 3 2 2 7" xfId="6306"/>
    <cellStyle name="Comma 4 3 2 3" xfId="3090"/>
    <cellStyle name="Comma 4 3 2 3 2" xfId="3091"/>
    <cellStyle name="Comma 4 3 2 3 2 2" xfId="3092"/>
    <cellStyle name="Comma 4 3 2 3 2 2 2" xfId="3093"/>
    <cellStyle name="Comma 4 3 2 3 2 2 2 2" xfId="10244"/>
    <cellStyle name="Comma 4 3 2 3 2 2 3" xfId="10243"/>
    <cellStyle name="Comma 4 3 2 3 2 2 4" xfId="6313"/>
    <cellStyle name="Comma 4 3 2 3 2 3" xfId="3094"/>
    <cellStyle name="Comma 4 3 2 3 2 3 2" xfId="10245"/>
    <cellStyle name="Comma 4 3 2 3 2 4" xfId="10242"/>
    <cellStyle name="Comma 4 3 2 3 2 5" xfId="6312"/>
    <cellStyle name="Comma 4 3 2 3 3" xfId="3095"/>
    <cellStyle name="Comma 4 3 2 3 3 2" xfId="3096"/>
    <cellStyle name="Comma 4 3 2 3 3 2 2" xfId="10247"/>
    <cellStyle name="Comma 4 3 2 3 3 3" xfId="10246"/>
    <cellStyle name="Comma 4 3 2 3 3 4" xfId="6314"/>
    <cellStyle name="Comma 4 3 2 3 4" xfId="3097"/>
    <cellStyle name="Comma 4 3 2 3 4 2" xfId="3098"/>
    <cellStyle name="Comma 4 3 2 3 4 2 2" xfId="10249"/>
    <cellStyle name="Comma 4 3 2 3 4 3" xfId="10248"/>
    <cellStyle name="Comma 4 3 2 3 4 4" xfId="6315"/>
    <cellStyle name="Comma 4 3 2 3 5" xfId="3099"/>
    <cellStyle name="Comma 4 3 2 3 5 2" xfId="10250"/>
    <cellStyle name="Comma 4 3 2 3 6" xfId="10241"/>
    <cellStyle name="Comma 4 3 2 3 7" xfId="6311"/>
    <cellStyle name="Comma 4 3 2 4" xfId="3100"/>
    <cellStyle name="Comma 4 3 2 4 2" xfId="3101"/>
    <cellStyle name="Comma 4 3 2 4 2 2" xfId="3102"/>
    <cellStyle name="Comma 4 3 2 4 2 2 2" xfId="3103"/>
    <cellStyle name="Comma 4 3 2 4 2 2 2 2" xfId="10254"/>
    <cellStyle name="Comma 4 3 2 4 2 2 3" xfId="10253"/>
    <cellStyle name="Comma 4 3 2 4 2 2 4" xfId="6318"/>
    <cellStyle name="Comma 4 3 2 4 2 3" xfId="3104"/>
    <cellStyle name="Comma 4 3 2 4 2 3 2" xfId="10255"/>
    <cellStyle name="Comma 4 3 2 4 2 4" xfId="10252"/>
    <cellStyle name="Comma 4 3 2 4 2 5" xfId="6317"/>
    <cellStyle name="Comma 4 3 2 4 3" xfId="3105"/>
    <cellStyle name="Comma 4 3 2 4 3 2" xfId="3106"/>
    <cellStyle name="Comma 4 3 2 4 3 2 2" xfId="10257"/>
    <cellStyle name="Comma 4 3 2 4 3 3" xfId="10256"/>
    <cellStyle name="Comma 4 3 2 4 3 4" xfId="6319"/>
    <cellStyle name="Comma 4 3 2 4 4" xfId="3107"/>
    <cellStyle name="Comma 4 3 2 4 4 2" xfId="3108"/>
    <cellStyle name="Comma 4 3 2 4 4 2 2" xfId="10259"/>
    <cellStyle name="Comma 4 3 2 4 4 3" xfId="10258"/>
    <cellStyle name="Comma 4 3 2 4 4 4" xfId="6320"/>
    <cellStyle name="Comma 4 3 2 4 5" xfId="3109"/>
    <cellStyle name="Comma 4 3 2 4 5 2" xfId="10260"/>
    <cellStyle name="Comma 4 3 2 4 6" xfId="10251"/>
    <cellStyle name="Comma 4 3 2 4 7" xfId="6316"/>
    <cellStyle name="Comma 4 3 2 5" xfId="3110"/>
    <cellStyle name="Comma 4 3 2 5 2" xfId="3111"/>
    <cellStyle name="Comma 4 3 2 5 2 2" xfId="3112"/>
    <cellStyle name="Comma 4 3 2 5 2 2 2" xfId="3113"/>
    <cellStyle name="Comma 4 3 2 5 2 2 2 2" xfId="10264"/>
    <cellStyle name="Comma 4 3 2 5 2 2 3" xfId="10263"/>
    <cellStyle name="Comma 4 3 2 5 2 2 4" xfId="6323"/>
    <cellStyle name="Comma 4 3 2 5 2 3" xfId="3114"/>
    <cellStyle name="Comma 4 3 2 5 2 3 2" xfId="10265"/>
    <cellStyle name="Comma 4 3 2 5 2 4" xfId="10262"/>
    <cellStyle name="Comma 4 3 2 5 2 5" xfId="6322"/>
    <cellStyle name="Comma 4 3 2 5 3" xfId="3115"/>
    <cellStyle name="Comma 4 3 2 5 3 2" xfId="3116"/>
    <cellStyle name="Comma 4 3 2 5 3 2 2" xfId="10267"/>
    <cellStyle name="Comma 4 3 2 5 3 3" xfId="10266"/>
    <cellStyle name="Comma 4 3 2 5 3 4" xfId="6324"/>
    <cellStyle name="Comma 4 3 2 5 4" xfId="3117"/>
    <cellStyle name="Comma 4 3 2 5 4 2" xfId="3118"/>
    <cellStyle name="Comma 4 3 2 5 4 2 2" xfId="10269"/>
    <cellStyle name="Comma 4 3 2 5 4 3" xfId="10268"/>
    <cellStyle name="Comma 4 3 2 5 4 4" xfId="6325"/>
    <cellStyle name="Comma 4 3 2 5 5" xfId="3119"/>
    <cellStyle name="Comma 4 3 2 5 5 2" xfId="10270"/>
    <cellStyle name="Comma 4 3 2 5 6" xfId="10261"/>
    <cellStyle name="Comma 4 3 2 5 7" xfId="6321"/>
    <cellStyle name="Comma 4 3 2 6" xfId="3120"/>
    <cellStyle name="Comma 4 3 2 6 2" xfId="3121"/>
    <cellStyle name="Comma 4 3 2 6 2 2" xfId="3122"/>
    <cellStyle name="Comma 4 3 2 6 2 2 2" xfId="10273"/>
    <cellStyle name="Comma 4 3 2 6 2 3" xfId="10272"/>
    <cellStyle name="Comma 4 3 2 6 2 4" xfId="6327"/>
    <cellStyle name="Comma 4 3 2 6 3" xfId="3123"/>
    <cellStyle name="Comma 4 3 2 6 3 2" xfId="3124"/>
    <cellStyle name="Comma 4 3 2 6 3 2 2" xfId="10275"/>
    <cellStyle name="Comma 4 3 2 6 3 3" xfId="10274"/>
    <cellStyle name="Comma 4 3 2 6 3 4" xfId="6328"/>
    <cellStyle name="Comma 4 3 2 6 4" xfId="3125"/>
    <cellStyle name="Comma 4 3 2 6 4 2" xfId="10276"/>
    <cellStyle name="Comma 4 3 2 6 5" xfId="10271"/>
    <cellStyle name="Comma 4 3 2 6 6" xfId="6326"/>
    <cellStyle name="Comma 4 3 2 7" xfId="3126"/>
    <cellStyle name="Comma 4 3 2 7 2" xfId="3127"/>
    <cellStyle name="Comma 4 3 2 7 2 2" xfId="3128"/>
    <cellStyle name="Comma 4 3 2 7 2 2 2" xfId="10279"/>
    <cellStyle name="Comma 4 3 2 7 2 3" xfId="10278"/>
    <cellStyle name="Comma 4 3 2 7 2 4" xfId="6330"/>
    <cellStyle name="Comma 4 3 2 7 3" xfId="3129"/>
    <cellStyle name="Comma 4 3 2 7 3 2" xfId="10280"/>
    <cellStyle name="Comma 4 3 2 7 4" xfId="10277"/>
    <cellStyle name="Comma 4 3 2 7 5" xfId="6329"/>
    <cellStyle name="Comma 4 3 2 8" xfId="3130"/>
    <cellStyle name="Comma 4 3 2 8 2" xfId="3131"/>
    <cellStyle name="Comma 4 3 2 8 2 2" xfId="10282"/>
    <cellStyle name="Comma 4 3 2 8 3" xfId="10281"/>
    <cellStyle name="Comma 4 3 2 8 4" xfId="6331"/>
    <cellStyle name="Comma 4 3 2 9" xfId="3132"/>
    <cellStyle name="Comma 4 3 2 9 2" xfId="3133"/>
    <cellStyle name="Comma 4 3 2 9 2 2" xfId="10284"/>
    <cellStyle name="Comma 4 3 2 9 3" xfId="10283"/>
    <cellStyle name="Comma 4 3 2 9 4" xfId="6332"/>
    <cellStyle name="Comma 4 3 3" xfId="3134"/>
    <cellStyle name="Comma 4 3 3 2" xfId="3135"/>
    <cellStyle name="Comma 4 3 3 2 2" xfId="3136"/>
    <cellStyle name="Comma 4 3 3 2 2 2" xfId="3137"/>
    <cellStyle name="Comma 4 3 3 2 2 2 2" xfId="10288"/>
    <cellStyle name="Comma 4 3 3 2 2 3" xfId="10287"/>
    <cellStyle name="Comma 4 3 3 2 2 4" xfId="6335"/>
    <cellStyle name="Comma 4 3 3 2 3" xfId="3138"/>
    <cellStyle name="Comma 4 3 3 2 3 2" xfId="10289"/>
    <cellStyle name="Comma 4 3 3 2 4" xfId="10286"/>
    <cellStyle name="Comma 4 3 3 2 5" xfId="6334"/>
    <cellStyle name="Comma 4 3 3 3" xfId="3139"/>
    <cellStyle name="Comma 4 3 3 3 2" xfId="3140"/>
    <cellStyle name="Comma 4 3 3 3 2 2" xfId="10291"/>
    <cellStyle name="Comma 4 3 3 3 3" xfId="10290"/>
    <cellStyle name="Comma 4 3 3 3 4" xfId="6336"/>
    <cellStyle name="Comma 4 3 3 4" xfId="3141"/>
    <cellStyle name="Comma 4 3 3 4 2" xfId="3142"/>
    <cellStyle name="Comma 4 3 3 4 2 2" xfId="10293"/>
    <cellStyle name="Comma 4 3 3 4 3" xfId="10292"/>
    <cellStyle name="Comma 4 3 3 4 4" xfId="6337"/>
    <cellStyle name="Comma 4 3 3 5" xfId="3143"/>
    <cellStyle name="Comma 4 3 3 5 2" xfId="10294"/>
    <cellStyle name="Comma 4 3 3 6" xfId="10285"/>
    <cellStyle name="Comma 4 3 3 7" xfId="6333"/>
    <cellStyle name="Comma 4 3 4" xfId="3144"/>
    <cellStyle name="Comma 4 3 4 2" xfId="3145"/>
    <cellStyle name="Comma 4 3 4 2 2" xfId="3146"/>
    <cellStyle name="Comma 4 3 4 2 2 2" xfId="3147"/>
    <cellStyle name="Comma 4 3 4 2 2 2 2" xfId="10298"/>
    <cellStyle name="Comma 4 3 4 2 2 3" xfId="10297"/>
    <cellStyle name="Comma 4 3 4 2 2 4" xfId="6340"/>
    <cellStyle name="Comma 4 3 4 2 3" xfId="3148"/>
    <cellStyle name="Comma 4 3 4 2 3 2" xfId="10299"/>
    <cellStyle name="Comma 4 3 4 2 4" xfId="10296"/>
    <cellStyle name="Comma 4 3 4 2 5" xfId="6339"/>
    <cellStyle name="Comma 4 3 4 3" xfId="3149"/>
    <cellStyle name="Comma 4 3 4 3 2" xfId="3150"/>
    <cellStyle name="Comma 4 3 4 3 2 2" xfId="10301"/>
    <cellStyle name="Comma 4 3 4 3 3" xfId="10300"/>
    <cellStyle name="Comma 4 3 4 3 4" xfId="6341"/>
    <cellStyle name="Comma 4 3 4 4" xfId="3151"/>
    <cellStyle name="Comma 4 3 4 4 2" xfId="3152"/>
    <cellStyle name="Comma 4 3 4 4 2 2" xfId="10303"/>
    <cellStyle name="Comma 4 3 4 4 3" xfId="10302"/>
    <cellStyle name="Comma 4 3 4 4 4" xfId="6342"/>
    <cellStyle name="Comma 4 3 4 5" xfId="3153"/>
    <cellStyle name="Comma 4 3 4 5 2" xfId="10304"/>
    <cellStyle name="Comma 4 3 4 6" xfId="10295"/>
    <cellStyle name="Comma 4 3 4 7" xfId="6338"/>
    <cellStyle name="Comma 4 3 5" xfId="3154"/>
    <cellStyle name="Comma 4 3 5 2" xfId="3155"/>
    <cellStyle name="Comma 4 3 5 2 2" xfId="3156"/>
    <cellStyle name="Comma 4 3 5 2 2 2" xfId="3157"/>
    <cellStyle name="Comma 4 3 5 2 2 2 2" xfId="10308"/>
    <cellStyle name="Comma 4 3 5 2 2 3" xfId="10307"/>
    <cellStyle name="Comma 4 3 5 2 2 4" xfId="6345"/>
    <cellStyle name="Comma 4 3 5 2 3" xfId="3158"/>
    <cellStyle name="Comma 4 3 5 2 3 2" xfId="10309"/>
    <cellStyle name="Comma 4 3 5 2 4" xfId="10306"/>
    <cellStyle name="Comma 4 3 5 2 5" xfId="6344"/>
    <cellStyle name="Comma 4 3 5 3" xfId="3159"/>
    <cellStyle name="Comma 4 3 5 3 2" xfId="3160"/>
    <cellStyle name="Comma 4 3 5 3 2 2" xfId="10311"/>
    <cellStyle name="Comma 4 3 5 3 3" xfId="10310"/>
    <cellStyle name="Comma 4 3 5 3 4" xfId="6346"/>
    <cellStyle name="Comma 4 3 5 4" xfId="3161"/>
    <cellStyle name="Comma 4 3 5 4 2" xfId="3162"/>
    <cellStyle name="Comma 4 3 5 4 2 2" xfId="10313"/>
    <cellStyle name="Comma 4 3 5 4 3" xfId="10312"/>
    <cellStyle name="Comma 4 3 5 4 4" xfId="6347"/>
    <cellStyle name="Comma 4 3 5 5" xfId="3163"/>
    <cellStyle name="Comma 4 3 5 5 2" xfId="10314"/>
    <cellStyle name="Comma 4 3 5 6" xfId="10305"/>
    <cellStyle name="Comma 4 3 5 7" xfId="6343"/>
    <cellStyle name="Comma 4 3 6" xfId="3164"/>
    <cellStyle name="Comma 4 3 6 2" xfId="3165"/>
    <cellStyle name="Comma 4 3 6 2 2" xfId="3166"/>
    <cellStyle name="Comma 4 3 6 2 2 2" xfId="3167"/>
    <cellStyle name="Comma 4 3 6 2 2 2 2" xfId="10318"/>
    <cellStyle name="Comma 4 3 6 2 2 3" xfId="10317"/>
    <cellStyle name="Comma 4 3 6 2 2 4" xfId="6350"/>
    <cellStyle name="Comma 4 3 6 2 3" xfId="3168"/>
    <cellStyle name="Comma 4 3 6 2 3 2" xfId="10319"/>
    <cellStyle name="Comma 4 3 6 2 4" xfId="10316"/>
    <cellStyle name="Comma 4 3 6 2 5" xfId="6349"/>
    <cellStyle name="Comma 4 3 6 3" xfId="3169"/>
    <cellStyle name="Comma 4 3 6 3 2" xfId="3170"/>
    <cellStyle name="Comma 4 3 6 3 2 2" xfId="10321"/>
    <cellStyle name="Comma 4 3 6 3 3" xfId="10320"/>
    <cellStyle name="Comma 4 3 6 3 4" xfId="6351"/>
    <cellStyle name="Comma 4 3 6 4" xfId="3171"/>
    <cellStyle name="Comma 4 3 6 4 2" xfId="3172"/>
    <cellStyle name="Comma 4 3 6 4 2 2" xfId="10323"/>
    <cellStyle name="Comma 4 3 6 4 3" xfId="10322"/>
    <cellStyle name="Comma 4 3 6 4 4" xfId="6352"/>
    <cellStyle name="Comma 4 3 6 5" xfId="3173"/>
    <cellStyle name="Comma 4 3 6 5 2" xfId="10324"/>
    <cellStyle name="Comma 4 3 6 6" xfId="10315"/>
    <cellStyle name="Comma 4 3 6 7" xfId="6348"/>
    <cellStyle name="Comma 4 3 7" xfId="3174"/>
    <cellStyle name="Comma 4 3 7 2" xfId="3175"/>
    <cellStyle name="Comma 4 3 7 2 2" xfId="3176"/>
    <cellStyle name="Comma 4 3 7 2 2 2" xfId="10327"/>
    <cellStyle name="Comma 4 3 7 2 3" xfId="10326"/>
    <cellStyle name="Comma 4 3 7 2 4" xfId="6354"/>
    <cellStyle name="Comma 4 3 7 3" xfId="3177"/>
    <cellStyle name="Comma 4 3 7 3 2" xfId="3178"/>
    <cellStyle name="Comma 4 3 7 3 2 2" xfId="10329"/>
    <cellStyle name="Comma 4 3 7 3 3" xfId="10328"/>
    <cellStyle name="Comma 4 3 7 3 4" xfId="6355"/>
    <cellStyle name="Comma 4 3 7 4" xfId="3179"/>
    <cellStyle name="Comma 4 3 7 4 2" xfId="10330"/>
    <cellStyle name="Comma 4 3 7 5" xfId="10325"/>
    <cellStyle name="Comma 4 3 7 6" xfId="6353"/>
    <cellStyle name="Comma 4 3 8" xfId="3180"/>
    <cellStyle name="Comma 4 3 8 2" xfId="3181"/>
    <cellStyle name="Comma 4 3 8 2 2" xfId="3182"/>
    <cellStyle name="Comma 4 3 8 2 2 2" xfId="10333"/>
    <cellStyle name="Comma 4 3 8 2 3" xfId="10332"/>
    <cellStyle name="Comma 4 3 8 2 4" xfId="6357"/>
    <cellStyle name="Comma 4 3 8 3" xfId="3183"/>
    <cellStyle name="Comma 4 3 8 3 2" xfId="10334"/>
    <cellStyle name="Comma 4 3 8 4" xfId="10331"/>
    <cellStyle name="Comma 4 3 8 5" xfId="6356"/>
    <cellStyle name="Comma 4 3 9" xfId="3184"/>
    <cellStyle name="Comma 4 3 9 2" xfId="3185"/>
    <cellStyle name="Comma 4 3 9 2 2" xfId="10336"/>
    <cellStyle name="Comma 4 3 9 3" xfId="10335"/>
    <cellStyle name="Comma 4 3 9 4" xfId="6358"/>
    <cellStyle name="Comma 4 4" xfId="3186"/>
    <cellStyle name="Comma 4 4 10" xfId="3187"/>
    <cellStyle name="Comma 4 4 10 2" xfId="3188"/>
    <cellStyle name="Comma 4 4 10 2 2" xfId="10339"/>
    <cellStyle name="Comma 4 4 10 3" xfId="10338"/>
    <cellStyle name="Comma 4 4 10 4" xfId="6360"/>
    <cellStyle name="Comma 4 4 11" xfId="3189"/>
    <cellStyle name="Comma 4 4 11 2" xfId="10340"/>
    <cellStyle name="Comma 4 4 12" xfId="10337"/>
    <cellStyle name="Comma 4 4 13" xfId="6359"/>
    <cellStyle name="Comma 4 4 2" xfId="3190"/>
    <cellStyle name="Comma 4 4 2 10" xfId="3191"/>
    <cellStyle name="Comma 4 4 2 10 2" xfId="10342"/>
    <cellStyle name="Comma 4 4 2 11" xfId="10341"/>
    <cellStyle name="Comma 4 4 2 12" xfId="6361"/>
    <cellStyle name="Comma 4 4 2 2" xfId="3192"/>
    <cellStyle name="Comma 4 4 2 2 2" xfId="3193"/>
    <cellStyle name="Comma 4 4 2 2 2 2" xfId="3194"/>
    <cellStyle name="Comma 4 4 2 2 2 2 2" xfId="3195"/>
    <cellStyle name="Comma 4 4 2 2 2 2 2 2" xfId="10346"/>
    <cellStyle name="Comma 4 4 2 2 2 2 3" xfId="10345"/>
    <cellStyle name="Comma 4 4 2 2 2 2 4" xfId="6364"/>
    <cellStyle name="Comma 4 4 2 2 2 3" xfId="3196"/>
    <cellStyle name="Comma 4 4 2 2 2 3 2" xfId="10347"/>
    <cellStyle name="Comma 4 4 2 2 2 4" xfId="10344"/>
    <cellStyle name="Comma 4 4 2 2 2 5" xfId="6363"/>
    <cellStyle name="Comma 4 4 2 2 3" xfId="3197"/>
    <cellStyle name="Comma 4 4 2 2 3 2" xfId="3198"/>
    <cellStyle name="Comma 4 4 2 2 3 2 2" xfId="10349"/>
    <cellStyle name="Comma 4 4 2 2 3 3" xfId="10348"/>
    <cellStyle name="Comma 4 4 2 2 3 4" xfId="6365"/>
    <cellStyle name="Comma 4 4 2 2 4" xfId="3199"/>
    <cellStyle name="Comma 4 4 2 2 4 2" xfId="3200"/>
    <cellStyle name="Comma 4 4 2 2 4 2 2" xfId="10351"/>
    <cellStyle name="Comma 4 4 2 2 4 3" xfId="10350"/>
    <cellStyle name="Comma 4 4 2 2 4 4" xfId="6366"/>
    <cellStyle name="Comma 4 4 2 2 5" xfId="3201"/>
    <cellStyle name="Comma 4 4 2 2 5 2" xfId="10352"/>
    <cellStyle name="Comma 4 4 2 2 6" xfId="10343"/>
    <cellStyle name="Comma 4 4 2 2 7" xfId="6362"/>
    <cellStyle name="Comma 4 4 2 3" xfId="3202"/>
    <cellStyle name="Comma 4 4 2 3 2" xfId="3203"/>
    <cellStyle name="Comma 4 4 2 3 2 2" xfId="3204"/>
    <cellStyle name="Comma 4 4 2 3 2 2 2" xfId="3205"/>
    <cellStyle name="Comma 4 4 2 3 2 2 2 2" xfId="10356"/>
    <cellStyle name="Comma 4 4 2 3 2 2 3" xfId="10355"/>
    <cellStyle name="Comma 4 4 2 3 2 2 4" xfId="6369"/>
    <cellStyle name="Comma 4 4 2 3 2 3" xfId="3206"/>
    <cellStyle name="Comma 4 4 2 3 2 3 2" xfId="10357"/>
    <cellStyle name="Comma 4 4 2 3 2 4" xfId="10354"/>
    <cellStyle name="Comma 4 4 2 3 2 5" xfId="6368"/>
    <cellStyle name="Comma 4 4 2 3 3" xfId="3207"/>
    <cellStyle name="Comma 4 4 2 3 3 2" xfId="3208"/>
    <cellStyle name="Comma 4 4 2 3 3 2 2" xfId="10359"/>
    <cellStyle name="Comma 4 4 2 3 3 3" xfId="10358"/>
    <cellStyle name="Comma 4 4 2 3 3 4" xfId="6370"/>
    <cellStyle name="Comma 4 4 2 3 4" xfId="3209"/>
    <cellStyle name="Comma 4 4 2 3 4 2" xfId="3210"/>
    <cellStyle name="Comma 4 4 2 3 4 2 2" xfId="10361"/>
    <cellStyle name="Comma 4 4 2 3 4 3" xfId="10360"/>
    <cellStyle name="Comma 4 4 2 3 4 4" xfId="6371"/>
    <cellStyle name="Comma 4 4 2 3 5" xfId="3211"/>
    <cellStyle name="Comma 4 4 2 3 5 2" xfId="10362"/>
    <cellStyle name="Comma 4 4 2 3 6" xfId="10353"/>
    <cellStyle name="Comma 4 4 2 3 7" xfId="6367"/>
    <cellStyle name="Comma 4 4 2 4" xfId="3212"/>
    <cellStyle name="Comma 4 4 2 4 2" xfId="3213"/>
    <cellStyle name="Comma 4 4 2 4 2 2" xfId="3214"/>
    <cellStyle name="Comma 4 4 2 4 2 2 2" xfId="3215"/>
    <cellStyle name="Comma 4 4 2 4 2 2 2 2" xfId="10366"/>
    <cellStyle name="Comma 4 4 2 4 2 2 3" xfId="10365"/>
    <cellStyle name="Comma 4 4 2 4 2 2 4" xfId="6374"/>
    <cellStyle name="Comma 4 4 2 4 2 3" xfId="3216"/>
    <cellStyle name="Comma 4 4 2 4 2 3 2" xfId="10367"/>
    <cellStyle name="Comma 4 4 2 4 2 4" xfId="10364"/>
    <cellStyle name="Comma 4 4 2 4 2 5" xfId="6373"/>
    <cellStyle name="Comma 4 4 2 4 3" xfId="3217"/>
    <cellStyle name="Comma 4 4 2 4 3 2" xfId="3218"/>
    <cellStyle name="Comma 4 4 2 4 3 2 2" xfId="10369"/>
    <cellStyle name="Comma 4 4 2 4 3 3" xfId="10368"/>
    <cellStyle name="Comma 4 4 2 4 3 4" xfId="6375"/>
    <cellStyle name="Comma 4 4 2 4 4" xfId="3219"/>
    <cellStyle name="Comma 4 4 2 4 4 2" xfId="3220"/>
    <cellStyle name="Comma 4 4 2 4 4 2 2" xfId="10371"/>
    <cellStyle name="Comma 4 4 2 4 4 3" xfId="10370"/>
    <cellStyle name="Comma 4 4 2 4 4 4" xfId="6376"/>
    <cellStyle name="Comma 4 4 2 4 5" xfId="3221"/>
    <cellStyle name="Comma 4 4 2 4 5 2" xfId="10372"/>
    <cellStyle name="Comma 4 4 2 4 6" xfId="10363"/>
    <cellStyle name="Comma 4 4 2 4 7" xfId="6372"/>
    <cellStyle name="Comma 4 4 2 5" xfId="3222"/>
    <cellStyle name="Comma 4 4 2 5 2" xfId="3223"/>
    <cellStyle name="Comma 4 4 2 5 2 2" xfId="3224"/>
    <cellStyle name="Comma 4 4 2 5 2 2 2" xfId="3225"/>
    <cellStyle name="Comma 4 4 2 5 2 2 2 2" xfId="10376"/>
    <cellStyle name="Comma 4 4 2 5 2 2 3" xfId="10375"/>
    <cellStyle name="Comma 4 4 2 5 2 2 4" xfId="6379"/>
    <cellStyle name="Comma 4 4 2 5 2 3" xfId="3226"/>
    <cellStyle name="Comma 4 4 2 5 2 3 2" xfId="10377"/>
    <cellStyle name="Comma 4 4 2 5 2 4" xfId="10374"/>
    <cellStyle name="Comma 4 4 2 5 2 5" xfId="6378"/>
    <cellStyle name="Comma 4 4 2 5 3" xfId="3227"/>
    <cellStyle name="Comma 4 4 2 5 3 2" xfId="3228"/>
    <cellStyle name="Comma 4 4 2 5 3 2 2" xfId="10379"/>
    <cellStyle name="Comma 4 4 2 5 3 3" xfId="10378"/>
    <cellStyle name="Comma 4 4 2 5 3 4" xfId="6380"/>
    <cellStyle name="Comma 4 4 2 5 4" xfId="3229"/>
    <cellStyle name="Comma 4 4 2 5 4 2" xfId="3230"/>
    <cellStyle name="Comma 4 4 2 5 4 2 2" xfId="10381"/>
    <cellStyle name="Comma 4 4 2 5 4 3" xfId="10380"/>
    <cellStyle name="Comma 4 4 2 5 4 4" xfId="6381"/>
    <cellStyle name="Comma 4 4 2 5 5" xfId="3231"/>
    <cellStyle name="Comma 4 4 2 5 5 2" xfId="10382"/>
    <cellStyle name="Comma 4 4 2 5 6" xfId="10373"/>
    <cellStyle name="Comma 4 4 2 5 7" xfId="6377"/>
    <cellStyle name="Comma 4 4 2 6" xfId="3232"/>
    <cellStyle name="Comma 4 4 2 6 2" xfId="3233"/>
    <cellStyle name="Comma 4 4 2 6 2 2" xfId="3234"/>
    <cellStyle name="Comma 4 4 2 6 2 2 2" xfId="10385"/>
    <cellStyle name="Comma 4 4 2 6 2 3" xfId="10384"/>
    <cellStyle name="Comma 4 4 2 6 2 4" xfId="6383"/>
    <cellStyle name="Comma 4 4 2 6 3" xfId="3235"/>
    <cellStyle name="Comma 4 4 2 6 3 2" xfId="3236"/>
    <cellStyle name="Comma 4 4 2 6 3 2 2" xfId="10387"/>
    <cellStyle name="Comma 4 4 2 6 3 3" xfId="10386"/>
    <cellStyle name="Comma 4 4 2 6 3 4" xfId="6384"/>
    <cellStyle name="Comma 4 4 2 6 4" xfId="3237"/>
    <cellStyle name="Comma 4 4 2 6 4 2" xfId="10388"/>
    <cellStyle name="Comma 4 4 2 6 5" xfId="10383"/>
    <cellStyle name="Comma 4 4 2 6 6" xfId="6382"/>
    <cellStyle name="Comma 4 4 2 7" xfId="3238"/>
    <cellStyle name="Comma 4 4 2 7 2" xfId="3239"/>
    <cellStyle name="Comma 4 4 2 7 2 2" xfId="3240"/>
    <cellStyle name="Comma 4 4 2 7 2 2 2" xfId="10391"/>
    <cellStyle name="Comma 4 4 2 7 2 3" xfId="10390"/>
    <cellStyle name="Comma 4 4 2 7 2 4" xfId="6386"/>
    <cellStyle name="Comma 4 4 2 7 3" xfId="3241"/>
    <cellStyle name="Comma 4 4 2 7 3 2" xfId="10392"/>
    <cellStyle name="Comma 4 4 2 7 4" xfId="10389"/>
    <cellStyle name="Comma 4 4 2 7 5" xfId="6385"/>
    <cellStyle name="Comma 4 4 2 8" xfId="3242"/>
    <cellStyle name="Comma 4 4 2 8 2" xfId="3243"/>
    <cellStyle name="Comma 4 4 2 8 2 2" xfId="10394"/>
    <cellStyle name="Comma 4 4 2 8 3" xfId="10393"/>
    <cellStyle name="Comma 4 4 2 8 4" xfId="6387"/>
    <cellStyle name="Comma 4 4 2 9" xfId="3244"/>
    <cellStyle name="Comma 4 4 2 9 2" xfId="3245"/>
    <cellStyle name="Comma 4 4 2 9 2 2" xfId="10396"/>
    <cellStyle name="Comma 4 4 2 9 3" xfId="10395"/>
    <cellStyle name="Comma 4 4 2 9 4" xfId="6388"/>
    <cellStyle name="Comma 4 4 3" xfId="3246"/>
    <cellStyle name="Comma 4 4 3 2" xfId="3247"/>
    <cellStyle name="Comma 4 4 3 2 2" xfId="3248"/>
    <cellStyle name="Comma 4 4 3 2 2 2" xfId="3249"/>
    <cellStyle name="Comma 4 4 3 2 2 2 2" xfId="10400"/>
    <cellStyle name="Comma 4 4 3 2 2 3" xfId="10399"/>
    <cellStyle name="Comma 4 4 3 2 2 4" xfId="6391"/>
    <cellStyle name="Comma 4 4 3 2 3" xfId="3250"/>
    <cellStyle name="Comma 4 4 3 2 3 2" xfId="10401"/>
    <cellStyle name="Comma 4 4 3 2 4" xfId="10398"/>
    <cellStyle name="Comma 4 4 3 2 5" xfId="6390"/>
    <cellStyle name="Comma 4 4 3 3" xfId="3251"/>
    <cellStyle name="Comma 4 4 3 3 2" xfId="3252"/>
    <cellStyle name="Comma 4 4 3 3 2 2" xfId="10403"/>
    <cellStyle name="Comma 4 4 3 3 3" xfId="10402"/>
    <cellStyle name="Comma 4 4 3 3 4" xfId="6392"/>
    <cellStyle name="Comma 4 4 3 4" xfId="3253"/>
    <cellStyle name="Comma 4 4 3 4 2" xfId="3254"/>
    <cellStyle name="Comma 4 4 3 4 2 2" xfId="10405"/>
    <cellStyle name="Comma 4 4 3 4 3" xfId="10404"/>
    <cellStyle name="Comma 4 4 3 4 4" xfId="6393"/>
    <cellStyle name="Comma 4 4 3 5" xfId="3255"/>
    <cellStyle name="Comma 4 4 3 5 2" xfId="10406"/>
    <cellStyle name="Comma 4 4 3 6" xfId="10397"/>
    <cellStyle name="Comma 4 4 3 7" xfId="6389"/>
    <cellStyle name="Comma 4 4 4" xfId="3256"/>
    <cellStyle name="Comma 4 4 4 2" xfId="3257"/>
    <cellStyle name="Comma 4 4 4 2 2" xfId="3258"/>
    <cellStyle name="Comma 4 4 4 2 2 2" xfId="3259"/>
    <cellStyle name="Comma 4 4 4 2 2 2 2" xfId="10410"/>
    <cellStyle name="Comma 4 4 4 2 2 3" xfId="10409"/>
    <cellStyle name="Comma 4 4 4 2 2 4" xfId="6396"/>
    <cellStyle name="Comma 4 4 4 2 3" xfId="3260"/>
    <cellStyle name="Comma 4 4 4 2 3 2" xfId="10411"/>
    <cellStyle name="Comma 4 4 4 2 4" xfId="10408"/>
    <cellStyle name="Comma 4 4 4 2 5" xfId="6395"/>
    <cellStyle name="Comma 4 4 4 3" xfId="3261"/>
    <cellStyle name="Comma 4 4 4 3 2" xfId="3262"/>
    <cellStyle name="Comma 4 4 4 3 2 2" xfId="10413"/>
    <cellStyle name="Comma 4 4 4 3 3" xfId="10412"/>
    <cellStyle name="Comma 4 4 4 3 4" xfId="6397"/>
    <cellStyle name="Comma 4 4 4 4" xfId="3263"/>
    <cellStyle name="Comma 4 4 4 4 2" xfId="3264"/>
    <cellStyle name="Comma 4 4 4 4 2 2" xfId="10415"/>
    <cellStyle name="Comma 4 4 4 4 3" xfId="10414"/>
    <cellStyle name="Comma 4 4 4 4 4" xfId="6398"/>
    <cellStyle name="Comma 4 4 4 5" xfId="3265"/>
    <cellStyle name="Comma 4 4 4 5 2" xfId="10416"/>
    <cellStyle name="Comma 4 4 4 6" xfId="10407"/>
    <cellStyle name="Comma 4 4 4 7" xfId="6394"/>
    <cellStyle name="Comma 4 4 5" xfId="3266"/>
    <cellStyle name="Comma 4 4 5 2" xfId="3267"/>
    <cellStyle name="Comma 4 4 5 2 2" xfId="3268"/>
    <cellStyle name="Comma 4 4 5 2 2 2" xfId="3269"/>
    <cellStyle name="Comma 4 4 5 2 2 2 2" xfId="10420"/>
    <cellStyle name="Comma 4 4 5 2 2 3" xfId="10419"/>
    <cellStyle name="Comma 4 4 5 2 2 4" xfId="6401"/>
    <cellStyle name="Comma 4 4 5 2 3" xfId="3270"/>
    <cellStyle name="Comma 4 4 5 2 3 2" xfId="10421"/>
    <cellStyle name="Comma 4 4 5 2 4" xfId="10418"/>
    <cellStyle name="Comma 4 4 5 2 5" xfId="6400"/>
    <cellStyle name="Comma 4 4 5 3" xfId="3271"/>
    <cellStyle name="Comma 4 4 5 3 2" xfId="3272"/>
    <cellStyle name="Comma 4 4 5 3 2 2" xfId="10423"/>
    <cellStyle name="Comma 4 4 5 3 3" xfId="10422"/>
    <cellStyle name="Comma 4 4 5 3 4" xfId="6402"/>
    <cellStyle name="Comma 4 4 5 4" xfId="3273"/>
    <cellStyle name="Comma 4 4 5 4 2" xfId="3274"/>
    <cellStyle name="Comma 4 4 5 4 2 2" xfId="10425"/>
    <cellStyle name="Comma 4 4 5 4 3" xfId="10424"/>
    <cellStyle name="Comma 4 4 5 4 4" xfId="6403"/>
    <cellStyle name="Comma 4 4 5 5" xfId="3275"/>
    <cellStyle name="Comma 4 4 5 5 2" xfId="10426"/>
    <cellStyle name="Comma 4 4 5 6" xfId="10417"/>
    <cellStyle name="Comma 4 4 5 7" xfId="6399"/>
    <cellStyle name="Comma 4 4 6" xfId="3276"/>
    <cellStyle name="Comma 4 4 6 2" xfId="3277"/>
    <cellStyle name="Comma 4 4 6 2 2" xfId="3278"/>
    <cellStyle name="Comma 4 4 6 2 2 2" xfId="3279"/>
    <cellStyle name="Comma 4 4 6 2 2 2 2" xfId="10430"/>
    <cellStyle name="Comma 4 4 6 2 2 3" xfId="10429"/>
    <cellStyle name="Comma 4 4 6 2 2 4" xfId="6406"/>
    <cellStyle name="Comma 4 4 6 2 3" xfId="3280"/>
    <cellStyle name="Comma 4 4 6 2 3 2" xfId="10431"/>
    <cellStyle name="Comma 4 4 6 2 4" xfId="10428"/>
    <cellStyle name="Comma 4 4 6 2 5" xfId="6405"/>
    <cellStyle name="Comma 4 4 6 3" xfId="3281"/>
    <cellStyle name="Comma 4 4 6 3 2" xfId="3282"/>
    <cellStyle name="Comma 4 4 6 3 2 2" xfId="10433"/>
    <cellStyle name="Comma 4 4 6 3 3" xfId="10432"/>
    <cellStyle name="Comma 4 4 6 3 4" xfId="6407"/>
    <cellStyle name="Comma 4 4 6 4" xfId="3283"/>
    <cellStyle name="Comma 4 4 6 4 2" xfId="3284"/>
    <cellStyle name="Comma 4 4 6 4 2 2" xfId="10435"/>
    <cellStyle name="Comma 4 4 6 4 3" xfId="10434"/>
    <cellStyle name="Comma 4 4 6 4 4" xfId="6408"/>
    <cellStyle name="Comma 4 4 6 5" xfId="3285"/>
    <cellStyle name="Comma 4 4 6 5 2" xfId="10436"/>
    <cellStyle name="Comma 4 4 6 6" xfId="10427"/>
    <cellStyle name="Comma 4 4 6 7" xfId="6404"/>
    <cellStyle name="Comma 4 4 7" xfId="3286"/>
    <cellStyle name="Comma 4 4 7 2" xfId="3287"/>
    <cellStyle name="Comma 4 4 7 2 2" xfId="3288"/>
    <cellStyle name="Comma 4 4 7 2 2 2" xfId="10439"/>
    <cellStyle name="Comma 4 4 7 2 3" xfId="10438"/>
    <cellStyle name="Comma 4 4 7 2 4" xfId="6410"/>
    <cellStyle name="Comma 4 4 7 3" xfId="3289"/>
    <cellStyle name="Comma 4 4 7 3 2" xfId="3290"/>
    <cellStyle name="Comma 4 4 7 3 2 2" xfId="10441"/>
    <cellStyle name="Comma 4 4 7 3 3" xfId="10440"/>
    <cellStyle name="Comma 4 4 7 3 4" xfId="6411"/>
    <cellStyle name="Comma 4 4 7 4" xfId="3291"/>
    <cellStyle name="Comma 4 4 7 4 2" xfId="10442"/>
    <cellStyle name="Comma 4 4 7 5" xfId="10437"/>
    <cellStyle name="Comma 4 4 7 6" xfId="6409"/>
    <cellStyle name="Comma 4 4 8" xfId="3292"/>
    <cellStyle name="Comma 4 4 8 2" xfId="3293"/>
    <cellStyle name="Comma 4 4 8 2 2" xfId="3294"/>
    <cellStyle name="Comma 4 4 8 2 2 2" xfId="10445"/>
    <cellStyle name="Comma 4 4 8 2 3" xfId="10444"/>
    <cellStyle name="Comma 4 4 8 2 4" xfId="6413"/>
    <cellStyle name="Comma 4 4 8 3" xfId="3295"/>
    <cellStyle name="Comma 4 4 8 3 2" xfId="10446"/>
    <cellStyle name="Comma 4 4 8 4" xfId="10443"/>
    <cellStyle name="Comma 4 4 8 5" xfId="6412"/>
    <cellStyle name="Comma 4 4 9" xfId="3296"/>
    <cellStyle name="Comma 4 4 9 2" xfId="3297"/>
    <cellStyle name="Comma 4 4 9 2 2" xfId="10448"/>
    <cellStyle name="Comma 4 4 9 3" xfId="10447"/>
    <cellStyle name="Comma 4 4 9 4" xfId="6414"/>
    <cellStyle name="Comma 4 5" xfId="3298"/>
    <cellStyle name="Comma 4 5 10" xfId="3299"/>
    <cellStyle name="Comma 4 5 10 2" xfId="10450"/>
    <cellStyle name="Comma 4 5 11" xfId="10449"/>
    <cellStyle name="Comma 4 5 12" xfId="6415"/>
    <cellStyle name="Comma 4 5 2" xfId="3300"/>
    <cellStyle name="Comma 4 5 2 2" xfId="3301"/>
    <cellStyle name="Comma 4 5 2 2 2" xfId="3302"/>
    <cellStyle name="Comma 4 5 2 2 2 2" xfId="3303"/>
    <cellStyle name="Comma 4 5 2 2 2 2 2" xfId="10454"/>
    <cellStyle name="Comma 4 5 2 2 2 3" xfId="10453"/>
    <cellStyle name="Comma 4 5 2 2 2 4" xfId="6418"/>
    <cellStyle name="Comma 4 5 2 2 3" xfId="3304"/>
    <cellStyle name="Comma 4 5 2 2 3 2" xfId="10455"/>
    <cellStyle name="Comma 4 5 2 2 4" xfId="10452"/>
    <cellStyle name="Comma 4 5 2 2 5" xfId="6417"/>
    <cellStyle name="Comma 4 5 2 3" xfId="3305"/>
    <cellStyle name="Comma 4 5 2 3 2" xfId="3306"/>
    <cellStyle name="Comma 4 5 2 3 2 2" xfId="10457"/>
    <cellStyle name="Comma 4 5 2 3 3" xfId="10456"/>
    <cellStyle name="Comma 4 5 2 3 4" xfId="6419"/>
    <cellStyle name="Comma 4 5 2 4" xfId="3307"/>
    <cellStyle name="Comma 4 5 2 4 2" xfId="3308"/>
    <cellStyle name="Comma 4 5 2 4 2 2" xfId="10459"/>
    <cellStyle name="Comma 4 5 2 4 3" xfId="10458"/>
    <cellStyle name="Comma 4 5 2 4 4" xfId="6420"/>
    <cellStyle name="Comma 4 5 2 5" xfId="3309"/>
    <cellStyle name="Comma 4 5 2 5 2" xfId="10460"/>
    <cellStyle name="Comma 4 5 2 6" xfId="10451"/>
    <cellStyle name="Comma 4 5 2 7" xfId="6416"/>
    <cellStyle name="Comma 4 5 3" xfId="3310"/>
    <cellStyle name="Comma 4 5 3 2" xfId="3311"/>
    <cellStyle name="Comma 4 5 3 2 2" xfId="3312"/>
    <cellStyle name="Comma 4 5 3 2 2 2" xfId="3313"/>
    <cellStyle name="Comma 4 5 3 2 2 2 2" xfId="10464"/>
    <cellStyle name="Comma 4 5 3 2 2 3" xfId="10463"/>
    <cellStyle name="Comma 4 5 3 2 2 4" xfId="6423"/>
    <cellStyle name="Comma 4 5 3 2 3" xfId="3314"/>
    <cellStyle name="Comma 4 5 3 2 3 2" xfId="10465"/>
    <cellStyle name="Comma 4 5 3 2 4" xfId="10462"/>
    <cellStyle name="Comma 4 5 3 2 5" xfId="6422"/>
    <cellStyle name="Comma 4 5 3 3" xfId="3315"/>
    <cellStyle name="Comma 4 5 3 3 2" xfId="3316"/>
    <cellStyle name="Comma 4 5 3 3 2 2" xfId="10467"/>
    <cellStyle name="Comma 4 5 3 3 3" xfId="10466"/>
    <cellStyle name="Comma 4 5 3 3 4" xfId="6424"/>
    <cellStyle name="Comma 4 5 3 4" xfId="3317"/>
    <cellStyle name="Comma 4 5 3 4 2" xfId="3318"/>
    <cellStyle name="Comma 4 5 3 4 2 2" xfId="10469"/>
    <cellStyle name="Comma 4 5 3 4 3" xfId="10468"/>
    <cellStyle name="Comma 4 5 3 4 4" xfId="6425"/>
    <cellStyle name="Comma 4 5 3 5" xfId="3319"/>
    <cellStyle name="Comma 4 5 3 5 2" xfId="10470"/>
    <cellStyle name="Comma 4 5 3 6" xfId="10461"/>
    <cellStyle name="Comma 4 5 3 7" xfId="6421"/>
    <cellStyle name="Comma 4 5 4" xfId="3320"/>
    <cellStyle name="Comma 4 5 4 2" xfId="3321"/>
    <cellStyle name="Comma 4 5 4 2 2" xfId="3322"/>
    <cellStyle name="Comma 4 5 4 2 2 2" xfId="3323"/>
    <cellStyle name="Comma 4 5 4 2 2 2 2" xfId="10474"/>
    <cellStyle name="Comma 4 5 4 2 2 3" xfId="10473"/>
    <cellStyle name="Comma 4 5 4 2 2 4" xfId="6428"/>
    <cellStyle name="Comma 4 5 4 2 3" xfId="3324"/>
    <cellStyle name="Comma 4 5 4 2 3 2" xfId="10475"/>
    <cellStyle name="Comma 4 5 4 2 4" xfId="10472"/>
    <cellStyle name="Comma 4 5 4 2 5" xfId="6427"/>
    <cellStyle name="Comma 4 5 4 3" xfId="3325"/>
    <cellStyle name="Comma 4 5 4 3 2" xfId="3326"/>
    <cellStyle name="Comma 4 5 4 3 2 2" xfId="10477"/>
    <cellStyle name="Comma 4 5 4 3 3" xfId="10476"/>
    <cellStyle name="Comma 4 5 4 3 4" xfId="6429"/>
    <cellStyle name="Comma 4 5 4 4" xfId="3327"/>
    <cellStyle name="Comma 4 5 4 4 2" xfId="3328"/>
    <cellStyle name="Comma 4 5 4 4 2 2" xfId="10479"/>
    <cellStyle name="Comma 4 5 4 4 3" xfId="10478"/>
    <cellStyle name="Comma 4 5 4 4 4" xfId="6430"/>
    <cellStyle name="Comma 4 5 4 5" xfId="3329"/>
    <cellStyle name="Comma 4 5 4 5 2" xfId="10480"/>
    <cellStyle name="Comma 4 5 4 6" xfId="10471"/>
    <cellStyle name="Comma 4 5 4 7" xfId="6426"/>
    <cellStyle name="Comma 4 5 5" xfId="3330"/>
    <cellStyle name="Comma 4 5 5 2" xfId="3331"/>
    <cellStyle name="Comma 4 5 5 2 2" xfId="3332"/>
    <cellStyle name="Comma 4 5 5 2 2 2" xfId="3333"/>
    <cellStyle name="Comma 4 5 5 2 2 2 2" xfId="10484"/>
    <cellStyle name="Comma 4 5 5 2 2 3" xfId="10483"/>
    <cellStyle name="Comma 4 5 5 2 2 4" xfId="6433"/>
    <cellStyle name="Comma 4 5 5 2 3" xfId="3334"/>
    <cellStyle name="Comma 4 5 5 2 3 2" xfId="10485"/>
    <cellStyle name="Comma 4 5 5 2 4" xfId="10482"/>
    <cellStyle name="Comma 4 5 5 2 5" xfId="6432"/>
    <cellStyle name="Comma 4 5 5 3" xfId="3335"/>
    <cellStyle name="Comma 4 5 5 3 2" xfId="3336"/>
    <cellStyle name="Comma 4 5 5 3 2 2" xfId="10487"/>
    <cellStyle name="Comma 4 5 5 3 3" xfId="10486"/>
    <cellStyle name="Comma 4 5 5 3 4" xfId="6434"/>
    <cellStyle name="Comma 4 5 5 4" xfId="3337"/>
    <cellStyle name="Comma 4 5 5 4 2" xfId="3338"/>
    <cellStyle name="Comma 4 5 5 4 2 2" xfId="10489"/>
    <cellStyle name="Comma 4 5 5 4 3" xfId="10488"/>
    <cellStyle name="Comma 4 5 5 4 4" xfId="6435"/>
    <cellStyle name="Comma 4 5 5 5" xfId="3339"/>
    <cellStyle name="Comma 4 5 5 5 2" xfId="10490"/>
    <cellStyle name="Comma 4 5 5 6" xfId="10481"/>
    <cellStyle name="Comma 4 5 5 7" xfId="6431"/>
    <cellStyle name="Comma 4 5 6" xfId="3340"/>
    <cellStyle name="Comma 4 5 6 2" xfId="3341"/>
    <cellStyle name="Comma 4 5 6 2 2" xfId="3342"/>
    <cellStyle name="Comma 4 5 6 2 2 2" xfId="10493"/>
    <cellStyle name="Comma 4 5 6 2 3" xfId="10492"/>
    <cellStyle name="Comma 4 5 6 2 4" xfId="6437"/>
    <cellStyle name="Comma 4 5 6 3" xfId="3343"/>
    <cellStyle name="Comma 4 5 6 3 2" xfId="3344"/>
    <cellStyle name="Comma 4 5 6 3 2 2" xfId="10495"/>
    <cellStyle name="Comma 4 5 6 3 3" xfId="10494"/>
    <cellStyle name="Comma 4 5 6 3 4" xfId="6438"/>
    <cellStyle name="Comma 4 5 6 4" xfId="3345"/>
    <cellStyle name="Comma 4 5 6 4 2" xfId="10496"/>
    <cellStyle name="Comma 4 5 6 5" xfId="10491"/>
    <cellStyle name="Comma 4 5 6 6" xfId="6436"/>
    <cellStyle name="Comma 4 5 7" xfId="3346"/>
    <cellStyle name="Comma 4 5 7 2" xfId="3347"/>
    <cellStyle name="Comma 4 5 7 2 2" xfId="3348"/>
    <cellStyle name="Comma 4 5 7 2 2 2" xfId="10499"/>
    <cellStyle name="Comma 4 5 7 2 3" xfId="10498"/>
    <cellStyle name="Comma 4 5 7 2 4" xfId="6440"/>
    <cellStyle name="Comma 4 5 7 3" xfId="3349"/>
    <cellStyle name="Comma 4 5 7 3 2" xfId="10500"/>
    <cellStyle name="Comma 4 5 7 4" xfId="10497"/>
    <cellStyle name="Comma 4 5 7 5" xfId="6439"/>
    <cellStyle name="Comma 4 5 8" xfId="3350"/>
    <cellStyle name="Comma 4 5 8 2" xfId="3351"/>
    <cellStyle name="Comma 4 5 8 2 2" xfId="10502"/>
    <cellStyle name="Comma 4 5 8 3" xfId="10501"/>
    <cellStyle name="Comma 4 5 8 4" xfId="6441"/>
    <cellStyle name="Comma 4 5 9" xfId="3352"/>
    <cellStyle name="Comma 4 5 9 2" xfId="3353"/>
    <cellStyle name="Comma 4 5 9 2 2" xfId="10504"/>
    <cellStyle name="Comma 4 5 9 3" xfId="10503"/>
    <cellStyle name="Comma 4 5 9 4" xfId="6442"/>
    <cellStyle name="Comma 4 6" xfId="3354"/>
    <cellStyle name="Comma 4 6 2" xfId="3355"/>
    <cellStyle name="Comma 4 6 2 2" xfId="3356"/>
    <cellStyle name="Comma 4 6 2 2 2" xfId="3357"/>
    <cellStyle name="Comma 4 6 2 2 2 2" xfId="10508"/>
    <cellStyle name="Comma 4 6 2 2 3" xfId="10507"/>
    <cellStyle name="Comma 4 6 2 2 4" xfId="6445"/>
    <cellStyle name="Comma 4 6 2 3" xfId="3358"/>
    <cellStyle name="Comma 4 6 2 3 2" xfId="10509"/>
    <cellStyle name="Comma 4 6 2 4" xfId="10506"/>
    <cellStyle name="Comma 4 6 2 5" xfId="6444"/>
    <cellStyle name="Comma 4 6 3" xfId="3359"/>
    <cellStyle name="Comma 4 6 3 2" xfId="3360"/>
    <cellStyle name="Comma 4 6 3 2 2" xfId="10511"/>
    <cellStyle name="Comma 4 6 3 3" xfId="10510"/>
    <cellStyle name="Comma 4 6 3 4" xfId="6446"/>
    <cellStyle name="Comma 4 6 4" xfId="3361"/>
    <cellStyle name="Comma 4 6 4 2" xfId="3362"/>
    <cellStyle name="Comma 4 6 4 2 2" xfId="10513"/>
    <cellStyle name="Comma 4 6 4 3" xfId="10512"/>
    <cellStyle name="Comma 4 6 4 4" xfId="6447"/>
    <cellStyle name="Comma 4 6 5" xfId="3363"/>
    <cellStyle name="Comma 4 6 5 2" xfId="10514"/>
    <cellStyle name="Comma 4 6 6" xfId="10505"/>
    <cellStyle name="Comma 4 6 7" xfId="6443"/>
    <cellStyle name="Comma 4 7" xfId="3364"/>
    <cellStyle name="Comma 4 7 2" xfId="3365"/>
    <cellStyle name="Comma 4 7 2 2" xfId="3366"/>
    <cellStyle name="Comma 4 7 2 2 2" xfId="3367"/>
    <cellStyle name="Comma 4 7 2 2 2 2" xfId="10518"/>
    <cellStyle name="Comma 4 7 2 2 3" xfId="10517"/>
    <cellStyle name="Comma 4 7 2 2 4" xfId="6450"/>
    <cellStyle name="Comma 4 7 2 3" xfId="3368"/>
    <cellStyle name="Comma 4 7 2 3 2" xfId="10519"/>
    <cellStyle name="Comma 4 7 2 4" xfId="10516"/>
    <cellStyle name="Comma 4 7 2 5" xfId="6449"/>
    <cellStyle name="Comma 4 7 3" xfId="3369"/>
    <cellStyle name="Comma 4 7 3 2" xfId="3370"/>
    <cellStyle name="Comma 4 7 3 2 2" xfId="10521"/>
    <cellStyle name="Comma 4 7 3 3" xfId="10520"/>
    <cellStyle name="Comma 4 7 3 4" xfId="6451"/>
    <cellStyle name="Comma 4 7 4" xfId="3371"/>
    <cellStyle name="Comma 4 7 4 2" xfId="3372"/>
    <cellStyle name="Comma 4 7 4 2 2" xfId="10523"/>
    <cellStyle name="Comma 4 7 4 3" xfId="10522"/>
    <cellStyle name="Comma 4 7 4 4" xfId="6452"/>
    <cellStyle name="Comma 4 7 5" xfId="3373"/>
    <cellStyle name="Comma 4 7 5 2" xfId="10524"/>
    <cellStyle name="Comma 4 7 6" xfId="10515"/>
    <cellStyle name="Comma 4 7 7" xfId="6448"/>
    <cellStyle name="Comma 4 8" xfId="3374"/>
    <cellStyle name="Comma 4 8 2" xfId="3375"/>
    <cellStyle name="Comma 4 8 2 2" xfId="3376"/>
    <cellStyle name="Comma 4 8 2 2 2" xfId="3377"/>
    <cellStyle name="Comma 4 8 2 2 2 2" xfId="10528"/>
    <cellStyle name="Comma 4 8 2 2 3" xfId="10527"/>
    <cellStyle name="Comma 4 8 2 2 4" xfId="6455"/>
    <cellStyle name="Comma 4 8 2 3" xfId="3378"/>
    <cellStyle name="Comma 4 8 2 3 2" xfId="10529"/>
    <cellStyle name="Comma 4 8 2 4" xfId="10526"/>
    <cellStyle name="Comma 4 8 2 5" xfId="6454"/>
    <cellStyle name="Comma 4 8 3" xfId="3379"/>
    <cellStyle name="Comma 4 8 3 2" xfId="3380"/>
    <cellStyle name="Comma 4 8 3 2 2" xfId="10531"/>
    <cellStyle name="Comma 4 8 3 3" xfId="10530"/>
    <cellStyle name="Comma 4 8 3 4" xfId="6456"/>
    <cellStyle name="Comma 4 8 4" xfId="3381"/>
    <cellStyle name="Comma 4 8 4 2" xfId="3382"/>
    <cellStyle name="Comma 4 8 4 2 2" xfId="10533"/>
    <cellStyle name="Comma 4 8 4 3" xfId="10532"/>
    <cellStyle name="Comma 4 8 4 4" xfId="6457"/>
    <cellStyle name="Comma 4 8 5" xfId="3383"/>
    <cellStyle name="Comma 4 8 5 2" xfId="10534"/>
    <cellStyle name="Comma 4 8 6" xfId="10525"/>
    <cellStyle name="Comma 4 8 7" xfId="6453"/>
    <cellStyle name="Comma 4 9" xfId="3384"/>
    <cellStyle name="Comma 4 9 2" xfId="3385"/>
    <cellStyle name="Comma 4 9 2 2" xfId="3386"/>
    <cellStyle name="Comma 4 9 2 2 2" xfId="3387"/>
    <cellStyle name="Comma 4 9 2 2 2 2" xfId="10538"/>
    <cellStyle name="Comma 4 9 2 2 3" xfId="10537"/>
    <cellStyle name="Comma 4 9 2 2 4" xfId="6460"/>
    <cellStyle name="Comma 4 9 2 3" xfId="3388"/>
    <cellStyle name="Comma 4 9 2 3 2" xfId="10539"/>
    <cellStyle name="Comma 4 9 2 4" xfId="10536"/>
    <cellStyle name="Comma 4 9 2 5" xfId="6459"/>
    <cellStyle name="Comma 4 9 3" xfId="3389"/>
    <cellStyle name="Comma 4 9 3 2" xfId="3390"/>
    <cellStyle name="Comma 4 9 3 2 2" xfId="10541"/>
    <cellStyle name="Comma 4 9 3 3" xfId="10540"/>
    <cellStyle name="Comma 4 9 3 4" xfId="6461"/>
    <cellStyle name="Comma 4 9 4" xfId="3391"/>
    <cellStyle name="Comma 4 9 4 2" xfId="3392"/>
    <cellStyle name="Comma 4 9 4 2 2" xfId="10543"/>
    <cellStyle name="Comma 4 9 4 3" xfId="10542"/>
    <cellStyle name="Comma 4 9 4 4" xfId="6462"/>
    <cellStyle name="Comma 4 9 5" xfId="3393"/>
    <cellStyle name="Comma 4 9 5 2" xfId="10544"/>
    <cellStyle name="Comma 4 9 6" xfId="10535"/>
    <cellStyle name="Comma 4 9 7" xfId="6458"/>
    <cellStyle name="Comma 5" xfId="3394"/>
    <cellStyle name="Comma 5 10" xfId="3395"/>
    <cellStyle name="Comma 5 10 2" xfId="3396"/>
    <cellStyle name="Comma 5 10 2 2" xfId="3397"/>
    <cellStyle name="Comma 5 10 2 2 2" xfId="10548"/>
    <cellStyle name="Comma 5 10 2 3" xfId="10547"/>
    <cellStyle name="Comma 5 10 2 4" xfId="6465"/>
    <cellStyle name="Comma 5 10 3" xfId="3398"/>
    <cellStyle name="Comma 5 10 3 2" xfId="3399"/>
    <cellStyle name="Comma 5 10 3 2 2" xfId="10550"/>
    <cellStyle name="Comma 5 10 3 3" xfId="10549"/>
    <cellStyle name="Comma 5 10 3 4" xfId="6466"/>
    <cellStyle name="Comma 5 10 4" xfId="3400"/>
    <cellStyle name="Comma 5 10 4 2" xfId="10551"/>
    <cellStyle name="Comma 5 10 5" xfId="10546"/>
    <cellStyle name="Comma 5 10 6" xfId="6464"/>
    <cellStyle name="Comma 5 11" xfId="3401"/>
    <cellStyle name="Comma 5 11 2" xfId="3402"/>
    <cellStyle name="Comma 5 11 2 2" xfId="3403"/>
    <cellStyle name="Comma 5 11 2 2 2" xfId="10554"/>
    <cellStyle name="Comma 5 11 2 3" xfId="10553"/>
    <cellStyle name="Comma 5 11 2 4" xfId="6468"/>
    <cellStyle name="Comma 5 11 3" xfId="3404"/>
    <cellStyle name="Comma 5 11 3 2" xfId="10555"/>
    <cellStyle name="Comma 5 11 4" xfId="10552"/>
    <cellStyle name="Comma 5 11 5" xfId="6467"/>
    <cellStyle name="Comma 5 12" xfId="3405"/>
    <cellStyle name="Comma 5 12 2" xfId="3406"/>
    <cellStyle name="Comma 5 12 2 2" xfId="10557"/>
    <cellStyle name="Comma 5 12 3" xfId="10556"/>
    <cellStyle name="Comma 5 12 4" xfId="6469"/>
    <cellStyle name="Comma 5 13" xfId="3407"/>
    <cellStyle name="Comma 5 13 2" xfId="3408"/>
    <cellStyle name="Comma 5 13 2 2" xfId="10559"/>
    <cellStyle name="Comma 5 13 3" xfId="10558"/>
    <cellStyle name="Comma 5 13 4" xfId="6470"/>
    <cellStyle name="Comma 5 14" xfId="3409"/>
    <cellStyle name="Comma 5 14 2" xfId="10560"/>
    <cellStyle name="Comma 5 15" xfId="10545"/>
    <cellStyle name="Comma 5 16" xfId="6463"/>
    <cellStyle name="Comma 5 17" xfId="12344"/>
    <cellStyle name="Comma 5 18" xfId="12359"/>
    <cellStyle name="Comma 5 2" xfId="3410"/>
    <cellStyle name="Comma 5 2 10" xfId="3411"/>
    <cellStyle name="Comma 5 2 10 2" xfId="3412"/>
    <cellStyle name="Comma 5 2 10 2 2" xfId="10563"/>
    <cellStyle name="Comma 5 2 10 3" xfId="10562"/>
    <cellStyle name="Comma 5 2 10 4" xfId="6472"/>
    <cellStyle name="Comma 5 2 11" xfId="3413"/>
    <cellStyle name="Comma 5 2 11 2" xfId="10564"/>
    <cellStyle name="Comma 5 2 12" xfId="10561"/>
    <cellStyle name="Comma 5 2 13" xfId="6471"/>
    <cellStyle name="Comma 5 2 2" xfId="3414"/>
    <cellStyle name="Comma 5 2 2 10" xfId="3415"/>
    <cellStyle name="Comma 5 2 2 10 2" xfId="10566"/>
    <cellStyle name="Comma 5 2 2 11" xfId="10565"/>
    <cellStyle name="Comma 5 2 2 12" xfId="6473"/>
    <cellStyle name="Comma 5 2 2 2" xfId="3416"/>
    <cellStyle name="Comma 5 2 2 2 2" xfId="3417"/>
    <cellStyle name="Comma 5 2 2 2 2 2" xfId="3418"/>
    <cellStyle name="Comma 5 2 2 2 2 2 2" xfId="3419"/>
    <cellStyle name="Comma 5 2 2 2 2 2 2 2" xfId="10570"/>
    <cellStyle name="Comma 5 2 2 2 2 2 3" xfId="10569"/>
    <cellStyle name="Comma 5 2 2 2 2 2 4" xfId="6476"/>
    <cellStyle name="Comma 5 2 2 2 2 3" xfId="3420"/>
    <cellStyle name="Comma 5 2 2 2 2 3 2" xfId="10571"/>
    <cellStyle name="Comma 5 2 2 2 2 4" xfId="10568"/>
    <cellStyle name="Comma 5 2 2 2 2 5" xfId="6475"/>
    <cellStyle name="Comma 5 2 2 2 3" xfId="3421"/>
    <cellStyle name="Comma 5 2 2 2 3 2" xfId="3422"/>
    <cellStyle name="Comma 5 2 2 2 3 2 2" xfId="10573"/>
    <cellStyle name="Comma 5 2 2 2 3 3" xfId="10572"/>
    <cellStyle name="Comma 5 2 2 2 3 4" xfId="6477"/>
    <cellStyle name="Comma 5 2 2 2 4" xfId="3423"/>
    <cellStyle name="Comma 5 2 2 2 4 2" xfId="3424"/>
    <cellStyle name="Comma 5 2 2 2 4 2 2" xfId="10575"/>
    <cellStyle name="Comma 5 2 2 2 4 3" xfId="10574"/>
    <cellStyle name="Comma 5 2 2 2 4 4" xfId="6478"/>
    <cellStyle name="Comma 5 2 2 2 5" xfId="3425"/>
    <cellStyle name="Comma 5 2 2 2 5 2" xfId="10576"/>
    <cellStyle name="Comma 5 2 2 2 6" xfId="10567"/>
    <cellStyle name="Comma 5 2 2 2 7" xfId="6474"/>
    <cellStyle name="Comma 5 2 2 3" xfId="3426"/>
    <cellStyle name="Comma 5 2 2 3 2" xfId="3427"/>
    <cellStyle name="Comma 5 2 2 3 2 2" xfId="3428"/>
    <cellStyle name="Comma 5 2 2 3 2 2 2" xfId="3429"/>
    <cellStyle name="Comma 5 2 2 3 2 2 2 2" xfId="10580"/>
    <cellStyle name="Comma 5 2 2 3 2 2 3" xfId="10579"/>
    <cellStyle name="Comma 5 2 2 3 2 2 4" xfId="6481"/>
    <cellStyle name="Comma 5 2 2 3 2 3" xfId="3430"/>
    <cellStyle name="Comma 5 2 2 3 2 3 2" xfId="10581"/>
    <cellStyle name="Comma 5 2 2 3 2 4" xfId="10578"/>
    <cellStyle name="Comma 5 2 2 3 2 5" xfId="6480"/>
    <cellStyle name="Comma 5 2 2 3 3" xfId="3431"/>
    <cellStyle name="Comma 5 2 2 3 3 2" xfId="3432"/>
    <cellStyle name="Comma 5 2 2 3 3 2 2" xfId="10583"/>
    <cellStyle name="Comma 5 2 2 3 3 3" xfId="10582"/>
    <cellStyle name="Comma 5 2 2 3 3 4" xfId="6482"/>
    <cellStyle name="Comma 5 2 2 3 4" xfId="3433"/>
    <cellStyle name="Comma 5 2 2 3 4 2" xfId="3434"/>
    <cellStyle name="Comma 5 2 2 3 4 2 2" xfId="10585"/>
    <cellStyle name="Comma 5 2 2 3 4 3" xfId="10584"/>
    <cellStyle name="Comma 5 2 2 3 4 4" xfId="6483"/>
    <cellStyle name="Comma 5 2 2 3 5" xfId="3435"/>
    <cellStyle name="Comma 5 2 2 3 5 2" xfId="10586"/>
    <cellStyle name="Comma 5 2 2 3 6" xfId="10577"/>
    <cellStyle name="Comma 5 2 2 3 7" xfId="6479"/>
    <cellStyle name="Comma 5 2 2 4" xfId="3436"/>
    <cellStyle name="Comma 5 2 2 4 2" xfId="3437"/>
    <cellStyle name="Comma 5 2 2 4 2 2" xfId="3438"/>
    <cellStyle name="Comma 5 2 2 4 2 2 2" xfId="3439"/>
    <cellStyle name="Comma 5 2 2 4 2 2 2 2" xfId="10590"/>
    <cellStyle name="Comma 5 2 2 4 2 2 3" xfId="10589"/>
    <cellStyle name="Comma 5 2 2 4 2 2 4" xfId="6486"/>
    <cellStyle name="Comma 5 2 2 4 2 3" xfId="3440"/>
    <cellStyle name="Comma 5 2 2 4 2 3 2" xfId="10591"/>
    <cellStyle name="Comma 5 2 2 4 2 4" xfId="10588"/>
    <cellStyle name="Comma 5 2 2 4 2 5" xfId="6485"/>
    <cellStyle name="Comma 5 2 2 4 3" xfId="3441"/>
    <cellStyle name="Comma 5 2 2 4 3 2" xfId="3442"/>
    <cellStyle name="Comma 5 2 2 4 3 2 2" xfId="10593"/>
    <cellStyle name="Comma 5 2 2 4 3 3" xfId="10592"/>
    <cellStyle name="Comma 5 2 2 4 3 4" xfId="6487"/>
    <cellStyle name="Comma 5 2 2 4 4" xfId="3443"/>
    <cellStyle name="Comma 5 2 2 4 4 2" xfId="3444"/>
    <cellStyle name="Comma 5 2 2 4 4 2 2" xfId="10595"/>
    <cellStyle name="Comma 5 2 2 4 4 3" xfId="10594"/>
    <cellStyle name="Comma 5 2 2 4 4 4" xfId="6488"/>
    <cellStyle name="Comma 5 2 2 4 5" xfId="3445"/>
    <cellStyle name="Comma 5 2 2 4 5 2" xfId="10596"/>
    <cellStyle name="Comma 5 2 2 4 6" xfId="10587"/>
    <cellStyle name="Comma 5 2 2 4 7" xfId="6484"/>
    <cellStyle name="Comma 5 2 2 5" xfId="3446"/>
    <cellStyle name="Comma 5 2 2 5 2" xfId="3447"/>
    <cellStyle name="Comma 5 2 2 5 2 2" xfId="3448"/>
    <cellStyle name="Comma 5 2 2 5 2 2 2" xfId="3449"/>
    <cellStyle name="Comma 5 2 2 5 2 2 2 2" xfId="10600"/>
    <cellStyle name="Comma 5 2 2 5 2 2 3" xfId="10599"/>
    <cellStyle name="Comma 5 2 2 5 2 2 4" xfId="6491"/>
    <cellStyle name="Comma 5 2 2 5 2 3" xfId="3450"/>
    <cellStyle name="Comma 5 2 2 5 2 3 2" xfId="10601"/>
    <cellStyle name="Comma 5 2 2 5 2 4" xfId="10598"/>
    <cellStyle name="Comma 5 2 2 5 2 5" xfId="6490"/>
    <cellStyle name="Comma 5 2 2 5 3" xfId="3451"/>
    <cellStyle name="Comma 5 2 2 5 3 2" xfId="3452"/>
    <cellStyle name="Comma 5 2 2 5 3 2 2" xfId="10603"/>
    <cellStyle name="Comma 5 2 2 5 3 3" xfId="10602"/>
    <cellStyle name="Comma 5 2 2 5 3 4" xfId="6492"/>
    <cellStyle name="Comma 5 2 2 5 4" xfId="3453"/>
    <cellStyle name="Comma 5 2 2 5 4 2" xfId="3454"/>
    <cellStyle name="Comma 5 2 2 5 4 2 2" xfId="10605"/>
    <cellStyle name="Comma 5 2 2 5 4 3" xfId="10604"/>
    <cellStyle name="Comma 5 2 2 5 4 4" xfId="6493"/>
    <cellStyle name="Comma 5 2 2 5 5" xfId="3455"/>
    <cellStyle name="Comma 5 2 2 5 5 2" xfId="10606"/>
    <cellStyle name="Comma 5 2 2 5 6" xfId="10597"/>
    <cellStyle name="Comma 5 2 2 5 7" xfId="6489"/>
    <cellStyle name="Comma 5 2 2 6" xfId="3456"/>
    <cellStyle name="Comma 5 2 2 6 2" xfId="3457"/>
    <cellStyle name="Comma 5 2 2 6 2 2" xfId="3458"/>
    <cellStyle name="Comma 5 2 2 6 2 2 2" xfId="10609"/>
    <cellStyle name="Comma 5 2 2 6 2 3" xfId="10608"/>
    <cellStyle name="Comma 5 2 2 6 2 4" xfId="6495"/>
    <cellStyle name="Comma 5 2 2 6 3" xfId="3459"/>
    <cellStyle name="Comma 5 2 2 6 3 2" xfId="3460"/>
    <cellStyle name="Comma 5 2 2 6 3 2 2" xfId="10611"/>
    <cellStyle name="Comma 5 2 2 6 3 3" xfId="10610"/>
    <cellStyle name="Comma 5 2 2 6 3 4" xfId="6496"/>
    <cellStyle name="Comma 5 2 2 6 4" xfId="3461"/>
    <cellStyle name="Comma 5 2 2 6 4 2" xfId="10612"/>
    <cellStyle name="Comma 5 2 2 6 5" xfId="10607"/>
    <cellStyle name="Comma 5 2 2 6 6" xfId="6494"/>
    <cellStyle name="Comma 5 2 2 7" xfId="3462"/>
    <cellStyle name="Comma 5 2 2 7 2" xfId="3463"/>
    <cellStyle name="Comma 5 2 2 7 2 2" xfId="3464"/>
    <cellStyle name="Comma 5 2 2 7 2 2 2" xfId="10615"/>
    <cellStyle name="Comma 5 2 2 7 2 3" xfId="10614"/>
    <cellStyle name="Comma 5 2 2 7 2 4" xfId="6498"/>
    <cellStyle name="Comma 5 2 2 7 3" xfId="3465"/>
    <cellStyle name="Comma 5 2 2 7 3 2" xfId="10616"/>
    <cellStyle name="Comma 5 2 2 7 4" xfId="10613"/>
    <cellStyle name="Comma 5 2 2 7 5" xfId="6497"/>
    <cellStyle name="Comma 5 2 2 8" xfId="3466"/>
    <cellStyle name="Comma 5 2 2 8 2" xfId="3467"/>
    <cellStyle name="Comma 5 2 2 8 2 2" xfId="10618"/>
    <cellStyle name="Comma 5 2 2 8 3" xfId="10617"/>
    <cellStyle name="Comma 5 2 2 8 4" xfId="6499"/>
    <cellStyle name="Comma 5 2 2 9" xfId="3468"/>
    <cellStyle name="Comma 5 2 2 9 2" xfId="3469"/>
    <cellStyle name="Comma 5 2 2 9 2 2" xfId="10620"/>
    <cellStyle name="Comma 5 2 2 9 3" xfId="10619"/>
    <cellStyle name="Comma 5 2 2 9 4" xfId="6500"/>
    <cellStyle name="Comma 5 2 3" xfId="3470"/>
    <cellStyle name="Comma 5 2 3 2" xfId="3471"/>
    <cellStyle name="Comma 5 2 3 2 2" xfId="3472"/>
    <cellStyle name="Comma 5 2 3 2 2 2" xfId="3473"/>
    <cellStyle name="Comma 5 2 3 2 2 2 2" xfId="10624"/>
    <cellStyle name="Comma 5 2 3 2 2 3" xfId="10623"/>
    <cellStyle name="Comma 5 2 3 2 2 4" xfId="6503"/>
    <cellStyle name="Comma 5 2 3 2 3" xfId="3474"/>
    <cellStyle name="Comma 5 2 3 2 3 2" xfId="10625"/>
    <cellStyle name="Comma 5 2 3 2 4" xfId="10622"/>
    <cellStyle name="Comma 5 2 3 2 5" xfId="6502"/>
    <cellStyle name="Comma 5 2 3 3" xfId="3475"/>
    <cellStyle name="Comma 5 2 3 3 2" xfId="3476"/>
    <cellStyle name="Comma 5 2 3 3 2 2" xfId="10627"/>
    <cellStyle name="Comma 5 2 3 3 3" xfId="10626"/>
    <cellStyle name="Comma 5 2 3 3 4" xfId="6504"/>
    <cellStyle name="Comma 5 2 3 4" xfId="3477"/>
    <cellStyle name="Comma 5 2 3 4 2" xfId="3478"/>
    <cellStyle name="Comma 5 2 3 4 2 2" xfId="10629"/>
    <cellStyle name="Comma 5 2 3 4 3" xfId="10628"/>
    <cellStyle name="Comma 5 2 3 4 4" xfId="6505"/>
    <cellStyle name="Comma 5 2 3 5" xfId="3479"/>
    <cellStyle name="Comma 5 2 3 5 2" xfId="10630"/>
    <cellStyle name="Comma 5 2 3 6" xfId="10621"/>
    <cellStyle name="Comma 5 2 3 7" xfId="6501"/>
    <cellStyle name="Comma 5 2 4" xfId="3480"/>
    <cellStyle name="Comma 5 2 4 2" xfId="3481"/>
    <cellStyle name="Comma 5 2 4 2 2" xfId="3482"/>
    <cellStyle name="Comma 5 2 4 2 2 2" xfId="3483"/>
    <cellStyle name="Comma 5 2 4 2 2 2 2" xfId="10634"/>
    <cellStyle name="Comma 5 2 4 2 2 3" xfId="10633"/>
    <cellStyle name="Comma 5 2 4 2 2 4" xfId="6508"/>
    <cellStyle name="Comma 5 2 4 2 3" xfId="3484"/>
    <cellStyle name="Comma 5 2 4 2 3 2" xfId="10635"/>
    <cellStyle name="Comma 5 2 4 2 4" xfId="10632"/>
    <cellStyle name="Comma 5 2 4 2 5" xfId="6507"/>
    <cellStyle name="Comma 5 2 4 3" xfId="3485"/>
    <cellStyle name="Comma 5 2 4 3 2" xfId="3486"/>
    <cellStyle name="Comma 5 2 4 3 2 2" xfId="10637"/>
    <cellStyle name="Comma 5 2 4 3 3" xfId="10636"/>
    <cellStyle name="Comma 5 2 4 3 4" xfId="6509"/>
    <cellStyle name="Comma 5 2 4 4" xfId="3487"/>
    <cellStyle name="Comma 5 2 4 4 2" xfId="3488"/>
    <cellStyle name="Comma 5 2 4 4 2 2" xfId="10639"/>
    <cellStyle name="Comma 5 2 4 4 3" xfId="10638"/>
    <cellStyle name="Comma 5 2 4 4 4" xfId="6510"/>
    <cellStyle name="Comma 5 2 4 5" xfId="3489"/>
    <cellStyle name="Comma 5 2 4 5 2" xfId="10640"/>
    <cellStyle name="Comma 5 2 4 6" xfId="10631"/>
    <cellStyle name="Comma 5 2 4 7" xfId="6506"/>
    <cellStyle name="Comma 5 2 5" xfId="3490"/>
    <cellStyle name="Comma 5 2 5 2" xfId="3491"/>
    <cellStyle name="Comma 5 2 5 2 2" xfId="3492"/>
    <cellStyle name="Comma 5 2 5 2 2 2" xfId="3493"/>
    <cellStyle name="Comma 5 2 5 2 2 2 2" xfId="10644"/>
    <cellStyle name="Comma 5 2 5 2 2 3" xfId="10643"/>
    <cellStyle name="Comma 5 2 5 2 2 4" xfId="6513"/>
    <cellStyle name="Comma 5 2 5 2 3" xfId="3494"/>
    <cellStyle name="Comma 5 2 5 2 3 2" xfId="10645"/>
    <cellStyle name="Comma 5 2 5 2 4" xfId="10642"/>
    <cellStyle name="Comma 5 2 5 2 5" xfId="6512"/>
    <cellStyle name="Comma 5 2 5 3" xfId="3495"/>
    <cellStyle name="Comma 5 2 5 3 2" xfId="3496"/>
    <cellStyle name="Comma 5 2 5 3 2 2" xfId="10647"/>
    <cellStyle name="Comma 5 2 5 3 3" xfId="10646"/>
    <cellStyle name="Comma 5 2 5 3 4" xfId="6514"/>
    <cellStyle name="Comma 5 2 5 4" xfId="3497"/>
    <cellStyle name="Comma 5 2 5 4 2" xfId="3498"/>
    <cellStyle name="Comma 5 2 5 4 2 2" xfId="10649"/>
    <cellStyle name="Comma 5 2 5 4 3" xfId="10648"/>
    <cellStyle name="Comma 5 2 5 4 4" xfId="6515"/>
    <cellStyle name="Comma 5 2 5 5" xfId="3499"/>
    <cellStyle name="Comma 5 2 5 5 2" xfId="10650"/>
    <cellStyle name="Comma 5 2 5 6" xfId="10641"/>
    <cellStyle name="Comma 5 2 5 7" xfId="6511"/>
    <cellStyle name="Comma 5 2 6" xfId="3500"/>
    <cellStyle name="Comma 5 2 6 2" xfId="3501"/>
    <cellStyle name="Comma 5 2 6 2 2" xfId="3502"/>
    <cellStyle name="Comma 5 2 6 2 2 2" xfId="3503"/>
    <cellStyle name="Comma 5 2 6 2 2 2 2" xfId="10654"/>
    <cellStyle name="Comma 5 2 6 2 2 3" xfId="10653"/>
    <cellStyle name="Comma 5 2 6 2 2 4" xfId="6518"/>
    <cellStyle name="Comma 5 2 6 2 3" xfId="3504"/>
    <cellStyle name="Comma 5 2 6 2 3 2" xfId="10655"/>
    <cellStyle name="Comma 5 2 6 2 4" xfId="10652"/>
    <cellStyle name="Comma 5 2 6 2 5" xfId="6517"/>
    <cellStyle name="Comma 5 2 6 3" xfId="3505"/>
    <cellStyle name="Comma 5 2 6 3 2" xfId="3506"/>
    <cellStyle name="Comma 5 2 6 3 2 2" xfId="10657"/>
    <cellStyle name="Comma 5 2 6 3 3" xfId="10656"/>
    <cellStyle name="Comma 5 2 6 3 4" xfId="6519"/>
    <cellStyle name="Comma 5 2 6 4" xfId="3507"/>
    <cellStyle name="Comma 5 2 6 4 2" xfId="3508"/>
    <cellStyle name="Comma 5 2 6 4 2 2" xfId="10659"/>
    <cellStyle name="Comma 5 2 6 4 3" xfId="10658"/>
    <cellStyle name="Comma 5 2 6 4 4" xfId="6520"/>
    <cellStyle name="Comma 5 2 6 5" xfId="3509"/>
    <cellStyle name="Comma 5 2 6 5 2" xfId="10660"/>
    <cellStyle name="Comma 5 2 6 6" xfId="10651"/>
    <cellStyle name="Comma 5 2 6 7" xfId="6516"/>
    <cellStyle name="Comma 5 2 7" xfId="3510"/>
    <cellStyle name="Comma 5 2 7 2" xfId="3511"/>
    <cellStyle name="Comma 5 2 7 2 2" xfId="3512"/>
    <cellStyle name="Comma 5 2 7 2 2 2" xfId="10663"/>
    <cellStyle name="Comma 5 2 7 2 3" xfId="10662"/>
    <cellStyle name="Comma 5 2 7 2 4" xfId="6522"/>
    <cellStyle name="Comma 5 2 7 3" xfId="3513"/>
    <cellStyle name="Comma 5 2 7 3 2" xfId="3514"/>
    <cellStyle name="Comma 5 2 7 3 2 2" xfId="10665"/>
    <cellStyle name="Comma 5 2 7 3 3" xfId="10664"/>
    <cellStyle name="Comma 5 2 7 3 4" xfId="6523"/>
    <cellStyle name="Comma 5 2 7 4" xfId="3515"/>
    <cellStyle name="Comma 5 2 7 4 2" xfId="10666"/>
    <cellStyle name="Comma 5 2 7 5" xfId="10661"/>
    <cellStyle name="Comma 5 2 7 6" xfId="6521"/>
    <cellStyle name="Comma 5 2 8" xfId="3516"/>
    <cellStyle name="Comma 5 2 8 2" xfId="3517"/>
    <cellStyle name="Comma 5 2 8 2 2" xfId="3518"/>
    <cellStyle name="Comma 5 2 8 2 2 2" xfId="10669"/>
    <cellStyle name="Comma 5 2 8 2 3" xfId="10668"/>
    <cellStyle name="Comma 5 2 8 2 4" xfId="6525"/>
    <cellStyle name="Comma 5 2 8 3" xfId="3519"/>
    <cellStyle name="Comma 5 2 8 3 2" xfId="10670"/>
    <cellStyle name="Comma 5 2 8 4" xfId="10667"/>
    <cellStyle name="Comma 5 2 8 5" xfId="6524"/>
    <cellStyle name="Comma 5 2 9" xfId="3520"/>
    <cellStyle name="Comma 5 2 9 2" xfId="3521"/>
    <cellStyle name="Comma 5 2 9 2 2" xfId="10672"/>
    <cellStyle name="Comma 5 2 9 3" xfId="10671"/>
    <cellStyle name="Comma 5 2 9 4" xfId="6526"/>
    <cellStyle name="Comma 5 3" xfId="3522"/>
    <cellStyle name="Comma 5 3 10" xfId="3523"/>
    <cellStyle name="Comma 5 3 10 2" xfId="3524"/>
    <cellStyle name="Comma 5 3 10 2 2" xfId="10675"/>
    <cellStyle name="Comma 5 3 10 3" xfId="10674"/>
    <cellStyle name="Comma 5 3 10 4" xfId="6528"/>
    <cellStyle name="Comma 5 3 11" xfId="3525"/>
    <cellStyle name="Comma 5 3 11 2" xfId="10676"/>
    <cellStyle name="Comma 5 3 12" xfId="10673"/>
    <cellStyle name="Comma 5 3 13" xfId="6527"/>
    <cellStyle name="Comma 5 3 2" xfId="3526"/>
    <cellStyle name="Comma 5 3 2 10" xfId="3527"/>
    <cellStyle name="Comma 5 3 2 10 2" xfId="10678"/>
    <cellStyle name="Comma 5 3 2 11" xfId="10677"/>
    <cellStyle name="Comma 5 3 2 12" xfId="6529"/>
    <cellStyle name="Comma 5 3 2 2" xfId="3528"/>
    <cellStyle name="Comma 5 3 2 2 2" xfId="3529"/>
    <cellStyle name="Comma 5 3 2 2 2 2" xfId="3530"/>
    <cellStyle name="Comma 5 3 2 2 2 2 2" xfId="3531"/>
    <cellStyle name="Comma 5 3 2 2 2 2 2 2" xfId="10682"/>
    <cellStyle name="Comma 5 3 2 2 2 2 3" xfId="10681"/>
    <cellStyle name="Comma 5 3 2 2 2 2 4" xfId="6532"/>
    <cellStyle name="Comma 5 3 2 2 2 3" xfId="3532"/>
    <cellStyle name="Comma 5 3 2 2 2 3 2" xfId="10683"/>
    <cellStyle name="Comma 5 3 2 2 2 4" xfId="10680"/>
    <cellStyle name="Comma 5 3 2 2 2 5" xfId="6531"/>
    <cellStyle name="Comma 5 3 2 2 3" xfId="3533"/>
    <cellStyle name="Comma 5 3 2 2 3 2" xfId="3534"/>
    <cellStyle name="Comma 5 3 2 2 3 2 2" xfId="10685"/>
    <cellStyle name="Comma 5 3 2 2 3 3" xfId="10684"/>
    <cellStyle name="Comma 5 3 2 2 3 4" xfId="6533"/>
    <cellStyle name="Comma 5 3 2 2 4" xfId="3535"/>
    <cellStyle name="Comma 5 3 2 2 4 2" xfId="3536"/>
    <cellStyle name="Comma 5 3 2 2 4 2 2" xfId="10687"/>
    <cellStyle name="Comma 5 3 2 2 4 3" xfId="10686"/>
    <cellStyle name="Comma 5 3 2 2 4 4" xfId="6534"/>
    <cellStyle name="Comma 5 3 2 2 5" xfId="3537"/>
    <cellStyle name="Comma 5 3 2 2 5 2" xfId="10688"/>
    <cellStyle name="Comma 5 3 2 2 6" xfId="10679"/>
    <cellStyle name="Comma 5 3 2 2 7" xfId="6530"/>
    <cellStyle name="Comma 5 3 2 3" xfId="3538"/>
    <cellStyle name="Comma 5 3 2 3 2" xfId="3539"/>
    <cellStyle name="Comma 5 3 2 3 2 2" xfId="3540"/>
    <cellStyle name="Comma 5 3 2 3 2 2 2" xfId="3541"/>
    <cellStyle name="Comma 5 3 2 3 2 2 2 2" xfId="10692"/>
    <cellStyle name="Comma 5 3 2 3 2 2 3" xfId="10691"/>
    <cellStyle name="Comma 5 3 2 3 2 2 4" xfId="6537"/>
    <cellStyle name="Comma 5 3 2 3 2 3" xfId="3542"/>
    <cellStyle name="Comma 5 3 2 3 2 3 2" xfId="10693"/>
    <cellStyle name="Comma 5 3 2 3 2 4" xfId="10690"/>
    <cellStyle name="Comma 5 3 2 3 2 5" xfId="6536"/>
    <cellStyle name="Comma 5 3 2 3 3" xfId="3543"/>
    <cellStyle name="Comma 5 3 2 3 3 2" xfId="3544"/>
    <cellStyle name="Comma 5 3 2 3 3 2 2" xfId="10695"/>
    <cellStyle name="Comma 5 3 2 3 3 3" xfId="10694"/>
    <cellStyle name="Comma 5 3 2 3 3 4" xfId="6538"/>
    <cellStyle name="Comma 5 3 2 3 4" xfId="3545"/>
    <cellStyle name="Comma 5 3 2 3 4 2" xfId="3546"/>
    <cellStyle name="Comma 5 3 2 3 4 2 2" xfId="10697"/>
    <cellStyle name="Comma 5 3 2 3 4 3" xfId="10696"/>
    <cellStyle name="Comma 5 3 2 3 4 4" xfId="6539"/>
    <cellStyle name="Comma 5 3 2 3 5" xfId="3547"/>
    <cellStyle name="Comma 5 3 2 3 5 2" xfId="10698"/>
    <cellStyle name="Comma 5 3 2 3 6" xfId="10689"/>
    <cellStyle name="Comma 5 3 2 3 7" xfId="6535"/>
    <cellStyle name="Comma 5 3 2 4" xfId="3548"/>
    <cellStyle name="Comma 5 3 2 4 2" xfId="3549"/>
    <cellStyle name="Comma 5 3 2 4 2 2" xfId="3550"/>
    <cellStyle name="Comma 5 3 2 4 2 2 2" xfId="3551"/>
    <cellStyle name="Comma 5 3 2 4 2 2 2 2" xfId="10702"/>
    <cellStyle name="Comma 5 3 2 4 2 2 3" xfId="10701"/>
    <cellStyle name="Comma 5 3 2 4 2 2 4" xfId="6542"/>
    <cellStyle name="Comma 5 3 2 4 2 3" xfId="3552"/>
    <cellStyle name="Comma 5 3 2 4 2 3 2" xfId="10703"/>
    <cellStyle name="Comma 5 3 2 4 2 4" xfId="10700"/>
    <cellStyle name="Comma 5 3 2 4 2 5" xfId="6541"/>
    <cellStyle name="Comma 5 3 2 4 3" xfId="3553"/>
    <cellStyle name="Comma 5 3 2 4 3 2" xfId="3554"/>
    <cellStyle name="Comma 5 3 2 4 3 2 2" xfId="10705"/>
    <cellStyle name="Comma 5 3 2 4 3 3" xfId="10704"/>
    <cellStyle name="Comma 5 3 2 4 3 4" xfId="6543"/>
    <cellStyle name="Comma 5 3 2 4 4" xfId="3555"/>
    <cellStyle name="Comma 5 3 2 4 4 2" xfId="3556"/>
    <cellStyle name="Comma 5 3 2 4 4 2 2" xfId="10707"/>
    <cellStyle name="Comma 5 3 2 4 4 3" xfId="10706"/>
    <cellStyle name="Comma 5 3 2 4 4 4" xfId="6544"/>
    <cellStyle name="Comma 5 3 2 4 5" xfId="3557"/>
    <cellStyle name="Comma 5 3 2 4 5 2" xfId="10708"/>
    <cellStyle name="Comma 5 3 2 4 6" xfId="10699"/>
    <cellStyle name="Comma 5 3 2 4 7" xfId="6540"/>
    <cellStyle name="Comma 5 3 2 5" xfId="3558"/>
    <cellStyle name="Comma 5 3 2 5 2" xfId="3559"/>
    <cellStyle name="Comma 5 3 2 5 2 2" xfId="3560"/>
    <cellStyle name="Comma 5 3 2 5 2 2 2" xfId="3561"/>
    <cellStyle name="Comma 5 3 2 5 2 2 2 2" xfId="10712"/>
    <cellStyle name="Comma 5 3 2 5 2 2 3" xfId="10711"/>
    <cellStyle name="Comma 5 3 2 5 2 2 4" xfId="6547"/>
    <cellStyle name="Comma 5 3 2 5 2 3" xfId="3562"/>
    <cellStyle name="Comma 5 3 2 5 2 3 2" xfId="10713"/>
    <cellStyle name="Comma 5 3 2 5 2 4" xfId="10710"/>
    <cellStyle name="Comma 5 3 2 5 2 5" xfId="6546"/>
    <cellStyle name="Comma 5 3 2 5 3" xfId="3563"/>
    <cellStyle name="Comma 5 3 2 5 3 2" xfId="3564"/>
    <cellStyle name="Comma 5 3 2 5 3 2 2" xfId="10715"/>
    <cellStyle name="Comma 5 3 2 5 3 3" xfId="10714"/>
    <cellStyle name="Comma 5 3 2 5 3 4" xfId="6548"/>
    <cellStyle name="Comma 5 3 2 5 4" xfId="3565"/>
    <cellStyle name="Comma 5 3 2 5 4 2" xfId="3566"/>
    <cellStyle name="Comma 5 3 2 5 4 2 2" xfId="10717"/>
    <cellStyle name="Comma 5 3 2 5 4 3" xfId="10716"/>
    <cellStyle name="Comma 5 3 2 5 4 4" xfId="6549"/>
    <cellStyle name="Comma 5 3 2 5 5" xfId="3567"/>
    <cellStyle name="Comma 5 3 2 5 5 2" xfId="10718"/>
    <cellStyle name="Comma 5 3 2 5 6" xfId="10709"/>
    <cellStyle name="Comma 5 3 2 5 7" xfId="6545"/>
    <cellStyle name="Comma 5 3 2 6" xfId="3568"/>
    <cellStyle name="Comma 5 3 2 6 2" xfId="3569"/>
    <cellStyle name="Comma 5 3 2 6 2 2" xfId="3570"/>
    <cellStyle name="Comma 5 3 2 6 2 2 2" xfId="10721"/>
    <cellStyle name="Comma 5 3 2 6 2 3" xfId="10720"/>
    <cellStyle name="Comma 5 3 2 6 2 4" xfId="6551"/>
    <cellStyle name="Comma 5 3 2 6 3" xfId="3571"/>
    <cellStyle name="Comma 5 3 2 6 3 2" xfId="3572"/>
    <cellStyle name="Comma 5 3 2 6 3 2 2" xfId="10723"/>
    <cellStyle name="Comma 5 3 2 6 3 3" xfId="10722"/>
    <cellStyle name="Comma 5 3 2 6 3 4" xfId="6552"/>
    <cellStyle name="Comma 5 3 2 6 4" xfId="3573"/>
    <cellStyle name="Comma 5 3 2 6 4 2" xfId="10724"/>
    <cellStyle name="Comma 5 3 2 6 5" xfId="10719"/>
    <cellStyle name="Comma 5 3 2 6 6" xfId="6550"/>
    <cellStyle name="Comma 5 3 2 7" xfId="3574"/>
    <cellStyle name="Comma 5 3 2 7 2" xfId="3575"/>
    <cellStyle name="Comma 5 3 2 7 2 2" xfId="3576"/>
    <cellStyle name="Comma 5 3 2 7 2 2 2" xfId="10727"/>
    <cellStyle name="Comma 5 3 2 7 2 3" xfId="10726"/>
    <cellStyle name="Comma 5 3 2 7 2 4" xfId="6554"/>
    <cellStyle name="Comma 5 3 2 7 3" xfId="3577"/>
    <cellStyle name="Comma 5 3 2 7 3 2" xfId="10728"/>
    <cellStyle name="Comma 5 3 2 7 4" xfId="10725"/>
    <cellStyle name="Comma 5 3 2 7 5" xfId="6553"/>
    <cellStyle name="Comma 5 3 2 8" xfId="3578"/>
    <cellStyle name="Comma 5 3 2 8 2" xfId="3579"/>
    <cellStyle name="Comma 5 3 2 8 2 2" xfId="10730"/>
    <cellStyle name="Comma 5 3 2 8 3" xfId="10729"/>
    <cellStyle name="Comma 5 3 2 8 4" xfId="6555"/>
    <cellStyle name="Comma 5 3 2 9" xfId="3580"/>
    <cellStyle name="Comma 5 3 2 9 2" xfId="3581"/>
    <cellStyle name="Comma 5 3 2 9 2 2" xfId="10732"/>
    <cellStyle name="Comma 5 3 2 9 3" xfId="10731"/>
    <cellStyle name="Comma 5 3 2 9 4" xfId="6556"/>
    <cellStyle name="Comma 5 3 3" xfId="3582"/>
    <cellStyle name="Comma 5 3 3 2" xfId="3583"/>
    <cellStyle name="Comma 5 3 3 2 2" xfId="3584"/>
    <cellStyle name="Comma 5 3 3 2 2 2" xfId="3585"/>
    <cellStyle name="Comma 5 3 3 2 2 2 2" xfId="10736"/>
    <cellStyle name="Comma 5 3 3 2 2 3" xfId="10735"/>
    <cellStyle name="Comma 5 3 3 2 2 4" xfId="6559"/>
    <cellStyle name="Comma 5 3 3 2 3" xfId="3586"/>
    <cellStyle name="Comma 5 3 3 2 3 2" xfId="10737"/>
    <cellStyle name="Comma 5 3 3 2 4" xfId="10734"/>
    <cellStyle name="Comma 5 3 3 2 5" xfId="6558"/>
    <cellStyle name="Comma 5 3 3 3" xfId="3587"/>
    <cellStyle name="Comma 5 3 3 3 2" xfId="3588"/>
    <cellStyle name="Comma 5 3 3 3 2 2" xfId="10739"/>
    <cellStyle name="Comma 5 3 3 3 3" xfId="10738"/>
    <cellStyle name="Comma 5 3 3 3 4" xfId="6560"/>
    <cellStyle name="Comma 5 3 3 4" xfId="3589"/>
    <cellStyle name="Comma 5 3 3 4 2" xfId="3590"/>
    <cellStyle name="Comma 5 3 3 4 2 2" xfId="10741"/>
    <cellStyle name="Comma 5 3 3 4 3" xfId="10740"/>
    <cellStyle name="Comma 5 3 3 4 4" xfId="6561"/>
    <cellStyle name="Comma 5 3 3 5" xfId="3591"/>
    <cellStyle name="Comma 5 3 3 5 2" xfId="10742"/>
    <cellStyle name="Comma 5 3 3 6" xfId="10733"/>
    <cellStyle name="Comma 5 3 3 7" xfId="6557"/>
    <cellStyle name="Comma 5 3 4" xfId="3592"/>
    <cellStyle name="Comma 5 3 4 2" xfId="3593"/>
    <cellStyle name="Comma 5 3 4 2 2" xfId="3594"/>
    <cellStyle name="Comma 5 3 4 2 2 2" xfId="3595"/>
    <cellStyle name="Comma 5 3 4 2 2 2 2" xfId="10746"/>
    <cellStyle name="Comma 5 3 4 2 2 3" xfId="10745"/>
    <cellStyle name="Comma 5 3 4 2 2 4" xfId="6564"/>
    <cellStyle name="Comma 5 3 4 2 3" xfId="3596"/>
    <cellStyle name="Comma 5 3 4 2 3 2" xfId="10747"/>
    <cellStyle name="Comma 5 3 4 2 4" xfId="10744"/>
    <cellStyle name="Comma 5 3 4 2 5" xfId="6563"/>
    <cellStyle name="Comma 5 3 4 3" xfId="3597"/>
    <cellStyle name="Comma 5 3 4 3 2" xfId="3598"/>
    <cellStyle name="Comma 5 3 4 3 2 2" xfId="10749"/>
    <cellStyle name="Comma 5 3 4 3 3" xfId="10748"/>
    <cellStyle name="Comma 5 3 4 3 4" xfId="6565"/>
    <cellStyle name="Comma 5 3 4 4" xfId="3599"/>
    <cellStyle name="Comma 5 3 4 4 2" xfId="3600"/>
    <cellStyle name="Comma 5 3 4 4 2 2" xfId="10751"/>
    <cellStyle name="Comma 5 3 4 4 3" xfId="10750"/>
    <cellStyle name="Comma 5 3 4 4 4" xfId="6566"/>
    <cellStyle name="Comma 5 3 4 5" xfId="3601"/>
    <cellStyle name="Comma 5 3 4 5 2" xfId="10752"/>
    <cellStyle name="Comma 5 3 4 6" xfId="10743"/>
    <cellStyle name="Comma 5 3 4 7" xfId="6562"/>
    <cellStyle name="Comma 5 3 5" xfId="3602"/>
    <cellStyle name="Comma 5 3 5 2" xfId="3603"/>
    <cellStyle name="Comma 5 3 5 2 2" xfId="3604"/>
    <cellStyle name="Comma 5 3 5 2 2 2" xfId="3605"/>
    <cellStyle name="Comma 5 3 5 2 2 2 2" xfId="10756"/>
    <cellStyle name="Comma 5 3 5 2 2 3" xfId="10755"/>
    <cellStyle name="Comma 5 3 5 2 2 4" xfId="6569"/>
    <cellStyle name="Comma 5 3 5 2 3" xfId="3606"/>
    <cellStyle name="Comma 5 3 5 2 3 2" xfId="10757"/>
    <cellStyle name="Comma 5 3 5 2 4" xfId="10754"/>
    <cellStyle name="Comma 5 3 5 2 5" xfId="6568"/>
    <cellStyle name="Comma 5 3 5 3" xfId="3607"/>
    <cellStyle name="Comma 5 3 5 3 2" xfId="3608"/>
    <cellStyle name="Comma 5 3 5 3 2 2" xfId="10759"/>
    <cellStyle name="Comma 5 3 5 3 3" xfId="10758"/>
    <cellStyle name="Comma 5 3 5 3 4" xfId="6570"/>
    <cellStyle name="Comma 5 3 5 4" xfId="3609"/>
    <cellStyle name="Comma 5 3 5 4 2" xfId="3610"/>
    <cellStyle name="Comma 5 3 5 4 2 2" xfId="10761"/>
    <cellStyle name="Comma 5 3 5 4 3" xfId="10760"/>
    <cellStyle name="Comma 5 3 5 4 4" xfId="6571"/>
    <cellStyle name="Comma 5 3 5 5" xfId="3611"/>
    <cellStyle name="Comma 5 3 5 5 2" xfId="10762"/>
    <cellStyle name="Comma 5 3 5 6" xfId="10753"/>
    <cellStyle name="Comma 5 3 5 7" xfId="6567"/>
    <cellStyle name="Comma 5 3 6" xfId="3612"/>
    <cellStyle name="Comma 5 3 6 2" xfId="3613"/>
    <cellStyle name="Comma 5 3 6 2 2" xfId="3614"/>
    <cellStyle name="Comma 5 3 6 2 2 2" xfId="3615"/>
    <cellStyle name="Comma 5 3 6 2 2 2 2" xfId="10766"/>
    <cellStyle name="Comma 5 3 6 2 2 3" xfId="10765"/>
    <cellStyle name="Comma 5 3 6 2 2 4" xfId="6574"/>
    <cellStyle name="Comma 5 3 6 2 3" xfId="3616"/>
    <cellStyle name="Comma 5 3 6 2 3 2" xfId="10767"/>
    <cellStyle name="Comma 5 3 6 2 4" xfId="10764"/>
    <cellStyle name="Comma 5 3 6 2 5" xfId="6573"/>
    <cellStyle name="Comma 5 3 6 3" xfId="3617"/>
    <cellStyle name="Comma 5 3 6 3 2" xfId="3618"/>
    <cellStyle name="Comma 5 3 6 3 2 2" xfId="10769"/>
    <cellStyle name="Comma 5 3 6 3 3" xfId="10768"/>
    <cellStyle name="Comma 5 3 6 3 4" xfId="6575"/>
    <cellStyle name="Comma 5 3 6 4" xfId="3619"/>
    <cellStyle name="Comma 5 3 6 4 2" xfId="3620"/>
    <cellStyle name="Comma 5 3 6 4 2 2" xfId="10771"/>
    <cellStyle name="Comma 5 3 6 4 3" xfId="10770"/>
    <cellStyle name="Comma 5 3 6 4 4" xfId="6576"/>
    <cellStyle name="Comma 5 3 6 5" xfId="3621"/>
    <cellStyle name="Comma 5 3 6 5 2" xfId="10772"/>
    <cellStyle name="Comma 5 3 6 6" xfId="10763"/>
    <cellStyle name="Comma 5 3 6 7" xfId="6572"/>
    <cellStyle name="Comma 5 3 7" xfId="3622"/>
    <cellStyle name="Comma 5 3 7 2" xfId="3623"/>
    <cellStyle name="Comma 5 3 7 2 2" xfId="3624"/>
    <cellStyle name="Comma 5 3 7 2 2 2" xfId="10775"/>
    <cellStyle name="Comma 5 3 7 2 3" xfId="10774"/>
    <cellStyle name="Comma 5 3 7 2 4" xfId="6578"/>
    <cellStyle name="Comma 5 3 7 3" xfId="3625"/>
    <cellStyle name="Comma 5 3 7 3 2" xfId="3626"/>
    <cellStyle name="Comma 5 3 7 3 2 2" xfId="10777"/>
    <cellStyle name="Comma 5 3 7 3 3" xfId="10776"/>
    <cellStyle name="Comma 5 3 7 3 4" xfId="6579"/>
    <cellStyle name="Comma 5 3 7 4" xfId="3627"/>
    <cellStyle name="Comma 5 3 7 4 2" xfId="10778"/>
    <cellStyle name="Comma 5 3 7 5" xfId="10773"/>
    <cellStyle name="Comma 5 3 7 6" xfId="6577"/>
    <cellStyle name="Comma 5 3 8" xfId="3628"/>
    <cellStyle name="Comma 5 3 8 2" xfId="3629"/>
    <cellStyle name="Comma 5 3 8 2 2" xfId="3630"/>
    <cellStyle name="Comma 5 3 8 2 2 2" xfId="10781"/>
    <cellStyle name="Comma 5 3 8 2 3" xfId="10780"/>
    <cellStyle name="Comma 5 3 8 2 4" xfId="6581"/>
    <cellStyle name="Comma 5 3 8 3" xfId="3631"/>
    <cellStyle name="Comma 5 3 8 3 2" xfId="10782"/>
    <cellStyle name="Comma 5 3 8 4" xfId="10779"/>
    <cellStyle name="Comma 5 3 8 5" xfId="6580"/>
    <cellStyle name="Comma 5 3 9" xfId="3632"/>
    <cellStyle name="Comma 5 3 9 2" xfId="3633"/>
    <cellStyle name="Comma 5 3 9 2 2" xfId="10784"/>
    <cellStyle name="Comma 5 3 9 3" xfId="10783"/>
    <cellStyle name="Comma 5 3 9 4" xfId="6582"/>
    <cellStyle name="Comma 5 4" xfId="3634"/>
    <cellStyle name="Comma 5 4 10" xfId="3635"/>
    <cellStyle name="Comma 5 4 10 2" xfId="3636"/>
    <cellStyle name="Comma 5 4 10 2 2" xfId="10787"/>
    <cellStyle name="Comma 5 4 10 3" xfId="10786"/>
    <cellStyle name="Comma 5 4 10 4" xfId="6584"/>
    <cellStyle name="Comma 5 4 11" xfId="3637"/>
    <cellStyle name="Comma 5 4 11 2" xfId="10788"/>
    <cellStyle name="Comma 5 4 12" xfId="10785"/>
    <cellStyle name="Comma 5 4 13" xfId="6583"/>
    <cellStyle name="Comma 5 4 2" xfId="3638"/>
    <cellStyle name="Comma 5 4 2 10" xfId="3639"/>
    <cellStyle name="Comma 5 4 2 10 2" xfId="10790"/>
    <cellStyle name="Comma 5 4 2 11" xfId="10789"/>
    <cellStyle name="Comma 5 4 2 12" xfId="6585"/>
    <cellStyle name="Comma 5 4 2 2" xfId="3640"/>
    <cellStyle name="Comma 5 4 2 2 2" xfId="3641"/>
    <cellStyle name="Comma 5 4 2 2 2 2" xfId="3642"/>
    <cellStyle name="Comma 5 4 2 2 2 2 2" xfId="3643"/>
    <cellStyle name="Comma 5 4 2 2 2 2 2 2" xfId="10794"/>
    <cellStyle name="Comma 5 4 2 2 2 2 3" xfId="10793"/>
    <cellStyle name="Comma 5 4 2 2 2 2 4" xfId="6588"/>
    <cellStyle name="Comma 5 4 2 2 2 3" xfId="3644"/>
    <cellStyle name="Comma 5 4 2 2 2 3 2" xfId="10795"/>
    <cellStyle name="Comma 5 4 2 2 2 4" xfId="10792"/>
    <cellStyle name="Comma 5 4 2 2 2 5" xfId="6587"/>
    <cellStyle name="Comma 5 4 2 2 3" xfId="3645"/>
    <cellStyle name="Comma 5 4 2 2 3 2" xfId="3646"/>
    <cellStyle name="Comma 5 4 2 2 3 2 2" xfId="10797"/>
    <cellStyle name="Comma 5 4 2 2 3 3" xfId="10796"/>
    <cellStyle name="Comma 5 4 2 2 3 4" xfId="6589"/>
    <cellStyle name="Comma 5 4 2 2 4" xfId="3647"/>
    <cellStyle name="Comma 5 4 2 2 4 2" xfId="3648"/>
    <cellStyle name="Comma 5 4 2 2 4 2 2" xfId="10799"/>
    <cellStyle name="Comma 5 4 2 2 4 3" xfId="10798"/>
    <cellStyle name="Comma 5 4 2 2 4 4" xfId="6590"/>
    <cellStyle name="Comma 5 4 2 2 5" xfId="3649"/>
    <cellStyle name="Comma 5 4 2 2 5 2" xfId="10800"/>
    <cellStyle name="Comma 5 4 2 2 6" xfId="10791"/>
    <cellStyle name="Comma 5 4 2 2 7" xfId="6586"/>
    <cellStyle name="Comma 5 4 2 3" xfId="3650"/>
    <cellStyle name="Comma 5 4 2 3 2" xfId="3651"/>
    <cellStyle name="Comma 5 4 2 3 2 2" xfId="3652"/>
    <cellStyle name="Comma 5 4 2 3 2 2 2" xfId="3653"/>
    <cellStyle name="Comma 5 4 2 3 2 2 2 2" xfId="10804"/>
    <cellStyle name="Comma 5 4 2 3 2 2 3" xfId="10803"/>
    <cellStyle name="Comma 5 4 2 3 2 2 4" xfId="6593"/>
    <cellStyle name="Comma 5 4 2 3 2 3" xfId="3654"/>
    <cellStyle name="Comma 5 4 2 3 2 3 2" xfId="10805"/>
    <cellStyle name="Comma 5 4 2 3 2 4" xfId="10802"/>
    <cellStyle name="Comma 5 4 2 3 2 5" xfId="6592"/>
    <cellStyle name="Comma 5 4 2 3 3" xfId="3655"/>
    <cellStyle name="Comma 5 4 2 3 3 2" xfId="3656"/>
    <cellStyle name="Comma 5 4 2 3 3 2 2" xfId="10807"/>
    <cellStyle name="Comma 5 4 2 3 3 3" xfId="10806"/>
    <cellStyle name="Comma 5 4 2 3 3 4" xfId="6594"/>
    <cellStyle name="Comma 5 4 2 3 4" xfId="3657"/>
    <cellStyle name="Comma 5 4 2 3 4 2" xfId="3658"/>
    <cellStyle name="Comma 5 4 2 3 4 2 2" xfId="10809"/>
    <cellStyle name="Comma 5 4 2 3 4 3" xfId="10808"/>
    <cellStyle name="Comma 5 4 2 3 4 4" xfId="6595"/>
    <cellStyle name="Comma 5 4 2 3 5" xfId="3659"/>
    <cellStyle name="Comma 5 4 2 3 5 2" xfId="10810"/>
    <cellStyle name="Comma 5 4 2 3 6" xfId="10801"/>
    <cellStyle name="Comma 5 4 2 3 7" xfId="6591"/>
    <cellStyle name="Comma 5 4 2 4" xfId="3660"/>
    <cellStyle name="Comma 5 4 2 4 2" xfId="3661"/>
    <cellStyle name="Comma 5 4 2 4 2 2" xfId="3662"/>
    <cellStyle name="Comma 5 4 2 4 2 2 2" xfId="3663"/>
    <cellStyle name="Comma 5 4 2 4 2 2 2 2" xfId="10814"/>
    <cellStyle name="Comma 5 4 2 4 2 2 3" xfId="10813"/>
    <cellStyle name="Comma 5 4 2 4 2 2 4" xfId="6598"/>
    <cellStyle name="Comma 5 4 2 4 2 3" xfId="3664"/>
    <cellStyle name="Comma 5 4 2 4 2 3 2" xfId="10815"/>
    <cellStyle name="Comma 5 4 2 4 2 4" xfId="10812"/>
    <cellStyle name="Comma 5 4 2 4 2 5" xfId="6597"/>
    <cellStyle name="Comma 5 4 2 4 3" xfId="3665"/>
    <cellStyle name="Comma 5 4 2 4 3 2" xfId="3666"/>
    <cellStyle name="Comma 5 4 2 4 3 2 2" xfId="10817"/>
    <cellStyle name="Comma 5 4 2 4 3 3" xfId="10816"/>
    <cellStyle name="Comma 5 4 2 4 3 4" xfId="6599"/>
    <cellStyle name="Comma 5 4 2 4 4" xfId="3667"/>
    <cellStyle name="Comma 5 4 2 4 4 2" xfId="3668"/>
    <cellStyle name="Comma 5 4 2 4 4 2 2" xfId="10819"/>
    <cellStyle name="Comma 5 4 2 4 4 3" xfId="10818"/>
    <cellStyle name="Comma 5 4 2 4 4 4" xfId="6600"/>
    <cellStyle name="Comma 5 4 2 4 5" xfId="3669"/>
    <cellStyle name="Comma 5 4 2 4 5 2" xfId="10820"/>
    <cellStyle name="Comma 5 4 2 4 6" xfId="10811"/>
    <cellStyle name="Comma 5 4 2 4 7" xfId="6596"/>
    <cellStyle name="Comma 5 4 2 5" xfId="3670"/>
    <cellStyle name="Comma 5 4 2 5 2" xfId="3671"/>
    <cellStyle name="Comma 5 4 2 5 2 2" xfId="3672"/>
    <cellStyle name="Comma 5 4 2 5 2 2 2" xfId="3673"/>
    <cellStyle name="Comma 5 4 2 5 2 2 2 2" xfId="10824"/>
    <cellStyle name="Comma 5 4 2 5 2 2 3" xfId="10823"/>
    <cellStyle name="Comma 5 4 2 5 2 2 4" xfId="6603"/>
    <cellStyle name="Comma 5 4 2 5 2 3" xfId="3674"/>
    <cellStyle name="Comma 5 4 2 5 2 3 2" xfId="10825"/>
    <cellStyle name="Comma 5 4 2 5 2 4" xfId="10822"/>
    <cellStyle name="Comma 5 4 2 5 2 5" xfId="6602"/>
    <cellStyle name="Comma 5 4 2 5 3" xfId="3675"/>
    <cellStyle name="Comma 5 4 2 5 3 2" xfId="3676"/>
    <cellStyle name="Comma 5 4 2 5 3 2 2" xfId="10827"/>
    <cellStyle name="Comma 5 4 2 5 3 3" xfId="10826"/>
    <cellStyle name="Comma 5 4 2 5 3 4" xfId="6604"/>
    <cellStyle name="Comma 5 4 2 5 4" xfId="3677"/>
    <cellStyle name="Comma 5 4 2 5 4 2" xfId="3678"/>
    <cellStyle name="Comma 5 4 2 5 4 2 2" xfId="10829"/>
    <cellStyle name="Comma 5 4 2 5 4 3" xfId="10828"/>
    <cellStyle name="Comma 5 4 2 5 4 4" xfId="6605"/>
    <cellStyle name="Comma 5 4 2 5 5" xfId="3679"/>
    <cellStyle name="Comma 5 4 2 5 5 2" xfId="10830"/>
    <cellStyle name="Comma 5 4 2 5 6" xfId="10821"/>
    <cellStyle name="Comma 5 4 2 5 7" xfId="6601"/>
    <cellStyle name="Comma 5 4 2 6" xfId="3680"/>
    <cellStyle name="Comma 5 4 2 6 2" xfId="3681"/>
    <cellStyle name="Comma 5 4 2 6 2 2" xfId="3682"/>
    <cellStyle name="Comma 5 4 2 6 2 2 2" xfId="10833"/>
    <cellStyle name="Comma 5 4 2 6 2 3" xfId="10832"/>
    <cellStyle name="Comma 5 4 2 6 2 4" xfId="6607"/>
    <cellStyle name="Comma 5 4 2 6 3" xfId="3683"/>
    <cellStyle name="Comma 5 4 2 6 3 2" xfId="3684"/>
    <cellStyle name="Comma 5 4 2 6 3 2 2" xfId="10835"/>
    <cellStyle name="Comma 5 4 2 6 3 3" xfId="10834"/>
    <cellStyle name="Comma 5 4 2 6 3 4" xfId="6608"/>
    <cellStyle name="Comma 5 4 2 6 4" xfId="3685"/>
    <cellStyle name="Comma 5 4 2 6 4 2" xfId="10836"/>
    <cellStyle name="Comma 5 4 2 6 5" xfId="10831"/>
    <cellStyle name="Comma 5 4 2 6 6" xfId="6606"/>
    <cellStyle name="Comma 5 4 2 7" xfId="3686"/>
    <cellStyle name="Comma 5 4 2 7 2" xfId="3687"/>
    <cellStyle name="Comma 5 4 2 7 2 2" xfId="3688"/>
    <cellStyle name="Comma 5 4 2 7 2 2 2" xfId="10839"/>
    <cellStyle name="Comma 5 4 2 7 2 3" xfId="10838"/>
    <cellStyle name="Comma 5 4 2 7 2 4" xfId="6610"/>
    <cellStyle name="Comma 5 4 2 7 3" xfId="3689"/>
    <cellStyle name="Comma 5 4 2 7 3 2" xfId="10840"/>
    <cellStyle name="Comma 5 4 2 7 4" xfId="10837"/>
    <cellStyle name="Comma 5 4 2 7 5" xfId="6609"/>
    <cellStyle name="Comma 5 4 2 8" xfId="3690"/>
    <cellStyle name="Comma 5 4 2 8 2" xfId="3691"/>
    <cellStyle name="Comma 5 4 2 8 2 2" xfId="10842"/>
    <cellStyle name="Comma 5 4 2 8 3" xfId="10841"/>
    <cellStyle name="Comma 5 4 2 8 4" xfId="6611"/>
    <cellStyle name="Comma 5 4 2 9" xfId="3692"/>
    <cellStyle name="Comma 5 4 2 9 2" xfId="3693"/>
    <cellStyle name="Comma 5 4 2 9 2 2" xfId="10844"/>
    <cellStyle name="Comma 5 4 2 9 3" xfId="10843"/>
    <cellStyle name="Comma 5 4 2 9 4" xfId="6612"/>
    <cellStyle name="Comma 5 4 3" xfId="3694"/>
    <cellStyle name="Comma 5 4 3 2" xfId="3695"/>
    <cellStyle name="Comma 5 4 3 2 2" xfId="3696"/>
    <cellStyle name="Comma 5 4 3 2 2 2" xfId="3697"/>
    <cellStyle name="Comma 5 4 3 2 2 2 2" xfId="10848"/>
    <cellStyle name="Comma 5 4 3 2 2 3" xfId="10847"/>
    <cellStyle name="Comma 5 4 3 2 2 4" xfId="6615"/>
    <cellStyle name="Comma 5 4 3 2 3" xfId="3698"/>
    <cellStyle name="Comma 5 4 3 2 3 2" xfId="10849"/>
    <cellStyle name="Comma 5 4 3 2 4" xfId="10846"/>
    <cellStyle name="Comma 5 4 3 2 5" xfId="6614"/>
    <cellStyle name="Comma 5 4 3 3" xfId="3699"/>
    <cellStyle name="Comma 5 4 3 3 2" xfId="3700"/>
    <cellStyle name="Comma 5 4 3 3 2 2" xfId="10851"/>
    <cellStyle name="Comma 5 4 3 3 3" xfId="10850"/>
    <cellStyle name="Comma 5 4 3 3 4" xfId="6616"/>
    <cellStyle name="Comma 5 4 3 4" xfId="3701"/>
    <cellStyle name="Comma 5 4 3 4 2" xfId="3702"/>
    <cellStyle name="Comma 5 4 3 4 2 2" xfId="10853"/>
    <cellStyle name="Comma 5 4 3 4 3" xfId="10852"/>
    <cellStyle name="Comma 5 4 3 4 4" xfId="6617"/>
    <cellStyle name="Comma 5 4 3 5" xfId="3703"/>
    <cellStyle name="Comma 5 4 3 5 2" xfId="10854"/>
    <cellStyle name="Comma 5 4 3 6" xfId="10845"/>
    <cellStyle name="Comma 5 4 3 7" xfId="6613"/>
    <cellStyle name="Comma 5 4 4" xfId="3704"/>
    <cellStyle name="Comma 5 4 4 2" xfId="3705"/>
    <cellStyle name="Comma 5 4 4 2 2" xfId="3706"/>
    <cellStyle name="Comma 5 4 4 2 2 2" xfId="3707"/>
    <cellStyle name="Comma 5 4 4 2 2 2 2" xfId="10858"/>
    <cellStyle name="Comma 5 4 4 2 2 3" xfId="10857"/>
    <cellStyle name="Comma 5 4 4 2 2 4" xfId="6620"/>
    <cellStyle name="Comma 5 4 4 2 3" xfId="3708"/>
    <cellStyle name="Comma 5 4 4 2 3 2" xfId="10859"/>
    <cellStyle name="Comma 5 4 4 2 4" xfId="10856"/>
    <cellStyle name="Comma 5 4 4 2 5" xfId="6619"/>
    <cellStyle name="Comma 5 4 4 3" xfId="3709"/>
    <cellStyle name="Comma 5 4 4 3 2" xfId="3710"/>
    <cellStyle name="Comma 5 4 4 3 2 2" xfId="10861"/>
    <cellStyle name="Comma 5 4 4 3 3" xfId="10860"/>
    <cellStyle name="Comma 5 4 4 3 4" xfId="6621"/>
    <cellStyle name="Comma 5 4 4 4" xfId="3711"/>
    <cellStyle name="Comma 5 4 4 4 2" xfId="3712"/>
    <cellStyle name="Comma 5 4 4 4 2 2" xfId="10863"/>
    <cellStyle name="Comma 5 4 4 4 3" xfId="10862"/>
    <cellStyle name="Comma 5 4 4 4 4" xfId="6622"/>
    <cellStyle name="Comma 5 4 4 5" xfId="3713"/>
    <cellStyle name="Comma 5 4 4 5 2" xfId="10864"/>
    <cellStyle name="Comma 5 4 4 6" xfId="10855"/>
    <cellStyle name="Comma 5 4 4 7" xfId="6618"/>
    <cellStyle name="Comma 5 4 5" xfId="3714"/>
    <cellStyle name="Comma 5 4 5 2" xfId="3715"/>
    <cellStyle name="Comma 5 4 5 2 2" xfId="3716"/>
    <cellStyle name="Comma 5 4 5 2 2 2" xfId="3717"/>
    <cellStyle name="Comma 5 4 5 2 2 2 2" xfId="10868"/>
    <cellStyle name="Comma 5 4 5 2 2 3" xfId="10867"/>
    <cellStyle name="Comma 5 4 5 2 2 4" xfId="6625"/>
    <cellStyle name="Comma 5 4 5 2 3" xfId="3718"/>
    <cellStyle name="Comma 5 4 5 2 3 2" xfId="10869"/>
    <cellStyle name="Comma 5 4 5 2 4" xfId="10866"/>
    <cellStyle name="Comma 5 4 5 2 5" xfId="6624"/>
    <cellStyle name="Comma 5 4 5 3" xfId="3719"/>
    <cellStyle name="Comma 5 4 5 3 2" xfId="3720"/>
    <cellStyle name="Comma 5 4 5 3 2 2" xfId="10871"/>
    <cellStyle name="Comma 5 4 5 3 3" xfId="10870"/>
    <cellStyle name="Comma 5 4 5 3 4" xfId="6626"/>
    <cellStyle name="Comma 5 4 5 4" xfId="3721"/>
    <cellStyle name="Comma 5 4 5 4 2" xfId="3722"/>
    <cellStyle name="Comma 5 4 5 4 2 2" xfId="10873"/>
    <cellStyle name="Comma 5 4 5 4 3" xfId="10872"/>
    <cellStyle name="Comma 5 4 5 4 4" xfId="6627"/>
    <cellStyle name="Comma 5 4 5 5" xfId="3723"/>
    <cellStyle name="Comma 5 4 5 5 2" xfId="10874"/>
    <cellStyle name="Comma 5 4 5 6" xfId="10865"/>
    <cellStyle name="Comma 5 4 5 7" xfId="6623"/>
    <cellStyle name="Comma 5 4 6" xfId="3724"/>
    <cellStyle name="Comma 5 4 6 2" xfId="3725"/>
    <cellStyle name="Comma 5 4 6 2 2" xfId="3726"/>
    <cellStyle name="Comma 5 4 6 2 2 2" xfId="3727"/>
    <cellStyle name="Comma 5 4 6 2 2 2 2" xfId="10878"/>
    <cellStyle name="Comma 5 4 6 2 2 3" xfId="10877"/>
    <cellStyle name="Comma 5 4 6 2 2 4" xfId="6630"/>
    <cellStyle name="Comma 5 4 6 2 3" xfId="3728"/>
    <cellStyle name="Comma 5 4 6 2 3 2" xfId="10879"/>
    <cellStyle name="Comma 5 4 6 2 4" xfId="10876"/>
    <cellStyle name="Comma 5 4 6 2 5" xfId="6629"/>
    <cellStyle name="Comma 5 4 6 3" xfId="3729"/>
    <cellStyle name="Comma 5 4 6 3 2" xfId="3730"/>
    <cellStyle name="Comma 5 4 6 3 2 2" xfId="10881"/>
    <cellStyle name="Comma 5 4 6 3 3" xfId="10880"/>
    <cellStyle name="Comma 5 4 6 3 4" xfId="6631"/>
    <cellStyle name="Comma 5 4 6 4" xfId="3731"/>
    <cellStyle name="Comma 5 4 6 4 2" xfId="3732"/>
    <cellStyle name="Comma 5 4 6 4 2 2" xfId="10883"/>
    <cellStyle name="Comma 5 4 6 4 3" xfId="10882"/>
    <cellStyle name="Comma 5 4 6 4 4" xfId="6632"/>
    <cellStyle name="Comma 5 4 6 5" xfId="3733"/>
    <cellStyle name="Comma 5 4 6 5 2" xfId="10884"/>
    <cellStyle name="Comma 5 4 6 6" xfId="10875"/>
    <cellStyle name="Comma 5 4 6 7" xfId="6628"/>
    <cellStyle name="Comma 5 4 7" xfId="3734"/>
    <cellStyle name="Comma 5 4 7 2" xfId="3735"/>
    <cellStyle name="Comma 5 4 7 2 2" xfId="3736"/>
    <cellStyle name="Comma 5 4 7 2 2 2" xfId="10887"/>
    <cellStyle name="Comma 5 4 7 2 3" xfId="10886"/>
    <cellStyle name="Comma 5 4 7 2 4" xfId="6634"/>
    <cellStyle name="Comma 5 4 7 3" xfId="3737"/>
    <cellStyle name="Comma 5 4 7 3 2" xfId="3738"/>
    <cellStyle name="Comma 5 4 7 3 2 2" xfId="10889"/>
    <cellStyle name="Comma 5 4 7 3 3" xfId="10888"/>
    <cellStyle name="Comma 5 4 7 3 4" xfId="6635"/>
    <cellStyle name="Comma 5 4 7 4" xfId="3739"/>
    <cellStyle name="Comma 5 4 7 4 2" xfId="10890"/>
    <cellStyle name="Comma 5 4 7 5" xfId="10885"/>
    <cellStyle name="Comma 5 4 7 6" xfId="6633"/>
    <cellStyle name="Comma 5 4 8" xfId="3740"/>
    <cellStyle name="Comma 5 4 8 2" xfId="3741"/>
    <cellStyle name="Comma 5 4 8 2 2" xfId="3742"/>
    <cellStyle name="Comma 5 4 8 2 2 2" xfId="10893"/>
    <cellStyle name="Comma 5 4 8 2 3" xfId="10892"/>
    <cellStyle name="Comma 5 4 8 2 4" xfId="6637"/>
    <cellStyle name="Comma 5 4 8 3" xfId="3743"/>
    <cellStyle name="Comma 5 4 8 3 2" xfId="10894"/>
    <cellStyle name="Comma 5 4 8 4" xfId="10891"/>
    <cellStyle name="Comma 5 4 8 5" xfId="6636"/>
    <cellStyle name="Comma 5 4 9" xfId="3744"/>
    <cellStyle name="Comma 5 4 9 2" xfId="3745"/>
    <cellStyle name="Comma 5 4 9 2 2" xfId="10896"/>
    <cellStyle name="Comma 5 4 9 3" xfId="10895"/>
    <cellStyle name="Comma 5 4 9 4" xfId="6638"/>
    <cellStyle name="Comma 5 5" xfId="3746"/>
    <cellStyle name="Comma 5 5 10" xfId="3747"/>
    <cellStyle name="Comma 5 5 10 2" xfId="10898"/>
    <cellStyle name="Comma 5 5 11" xfId="10897"/>
    <cellStyle name="Comma 5 5 12" xfId="6639"/>
    <cellStyle name="Comma 5 5 2" xfId="3748"/>
    <cellStyle name="Comma 5 5 2 2" xfId="3749"/>
    <cellStyle name="Comma 5 5 2 2 2" xfId="3750"/>
    <cellStyle name="Comma 5 5 2 2 2 2" xfId="3751"/>
    <cellStyle name="Comma 5 5 2 2 2 2 2" xfId="10902"/>
    <cellStyle name="Comma 5 5 2 2 2 3" xfId="10901"/>
    <cellStyle name="Comma 5 5 2 2 2 4" xfId="6642"/>
    <cellStyle name="Comma 5 5 2 2 3" xfId="3752"/>
    <cellStyle name="Comma 5 5 2 2 3 2" xfId="10903"/>
    <cellStyle name="Comma 5 5 2 2 4" xfId="10900"/>
    <cellStyle name="Comma 5 5 2 2 5" xfId="6641"/>
    <cellStyle name="Comma 5 5 2 3" xfId="3753"/>
    <cellStyle name="Comma 5 5 2 3 2" xfId="3754"/>
    <cellStyle name="Comma 5 5 2 3 2 2" xfId="10905"/>
    <cellStyle name="Comma 5 5 2 3 3" xfId="10904"/>
    <cellStyle name="Comma 5 5 2 3 4" xfId="6643"/>
    <cellStyle name="Comma 5 5 2 4" xfId="3755"/>
    <cellStyle name="Comma 5 5 2 4 2" xfId="3756"/>
    <cellStyle name="Comma 5 5 2 4 2 2" xfId="10907"/>
    <cellStyle name="Comma 5 5 2 4 3" xfId="10906"/>
    <cellStyle name="Comma 5 5 2 4 4" xfId="6644"/>
    <cellStyle name="Comma 5 5 2 5" xfId="3757"/>
    <cellStyle name="Comma 5 5 2 5 2" xfId="10908"/>
    <cellStyle name="Comma 5 5 2 6" xfId="10899"/>
    <cellStyle name="Comma 5 5 2 7" xfId="6640"/>
    <cellStyle name="Comma 5 5 3" xfId="3758"/>
    <cellStyle name="Comma 5 5 3 2" xfId="3759"/>
    <cellStyle name="Comma 5 5 3 2 2" xfId="3760"/>
    <cellStyle name="Comma 5 5 3 2 2 2" xfId="3761"/>
    <cellStyle name="Comma 5 5 3 2 2 2 2" xfId="10912"/>
    <cellStyle name="Comma 5 5 3 2 2 3" xfId="10911"/>
    <cellStyle name="Comma 5 5 3 2 2 4" xfId="6647"/>
    <cellStyle name="Comma 5 5 3 2 3" xfId="3762"/>
    <cellStyle name="Comma 5 5 3 2 3 2" xfId="10913"/>
    <cellStyle name="Comma 5 5 3 2 4" xfId="10910"/>
    <cellStyle name="Comma 5 5 3 2 5" xfId="6646"/>
    <cellStyle name="Comma 5 5 3 3" xfId="3763"/>
    <cellStyle name="Comma 5 5 3 3 2" xfId="3764"/>
    <cellStyle name="Comma 5 5 3 3 2 2" xfId="10915"/>
    <cellStyle name="Comma 5 5 3 3 3" xfId="10914"/>
    <cellStyle name="Comma 5 5 3 3 4" xfId="6648"/>
    <cellStyle name="Comma 5 5 3 4" xfId="3765"/>
    <cellStyle name="Comma 5 5 3 4 2" xfId="3766"/>
    <cellStyle name="Comma 5 5 3 4 2 2" xfId="10917"/>
    <cellStyle name="Comma 5 5 3 4 3" xfId="10916"/>
    <cellStyle name="Comma 5 5 3 4 4" xfId="6649"/>
    <cellStyle name="Comma 5 5 3 5" xfId="3767"/>
    <cellStyle name="Comma 5 5 3 5 2" xfId="10918"/>
    <cellStyle name="Comma 5 5 3 6" xfId="10909"/>
    <cellStyle name="Comma 5 5 3 7" xfId="6645"/>
    <cellStyle name="Comma 5 5 4" xfId="3768"/>
    <cellStyle name="Comma 5 5 4 2" xfId="3769"/>
    <cellStyle name="Comma 5 5 4 2 2" xfId="3770"/>
    <cellStyle name="Comma 5 5 4 2 2 2" xfId="3771"/>
    <cellStyle name="Comma 5 5 4 2 2 2 2" xfId="10922"/>
    <cellStyle name="Comma 5 5 4 2 2 3" xfId="10921"/>
    <cellStyle name="Comma 5 5 4 2 2 4" xfId="6652"/>
    <cellStyle name="Comma 5 5 4 2 3" xfId="3772"/>
    <cellStyle name="Comma 5 5 4 2 3 2" xfId="10923"/>
    <cellStyle name="Comma 5 5 4 2 4" xfId="10920"/>
    <cellStyle name="Comma 5 5 4 2 5" xfId="6651"/>
    <cellStyle name="Comma 5 5 4 3" xfId="3773"/>
    <cellStyle name="Comma 5 5 4 3 2" xfId="3774"/>
    <cellStyle name="Comma 5 5 4 3 2 2" xfId="10925"/>
    <cellStyle name="Comma 5 5 4 3 3" xfId="10924"/>
    <cellStyle name="Comma 5 5 4 3 4" xfId="6653"/>
    <cellStyle name="Comma 5 5 4 4" xfId="3775"/>
    <cellStyle name="Comma 5 5 4 4 2" xfId="3776"/>
    <cellStyle name="Comma 5 5 4 4 2 2" xfId="10927"/>
    <cellStyle name="Comma 5 5 4 4 3" xfId="10926"/>
    <cellStyle name="Comma 5 5 4 4 4" xfId="6654"/>
    <cellStyle name="Comma 5 5 4 5" xfId="3777"/>
    <cellStyle name="Comma 5 5 4 5 2" xfId="10928"/>
    <cellStyle name="Comma 5 5 4 6" xfId="10919"/>
    <cellStyle name="Comma 5 5 4 7" xfId="6650"/>
    <cellStyle name="Comma 5 5 5" xfId="3778"/>
    <cellStyle name="Comma 5 5 5 2" xfId="3779"/>
    <cellStyle name="Comma 5 5 5 2 2" xfId="3780"/>
    <cellStyle name="Comma 5 5 5 2 2 2" xfId="3781"/>
    <cellStyle name="Comma 5 5 5 2 2 2 2" xfId="10932"/>
    <cellStyle name="Comma 5 5 5 2 2 3" xfId="10931"/>
    <cellStyle name="Comma 5 5 5 2 2 4" xfId="6657"/>
    <cellStyle name="Comma 5 5 5 2 3" xfId="3782"/>
    <cellStyle name="Comma 5 5 5 2 3 2" xfId="10933"/>
    <cellStyle name="Comma 5 5 5 2 4" xfId="10930"/>
    <cellStyle name="Comma 5 5 5 2 5" xfId="6656"/>
    <cellStyle name="Comma 5 5 5 3" xfId="3783"/>
    <cellStyle name="Comma 5 5 5 3 2" xfId="3784"/>
    <cellStyle name="Comma 5 5 5 3 2 2" xfId="10935"/>
    <cellStyle name="Comma 5 5 5 3 3" xfId="10934"/>
    <cellStyle name="Comma 5 5 5 3 4" xfId="6658"/>
    <cellStyle name="Comma 5 5 5 4" xfId="3785"/>
    <cellStyle name="Comma 5 5 5 4 2" xfId="3786"/>
    <cellStyle name="Comma 5 5 5 4 2 2" xfId="10937"/>
    <cellStyle name="Comma 5 5 5 4 3" xfId="10936"/>
    <cellStyle name="Comma 5 5 5 4 4" xfId="6659"/>
    <cellStyle name="Comma 5 5 5 5" xfId="3787"/>
    <cellStyle name="Comma 5 5 5 5 2" xfId="10938"/>
    <cellStyle name="Comma 5 5 5 6" xfId="10929"/>
    <cellStyle name="Comma 5 5 5 7" xfId="6655"/>
    <cellStyle name="Comma 5 5 6" xfId="3788"/>
    <cellStyle name="Comma 5 5 6 2" xfId="3789"/>
    <cellStyle name="Comma 5 5 6 2 2" xfId="3790"/>
    <cellStyle name="Comma 5 5 6 2 2 2" xfId="10941"/>
    <cellStyle name="Comma 5 5 6 2 3" xfId="10940"/>
    <cellStyle name="Comma 5 5 6 2 4" xfId="6661"/>
    <cellStyle name="Comma 5 5 6 3" xfId="3791"/>
    <cellStyle name="Comma 5 5 6 3 2" xfId="3792"/>
    <cellStyle name="Comma 5 5 6 3 2 2" xfId="10943"/>
    <cellStyle name="Comma 5 5 6 3 3" xfId="10942"/>
    <cellStyle name="Comma 5 5 6 3 4" xfId="6662"/>
    <cellStyle name="Comma 5 5 6 4" xfId="3793"/>
    <cellStyle name="Comma 5 5 6 4 2" xfId="10944"/>
    <cellStyle name="Comma 5 5 6 5" xfId="10939"/>
    <cellStyle name="Comma 5 5 6 6" xfId="6660"/>
    <cellStyle name="Comma 5 5 7" xfId="3794"/>
    <cellStyle name="Comma 5 5 7 2" xfId="3795"/>
    <cellStyle name="Comma 5 5 7 2 2" xfId="3796"/>
    <cellStyle name="Comma 5 5 7 2 2 2" xfId="10947"/>
    <cellStyle name="Comma 5 5 7 2 3" xfId="10946"/>
    <cellStyle name="Comma 5 5 7 2 4" xfId="6664"/>
    <cellStyle name="Comma 5 5 7 3" xfId="3797"/>
    <cellStyle name="Comma 5 5 7 3 2" xfId="10948"/>
    <cellStyle name="Comma 5 5 7 4" xfId="10945"/>
    <cellStyle name="Comma 5 5 7 5" xfId="6663"/>
    <cellStyle name="Comma 5 5 8" xfId="3798"/>
    <cellStyle name="Comma 5 5 8 2" xfId="3799"/>
    <cellStyle name="Comma 5 5 8 2 2" xfId="10950"/>
    <cellStyle name="Comma 5 5 8 3" xfId="10949"/>
    <cellStyle name="Comma 5 5 8 4" xfId="6665"/>
    <cellStyle name="Comma 5 5 9" xfId="3800"/>
    <cellStyle name="Comma 5 5 9 2" xfId="3801"/>
    <cellStyle name="Comma 5 5 9 2 2" xfId="10952"/>
    <cellStyle name="Comma 5 5 9 3" xfId="10951"/>
    <cellStyle name="Comma 5 5 9 4" xfId="6666"/>
    <cellStyle name="Comma 5 6" xfId="3802"/>
    <cellStyle name="Comma 5 6 2" xfId="3803"/>
    <cellStyle name="Comma 5 6 2 2" xfId="3804"/>
    <cellStyle name="Comma 5 6 2 2 2" xfId="3805"/>
    <cellStyle name="Comma 5 6 2 2 2 2" xfId="10956"/>
    <cellStyle name="Comma 5 6 2 2 3" xfId="10955"/>
    <cellStyle name="Comma 5 6 2 2 4" xfId="6669"/>
    <cellStyle name="Comma 5 6 2 3" xfId="3806"/>
    <cellStyle name="Comma 5 6 2 3 2" xfId="10957"/>
    <cellStyle name="Comma 5 6 2 4" xfId="10954"/>
    <cellStyle name="Comma 5 6 2 5" xfId="6668"/>
    <cellStyle name="Comma 5 6 3" xfId="3807"/>
    <cellStyle name="Comma 5 6 3 2" xfId="3808"/>
    <cellStyle name="Comma 5 6 3 2 2" xfId="10959"/>
    <cellStyle name="Comma 5 6 3 3" xfId="10958"/>
    <cellStyle name="Comma 5 6 3 4" xfId="6670"/>
    <cellStyle name="Comma 5 6 4" xfId="3809"/>
    <cellStyle name="Comma 5 6 4 2" xfId="3810"/>
    <cellStyle name="Comma 5 6 4 2 2" xfId="10961"/>
    <cellStyle name="Comma 5 6 4 3" xfId="10960"/>
    <cellStyle name="Comma 5 6 4 4" xfId="6671"/>
    <cellStyle name="Comma 5 6 5" xfId="3811"/>
    <cellStyle name="Comma 5 6 5 2" xfId="10962"/>
    <cellStyle name="Comma 5 6 6" xfId="10953"/>
    <cellStyle name="Comma 5 6 7" xfId="6667"/>
    <cellStyle name="Comma 5 7" xfId="3812"/>
    <cellStyle name="Comma 5 7 2" xfId="3813"/>
    <cellStyle name="Comma 5 7 2 2" xfId="3814"/>
    <cellStyle name="Comma 5 7 2 2 2" xfId="3815"/>
    <cellStyle name="Comma 5 7 2 2 2 2" xfId="10966"/>
    <cellStyle name="Comma 5 7 2 2 3" xfId="10965"/>
    <cellStyle name="Comma 5 7 2 2 4" xfId="6674"/>
    <cellStyle name="Comma 5 7 2 3" xfId="3816"/>
    <cellStyle name="Comma 5 7 2 3 2" xfId="10967"/>
    <cellStyle name="Comma 5 7 2 4" xfId="10964"/>
    <cellStyle name="Comma 5 7 2 5" xfId="6673"/>
    <cellStyle name="Comma 5 7 3" xfId="3817"/>
    <cellStyle name="Comma 5 7 3 2" xfId="3818"/>
    <cellStyle name="Comma 5 7 3 2 2" xfId="10969"/>
    <cellStyle name="Comma 5 7 3 3" xfId="10968"/>
    <cellStyle name="Comma 5 7 3 4" xfId="6675"/>
    <cellStyle name="Comma 5 7 4" xfId="3819"/>
    <cellStyle name="Comma 5 7 4 2" xfId="3820"/>
    <cellStyle name="Comma 5 7 4 2 2" xfId="10971"/>
    <cellStyle name="Comma 5 7 4 3" xfId="10970"/>
    <cellStyle name="Comma 5 7 4 4" xfId="6676"/>
    <cellStyle name="Comma 5 7 5" xfId="3821"/>
    <cellStyle name="Comma 5 7 5 2" xfId="10972"/>
    <cellStyle name="Comma 5 7 6" xfId="10963"/>
    <cellStyle name="Comma 5 7 7" xfId="6672"/>
    <cellStyle name="Comma 5 8" xfId="3822"/>
    <cellStyle name="Comma 5 8 2" xfId="3823"/>
    <cellStyle name="Comma 5 8 2 2" xfId="3824"/>
    <cellStyle name="Comma 5 8 2 2 2" xfId="3825"/>
    <cellStyle name="Comma 5 8 2 2 2 2" xfId="10976"/>
    <cellStyle name="Comma 5 8 2 2 3" xfId="10975"/>
    <cellStyle name="Comma 5 8 2 2 4" xfId="6679"/>
    <cellStyle name="Comma 5 8 2 3" xfId="3826"/>
    <cellStyle name="Comma 5 8 2 3 2" xfId="10977"/>
    <cellStyle name="Comma 5 8 2 4" xfId="10974"/>
    <cellStyle name="Comma 5 8 2 5" xfId="6678"/>
    <cellStyle name="Comma 5 8 3" xfId="3827"/>
    <cellStyle name="Comma 5 8 3 2" xfId="3828"/>
    <cellStyle name="Comma 5 8 3 2 2" xfId="10979"/>
    <cellStyle name="Comma 5 8 3 3" xfId="10978"/>
    <cellStyle name="Comma 5 8 3 4" xfId="6680"/>
    <cellStyle name="Comma 5 8 4" xfId="3829"/>
    <cellStyle name="Comma 5 8 4 2" xfId="3830"/>
    <cellStyle name="Comma 5 8 4 2 2" xfId="10981"/>
    <cellStyle name="Comma 5 8 4 3" xfId="10980"/>
    <cellStyle name="Comma 5 8 4 4" xfId="6681"/>
    <cellStyle name="Comma 5 8 5" xfId="3831"/>
    <cellStyle name="Comma 5 8 5 2" xfId="10982"/>
    <cellStyle name="Comma 5 8 6" xfId="10973"/>
    <cellStyle name="Comma 5 8 7" xfId="6677"/>
    <cellStyle name="Comma 5 9" xfId="3832"/>
    <cellStyle name="Comma 5 9 2" xfId="3833"/>
    <cellStyle name="Comma 5 9 2 2" xfId="3834"/>
    <cellStyle name="Comma 5 9 2 2 2" xfId="3835"/>
    <cellStyle name="Comma 5 9 2 2 2 2" xfId="10986"/>
    <cellStyle name="Comma 5 9 2 2 3" xfId="10985"/>
    <cellStyle name="Comma 5 9 2 2 4" xfId="6684"/>
    <cellStyle name="Comma 5 9 2 3" xfId="3836"/>
    <cellStyle name="Comma 5 9 2 3 2" xfId="10987"/>
    <cellStyle name="Comma 5 9 2 4" xfId="10984"/>
    <cellStyle name="Comma 5 9 2 5" xfId="6683"/>
    <cellStyle name="Comma 5 9 3" xfId="3837"/>
    <cellStyle name="Comma 5 9 3 2" xfId="3838"/>
    <cellStyle name="Comma 5 9 3 2 2" xfId="10989"/>
    <cellStyle name="Comma 5 9 3 3" xfId="10988"/>
    <cellStyle name="Comma 5 9 3 4" xfId="6685"/>
    <cellStyle name="Comma 5 9 4" xfId="3839"/>
    <cellStyle name="Comma 5 9 4 2" xfId="3840"/>
    <cellStyle name="Comma 5 9 4 2 2" xfId="10991"/>
    <cellStyle name="Comma 5 9 4 3" xfId="10990"/>
    <cellStyle name="Comma 5 9 4 4" xfId="6686"/>
    <cellStyle name="Comma 5 9 5" xfId="3841"/>
    <cellStyle name="Comma 5 9 5 2" xfId="10992"/>
    <cellStyle name="Comma 5 9 6" xfId="10983"/>
    <cellStyle name="Comma 5 9 7" xfId="6682"/>
    <cellStyle name="Comma 6" xfId="3842"/>
    <cellStyle name="Comma 6 10" xfId="3843"/>
    <cellStyle name="Comma 6 10 2" xfId="3844"/>
    <cellStyle name="Comma 6 10 2 2" xfId="3845"/>
    <cellStyle name="Comma 6 10 2 2 2" xfId="10996"/>
    <cellStyle name="Comma 6 10 2 3" xfId="10995"/>
    <cellStyle name="Comma 6 10 2 4" xfId="6689"/>
    <cellStyle name="Comma 6 10 3" xfId="3846"/>
    <cellStyle name="Comma 6 10 3 2" xfId="3847"/>
    <cellStyle name="Comma 6 10 3 2 2" xfId="10998"/>
    <cellStyle name="Comma 6 10 3 3" xfId="10997"/>
    <cellStyle name="Comma 6 10 3 4" xfId="6690"/>
    <cellStyle name="Comma 6 10 4" xfId="3848"/>
    <cellStyle name="Comma 6 10 4 2" xfId="10999"/>
    <cellStyle name="Comma 6 10 5" xfId="10994"/>
    <cellStyle name="Comma 6 10 6" xfId="6688"/>
    <cellStyle name="Comma 6 11" xfId="3849"/>
    <cellStyle name="Comma 6 11 2" xfId="3850"/>
    <cellStyle name="Comma 6 11 2 2" xfId="3851"/>
    <cellStyle name="Comma 6 11 2 2 2" xfId="11002"/>
    <cellStyle name="Comma 6 11 2 3" xfId="11001"/>
    <cellStyle name="Comma 6 11 2 4" xfId="6692"/>
    <cellStyle name="Comma 6 11 3" xfId="3852"/>
    <cellStyle name="Comma 6 11 3 2" xfId="11003"/>
    <cellStyle name="Comma 6 11 4" xfId="11000"/>
    <cellStyle name="Comma 6 11 5" xfId="6691"/>
    <cellStyle name="Comma 6 12" xfId="3853"/>
    <cellStyle name="Comma 6 12 2" xfId="3854"/>
    <cellStyle name="Comma 6 12 2 2" xfId="11005"/>
    <cellStyle name="Comma 6 12 3" xfId="11004"/>
    <cellStyle name="Comma 6 12 4" xfId="6693"/>
    <cellStyle name="Comma 6 13" xfId="3855"/>
    <cellStyle name="Comma 6 13 2" xfId="3856"/>
    <cellStyle name="Comma 6 13 2 2" xfId="11007"/>
    <cellStyle name="Comma 6 13 3" xfId="11006"/>
    <cellStyle name="Comma 6 13 4" xfId="6694"/>
    <cellStyle name="Comma 6 14" xfId="3857"/>
    <cellStyle name="Comma 6 14 2" xfId="11008"/>
    <cellStyle name="Comma 6 15" xfId="10993"/>
    <cellStyle name="Comma 6 16" xfId="6687"/>
    <cellStyle name="Comma 6 2" xfId="3858"/>
    <cellStyle name="Comma 6 2 10" xfId="3859"/>
    <cellStyle name="Comma 6 2 10 2" xfId="3860"/>
    <cellStyle name="Comma 6 2 10 2 2" xfId="11011"/>
    <cellStyle name="Comma 6 2 10 3" xfId="11010"/>
    <cellStyle name="Comma 6 2 10 4" xfId="6696"/>
    <cellStyle name="Comma 6 2 11" xfId="3861"/>
    <cellStyle name="Comma 6 2 11 2" xfId="11012"/>
    <cellStyle name="Comma 6 2 12" xfId="11009"/>
    <cellStyle name="Comma 6 2 13" xfId="6695"/>
    <cellStyle name="Comma 6 2 2" xfId="3862"/>
    <cellStyle name="Comma 6 2 2 10" xfId="3863"/>
    <cellStyle name="Comma 6 2 2 10 2" xfId="11014"/>
    <cellStyle name="Comma 6 2 2 11" xfId="11013"/>
    <cellStyle name="Comma 6 2 2 12" xfId="6697"/>
    <cellStyle name="Comma 6 2 2 2" xfId="3864"/>
    <cellStyle name="Comma 6 2 2 2 2" xfId="3865"/>
    <cellStyle name="Comma 6 2 2 2 2 2" xfId="3866"/>
    <cellStyle name="Comma 6 2 2 2 2 2 2" xfId="3867"/>
    <cellStyle name="Comma 6 2 2 2 2 2 2 2" xfId="11018"/>
    <cellStyle name="Comma 6 2 2 2 2 2 3" xfId="11017"/>
    <cellStyle name="Comma 6 2 2 2 2 2 4" xfId="6700"/>
    <cellStyle name="Comma 6 2 2 2 2 3" xfId="3868"/>
    <cellStyle name="Comma 6 2 2 2 2 3 2" xfId="11019"/>
    <cellStyle name="Comma 6 2 2 2 2 4" xfId="11016"/>
    <cellStyle name="Comma 6 2 2 2 2 5" xfId="6699"/>
    <cellStyle name="Comma 6 2 2 2 3" xfId="3869"/>
    <cellStyle name="Comma 6 2 2 2 3 2" xfId="3870"/>
    <cellStyle name="Comma 6 2 2 2 3 2 2" xfId="11021"/>
    <cellStyle name="Comma 6 2 2 2 3 3" xfId="11020"/>
    <cellStyle name="Comma 6 2 2 2 3 4" xfId="6701"/>
    <cellStyle name="Comma 6 2 2 2 4" xfId="3871"/>
    <cellStyle name="Comma 6 2 2 2 4 2" xfId="3872"/>
    <cellStyle name="Comma 6 2 2 2 4 2 2" xfId="11023"/>
    <cellStyle name="Comma 6 2 2 2 4 3" xfId="11022"/>
    <cellStyle name="Comma 6 2 2 2 4 4" xfId="6702"/>
    <cellStyle name="Comma 6 2 2 2 5" xfId="3873"/>
    <cellStyle name="Comma 6 2 2 2 5 2" xfId="11024"/>
    <cellStyle name="Comma 6 2 2 2 6" xfId="11015"/>
    <cellStyle name="Comma 6 2 2 2 7" xfId="6698"/>
    <cellStyle name="Comma 6 2 2 3" xfId="3874"/>
    <cellStyle name="Comma 6 2 2 3 2" xfId="3875"/>
    <cellStyle name="Comma 6 2 2 3 2 2" xfId="3876"/>
    <cellStyle name="Comma 6 2 2 3 2 2 2" xfId="3877"/>
    <cellStyle name="Comma 6 2 2 3 2 2 2 2" xfId="11028"/>
    <cellStyle name="Comma 6 2 2 3 2 2 3" xfId="11027"/>
    <cellStyle name="Comma 6 2 2 3 2 2 4" xfId="6705"/>
    <cellStyle name="Comma 6 2 2 3 2 3" xfId="3878"/>
    <cellStyle name="Comma 6 2 2 3 2 3 2" xfId="11029"/>
    <cellStyle name="Comma 6 2 2 3 2 4" xfId="11026"/>
    <cellStyle name="Comma 6 2 2 3 2 5" xfId="6704"/>
    <cellStyle name="Comma 6 2 2 3 3" xfId="3879"/>
    <cellStyle name="Comma 6 2 2 3 3 2" xfId="3880"/>
    <cellStyle name="Comma 6 2 2 3 3 2 2" xfId="11031"/>
    <cellStyle name="Comma 6 2 2 3 3 3" xfId="11030"/>
    <cellStyle name="Comma 6 2 2 3 3 4" xfId="6706"/>
    <cellStyle name="Comma 6 2 2 3 4" xfId="3881"/>
    <cellStyle name="Comma 6 2 2 3 4 2" xfId="3882"/>
    <cellStyle name="Comma 6 2 2 3 4 2 2" xfId="11033"/>
    <cellStyle name="Comma 6 2 2 3 4 3" xfId="11032"/>
    <cellStyle name="Comma 6 2 2 3 4 4" xfId="6707"/>
    <cellStyle name="Comma 6 2 2 3 5" xfId="3883"/>
    <cellStyle name="Comma 6 2 2 3 5 2" xfId="11034"/>
    <cellStyle name="Comma 6 2 2 3 6" xfId="11025"/>
    <cellStyle name="Comma 6 2 2 3 7" xfId="6703"/>
    <cellStyle name="Comma 6 2 2 4" xfId="3884"/>
    <cellStyle name="Comma 6 2 2 4 2" xfId="3885"/>
    <cellStyle name="Comma 6 2 2 4 2 2" xfId="3886"/>
    <cellStyle name="Comma 6 2 2 4 2 2 2" xfId="3887"/>
    <cellStyle name="Comma 6 2 2 4 2 2 2 2" xfId="11038"/>
    <cellStyle name="Comma 6 2 2 4 2 2 3" xfId="11037"/>
    <cellStyle name="Comma 6 2 2 4 2 2 4" xfId="6710"/>
    <cellStyle name="Comma 6 2 2 4 2 3" xfId="3888"/>
    <cellStyle name="Comma 6 2 2 4 2 3 2" xfId="11039"/>
    <cellStyle name="Comma 6 2 2 4 2 4" xfId="11036"/>
    <cellStyle name="Comma 6 2 2 4 2 5" xfId="6709"/>
    <cellStyle name="Comma 6 2 2 4 3" xfId="3889"/>
    <cellStyle name="Comma 6 2 2 4 3 2" xfId="3890"/>
    <cellStyle name="Comma 6 2 2 4 3 2 2" xfId="11041"/>
    <cellStyle name="Comma 6 2 2 4 3 3" xfId="11040"/>
    <cellStyle name="Comma 6 2 2 4 3 4" xfId="6711"/>
    <cellStyle name="Comma 6 2 2 4 4" xfId="3891"/>
    <cellStyle name="Comma 6 2 2 4 4 2" xfId="3892"/>
    <cellStyle name="Comma 6 2 2 4 4 2 2" xfId="11043"/>
    <cellStyle name="Comma 6 2 2 4 4 3" xfId="11042"/>
    <cellStyle name="Comma 6 2 2 4 4 4" xfId="6712"/>
    <cellStyle name="Comma 6 2 2 4 5" xfId="3893"/>
    <cellStyle name="Comma 6 2 2 4 5 2" xfId="11044"/>
    <cellStyle name="Comma 6 2 2 4 6" xfId="11035"/>
    <cellStyle name="Comma 6 2 2 4 7" xfId="6708"/>
    <cellStyle name="Comma 6 2 2 5" xfId="3894"/>
    <cellStyle name="Comma 6 2 2 5 2" xfId="3895"/>
    <cellStyle name="Comma 6 2 2 5 2 2" xfId="3896"/>
    <cellStyle name="Comma 6 2 2 5 2 2 2" xfId="3897"/>
    <cellStyle name="Comma 6 2 2 5 2 2 2 2" xfId="11048"/>
    <cellStyle name="Comma 6 2 2 5 2 2 3" xfId="11047"/>
    <cellStyle name="Comma 6 2 2 5 2 2 4" xfId="6715"/>
    <cellStyle name="Comma 6 2 2 5 2 3" xfId="3898"/>
    <cellStyle name="Comma 6 2 2 5 2 3 2" xfId="11049"/>
    <cellStyle name="Comma 6 2 2 5 2 4" xfId="11046"/>
    <cellStyle name="Comma 6 2 2 5 2 5" xfId="6714"/>
    <cellStyle name="Comma 6 2 2 5 3" xfId="3899"/>
    <cellStyle name="Comma 6 2 2 5 3 2" xfId="3900"/>
    <cellStyle name="Comma 6 2 2 5 3 2 2" xfId="11051"/>
    <cellStyle name="Comma 6 2 2 5 3 3" xfId="11050"/>
    <cellStyle name="Comma 6 2 2 5 3 4" xfId="6716"/>
    <cellStyle name="Comma 6 2 2 5 4" xfId="3901"/>
    <cellStyle name="Comma 6 2 2 5 4 2" xfId="3902"/>
    <cellStyle name="Comma 6 2 2 5 4 2 2" xfId="11053"/>
    <cellStyle name="Comma 6 2 2 5 4 3" xfId="11052"/>
    <cellStyle name="Comma 6 2 2 5 4 4" xfId="6717"/>
    <cellStyle name="Comma 6 2 2 5 5" xfId="3903"/>
    <cellStyle name="Comma 6 2 2 5 5 2" xfId="11054"/>
    <cellStyle name="Comma 6 2 2 5 6" xfId="11045"/>
    <cellStyle name="Comma 6 2 2 5 7" xfId="6713"/>
    <cellStyle name="Comma 6 2 2 6" xfId="3904"/>
    <cellStyle name="Comma 6 2 2 6 2" xfId="3905"/>
    <cellStyle name="Comma 6 2 2 6 2 2" xfId="3906"/>
    <cellStyle name="Comma 6 2 2 6 2 2 2" xfId="11057"/>
    <cellStyle name="Comma 6 2 2 6 2 3" xfId="11056"/>
    <cellStyle name="Comma 6 2 2 6 2 4" xfId="6719"/>
    <cellStyle name="Comma 6 2 2 6 3" xfId="3907"/>
    <cellStyle name="Comma 6 2 2 6 3 2" xfId="3908"/>
    <cellStyle name="Comma 6 2 2 6 3 2 2" xfId="11059"/>
    <cellStyle name="Comma 6 2 2 6 3 3" xfId="11058"/>
    <cellStyle name="Comma 6 2 2 6 3 4" xfId="6720"/>
    <cellStyle name="Comma 6 2 2 6 4" xfId="3909"/>
    <cellStyle name="Comma 6 2 2 6 4 2" xfId="11060"/>
    <cellStyle name="Comma 6 2 2 6 5" xfId="11055"/>
    <cellStyle name="Comma 6 2 2 6 6" xfId="6718"/>
    <cellStyle name="Comma 6 2 2 7" xfId="3910"/>
    <cellStyle name="Comma 6 2 2 7 2" xfId="3911"/>
    <cellStyle name="Comma 6 2 2 7 2 2" xfId="3912"/>
    <cellStyle name="Comma 6 2 2 7 2 2 2" xfId="11063"/>
    <cellStyle name="Comma 6 2 2 7 2 3" xfId="11062"/>
    <cellStyle name="Comma 6 2 2 7 2 4" xfId="6722"/>
    <cellStyle name="Comma 6 2 2 7 3" xfId="3913"/>
    <cellStyle name="Comma 6 2 2 7 3 2" xfId="11064"/>
    <cellStyle name="Comma 6 2 2 7 4" xfId="11061"/>
    <cellStyle name="Comma 6 2 2 7 5" xfId="6721"/>
    <cellStyle name="Comma 6 2 2 8" xfId="3914"/>
    <cellStyle name="Comma 6 2 2 8 2" xfId="3915"/>
    <cellStyle name="Comma 6 2 2 8 2 2" xfId="11066"/>
    <cellStyle name="Comma 6 2 2 8 3" xfId="11065"/>
    <cellStyle name="Comma 6 2 2 8 4" xfId="6723"/>
    <cellStyle name="Comma 6 2 2 9" xfId="3916"/>
    <cellStyle name="Comma 6 2 2 9 2" xfId="3917"/>
    <cellStyle name="Comma 6 2 2 9 2 2" xfId="11068"/>
    <cellStyle name="Comma 6 2 2 9 3" xfId="11067"/>
    <cellStyle name="Comma 6 2 2 9 4" xfId="6724"/>
    <cellStyle name="Comma 6 2 3" xfId="3918"/>
    <cellStyle name="Comma 6 2 3 2" xfId="3919"/>
    <cellStyle name="Comma 6 2 3 2 2" xfId="3920"/>
    <cellStyle name="Comma 6 2 3 2 2 2" xfId="3921"/>
    <cellStyle name="Comma 6 2 3 2 2 2 2" xfId="11072"/>
    <cellStyle name="Comma 6 2 3 2 2 3" xfId="11071"/>
    <cellStyle name="Comma 6 2 3 2 2 4" xfId="6727"/>
    <cellStyle name="Comma 6 2 3 2 3" xfId="3922"/>
    <cellStyle name="Comma 6 2 3 2 3 2" xfId="11073"/>
    <cellStyle name="Comma 6 2 3 2 4" xfId="11070"/>
    <cellStyle name="Comma 6 2 3 2 5" xfId="6726"/>
    <cellStyle name="Comma 6 2 3 3" xfId="3923"/>
    <cellStyle name="Comma 6 2 3 3 2" xfId="3924"/>
    <cellStyle name="Comma 6 2 3 3 2 2" xfId="11075"/>
    <cellStyle name="Comma 6 2 3 3 3" xfId="11074"/>
    <cellStyle name="Comma 6 2 3 3 4" xfId="6728"/>
    <cellStyle name="Comma 6 2 3 4" xfId="3925"/>
    <cellStyle name="Comma 6 2 3 4 2" xfId="3926"/>
    <cellStyle name="Comma 6 2 3 4 2 2" xfId="11077"/>
    <cellStyle name="Comma 6 2 3 4 3" xfId="11076"/>
    <cellStyle name="Comma 6 2 3 4 4" xfId="6729"/>
    <cellStyle name="Comma 6 2 3 5" xfId="3927"/>
    <cellStyle name="Comma 6 2 3 5 2" xfId="11078"/>
    <cellStyle name="Comma 6 2 3 6" xfId="11069"/>
    <cellStyle name="Comma 6 2 3 7" xfId="6725"/>
    <cellStyle name="Comma 6 2 4" xfId="3928"/>
    <cellStyle name="Comma 6 2 4 2" xfId="3929"/>
    <cellStyle name="Comma 6 2 4 2 2" xfId="3930"/>
    <cellStyle name="Comma 6 2 4 2 2 2" xfId="3931"/>
    <cellStyle name="Comma 6 2 4 2 2 2 2" xfId="11082"/>
    <cellStyle name="Comma 6 2 4 2 2 3" xfId="11081"/>
    <cellStyle name="Comma 6 2 4 2 2 4" xfId="6732"/>
    <cellStyle name="Comma 6 2 4 2 3" xfId="3932"/>
    <cellStyle name="Comma 6 2 4 2 3 2" xfId="11083"/>
    <cellStyle name="Comma 6 2 4 2 4" xfId="11080"/>
    <cellStyle name="Comma 6 2 4 2 5" xfId="6731"/>
    <cellStyle name="Comma 6 2 4 3" xfId="3933"/>
    <cellStyle name="Comma 6 2 4 3 2" xfId="3934"/>
    <cellStyle name="Comma 6 2 4 3 2 2" xfId="11085"/>
    <cellStyle name="Comma 6 2 4 3 3" xfId="11084"/>
    <cellStyle name="Comma 6 2 4 3 4" xfId="6733"/>
    <cellStyle name="Comma 6 2 4 4" xfId="3935"/>
    <cellStyle name="Comma 6 2 4 4 2" xfId="3936"/>
    <cellStyle name="Comma 6 2 4 4 2 2" xfId="11087"/>
    <cellStyle name="Comma 6 2 4 4 3" xfId="11086"/>
    <cellStyle name="Comma 6 2 4 4 4" xfId="6734"/>
    <cellStyle name="Comma 6 2 4 5" xfId="3937"/>
    <cellStyle name="Comma 6 2 4 5 2" xfId="11088"/>
    <cellStyle name="Comma 6 2 4 6" xfId="11079"/>
    <cellStyle name="Comma 6 2 4 7" xfId="6730"/>
    <cellStyle name="Comma 6 2 5" xfId="3938"/>
    <cellStyle name="Comma 6 2 5 2" xfId="3939"/>
    <cellStyle name="Comma 6 2 5 2 2" xfId="3940"/>
    <cellStyle name="Comma 6 2 5 2 2 2" xfId="3941"/>
    <cellStyle name="Comma 6 2 5 2 2 2 2" xfId="11092"/>
    <cellStyle name="Comma 6 2 5 2 2 3" xfId="11091"/>
    <cellStyle name="Comma 6 2 5 2 2 4" xfId="6737"/>
    <cellStyle name="Comma 6 2 5 2 3" xfId="3942"/>
    <cellStyle name="Comma 6 2 5 2 3 2" xfId="11093"/>
    <cellStyle name="Comma 6 2 5 2 4" xfId="11090"/>
    <cellStyle name="Comma 6 2 5 2 5" xfId="6736"/>
    <cellStyle name="Comma 6 2 5 3" xfId="3943"/>
    <cellStyle name="Comma 6 2 5 3 2" xfId="3944"/>
    <cellStyle name="Comma 6 2 5 3 2 2" xfId="11095"/>
    <cellStyle name="Comma 6 2 5 3 3" xfId="11094"/>
    <cellStyle name="Comma 6 2 5 3 4" xfId="6738"/>
    <cellStyle name="Comma 6 2 5 4" xfId="3945"/>
    <cellStyle name="Comma 6 2 5 4 2" xfId="3946"/>
    <cellStyle name="Comma 6 2 5 4 2 2" xfId="11097"/>
    <cellStyle name="Comma 6 2 5 4 3" xfId="11096"/>
    <cellStyle name="Comma 6 2 5 4 4" xfId="6739"/>
    <cellStyle name="Comma 6 2 5 5" xfId="3947"/>
    <cellStyle name="Comma 6 2 5 5 2" xfId="11098"/>
    <cellStyle name="Comma 6 2 5 6" xfId="11089"/>
    <cellStyle name="Comma 6 2 5 7" xfId="6735"/>
    <cellStyle name="Comma 6 2 6" xfId="3948"/>
    <cellStyle name="Comma 6 2 6 2" xfId="3949"/>
    <cellStyle name="Comma 6 2 6 2 2" xfId="3950"/>
    <cellStyle name="Comma 6 2 6 2 2 2" xfId="3951"/>
    <cellStyle name="Comma 6 2 6 2 2 2 2" xfId="11102"/>
    <cellStyle name="Comma 6 2 6 2 2 3" xfId="11101"/>
    <cellStyle name="Comma 6 2 6 2 2 4" xfId="6742"/>
    <cellStyle name="Comma 6 2 6 2 3" xfId="3952"/>
    <cellStyle name="Comma 6 2 6 2 3 2" xfId="11103"/>
    <cellStyle name="Comma 6 2 6 2 4" xfId="11100"/>
    <cellStyle name="Comma 6 2 6 2 5" xfId="6741"/>
    <cellStyle name="Comma 6 2 6 3" xfId="3953"/>
    <cellStyle name="Comma 6 2 6 3 2" xfId="3954"/>
    <cellStyle name="Comma 6 2 6 3 2 2" xfId="11105"/>
    <cellStyle name="Comma 6 2 6 3 3" xfId="11104"/>
    <cellStyle name="Comma 6 2 6 3 4" xfId="6743"/>
    <cellStyle name="Comma 6 2 6 4" xfId="3955"/>
    <cellStyle name="Comma 6 2 6 4 2" xfId="3956"/>
    <cellStyle name="Comma 6 2 6 4 2 2" xfId="11107"/>
    <cellStyle name="Comma 6 2 6 4 3" xfId="11106"/>
    <cellStyle name="Comma 6 2 6 4 4" xfId="6744"/>
    <cellStyle name="Comma 6 2 6 5" xfId="3957"/>
    <cellStyle name="Comma 6 2 6 5 2" xfId="11108"/>
    <cellStyle name="Comma 6 2 6 6" xfId="11099"/>
    <cellStyle name="Comma 6 2 6 7" xfId="6740"/>
    <cellStyle name="Comma 6 2 7" xfId="3958"/>
    <cellStyle name="Comma 6 2 7 2" xfId="3959"/>
    <cellStyle name="Comma 6 2 7 2 2" xfId="3960"/>
    <cellStyle name="Comma 6 2 7 2 2 2" xfId="11111"/>
    <cellStyle name="Comma 6 2 7 2 3" xfId="11110"/>
    <cellStyle name="Comma 6 2 7 2 4" xfId="6746"/>
    <cellStyle name="Comma 6 2 7 3" xfId="3961"/>
    <cellStyle name="Comma 6 2 7 3 2" xfId="3962"/>
    <cellStyle name="Comma 6 2 7 3 2 2" xfId="11113"/>
    <cellStyle name="Comma 6 2 7 3 3" xfId="11112"/>
    <cellStyle name="Comma 6 2 7 3 4" xfId="6747"/>
    <cellStyle name="Comma 6 2 7 4" xfId="3963"/>
    <cellStyle name="Comma 6 2 7 4 2" xfId="11114"/>
    <cellStyle name="Comma 6 2 7 5" xfId="11109"/>
    <cellStyle name="Comma 6 2 7 6" xfId="6745"/>
    <cellStyle name="Comma 6 2 8" xfId="3964"/>
    <cellStyle name="Comma 6 2 8 2" xfId="3965"/>
    <cellStyle name="Comma 6 2 8 2 2" xfId="3966"/>
    <cellStyle name="Comma 6 2 8 2 2 2" xfId="11117"/>
    <cellStyle name="Comma 6 2 8 2 3" xfId="11116"/>
    <cellStyle name="Comma 6 2 8 2 4" xfId="6749"/>
    <cellStyle name="Comma 6 2 8 3" xfId="3967"/>
    <cellStyle name="Comma 6 2 8 3 2" xfId="11118"/>
    <cellStyle name="Comma 6 2 8 4" xfId="11115"/>
    <cellStyle name="Comma 6 2 8 5" xfId="6748"/>
    <cellStyle name="Comma 6 2 9" xfId="3968"/>
    <cellStyle name="Comma 6 2 9 2" xfId="3969"/>
    <cellStyle name="Comma 6 2 9 2 2" xfId="11120"/>
    <cellStyle name="Comma 6 2 9 3" xfId="11119"/>
    <cellStyle name="Comma 6 2 9 4" xfId="6750"/>
    <cellStyle name="Comma 6 3" xfId="3970"/>
    <cellStyle name="Comma 6 3 10" xfId="3971"/>
    <cellStyle name="Comma 6 3 10 2" xfId="3972"/>
    <cellStyle name="Comma 6 3 10 2 2" xfId="11123"/>
    <cellStyle name="Comma 6 3 10 3" xfId="11122"/>
    <cellStyle name="Comma 6 3 10 4" xfId="6752"/>
    <cellStyle name="Comma 6 3 11" xfId="3973"/>
    <cellStyle name="Comma 6 3 11 2" xfId="11124"/>
    <cellStyle name="Comma 6 3 12" xfId="11121"/>
    <cellStyle name="Comma 6 3 13" xfId="6751"/>
    <cellStyle name="Comma 6 3 2" xfId="3974"/>
    <cellStyle name="Comma 6 3 2 10" xfId="3975"/>
    <cellStyle name="Comma 6 3 2 10 2" xfId="11126"/>
    <cellStyle name="Comma 6 3 2 11" xfId="11125"/>
    <cellStyle name="Comma 6 3 2 12" xfId="6753"/>
    <cellStyle name="Comma 6 3 2 2" xfId="3976"/>
    <cellStyle name="Comma 6 3 2 2 2" xfId="3977"/>
    <cellStyle name="Comma 6 3 2 2 2 2" xfId="3978"/>
    <cellStyle name="Comma 6 3 2 2 2 2 2" xfId="3979"/>
    <cellStyle name="Comma 6 3 2 2 2 2 2 2" xfId="11130"/>
    <cellStyle name="Comma 6 3 2 2 2 2 3" xfId="11129"/>
    <cellStyle name="Comma 6 3 2 2 2 2 4" xfId="6756"/>
    <cellStyle name="Comma 6 3 2 2 2 3" xfId="3980"/>
    <cellStyle name="Comma 6 3 2 2 2 3 2" xfId="11131"/>
    <cellStyle name="Comma 6 3 2 2 2 4" xfId="11128"/>
    <cellStyle name="Comma 6 3 2 2 2 5" xfId="6755"/>
    <cellStyle name="Comma 6 3 2 2 3" xfId="3981"/>
    <cellStyle name="Comma 6 3 2 2 3 2" xfId="3982"/>
    <cellStyle name="Comma 6 3 2 2 3 2 2" xfId="11133"/>
    <cellStyle name="Comma 6 3 2 2 3 3" xfId="11132"/>
    <cellStyle name="Comma 6 3 2 2 3 4" xfId="6757"/>
    <cellStyle name="Comma 6 3 2 2 4" xfId="3983"/>
    <cellStyle name="Comma 6 3 2 2 4 2" xfId="3984"/>
    <cellStyle name="Comma 6 3 2 2 4 2 2" xfId="11135"/>
    <cellStyle name="Comma 6 3 2 2 4 3" xfId="11134"/>
    <cellStyle name="Comma 6 3 2 2 4 4" xfId="6758"/>
    <cellStyle name="Comma 6 3 2 2 5" xfId="3985"/>
    <cellStyle name="Comma 6 3 2 2 5 2" xfId="11136"/>
    <cellStyle name="Comma 6 3 2 2 6" xfId="11127"/>
    <cellStyle name="Comma 6 3 2 2 7" xfId="6754"/>
    <cellStyle name="Comma 6 3 2 3" xfId="3986"/>
    <cellStyle name="Comma 6 3 2 3 2" xfId="3987"/>
    <cellStyle name="Comma 6 3 2 3 2 2" xfId="3988"/>
    <cellStyle name="Comma 6 3 2 3 2 2 2" xfId="3989"/>
    <cellStyle name="Comma 6 3 2 3 2 2 2 2" xfId="11140"/>
    <cellStyle name="Comma 6 3 2 3 2 2 3" xfId="11139"/>
    <cellStyle name="Comma 6 3 2 3 2 2 4" xfId="6761"/>
    <cellStyle name="Comma 6 3 2 3 2 3" xfId="3990"/>
    <cellStyle name="Comma 6 3 2 3 2 3 2" xfId="11141"/>
    <cellStyle name="Comma 6 3 2 3 2 4" xfId="11138"/>
    <cellStyle name="Comma 6 3 2 3 2 5" xfId="6760"/>
    <cellStyle name="Comma 6 3 2 3 3" xfId="3991"/>
    <cellStyle name="Comma 6 3 2 3 3 2" xfId="3992"/>
    <cellStyle name="Comma 6 3 2 3 3 2 2" xfId="11143"/>
    <cellStyle name="Comma 6 3 2 3 3 3" xfId="11142"/>
    <cellStyle name="Comma 6 3 2 3 3 4" xfId="6762"/>
    <cellStyle name="Comma 6 3 2 3 4" xfId="3993"/>
    <cellStyle name="Comma 6 3 2 3 4 2" xfId="3994"/>
    <cellStyle name="Comma 6 3 2 3 4 2 2" xfId="11145"/>
    <cellStyle name="Comma 6 3 2 3 4 3" xfId="11144"/>
    <cellStyle name="Comma 6 3 2 3 4 4" xfId="6763"/>
    <cellStyle name="Comma 6 3 2 3 5" xfId="3995"/>
    <cellStyle name="Comma 6 3 2 3 5 2" xfId="11146"/>
    <cellStyle name="Comma 6 3 2 3 6" xfId="11137"/>
    <cellStyle name="Comma 6 3 2 3 7" xfId="6759"/>
    <cellStyle name="Comma 6 3 2 4" xfId="3996"/>
    <cellStyle name="Comma 6 3 2 4 2" xfId="3997"/>
    <cellStyle name="Comma 6 3 2 4 2 2" xfId="3998"/>
    <cellStyle name="Comma 6 3 2 4 2 2 2" xfId="3999"/>
    <cellStyle name="Comma 6 3 2 4 2 2 2 2" xfId="11150"/>
    <cellStyle name="Comma 6 3 2 4 2 2 3" xfId="11149"/>
    <cellStyle name="Comma 6 3 2 4 2 2 4" xfId="6766"/>
    <cellStyle name="Comma 6 3 2 4 2 3" xfId="4000"/>
    <cellStyle name="Comma 6 3 2 4 2 3 2" xfId="11151"/>
    <cellStyle name="Comma 6 3 2 4 2 4" xfId="11148"/>
    <cellStyle name="Comma 6 3 2 4 2 5" xfId="6765"/>
    <cellStyle name="Comma 6 3 2 4 3" xfId="4001"/>
    <cellStyle name="Comma 6 3 2 4 3 2" xfId="4002"/>
    <cellStyle name="Comma 6 3 2 4 3 2 2" xfId="11153"/>
    <cellStyle name="Comma 6 3 2 4 3 3" xfId="11152"/>
    <cellStyle name="Comma 6 3 2 4 3 4" xfId="6767"/>
    <cellStyle name="Comma 6 3 2 4 4" xfId="4003"/>
    <cellStyle name="Comma 6 3 2 4 4 2" xfId="4004"/>
    <cellStyle name="Comma 6 3 2 4 4 2 2" xfId="11155"/>
    <cellStyle name="Comma 6 3 2 4 4 3" xfId="11154"/>
    <cellStyle name="Comma 6 3 2 4 4 4" xfId="6768"/>
    <cellStyle name="Comma 6 3 2 4 5" xfId="4005"/>
    <cellStyle name="Comma 6 3 2 4 5 2" xfId="11156"/>
    <cellStyle name="Comma 6 3 2 4 6" xfId="11147"/>
    <cellStyle name="Comma 6 3 2 4 7" xfId="6764"/>
    <cellStyle name="Comma 6 3 2 5" xfId="4006"/>
    <cellStyle name="Comma 6 3 2 5 2" xfId="4007"/>
    <cellStyle name="Comma 6 3 2 5 2 2" xfId="4008"/>
    <cellStyle name="Comma 6 3 2 5 2 2 2" xfId="4009"/>
    <cellStyle name="Comma 6 3 2 5 2 2 2 2" xfId="11160"/>
    <cellStyle name="Comma 6 3 2 5 2 2 3" xfId="11159"/>
    <cellStyle name="Comma 6 3 2 5 2 2 4" xfId="6771"/>
    <cellStyle name="Comma 6 3 2 5 2 3" xfId="4010"/>
    <cellStyle name="Comma 6 3 2 5 2 3 2" xfId="11161"/>
    <cellStyle name="Comma 6 3 2 5 2 4" xfId="11158"/>
    <cellStyle name="Comma 6 3 2 5 2 5" xfId="6770"/>
    <cellStyle name="Comma 6 3 2 5 3" xfId="4011"/>
    <cellStyle name="Comma 6 3 2 5 3 2" xfId="4012"/>
    <cellStyle name="Comma 6 3 2 5 3 2 2" xfId="11163"/>
    <cellStyle name="Comma 6 3 2 5 3 3" xfId="11162"/>
    <cellStyle name="Comma 6 3 2 5 3 4" xfId="6772"/>
    <cellStyle name="Comma 6 3 2 5 4" xfId="4013"/>
    <cellStyle name="Comma 6 3 2 5 4 2" xfId="4014"/>
    <cellStyle name="Comma 6 3 2 5 4 2 2" xfId="11165"/>
    <cellStyle name="Comma 6 3 2 5 4 3" xfId="11164"/>
    <cellStyle name="Comma 6 3 2 5 4 4" xfId="6773"/>
    <cellStyle name="Comma 6 3 2 5 5" xfId="4015"/>
    <cellStyle name="Comma 6 3 2 5 5 2" xfId="11166"/>
    <cellStyle name="Comma 6 3 2 5 6" xfId="11157"/>
    <cellStyle name="Comma 6 3 2 5 7" xfId="6769"/>
    <cellStyle name="Comma 6 3 2 6" xfId="4016"/>
    <cellStyle name="Comma 6 3 2 6 2" xfId="4017"/>
    <cellStyle name="Comma 6 3 2 6 2 2" xfId="4018"/>
    <cellStyle name="Comma 6 3 2 6 2 2 2" xfId="11169"/>
    <cellStyle name="Comma 6 3 2 6 2 3" xfId="11168"/>
    <cellStyle name="Comma 6 3 2 6 2 4" xfId="6775"/>
    <cellStyle name="Comma 6 3 2 6 3" xfId="4019"/>
    <cellStyle name="Comma 6 3 2 6 3 2" xfId="4020"/>
    <cellStyle name="Comma 6 3 2 6 3 2 2" xfId="11171"/>
    <cellStyle name="Comma 6 3 2 6 3 3" xfId="11170"/>
    <cellStyle name="Comma 6 3 2 6 3 4" xfId="6776"/>
    <cellStyle name="Comma 6 3 2 6 4" xfId="4021"/>
    <cellStyle name="Comma 6 3 2 6 4 2" xfId="11172"/>
    <cellStyle name="Comma 6 3 2 6 5" xfId="11167"/>
    <cellStyle name="Comma 6 3 2 6 6" xfId="6774"/>
    <cellStyle name="Comma 6 3 2 7" xfId="4022"/>
    <cellStyle name="Comma 6 3 2 7 2" xfId="4023"/>
    <cellStyle name="Comma 6 3 2 7 2 2" xfId="4024"/>
    <cellStyle name="Comma 6 3 2 7 2 2 2" xfId="12306"/>
    <cellStyle name="Comma 6 3 2 7 2 2 3" xfId="11175"/>
    <cellStyle name="Comma 6 3 2 7 2 3" xfId="11174"/>
    <cellStyle name="Comma 6 3 2 7 2 4" xfId="12307"/>
    <cellStyle name="Comma 6 3 2 7 2 5" xfId="6778"/>
    <cellStyle name="Comma 6 3 2 7 3" xfId="4025"/>
    <cellStyle name="Comma 6 3 2 7 3 2" xfId="12305"/>
    <cellStyle name="Comma 6 3 2 7 3 3" xfId="11176"/>
    <cellStyle name="Comma 6 3 2 7 4" xfId="11173"/>
    <cellStyle name="Comma 6 3 2 7 5" xfId="12308"/>
    <cellStyle name="Comma 6 3 2 7 6" xfId="6777"/>
    <cellStyle name="Comma 6 3 2 8" xfId="4026"/>
    <cellStyle name="Comma 6 3 2 8 2" xfId="4027"/>
    <cellStyle name="Comma 6 3 2 8 2 2" xfId="12303"/>
    <cellStyle name="Comma 6 3 2 8 2 3" xfId="11178"/>
    <cellStyle name="Comma 6 3 2 8 3" xfId="11177"/>
    <cellStyle name="Comma 6 3 2 8 4" xfId="12304"/>
    <cellStyle name="Comma 6 3 2 8 5" xfId="6779"/>
    <cellStyle name="Comma 6 3 2 9" xfId="4028"/>
    <cellStyle name="Comma 6 3 2 9 2" xfId="4029"/>
    <cellStyle name="Comma 6 3 2 9 2 2" xfId="12301"/>
    <cellStyle name="Comma 6 3 2 9 2 3" xfId="11180"/>
    <cellStyle name="Comma 6 3 2 9 3" xfId="11179"/>
    <cellStyle name="Comma 6 3 2 9 4" xfId="12302"/>
    <cellStyle name="Comma 6 3 2 9 5" xfId="6780"/>
    <cellStyle name="Comma 6 3 3" xfId="4030"/>
    <cellStyle name="Comma 6 3 3 2" xfId="4031"/>
    <cellStyle name="Comma 6 3 3 2 2" xfId="4032"/>
    <cellStyle name="Comma 6 3 3 2 2 2" xfId="4033"/>
    <cellStyle name="Comma 6 3 3 2 2 2 2" xfId="12297"/>
    <cellStyle name="Comma 6 3 3 2 2 3" xfId="11183"/>
    <cellStyle name="Comma 6 3 3 2 2 4" xfId="12298"/>
    <cellStyle name="Comma 6 3 3 2 2 5" xfId="6783"/>
    <cellStyle name="Comma 6 3 3 2 3" xfId="4034"/>
    <cellStyle name="Comma 6 3 3 2 3 2" xfId="12296"/>
    <cellStyle name="Comma 6 3 3 2 4" xfId="11182"/>
    <cellStyle name="Comma 6 3 3 2 5" xfId="12299"/>
    <cellStyle name="Comma 6 3 3 2 6" xfId="6782"/>
    <cellStyle name="Comma 6 3 3 3" xfId="4035"/>
    <cellStyle name="Comma 6 3 3 3 2" xfId="4036"/>
    <cellStyle name="Comma 6 3 3 3 2 2" xfId="12294"/>
    <cellStyle name="Comma 6 3 3 3 3" xfId="11184"/>
    <cellStyle name="Comma 6 3 3 3 4" xfId="12295"/>
    <cellStyle name="Comma 6 3 3 3 5" xfId="6784"/>
    <cellStyle name="Comma 6 3 3 4" xfId="4037"/>
    <cellStyle name="Comma 6 3 3 4 2" xfId="4038"/>
    <cellStyle name="Comma 6 3 3 4 2 2" xfId="12292"/>
    <cellStyle name="Comma 6 3 3 4 3" xfId="11185"/>
    <cellStyle name="Comma 6 3 3 4 4" xfId="12293"/>
    <cellStyle name="Comma 6 3 3 4 5" xfId="6785"/>
    <cellStyle name="Comma 6 3 3 5" xfId="4039"/>
    <cellStyle name="Comma 6 3 3 5 2" xfId="12291"/>
    <cellStyle name="Comma 6 3 3 6" xfId="11181"/>
    <cellStyle name="Comma 6 3 3 7" xfId="12300"/>
    <cellStyle name="Comma 6 3 3 8" xfId="6781"/>
    <cellStyle name="Comma 6 3 4" xfId="4040"/>
    <cellStyle name="Comma 6 3 4 2" xfId="4041"/>
    <cellStyle name="Comma 6 3 4 2 2" xfId="4042"/>
    <cellStyle name="Comma 6 3 4 2 2 2" xfId="4043"/>
    <cellStyle name="Comma 6 3 4 2 2 2 2" xfId="12287"/>
    <cellStyle name="Comma 6 3 4 2 2 3" xfId="11188"/>
    <cellStyle name="Comma 6 3 4 2 2 4" xfId="12288"/>
    <cellStyle name="Comma 6 3 4 2 2 5" xfId="6788"/>
    <cellStyle name="Comma 6 3 4 2 3" xfId="4044"/>
    <cellStyle name="Comma 6 3 4 2 3 2" xfId="12286"/>
    <cellStyle name="Comma 6 3 4 2 4" xfId="11187"/>
    <cellStyle name="Comma 6 3 4 2 5" xfId="12289"/>
    <cellStyle name="Comma 6 3 4 2 6" xfId="6787"/>
    <cellStyle name="Comma 6 3 4 3" xfId="4045"/>
    <cellStyle name="Comma 6 3 4 3 2" xfId="4046"/>
    <cellStyle name="Comma 6 3 4 3 2 2" xfId="12284"/>
    <cellStyle name="Comma 6 3 4 3 3" xfId="11189"/>
    <cellStyle name="Comma 6 3 4 3 4" xfId="12285"/>
    <cellStyle name="Comma 6 3 4 3 5" xfId="6789"/>
    <cellStyle name="Comma 6 3 4 4" xfId="4047"/>
    <cellStyle name="Comma 6 3 4 4 2" xfId="4048"/>
    <cellStyle name="Comma 6 3 4 4 2 2" xfId="12282"/>
    <cellStyle name="Comma 6 3 4 4 3" xfId="11190"/>
    <cellStyle name="Comma 6 3 4 4 4" xfId="12283"/>
    <cellStyle name="Comma 6 3 4 4 5" xfId="6790"/>
    <cellStyle name="Comma 6 3 4 5" xfId="4049"/>
    <cellStyle name="Comma 6 3 4 5 2" xfId="12281"/>
    <cellStyle name="Comma 6 3 4 6" xfId="11186"/>
    <cellStyle name="Comma 6 3 4 7" xfId="12290"/>
    <cellStyle name="Comma 6 3 4 8" xfId="6786"/>
    <cellStyle name="Comma 6 3 5" xfId="4050"/>
    <cellStyle name="Comma 6 3 5 2" xfId="4051"/>
    <cellStyle name="Comma 6 3 5 2 2" xfId="4052"/>
    <cellStyle name="Comma 6 3 5 2 2 2" xfId="4053"/>
    <cellStyle name="Comma 6 3 5 2 2 2 2" xfId="12277"/>
    <cellStyle name="Comma 6 3 5 2 2 3" xfId="11193"/>
    <cellStyle name="Comma 6 3 5 2 2 4" xfId="12278"/>
    <cellStyle name="Comma 6 3 5 2 2 5" xfId="6793"/>
    <cellStyle name="Comma 6 3 5 2 3" xfId="4054"/>
    <cellStyle name="Comma 6 3 5 2 3 2" xfId="12276"/>
    <cellStyle name="Comma 6 3 5 2 4" xfId="11192"/>
    <cellStyle name="Comma 6 3 5 2 5" xfId="12279"/>
    <cellStyle name="Comma 6 3 5 2 6" xfId="6792"/>
    <cellStyle name="Comma 6 3 5 3" xfId="4055"/>
    <cellStyle name="Comma 6 3 5 3 2" xfId="4056"/>
    <cellStyle name="Comma 6 3 5 3 2 2" xfId="12274"/>
    <cellStyle name="Comma 6 3 5 3 3" xfId="11194"/>
    <cellStyle name="Comma 6 3 5 3 4" xfId="12275"/>
    <cellStyle name="Comma 6 3 5 3 5" xfId="6794"/>
    <cellStyle name="Comma 6 3 5 4" xfId="4057"/>
    <cellStyle name="Comma 6 3 5 4 2" xfId="4058"/>
    <cellStyle name="Comma 6 3 5 4 2 2" xfId="12272"/>
    <cellStyle name="Comma 6 3 5 4 3" xfId="11195"/>
    <cellStyle name="Comma 6 3 5 4 4" xfId="12273"/>
    <cellStyle name="Comma 6 3 5 4 5" xfId="6795"/>
    <cellStyle name="Comma 6 3 5 5" xfId="4059"/>
    <cellStyle name="Comma 6 3 5 5 2" xfId="12271"/>
    <cellStyle name="Comma 6 3 5 6" xfId="11191"/>
    <cellStyle name="Comma 6 3 5 7" xfId="12280"/>
    <cellStyle name="Comma 6 3 5 8" xfId="6791"/>
    <cellStyle name="Comma 6 3 6" xfId="4060"/>
    <cellStyle name="Comma 6 3 6 2" xfId="4061"/>
    <cellStyle name="Comma 6 3 6 2 2" xfId="4062"/>
    <cellStyle name="Comma 6 3 6 2 2 2" xfId="4063"/>
    <cellStyle name="Comma 6 3 6 2 2 2 2" xfId="12267"/>
    <cellStyle name="Comma 6 3 6 2 2 3" xfId="11198"/>
    <cellStyle name="Comma 6 3 6 2 2 4" xfId="12268"/>
    <cellStyle name="Comma 6 3 6 2 2 5" xfId="6798"/>
    <cellStyle name="Comma 6 3 6 2 3" xfId="4064"/>
    <cellStyle name="Comma 6 3 6 2 3 2" xfId="12266"/>
    <cellStyle name="Comma 6 3 6 2 4" xfId="11197"/>
    <cellStyle name="Comma 6 3 6 2 5" xfId="12269"/>
    <cellStyle name="Comma 6 3 6 2 6" xfId="6797"/>
    <cellStyle name="Comma 6 3 6 3" xfId="4065"/>
    <cellStyle name="Comma 6 3 6 3 2" xfId="4066"/>
    <cellStyle name="Comma 6 3 6 3 2 2" xfId="12264"/>
    <cellStyle name="Comma 6 3 6 3 3" xfId="11199"/>
    <cellStyle name="Comma 6 3 6 3 4" xfId="12265"/>
    <cellStyle name="Comma 6 3 6 3 5" xfId="6799"/>
    <cellStyle name="Comma 6 3 6 4" xfId="4067"/>
    <cellStyle name="Comma 6 3 6 4 2" xfId="4068"/>
    <cellStyle name="Comma 6 3 6 4 2 2" xfId="12262"/>
    <cellStyle name="Comma 6 3 6 4 3" xfId="11200"/>
    <cellStyle name="Comma 6 3 6 4 4" xfId="12263"/>
    <cellStyle name="Comma 6 3 6 4 5" xfId="6800"/>
    <cellStyle name="Comma 6 3 6 5" xfId="4069"/>
    <cellStyle name="Comma 6 3 6 5 2" xfId="12261"/>
    <cellStyle name="Comma 6 3 6 6" xfId="11196"/>
    <cellStyle name="Comma 6 3 6 7" xfId="12270"/>
    <cellStyle name="Comma 6 3 6 8" xfId="6796"/>
    <cellStyle name="Comma 6 3 7" xfId="4070"/>
    <cellStyle name="Comma 6 3 7 2" xfId="4071"/>
    <cellStyle name="Comma 6 3 7 2 2" xfId="4072"/>
    <cellStyle name="Comma 6 3 7 2 2 2" xfId="12258"/>
    <cellStyle name="Comma 6 3 7 2 3" xfId="11202"/>
    <cellStyle name="Comma 6 3 7 2 4" xfId="12259"/>
    <cellStyle name="Comma 6 3 7 2 5" xfId="6802"/>
    <cellStyle name="Comma 6 3 7 3" xfId="4073"/>
    <cellStyle name="Comma 6 3 7 3 2" xfId="4074"/>
    <cellStyle name="Comma 6 3 7 3 2 2" xfId="12256"/>
    <cellStyle name="Comma 6 3 7 3 3" xfId="11203"/>
    <cellStyle name="Comma 6 3 7 3 4" xfId="12257"/>
    <cellStyle name="Comma 6 3 7 3 5" xfId="6803"/>
    <cellStyle name="Comma 6 3 7 4" xfId="4075"/>
    <cellStyle name="Comma 6 3 7 4 2" xfId="12255"/>
    <cellStyle name="Comma 6 3 7 5" xfId="11201"/>
    <cellStyle name="Comma 6 3 7 6" xfId="12260"/>
    <cellStyle name="Comma 6 3 7 7" xfId="6801"/>
    <cellStyle name="Comma 6 3 8" xfId="4076"/>
    <cellStyle name="Comma 6 3 8 2" xfId="4077"/>
    <cellStyle name="Comma 6 3 8 2 2" xfId="4078"/>
    <cellStyle name="Comma 6 3 8 2 2 2" xfId="12252"/>
    <cellStyle name="Comma 6 3 8 2 3" xfId="11205"/>
    <cellStyle name="Comma 6 3 8 2 4" xfId="12253"/>
    <cellStyle name="Comma 6 3 8 2 5" xfId="6805"/>
    <cellStyle name="Comma 6 3 8 3" xfId="4079"/>
    <cellStyle name="Comma 6 3 8 3 2" xfId="12251"/>
    <cellStyle name="Comma 6 3 8 4" xfId="11204"/>
    <cellStyle name="Comma 6 3 8 5" xfId="12254"/>
    <cellStyle name="Comma 6 3 8 6" xfId="6804"/>
    <cellStyle name="Comma 6 3 9" xfId="4080"/>
    <cellStyle name="Comma 6 3 9 2" xfId="4081"/>
    <cellStyle name="Comma 6 3 9 2 2" xfId="12249"/>
    <cellStyle name="Comma 6 3 9 3" xfId="11206"/>
    <cellStyle name="Comma 6 3 9 4" xfId="12250"/>
    <cellStyle name="Comma 6 3 9 5" xfId="6806"/>
    <cellStyle name="Comma 6 4" xfId="4082"/>
    <cellStyle name="Comma 6 4 10" xfId="4083"/>
    <cellStyle name="Comma 6 4 10 2" xfId="4084"/>
    <cellStyle name="Comma 6 4 10 2 2" xfId="12246"/>
    <cellStyle name="Comma 6 4 10 3" xfId="11208"/>
    <cellStyle name="Comma 6 4 10 4" xfId="12247"/>
    <cellStyle name="Comma 6 4 10 5" xfId="6808"/>
    <cellStyle name="Comma 6 4 11" xfId="4085"/>
    <cellStyle name="Comma 6 4 11 2" xfId="12245"/>
    <cellStyle name="Comma 6 4 12" xfId="11207"/>
    <cellStyle name="Comma 6 4 13" xfId="12248"/>
    <cellStyle name="Comma 6 4 14" xfId="6807"/>
    <cellStyle name="Comma 6 4 2" xfId="4086"/>
    <cellStyle name="Comma 6 4 2 10" xfId="4087"/>
    <cellStyle name="Comma 6 4 2 10 2" xfId="12243"/>
    <cellStyle name="Comma 6 4 2 11" xfId="11209"/>
    <cellStyle name="Comma 6 4 2 12" xfId="12244"/>
    <cellStyle name="Comma 6 4 2 13" xfId="6809"/>
    <cellStyle name="Comma 6 4 2 2" xfId="4088"/>
    <cellStyle name="Comma 6 4 2 2 2" xfId="4089"/>
    <cellStyle name="Comma 6 4 2 2 2 2" xfId="4090"/>
    <cellStyle name="Comma 6 4 2 2 2 2 2" xfId="4091"/>
    <cellStyle name="Comma 6 4 2 2 2 2 2 2" xfId="12239"/>
    <cellStyle name="Comma 6 4 2 2 2 2 3" xfId="11212"/>
    <cellStyle name="Comma 6 4 2 2 2 2 4" xfId="12240"/>
    <cellStyle name="Comma 6 4 2 2 2 2 5" xfId="6812"/>
    <cellStyle name="Comma 6 4 2 2 2 3" xfId="4092"/>
    <cellStyle name="Comma 6 4 2 2 2 3 2" xfId="12238"/>
    <cellStyle name="Comma 6 4 2 2 2 4" xfId="11211"/>
    <cellStyle name="Comma 6 4 2 2 2 5" xfId="12241"/>
    <cellStyle name="Comma 6 4 2 2 2 6" xfId="6811"/>
    <cellStyle name="Comma 6 4 2 2 3" xfId="4093"/>
    <cellStyle name="Comma 6 4 2 2 3 2" xfId="4094"/>
    <cellStyle name="Comma 6 4 2 2 3 2 2" xfId="12236"/>
    <cellStyle name="Comma 6 4 2 2 3 3" xfId="11213"/>
    <cellStyle name="Comma 6 4 2 2 3 4" xfId="12237"/>
    <cellStyle name="Comma 6 4 2 2 3 5" xfId="6813"/>
    <cellStyle name="Comma 6 4 2 2 4" xfId="4095"/>
    <cellStyle name="Comma 6 4 2 2 4 2" xfId="4096"/>
    <cellStyle name="Comma 6 4 2 2 4 2 2" xfId="12234"/>
    <cellStyle name="Comma 6 4 2 2 4 3" xfId="11214"/>
    <cellStyle name="Comma 6 4 2 2 4 4" xfId="12235"/>
    <cellStyle name="Comma 6 4 2 2 4 5" xfId="6814"/>
    <cellStyle name="Comma 6 4 2 2 5" xfId="4097"/>
    <cellStyle name="Comma 6 4 2 2 5 2" xfId="12233"/>
    <cellStyle name="Comma 6 4 2 2 6" xfId="11210"/>
    <cellStyle name="Comma 6 4 2 2 7" xfId="12242"/>
    <cellStyle name="Comma 6 4 2 2 8" xfId="6810"/>
    <cellStyle name="Comma 6 4 2 3" xfId="4098"/>
    <cellStyle name="Comma 6 4 2 3 2" xfId="4099"/>
    <cellStyle name="Comma 6 4 2 3 2 2" xfId="4100"/>
    <cellStyle name="Comma 6 4 2 3 2 2 2" xfId="4101"/>
    <cellStyle name="Comma 6 4 2 3 2 2 2 2" xfId="12229"/>
    <cellStyle name="Comma 6 4 2 3 2 2 3" xfId="11217"/>
    <cellStyle name="Comma 6 4 2 3 2 2 4" xfId="12230"/>
    <cellStyle name="Comma 6 4 2 3 2 2 5" xfId="6817"/>
    <cellStyle name="Comma 6 4 2 3 2 3" xfId="4102"/>
    <cellStyle name="Comma 6 4 2 3 2 3 2" xfId="12228"/>
    <cellStyle name="Comma 6 4 2 3 2 4" xfId="11216"/>
    <cellStyle name="Comma 6 4 2 3 2 5" xfId="12231"/>
    <cellStyle name="Comma 6 4 2 3 2 6" xfId="6816"/>
    <cellStyle name="Comma 6 4 2 3 3" xfId="4103"/>
    <cellStyle name="Comma 6 4 2 3 3 2" xfId="4104"/>
    <cellStyle name="Comma 6 4 2 3 3 2 2" xfId="12226"/>
    <cellStyle name="Comma 6 4 2 3 3 3" xfId="11218"/>
    <cellStyle name="Comma 6 4 2 3 3 4" xfId="12227"/>
    <cellStyle name="Comma 6 4 2 3 3 5" xfId="6818"/>
    <cellStyle name="Comma 6 4 2 3 4" xfId="4105"/>
    <cellStyle name="Comma 6 4 2 3 4 2" xfId="4106"/>
    <cellStyle name="Comma 6 4 2 3 4 2 2" xfId="12224"/>
    <cellStyle name="Comma 6 4 2 3 4 3" xfId="11219"/>
    <cellStyle name="Comma 6 4 2 3 4 4" xfId="12225"/>
    <cellStyle name="Comma 6 4 2 3 4 5" xfId="6819"/>
    <cellStyle name="Comma 6 4 2 3 5" xfId="4107"/>
    <cellStyle name="Comma 6 4 2 3 5 2" xfId="12223"/>
    <cellStyle name="Comma 6 4 2 3 6" xfId="11215"/>
    <cellStyle name="Comma 6 4 2 3 7" xfId="12232"/>
    <cellStyle name="Comma 6 4 2 3 8" xfId="6815"/>
    <cellStyle name="Comma 6 4 2 4" xfId="4108"/>
    <cellStyle name="Comma 6 4 2 4 2" xfId="4109"/>
    <cellStyle name="Comma 6 4 2 4 2 2" xfId="4110"/>
    <cellStyle name="Comma 6 4 2 4 2 2 2" xfId="4111"/>
    <cellStyle name="Comma 6 4 2 4 2 2 2 2" xfId="12219"/>
    <cellStyle name="Comma 6 4 2 4 2 2 3" xfId="11222"/>
    <cellStyle name="Comma 6 4 2 4 2 2 4" xfId="12220"/>
    <cellStyle name="Comma 6 4 2 4 2 2 5" xfId="6822"/>
    <cellStyle name="Comma 6 4 2 4 2 3" xfId="4112"/>
    <cellStyle name="Comma 6 4 2 4 2 3 2" xfId="12218"/>
    <cellStyle name="Comma 6 4 2 4 2 4" xfId="11221"/>
    <cellStyle name="Comma 6 4 2 4 2 5" xfId="12221"/>
    <cellStyle name="Comma 6 4 2 4 2 6" xfId="6821"/>
    <cellStyle name="Comma 6 4 2 4 3" xfId="4113"/>
    <cellStyle name="Comma 6 4 2 4 3 2" xfId="4114"/>
    <cellStyle name="Comma 6 4 2 4 3 2 2" xfId="12216"/>
    <cellStyle name="Comma 6 4 2 4 3 3" xfId="11223"/>
    <cellStyle name="Comma 6 4 2 4 3 4" xfId="12217"/>
    <cellStyle name="Comma 6 4 2 4 3 5" xfId="6823"/>
    <cellStyle name="Comma 6 4 2 4 4" xfId="4115"/>
    <cellStyle name="Comma 6 4 2 4 4 2" xfId="4116"/>
    <cellStyle name="Comma 6 4 2 4 4 2 2" xfId="12214"/>
    <cellStyle name="Comma 6 4 2 4 4 3" xfId="11224"/>
    <cellStyle name="Comma 6 4 2 4 4 4" xfId="12215"/>
    <cellStyle name="Comma 6 4 2 4 4 5" xfId="6824"/>
    <cellStyle name="Comma 6 4 2 4 5" xfId="4117"/>
    <cellStyle name="Comma 6 4 2 4 5 2" xfId="12213"/>
    <cellStyle name="Comma 6 4 2 4 6" xfId="11220"/>
    <cellStyle name="Comma 6 4 2 4 7" xfId="12222"/>
    <cellStyle name="Comma 6 4 2 4 8" xfId="6820"/>
    <cellStyle name="Comma 6 4 2 5" xfId="4118"/>
    <cellStyle name="Comma 6 4 2 5 2" xfId="4119"/>
    <cellStyle name="Comma 6 4 2 5 2 2" xfId="4120"/>
    <cellStyle name="Comma 6 4 2 5 2 2 2" xfId="4121"/>
    <cellStyle name="Comma 6 4 2 5 2 2 2 2" xfId="12209"/>
    <cellStyle name="Comma 6 4 2 5 2 2 3" xfId="11227"/>
    <cellStyle name="Comma 6 4 2 5 2 2 4" xfId="12210"/>
    <cellStyle name="Comma 6 4 2 5 2 2 5" xfId="6827"/>
    <cellStyle name="Comma 6 4 2 5 2 3" xfId="4122"/>
    <cellStyle name="Comma 6 4 2 5 2 3 2" xfId="12208"/>
    <cellStyle name="Comma 6 4 2 5 2 4" xfId="11226"/>
    <cellStyle name="Comma 6 4 2 5 2 5" xfId="12211"/>
    <cellStyle name="Comma 6 4 2 5 2 6" xfId="6826"/>
    <cellStyle name="Comma 6 4 2 5 3" xfId="4123"/>
    <cellStyle name="Comma 6 4 2 5 3 2" xfId="4124"/>
    <cellStyle name="Comma 6 4 2 5 3 2 2" xfId="12206"/>
    <cellStyle name="Comma 6 4 2 5 3 3" xfId="11228"/>
    <cellStyle name="Comma 6 4 2 5 3 4" xfId="12207"/>
    <cellStyle name="Comma 6 4 2 5 3 5" xfId="6828"/>
    <cellStyle name="Comma 6 4 2 5 4" xfId="4125"/>
    <cellStyle name="Comma 6 4 2 5 4 2" xfId="4126"/>
    <cellStyle name="Comma 6 4 2 5 4 2 2" xfId="12204"/>
    <cellStyle name="Comma 6 4 2 5 4 3" xfId="11229"/>
    <cellStyle name="Comma 6 4 2 5 4 4" xfId="12205"/>
    <cellStyle name="Comma 6 4 2 5 4 5" xfId="6829"/>
    <cellStyle name="Comma 6 4 2 5 5" xfId="4127"/>
    <cellStyle name="Comma 6 4 2 5 5 2" xfId="12203"/>
    <cellStyle name="Comma 6 4 2 5 6" xfId="11225"/>
    <cellStyle name="Comma 6 4 2 5 7" xfId="12212"/>
    <cellStyle name="Comma 6 4 2 5 8" xfId="6825"/>
    <cellStyle name="Comma 6 4 2 6" xfId="4128"/>
    <cellStyle name="Comma 6 4 2 6 2" xfId="4129"/>
    <cellStyle name="Comma 6 4 2 6 2 2" xfId="4130"/>
    <cellStyle name="Comma 6 4 2 6 2 2 2" xfId="12200"/>
    <cellStyle name="Comma 6 4 2 6 2 3" xfId="11231"/>
    <cellStyle name="Comma 6 4 2 6 2 4" xfId="12201"/>
    <cellStyle name="Comma 6 4 2 6 2 5" xfId="6831"/>
    <cellStyle name="Comma 6 4 2 6 3" xfId="4131"/>
    <cellStyle name="Comma 6 4 2 6 3 2" xfId="4132"/>
    <cellStyle name="Comma 6 4 2 6 3 2 2" xfId="12198"/>
    <cellStyle name="Comma 6 4 2 6 3 3" xfId="11232"/>
    <cellStyle name="Comma 6 4 2 6 3 4" xfId="12199"/>
    <cellStyle name="Comma 6 4 2 6 3 5" xfId="6832"/>
    <cellStyle name="Comma 6 4 2 6 4" xfId="4133"/>
    <cellStyle name="Comma 6 4 2 6 4 2" xfId="12197"/>
    <cellStyle name="Comma 6 4 2 6 5" xfId="11230"/>
    <cellStyle name="Comma 6 4 2 6 6" xfId="12202"/>
    <cellStyle name="Comma 6 4 2 6 7" xfId="6830"/>
    <cellStyle name="Comma 6 4 2 7" xfId="4134"/>
    <cellStyle name="Comma 6 4 2 7 2" xfId="4135"/>
    <cellStyle name="Comma 6 4 2 7 2 2" xfId="4136"/>
    <cellStyle name="Comma 6 4 2 7 2 2 2" xfId="12194"/>
    <cellStyle name="Comma 6 4 2 7 2 3" xfId="11234"/>
    <cellStyle name="Comma 6 4 2 7 2 4" xfId="12195"/>
    <cellStyle name="Comma 6 4 2 7 2 5" xfId="6834"/>
    <cellStyle name="Comma 6 4 2 7 3" xfId="4137"/>
    <cellStyle name="Comma 6 4 2 7 3 2" xfId="12193"/>
    <cellStyle name="Comma 6 4 2 7 4" xfId="11233"/>
    <cellStyle name="Comma 6 4 2 7 5" xfId="12196"/>
    <cellStyle name="Comma 6 4 2 7 6" xfId="6833"/>
    <cellStyle name="Comma 6 4 2 8" xfId="4138"/>
    <cellStyle name="Comma 6 4 2 8 2" xfId="4139"/>
    <cellStyle name="Comma 6 4 2 8 2 2" xfId="12191"/>
    <cellStyle name="Comma 6 4 2 8 3" xfId="11235"/>
    <cellStyle name="Comma 6 4 2 8 4" xfId="12192"/>
    <cellStyle name="Comma 6 4 2 8 5" xfId="6835"/>
    <cellStyle name="Comma 6 4 2 9" xfId="4140"/>
    <cellStyle name="Comma 6 4 2 9 2" xfId="4141"/>
    <cellStyle name="Comma 6 4 2 9 2 2" xfId="12189"/>
    <cellStyle name="Comma 6 4 2 9 3" xfId="11236"/>
    <cellStyle name="Comma 6 4 2 9 4" xfId="12190"/>
    <cellStyle name="Comma 6 4 2 9 5" xfId="6836"/>
    <cellStyle name="Comma 6 4 3" xfId="4142"/>
    <cellStyle name="Comma 6 4 3 2" xfId="4143"/>
    <cellStyle name="Comma 6 4 3 2 2" xfId="4144"/>
    <cellStyle name="Comma 6 4 3 2 2 2" xfId="4145"/>
    <cellStyle name="Comma 6 4 3 2 2 2 2" xfId="12185"/>
    <cellStyle name="Comma 6 4 3 2 2 3" xfId="11239"/>
    <cellStyle name="Comma 6 4 3 2 2 4" xfId="12186"/>
    <cellStyle name="Comma 6 4 3 2 2 5" xfId="6839"/>
    <cellStyle name="Comma 6 4 3 2 3" xfId="4146"/>
    <cellStyle name="Comma 6 4 3 2 3 2" xfId="12184"/>
    <cellStyle name="Comma 6 4 3 2 4" xfId="11238"/>
    <cellStyle name="Comma 6 4 3 2 5" xfId="12187"/>
    <cellStyle name="Comma 6 4 3 2 6" xfId="6838"/>
    <cellStyle name="Comma 6 4 3 3" xfId="4147"/>
    <cellStyle name="Comma 6 4 3 3 2" xfId="4148"/>
    <cellStyle name="Comma 6 4 3 3 2 2" xfId="12182"/>
    <cellStyle name="Comma 6 4 3 3 3" xfId="11240"/>
    <cellStyle name="Comma 6 4 3 3 4" xfId="12183"/>
    <cellStyle name="Comma 6 4 3 3 5" xfId="6840"/>
    <cellStyle name="Comma 6 4 3 4" xfId="4149"/>
    <cellStyle name="Comma 6 4 3 4 2" xfId="4150"/>
    <cellStyle name="Comma 6 4 3 4 2 2" xfId="12180"/>
    <cellStyle name="Comma 6 4 3 4 3" xfId="11241"/>
    <cellStyle name="Comma 6 4 3 4 4" xfId="12181"/>
    <cellStyle name="Comma 6 4 3 4 5" xfId="6841"/>
    <cellStyle name="Comma 6 4 3 5" xfId="4151"/>
    <cellStyle name="Comma 6 4 3 5 2" xfId="12179"/>
    <cellStyle name="Comma 6 4 3 6" xfId="11237"/>
    <cellStyle name="Comma 6 4 3 7" xfId="12188"/>
    <cellStyle name="Comma 6 4 3 8" xfId="6837"/>
    <cellStyle name="Comma 6 4 4" xfId="4152"/>
    <cellStyle name="Comma 6 4 4 2" xfId="4153"/>
    <cellStyle name="Comma 6 4 4 2 2" xfId="4154"/>
    <cellStyle name="Comma 6 4 4 2 2 2" xfId="4155"/>
    <cellStyle name="Comma 6 4 4 2 2 2 2" xfId="12175"/>
    <cellStyle name="Comma 6 4 4 2 2 3" xfId="11244"/>
    <cellStyle name="Comma 6 4 4 2 2 4" xfId="12176"/>
    <cellStyle name="Comma 6 4 4 2 2 5" xfId="6844"/>
    <cellStyle name="Comma 6 4 4 2 3" xfId="4156"/>
    <cellStyle name="Comma 6 4 4 2 3 2" xfId="12174"/>
    <cellStyle name="Comma 6 4 4 2 4" xfId="11243"/>
    <cellStyle name="Comma 6 4 4 2 5" xfId="12177"/>
    <cellStyle name="Comma 6 4 4 2 6" xfId="6843"/>
    <cellStyle name="Comma 6 4 4 3" xfId="4157"/>
    <cellStyle name="Comma 6 4 4 3 2" xfId="4158"/>
    <cellStyle name="Comma 6 4 4 3 2 2" xfId="12172"/>
    <cellStyle name="Comma 6 4 4 3 3" xfId="11245"/>
    <cellStyle name="Comma 6 4 4 3 4" xfId="12173"/>
    <cellStyle name="Comma 6 4 4 3 5" xfId="6845"/>
    <cellStyle name="Comma 6 4 4 4" xfId="4159"/>
    <cellStyle name="Comma 6 4 4 4 2" xfId="4160"/>
    <cellStyle name="Comma 6 4 4 4 2 2" xfId="12170"/>
    <cellStyle name="Comma 6 4 4 4 3" xfId="11246"/>
    <cellStyle name="Comma 6 4 4 4 4" xfId="12171"/>
    <cellStyle name="Comma 6 4 4 4 5" xfId="6846"/>
    <cellStyle name="Comma 6 4 4 5" xfId="4161"/>
    <cellStyle name="Comma 6 4 4 5 2" xfId="12169"/>
    <cellStyle name="Comma 6 4 4 6" xfId="11242"/>
    <cellStyle name="Comma 6 4 4 7" xfId="12178"/>
    <cellStyle name="Comma 6 4 4 8" xfId="6842"/>
    <cellStyle name="Comma 6 4 5" xfId="4162"/>
    <cellStyle name="Comma 6 4 5 2" xfId="4163"/>
    <cellStyle name="Comma 6 4 5 2 2" xfId="4164"/>
    <cellStyle name="Comma 6 4 5 2 2 2" xfId="4165"/>
    <cellStyle name="Comma 6 4 5 2 2 2 2" xfId="12165"/>
    <cellStyle name="Comma 6 4 5 2 2 3" xfId="11249"/>
    <cellStyle name="Comma 6 4 5 2 2 4" xfId="12166"/>
    <cellStyle name="Comma 6 4 5 2 2 5" xfId="6849"/>
    <cellStyle name="Comma 6 4 5 2 3" xfId="4166"/>
    <cellStyle name="Comma 6 4 5 2 3 2" xfId="12164"/>
    <cellStyle name="Comma 6 4 5 2 4" xfId="11248"/>
    <cellStyle name="Comma 6 4 5 2 5" xfId="12167"/>
    <cellStyle name="Comma 6 4 5 2 6" xfId="6848"/>
    <cellStyle name="Comma 6 4 5 3" xfId="4167"/>
    <cellStyle name="Comma 6 4 5 3 2" xfId="4168"/>
    <cellStyle name="Comma 6 4 5 3 2 2" xfId="12162"/>
    <cellStyle name="Comma 6 4 5 3 3" xfId="11250"/>
    <cellStyle name="Comma 6 4 5 3 4" xfId="12163"/>
    <cellStyle name="Comma 6 4 5 3 5" xfId="6850"/>
    <cellStyle name="Comma 6 4 5 4" xfId="4169"/>
    <cellStyle name="Comma 6 4 5 4 2" xfId="4170"/>
    <cellStyle name="Comma 6 4 5 4 2 2" xfId="12160"/>
    <cellStyle name="Comma 6 4 5 4 3" xfId="11251"/>
    <cellStyle name="Comma 6 4 5 4 4" xfId="12161"/>
    <cellStyle name="Comma 6 4 5 4 5" xfId="6851"/>
    <cellStyle name="Comma 6 4 5 5" xfId="4171"/>
    <cellStyle name="Comma 6 4 5 5 2" xfId="12159"/>
    <cellStyle name="Comma 6 4 5 6" xfId="11247"/>
    <cellStyle name="Comma 6 4 5 7" xfId="12168"/>
    <cellStyle name="Comma 6 4 5 8" xfId="6847"/>
    <cellStyle name="Comma 6 4 6" xfId="4172"/>
    <cellStyle name="Comma 6 4 6 2" xfId="4173"/>
    <cellStyle name="Comma 6 4 6 2 2" xfId="4174"/>
    <cellStyle name="Comma 6 4 6 2 2 2" xfId="4175"/>
    <cellStyle name="Comma 6 4 6 2 2 2 2" xfId="12155"/>
    <cellStyle name="Comma 6 4 6 2 2 3" xfId="11254"/>
    <cellStyle name="Comma 6 4 6 2 2 4" xfId="12156"/>
    <cellStyle name="Comma 6 4 6 2 2 5" xfId="6854"/>
    <cellStyle name="Comma 6 4 6 2 3" xfId="4176"/>
    <cellStyle name="Comma 6 4 6 2 3 2" xfId="12154"/>
    <cellStyle name="Comma 6 4 6 2 4" xfId="11253"/>
    <cellStyle name="Comma 6 4 6 2 5" xfId="12157"/>
    <cellStyle name="Comma 6 4 6 2 6" xfId="6853"/>
    <cellStyle name="Comma 6 4 6 3" xfId="4177"/>
    <cellStyle name="Comma 6 4 6 3 2" xfId="4178"/>
    <cellStyle name="Comma 6 4 6 3 2 2" xfId="12152"/>
    <cellStyle name="Comma 6 4 6 3 3" xfId="11255"/>
    <cellStyle name="Comma 6 4 6 3 4" xfId="12153"/>
    <cellStyle name="Comma 6 4 6 3 5" xfId="6855"/>
    <cellStyle name="Comma 6 4 6 4" xfId="4179"/>
    <cellStyle name="Comma 6 4 6 4 2" xfId="4180"/>
    <cellStyle name="Comma 6 4 6 4 2 2" xfId="12150"/>
    <cellStyle name="Comma 6 4 6 4 3" xfId="11256"/>
    <cellStyle name="Comma 6 4 6 4 4" xfId="12151"/>
    <cellStyle name="Comma 6 4 6 4 5" xfId="6856"/>
    <cellStyle name="Comma 6 4 6 5" xfId="4181"/>
    <cellStyle name="Comma 6 4 6 5 2" xfId="12149"/>
    <cellStyle name="Comma 6 4 6 6" xfId="11252"/>
    <cellStyle name="Comma 6 4 6 7" xfId="12158"/>
    <cellStyle name="Comma 6 4 6 8" xfId="6852"/>
    <cellStyle name="Comma 6 4 7" xfId="4182"/>
    <cellStyle name="Comma 6 4 7 2" xfId="4183"/>
    <cellStyle name="Comma 6 4 7 2 2" xfId="4184"/>
    <cellStyle name="Comma 6 4 7 2 2 2" xfId="12146"/>
    <cellStyle name="Comma 6 4 7 2 3" xfId="11258"/>
    <cellStyle name="Comma 6 4 7 2 4" xfId="12147"/>
    <cellStyle name="Comma 6 4 7 2 5" xfId="6858"/>
    <cellStyle name="Comma 6 4 7 3" xfId="4185"/>
    <cellStyle name="Comma 6 4 7 3 2" xfId="4186"/>
    <cellStyle name="Comma 6 4 7 3 2 2" xfId="12144"/>
    <cellStyle name="Comma 6 4 7 3 3" xfId="11259"/>
    <cellStyle name="Comma 6 4 7 3 4" xfId="12145"/>
    <cellStyle name="Comma 6 4 7 3 5" xfId="6859"/>
    <cellStyle name="Comma 6 4 7 4" xfId="4187"/>
    <cellStyle name="Comma 6 4 7 4 2" xfId="12143"/>
    <cellStyle name="Comma 6 4 7 5" xfId="11257"/>
    <cellStyle name="Comma 6 4 7 6" xfId="12148"/>
    <cellStyle name="Comma 6 4 7 7" xfId="6857"/>
    <cellStyle name="Comma 6 4 8" xfId="4188"/>
    <cellStyle name="Comma 6 4 8 2" xfId="4189"/>
    <cellStyle name="Comma 6 4 8 2 2" xfId="4190"/>
    <cellStyle name="Comma 6 4 8 2 2 2" xfId="12140"/>
    <cellStyle name="Comma 6 4 8 2 3" xfId="11261"/>
    <cellStyle name="Comma 6 4 8 2 4" xfId="12141"/>
    <cellStyle name="Comma 6 4 8 2 5" xfId="6861"/>
    <cellStyle name="Comma 6 4 8 3" xfId="4191"/>
    <cellStyle name="Comma 6 4 8 3 2" xfId="12139"/>
    <cellStyle name="Comma 6 4 8 4" xfId="11260"/>
    <cellStyle name="Comma 6 4 8 5" xfId="12142"/>
    <cellStyle name="Comma 6 4 8 6" xfId="6860"/>
    <cellStyle name="Comma 6 4 9" xfId="4192"/>
    <cellStyle name="Comma 6 4 9 2" xfId="4193"/>
    <cellStyle name="Comma 6 4 9 2 2" xfId="12137"/>
    <cellStyle name="Comma 6 4 9 3" xfId="11262"/>
    <cellStyle name="Comma 6 4 9 4" xfId="12138"/>
    <cellStyle name="Comma 6 4 9 5" xfId="6862"/>
    <cellStyle name="Comma 6 5" xfId="4194"/>
    <cellStyle name="Comma 6 5 10" xfId="4195"/>
    <cellStyle name="Comma 6 5 10 2" xfId="12135"/>
    <cellStyle name="Comma 6 5 11" xfId="11263"/>
    <cellStyle name="Comma 6 5 12" xfId="12136"/>
    <cellStyle name="Comma 6 5 13" xfId="6863"/>
    <cellStyle name="Comma 6 5 2" xfId="4196"/>
    <cellStyle name="Comma 6 5 2 2" xfId="4197"/>
    <cellStyle name="Comma 6 5 2 2 2" xfId="4198"/>
    <cellStyle name="Comma 6 5 2 2 2 2" xfId="4199"/>
    <cellStyle name="Comma 6 5 2 2 2 2 2" xfId="12131"/>
    <cellStyle name="Comma 6 5 2 2 2 3" xfId="11266"/>
    <cellStyle name="Comma 6 5 2 2 2 4" xfId="12132"/>
    <cellStyle name="Comma 6 5 2 2 2 5" xfId="6866"/>
    <cellStyle name="Comma 6 5 2 2 3" xfId="4200"/>
    <cellStyle name="Comma 6 5 2 2 3 2" xfId="12130"/>
    <cellStyle name="Comma 6 5 2 2 4" xfId="11265"/>
    <cellStyle name="Comma 6 5 2 2 5" xfId="12133"/>
    <cellStyle name="Comma 6 5 2 2 6" xfId="6865"/>
    <cellStyle name="Comma 6 5 2 3" xfId="4201"/>
    <cellStyle name="Comma 6 5 2 3 2" xfId="4202"/>
    <cellStyle name="Comma 6 5 2 3 2 2" xfId="12128"/>
    <cellStyle name="Comma 6 5 2 3 3" xfId="11267"/>
    <cellStyle name="Comma 6 5 2 3 4" xfId="12129"/>
    <cellStyle name="Comma 6 5 2 3 5" xfId="6867"/>
    <cellStyle name="Comma 6 5 2 4" xfId="4203"/>
    <cellStyle name="Comma 6 5 2 4 2" xfId="4204"/>
    <cellStyle name="Comma 6 5 2 4 2 2" xfId="12126"/>
    <cellStyle name="Comma 6 5 2 4 3" xfId="11268"/>
    <cellStyle name="Comma 6 5 2 4 4" xfId="12127"/>
    <cellStyle name="Comma 6 5 2 4 5" xfId="6868"/>
    <cellStyle name="Comma 6 5 2 5" xfId="4205"/>
    <cellStyle name="Comma 6 5 2 5 2" xfId="12125"/>
    <cellStyle name="Comma 6 5 2 6" xfId="11264"/>
    <cellStyle name="Comma 6 5 2 7" xfId="12134"/>
    <cellStyle name="Comma 6 5 2 8" xfId="6864"/>
    <cellStyle name="Comma 6 5 3" xfId="4206"/>
    <cellStyle name="Comma 6 5 3 2" xfId="4207"/>
    <cellStyle name="Comma 6 5 3 2 2" xfId="4208"/>
    <cellStyle name="Comma 6 5 3 2 2 2" xfId="4209"/>
    <cellStyle name="Comma 6 5 3 2 2 2 2" xfId="12121"/>
    <cellStyle name="Comma 6 5 3 2 2 3" xfId="11271"/>
    <cellStyle name="Comma 6 5 3 2 2 4" xfId="12122"/>
    <cellStyle name="Comma 6 5 3 2 2 5" xfId="6871"/>
    <cellStyle name="Comma 6 5 3 2 3" xfId="4210"/>
    <cellStyle name="Comma 6 5 3 2 3 2" xfId="12120"/>
    <cellStyle name="Comma 6 5 3 2 4" xfId="11270"/>
    <cellStyle name="Comma 6 5 3 2 5" xfId="12123"/>
    <cellStyle name="Comma 6 5 3 2 6" xfId="6870"/>
    <cellStyle name="Comma 6 5 3 3" xfId="4211"/>
    <cellStyle name="Comma 6 5 3 3 2" xfId="4212"/>
    <cellStyle name="Comma 6 5 3 3 2 2" xfId="12118"/>
    <cellStyle name="Comma 6 5 3 3 3" xfId="11272"/>
    <cellStyle name="Comma 6 5 3 3 4" xfId="12119"/>
    <cellStyle name="Comma 6 5 3 3 5" xfId="6872"/>
    <cellStyle name="Comma 6 5 3 4" xfId="4213"/>
    <cellStyle name="Comma 6 5 3 4 2" xfId="4214"/>
    <cellStyle name="Comma 6 5 3 4 2 2" xfId="12116"/>
    <cellStyle name="Comma 6 5 3 4 3" xfId="11273"/>
    <cellStyle name="Comma 6 5 3 4 4" xfId="12117"/>
    <cellStyle name="Comma 6 5 3 4 5" xfId="6873"/>
    <cellStyle name="Comma 6 5 3 5" xfId="4215"/>
    <cellStyle name="Comma 6 5 3 5 2" xfId="12115"/>
    <cellStyle name="Comma 6 5 3 6" xfId="11269"/>
    <cellStyle name="Comma 6 5 3 7" xfId="12124"/>
    <cellStyle name="Comma 6 5 3 8" xfId="6869"/>
    <cellStyle name="Comma 6 5 4" xfId="4216"/>
    <cellStyle name="Comma 6 5 4 2" xfId="4217"/>
    <cellStyle name="Comma 6 5 4 2 2" xfId="4218"/>
    <cellStyle name="Comma 6 5 4 2 2 2" xfId="4219"/>
    <cellStyle name="Comma 6 5 4 2 2 2 2" xfId="12111"/>
    <cellStyle name="Comma 6 5 4 2 2 3" xfId="11276"/>
    <cellStyle name="Comma 6 5 4 2 2 4" xfId="12112"/>
    <cellStyle name="Comma 6 5 4 2 2 5" xfId="6876"/>
    <cellStyle name="Comma 6 5 4 2 3" xfId="4220"/>
    <cellStyle name="Comma 6 5 4 2 3 2" xfId="12110"/>
    <cellStyle name="Comma 6 5 4 2 4" xfId="11275"/>
    <cellStyle name="Comma 6 5 4 2 5" xfId="12113"/>
    <cellStyle name="Comma 6 5 4 2 6" xfId="6875"/>
    <cellStyle name="Comma 6 5 4 3" xfId="4221"/>
    <cellStyle name="Comma 6 5 4 3 2" xfId="4222"/>
    <cellStyle name="Comma 6 5 4 3 2 2" xfId="12108"/>
    <cellStyle name="Comma 6 5 4 3 3" xfId="11277"/>
    <cellStyle name="Comma 6 5 4 3 4" xfId="12109"/>
    <cellStyle name="Comma 6 5 4 3 5" xfId="6877"/>
    <cellStyle name="Comma 6 5 4 4" xfId="4223"/>
    <cellStyle name="Comma 6 5 4 4 2" xfId="4224"/>
    <cellStyle name="Comma 6 5 4 4 2 2" xfId="12106"/>
    <cellStyle name="Comma 6 5 4 4 3" xfId="11278"/>
    <cellStyle name="Comma 6 5 4 4 4" xfId="12107"/>
    <cellStyle name="Comma 6 5 4 4 5" xfId="6878"/>
    <cellStyle name="Comma 6 5 4 5" xfId="4225"/>
    <cellStyle name="Comma 6 5 4 5 2" xfId="12105"/>
    <cellStyle name="Comma 6 5 4 6" xfId="11274"/>
    <cellStyle name="Comma 6 5 4 7" xfId="12114"/>
    <cellStyle name="Comma 6 5 4 8" xfId="6874"/>
    <cellStyle name="Comma 6 5 5" xfId="4226"/>
    <cellStyle name="Comma 6 5 5 2" xfId="4227"/>
    <cellStyle name="Comma 6 5 5 2 2" xfId="4228"/>
    <cellStyle name="Comma 6 5 5 2 2 2" xfId="4229"/>
    <cellStyle name="Comma 6 5 5 2 2 2 2" xfId="12101"/>
    <cellStyle name="Comma 6 5 5 2 2 3" xfId="11281"/>
    <cellStyle name="Comma 6 5 5 2 2 4" xfId="12102"/>
    <cellStyle name="Comma 6 5 5 2 2 5" xfId="6881"/>
    <cellStyle name="Comma 6 5 5 2 3" xfId="4230"/>
    <cellStyle name="Comma 6 5 5 2 3 2" xfId="12100"/>
    <cellStyle name="Comma 6 5 5 2 4" xfId="11280"/>
    <cellStyle name="Comma 6 5 5 2 5" xfId="12103"/>
    <cellStyle name="Comma 6 5 5 2 6" xfId="6880"/>
    <cellStyle name="Comma 6 5 5 3" xfId="4231"/>
    <cellStyle name="Comma 6 5 5 3 2" xfId="4232"/>
    <cellStyle name="Comma 6 5 5 3 2 2" xfId="12098"/>
    <cellStyle name="Comma 6 5 5 3 3" xfId="11282"/>
    <cellStyle name="Comma 6 5 5 3 4" xfId="12099"/>
    <cellStyle name="Comma 6 5 5 3 5" xfId="6882"/>
    <cellStyle name="Comma 6 5 5 4" xfId="4233"/>
    <cellStyle name="Comma 6 5 5 4 2" xfId="4234"/>
    <cellStyle name="Comma 6 5 5 4 2 2" xfId="12096"/>
    <cellStyle name="Comma 6 5 5 4 3" xfId="11283"/>
    <cellStyle name="Comma 6 5 5 4 4" xfId="12097"/>
    <cellStyle name="Comma 6 5 5 4 5" xfId="6883"/>
    <cellStyle name="Comma 6 5 5 5" xfId="4235"/>
    <cellStyle name="Comma 6 5 5 5 2" xfId="12095"/>
    <cellStyle name="Comma 6 5 5 6" xfId="11279"/>
    <cellStyle name="Comma 6 5 5 7" xfId="12104"/>
    <cellStyle name="Comma 6 5 5 8" xfId="6879"/>
    <cellStyle name="Comma 6 5 6" xfId="4236"/>
    <cellStyle name="Comma 6 5 6 2" xfId="4237"/>
    <cellStyle name="Comma 6 5 6 2 2" xfId="4238"/>
    <cellStyle name="Comma 6 5 6 2 2 2" xfId="12092"/>
    <cellStyle name="Comma 6 5 6 2 3" xfId="11285"/>
    <cellStyle name="Comma 6 5 6 2 4" xfId="12093"/>
    <cellStyle name="Comma 6 5 6 2 5" xfId="6885"/>
    <cellStyle name="Comma 6 5 6 3" xfId="4239"/>
    <cellStyle name="Comma 6 5 6 3 2" xfId="4240"/>
    <cellStyle name="Comma 6 5 6 3 2 2" xfId="12090"/>
    <cellStyle name="Comma 6 5 6 3 3" xfId="11286"/>
    <cellStyle name="Comma 6 5 6 3 4" xfId="12091"/>
    <cellStyle name="Comma 6 5 6 3 5" xfId="6886"/>
    <cellStyle name="Comma 6 5 6 4" xfId="4241"/>
    <cellStyle name="Comma 6 5 6 4 2" xfId="12089"/>
    <cellStyle name="Comma 6 5 6 5" xfId="11284"/>
    <cellStyle name="Comma 6 5 6 6" xfId="12094"/>
    <cellStyle name="Comma 6 5 6 7" xfId="6884"/>
    <cellStyle name="Comma 6 5 7" xfId="4242"/>
    <cellStyle name="Comma 6 5 7 2" xfId="4243"/>
    <cellStyle name="Comma 6 5 7 2 2" xfId="4244"/>
    <cellStyle name="Comma 6 5 7 2 2 2" xfId="12086"/>
    <cellStyle name="Comma 6 5 7 2 3" xfId="11288"/>
    <cellStyle name="Comma 6 5 7 2 4" xfId="12087"/>
    <cellStyle name="Comma 6 5 7 2 5" xfId="6888"/>
    <cellStyle name="Comma 6 5 7 3" xfId="4245"/>
    <cellStyle name="Comma 6 5 7 3 2" xfId="12085"/>
    <cellStyle name="Comma 6 5 7 4" xfId="11287"/>
    <cellStyle name="Comma 6 5 7 5" xfId="12088"/>
    <cellStyle name="Comma 6 5 7 6" xfId="6887"/>
    <cellStyle name="Comma 6 5 8" xfId="4246"/>
    <cellStyle name="Comma 6 5 8 2" xfId="4247"/>
    <cellStyle name="Comma 6 5 8 2 2" xfId="12083"/>
    <cellStyle name="Comma 6 5 8 3" xfId="11289"/>
    <cellStyle name="Comma 6 5 8 4" xfId="12084"/>
    <cellStyle name="Comma 6 5 8 5" xfId="6889"/>
    <cellStyle name="Comma 6 5 9" xfId="4248"/>
    <cellStyle name="Comma 6 5 9 2" xfId="4249"/>
    <cellStyle name="Comma 6 5 9 2 2" xfId="12081"/>
    <cellStyle name="Comma 6 5 9 3" xfId="11290"/>
    <cellStyle name="Comma 6 5 9 4" xfId="12082"/>
    <cellStyle name="Comma 6 5 9 5" xfId="6890"/>
    <cellStyle name="Comma 6 6" xfId="4250"/>
    <cellStyle name="Comma 6 6 2" xfId="4251"/>
    <cellStyle name="Comma 6 6 2 2" xfId="4252"/>
    <cellStyle name="Comma 6 6 2 2 2" xfId="4253"/>
    <cellStyle name="Comma 6 6 2 2 2 2" xfId="12077"/>
    <cellStyle name="Comma 6 6 2 2 3" xfId="11293"/>
    <cellStyle name="Comma 6 6 2 2 4" xfId="12078"/>
    <cellStyle name="Comma 6 6 2 2 5" xfId="6893"/>
    <cellStyle name="Comma 6 6 2 3" xfId="4254"/>
    <cellStyle name="Comma 6 6 2 3 2" xfId="12076"/>
    <cellStyle name="Comma 6 6 2 4" xfId="11292"/>
    <cellStyle name="Comma 6 6 2 5" xfId="12079"/>
    <cellStyle name="Comma 6 6 2 6" xfId="6892"/>
    <cellStyle name="Comma 6 6 3" xfId="4255"/>
    <cellStyle name="Comma 6 6 3 2" xfId="4256"/>
    <cellStyle name="Comma 6 6 3 2 2" xfId="12074"/>
    <cellStyle name="Comma 6 6 3 3" xfId="11294"/>
    <cellStyle name="Comma 6 6 3 4" xfId="12075"/>
    <cellStyle name="Comma 6 6 3 5" xfId="6894"/>
    <cellStyle name="Comma 6 6 4" xfId="4257"/>
    <cellStyle name="Comma 6 6 4 2" xfId="4258"/>
    <cellStyle name="Comma 6 6 4 2 2" xfId="12072"/>
    <cellStyle name="Comma 6 6 4 3" xfId="11295"/>
    <cellStyle name="Comma 6 6 4 4" xfId="12073"/>
    <cellStyle name="Comma 6 6 4 5" xfId="6895"/>
    <cellStyle name="Comma 6 6 5" xfId="4259"/>
    <cellStyle name="Comma 6 6 5 2" xfId="12071"/>
    <cellStyle name="Comma 6 6 6" xfId="11291"/>
    <cellStyle name="Comma 6 6 7" xfId="12080"/>
    <cellStyle name="Comma 6 6 8" xfId="6891"/>
    <cellStyle name="Comma 6 7" xfId="4260"/>
    <cellStyle name="Comma 6 7 2" xfId="4261"/>
    <cellStyle name="Comma 6 7 2 2" xfId="4262"/>
    <cellStyle name="Comma 6 7 2 2 2" xfId="4263"/>
    <cellStyle name="Comma 6 7 2 2 2 2" xfId="12067"/>
    <cellStyle name="Comma 6 7 2 2 3" xfId="11298"/>
    <cellStyle name="Comma 6 7 2 2 4" xfId="12068"/>
    <cellStyle name="Comma 6 7 2 2 5" xfId="6898"/>
    <cellStyle name="Comma 6 7 2 3" xfId="4264"/>
    <cellStyle name="Comma 6 7 2 3 2" xfId="12066"/>
    <cellStyle name="Comma 6 7 2 4" xfId="11297"/>
    <cellStyle name="Comma 6 7 2 5" xfId="12069"/>
    <cellStyle name="Comma 6 7 2 6" xfId="6897"/>
    <cellStyle name="Comma 6 7 3" xfId="4265"/>
    <cellStyle name="Comma 6 7 3 2" xfId="4266"/>
    <cellStyle name="Comma 6 7 3 2 2" xfId="12064"/>
    <cellStyle name="Comma 6 7 3 3" xfId="11299"/>
    <cellStyle name="Comma 6 7 3 4" xfId="12065"/>
    <cellStyle name="Comma 6 7 3 5" xfId="6899"/>
    <cellStyle name="Comma 6 7 4" xfId="4267"/>
    <cellStyle name="Comma 6 7 4 2" xfId="4268"/>
    <cellStyle name="Comma 6 7 4 2 2" xfId="12062"/>
    <cellStyle name="Comma 6 7 4 3" xfId="11300"/>
    <cellStyle name="Comma 6 7 4 4" xfId="12063"/>
    <cellStyle name="Comma 6 7 4 5" xfId="6900"/>
    <cellStyle name="Comma 6 7 5" xfId="4269"/>
    <cellStyle name="Comma 6 7 5 2" xfId="12061"/>
    <cellStyle name="Comma 6 7 6" xfId="11296"/>
    <cellStyle name="Comma 6 7 7" xfId="12070"/>
    <cellStyle name="Comma 6 7 8" xfId="6896"/>
    <cellStyle name="Comma 6 8" xfId="4270"/>
    <cellStyle name="Comma 6 8 2" xfId="4271"/>
    <cellStyle name="Comma 6 8 2 2" xfId="4272"/>
    <cellStyle name="Comma 6 8 2 2 2" xfId="4273"/>
    <cellStyle name="Comma 6 8 2 2 2 2" xfId="12057"/>
    <cellStyle name="Comma 6 8 2 2 3" xfId="11303"/>
    <cellStyle name="Comma 6 8 2 2 4" xfId="12058"/>
    <cellStyle name="Comma 6 8 2 2 5" xfId="6903"/>
    <cellStyle name="Comma 6 8 2 3" xfId="4274"/>
    <cellStyle name="Comma 6 8 2 3 2" xfId="12056"/>
    <cellStyle name="Comma 6 8 2 4" xfId="11302"/>
    <cellStyle name="Comma 6 8 2 5" xfId="12059"/>
    <cellStyle name="Comma 6 8 2 6" xfId="6902"/>
    <cellStyle name="Comma 6 8 3" xfId="4275"/>
    <cellStyle name="Comma 6 8 3 2" xfId="4276"/>
    <cellStyle name="Comma 6 8 3 2 2" xfId="12054"/>
    <cellStyle name="Comma 6 8 3 3" xfId="11304"/>
    <cellStyle name="Comma 6 8 3 4" xfId="12055"/>
    <cellStyle name="Comma 6 8 3 5" xfId="6904"/>
    <cellStyle name="Comma 6 8 4" xfId="4277"/>
    <cellStyle name="Comma 6 8 4 2" xfId="4278"/>
    <cellStyle name="Comma 6 8 4 2 2" xfId="12052"/>
    <cellStyle name="Comma 6 8 4 3" xfId="11305"/>
    <cellStyle name="Comma 6 8 4 4" xfId="12053"/>
    <cellStyle name="Comma 6 8 4 5" xfId="6905"/>
    <cellStyle name="Comma 6 8 5" xfId="4279"/>
    <cellStyle name="Comma 6 8 5 2" xfId="12051"/>
    <cellStyle name="Comma 6 8 6" xfId="11301"/>
    <cellStyle name="Comma 6 8 7" xfId="12060"/>
    <cellStyle name="Comma 6 8 8" xfId="6901"/>
    <cellStyle name="Comma 6 9" xfId="4280"/>
    <cellStyle name="Comma 6 9 2" xfId="4281"/>
    <cellStyle name="Comma 6 9 2 2" xfId="4282"/>
    <cellStyle name="Comma 6 9 2 2 2" xfId="4283"/>
    <cellStyle name="Comma 6 9 2 2 2 2" xfId="12047"/>
    <cellStyle name="Comma 6 9 2 2 3" xfId="11308"/>
    <cellStyle name="Comma 6 9 2 2 4" xfId="12048"/>
    <cellStyle name="Comma 6 9 2 2 5" xfId="6908"/>
    <cellStyle name="Comma 6 9 2 3" xfId="4284"/>
    <cellStyle name="Comma 6 9 2 3 2" xfId="12046"/>
    <cellStyle name="Comma 6 9 2 4" xfId="11307"/>
    <cellStyle name="Comma 6 9 2 5" xfId="12049"/>
    <cellStyle name="Comma 6 9 2 6" xfId="6907"/>
    <cellStyle name="Comma 6 9 3" xfId="4285"/>
    <cellStyle name="Comma 6 9 3 2" xfId="4286"/>
    <cellStyle name="Comma 6 9 3 2 2" xfId="12044"/>
    <cellStyle name="Comma 6 9 3 3" xfId="11309"/>
    <cellStyle name="Comma 6 9 3 4" xfId="12045"/>
    <cellStyle name="Comma 6 9 3 5" xfId="6909"/>
    <cellStyle name="Comma 6 9 4" xfId="4287"/>
    <cellStyle name="Comma 6 9 4 2" xfId="4288"/>
    <cellStyle name="Comma 6 9 4 2 2" xfId="12042"/>
    <cellStyle name="Comma 6 9 4 3" xfId="11310"/>
    <cellStyle name="Comma 6 9 4 4" xfId="12043"/>
    <cellStyle name="Comma 6 9 4 5" xfId="6910"/>
    <cellStyle name="Comma 6 9 5" xfId="4289"/>
    <cellStyle name="Comma 6 9 5 2" xfId="12041"/>
    <cellStyle name="Comma 6 9 6" xfId="11306"/>
    <cellStyle name="Comma 6 9 7" xfId="12050"/>
    <cellStyle name="Comma 6 9 8" xfId="6906"/>
    <cellStyle name="Comma 7" xfId="4290"/>
    <cellStyle name="Comma 7 10" xfId="4291"/>
    <cellStyle name="Comma 7 10 2" xfId="4292"/>
    <cellStyle name="Comma 7 10 2 2" xfId="4293"/>
    <cellStyle name="Comma 7 10 2 2 2" xfId="12037"/>
    <cellStyle name="Comma 7 10 2 3" xfId="11313"/>
    <cellStyle name="Comma 7 10 2 4" xfId="12038"/>
    <cellStyle name="Comma 7 10 2 5" xfId="6913"/>
    <cellStyle name="Comma 7 10 3" xfId="4294"/>
    <cellStyle name="Comma 7 10 3 2" xfId="4295"/>
    <cellStyle name="Comma 7 10 3 2 2" xfId="12035"/>
    <cellStyle name="Comma 7 10 3 3" xfId="11314"/>
    <cellStyle name="Comma 7 10 3 4" xfId="12036"/>
    <cellStyle name="Comma 7 10 3 5" xfId="6914"/>
    <cellStyle name="Comma 7 10 4" xfId="4296"/>
    <cellStyle name="Comma 7 10 4 2" xfId="12034"/>
    <cellStyle name="Comma 7 10 5" xfId="11312"/>
    <cellStyle name="Comma 7 10 6" xfId="12039"/>
    <cellStyle name="Comma 7 10 7" xfId="6912"/>
    <cellStyle name="Comma 7 11" xfId="4297"/>
    <cellStyle name="Comma 7 11 2" xfId="4298"/>
    <cellStyle name="Comma 7 11 2 2" xfId="4299"/>
    <cellStyle name="Comma 7 11 2 2 2" xfId="12031"/>
    <cellStyle name="Comma 7 11 2 3" xfId="11316"/>
    <cellStyle name="Comma 7 11 2 4" xfId="12032"/>
    <cellStyle name="Comma 7 11 2 5" xfId="6916"/>
    <cellStyle name="Comma 7 11 3" xfId="4300"/>
    <cellStyle name="Comma 7 11 3 2" xfId="12030"/>
    <cellStyle name="Comma 7 11 4" xfId="11315"/>
    <cellStyle name="Comma 7 11 5" xfId="12033"/>
    <cellStyle name="Comma 7 11 6" xfId="6915"/>
    <cellStyle name="Comma 7 12" xfId="4301"/>
    <cellStyle name="Comma 7 12 2" xfId="4302"/>
    <cellStyle name="Comma 7 12 2 2" xfId="12028"/>
    <cellStyle name="Comma 7 12 3" xfId="11317"/>
    <cellStyle name="Comma 7 12 4" xfId="12029"/>
    <cellStyle name="Comma 7 12 5" xfId="6917"/>
    <cellStyle name="Comma 7 13" xfId="4303"/>
    <cellStyle name="Comma 7 13 2" xfId="4304"/>
    <cellStyle name="Comma 7 13 2 2" xfId="12026"/>
    <cellStyle name="Comma 7 13 3" xfId="11318"/>
    <cellStyle name="Comma 7 13 4" xfId="12027"/>
    <cellStyle name="Comma 7 13 5" xfId="6918"/>
    <cellStyle name="Comma 7 14" xfId="4305"/>
    <cellStyle name="Comma 7 14 2" xfId="12025"/>
    <cellStyle name="Comma 7 15" xfId="11311"/>
    <cellStyle name="Comma 7 16" xfId="12040"/>
    <cellStyle name="Comma 7 17" xfId="6911"/>
    <cellStyle name="Comma 7 2" xfId="4306"/>
    <cellStyle name="Comma 7 2 10" xfId="4307"/>
    <cellStyle name="Comma 7 2 10 2" xfId="4308"/>
    <cellStyle name="Comma 7 2 10 2 2" xfId="12022"/>
    <cellStyle name="Comma 7 2 10 3" xfId="11320"/>
    <cellStyle name="Comma 7 2 10 4" xfId="12023"/>
    <cellStyle name="Comma 7 2 10 5" xfId="6920"/>
    <cellStyle name="Comma 7 2 11" xfId="4309"/>
    <cellStyle name="Comma 7 2 11 2" xfId="12021"/>
    <cellStyle name="Comma 7 2 12" xfId="11319"/>
    <cellStyle name="Comma 7 2 13" xfId="12024"/>
    <cellStyle name="Comma 7 2 14" xfId="6919"/>
    <cellStyle name="Comma 7 2 2" xfId="4310"/>
    <cellStyle name="Comma 7 2 2 10" xfId="4311"/>
    <cellStyle name="Comma 7 2 2 10 2" xfId="12019"/>
    <cellStyle name="Comma 7 2 2 11" xfId="11321"/>
    <cellStyle name="Comma 7 2 2 12" xfId="12020"/>
    <cellStyle name="Comma 7 2 2 13" xfId="6921"/>
    <cellStyle name="Comma 7 2 2 2" xfId="4312"/>
    <cellStyle name="Comma 7 2 2 2 2" xfId="4313"/>
    <cellStyle name="Comma 7 2 2 2 2 2" xfId="4314"/>
    <cellStyle name="Comma 7 2 2 2 2 2 2" xfId="4315"/>
    <cellStyle name="Comma 7 2 2 2 2 2 2 2" xfId="12015"/>
    <cellStyle name="Comma 7 2 2 2 2 2 3" xfId="11324"/>
    <cellStyle name="Comma 7 2 2 2 2 2 4" xfId="12016"/>
    <cellStyle name="Comma 7 2 2 2 2 2 5" xfId="6924"/>
    <cellStyle name="Comma 7 2 2 2 2 3" xfId="4316"/>
    <cellStyle name="Comma 7 2 2 2 2 3 2" xfId="12014"/>
    <cellStyle name="Comma 7 2 2 2 2 4" xfId="11323"/>
    <cellStyle name="Comma 7 2 2 2 2 5" xfId="12017"/>
    <cellStyle name="Comma 7 2 2 2 2 6" xfId="6923"/>
    <cellStyle name="Comma 7 2 2 2 3" xfId="4317"/>
    <cellStyle name="Comma 7 2 2 2 3 2" xfId="4318"/>
    <cellStyle name="Comma 7 2 2 2 3 2 2" xfId="12012"/>
    <cellStyle name="Comma 7 2 2 2 3 3" xfId="11325"/>
    <cellStyle name="Comma 7 2 2 2 3 4" xfId="12013"/>
    <cellStyle name="Comma 7 2 2 2 3 5" xfId="6925"/>
    <cellStyle name="Comma 7 2 2 2 4" xfId="4319"/>
    <cellStyle name="Comma 7 2 2 2 4 2" xfId="4320"/>
    <cellStyle name="Comma 7 2 2 2 4 2 2" xfId="12010"/>
    <cellStyle name="Comma 7 2 2 2 4 3" xfId="11326"/>
    <cellStyle name="Comma 7 2 2 2 4 4" xfId="12011"/>
    <cellStyle name="Comma 7 2 2 2 4 5" xfId="6926"/>
    <cellStyle name="Comma 7 2 2 2 5" xfId="4321"/>
    <cellStyle name="Comma 7 2 2 2 5 2" xfId="12009"/>
    <cellStyle name="Comma 7 2 2 2 6" xfId="11322"/>
    <cellStyle name="Comma 7 2 2 2 7" xfId="12018"/>
    <cellStyle name="Comma 7 2 2 2 8" xfId="6922"/>
    <cellStyle name="Comma 7 2 2 3" xfId="4322"/>
    <cellStyle name="Comma 7 2 2 3 2" xfId="4323"/>
    <cellStyle name="Comma 7 2 2 3 2 2" xfId="4324"/>
    <cellStyle name="Comma 7 2 2 3 2 2 2" xfId="4325"/>
    <cellStyle name="Comma 7 2 2 3 2 2 2 2" xfId="12005"/>
    <cellStyle name="Comma 7 2 2 3 2 2 3" xfId="11329"/>
    <cellStyle name="Comma 7 2 2 3 2 2 4" xfId="12006"/>
    <cellStyle name="Comma 7 2 2 3 2 2 5" xfId="6929"/>
    <cellStyle name="Comma 7 2 2 3 2 3" xfId="4326"/>
    <cellStyle name="Comma 7 2 2 3 2 3 2" xfId="12004"/>
    <cellStyle name="Comma 7 2 2 3 2 4" xfId="11328"/>
    <cellStyle name="Comma 7 2 2 3 2 5" xfId="12007"/>
    <cellStyle name="Comma 7 2 2 3 2 6" xfId="6928"/>
    <cellStyle name="Comma 7 2 2 3 3" xfId="4327"/>
    <cellStyle name="Comma 7 2 2 3 3 2" xfId="4328"/>
    <cellStyle name="Comma 7 2 2 3 3 2 2" xfId="12002"/>
    <cellStyle name="Comma 7 2 2 3 3 3" xfId="11330"/>
    <cellStyle name="Comma 7 2 2 3 3 4" xfId="12003"/>
    <cellStyle name="Comma 7 2 2 3 3 5" xfId="6930"/>
    <cellStyle name="Comma 7 2 2 3 4" xfId="4329"/>
    <cellStyle name="Comma 7 2 2 3 4 2" xfId="4330"/>
    <cellStyle name="Comma 7 2 2 3 4 2 2" xfId="12000"/>
    <cellStyle name="Comma 7 2 2 3 4 3" xfId="11331"/>
    <cellStyle name="Comma 7 2 2 3 4 4" xfId="12001"/>
    <cellStyle name="Comma 7 2 2 3 4 5" xfId="6931"/>
    <cellStyle name="Comma 7 2 2 3 5" xfId="4331"/>
    <cellStyle name="Comma 7 2 2 3 5 2" xfId="11999"/>
    <cellStyle name="Comma 7 2 2 3 6" xfId="11327"/>
    <cellStyle name="Comma 7 2 2 3 7" xfId="12008"/>
    <cellStyle name="Comma 7 2 2 3 8" xfId="6927"/>
    <cellStyle name="Comma 7 2 2 4" xfId="4332"/>
    <cellStyle name="Comma 7 2 2 4 2" xfId="4333"/>
    <cellStyle name="Comma 7 2 2 4 2 2" xfId="4334"/>
    <cellStyle name="Comma 7 2 2 4 2 2 2" xfId="4335"/>
    <cellStyle name="Comma 7 2 2 4 2 2 2 2" xfId="11995"/>
    <cellStyle name="Comma 7 2 2 4 2 2 3" xfId="11334"/>
    <cellStyle name="Comma 7 2 2 4 2 2 4" xfId="11996"/>
    <cellStyle name="Comma 7 2 2 4 2 2 5" xfId="6934"/>
    <cellStyle name="Comma 7 2 2 4 2 3" xfId="4336"/>
    <cellStyle name="Comma 7 2 2 4 2 3 2" xfId="11994"/>
    <cellStyle name="Comma 7 2 2 4 2 4" xfId="11333"/>
    <cellStyle name="Comma 7 2 2 4 2 5" xfId="11997"/>
    <cellStyle name="Comma 7 2 2 4 2 6" xfId="6933"/>
    <cellStyle name="Comma 7 2 2 4 3" xfId="4337"/>
    <cellStyle name="Comma 7 2 2 4 3 2" xfId="4338"/>
    <cellStyle name="Comma 7 2 2 4 3 2 2" xfId="11992"/>
    <cellStyle name="Comma 7 2 2 4 3 3" xfId="11335"/>
    <cellStyle name="Comma 7 2 2 4 3 4" xfId="11993"/>
    <cellStyle name="Comma 7 2 2 4 3 5" xfId="6935"/>
    <cellStyle name="Comma 7 2 2 4 4" xfId="4339"/>
    <cellStyle name="Comma 7 2 2 4 4 2" xfId="4340"/>
    <cellStyle name="Comma 7 2 2 4 4 2 2" xfId="11990"/>
    <cellStyle name="Comma 7 2 2 4 4 3" xfId="11336"/>
    <cellStyle name="Comma 7 2 2 4 4 4" xfId="11991"/>
    <cellStyle name="Comma 7 2 2 4 4 5" xfId="6936"/>
    <cellStyle name="Comma 7 2 2 4 5" xfId="4341"/>
    <cellStyle name="Comma 7 2 2 4 5 2" xfId="11989"/>
    <cellStyle name="Comma 7 2 2 4 6" xfId="11332"/>
    <cellStyle name="Comma 7 2 2 4 7" xfId="11998"/>
    <cellStyle name="Comma 7 2 2 4 8" xfId="6932"/>
    <cellStyle name="Comma 7 2 2 5" xfId="4342"/>
    <cellStyle name="Comma 7 2 2 5 2" xfId="4343"/>
    <cellStyle name="Comma 7 2 2 5 2 2" xfId="4344"/>
    <cellStyle name="Comma 7 2 2 5 2 2 2" xfId="4345"/>
    <cellStyle name="Comma 7 2 2 5 2 2 2 2" xfId="11985"/>
    <cellStyle name="Comma 7 2 2 5 2 2 3" xfId="11339"/>
    <cellStyle name="Comma 7 2 2 5 2 2 4" xfId="11986"/>
    <cellStyle name="Comma 7 2 2 5 2 2 5" xfId="6939"/>
    <cellStyle name="Comma 7 2 2 5 2 3" xfId="4346"/>
    <cellStyle name="Comma 7 2 2 5 2 3 2" xfId="11984"/>
    <cellStyle name="Comma 7 2 2 5 2 4" xfId="11338"/>
    <cellStyle name="Comma 7 2 2 5 2 5" xfId="11987"/>
    <cellStyle name="Comma 7 2 2 5 2 6" xfId="6938"/>
    <cellStyle name="Comma 7 2 2 5 3" xfId="4347"/>
    <cellStyle name="Comma 7 2 2 5 3 2" xfId="4348"/>
    <cellStyle name="Comma 7 2 2 5 3 2 2" xfId="11982"/>
    <cellStyle name="Comma 7 2 2 5 3 3" xfId="11340"/>
    <cellStyle name="Comma 7 2 2 5 3 4" xfId="11983"/>
    <cellStyle name="Comma 7 2 2 5 3 5" xfId="6940"/>
    <cellStyle name="Comma 7 2 2 5 4" xfId="4349"/>
    <cellStyle name="Comma 7 2 2 5 4 2" xfId="4350"/>
    <cellStyle name="Comma 7 2 2 5 4 2 2" xfId="11980"/>
    <cellStyle name="Comma 7 2 2 5 4 3" xfId="11341"/>
    <cellStyle name="Comma 7 2 2 5 4 4" xfId="11981"/>
    <cellStyle name="Comma 7 2 2 5 4 5" xfId="6941"/>
    <cellStyle name="Comma 7 2 2 5 5" xfId="4351"/>
    <cellStyle name="Comma 7 2 2 5 5 2" xfId="11979"/>
    <cellStyle name="Comma 7 2 2 5 6" xfId="11337"/>
    <cellStyle name="Comma 7 2 2 5 7" xfId="11988"/>
    <cellStyle name="Comma 7 2 2 5 8" xfId="6937"/>
    <cellStyle name="Comma 7 2 2 6" xfId="4352"/>
    <cellStyle name="Comma 7 2 2 6 2" xfId="4353"/>
    <cellStyle name="Comma 7 2 2 6 2 2" xfId="4354"/>
    <cellStyle name="Comma 7 2 2 6 2 2 2" xfId="11976"/>
    <cellStyle name="Comma 7 2 2 6 2 3" xfId="11343"/>
    <cellStyle name="Comma 7 2 2 6 2 4" xfId="11977"/>
    <cellStyle name="Comma 7 2 2 6 2 5" xfId="6943"/>
    <cellStyle name="Comma 7 2 2 6 3" xfId="4355"/>
    <cellStyle name="Comma 7 2 2 6 3 2" xfId="4356"/>
    <cellStyle name="Comma 7 2 2 6 3 2 2" xfId="11974"/>
    <cellStyle name="Comma 7 2 2 6 3 3" xfId="11344"/>
    <cellStyle name="Comma 7 2 2 6 3 4" xfId="11975"/>
    <cellStyle name="Comma 7 2 2 6 3 5" xfId="6944"/>
    <cellStyle name="Comma 7 2 2 6 4" xfId="4357"/>
    <cellStyle name="Comma 7 2 2 6 4 2" xfId="11973"/>
    <cellStyle name="Comma 7 2 2 6 5" xfId="11342"/>
    <cellStyle name="Comma 7 2 2 6 6" xfId="11978"/>
    <cellStyle name="Comma 7 2 2 6 7" xfId="6942"/>
    <cellStyle name="Comma 7 2 2 7" xfId="4358"/>
    <cellStyle name="Comma 7 2 2 7 2" xfId="4359"/>
    <cellStyle name="Comma 7 2 2 7 2 2" xfId="4360"/>
    <cellStyle name="Comma 7 2 2 7 2 2 2" xfId="11970"/>
    <cellStyle name="Comma 7 2 2 7 2 3" xfId="11346"/>
    <cellStyle name="Comma 7 2 2 7 2 4" xfId="11971"/>
    <cellStyle name="Comma 7 2 2 7 2 5" xfId="6946"/>
    <cellStyle name="Comma 7 2 2 7 3" xfId="4361"/>
    <cellStyle name="Comma 7 2 2 7 3 2" xfId="11969"/>
    <cellStyle name="Comma 7 2 2 7 4" xfId="11345"/>
    <cellStyle name="Comma 7 2 2 7 5" xfId="11972"/>
    <cellStyle name="Comma 7 2 2 7 6" xfId="6945"/>
    <cellStyle name="Comma 7 2 2 8" xfId="4362"/>
    <cellStyle name="Comma 7 2 2 8 2" xfId="4363"/>
    <cellStyle name="Comma 7 2 2 8 2 2" xfId="11967"/>
    <cellStyle name="Comma 7 2 2 8 3" xfId="11347"/>
    <cellStyle name="Comma 7 2 2 8 4" xfId="11968"/>
    <cellStyle name="Comma 7 2 2 8 5" xfId="6947"/>
    <cellStyle name="Comma 7 2 2 9" xfId="4364"/>
    <cellStyle name="Comma 7 2 2 9 2" xfId="4365"/>
    <cellStyle name="Comma 7 2 2 9 2 2" xfId="11965"/>
    <cellStyle name="Comma 7 2 2 9 3" xfId="11348"/>
    <cellStyle name="Comma 7 2 2 9 4" xfId="11966"/>
    <cellStyle name="Comma 7 2 2 9 5" xfId="6948"/>
    <cellStyle name="Comma 7 2 3" xfId="4366"/>
    <cellStyle name="Comma 7 2 3 2" xfId="4367"/>
    <cellStyle name="Comma 7 2 3 2 2" xfId="4368"/>
    <cellStyle name="Comma 7 2 3 2 2 2" xfId="4369"/>
    <cellStyle name="Comma 7 2 3 2 2 2 2" xfId="11961"/>
    <cellStyle name="Comma 7 2 3 2 2 3" xfId="11351"/>
    <cellStyle name="Comma 7 2 3 2 2 4" xfId="11962"/>
    <cellStyle name="Comma 7 2 3 2 2 5" xfId="6951"/>
    <cellStyle name="Comma 7 2 3 2 3" xfId="4370"/>
    <cellStyle name="Comma 7 2 3 2 3 2" xfId="11960"/>
    <cellStyle name="Comma 7 2 3 2 4" xfId="11350"/>
    <cellStyle name="Comma 7 2 3 2 5" xfId="11963"/>
    <cellStyle name="Comma 7 2 3 2 6" xfId="6950"/>
    <cellStyle name="Comma 7 2 3 3" xfId="4371"/>
    <cellStyle name="Comma 7 2 3 3 2" xfId="4372"/>
    <cellStyle name="Comma 7 2 3 3 2 2" xfId="11958"/>
    <cellStyle name="Comma 7 2 3 3 3" xfId="11352"/>
    <cellStyle name="Comma 7 2 3 3 4" xfId="11959"/>
    <cellStyle name="Comma 7 2 3 3 5" xfId="6952"/>
    <cellStyle name="Comma 7 2 3 4" xfId="4373"/>
    <cellStyle name="Comma 7 2 3 4 2" xfId="4374"/>
    <cellStyle name="Comma 7 2 3 4 2 2" xfId="11956"/>
    <cellStyle name="Comma 7 2 3 4 3" xfId="11353"/>
    <cellStyle name="Comma 7 2 3 4 4" xfId="11957"/>
    <cellStyle name="Comma 7 2 3 4 5" xfId="6953"/>
    <cellStyle name="Comma 7 2 3 5" xfId="4375"/>
    <cellStyle name="Comma 7 2 3 5 2" xfId="11955"/>
    <cellStyle name="Comma 7 2 3 6" xfId="11349"/>
    <cellStyle name="Comma 7 2 3 7" xfId="11964"/>
    <cellStyle name="Comma 7 2 3 8" xfId="6949"/>
    <cellStyle name="Comma 7 2 4" xfId="4376"/>
    <cellStyle name="Comma 7 2 4 2" xfId="4377"/>
    <cellStyle name="Comma 7 2 4 2 2" xfId="4378"/>
    <cellStyle name="Comma 7 2 4 2 2 2" xfId="4379"/>
    <cellStyle name="Comma 7 2 4 2 2 2 2" xfId="11951"/>
    <cellStyle name="Comma 7 2 4 2 2 3" xfId="11356"/>
    <cellStyle name="Comma 7 2 4 2 2 4" xfId="11952"/>
    <cellStyle name="Comma 7 2 4 2 2 5" xfId="6956"/>
    <cellStyle name="Comma 7 2 4 2 3" xfId="4380"/>
    <cellStyle name="Comma 7 2 4 2 3 2" xfId="11950"/>
    <cellStyle name="Comma 7 2 4 2 4" xfId="11355"/>
    <cellStyle name="Comma 7 2 4 2 5" xfId="11953"/>
    <cellStyle name="Comma 7 2 4 2 6" xfId="6955"/>
    <cellStyle name="Comma 7 2 4 3" xfId="4381"/>
    <cellStyle name="Comma 7 2 4 3 2" xfId="4382"/>
    <cellStyle name="Comma 7 2 4 3 2 2" xfId="11948"/>
    <cellStyle name="Comma 7 2 4 3 3" xfId="11357"/>
    <cellStyle name="Comma 7 2 4 3 4" xfId="11949"/>
    <cellStyle name="Comma 7 2 4 3 5" xfId="6957"/>
    <cellStyle name="Comma 7 2 4 4" xfId="4383"/>
    <cellStyle name="Comma 7 2 4 4 2" xfId="4384"/>
    <cellStyle name="Comma 7 2 4 4 2 2" xfId="11946"/>
    <cellStyle name="Comma 7 2 4 4 3" xfId="11358"/>
    <cellStyle name="Comma 7 2 4 4 4" xfId="11947"/>
    <cellStyle name="Comma 7 2 4 4 5" xfId="6958"/>
    <cellStyle name="Comma 7 2 4 5" xfId="4385"/>
    <cellStyle name="Comma 7 2 4 5 2" xfId="11945"/>
    <cellStyle name="Comma 7 2 4 6" xfId="11354"/>
    <cellStyle name="Comma 7 2 4 7" xfId="11954"/>
    <cellStyle name="Comma 7 2 4 8" xfId="6954"/>
    <cellStyle name="Comma 7 2 5" xfId="4386"/>
    <cellStyle name="Comma 7 2 5 2" xfId="4387"/>
    <cellStyle name="Comma 7 2 5 2 2" xfId="4388"/>
    <cellStyle name="Comma 7 2 5 2 2 2" xfId="4389"/>
    <cellStyle name="Comma 7 2 5 2 2 2 2" xfId="11941"/>
    <cellStyle name="Comma 7 2 5 2 2 3" xfId="11361"/>
    <cellStyle name="Comma 7 2 5 2 2 4" xfId="11942"/>
    <cellStyle name="Comma 7 2 5 2 2 5" xfId="6961"/>
    <cellStyle name="Comma 7 2 5 2 3" xfId="4390"/>
    <cellStyle name="Comma 7 2 5 2 3 2" xfId="11940"/>
    <cellStyle name="Comma 7 2 5 2 4" xfId="11360"/>
    <cellStyle name="Comma 7 2 5 2 5" xfId="11943"/>
    <cellStyle name="Comma 7 2 5 2 6" xfId="6960"/>
    <cellStyle name="Comma 7 2 5 3" xfId="4391"/>
    <cellStyle name="Comma 7 2 5 3 2" xfId="4392"/>
    <cellStyle name="Comma 7 2 5 3 2 2" xfId="11938"/>
    <cellStyle name="Comma 7 2 5 3 3" xfId="11362"/>
    <cellStyle name="Comma 7 2 5 3 4" xfId="11939"/>
    <cellStyle name="Comma 7 2 5 3 5" xfId="6962"/>
    <cellStyle name="Comma 7 2 5 4" xfId="4393"/>
    <cellStyle name="Comma 7 2 5 4 2" xfId="4394"/>
    <cellStyle name="Comma 7 2 5 4 2 2" xfId="11936"/>
    <cellStyle name="Comma 7 2 5 4 3" xfId="11363"/>
    <cellStyle name="Comma 7 2 5 4 4" xfId="11937"/>
    <cellStyle name="Comma 7 2 5 4 5" xfId="6963"/>
    <cellStyle name="Comma 7 2 5 5" xfId="4395"/>
    <cellStyle name="Comma 7 2 5 5 2" xfId="11935"/>
    <cellStyle name="Comma 7 2 5 6" xfId="11359"/>
    <cellStyle name="Comma 7 2 5 7" xfId="11944"/>
    <cellStyle name="Comma 7 2 5 8" xfId="6959"/>
    <cellStyle name="Comma 7 2 6" xfId="4396"/>
    <cellStyle name="Comma 7 2 6 2" xfId="4397"/>
    <cellStyle name="Comma 7 2 6 2 2" xfId="4398"/>
    <cellStyle name="Comma 7 2 6 2 2 2" xfId="4399"/>
    <cellStyle name="Comma 7 2 6 2 2 2 2" xfId="11931"/>
    <cellStyle name="Comma 7 2 6 2 2 3" xfId="11366"/>
    <cellStyle name="Comma 7 2 6 2 2 4" xfId="11932"/>
    <cellStyle name="Comma 7 2 6 2 2 5" xfId="6966"/>
    <cellStyle name="Comma 7 2 6 2 3" xfId="4400"/>
    <cellStyle name="Comma 7 2 6 2 3 2" xfId="11930"/>
    <cellStyle name="Comma 7 2 6 2 4" xfId="11365"/>
    <cellStyle name="Comma 7 2 6 2 5" xfId="11933"/>
    <cellStyle name="Comma 7 2 6 2 6" xfId="6965"/>
    <cellStyle name="Comma 7 2 6 3" xfId="4401"/>
    <cellStyle name="Comma 7 2 6 3 2" xfId="4402"/>
    <cellStyle name="Comma 7 2 6 3 2 2" xfId="11928"/>
    <cellStyle name="Comma 7 2 6 3 3" xfId="11367"/>
    <cellStyle name="Comma 7 2 6 3 4" xfId="11929"/>
    <cellStyle name="Comma 7 2 6 3 5" xfId="6967"/>
    <cellStyle name="Comma 7 2 6 4" xfId="4403"/>
    <cellStyle name="Comma 7 2 6 4 2" xfId="4404"/>
    <cellStyle name="Comma 7 2 6 4 2 2" xfId="11926"/>
    <cellStyle name="Comma 7 2 6 4 3" xfId="11368"/>
    <cellStyle name="Comma 7 2 6 4 4" xfId="11927"/>
    <cellStyle name="Comma 7 2 6 4 5" xfId="6968"/>
    <cellStyle name="Comma 7 2 6 5" xfId="4405"/>
    <cellStyle name="Comma 7 2 6 5 2" xfId="11925"/>
    <cellStyle name="Comma 7 2 6 6" xfId="11364"/>
    <cellStyle name="Comma 7 2 6 7" xfId="11934"/>
    <cellStyle name="Comma 7 2 6 8" xfId="6964"/>
    <cellStyle name="Comma 7 2 7" xfId="4406"/>
    <cellStyle name="Comma 7 2 7 2" xfId="4407"/>
    <cellStyle name="Comma 7 2 7 2 2" xfId="4408"/>
    <cellStyle name="Comma 7 2 7 2 2 2" xfId="11922"/>
    <cellStyle name="Comma 7 2 7 2 3" xfId="11370"/>
    <cellStyle name="Comma 7 2 7 2 4" xfId="11923"/>
    <cellStyle name="Comma 7 2 7 2 5" xfId="6970"/>
    <cellStyle name="Comma 7 2 7 3" xfId="4409"/>
    <cellStyle name="Comma 7 2 7 3 2" xfId="4410"/>
    <cellStyle name="Comma 7 2 7 3 2 2" xfId="11920"/>
    <cellStyle name="Comma 7 2 7 3 3" xfId="11371"/>
    <cellStyle name="Comma 7 2 7 3 4" xfId="11921"/>
    <cellStyle name="Comma 7 2 7 3 5" xfId="6971"/>
    <cellStyle name="Comma 7 2 7 4" xfId="4411"/>
    <cellStyle name="Comma 7 2 7 4 2" xfId="11919"/>
    <cellStyle name="Comma 7 2 7 5" xfId="11369"/>
    <cellStyle name="Comma 7 2 7 6" xfId="11924"/>
    <cellStyle name="Comma 7 2 7 7" xfId="6969"/>
    <cellStyle name="Comma 7 2 8" xfId="4412"/>
    <cellStyle name="Comma 7 2 8 2" xfId="4413"/>
    <cellStyle name="Comma 7 2 8 2 2" xfId="4414"/>
    <cellStyle name="Comma 7 2 8 2 2 2" xfId="11916"/>
    <cellStyle name="Comma 7 2 8 2 3" xfId="11373"/>
    <cellStyle name="Comma 7 2 8 2 4" xfId="11917"/>
    <cellStyle name="Comma 7 2 8 2 5" xfId="6973"/>
    <cellStyle name="Comma 7 2 8 3" xfId="4415"/>
    <cellStyle name="Comma 7 2 8 3 2" xfId="11915"/>
    <cellStyle name="Comma 7 2 8 4" xfId="11372"/>
    <cellStyle name="Comma 7 2 8 5" xfId="11918"/>
    <cellStyle name="Comma 7 2 8 6" xfId="6972"/>
    <cellStyle name="Comma 7 2 9" xfId="4416"/>
    <cellStyle name="Comma 7 2 9 2" xfId="4417"/>
    <cellStyle name="Comma 7 2 9 2 2" xfId="11913"/>
    <cellStyle name="Comma 7 2 9 3" xfId="11374"/>
    <cellStyle name="Comma 7 2 9 4" xfId="11914"/>
    <cellStyle name="Comma 7 2 9 5" xfId="6974"/>
    <cellStyle name="Comma 7 3" xfId="4418"/>
    <cellStyle name="Comma 7 3 10" xfId="4419"/>
    <cellStyle name="Comma 7 3 10 2" xfId="4420"/>
    <cellStyle name="Comma 7 3 10 2 2" xfId="11910"/>
    <cellStyle name="Comma 7 3 10 3" xfId="11376"/>
    <cellStyle name="Comma 7 3 10 4" xfId="11911"/>
    <cellStyle name="Comma 7 3 10 5" xfId="6976"/>
    <cellStyle name="Comma 7 3 11" xfId="4421"/>
    <cellStyle name="Comma 7 3 11 2" xfId="11909"/>
    <cellStyle name="Comma 7 3 12" xfId="11375"/>
    <cellStyle name="Comma 7 3 13" xfId="11912"/>
    <cellStyle name="Comma 7 3 14" xfId="6975"/>
    <cellStyle name="Comma 7 3 2" xfId="4422"/>
    <cellStyle name="Comma 7 3 2 10" xfId="4423"/>
    <cellStyle name="Comma 7 3 2 10 2" xfId="11907"/>
    <cellStyle name="Comma 7 3 2 11" xfId="11377"/>
    <cellStyle name="Comma 7 3 2 12" xfId="11908"/>
    <cellStyle name="Comma 7 3 2 13" xfId="6977"/>
    <cellStyle name="Comma 7 3 2 2" xfId="4424"/>
    <cellStyle name="Comma 7 3 2 2 2" xfId="4425"/>
    <cellStyle name="Comma 7 3 2 2 2 2" xfId="4426"/>
    <cellStyle name="Comma 7 3 2 2 2 2 2" xfId="4427"/>
    <cellStyle name="Comma 7 3 2 2 2 2 2 2" xfId="11903"/>
    <cellStyle name="Comma 7 3 2 2 2 2 3" xfId="11380"/>
    <cellStyle name="Comma 7 3 2 2 2 2 4" xfId="11904"/>
    <cellStyle name="Comma 7 3 2 2 2 2 5" xfId="6980"/>
    <cellStyle name="Comma 7 3 2 2 2 3" xfId="4428"/>
    <cellStyle name="Comma 7 3 2 2 2 3 2" xfId="11902"/>
    <cellStyle name="Comma 7 3 2 2 2 4" xfId="11379"/>
    <cellStyle name="Comma 7 3 2 2 2 5" xfId="11905"/>
    <cellStyle name="Comma 7 3 2 2 2 6" xfId="6979"/>
    <cellStyle name="Comma 7 3 2 2 3" xfId="4429"/>
    <cellStyle name="Comma 7 3 2 2 3 2" xfId="4430"/>
    <cellStyle name="Comma 7 3 2 2 3 2 2" xfId="11900"/>
    <cellStyle name="Comma 7 3 2 2 3 3" xfId="11381"/>
    <cellStyle name="Comma 7 3 2 2 3 4" xfId="11901"/>
    <cellStyle name="Comma 7 3 2 2 3 5" xfId="6981"/>
    <cellStyle name="Comma 7 3 2 2 4" xfId="4431"/>
    <cellStyle name="Comma 7 3 2 2 4 2" xfId="4432"/>
    <cellStyle name="Comma 7 3 2 2 4 2 2" xfId="11898"/>
    <cellStyle name="Comma 7 3 2 2 4 3" xfId="11382"/>
    <cellStyle name="Comma 7 3 2 2 4 4" xfId="11899"/>
    <cellStyle name="Comma 7 3 2 2 4 5" xfId="6982"/>
    <cellStyle name="Comma 7 3 2 2 5" xfId="4433"/>
    <cellStyle name="Comma 7 3 2 2 5 2" xfId="11897"/>
    <cellStyle name="Comma 7 3 2 2 6" xfId="11378"/>
    <cellStyle name="Comma 7 3 2 2 7" xfId="11906"/>
    <cellStyle name="Comma 7 3 2 2 8" xfId="6978"/>
    <cellStyle name="Comma 7 3 2 3" xfId="4434"/>
    <cellStyle name="Comma 7 3 2 3 2" xfId="4435"/>
    <cellStyle name="Comma 7 3 2 3 2 2" xfId="4436"/>
    <cellStyle name="Comma 7 3 2 3 2 2 2" xfId="4437"/>
    <cellStyle name="Comma 7 3 2 3 2 2 2 2" xfId="11893"/>
    <cellStyle name="Comma 7 3 2 3 2 2 3" xfId="11385"/>
    <cellStyle name="Comma 7 3 2 3 2 2 4" xfId="11894"/>
    <cellStyle name="Comma 7 3 2 3 2 2 5" xfId="6985"/>
    <cellStyle name="Comma 7 3 2 3 2 3" xfId="4438"/>
    <cellStyle name="Comma 7 3 2 3 2 3 2" xfId="11892"/>
    <cellStyle name="Comma 7 3 2 3 2 4" xfId="11384"/>
    <cellStyle name="Comma 7 3 2 3 2 5" xfId="11895"/>
    <cellStyle name="Comma 7 3 2 3 2 6" xfId="6984"/>
    <cellStyle name="Comma 7 3 2 3 3" xfId="4439"/>
    <cellStyle name="Comma 7 3 2 3 3 2" xfId="4440"/>
    <cellStyle name="Comma 7 3 2 3 3 2 2" xfId="11890"/>
    <cellStyle name="Comma 7 3 2 3 3 3" xfId="11386"/>
    <cellStyle name="Comma 7 3 2 3 3 4" xfId="11891"/>
    <cellStyle name="Comma 7 3 2 3 3 5" xfId="6986"/>
    <cellStyle name="Comma 7 3 2 3 4" xfId="4441"/>
    <cellStyle name="Comma 7 3 2 3 4 2" xfId="4442"/>
    <cellStyle name="Comma 7 3 2 3 4 2 2" xfId="11888"/>
    <cellStyle name="Comma 7 3 2 3 4 3" xfId="11387"/>
    <cellStyle name="Comma 7 3 2 3 4 4" xfId="11889"/>
    <cellStyle name="Comma 7 3 2 3 4 5" xfId="6987"/>
    <cellStyle name="Comma 7 3 2 3 5" xfId="4443"/>
    <cellStyle name="Comma 7 3 2 3 5 2" xfId="11887"/>
    <cellStyle name="Comma 7 3 2 3 6" xfId="11383"/>
    <cellStyle name="Comma 7 3 2 3 7" xfId="11896"/>
    <cellStyle name="Comma 7 3 2 3 8" xfId="6983"/>
    <cellStyle name="Comma 7 3 2 4" xfId="4444"/>
    <cellStyle name="Comma 7 3 2 4 2" xfId="4445"/>
    <cellStyle name="Comma 7 3 2 4 2 2" xfId="4446"/>
    <cellStyle name="Comma 7 3 2 4 2 2 2" xfId="4447"/>
    <cellStyle name="Comma 7 3 2 4 2 2 2 2" xfId="11883"/>
    <cellStyle name="Comma 7 3 2 4 2 2 3" xfId="11390"/>
    <cellStyle name="Comma 7 3 2 4 2 2 4" xfId="11884"/>
    <cellStyle name="Comma 7 3 2 4 2 2 5" xfId="6990"/>
    <cellStyle name="Comma 7 3 2 4 2 3" xfId="4448"/>
    <cellStyle name="Comma 7 3 2 4 2 3 2" xfId="11882"/>
    <cellStyle name="Comma 7 3 2 4 2 4" xfId="11389"/>
    <cellStyle name="Comma 7 3 2 4 2 5" xfId="11885"/>
    <cellStyle name="Comma 7 3 2 4 2 6" xfId="6989"/>
    <cellStyle name="Comma 7 3 2 4 3" xfId="4449"/>
    <cellStyle name="Comma 7 3 2 4 3 2" xfId="4450"/>
    <cellStyle name="Comma 7 3 2 4 3 2 2" xfId="11880"/>
    <cellStyle name="Comma 7 3 2 4 3 3" xfId="11391"/>
    <cellStyle name="Comma 7 3 2 4 3 4" xfId="11881"/>
    <cellStyle name="Comma 7 3 2 4 3 5" xfId="6991"/>
    <cellStyle name="Comma 7 3 2 4 4" xfId="4451"/>
    <cellStyle name="Comma 7 3 2 4 4 2" xfId="4452"/>
    <cellStyle name="Comma 7 3 2 4 4 2 2" xfId="11878"/>
    <cellStyle name="Comma 7 3 2 4 4 3" xfId="11392"/>
    <cellStyle name="Comma 7 3 2 4 4 4" xfId="11879"/>
    <cellStyle name="Comma 7 3 2 4 4 5" xfId="6992"/>
    <cellStyle name="Comma 7 3 2 4 5" xfId="4453"/>
    <cellStyle name="Comma 7 3 2 4 5 2" xfId="11877"/>
    <cellStyle name="Comma 7 3 2 4 6" xfId="11388"/>
    <cellStyle name="Comma 7 3 2 4 7" xfId="11886"/>
    <cellStyle name="Comma 7 3 2 4 8" xfId="6988"/>
    <cellStyle name="Comma 7 3 2 5" xfId="4454"/>
    <cellStyle name="Comma 7 3 2 5 2" xfId="4455"/>
    <cellStyle name="Comma 7 3 2 5 2 2" xfId="4456"/>
    <cellStyle name="Comma 7 3 2 5 2 2 2" xfId="4457"/>
    <cellStyle name="Comma 7 3 2 5 2 2 2 2" xfId="11873"/>
    <cellStyle name="Comma 7 3 2 5 2 2 3" xfId="11395"/>
    <cellStyle name="Comma 7 3 2 5 2 2 4" xfId="11874"/>
    <cellStyle name="Comma 7 3 2 5 2 2 5" xfId="6995"/>
    <cellStyle name="Comma 7 3 2 5 2 3" xfId="4458"/>
    <cellStyle name="Comma 7 3 2 5 2 3 2" xfId="11872"/>
    <cellStyle name="Comma 7 3 2 5 2 4" xfId="11394"/>
    <cellStyle name="Comma 7 3 2 5 2 5" xfId="11875"/>
    <cellStyle name="Comma 7 3 2 5 2 6" xfId="6994"/>
    <cellStyle name="Comma 7 3 2 5 3" xfId="4459"/>
    <cellStyle name="Comma 7 3 2 5 3 2" xfId="4460"/>
    <cellStyle name="Comma 7 3 2 5 3 2 2" xfId="11870"/>
    <cellStyle name="Comma 7 3 2 5 3 3" xfId="11396"/>
    <cellStyle name="Comma 7 3 2 5 3 4" xfId="11871"/>
    <cellStyle name="Comma 7 3 2 5 3 5" xfId="6996"/>
    <cellStyle name="Comma 7 3 2 5 4" xfId="4461"/>
    <cellStyle name="Comma 7 3 2 5 4 2" xfId="4462"/>
    <cellStyle name="Comma 7 3 2 5 4 2 2" xfId="11868"/>
    <cellStyle name="Comma 7 3 2 5 4 3" xfId="11397"/>
    <cellStyle name="Comma 7 3 2 5 4 4" xfId="11869"/>
    <cellStyle name="Comma 7 3 2 5 4 5" xfId="6997"/>
    <cellStyle name="Comma 7 3 2 5 5" xfId="4463"/>
    <cellStyle name="Comma 7 3 2 5 5 2" xfId="11867"/>
    <cellStyle name="Comma 7 3 2 5 6" xfId="11393"/>
    <cellStyle name="Comma 7 3 2 5 7" xfId="11876"/>
    <cellStyle name="Comma 7 3 2 5 8" xfId="6993"/>
    <cellStyle name="Comma 7 3 2 6" xfId="4464"/>
    <cellStyle name="Comma 7 3 2 6 2" xfId="4465"/>
    <cellStyle name="Comma 7 3 2 6 2 2" xfId="4466"/>
    <cellStyle name="Comma 7 3 2 6 2 2 2" xfId="11864"/>
    <cellStyle name="Comma 7 3 2 6 2 3" xfId="11399"/>
    <cellStyle name="Comma 7 3 2 6 2 4" xfId="11865"/>
    <cellStyle name="Comma 7 3 2 6 2 5" xfId="6999"/>
    <cellStyle name="Comma 7 3 2 6 3" xfId="4467"/>
    <cellStyle name="Comma 7 3 2 6 3 2" xfId="4468"/>
    <cellStyle name="Comma 7 3 2 6 3 2 2" xfId="11862"/>
    <cellStyle name="Comma 7 3 2 6 3 3" xfId="11400"/>
    <cellStyle name="Comma 7 3 2 6 3 4" xfId="11863"/>
    <cellStyle name="Comma 7 3 2 6 3 5" xfId="7000"/>
    <cellStyle name="Comma 7 3 2 6 4" xfId="4469"/>
    <cellStyle name="Comma 7 3 2 6 4 2" xfId="11861"/>
    <cellStyle name="Comma 7 3 2 6 5" xfId="11398"/>
    <cellStyle name="Comma 7 3 2 6 6" xfId="11866"/>
    <cellStyle name="Comma 7 3 2 6 7" xfId="6998"/>
    <cellStyle name="Comma 7 3 2 7" xfId="4470"/>
    <cellStyle name="Comma 7 3 2 7 2" xfId="4471"/>
    <cellStyle name="Comma 7 3 2 7 2 2" xfId="4472"/>
    <cellStyle name="Comma 7 3 2 7 2 2 2" xfId="11858"/>
    <cellStyle name="Comma 7 3 2 7 2 3" xfId="11402"/>
    <cellStyle name="Comma 7 3 2 7 2 4" xfId="11859"/>
    <cellStyle name="Comma 7 3 2 7 2 5" xfId="7002"/>
    <cellStyle name="Comma 7 3 2 7 3" xfId="4473"/>
    <cellStyle name="Comma 7 3 2 7 3 2" xfId="11857"/>
    <cellStyle name="Comma 7 3 2 7 4" xfId="11401"/>
    <cellStyle name="Comma 7 3 2 7 5" xfId="11860"/>
    <cellStyle name="Comma 7 3 2 7 6" xfId="7001"/>
    <cellStyle name="Comma 7 3 2 8" xfId="4474"/>
    <cellStyle name="Comma 7 3 2 8 2" xfId="4475"/>
    <cellStyle name="Comma 7 3 2 8 2 2" xfId="11855"/>
    <cellStyle name="Comma 7 3 2 8 3" xfId="11403"/>
    <cellStyle name="Comma 7 3 2 8 4" xfId="11856"/>
    <cellStyle name="Comma 7 3 2 8 5" xfId="7003"/>
    <cellStyle name="Comma 7 3 2 9" xfId="4476"/>
    <cellStyle name="Comma 7 3 2 9 2" xfId="4477"/>
    <cellStyle name="Comma 7 3 2 9 2 2" xfId="11853"/>
    <cellStyle name="Comma 7 3 2 9 3" xfId="11404"/>
    <cellStyle name="Comma 7 3 2 9 4" xfId="11854"/>
    <cellStyle name="Comma 7 3 2 9 5" xfId="7004"/>
    <cellStyle name="Comma 7 3 3" xfId="4478"/>
    <cellStyle name="Comma 7 3 3 2" xfId="4479"/>
    <cellStyle name="Comma 7 3 3 2 2" xfId="4480"/>
    <cellStyle name="Comma 7 3 3 2 2 2" xfId="4481"/>
    <cellStyle name="Comma 7 3 3 2 2 2 2" xfId="11849"/>
    <cellStyle name="Comma 7 3 3 2 2 3" xfId="11407"/>
    <cellStyle name="Comma 7 3 3 2 2 4" xfId="11850"/>
    <cellStyle name="Comma 7 3 3 2 2 5" xfId="7007"/>
    <cellStyle name="Comma 7 3 3 2 3" xfId="4482"/>
    <cellStyle name="Comma 7 3 3 2 3 2" xfId="11848"/>
    <cellStyle name="Comma 7 3 3 2 4" xfId="11406"/>
    <cellStyle name="Comma 7 3 3 2 5" xfId="11851"/>
    <cellStyle name="Comma 7 3 3 2 6" xfId="7006"/>
    <cellStyle name="Comma 7 3 3 3" xfId="4483"/>
    <cellStyle name="Comma 7 3 3 3 2" xfId="4484"/>
    <cellStyle name="Comma 7 3 3 3 2 2" xfId="11846"/>
    <cellStyle name="Comma 7 3 3 3 3" xfId="11408"/>
    <cellStyle name="Comma 7 3 3 3 4" xfId="11847"/>
    <cellStyle name="Comma 7 3 3 3 5" xfId="7008"/>
    <cellStyle name="Comma 7 3 3 4" xfId="4485"/>
    <cellStyle name="Comma 7 3 3 4 2" xfId="4486"/>
    <cellStyle name="Comma 7 3 3 4 2 2" xfId="11844"/>
    <cellStyle name="Comma 7 3 3 4 3" xfId="11409"/>
    <cellStyle name="Comma 7 3 3 4 4" xfId="11845"/>
    <cellStyle name="Comma 7 3 3 4 5" xfId="7009"/>
    <cellStyle name="Comma 7 3 3 5" xfId="4487"/>
    <cellStyle name="Comma 7 3 3 5 2" xfId="11843"/>
    <cellStyle name="Comma 7 3 3 6" xfId="11405"/>
    <cellStyle name="Comma 7 3 3 7" xfId="11852"/>
    <cellStyle name="Comma 7 3 3 8" xfId="7005"/>
    <cellStyle name="Comma 7 3 4" xfId="4488"/>
    <cellStyle name="Comma 7 3 4 2" xfId="4489"/>
    <cellStyle name="Comma 7 3 4 2 2" xfId="4490"/>
    <cellStyle name="Comma 7 3 4 2 2 2" xfId="4491"/>
    <cellStyle name="Comma 7 3 4 2 2 2 2" xfId="11839"/>
    <cellStyle name="Comma 7 3 4 2 2 3" xfId="11412"/>
    <cellStyle name="Comma 7 3 4 2 2 4" xfId="11840"/>
    <cellStyle name="Comma 7 3 4 2 2 5" xfId="7012"/>
    <cellStyle name="Comma 7 3 4 2 3" xfId="4492"/>
    <cellStyle name="Comma 7 3 4 2 3 2" xfId="11838"/>
    <cellStyle name="Comma 7 3 4 2 4" xfId="11411"/>
    <cellStyle name="Comma 7 3 4 2 5" xfId="11841"/>
    <cellStyle name="Comma 7 3 4 2 6" xfId="7011"/>
    <cellStyle name="Comma 7 3 4 3" xfId="4493"/>
    <cellStyle name="Comma 7 3 4 3 2" xfId="4494"/>
    <cellStyle name="Comma 7 3 4 3 2 2" xfId="11836"/>
    <cellStyle name="Comma 7 3 4 3 3" xfId="11413"/>
    <cellStyle name="Comma 7 3 4 3 4" xfId="11837"/>
    <cellStyle name="Comma 7 3 4 3 5" xfId="7013"/>
    <cellStyle name="Comma 7 3 4 4" xfId="4495"/>
    <cellStyle name="Comma 7 3 4 4 2" xfId="4496"/>
    <cellStyle name="Comma 7 3 4 4 2 2" xfId="11834"/>
    <cellStyle name="Comma 7 3 4 4 3" xfId="11414"/>
    <cellStyle name="Comma 7 3 4 4 4" xfId="11835"/>
    <cellStyle name="Comma 7 3 4 4 5" xfId="7014"/>
    <cellStyle name="Comma 7 3 4 5" xfId="4497"/>
    <cellStyle name="Comma 7 3 4 5 2" xfId="11833"/>
    <cellStyle name="Comma 7 3 4 6" xfId="11410"/>
    <cellStyle name="Comma 7 3 4 7" xfId="11842"/>
    <cellStyle name="Comma 7 3 4 8" xfId="7010"/>
    <cellStyle name="Comma 7 3 5" xfId="4498"/>
    <cellStyle name="Comma 7 3 5 2" xfId="4499"/>
    <cellStyle name="Comma 7 3 5 2 2" xfId="4500"/>
    <cellStyle name="Comma 7 3 5 2 2 2" xfId="4501"/>
    <cellStyle name="Comma 7 3 5 2 2 2 2" xfId="11829"/>
    <cellStyle name="Comma 7 3 5 2 2 3" xfId="11417"/>
    <cellStyle name="Comma 7 3 5 2 2 4" xfId="11830"/>
    <cellStyle name="Comma 7 3 5 2 2 5" xfId="7017"/>
    <cellStyle name="Comma 7 3 5 2 3" xfId="4502"/>
    <cellStyle name="Comma 7 3 5 2 3 2" xfId="11828"/>
    <cellStyle name="Comma 7 3 5 2 4" xfId="11416"/>
    <cellStyle name="Comma 7 3 5 2 5" xfId="11831"/>
    <cellStyle name="Comma 7 3 5 2 6" xfId="7016"/>
    <cellStyle name="Comma 7 3 5 3" xfId="4503"/>
    <cellStyle name="Comma 7 3 5 3 2" xfId="4504"/>
    <cellStyle name="Comma 7 3 5 3 2 2" xfId="11826"/>
    <cellStyle name="Comma 7 3 5 3 3" xfId="11418"/>
    <cellStyle name="Comma 7 3 5 3 4" xfId="11827"/>
    <cellStyle name="Comma 7 3 5 3 5" xfId="7018"/>
    <cellStyle name="Comma 7 3 5 4" xfId="4505"/>
    <cellStyle name="Comma 7 3 5 4 2" xfId="4506"/>
    <cellStyle name="Comma 7 3 5 4 2 2" xfId="11824"/>
    <cellStyle name="Comma 7 3 5 4 3" xfId="11419"/>
    <cellStyle name="Comma 7 3 5 4 4" xfId="11825"/>
    <cellStyle name="Comma 7 3 5 4 5" xfId="7019"/>
    <cellStyle name="Comma 7 3 5 5" xfId="4507"/>
    <cellStyle name="Comma 7 3 5 5 2" xfId="11823"/>
    <cellStyle name="Comma 7 3 5 6" xfId="11415"/>
    <cellStyle name="Comma 7 3 5 7" xfId="11832"/>
    <cellStyle name="Comma 7 3 5 8" xfId="7015"/>
    <cellStyle name="Comma 7 3 6" xfId="4508"/>
    <cellStyle name="Comma 7 3 6 2" xfId="4509"/>
    <cellStyle name="Comma 7 3 6 2 2" xfId="4510"/>
    <cellStyle name="Comma 7 3 6 2 2 2" xfId="4511"/>
    <cellStyle name="Comma 7 3 6 2 2 2 2" xfId="11819"/>
    <cellStyle name="Comma 7 3 6 2 2 3" xfId="11422"/>
    <cellStyle name="Comma 7 3 6 2 2 4" xfId="11820"/>
    <cellStyle name="Comma 7 3 6 2 2 5" xfId="7022"/>
    <cellStyle name="Comma 7 3 6 2 3" xfId="4512"/>
    <cellStyle name="Comma 7 3 6 2 3 2" xfId="11818"/>
    <cellStyle name="Comma 7 3 6 2 4" xfId="11421"/>
    <cellStyle name="Comma 7 3 6 2 5" xfId="11821"/>
    <cellStyle name="Comma 7 3 6 2 6" xfId="7021"/>
    <cellStyle name="Comma 7 3 6 3" xfId="4513"/>
    <cellStyle name="Comma 7 3 6 3 2" xfId="4514"/>
    <cellStyle name="Comma 7 3 6 3 2 2" xfId="11816"/>
    <cellStyle name="Comma 7 3 6 3 3" xfId="11423"/>
    <cellStyle name="Comma 7 3 6 3 4" xfId="11817"/>
    <cellStyle name="Comma 7 3 6 3 5" xfId="7023"/>
    <cellStyle name="Comma 7 3 6 4" xfId="4515"/>
    <cellStyle name="Comma 7 3 6 4 2" xfId="4516"/>
    <cellStyle name="Comma 7 3 6 4 2 2" xfId="11814"/>
    <cellStyle name="Comma 7 3 6 4 3" xfId="11424"/>
    <cellStyle name="Comma 7 3 6 4 4" xfId="11815"/>
    <cellStyle name="Comma 7 3 6 4 5" xfId="7024"/>
    <cellStyle name="Comma 7 3 6 5" xfId="4517"/>
    <cellStyle name="Comma 7 3 6 5 2" xfId="11813"/>
    <cellStyle name="Comma 7 3 6 6" xfId="11420"/>
    <cellStyle name="Comma 7 3 6 7" xfId="11822"/>
    <cellStyle name="Comma 7 3 6 8" xfId="7020"/>
    <cellStyle name="Comma 7 3 7" xfId="4518"/>
    <cellStyle name="Comma 7 3 7 2" xfId="4519"/>
    <cellStyle name="Comma 7 3 7 2 2" xfId="4520"/>
    <cellStyle name="Comma 7 3 7 2 2 2" xfId="11810"/>
    <cellStyle name="Comma 7 3 7 2 3" xfId="11426"/>
    <cellStyle name="Comma 7 3 7 2 4" xfId="11811"/>
    <cellStyle name="Comma 7 3 7 2 5" xfId="7026"/>
    <cellStyle name="Comma 7 3 7 3" xfId="4521"/>
    <cellStyle name="Comma 7 3 7 3 2" xfId="4522"/>
    <cellStyle name="Comma 7 3 7 3 2 2" xfId="11808"/>
    <cellStyle name="Comma 7 3 7 3 3" xfId="11427"/>
    <cellStyle name="Comma 7 3 7 3 4" xfId="11809"/>
    <cellStyle name="Comma 7 3 7 3 5" xfId="7027"/>
    <cellStyle name="Comma 7 3 7 4" xfId="4523"/>
    <cellStyle name="Comma 7 3 7 4 2" xfId="11807"/>
    <cellStyle name="Comma 7 3 7 5" xfId="11425"/>
    <cellStyle name="Comma 7 3 7 6" xfId="11812"/>
    <cellStyle name="Comma 7 3 7 7" xfId="7025"/>
    <cellStyle name="Comma 7 3 8" xfId="4524"/>
    <cellStyle name="Comma 7 3 8 2" xfId="4525"/>
    <cellStyle name="Comma 7 3 8 2 2" xfId="4526"/>
    <cellStyle name="Comma 7 3 8 2 2 2" xfId="11804"/>
    <cellStyle name="Comma 7 3 8 2 3" xfId="11429"/>
    <cellStyle name="Comma 7 3 8 2 4" xfId="11805"/>
    <cellStyle name="Comma 7 3 8 2 5" xfId="7029"/>
    <cellStyle name="Comma 7 3 8 3" xfId="4527"/>
    <cellStyle name="Comma 7 3 8 3 2" xfId="11803"/>
    <cellStyle name="Comma 7 3 8 4" xfId="11428"/>
    <cellStyle name="Comma 7 3 8 5" xfId="11806"/>
    <cellStyle name="Comma 7 3 8 6" xfId="7028"/>
    <cellStyle name="Comma 7 3 9" xfId="4528"/>
    <cellStyle name="Comma 7 3 9 2" xfId="4529"/>
    <cellStyle name="Comma 7 3 9 2 2" xfId="11801"/>
    <cellStyle name="Comma 7 3 9 3" xfId="11430"/>
    <cellStyle name="Comma 7 3 9 4" xfId="11802"/>
    <cellStyle name="Comma 7 3 9 5" xfId="7030"/>
    <cellStyle name="Comma 7 4" xfId="4530"/>
    <cellStyle name="Comma 7 4 10" xfId="4531"/>
    <cellStyle name="Comma 7 4 10 2" xfId="4532"/>
    <cellStyle name="Comma 7 4 10 2 2" xfId="11798"/>
    <cellStyle name="Comma 7 4 10 3" xfId="11432"/>
    <cellStyle name="Comma 7 4 10 4" xfId="11799"/>
    <cellStyle name="Comma 7 4 10 5" xfId="7032"/>
    <cellStyle name="Comma 7 4 11" xfId="4533"/>
    <cellStyle name="Comma 7 4 11 2" xfId="11797"/>
    <cellStyle name="Comma 7 4 12" xfId="11431"/>
    <cellStyle name="Comma 7 4 13" xfId="11800"/>
    <cellStyle name="Comma 7 4 14" xfId="7031"/>
    <cellStyle name="Comma 7 4 2" xfId="4534"/>
    <cellStyle name="Comma 7 4 2 10" xfId="4535"/>
    <cellStyle name="Comma 7 4 2 10 2" xfId="11795"/>
    <cellStyle name="Comma 7 4 2 11" xfId="11433"/>
    <cellStyle name="Comma 7 4 2 12" xfId="11796"/>
    <cellStyle name="Comma 7 4 2 13" xfId="7033"/>
    <cellStyle name="Comma 7 4 2 2" xfId="4536"/>
    <cellStyle name="Comma 7 4 2 2 2" xfId="4537"/>
    <cellStyle name="Comma 7 4 2 2 2 2" xfId="4538"/>
    <cellStyle name="Comma 7 4 2 2 2 2 2" xfId="4539"/>
    <cellStyle name="Comma 7 4 2 2 2 2 2 2" xfId="11791"/>
    <cellStyle name="Comma 7 4 2 2 2 2 3" xfId="11436"/>
    <cellStyle name="Comma 7 4 2 2 2 2 4" xfId="11792"/>
    <cellStyle name="Comma 7 4 2 2 2 2 5" xfId="7036"/>
    <cellStyle name="Comma 7 4 2 2 2 3" xfId="4540"/>
    <cellStyle name="Comma 7 4 2 2 2 3 2" xfId="11790"/>
    <cellStyle name="Comma 7 4 2 2 2 4" xfId="11435"/>
    <cellStyle name="Comma 7 4 2 2 2 5" xfId="11793"/>
    <cellStyle name="Comma 7 4 2 2 2 6" xfId="7035"/>
    <cellStyle name="Comma 7 4 2 2 3" xfId="4541"/>
    <cellStyle name="Comma 7 4 2 2 3 2" xfId="4542"/>
    <cellStyle name="Comma 7 4 2 2 3 2 2" xfId="11788"/>
    <cellStyle name="Comma 7 4 2 2 3 3" xfId="11437"/>
    <cellStyle name="Comma 7 4 2 2 3 4" xfId="11789"/>
    <cellStyle name="Comma 7 4 2 2 3 5" xfId="7037"/>
    <cellStyle name="Comma 7 4 2 2 4" xfId="4543"/>
    <cellStyle name="Comma 7 4 2 2 4 2" xfId="4544"/>
    <cellStyle name="Comma 7 4 2 2 4 2 2" xfId="11786"/>
    <cellStyle name="Comma 7 4 2 2 4 3" xfId="11438"/>
    <cellStyle name="Comma 7 4 2 2 4 4" xfId="11787"/>
    <cellStyle name="Comma 7 4 2 2 4 5" xfId="7038"/>
    <cellStyle name="Comma 7 4 2 2 5" xfId="4545"/>
    <cellStyle name="Comma 7 4 2 2 5 2" xfId="11785"/>
    <cellStyle name="Comma 7 4 2 2 6" xfId="11434"/>
    <cellStyle name="Comma 7 4 2 2 7" xfId="11794"/>
    <cellStyle name="Comma 7 4 2 2 8" xfId="7034"/>
    <cellStyle name="Comma 7 4 2 3" xfId="4546"/>
    <cellStyle name="Comma 7 4 2 3 2" xfId="4547"/>
    <cellStyle name="Comma 7 4 2 3 2 2" xfId="4548"/>
    <cellStyle name="Comma 7 4 2 3 2 2 2" xfId="4549"/>
    <cellStyle name="Comma 7 4 2 3 2 2 2 2" xfId="11781"/>
    <cellStyle name="Comma 7 4 2 3 2 2 3" xfId="11441"/>
    <cellStyle name="Comma 7 4 2 3 2 2 4" xfId="11782"/>
    <cellStyle name="Comma 7 4 2 3 2 2 5" xfId="7041"/>
    <cellStyle name="Comma 7 4 2 3 2 3" xfId="4550"/>
    <cellStyle name="Comma 7 4 2 3 2 3 2" xfId="11780"/>
    <cellStyle name="Comma 7 4 2 3 2 4" xfId="11440"/>
    <cellStyle name="Comma 7 4 2 3 2 5" xfId="11783"/>
    <cellStyle name="Comma 7 4 2 3 2 6" xfId="7040"/>
    <cellStyle name="Comma 7 4 2 3 3" xfId="4551"/>
    <cellStyle name="Comma 7 4 2 3 3 2" xfId="4552"/>
    <cellStyle name="Comma 7 4 2 3 3 2 2" xfId="11778"/>
    <cellStyle name="Comma 7 4 2 3 3 3" xfId="11442"/>
    <cellStyle name="Comma 7 4 2 3 3 4" xfId="11779"/>
    <cellStyle name="Comma 7 4 2 3 3 5" xfId="7042"/>
    <cellStyle name="Comma 7 4 2 3 4" xfId="4553"/>
    <cellStyle name="Comma 7 4 2 3 4 2" xfId="4554"/>
    <cellStyle name="Comma 7 4 2 3 4 2 2" xfId="11776"/>
    <cellStyle name="Comma 7 4 2 3 4 3" xfId="11443"/>
    <cellStyle name="Comma 7 4 2 3 4 4" xfId="11777"/>
    <cellStyle name="Comma 7 4 2 3 4 5" xfId="7043"/>
    <cellStyle name="Comma 7 4 2 3 5" xfId="4555"/>
    <cellStyle name="Comma 7 4 2 3 5 2" xfId="11775"/>
    <cellStyle name="Comma 7 4 2 3 6" xfId="11439"/>
    <cellStyle name="Comma 7 4 2 3 7" xfId="11784"/>
    <cellStyle name="Comma 7 4 2 3 8" xfId="7039"/>
    <cellStyle name="Comma 7 4 2 4" xfId="4556"/>
    <cellStyle name="Comma 7 4 2 4 2" xfId="4557"/>
    <cellStyle name="Comma 7 4 2 4 2 2" xfId="4558"/>
    <cellStyle name="Comma 7 4 2 4 2 2 2" xfId="4559"/>
    <cellStyle name="Comma 7 4 2 4 2 2 2 2" xfId="11771"/>
    <cellStyle name="Comma 7 4 2 4 2 2 3" xfId="11446"/>
    <cellStyle name="Comma 7 4 2 4 2 2 4" xfId="11772"/>
    <cellStyle name="Comma 7 4 2 4 2 2 5" xfId="7046"/>
    <cellStyle name="Comma 7 4 2 4 2 3" xfId="4560"/>
    <cellStyle name="Comma 7 4 2 4 2 3 2" xfId="11770"/>
    <cellStyle name="Comma 7 4 2 4 2 4" xfId="11445"/>
    <cellStyle name="Comma 7 4 2 4 2 5" xfId="11773"/>
    <cellStyle name="Comma 7 4 2 4 2 6" xfId="7045"/>
    <cellStyle name="Comma 7 4 2 4 3" xfId="4561"/>
    <cellStyle name="Comma 7 4 2 4 3 2" xfId="4562"/>
    <cellStyle name="Comma 7 4 2 4 3 2 2" xfId="11768"/>
    <cellStyle name="Comma 7 4 2 4 3 3" xfId="11447"/>
    <cellStyle name="Comma 7 4 2 4 3 4" xfId="11769"/>
    <cellStyle name="Comma 7 4 2 4 3 5" xfId="7047"/>
    <cellStyle name="Comma 7 4 2 4 4" xfId="4563"/>
    <cellStyle name="Comma 7 4 2 4 4 2" xfId="4564"/>
    <cellStyle name="Comma 7 4 2 4 4 2 2" xfId="11766"/>
    <cellStyle name="Comma 7 4 2 4 4 3" xfId="11448"/>
    <cellStyle name="Comma 7 4 2 4 4 4" xfId="11767"/>
    <cellStyle name="Comma 7 4 2 4 4 5" xfId="7048"/>
    <cellStyle name="Comma 7 4 2 4 5" xfId="4565"/>
    <cellStyle name="Comma 7 4 2 4 5 2" xfId="11765"/>
    <cellStyle name="Comma 7 4 2 4 6" xfId="11444"/>
    <cellStyle name="Comma 7 4 2 4 7" xfId="11774"/>
    <cellStyle name="Comma 7 4 2 4 8" xfId="7044"/>
    <cellStyle name="Comma 7 4 2 5" xfId="4566"/>
    <cellStyle name="Comma 7 4 2 5 2" xfId="4567"/>
    <cellStyle name="Comma 7 4 2 5 2 2" xfId="4568"/>
    <cellStyle name="Comma 7 4 2 5 2 2 2" xfId="4569"/>
    <cellStyle name="Comma 7 4 2 5 2 2 2 2" xfId="11761"/>
    <cellStyle name="Comma 7 4 2 5 2 2 3" xfId="11451"/>
    <cellStyle name="Comma 7 4 2 5 2 2 4" xfId="11762"/>
    <cellStyle name="Comma 7 4 2 5 2 2 5" xfId="7051"/>
    <cellStyle name="Comma 7 4 2 5 2 3" xfId="4570"/>
    <cellStyle name="Comma 7 4 2 5 2 3 2" xfId="11760"/>
    <cellStyle name="Comma 7 4 2 5 2 4" xfId="11450"/>
    <cellStyle name="Comma 7 4 2 5 2 5" xfId="11763"/>
    <cellStyle name="Comma 7 4 2 5 2 6" xfId="7050"/>
    <cellStyle name="Comma 7 4 2 5 3" xfId="4571"/>
    <cellStyle name="Comma 7 4 2 5 3 2" xfId="4572"/>
    <cellStyle name="Comma 7 4 2 5 3 2 2" xfId="11758"/>
    <cellStyle name="Comma 7 4 2 5 3 3" xfId="11452"/>
    <cellStyle name="Comma 7 4 2 5 3 4" xfId="11759"/>
    <cellStyle name="Comma 7 4 2 5 3 5" xfId="7052"/>
    <cellStyle name="Comma 7 4 2 5 4" xfId="4573"/>
    <cellStyle name="Comma 7 4 2 5 4 2" xfId="4574"/>
    <cellStyle name="Comma 7 4 2 5 4 2 2" xfId="11756"/>
    <cellStyle name="Comma 7 4 2 5 4 3" xfId="11453"/>
    <cellStyle name="Comma 7 4 2 5 4 4" xfId="11757"/>
    <cellStyle name="Comma 7 4 2 5 4 5" xfId="7053"/>
    <cellStyle name="Comma 7 4 2 5 5" xfId="4575"/>
    <cellStyle name="Comma 7 4 2 5 5 2" xfId="11755"/>
    <cellStyle name="Comma 7 4 2 5 6" xfId="11449"/>
    <cellStyle name="Comma 7 4 2 5 7" xfId="11764"/>
    <cellStyle name="Comma 7 4 2 5 8" xfId="7049"/>
    <cellStyle name="Comma 7 4 2 6" xfId="4576"/>
    <cellStyle name="Comma 7 4 2 6 2" xfId="4577"/>
    <cellStyle name="Comma 7 4 2 6 2 2" xfId="4578"/>
    <cellStyle name="Comma 7 4 2 6 2 2 2" xfId="11752"/>
    <cellStyle name="Comma 7 4 2 6 2 3" xfId="11455"/>
    <cellStyle name="Comma 7 4 2 6 2 4" xfId="11753"/>
    <cellStyle name="Comma 7 4 2 6 2 5" xfId="7055"/>
    <cellStyle name="Comma 7 4 2 6 3" xfId="4579"/>
    <cellStyle name="Comma 7 4 2 6 3 2" xfId="4580"/>
    <cellStyle name="Comma 7 4 2 6 3 2 2" xfId="11750"/>
    <cellStyle name="Comma 7 4 2 6 3 3" xfId="11456"/>
    <cellStyle name="Comma 7 4 2 6 3 4" xfId="11751"/>
    <cellStyle name="Comma 7 4 2 6 3 5" xfId="7056"/>
    <cellStyle name="Comma 7 4 2 6 4" xfId="4581"/>
    <cellStyle name="Comma 7 4 2 6 4 2" xfId="11749"/>
    <cellStyle name="Comma 7 4 2 6 5" xfId="11454"/>
    <cellStyle name="Comma 7 4 2 6 6" xfId="11754"/>
    <cellStyle name="Comma 7 4 2 6 7" xfId="7054"/>
    <cellStyle name="Comma 7 4 2 7" xfId="4582"/>
    <cellStyle name="Comma 7 4 2 7 2" xfId="4583"/>
    <cellStyle name="Comma 7 4 2 7 2 2" xfId="4584"/>
    <cellStyle name="Comma 7 4 2 7 2 2 2" xfId="11746"/>
    <cellStyle name="Comma 7 4 2 7 2 3" xfId="11458"/>
    <cellStyle name="Comma 7 4 2 7 2 4" xfId="11747"/>
    <cellStyle name="Comma 7 4 2 7 2 5" xfId="7058"/>
    <cellStyle name="Comma 7 4 2 7 3" xfId="4585"/>
    <cellStyle name="Comma 7 4 2 7 3 2" xfId="11745"/>
    <cellStyle name="Comma 7 4 2 7 4" xfId="11457"/>
    <cellStyle name="Comma 7 4 2 7 5" xfId="11748"/>
    <cellStyle name="Comma 7 4 2 7 6" xfId="7057"/>
    <cellStyle name="Comma 7 4 2 8" xfId="4586"/>
    <cellStyle name="Comma 7 4 2 8 2" xfId="4587"/>
    <cellStyle name="Comma 7 4 2 8 2 2" xfId="11743"/>
    <cellStyle name="Comma 7 4 2 8 3" xfId="11459"/>
    <cellStyle name="Comma 7 4 2 8 4" xfId="11744"/>
    <cellStyle name="Comma 7 4 2 8 5" xfId="7059"/>
    <cellStyle name="Comma 7 4 2 9" xfId="4588"/>
    <cellStyle name="Comma 7 4 2 9 2" xfId="4589"/>
    <cellStyle name="Comma 7 4 2 9 2 2" xfId="11741"/>
    <cellStyle name="Comma 7 4 2 9 3" xfId="11460"/>
    <cellStyle name="Comma 7 4 2 9 4" xfId="11742"/>
    <cellStyle name="Comma 7 4 2 9 5" xfId="7060"/>
    <cellStyle name="Comma 7 4 3" xfId="4590"/>
    <cellStyle name="Comma 7 4 3 2" xfId="4591"/>
    <cellStyle name="Comma 7 4 3 2 2" xfId="4592"/>
    <cellStyle name="Comma 7 4 3 2 2 2" xfId="4593"/>
    <cellStyle name="Comma 7 4 3 2 2 2 2" xfId="11737"/>
    <cellStyle name="Comma 7 4 3 2 2 3" xfId="11463"/>
    <cellStyle name="Comma 7 4 3 2 2 4" xfId="11738"/>
    <cellStyle name="Comma 7 4 3 2 2 5" xfId="7063"/>
    <cellStyle name="Comma 7 4 3 2 3" xfId="4594"/>
    <cellStyle name="Comma 7 4 3 2 3 2" xfId="11736"/>
    <cellStyle name="Comma 7 4 3 2 4" xfId="11462"/>
    <cellStyle name="Comma 7 4 3 2 5" xfId="11739"/>
    <cellStyle name="Comma 7 4 3 2 6" xfId="7062"/>
    <cellStyle name="Comma 7 4 3 3" xfId="4595"/>
    <cellStyle name="Comma 7 4 3 3 2" xfId="4596"/>
    <cellStyle name="Comma 7 4 3 3 2 2" xfId="11734"/>
    <cellStyle name="Comma 7 4 3 3 3" xfId="11464"/>
    <cellStyle name="Comma 7 4 3 3 4" xfId="11735"/>
    <cellStyle name="Comma 7 4 3 3 5" xfId="7064"/>
    <cellStyle name="Comma 7 4 3 4" xfId="4597"/>
    <cellStyle name="Comma 7 4 3 4 2" xfId="4598"/>
    <cellStyle name="Comma 7 4 3 4 2 2" xfId="11732"/>
    <cellStyle name="Comma 7 4 3 4 3" xfId="11465"/>
    <cellStyle name="Comma 7 4 3 4 4" xfId="11733"/>
    <cellStyle name="Comma 7 4 3 4 5" xfId="7065"/>
    <cellStyle name="Comma 7 4 3 5" xfId="4599"/>
    <cellStyle name="Comma 7 4 3 5 2" xfId="11731"/>
    <cellStyle name="Comma 7 4 3 6" xfId="11461"/>
    <cellStyle name="Comma 7 4 3 7" xfId="11740"/>
    <cellStyle name="Comma 7 4 3 8" xfId="7061"/>
    <cellStyle name="Comma 7 4 4" xfId="4600"/>
    <cellStyle name="Comma 7 4 4 2" xfId="4601"/>
    <cellStyle name="Comma 7 4 4 2 2" xfId="4602"/>
    <cellStyle name="Comma 7 4 4 2 2 2" xfId="4603"/>
    <cellStyle name="Comma 7 4 4 2 2 2 2" xfId="11727"/>
    <cellStyle name="Comma 7 4 4 2 2 3" xfId="11468"/>
    <cellStyle name="Comma 7 4 4 2 2 4" xfId="11728"/>
    <cellStyle name="Comma 7 4 4 2 2 5" xfId="7068"/>
    <cellStyle name="Comma 7 4 4 2 3" xfId="4604"/>
    <cellStyle name="Comma 7 4 4 2 3 2" xfId="11726"/>
    <cellStyle name="Comma 7 4 4 2 4" xfId="11467"/>
    <cellStyle name="Comma 7 4 4 2 5" xfId="11729"/>
    <cellStyle name="Comma 7 4 4 2 6" xfId="7067"/>
    <cellStyle name="Comma 7 4 4 3" xfId="4605"/>
    <cellStyle name="Comma 7 4 4 3 2" xfId="4606"/>
    <cellStyle name="Comma 7 4 4 3 2 2" xfId="11724"/>
    <cellStyle name="Comma 7 4 4 3 3" xfId="11469"/>
    <cellStyle name="Comma 7 4 4 3 4" xfId="11725"/>
    <cellStyle name="Comma 7 4 4 3 5" xfId="7069"/>
    <cellStyle name="Comma 7 4 4 4" xfId="4607"/>
    <cellStyle name="Comma 7 4 4 4 2" xfId="4608"/>
    <cellStyle name="Comma 7 4 4 4 2 2" xfId="11722"/>
    <cellStyle name="Comma 7 4 4 4 3" xfId="11470"/>
    <cellStyle name="Comma 7 4 4 4 4" xfId="11723"/>
    <cellStyle name="Comma 7 4 4 4 5" xfId="7070"/>
    <cellStyle name="Comma 7 4 4 5" xfId="4609"/>
    <cellStyle name="Comma 7 4 4 5 2" xfId="11721"/>
    <cellStyle name="Comma 7 4 4 6" xfId="11466"/>
    <cellStyle name="Comma 7 4 4 7" xfId="11730"/>
    <cellStyle name="Comma 7 4 4 8" xfId="7066"/>
    <cellStyle name="Comma 7 4 5" xfId="4610"/>
    <cellStyle name="Comma 7 4 5 2" xfId="4611"/>
    <cellStyle name="Comma 7 4 5 2 2" xfId="4612"/>
    <cellStyle name="Comma 7 4 5 2 2 2" xfId="4613"/>
    <cellStyle name="Comma 7 4 5 2 2 2 2" xfId="11717"/>
    <cellStyle name="Comma 7 4 5 2 2 3" xfId="11473"/>
    <cellStyle name="Comma 7 4 5 2 2 4" xfId="11718"/>
    <cellStyle name="Comma 7 4 5 2 2 5" xfId="7073"/>
    <cellStyle name="Comma 7 4 5 2 3" xfId="4614"/>
    <cellStyle name="Comma 7 4 5 2 3 2" xfId="11716"/>
    <cellStyle name="Comma 7 4 5 2 4" xfId="11472"/>
    <cellStyle name="Comma 7 4 5 2 5" xfId="11719"/>
    <cellStyle name="Comma 7 4 5 2 6" xfId="7072"/>
    <cellStyle name="Comma 7 4 5 3" xfId="4615"/>
    <cellStyle name="Comma 7 4 5 3 2" xfId="4616"/>
    <cellStyle name="Comma 7 4 5 3 2 2" xfId="11714"/>
    <cellStyle name="Comma 7 4 5 3 3" xfId="11474"/>
    <cellStyle name="Comma 7 4 5 3 4" xfId="11715"/>
    <cellStyle name="Comma 7 4 5 3 5" xfId="7074"/>
    <cellStyle name="Comma 7 4 5 4" xfId="4617"/>
    <cellStyle name="Comma 7 4 5 4 2" xfId="4618"/>
    <cellStyle name="Comma 7 4 5 4 2 2" xfId="11712"/>
    <cellStyle name="Comma 7 4 5 4 3" xfId="11475"/>
    <cellStyle name="Comma 7 4 5 4 4" xfId="11713"/>
    <cellStyle name="Comma 7 4 5 4 5" xfId="7075"/>
    <cellStyle name="Comma 7 4 5 5" xfId="4619"/>
    <cellStyle name="Comma 7 4 5 5 2" xfId="11711"/>
    <cellStyle name="Comma 7 4 5 6" xfId="11471"/>
    <cellStyle name="Comma 7 4 5 7" xfId="11720"/>
    <cellStyle name="Comma 7 4 5 8" xfId="7071"/>
    <cellStyle name="Comma 7 4 6" xfId="4620"/>
    <cellStyle name="Comma 7 4 6 2" xfId="4621"/>
    <cellStyle name="Comma 7 4 6 2 2" xfId="4622"/>
    <cellStyle name="Comma 7 4 6 2 2 2" xfId="4623"/>
    <cellStyle name="Comma 7 4 6 2 2 2 2" xfId="11707"/>
    <cellStyle name="Comma 7 4 6 2 2 3" xfId="11478"/>
    <cellStyle name="Comma 7 4 6 2 2 4" xfId="11708"/>
    <cellStyle name="Comma 7 4 6 2 2 5" xfId="7078"/>
    <cellStyle name="Comma 7 4 6 2 3" xfId="4624"/>
    <cellStyle name="Comma 7 4 6 2 3 2" xfId="11706"/>
    <cellStyle name="Comma 7 4 6 2 4" xfId="11477"/>
    <cellStyle name="Comma 7 4 6 2 5" xfId="11709"/>
    <cellStyle name="Comma 7 4 6 2 6" xfId="7077"/>
    <cellStyle name="Comma 7 4 6 3" xfId="4625"/>
    <cellStyle name="Comma 7 4 6 3 2" xfId="4626"/>
    <cellStyle name="Comma 7 4 6 3 2 2" xfId="11704"/>
    <cellStyle name="Comma 7 4 6 3 3" xfId="11479"/>
    <cellStyle name="Comma 7 4 6 3 4" xfId="11705"/>
    <cellStyle name="Comma 7 4 6 3 5" xfId="7079"/>
    <cellStyle name="Comma 7 4 6 4" xfId="4627"/>
    <cellStyle name="Comma 7 4 6 4 2" xfId="4628"/>
    <cellStyle name="Comma 7 4 6 4 2 2" xfId="11702"/>
    <cellStyle name="Comma 7 4 6 4 3" xfId="11480"/>
    <cellStyle name="Comma 7 4 6 4 4" xfId="11703"/>
    <cellStyle name="Comma 7 4 6 4 5" xfId="7080"/>
    <cellStyle name="Comma 7 4 6 5" xfId="4629"/>
    <cellStyle name="Comma 7 4 6 5 2" xfId="11701"/>
    <cellStyle name="Comma 7 4 6 6" xfId="11476"/>
    <cellStyle name="Comma 7 4 6 7" xfId="11710"/>
    <cellStyle name="Comma 7 4 6 8" xfId="7076"/>
    <cellStyle name="Comma 7 4 7" xfId="4630"/>
    <cellStyle name="Comma 7 4 7 2" xfId="4631"/>
    <cellStyle name="Comma 7 4 7 2 2" xfId="4632"/>
    <cellStyle name="Comma 7 4 7 2 2 2" xfId="11698"/>
    <cellStyle name="Comma 7 4 7 2 3" xfId="11482"/>
    <cellStyle name="Comma 7 4 7 2 4" xfId="11699"/>
    <cellStyle name="Comma 7 4 7 2 5" xfId="7082"/>
    <cellStyle name="Comma 7 4 7 3" xfId="4633"/>
    <cellStyle name="Comma 7 4 7 3 2" xfId="4634"/>
    <cellStyle name="Comma 7 4 7 3 2 2" xfId="11696"/>
    <cellStyle name="Comma 7 4 7 3 3" xfId="11483"/>
    <cellStyle name="Comma 7 4 7 3 4" xfId="11697"/>
    <cellStyle name="Comma 7 4 7 3 5" xfId="7083"/>
    <cellStyle name="Comma 7 4 7 4" xfId="4635"/>
    <cellStyle name="Comma 7 4 7 4 2" xfId="11695"/>
    <cellStyle name="Comma 7 4 7 5" xfId="11481"/>
    <cellStyle name="Comma 7 4 7 6" xfId="11700"/>
    <cellStyle name="Comma 7 4 7 7" xfId="7081"/>
    <cellStyle name="Comma 7 4 8" xfId="4636"/>
    <cellStyle name="Comma 7 4 8 2" xfId="4637"/>
    <cellStyle name="Comma 7 4 8 2 2" xfId="4638"/>
    <cellStyle name="Comma 7 4 8 2 2 2" xfId="11692"/>
    <cellStyle name="Comma 7 4 8 2 3" xfId="11485"/>
    <cellStyle name="Comma 7 4 8 2 4" xfId="11693"/>
    <cellStyle name="Comma 7 4 8 2 5" xfId="7085"/>
    <cellStyle name="Comma 7 4 8 3" xfId="4639"/>
    <cellStyle name="Comma 7 4 8 3 2" xfId="11691"/>
    <cellStyle name="Comma 7 4 8 4" xfId="11484"/>
    <cellStyle name="Comma 7 4 8 5" xfId="11694"/>
    <cellStyle name="Comma 7 4 8 6" xfId="7084"/>
    <cellStyle name="Comma 7 4 9" xfId="4640"/>
    <cellStyle name="Comma 7 4 9 2" xfId="4641"/>
    <cellStyle name="Comma 7 4 9 2 2" xfId="11689"/>
    <cellStyle name="Comma 7 4 9 3" xfId="11486"/>
    <cellStyle name="Comma 7 4 9 4" xfId="11690"/>
    <cellStyle name="Comma 7 4 9 5" xfId="7086"/>
    <cellStyle name="Comma 7 5" xfId="4642"/>
    <cellStyle name="Comma 7 5 10" xfId="4643"/>
    <cellStyle name="Comma 7 5 10 2" xfId="11687"/>
    <cellStyle name="Comma 7 5 11" xfId="11487"/>
    <cellStyle name="Comma 7 5 12" xfId="11688"/>
    <cellStyle name="Comma 7 5 13" xfId="7087"/>
    <cellStyle name="Comma 7 5 2" xfId="4644"/>
    <cellStyle name="Comma 7 5 2 2" xfId="4645"/>
    <cellStyle name="Comma 7 5 2 2 2" xfId="4646"/>
    <cellStyle name="Comma 7 5 2 2 2 2" xfId="4647"/>
    <cellStyle name="Comma 7 5 2 2 2 2 2" xfId="11683"/>
    <cellStyle name="Comma 7 5 2 2 2 3" xfId="11490"/>
    <cellStyle name="Comma 7 5 2 2 2 4" xfId="11684"/>
    <cellStyle name="Comma 7 5 2 2 2 5" xfId="7090"/>
    <cellStyle name="Comma 7 5 2 2 3" xfId="4648"/>
    <cellStyle name="Comma 7 5 2 2 3 2" xfId="11682"/>
    <cellStyle name="Comma 7 5 2 2 4" xfId="11489"/>
    <cellStyle name="Comma 7 5 2 2 5" xfId="11685"/>
    <cellStyle name="Comma 7 5 2 2 6" xfId="7089"/>
    <cellStyle name="Comma 7 5 2 3" xfId="4649"/>
    <cellStyle name="Comma 7 5 2 3 2" xfId="4650"/>
    <cellStyle name="Comma 7 5 2 3 2 2" xfId="11680"/>
    <cellStyle name="Comma 7 5 2 3 3" xfId="11491"/>
    <cellStyle name="Comma 7 5 2 3 4" xfId="11681"/>
    <cellStyle name="Comma 7 5 2 3 5" xfId="7091"/>
    <cellStyle name="Comma 7 5 2 4" xfId="4651"/>
    <cellStyle name="Comma 7 5 2 4 2" xfId="4652"/>
    <cellStyle name="Comma 7 5 2 4 2 2" xfId="11678"/>
    <cellStyle name="Comma 7 5 2 4 3" xfId="11492"/>
    <cellStyle name="Comma 7 5 2 4 4" xfId="11679"/>
    <cellStyle name="Comma 7 5 2 4 5" xfId="7092"/>
    <cellStyle name="Comma 7 5 2 5" xfId="4653"/>
    <cellStyle name="Comma 7 5 2 5 2" xfId="11677"/>
    <cellStyle name="Comma 7 5 2 6" xfId="11488"/>
    <cellStyle name="Comma 7 5 2 7" xfId="11686"/>
    <cellStyle name="Comma 7 5 2 8" xfId="7088"/>
    <cellStyle name="Comma 7 5 3" xfId="4654"/>
    <cellStyle name="Comma 7 5 3 2" xfId="4655"/>
    <cellStyle name="Comma 7 5 3 2 2" xfId="4656"/>
    <cellStyle name="Comma 7 5 3 2 2 2" xfId="4657"/>
    <cellStyle name="Comma 7 5 3 2 2 2 2" xfId="11673"/>
    <cellStyle name="Comma 7 5 3 2 2 3" xfId="11495"/>
    <cellStyle name="Comma 7 5 3 2 2 4" xfId="11674"/>
    <cellStyle name="Comma 7 5 3 2 2 5" xfId="7095"/>
    <cellStyle name="Comma 7 5 3 2 3" xfId="4658"/>
    <cellStyle name="Comma 7 5 3 2 3 2" xfId="11672"/>
    <cellStyle name="Comma 7 5 3 2 4" xfId="11494"/>
    <cellStyle name="Comma 7 5 3 2 5" xfId="11675"/>
    <cellStyle name="Comma 7 5 3 2 6" xfId="7094"/>
    <cellStyle name="Comma 7 5 3 3" xfId="4659"/>
    <cellStyle name="Comma 7 5 3 3 2" xfId="4660"/>
    <cellStyle name="Comma 7 5 3 3 2 2" xfId="11670"/>
    <cellStyle name="Comma 7 5 3 3 3" xfId="11496"/>
    <cellStyle name="Comma 7 5 3 3 4" xfId="11671"/>
    <cellStyle name="Comma 7 5 3 3 5" xfId="7096"/>
    <cellStyle name="Comma 7 5 3 4" xfId="4661"/>
    <cellStyle name="Comma 7 5 3 4 2" xfId="4662"/>
    <cellStyle name="Comma 7 5 3 4 2 2" xfId="11668"/>
    <cellStyle name="Comma 7 5 3 4 3" xfId="11497"/>
    <cellStyle name="Comma 7 5 3 4 4" xfId="11669"/>
    <cellStyle name="Comma 7 5 3 4 5" xfId="7097"/>
    <cellStyle name="Comma 7 5 3 5" xfId="4663"/>
    <cellStyle name="Comma 7 5 3 5 2" xfId="11667"/>
    <cellStyle name="Comma 7 5 3 6" xfId="11493"/>
    <cellStyle name="Comma 7 5 3 7" xfId="11676"/>
    <cellStyle name="Comma 7 5 3 8" xfId="7093"/>
    <cellStyle name="Comma 7 5 4" xfId="4664"/>
    <cellStyle name="Comma 7 5 4 2" xfId="4665"/>
    <cellStyle name="Comma 7 5 4 2 2" xfId="4666"/>
    <cellStyle name="Comma 7 5 4 2 2 2" xfId="4667"/>
    <cellStyle name="Comma 7 5 4 2 2 2 2" xfId="11663"/>
    <cellStyle name="Comma 7 5 4 2 2 3" xfId="11500"/>
    <cellStyle name="Comma 7 5 4 2 2 4" xfId="11664"/>
    <cellStyle name="Comma 7 5 4 2 2 5" xfId="7100"/>
    <cellStyle name="Comma 7 5 4 2 3" xfId="4668"/>
    <cellStyle name="Comma 7 5 4 2 3 2" xfId="11662"/>
    <cellStyle name="Comma 7 5 4 2 4" xfId="11499"/>
    <cellStyle name="Comma 7 5 4 2 5" xfId="11665"/>
    <cellStyle name="Comma 7 5 4 2 6" xfId="7099"/>
    <cellStyle name="Comma 7 5 4 3" xfId="4669"/>
    <cellStyle name="Comma 7 5 4 3 2" xfId="4670"/>
    <cellStyle name="Comma 7 5 4 3 2 2" xfId="11660"/>
    <cellStyle name="Comma 7 5 4 3 3" xfId="11501"/>
    <cellStyle name="Comma 7 5 4 3 4" xfId="11661"/>
    <cellStyle name="Comma 7 5 4 3 5" xfId="7101"/>
    <cellStyle name="Comma 7 5 4 4" xfId="4671"/>
    <cellStyle name="Comma 7 5 4 4 2" xfId="4672"/>
    <cellStyle name="Comma 7 5 4 4 2 2" xfId="11658"/>
    <cellStyle name="Comma 7 5 4 4 3" xfId="11502"/>
    <cellStyle name="Comma 7 5 4 4 4" xfId="11659"/>
    <cellStyle name="Comma 7 5 4 4 5" xfId="7102"/>
    <cellStyle name="Comma 7 5 4 5" xfId="4673"/>
    <cellStyle name="Comma 7 5 4 5 2" xfId="11657"/>
    <cellStyle name="Comma 7 5 4 6" xfId="11498"/>
    <cellStyle name="Comma 7 5 4 7" xfId="11666"/>
    <cellStyle name="Comma 7 5 4 8" xfId="7098"/>
    <cellStyle name="Comma 7 5 5" xfId="4674"/>
    <cellStyle name="Comma 7 5 5 2" xfId="4675"/>
    <cellStyle name="Comma 7 5 5 2 2" xfId="4676"/>
    <cellStyle name="Comma 7 5 5 2 2 2" xfId="4677"/>
    <cellStyle name="Comma 7 5 5 2 2 2 2" xfId="11653"/>
    <cellStyle name="Comma 7 5 5 2 2 3" xfId="11505"/>
    <cellStyle name="Comma 7 5 5 2 2 4" xfId="11654"/>
    <cellStyle name="Comma 7 5 5 2 2 5" xfId="7105"/>
    <cellStyle name="Comma 7 5 5 2 3" xfId="4678"/>
    <cellStyle name="Comma 7 5 5 2 3 2" xfId="11652"/>
    <cellStyle name="Comma 7 5 5 2 4" xfId="11504"/>
    <cellStyle name="Comma 7 5 5 2 5" xfId="11655"/>
    <cellStyle name="Comma 7 5 5 2 6" xfId="7104"/>
    <cellStyle name="Comma 7 5 5 3" xfId="4679"/>
    <cellStyle name="Comma 7 5 5 3 2" xfId="4680"/>
    <cellStyle name="Comma 7 5 5 3 2 2" xfId="11650"/>
    <cellStyle name="Comma 7 5 5 3 3" xfId="11506"/>
    <cellStyle name="Comma 7 5 5 3 4" xfId="11651"/>
    <cellStyle name="Comma 7 5 5 3 5" xfId="7106"/>
    <cellStyle name="Comma 7 5 5 4" xfId="4681"/>
    <cellStyle name="Comma 7 5 5 4 2" xfId="4682"/>
    <cellStyle name="Comma 7 5 5 4 2 2" xfId="11648"/>
    <cellStyle name="Comma 7 5 5 4 3" xfId="11507"/>
    <cellStyle name="Comma 7 5 5 4 4" xfId="11649"/>
    <cellStyle name="Comma 7 5 5 4 5" xfId="7107"/>
    <cellStyle name="Comma 7 5 5 5" xfId="4683"/>
    <cellStyle name="Comma 7 5 5 5 2" xfId="11647"/>
    <cellStyle name="Comma 7 5 5 6" xfId="11503"/>
    <cellStyle name="Comma 7 5 5 7" xfId="11656"/>
    <cellStyle name="Comma 7 5 5 8" xfId="7103"/>
    <cellStyle name="Comma 7 5 6" xfId="4684"/>
    <cellStyle name="Comma 7 5 6 2" xfId="4685"/>
    <cellStyle name="Comma 7 5 6 2 2" xfId="4686"/>
    <cellStyle name="Comma 7 5 6 2 2 2" xfId="11644"/>
    <cellStyle name="Comma 7 5 6 2 3" xfId="11509"/>
    <cellStyle name="Comma 7 5 6 2 4" xfId="11645"/>
    <cellStyle name="Comma 7 5 6 2 5" xfId="7109"/>
    <cellStyle name="Comma 7 5 6 3" xfId="4687"/>
    <cellStyle name="Comma 7 5 6 3 2" xfId="4688"/>
    <cellStyle name="Comma 7 5 6 3 2 2" xfId="11642"/>
    <cellStyle name="Comma 7 5 6 3 3" xfId="11510"/>
    <cellStyle name="Comma 7 5 6 3 4" xfId="11643"/>
    <cellStyle name="Comma 7 5 6 3 5" xfId="7110"/>
    <cellStyle name="Comma 7 5 6 4" xfId="4689"/>
    <cellStyle name="Comma 7 5 6 4 2" xfId="11641"/>
    <cellStyle name="Comma 7 5 6 5" xfId="11508"/>
    <cellStyle name="Comma 7 5 6 6" xfId="11646"/>
    <cellStyle name="Comma 7 5 6 7" xfId="7108"/>
    <cellStyle name="Comma 7 5 7" xfId="4690"/>
    <cellStyle name="Comma 7 5 7 2" xfId="4691"/>
    <cellStyle name="Comma 7 5 7 2 2" xfId="4692"/>
    <cellStyle name="Comma 7 5 7 2 2 2" xfId="11638"/>
    <cellStyle name="Comma 7 5 7 2 3" xfId="11512"/>
    <cellStyle name="Comma 7 5 7 2 4" xfId="11639"/>
    <cellStyle name="Comma 7 5 7 2 5" xfId="7112"/>
    <cellStyle name="Comma 7 5 7 3" xfId="4693"/>
    <cellStyle name="Comma 7 5 7 3 2" xfId="11637"/>
    <cellStyle name="Comma 7 5 7 4" xfId="11511"/>
    <cellStyle name="Comma 7 5 7 5" xfId="11640"/>
    <cellStyle name="Comma 7 5 7 6" xfId="7111"/>
    <cellStyle name="Comma 7 5 8" xfId="4694"/>
    <cellStyle name="Comma 7 5 8 2" xfId="4695"/>
    <cellStyle name="Comma 7 5 8 2 2" xfId="11635"/>
    <cellStyle name="Comma 7 5 8 3" xfId="11513"/>
    <cellStyle name="Comma 7 5 8 4" xfId="11636"/>
    <cellStyle name="Comma 7 5 8 5" xfId="7113"/>
    <cellStyle name="Comma 7 5 9" xfId="4696"/>
    <cellStyle name="Comma 7 5 9 2" xfId="4697"/>
    <cellStyle name="Comma 7 5 9 2 2" xfId="11633"/>
    <cellStyle name="Comma 7 5 9 3" xfId="11514"/>
    <cellStyle name="Comma 7 5 9 4" xfId="11634"/>
    <cellStyle name="Comma 7 5 9 5" xfId="7114"/>
    <cellStyle name="Comma 7 6" xfId="4698"/>
    <cellStyle name="Comma 7 6 2" xfId="4699"/>
    <cellStyle name="Comma 7 6 2 2" xfId="4700"/>
    <cellStyle name="Comma 7 6 2 2 2" xfId="4701"/>
    <cellStyle name="Comma 7 6 2 2 2 2" xfId="11629"/>
    <cellStyle name="Comma 7 6 2 2 3" xfId="11517"/>
    <cellStyle name="Comma 7 6 2 2 4" xfId="11630"/>
    <cellStyle name="Comma 7 6 2 2 5" xfId="7117"/>
    <cellStyle name="Comma 7 6 2 3" xfId="4702"/>
    <cellStyle name="Comma 7 6 2 3 2" xfId="11628"/>
    <cellStyle name="Comma 7 6 2 4" xfId="11516"/>
    <cellStyle name="Comma 7 6 2 5" xfId="11631"/>
    <cellStyle name="Comma 7 6 2 6" xfId="7116"/>
    <cellStyle name="Comma 7 6 3" xfId="4703"/>
    <cellStyle name="Comma 7 6 3 2" xfId="4704"/>
    <cellStyle name="Comma 7 6 3 2 2" xfId="11626"/>
    <cellStyle name="Comma 7 6 3 3" xfId="11518"/>
    <cellStyle name="Comma 7 6 3 4" xfId="11627"/>
    <cellStyle name="Comma 7 6 3 5" xfId="7118"/>
    <cellStyle name="Comma 7 6 4" xfId="4705"/>
    <cellStyle name="Comma 7 6 4 2" xfId="4706"/>
    <cellStyle name="Comma 7 6 4 2 2" xfId="11624"/>
    <cellStyle name="Comma 7 6 4 3" xfId="11519"/>
    <cellStyle name="Comma 7 6 4 4" xfId="11625"/>
    <cellStyle name="Comma 7 6 4 5" xfId="7119"/>
    <cellStyle name="Comma 7 6 5" xfId="4707"/>
    <cellStyle name="Comma 7 6 5 2" xfId="11623"/>
    <cellStyle name="Comma 7 6 6" xfId="11515"/>
    <cellStyle name="Comma 7 6 7" xfId="11632"/>
    <cellStyle name="Comma 7 6 8" xfId="7115"/>
    <cellStyle name="Comma 7 7" xfId="4708"/>
    <cellStyle name="Comma 7 7 2" xfId="4709"/>
    <cellStyle name="Comma 7 7 2 2" xfId="4710"/>
    <cellStyle name="Comma 7 7 2 2 2" xfId="4711"/>
    <cellStyle name="Comma 7 7 2 2 2 2" xfId="11619"/>
    <cellStyle name="Comma 7 7 2 2 3" xfId="11522"/>
    <cellStyle name="Comma 7 7 2 2 4" xfId="11620"/>
    <cellStyle name="Comma 7 7 2 2 5" xfId="7122"/>
    <cellStyle name="Comma 7 7 2 3" xfId="4712"/>
    <cellStyle name="Comma 7 7 2 3 2" xfId="11618"/>
    <cellStyle name="Comma 7 7 2 4" xfId="11521"/>
    <cellStyle name="Comma 7 7 2 5" xfId="11621"/>
    <cellStyle name="Comma 7 7 2 6" xfId="7121"/>
    <cellStyle name="Comma 7 7 3" xfId="4713"/>
    <cellStyle name="Comma 7 7 3 2" xfId="4714"/>
    <cellStyle name="Comma 7 7 3 2 2" xfId="11616"/>
    <cellStyle name="Comma 7 7 3 3" xfId="11523"/>
    <cellStyle name="Comma 7 7 3 4" xfId="11617"/>
    <cellStyle name="Comma 7 7 3 5" xfId="7123"/>
    <cellStyle name="Comma 7 7 4" xfId="4715"/>
    <cellStyle name="Comma 7 7 4 2" xfId="4716"/>
    <cellStyle name="Comma 7 7 4 2 2" xfId="11614"/>
    <cellStyle name="Comma 7 7 4 3" xfId="11524"/>
    <cellStyle name="Comma 7 7 4 4" xfId="11615"/>
    <cellStyle name="Comma 7 7 4 5" xfId="7124"/>
    <cellStyle name="Comma 7 7 5" xfId="4717"/>
    <cellStyle name="Comma 7 7 5 2" xfId="11613"/>
    <cellStyle name="Comma 7 7 6" xfId="11520"/>
    <cellStyle name="Comma 7 7 7" xfId="11622"/>
    <cellStyle name="Comma 7 7 8" xfId="7120"/>
    <cellStyle name="Comma 7 8" xfId="4718"/>
    <cellStyle name="Comma 7 8 2" xfId="4719"/>
    <cellStyle name="Comma 7 8 2 2" xfId="4720"/>
    <cellStyle name="Comma 7 8 2 2 2" xfId="4721"/>
    <cellStyle name="Comma 7 8 2 2 2 2" xfId="11609"/>
    <cellStyle name="Comma 7 8 2 2 3" xfId="11527"/>
    <cellStyle name="Comma 7 8 2 2 4" xfId="11610"/>
    <cellStyle name="Comma 7 8 2 2 5" xfId="7127"/>
    <cellStyle name="Comma 7 8 2 3" xfId="4722"/>
    <cellStyle name="Comma 7 8 2 3 2" xfId="11608"/>
    <cellStyle name="Comma 7 8 2 4" xfId="11526"/>
    <cellStyle name="Comma 7 8 2 5" xfId="11611"/>
    <cellStyle name="Comma 7 8 2 6" xfId="7126"/>
    <cellStyle name="Comma 7 8 3" xfId="4723"/>
    <cellStyle name="Comma 7 8 3 2" xfId="4724"/>
    <cellStyle name="Comma 7 8 3 2 2" xfId="11606"/>
    <cellStyle name="Comma 7 8 3 3" xfId="11528"/>
    <cellStyle name="Comma 7 8 3 4" xfId="11607"/>
    <cellStyle name="Comma 7 8 3 5" xfId="7128"/>
    <cellStyle name="Comma 7 8 4" xfId="4725"/>
    <cellStyle name="Comma 7 8 4 2" xfId="4726"/>
    <cellStyle name="Comma 7 8 4 2 2" xfId="11604"/>
    <cellStyle name="Comma 7 8 4 3" xfId="11529"/>
    <cellStyle name="Comma 7 8 4 4" xfId="11605"/>
    <cellStyle name="Comma 7 8 4 5" xfId="7129"/>
    <cellStyle name="Comma 7 8 5" xfId="4727"/>
    <cellStyle name="Comma 7 8 5 2" xfId="11603"/>
    <cellStyle name="Comma 7 8 6" xfId="11525"/>
    <cellStyle name="Comma 7 8 7" xfId="11612"/>
    <cellStyle name="Comma 7 8 8" xfId="7125"/>
    <cellStyle name="Comma 7 9" xfId="4728"/>
    <cellStyle name="Comma 7 9 2" xfId="4729"/>
    <cellStyle name="Comma 7 9 2 2" xfId="4730"/>
    <cellStyle name="Comma 7 9 2 2 2" xfId="4731"/>
    <cellStyle name="Comma 7 9 2 2 2 2" xfId="11599"/>
    <cellStyle name="Comma 7 9 2 2 3" xfId="11532"/>
    <cellStyle name="Comma 7 9 2 2 4" xfId="11600"/>
    <cellStyle name="Comma 7 9 2 2 5" xfId="7132"/>
    <cellStyle name="Comma 7 9 2 3" xfId="4732"/>
    <cellStyle name="Comma 7 9 2 3 2" xfId="11598"/>
    <cellStyle name="Comma 7 9 2 4" xfId="11531"/>
    <cellStyle name="Comma 7 9 2 5" xfId="11601"/>
    <cellStyle name="Comma 7 9 2 6" xfId="7131"/>
    <cellStyle name="Comma 7 9 3" xfId="4733"/>
    <cellStyle name="Comma 7 9 3 2" xfId="4734"/>
    <cellStyle name="Comma 7 9 3 2 2" xfId="11596"/>
    <cellStyle name="Comma 7 9 3 3" xfId="11533"/>
    <cellStyle name="Comma 7 9 3 4" xfId="11597"/>
    <cellStyle name="Comma 7 9 3 5" xfId="7133"/>
    <cellStyle name="Comma 7 9 4" xfId="4735"/>
    <cellStyle name="Comma 7 9 4 2" xfId="4736"/>
    <cellStyle name="Comma 7 9 4 2 2" xfId="11594"/>
    <cellStyle name="Comma 7 9 4 3" xfId="11534"/>
    <cellStyle name="Comma 7 9 4 4" xfId="11595"/>
    <cellStyle name="Comma 7 9 4 5" xfId="7134"/>
    <cellStyle name="Comma 7 9 5" xfId="4737"/>
    <cellStyle name="Comma 7 9 5 2" xfId="11593"/>
    <cellStyle name="Comma 7 9 6" xfId="11530"/>
    <cellStyle name="Comma 7 9 7" xfId="11602"/>
    <cellStyle name="Comma 7 9 8" xfId="7130"/>
    <cellStyle name="Comma 8" xfId="7135"/>
    <cellStyle name="Comma 8 2" xfId="11536"/>
    <cellStyle name="Comma 8 3" xfId="11535"/>
    <cellStyle name="Comma 9" xfId="12312"/>
    <cellStyle name="Descriptor text" xfId="4"/>
    <cellStyle name="Descriptor text 2" xfId="4738"/>
    <cellStyle name="Descriptor text 2 2" xfId="11592"/>
    <cellStyle name="headerStyle" xfId="4739"/>
    <cellStyle name="headerStyle 2" xfId="11537"/>
    <cellStyle name="headerStyle 3" xfId="11591"/>
    <cellStyle name="headerStyle 4" xfId="7136"/>
    <cellStyle name="Heading" xfId="3"/>
    <cellStyle name="Heading 5" xfId="4740"/>
    <cellStyle name="Heading 5 2" xfId="11590"/>
    <cellStyle name="Hyperlink" xfId="5" builtinId="8"/>
    <cellStyle name="Hyperlink 2" xfId="4741"/>
    <cellStyle name="Hyperlink 2 2" xfId="11538"/>
    <cellStyle name="Hyperlink 2 3" xfId="11589"/>
    <cellStyle name="Hyperlink 2 4" xfId="7138"/>
    <cellStyle name="Hyperlink 3" xfId="7137"/>
    <cellStyle name="NJS" xfId="4742"/>
    <cellStyle name="NJS 2" xfId="11539"/>
    <cellStyle name="NJS 3" xfId="11588"/>
    <cellStyle name="NJS 4" xfId="7139"/>
    <cellStyle name="Normal" xfId="0" builtinId="0"/>
    <cellStyle name="Normal 10 2" xfId="22"/>
    <cellStyle name="Normal 10 2 2" xfId="4743"/>
    <cellStyle name="Normal 10 2 2 2" xfId="11587"/>
    <cellStyle name="Normal 2" xfId="9"/>
    <cellStyle name="Normal 2 2" xfId="11"/>
    <cellStyle name="Normal 2 2 2" xfId="11541"/>
    <cellStyle name="Normal 2 3" xfId="14"/>
    <cellStyle name="Normal 2 3 2" xfId="4744"/>
    <cellStyle name="Normal 2 3 2 2" xfId="11586"/>
    <cellStyle name="Normal 2 4" xfId="11540"/>
    <cellStyle name="Normal 24" xfId="4745"/>
    <cellStyle name="Normal 24 2" xfId="11542"/>
    <cellStyle name="Normal 24 3" xfId="11585"/>
    <cellStyle name="Normal 24 4" xfId="7140"/>
    <cellStyle name="Normal 3" xfId="6"/>
    <cellStyle name="Normal 3 2" xfId="4747"/>
    <cellStyle name="Normal 3 2 2" xfId="20"/>
    <cellStyle name="Normal 3 2 2 2" xfId="4748"/>
    <cellStyle name="Normal 3 2 2 2 2" xfId="11583"/>
    <cellStyle name="Normal 3 2 3" xfId="11543"/>
    <cellStyle name="Normal 3 3" xfId="4746"/>
    <cellStyle name="Normal 3 3 2" xfId="18"/>
    <cellStyle name="Normal 3 3 2 2" xfId="4749"/>
    <cellStyle name="Normal 3 3 2 2 2" xfId="11582"/>
    <cellStyle name="Normal 3 3 3" xfId="11584"/>
    <cellStyle name="Normal 3 7" xfId="4750"/>
    <cellStyle name="Normal 3 7 2" xfId="4751"/>
    <cellStyle name="Normal 3 7 2 2" xfId="11545"/>
    <cellStyle name="Normal 3 7 2 3" xfId="11580"/>
    <cellStyle name="Normal 3 7 2 4" xfId="7142"/>
    <cellStyle name="Normal 3 7 3" xfId="4752"/>
    <cellStyle name="Normal 3 7 3 2" xfId="11546"/>
    <cellStyle name="Normal 3 7 3 3" xfId="11579"/>
    <cellStyle name="Normal 3 7 3 4" xfId="7143"/>
    <cellStyle name="Normal 3 7 4" xfId="11544"/>
    <cellStyle name="Normal 3 7 5" xfId="11581"/>
    <cellStyle name="Normal 3 7 6" xfId="7141"/>
    <cellStyle name="Normal 4" xfId="8"/>
    <cellStyle name="Normal 4 2" xfId="15"/>
    <cellStyle name="Normal 4 2 2" xfId="11548"/>
    <cellStyle name="Normal 4 3" xfId="11547"/>
    <cellStyle name="Normal 5" xfId="17"/>
    <cellStyle name="Normal 5 2" xfId="4754"/>
    <cellStyle name="Normal 5 2 2" xfId="11549"/>
    <cellStyle name="Normal 5 2 3" xfId="11577"/>
    <cellStyle name="Normal 5 2 4" xfId="7145"/>
    <cellStyle name="Normal 5 3" xfId="4755"/>
    <cellStyle name="Normal 5 3 2" xfId="11550"/>
    <cellStyle name="Normal 5 3 3" xfId="11576"/>
    <cellStyle name="Normal 5 3 4" xfId="7146"/>
    <cellStyle name="Normal 5 4" xfId="4756"/>
    <cellStyle name="Normal 5 4 2" xfId="11551"/>
    <cellStyle name="Normal 5 4 3" xfId="11575"/>
    <cellStyle name="Normal 5 4 4" xfId="7147"/>
    <cellStyle name="Normal 5 5" xfId="21"/>
    <cellStyle name="Normal 5 5 2" xfId="4757"/>
    <cellStyle name="Normal 5 5 2 2" xfId="11574"/>
    <cellStyle name="Normal 5 6" xfId="4753"/>
    <cellStyle name="Normal 5 6 2" xfId="11578"/>
    <cellStyle name="Normal 5 7" xfId="7144"/>
    <cellStyle name="Normal 6" xfId="4758"/>
    <cellStyle name="Normal 6 2" xfId="11552"/>
    <cellStyle name="Normal 6 3" xfId="11573"/>
    <cellStyle name="Normal 6 4" xfId="7148"/>
    <cellStyle name="Normal 7" xfId="16"/>
    <cellStyle name="Normal 7 2" xfId="11553"/>
    <cellStyle name="Normal 8" xfId="24"/>
    <cellStyle name="Normal 8 2" xfId="12323"/>
    <cellStyle name="Normal 8 3" xfId="12309"/>
    <cellStyle name="Output Amounts" xfId="4759"/>
    <cellStyle name="Output Amounts 2" xfId="11554"/>
    <cellStyle name="Output Amounts 3" xfId="11572"/>
    <cellStyle name="Output Amounts 4" xfId="7149"/>
    <cellStyle name="Output Column Headings" xfId="4760"/>
    <cellStyle name="Output Column Headings 2" xfId="11555"/>
    <cellStyle name="Output Column Headings 3" xfId="7168"/>
    <cellStyle name="Output Column Headings 4" xfId="7150"/>
    <cellStyle name="Output Line Items" xfId="4761"/>
    <cellStyle name="Output Line Items 2" xfId="11556"/>
    <cellStyle name="Output Line Items 3" xfId="7169"/>
    <cellStyle name="Output Line Items 4" xfId="7151"/>
    <cellStyle name="Output Report Heading" xfId="4762"/>
    <cellStyle name="Output Report Heading 2" xfId="11557"/>
    <cellStyle name="Output Report Heading 3" xfId="7170"/>
    <cellStyle name="Output Report Heading 4" xfId="7152"/>
    <cellStyle name="Output Report Title" xfId="4763"/>
    <cellStyle name="Output Report Title 2" xfId="11558"/>
    <cellStyle name="Output Report Title 3" xfId="7171"/>
    <cellStyle name="Output Report Title 4" xfId="7153"/>
    <cellStyle name="Percent" xfId="2" builtinId="5"/>
    <cellStyle name="Percent 2" xfId="19"/>
    <cellStyle name="Percent 2 2" xfId="4765"/>
    <cellStyle name="Percent 2 2 2" xfId="4766"/>
    <cellStyle name="Percent 2 2 2 2" xfId="11560"/>
    <cellStyle name="Percent 2 2 2 3" xfId="7174"/>
    <cellStyle name="Percent 2 2 2 4" xfId="7156"/>
    <cellStyle name="Percent 2 2 3" xfId="4767"/>
    <cellStyle name="Percent 2 2 3 2" xfId="11561"/>
    <cellStyle name="Percent 2 2 3 3" xfId="7175"/>
    <cellStyle name="Percent 2 2 3 4" xfId="7157"/>
    <cellStyle name="Percent 2 2 4" xfId="4768"/>
    <cellStyle name="Percent 2 2 4 2" xfId="11562"/>
    <cellStyle name="Percent 2 2 4 3" xfId="7176"/>
    <cellStyle name="Percent 2 2 4 4" xfId="7158"/>
    <cellStyle name="Percent 2 2 5" xfId="11559"/>
    <cellStyle name="Percent 2 2 6" xfId="7173"/>
    <cellStyle name="Percent 2 2 7" xfId="7155"/>
    <cellStyle name="Percent 2 3" xfId="4769"/>
    <cellStyle name="Percent 2 3 2" xfId="4770"/>
    <cellStyle name="Percent 2 3 2 2" xfId="11564"/>
    <cellStyle name="Percent 2 3 2 3" xfId="12314"/>
    <cellStyle name="Percent 2 3 2 4" xfId="7160"/>
    <cellStyle name="Percent 2 3 3" xfId="4771"/>
    <cellStyle name="Percent 2 3 3 2" xfId="11565"/>
    <cellStyle name="Percent 2 3 3 3" xfId="12315"/>
    <cellStyle name="Percent 2 3 3 4" xfId="7161"/>
    <cellStyle name="Percent 2 3 4" xfId="11563"/>
    <cellStyle name="Percent 2 3 5" xfId="12313"/>
    <cellStyle name="Percent 2 3 6" xfId="7159"/>
    <cellStyle name="Percent 2 4" xfId="4772"/>
    <cellStyle name="Percent 2 4 2" xfId="4773"/>
    <cellStyle name="Percent 2 4 2 2" xfId="11567"/>
    <cellStyle name="Percent 2 4 2 3" xfId="12317"/>
    <cellStyle name="Percent 2 4 2 4" xfId="7163"/>
    <cellStyle name="Percent 2 4 3" xfId="4774"/>
    <cellStyle name="Percent 2 4 3 2" xfId="11568"/>
    <cellStyle name="Percent 2 4 3 3" xfId="12318"/>
    <cellStyle name="Percent 2 4 3 4" xfId="7164"/>
    <cellStyle name="Percent 2 4 4" xfId="11566"/>
    <cellStyle name="Percent 2 4 5" xfId="12316"/>
    <cellStyle name="Percent 2 4 6" xfId="7162"/>
    <cellStyle name="Percent 2 5" xfId="4775"/>
    <cellStyle name="Percent 2 5 2" xfId="11569"/>
    <cellStyle name="Percent 2 5 3" xfId="12319"/>
    <cellStyle name="Percent 2 5 4" xfId="7165"/>
    <cellStyle name="Percent 2 6" xfId="4776"/>
    <cellStyle name="Percent 2 6 2" xfId="11570"/>
    <cellStyle name="Percent 2 6 3" xfId="12320"/>
    <cellStyle name="Percent 2 6 4" xfId="7166"/>
    <cellStyle name="Percent 2 7" xfId="4777"/>
    <cellStyle name="Percent 2 7 2" xfId="11571"/>
    <cellStyle name="Percent 2 7 3" xfId="12321"/>
    <cellStyle name="Percent 2 7 4" xfId="7167"/>
    <cellStyle name="Percent 2 8" xfId="4764"/>
    <cellStyle name="Percent 2 8 2" xfId="7172"/>
    <cellStyle name="Percent 2 9" xfId="7154"/>
    <cellStyle name="Validation error" xfId="7"/>
    <cellStyle name="Validation error 2" xfId="4778"/>
    <cellStyle name="Validation error 2 2" xfId="12322"/>
  </cellStyles>
  <dxfs count="2940">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color theme="0"/>
      </font>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numFmt numFmtId="30" formatCode="@"/>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numFmt numFmtId="30" formatCode="@"/>
    </dxf>
    <dxf>
      <numFmt numFmtId="175" formatCode="#,##0.000000"/>
    </dxf>
    <dxf>
      <numFmt numFmtId="176" formatCode="#,##0.00000"/>
    </dxf>
    <dxf>
      <numFmt numFmtId="177"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CEABF"/>
      <color rgb="FFBFDDF1"/>
      <color rgb="FF0078C9"/>
      <color rgb="FFF2BFE0"/>
      <color rgb="FFF8DCEE"/>
      <color rgb="FF857362"/>
      <color rgb="FFF0DCD8"/>
      <color rgb="FFE6E6E6"/>
      <color rgb="FFE0DCD8"/>
      <color rgb="FF0034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 xmlns:a16="http://schemas.microsoft.com/office/drawing/2014/main" id="{00000000-0008-0000-26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CAPR\masterlib\CAPR19%20SWB%20Master%20Tab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CAPR/masterlib/CAPR19%20SWB%20Master%20Tabl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PR Graph Data (SWW)"/>
      <sheetName val="APR Graph Data (BW)"/>
      <sheetName val="2F (SWW)"/>
      <sheetName val="2F (BW)"/>
      <sheetName val="Delivering Against Targets"/>
      <sheetName val="3A"/>
      <sheetName val="3A (BW)"/>
      <sheetName val="3B"/>
      <sheetName val="3B (BW)"/>
      <sheetName val="3D"/>
      <sheetName val="3D (BW)"/>
      <sheetName val="3S"/>
      <sheetName val="3S (BW)"/>
      <sheetName val="4A"/>
      <sheetName val="4A (BW)"/>
      <sheetName val="4O"/>
      <sheetName val="4P"/>
      <sheetName val="4Q"/>
      <sheetName val="4R"/>
      <sheetName val="4S"/>
      <sheetName val="4T"/>
      <sheetName val="4U"/>
      <sheetName val="AMP7 ODIs"/>
      <sheetName val="Audit Accountability v2"/>
      <sheetName val="3S (Combined)"/>
      <sheetName val="Leakage and Volumes ODI"/>
      <sheetName val="Leakage and volumes ODI (BW)"/>
      <sheetName val="Water Explanatory Factor"/>
      <sheetName val="Water Explanatory Factor (BW)"/>
      <sheetName val="Water Reliability ODIs"/>
      <sheetName val="Water Reliability ODIs (BW)"/>
      <sheetName val="Metering"/>
      <sheetName val="Metering (BW)"/>
      <sheetName val="WQ and Asset Health Water ODI"/>
      <sheetName val="WQ and Asset Health Water O(BW)"/>
      <sheetName val="SIM"/>
      <sheetName val="SIM (BW)"/>
      <sheetName val="Contacts"/>
      <sheetName val="Contacts (BW)"/>
      <sheetName val="Supply Int and Pressure ODI"/>
      <sheetName val="Sup Int and Pressure ODIs (BW)"/>
      <sheetName val="Pollution ODIs"/>
      <sheetName val="Pollution ODIs (BW)"/>
      <sheetName val="Water Security ODIs"/>
      <sheetName val="Water Security ODIs (BW)"/>
      <sheetName val="Water Enviro ODIs"/>
      <sheetName val="Water Enviro ODIs (BW)"/>
      <sheetName val="Written Contacts"/>
      <sheetName val="Written Contacts (BW)"/>
      <sheetName val="Telephone Contacts"/>
      <sheetName val="Telephone Contacts (BW)"/>
      <sheetName val="GSS"/>
      <sheetName val="GSS (BW)"/>
      <sheetName val="Water Explanatory Factors"/>
      <sheetName val="Water Explanatory Factors (BW)"/>
      <sheetName val="Energy ODI"/>
      <sheetName val="Energy ODI (BW)"/>
      <sheetName val="Health and Safety ODI"/>
      <sheetName val="Water Prop and Pop and Bill"/>
      <sheetName val="Water Prop and Pop and Bill(BW)"/>
      <sheetName val="WW Large Works"/>
      <sheetName val="WW Assets"/>
      <sheetName val="Sewage Prop and Pop and Bill"/>
      <sheetName val="Waste Water Explanatory Factors"/>
      <sheetName val="BWQ ODI"/>
      <sheetName val="Sewer Flooding"/>
      <sheetName val="Wastewater Asset Health"/>
      <sheetName val="Sludge"/>
      <sheetName val="Sewage"/>
      <sheetName val="Customer Satisfaction ODI"/>
      <sheetName val="Customer Satisfaction ODI (BW)"/>
      <sheetName val="Community Scorecard ODI"/>
      <sheetName val="Community Scorecard ODI (BW)"/>
      <sheetName val="Retail ODI (BW)"/>
    </sheetNames>
    <sheetDataSet>
      <sheetData sheetId="0" refreshError="1"/>
      <sheetData sheetId="1" refreshError="1"/>
      <sheetData sheetId="2" refreshError="1"/>
      <sheetData sheetId="3" refreshError="1"/>
      <sheetData sheetId="4" refreshError="1"/>
      <sheetData sheetId="5" refreshError="1">
        <row r="5">
          <cell r="J5">
            <v>99.99</v>
          </cell>
          <cell r="K5" t="str">
            <v>Yes</v>
          </cell>
        </row>
        <row r="6">
          <cell r="J6">
            <v>2.13</v>
          </cell>
          <cell r="K6" t="str">
            <v>Yes</v>
          </cell>
          <cell r="L6" t="str">
            <v>Outperformance Deadband</v>
          </cell>
        </row>
        <row r="7">
          <cell r="J7" t="str">
            <v>Stable</v>
          </cell>
          <cell r="K7" t="str">
            <v>Yes</v>
          </cell>
        </row>
        <row r="8">
          <cell r="J8" t="str">
            <v>Stable</v>
          </cell>
          <cell r="K8" t="str">
            <v>Yes</v>
          </cell>
        </row>
        <row r="9">
          <cell r="J9">
            <v>0.161</v>
          </cell>
          <cell r="K9" t="str">
            <v>Yes</v>
          </cell>
          <cell r="N9" t="str">
            <v>Outperformance Payment</v>
          </cell>
          <cell r="O9">
            <v>0.34470000000000001</v>
          </cell>
          <cell r="P9" t="str">
            <v>Underperformance Payment</v>
          </cell>
          <cell r="Q9">
            <v>-2.3285999999999998</v>
          </cell>
        </row>
        <row r="10">
          <cell r="J10">
            <v>0</v>
          </cell>
          <cell r="K10" t="str">
            <v>Yes</v>
          </cell>
          <cell r="N10" t="str">
            <v>Outperformance Payment</v>
          </cell>
          <cell r="O10">
            <v>1.6240000000000001</v>
          </cell>
          <cell r="P10" t="str">
            <v>Outperformance Payment</v>
          </cell>
          <cell r="Q10">
            <v>6.4960000000000004</v>
          </cell>
        </row>
        <row r="11">
          <cell r="J11" t="str">
            <v>Partial</v>
          </cell>
          <cell r="K11" t="str">
            <v>N/A</v>
          </cell>
        </row>
        <row r="12">
          <cell r="J12">
            <v>84.49</v>
          </cell>
          <cell r="K12" t="str">
            <v>Yes</v>
          </cell>
          <cell r="P12" t="str">
            <v>Outperformance Payment</v>
          </cell>
          <cell r="Q12">
            <v>1.2090000000000001</v>
          </cell>
        </row>
        <row r="13">
          <cell r="J13">
            <v>2.89</v>
          </cell>
          <cell r="K13" t="str">
            <v>N/A</v>
          </cell>
        </row>
        <row r="14">
          <cell r="J14">
            <v>100</v>
          </cell>
          <cell r="K14" t="str">
            <v>N/A</v>
          </cell>
        </row>
        <row r="15">
          <cell r="J15">
            <v>0</v>
          </cell>
          <cell r="K15" t="str">
            <v>N/A</v>
          </cell>
        </row>
        <row r="16">
          <cell r="J16">
            <v>95.4</v>
          </cell>
          <cell r="K16" t="str">
            <v>Yes</v>
          </cell>
          <cell r="L16" t="str">
            <v>Outperformance Payment</v>
          </cell>
          <cell r="M16">
            <v>6.0199999999999997E-2</v>
          </cell>
          <cell r="P16" t="str">
            <v>Outperformance Payment</v>
          </cell>
          <cell r="Q16">
            <v>0.50700000000000001</v>
          </cell>
        </row>
        <row r="17">
          <cell r="J17">
            <v>0</v>
          </cell>
          <cell r="K17" t="str">
            <v>N/A</v>
          </cell>
        </row>
        <row r="18">
          <cell r="J18" t="str">
            <v>Moderate</v>
          </cell>
          <cell r="K18" t="str">
            <v>Yes</v>
          </cell>
          <cell r="P18" t="str">
            <v>N/A</v>
          </cell>
        </row>
        <row r="19">
          <cell r="J19">
            <v>10192</v>
          </cell>
          <cell r="K19" t="str">
            <v>N/A</v>
          </cell>
        </row>
        <row r="20">
          <cell r="J20">
            <v>1537</v>
          </cell>
          <cell r="K20" t="str">
            <v>N/A</v>
          </cell>
        </row>
        <row r="21">
          <cell r="J21">
            <v>0</v>
          </cell>
          <cell r="K21" t="str">
            <v>Yes</v>
          </cell>
        </row>
        <row r="22">
          <cell r="J22">
            <v>12</v>
          </cell>
          <cell r="K22" t="str">
            <v>No</v>
          </cell>
          <cell r="L22" t="str">
            <v>Underperformance Payment</v>
          </cell>
          <cell r="M22">
            <v>-2.1999999999999999E-2</v>
          </cell>
          <cell r="P22" t="str">
            <v>Underperformance Payment</v>
          </cell>
          <cell r="Q22">
            <v>-8.7999999999999995E-2</v>
          </cell>
        </row>
        <row r="23">
          <cell r="J23">
            <v>56.646525515988195</v>
          </cell>
          <cell r="K23" t="str">
            <v>N/A</v>
          </cell>
        </row>
        <row r="24">
          <cell r="J24">
            <v>9.476146685660094</v>
          </cell>
          <cell r="K24" t="str">
            <v>N/A</v>
          </cell>
        </row>
        <row r="25">
          <cell r="J25">
            <v>82.763504392661929</v>
          </cell>
          <cell r="K25" t="str">
            <v>No</v>
          </cell>
          <cell r="N25" t="str">
            <v>Underperformance Deadband</v>
          </cell>
          <cell r="P25" t="str">
            <v>Underperformance Payment</v>
          </cell>
          <cell r="Q25">
            <v>-0.214</v>
          </cell>
        </row>
        <row r="26">
          <cell r="J26">
            <v>93</v>
          </cell>
          <cell r="K26" t="str">
            <v>Yes</v>
          </cell>
          <cell r="N26" t="str">
            <v>Outperformance Payment</v>
          </cell>
          <cell r="O26">
            <v>2.1760000000000002</v>
          </cell>
          <cell r="P26" t="str">
            <v>Outperformance Payment</v>
          </cell>
          <cell r="Q26">
            <v>2.38</v>
          </cell>
        </row>
        <row r="27">
          <cell r="J27">
            <v>2938</v>
          </cell>
          <cell r="K27" t="str">
            <v>Yes</v>
          </cell>
          <cell r="N27" t="str">
            <v>Outperformance Payment</v>
          </cell>
          <cell r="O27">
            <v>0.13800000000000001</v>
          </cell>
          <cell r="P27" t="str">
            <v>Underperformance Payment</v>
          </cell>
          <cell r="Q27">
            <v>-0.112</v>
          </cell>
        </row>
        <row r="28">
          <cell r="J28">
            <v>335</v>
          </cell>
          <cell r="K28" t="str">
            <v>No</v>
          </cell>
          <cell r="N28" t="str">
            <v>Underperformance Payment</v>
          </cell>
          <cell r="O28">
            <v>-4.6800000000000001E-2</v>
          </cell>
          <cell r="P28" t="str">
            <v>Outperformance Payment</v>
          </cell>
          <cell r="Q28">
            <v>0.71919999999999995</v>
          </cell>
        </row>
        <row r="29">
          <cell r="J29" t="str">
            <v>Stable</v>
          </cell>
          <cell r="K29" t="str">
            <v>Yes</v>
          </cell>
        </row>
        <row r="30">
          <cell r="J30" t="str">
            <v>Stable</v>
          </cell>
          <cell r="K30" t="str">
            <v>Yes</v>
          </cell>
        </row>
        <row r="31">
          <cell r="J31">
            <v>98.7</v>
          </cell>
          <cell r="K31" t="str">
            <v>No</v>
          </cell>
        </row>
        <row r="32">
          <cell r="J32">
            <v>91.7</v>
          </cell>
          <cell r="K32" t="str">
            <v>No</v>
          </cell>
          <cell r="L32" t="str">
            <v>Underperformance Payment</v>
          </cell>
          <cell r="M32">
            <v>-0.1173</v>
          </cell>
          <cell r="P32" t="str">
            <v>Underperformance Payment</v>
          </cell>
          <cell r="Q32">
            <v>-0.43869999999999998</v>
          </cell>
        </row>
        <row r="33">
          <cell r="J33">
            <v>98.697068403908787</v>
          </cell>
          <cell r="K33" t="str">
            <v>N/A</v>
          </cell>
        </row>
        <row r="34">
          <cell r="J34">
            <v>99.890662080261677</v>
          </cell>
          <cell r="K34" t="str">
            <v>N/A</v>
          </cell>
        </row>
        <row r="35">
          <cell r="J35">
            <v>99.686520376175551</v>
          </cell>
          <cell r="K35" t="str">
            <v>No</v>
          </cell>
        </row>
        <row r="36">
          <cell r="J36">
            <v>2</v>
          </cell>
          <cell r="K36" t="str">
            <v>No</v>
          </cell>
          <cell r="L36" t="str">
            <v>Underperformance Deadband</v>
          </cell>
          <cell r="P36" t="str">
            <v>Underperformance Payment</v>
          </cell>
          <cell r="Q36">
            <v>-2.7679999999999998</v>
          </cell>
        </row>
        <row r="37">
          <cell r="J37">
            <v>248</v>
          </cell>
          <cell r="K37" t="str">
            <v>No</v>
          </cell>
          <cell r="L37" t="str">
            <v>Underperformance Payment</v>
          </cell>
          <cell r="M37">
            <v>-0.77200000000000002</v>
          </cell>
          <cell r="P37" t="str">
            <v>Underperformance Payment</v>
          </cell>
          <cell r="Q37">
            <v>-1.5659000000000001</v>
          </cell>
        </row>
        <row r="38">
          <cell r="J38">
            <v>68.739592858627418</v>
          </cell>
          <cell r="K38" t="str">
            <v>N/A</v>
          </cell>
        </row>
        <row r="39">
          <cell r="J39">
            <v>5.3513145688828558</v>
          </cell>
          <cell r="K39" t="str">
            <v>N/A</v>
          </cell>
        </row>
        <row r="40">
          <cell r="J40">
            <v>0</v>
          </cell>
          <cell r="K40" t="str">
            <v>Yes</v>
          </cell>
          <cell r="N40" t="str">
            <v>Outperformance Payment</v>
          </cell>
          <cell r="O40">
            <v>0.747</v>
          </cell>
          <cell r="P40" t="str">
            <v>Outperformance Payment</v>
          </cell>
          <cell r="Q40">
            <v>7.47</v>
          </cell>
        </row>
        <row r="41">
          <cell r="J41" t="str">
            <v>N/A</v>
          </cell>
          <cell r="K41" t="str">
            <v>N/A</v>
          </cell>
        </row>
        <row r="42">
          <cell r="J42">
            <v>155.68900000000002</v>
          </cell>
          <cell r="K42" t="str">
            <v>N/A</v>
          </cell>
        </row>
        <row r="43">
          <cell r="J43">
            <v>93</v>
          </cell>
          <cell r="K43" t="str">
            <v>N/A</v>
          </cell>
        </row>
        <row r="44">
          <cell r="J44">
            <v>87.62</v>
          </cell>
          <cell r="K44" t="str">
            <v>N/A</v>
          </cell>
        </row>
        <row r="45">
          <cell r="J45">
            <v>66</v>
          </cell>
          <cell r="K45" t="str">
            <v>N/A</v>
          </cell>
        </row>
        <row r="46">
          <cell r="J46">
            <v>30875</v>
          </cell>
          <cell r="K46" t="str">
            <v>N/A</v>
          </cell>
        </row>
      </sheetData>
      <sheetData sheetId="6" refreshError="1"/>
      <sheetData sheetId="7" refreshError="1"/>
      <sheetData sheetId="8" refreshError="1"/>
      <sheetData sheetId="9" refreshError="1">
        <row r="7">
          <cell r="G7">
            <v>4.49</v>
          </cell>
        </row>
        <row r="8">
          <cell r="G8">
            <v>4.53</v>
          </cell>
        </row>
        <row r="9">
          <cell r="G9">
            <v>4.67</v>
          </cell>
        </row>
        <row r="10">
          <cell r="G10">
            <v>4.57</v>
          </cell>
        </row>
        <row r="11">
          <cell r="G11">
            <v>66.75</v>
          </cell>
        </row>
        <row r="14">
          <cell r="G14">
            <v>82.66</v>
          </cell>
        </row>
      </sheetData>
      <sheetData sheetId="10" refreshError="1"/>
      <sheetData sheetId="11" refreshError="1">
        <row r="16">
          <cell r="G16">
            <v>102.34759129893581</v>
          </cell>
          <cell r="H16">
            <v>98.049247478594012</v>
          </cell>
          <cell r="K16" t="str">
            <v>Green</v>
          </cell>
          <cell r="L16" t="str">
            <v>Green</v>
          </cell>
          <cell r="O16" t="str">
            <v>Red</v>
          </cell>
          <cell r="P16" t="str">
            <v>Amber</v>
          </cell>
          <cell r="S16" t="str">
            <v>Amber</v>
          </cell>
          <cell r="T16" t="str">
            <v>Amber</v>
          </cell>
          <cell r="W16" t="str">
            <v>Green</v>
          </cell>
          <cell r="X16" t="str">
            <v>Green</v>
          </cell>
          <cell r="AA16" t="str">
            <v>Green</v>
          </cell>
          <cell r="AB16" t="str">
            <v>Green</v>
          </cell>
          <cell r="AE16" t="str">
            <v>Amber</v>
          </cell>
          <cell r="AF16" t="str">
            <v>Green</v>
          </cell>
          <cell r="AI16" t="str">
            <v>Green</v>
          </cell>
          <cell r="AJ16" t="str">
            <v>Green</v>
          </cell>
          <cell r="AM16" t="str">
            <v>Green</v>
          </cell>
          <cell r="AN16" t="str">
            <v>Green</v>
          </cell>
          <cell r="AQ16" t="str">
            <v>Green</v>
          </cell>
          <cell r="AR16" t="str">
            <v>Green</v>
          </cell>
          <cell r="AU16" t="str">
            <v>Green</v>
          </cell>
          <cell r="AV16" t="str">
            <v>Green</v>
          </cell>
          <cell r="AY16" t="str">
            <v>Amber</v>
          </cell>
          <cell r="AZ16" t="str">
            <v>Green</v>
          </cell>
          <cell r="BC16" t="str">
            <v>Red</v>
          </cell>
          <cell r="BD16" t="str">
            <v>Red</v>
          </cell>
          <cell r="BG16" t="str">
            <v>Green</v>
          </cell>
          <cell r="BH16" t="str">
            <v>Green</v>
          </cell>
          <cell r="BK16" t="str">
            <v>Green</v>
          </cell>
          <cell r="BL16" t="str">
            <v>Green</v>
          </cell>
          <cell r="BO16" t="str">
            <v>Green</v>
          </cell>
          <cell r="BP16" t="str">
            <v>Green</v>
          </cell>
          <cell r="BS16" t="str">
            <v>Green</v>
          </cell>
          <cell r="BT16" t="str">
            <v>Green</v>
          </cell>
          <cell r="BW16" t="str">
            <v>Green</v>
          </cell>
          <cell r="BX16" t="str">
            <v>Green</v>
          </cell>
          <cell r="CA16" t="str">
            <v>Red</v>
          </cell>
          <cell r="CB16" t="str">
            <v>Amber</v>
          </cell>
          <cell r="CE16" t="str">
            <v>Green</v>
          </cell>
          <cell r="CF16" t="str">
            <v>Green</v>
          </cell>
          <cell r="CI16" t="str">
            <v>Green</v>
          </cell>
          <cell r="CJ16" t="str">
            <v>Green</v>
          </cell>
          <cell r="CM16" t="str">
            <v>Amber</v>
          </cell>
          <cell r="CN16" t="str">
            <v>Amber</v>
          </cell>
          <cell r="CQ16" t="str">
            <v>Amber</v>
          </cell>
          <cell r="CR16" t="str">
            <v>Amber</v>
          </cell>
          <cell r="CU16" t="str">
            <v>Amber</v>
          </cell>
          <cell r="CV16" t="str">
            <v>Amber</v>
          </cell>
          <cell r="CY16" t="str">
            <v>Amber</v>
          </cell>
          <cell r="CZ16" t="str">
            <v>Green</v>
          </cell>
          <cell r="DC16" t="str">
            <v>Amber</v>
          </cell>
          <cell r="DD16" t="str">
            <v>Amber</v>
          </cell>
          <cell r="DG16" t="str">
            <v>Amber</v>
          </cell>
          <cell r="DH16" t="str">
            <v>Amber</v>
          </cell>
          <cell r="DK16" t="str">
            <v>Green</v>
          </cell>
          <cell r="DL16" t="str">
            <v>Green</v>
          </cell>
          <cell r="DO16" t="str">
            <v>Amber</v>
          </cell>
          <cell r="DP16" t="str">
            <v>Amber</v>
          </cell>
          <cell r="DS16" t="str">
            <v>Green</v>
          </cell>
          <cell r="DT16" t="str">
            <v>Green</v>
          </cell>
          <cell r="DW16" t="str">
            <v>Amber</v>
          </cell>
          <cell r="DX16" t="str">
            <v>Amber</v>
          </cell>
          <cell r="EA16" t="str">
            <v>Amber</v>
          </cell>
          <cell r="EB16" t="str">
            <v>Amber</v>
          </cell>
          <cell r="EE16" t="str">
            <v>Green</v>
          </cell>
          <cell r="EF16" t="str">
            <v>Green</v>
          </cell>
          <cell r="EI16" t="str">
            <v>Amber</v>
          </cell>
          <cell r="EJ16" t="str">
            <v>Amber</v>
          </cell>
          <cell r="EM16" t="str">
            <v>Red</v>
          </cell>
          <cell r="EN16" t="str">
            <v>Amber</v>
          </cell>
          <cell r="EQ16" t="str">
            <v>Red</v>
          </cell>
          <cell r="ER16" t="str">
            <v>Amber</v>
          </cell>
          <cell r="EU16" t="str">
            <v>Green</v>
          </cell>
          <cell r="EV16" t="str">
            <v>Green</v>
          </cell>
          <cell r="EY16" t="str">
            <v>Green</v>
          </cell>
          <cell r="EZ16" t="str">
            <v>Green</v>
          </cell>
          <cell r="FC16" t="str">
            <v>Green</v>
          </cell>
          <cell r="FD16" t="str">
            <v>Green</v>
          </cell>
          <cell r="FG16" t="str">
            <v>Green</v>
          </cell>
          <cell r="FH16" t="str">
            <v>Green</v>
          </cell>
          <cell r="FK16" t="str">
            <v>Amber</v>
          </cell>
          <cell r="FL16" t="str">
            <v>Amber</v>
          </cell>
          <cell r="FO16" t="str">
            <v>Green</v>
          </cell>
          <cell r="FP16" t="str">
            <v>Green</v>
          </cell>
          <cell r="FS16" t="str">
            <v>Green</v>
          </cell>
          <cell r="FT16" t="str">
            <v>Green</v>
          </cell>
          <cell r="FW16" t="str">
            <v>Amber</v>
          </cell>
          <cell r="FX16" t="str">
            <v>Green</v>
          </cell>
          <cell r="GA16" t="str">
            <v>Amber</v>
          </cell>
          <cell r="GB16" t="str">
            <v>Amber</v>
          </cell>
          <cell r="GE16" t="str">
            <v>Green</v>
          </cell>
          <cell r="GF16" t="str">
            <v>Green</v>
          </cell>
          <cell r="GI16" t="str">
            <v>Green</v>
          </cell>
          <cell r="GJ16" t="str">
            <v>Green</v>
          </cell>
          <cell r="GM16" t="str">
            <v>Green</v>
          </cell>
          <cell r="GN16" t="str">
            <v>Green</v>
          </cell>
          <cell r="GQ16" t="str">
            <v>Green</v>
          </cell>
          <cell r="GR16" t="str">
            <v>Green</v>
          </cell>
          <cell r="GU16" t="str">
            <v>Amber</v>
          </cell>
          <cell r="GV16" t="str">
            <v>Green</v>
          </cell>
          <cell r="GY16" t="str">
            <v>Amber</v>
          </cell>
          <cell r="GZ16" t="str">
            <v>Green</v>
          </cell>
          <cell r="HC16" t="str">
            <v>Green</v>
          </cell>
          <cell r="HD16" t="str">
            <v>Green</v>
          </cell>
          <cell r="HG16" t="str">
            <v>Green</v>
          </cell>
          <cell r="HH16" t="str">
            <v>Green</v>
          </cell>
          <cell r="HK16" t="str">
            <v>Green</v>
          </cell>
          <cell r="HL16" t="str">
            <v>Green</v>
          </cell>
          <cell r="HO16" t="str">
            <v>Green</v>
          </cell>
          <cell r="HP16" t="str">
            <v>Green</v>
          </cell>
          <cell r="HS16" t="str">
            <v>Green</v>
          </cell>
          <cell r="HT16" t="str">
            <v>Green</v>
          </cell>
          <cell r="HW16" t="str">
            <v>Amber</v>
          </cell>
          <cell r="HX16" t="str">
            <v>Amber</v>
          </cell>
          <cell r="IA16" t="str">
            <v>Green</v>
          </cell>
          <cell r="IB16" t="str">
            <v>Green</v>
          </cell>
          <cell r="IE16" t="str">
            <v>Amber</v>
          </cell>
          <cell r="IF16" t="str">
            <v>Amber</v>
          </cell>
          <cell r="II16" t="str">
            <v>Amber</v>
          </cell>
          <cell r="IJ16" t="str">
            <v>Amber</v>
          </cell>
          <cell r="IM16" t="str">
            <v>Green</v>
          </cell>
          <cell r="IN16" t="str">
            <v>Green</v>
          </cell>
          <cell r="IQ16" t="str">
            <v>Amber</v>
          </cell>
          <cell r="IR16" t="str">
            <v>Amber</v>
          </cell>
          <cell r="IU16" t="str">
            <v>Amber</v>
          </cell>
          <cell r="IV16" t="str">
            <v>Amber</v>
          </cell>
          <cell r="IY16" t="str">
            <v>Amber</v>
          </cell>
          <cell r="IZ16" t="str">
            <v>Amber</v>
          </cell>
          <cell r="JC16" t="str">
            <v>Green</v>
          </cell>
          <cell r="JD16" t="str">
            <v>Green</v>
          </cell>
          <cell r="JG16" t="str">
            <v>Green</v>
          </cell>
          <cell r="JH16" t="str">
            <v>Green</v>
          </cell>
          <cell r="JK16" t="str">
            <v>Amber</v>
          </cell>
          <cell r="JL16" t="str">
            <v>Amber</v>
          </cell>
          <cell r="JO16" t="str">
            <v>Green</v>
          </cell>
          <cell r="JP16" t="str">
            <v>Green</v>
          </cell>
          <cell r="JS16" t="str">
            <v>Red</v>
          </cell>
          <cell r="JT16" t="str">
            <v>Amber</v>
          </cell>
          <cell r="JW16" t="str">
            <v>Green</v>
          </cell>
          <cell r="JX16" t="str">
            <v>Green</v>
          </cell>
          <cell r="KA16" t="str">
            <v>Red</v>
          </cell>
          <cell r="KB16" t="str">
            <v>Amber</v>
          </cell>
          <cell r="KE16" t="str">
            <v>Green</v>
          </cell>
          <cell r="KF16" t="str">
            <v>Green</v>
          </cell>
          <cell r="KI16" t="str">
            <v>Amber</v>
          </cell>
          <cell r="KJ16" t="str">
            <v>Amber</v>
          </cell>
          <cell r="KM16" t="str">
            <v>Amber</v>
          </cell>
          <cell r="KN16" t="str">
            <v>Amber</v>
          </cell>
          <cell r="KQ16" t="str">
            <v>Amber</v>
          </cell>
          <cell r="KR16" t="str">
            <v>Amber</v>
          </cell>
          <cell r="KU16" t="str">
            <v>Amber</v>
          </cell>
          <cell r="KV16" t="str">
            <v>Amber</v>
          </cell>
          <cell r="KY16" t="str">
            <v>Green</v>
          </cell>
          <cell r="KZ16" t="str">
            <v>Green</v>
          </cell>
        </row>
        <row r="24">
          <cell r="G24">
            <v>1.4866666666666667E-2</v>
          </cell>
          <cell r="H24">
            <v>6.2499999999999995E-3</v>
          </cell>
          <cell r="K24" t="str">
            <v>Green</v>
          </cell>
          <cell r="L24" t="str">
            <v>Green</v>
          </cell>
          <cell r="O24" t="str">
            <v>Green</v>
          </cell>
          <cell r="P24" t="str">
            <v>Green</v>
          </cell>
          <cell r="S24" t="str">
            <v>Green</v>
          </cell>
          <cell r="T24" t="str">
            <v>Green</v>
          </cell>
          <cell r="W24" t="str">
            <v>Red</v>
          </cell>
          <cell r="X24" t="str">
            <v>Green</v>
          </cell>
          <cell r="AA24" t="str">
            <v>Green</v>
          </cell>
          <cell r="AB24" t="str">
            <v>Green</v>
          </cell>
          <cell r="AE24" t="str">
            <v>Green</v>
          </cell>
          <cell r="AF24" t="str">
            <v>Green</v>
          </cell>
          <cell r="AI24" t="str">
            <v>Red</v>
          </cell>
          <cell r="AJ24" t="str">
            <v>Green</v>
          </cell>
          <cell r="AM24" t="str">
            <v>Green</v>
          </cell>
          <cell r="AN24" t="str">
            <v>Green</v>
          </cell>
          <cell r="AQ24" t="str">
            <v>Green</v>
          </cell>
          <cell r="AR24" t="str">
            <v>Green</v>
          </cell>
          <cell r="AU24" t="str">
            <v>Green</v>
          </cell>
          <cell r="AV24" t="str">
            <v>Green</v>
          </cell>
          <cell r="AY24" t="str">
            <v>Green</v>
          </cell>
          <cell r="AZ24" t="str">
            <v>Green</v>
          </cell>
          <cell r="BC24" t="str">
            <v>Green</v>
          </cell>
          <cell r="BD24" t="str">
            <v>Green</v>
          </cell>
          <cell r="BG24" t="str">
            <v>Green</v>
          </cell>
          <cell r="BH24" t="str">
            <v>Green</v>
          </cell>
        </row>
        <row r="29">
          <cell r="G29">
            <v>162.07044999873384</v>
          </cell>
          <cell r="H29">
            <v>162.78365877130352</v>
          </cell>
          <cell r="K29" t="str">
            <v>Green</v>
          </cell>
          <cell r="L29" t="str">
            <v>Green</v>
          </cell>
          <cell r="O29" t="str">
            <v>Green</v>
          </cell>
          <cell r="P29" t="str">
            <v>Green</v>
          </cell>
          <cell r="S29" t="str">
            <v>Green</v>
          </cell>
          <cell r="T29" t="str">
            <v>Green</v>
          </cell>
          <cell r="W29" t="str">
            <v>Green</v>
          </cell>
          <cell r="X29" t="str">
            <v>Green</v>
          </cell>
        </row>
        <row r="34">
          <cell r="G34">
            <v>1.2E-2</v>
          </cell>
          <cell r="H34">
            <v>1.18E-2</v>
          </cell>
          <cell r="K34" t="str">
            <v>Green</v>
          </cell>
          <cell r="L34" t="str">
            <v>Green</v>
          </cell>
          <cell r="O34" t="str">
            <v>Amber</v>
          </cell>
          <cell r="P34" t="str">
            <v>Green</v>
          </cell>
          <cell r="S34" t="str">
            <v>Amber</v>
          </cell>
          <cell r="T34" t="str">
            <v>Green</v>
          </cell>
          <cell r="W34" t="str">
            <v>Red</v>
          </cell>
          <cell r="X34" t="str">
            <v>Green</v>
          </cell>
          <cell r="AA34" t="str">
            <v>Amber</v>
          </cell>
          <cell r="AB34" t="str">
            <v>Green</v>
          </cell>
          <cell r="AE34" t="str">
            <v>Amber</v>
          </cell>
          <cell r="AF34" t="str">
            <v>Green</v>
          </cell>
          <cell r="AI34" t="str">
            <v>Amber</v>
          </cell>
          <cell r="AJ34" t="str">
            <v>Green</v>
          </cell>
          <cell r="AM34" t="str">
            <v>Red</v>
          </cell>
          <cell r="AN34" t="str">
            <v>Green</v>
          </cell>
          <cell r="AQ34" t="str">
            <v>Red</v>
          </cell>
          <cell r="AR34" t="str">
            <v>Green</v>
          </cell>
          <cell r="AU34" t="str">
            <v>Amber</v>
          </cell>
          <cell r="AV34" t="str">
            <v>Green</v>
          </cell>
          <cell r="AY34" t="str">
            <v>Green</v>
          </cell>
          <cell r="AZ34" t="str">
            <v>Green</v>
          </cell>
          <cell r="BC34" t="str">
            <v>Red</v>
          </cell>
          <cell r="BD34" t="str">
            <v>Green</v>
          </cell>
        </row>
        <row r="40">
          <cell r="G40">
            <v>138.32</v>
          </cell>
          <cell r="H40">
            <v>154.15</v>
          </cell>
          <cell r="K40" t="str">
            <v>Green</v>
          </cell>
          <cell r="L40" t="str">
            <v>Green</v>
          </cell>
          <cell r="O40" t="str">
            <v>Amber</v>
          </cell>
          <cell r="P40" t="str">
            <v>Green</v>
          </cell>
          <cell r="S40" t="str">
            <v>Green</v>
          </cell>
          <cell r="T40" t="str">
            <v>Green</v>
          </cell>
          <cell r="W40" t="str">
            <v>Green</v>
          </cell>
          <cell r="X40" t="str">
            <v>Green</v>
          </cell>
          <cell r="AA40" t="str">
            <v>Amber</v>
          </cell>
          <cell r="AB40" t="str">
            <v>Amber</v>
          </cell>
          <cell r="AE40" t="str">
            <v>Green</v>
          </cell>
          <cell r="AF40" t="str">
            <v>Green</v>
          </cell>
          <cell r="AI40" t="str">
            <v>Green</v>
          </cell>
          <cell r="AJ40" t="str">
            <v>Green</v>
          </cell>
          <cell r="AM40" t="str">
            <v>Amber</v>
          </cell>
          <cell r="AN40" t="str">
            <v>Amber</v>
          </cell>
          <cell r="AQ40" t="str">
            <v>Amber</v>
          </cell>
          <cell r="AR40" t="str">
            <v>Amber</v>
          </cell>
          <cell r="AU40" t="str">
            <v>Green</v>
          </cell>
          <cell r="AV40" t="str">
            <v>Green</v>
          </cell>
          <cell r="AY40" t="str">
            <v>Green</v>
          </cell>
          <cell r="AZ40" t="str">
            <v>Green</v>
          </cell>
          <cell r="BC40" t="str">
            <v>Green</v>
          </cell>
          <cell r="BD40" t="str">
            <v>Green</v>
          </cell>
          <cell r="BG40" t="str">
            <v>Amber</v>
          </cell>
          <cell r="BH40" t="str">
            <v>Amber</v>
          </cell>
          <cell r="BK40" t="str">
            <v>Green</v>
          </cell>
          <cell r="BL40" t="str">
            <v>Green</v>
          </cell>
          <cell r="BO40" t="str">
            <v>Red</v>
          </cell>
          <cell r="BP40" t="str">
            <v>Amber</v>
          </cell>
          <cell r="BS40" t="str">
            <v>Red</v>
          </cell>
          <cell r="BW40" t="str">
            <v>Amber</v>
          </cell>
          <cell r="BX40" t="str">
            <v>Amber</v>
          </cell>
          <cell r="CA40" t="str">
            <v>Green</v>
          </cell>
          <cell r="CB40" t="str">
            <v>Green</v>
          </cell>
          <cell r="CE40" t="str">
            <v>Green</v>
          </cell>
          <cell r="CF40" t="str">
            <v>Amber</v>
          </cell>
          <cell r="CI40" t="str">
            <v>Red</v>
          </cell>
          <cell r="CJ40" t="str">
            <v>Amber</v>
          </cell>
          <cell r="CQ40" t="str">
            <v>Green</v>
          </cell>
          <cell r="CR40" t="str">
            <v>Green</v>
          </cell>
          <cell r="CU40" t="str">
            <v>Green</v>
          </cell>
          <cell r="CV40" t="str">
            <v>Green</v>
          </cell>
          <cell r="CY40" t="str">
            <v>Green</v>
          </cell>
          <cell r="CZ40" t="str">
            <v>Green</v>
          </cell>
        </row>
        <row r="45">
          <cell r="G45">
            <v>0</v>
          </cell>
          <cell r="H45">
            <v>0</v>
          </cell>
        </row>
        <row r="50">
          <cell r="G50">
            <v>141</v>
          </cell>
          <cell r="H50">
            <v>93</v>
          </cell>
          <cell r="K50" t="str">
            <v>Green</v>
          </cell>
          <cell r="L50" t="str">
            <v>Green</v>
          </cell>
          <cell r="O50" t="str">
            <v>Green</v>
          </cell>
          <cell r="P50" t="str">
            <v>Green</v>
          </cell>
          <cell r="S50" t="str">
            <v>Amber</v>
          </cell>
          <cell r="T50" t="str">
            <v>Green</v>
          </cell>
          <cell r="W50" t="str">
            <v>Green</v>
          </cell>
          <cell r="X50" t="str">
            <v>Green</v>
          </cell>
          <cell r="AA50" t="str">
            <v>Amber</v>
          </cell>
          <cell r="AB50" t="str">
            <v>Amber</v>
          </cell>
          <cell r="AE50" t="str">
            <v>Amber</v>
          </cell>
          <cell r="AF50" t="str">
            <v>Green</v>
          </cell>
          <cell r="AI50" t="str">
            <v>Green</v>
          </cell>
          <cell r="AJ50" t="str">
            <v>Green</v>
          </cell>
          <cell r="AM50" t="str">
            <v>Green</v>
          </cell>
          <cell r="AN50" t="str">
            <v>Green</v>
          </cell>
          <cell r="AQ50" t="str">
            <v>Green</v>
          </cell>
          <cell r="AR50" t="str">
            <v>Green</v>
          </cell>
          <cell r="AU50" t="str">
            <v>Green</v>
          </cell>
          <cell r="AV50" t="str">
            <v>Green</v>
          </cell>
          <cell r="AY50" t="str">
            <v>Green</v>
          </cell>
          <cell r="AZ50" t="str">
            <v>Green</v>
          </cell>
        </row>
        <row r="56">
          <cell r="G56">
            <v>1955</v>
          </cell>
          <cell r="H56">
            <v>1843</v>
          </cell>
          <cell r="K56" t="str">
            <v>Amber</v>
          </cell>
          <cell r="L56" t="str">
            <v>Green</v>
          </cell>
          <cell r="O56" t="str">
            <v>Amber</v>
          </cell>
          <cell r="P56" t="str">
            <v>Green</v>
          </cell>
          <cell r="S56" t="str">
            <v>Amber</v>
          </cell>
          <cell r="T56" t="str">
            <v>Green</v>
          </cell>
          <cell r="W56" t="str">
            <v>Green</v>
          </cell>
          <cell r="X56" t="str">
            <v>Green</v>
          </cell>
          <cell r="AA56" t="str">
            <v>Amber</v>
          </cell>
          <cell r="AB56" t="str">
            <v>Amber</v>
          </cell>
          <cell r="AE56" t="str">
            <v>Amber</v>
          </cell>
          <cell r="AF56" t="str">
            <v>Green</v>
          </cell>
          <cell r="AI56" t="str">
            <v>Green</v>
          </cell>
          <cell r="AJ56" t="str">
            <v>Green</v>
          </cell>
          <cell r="AM56" t="str">
            <v>Green</v>
          </cell>
          <cell r="AN56" t="str">
            <v>Green</v>
          </cell>
          <cell r="AQ56" t="str">
            <v>Green</v>
          </cell>
          <cell r="AR56" t="str">
            <v>Green</v>
          </cell>
          <cell r="AU56" t="str">
            <v>Green</v>
          </cell>
          <cell r="AV56" t="str">
            <v>Green</v>
          </cell>
          <cell r="AY56" t="str">
            <v>Green</v>
          </cell>
          <cell r="AZ56" t="str">
            <v>Green</v>
          </cell>
        </row>
        <row r="61">
          <cell r="G61">
            <v>18.012859285439355</v>
          </cell>
          <cell r="H61">
            <v>19.27</v>
          </cell>
          <cell r="K61" t="str">
            <v>Green</v>
          </cell>
          <cell r="L61" t="str">
            <v>Green</v>
          </cell>
          <cell r="O61" t="str">
            <v>Green</v>
          </cell>
          <cell r="P61" t="str">
            <v>Green</v>
          </cell>
          <cell r="S61" t="str">
            <v>Green</v>
          </cell>
          <cell r="T61" t="str">
            <v>Green</v>
          </cell>
        </row>
        <row r="66">
          <cell r="G66">
            <v>0.6734</v>
          </cell>
          <cell r="H66">
            <v>0.56020000000000003</v>
          </cell>
        </row>
        <row r="71">
          <cell r="G71">
            <v>0</v>
          </cell>
          <cell r="H71">
            <v>2.3E-2</v>
          </cell>
        </row>
        <row r="72">
          <cell r="G72">
            <v>0</v>
          </cell>
          <cell r="H72">
            <v>0.63300000000000001</v>
          </cell>
        </row>
      </sheetData>
      <sheetData sheetId="12" refreshError="1"/>
      <sheetData sheetId="13" refreshError="1">
        <row r="8">
          <cell r="I8">
            <v>5.7389999999999999</v>
          </cell>
          <cell r="J8">
            <v>4.2750000000000004</v>
          </cell>
        </row>
        <row r="9">
          <cell r="I9">
            <v>212.25695836723742</v>
          </cell>
          <cell r="J9">
            <v>140.34060182681787</v>
          </cell>
        </row>
        <row r="15">
          <cell r="I15">
            <v>5.3999999999999999E-2</v>
          </cell>
          <cell r="J15">
            <v>0</v>
          </cell>
        </row>
        <row r="16">
          <cell r="I16">
            <v>0</v>
          </cell>
          <cell r="J16">
            <v>0</v>
          </cell>
        </row>
        <row r="17">
          <cell r="I17">
            <v>466.56872474185229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PR Graph Data (SWW)"/>
      <sheetName val="APR Graph Data (BW)"/>
      <sheetName val="2F (SWW)"/>
      <sheetName val="2F (BW)"/>
      <sheetName val="Delivering Against Targets"/>
      <sheetName val="3A"/>
      <sheetName val="3A (BW)"/>
      <sheetName val="3B"/>
      <sheetName val="3B (BW)"/>
      <sheetName val="3D"/>
      <sheetName val="3D (BW)"/>
      <sheetName val="3S"/>
      <sheetName val="3S (BW)"/>
      <sheetName val="4A"/>
      <sheetName val="4A (BW)"/>
      <sheetName val="4O"/>
      <sheetName val="4P"/>
      <sheetName val="4Q"/>
      <sheetName val="4R"/>
      <sheetName val="4S"/>
      <sheetName val="4T"/>
      <sheetName val="4U"/>
      <sheetName val="AMP7 ODIs"/>
      <sheetName val="Audit Accountability v2"/>
      <sheetName val="3S (Combined)"/>
      <sheetName val="Leakage and Volumes ODI"/>
      <sheetName val="Leakage and volumes ODI (BW)"/>
      <sheetName val="Water Explanatory Factor"/>
      <sheetName val="Water Explanatory Factor (BW)"/>
      <sheetName val="Water Reliability ODIs"/>
      <sheetName val="Water Reliability ODIs (BW)"/>
      <sheetName val="Metering"/>
      <sheetName val="Metering (BW)"/>
      <sheetName val="WQ and Asset Health Water ODI"/>
      <sheetName val="WQ and Asset Health Water O(BW)"/>
      <sheetName val="SIM"/>
      <sheetName val="SIM (BW)"/>
      <sheetName val="Contacts"/>
      <sheetName val="Contacts (BW)"/>
      <sheetName val="Supply Int and Pressure ODI"/>
      <sheetName val="Sup Int and Pressure ODIs (BW)"/>
      <sheetName val="Pollution ODIs"/>
      <sheetName val="Pollution ODIs (BW)"/>
      <sheetName val="Water Security ODIs"/>
      <sheetName val="Water Security ODIs (BW)"/>
      <sheetName val="Water Enviro ODIs"/>
      <sheetName val="Water Enviro ODIs (BW)"/>
      <sheetName val="Written Contacts"/>
      <sheetName val="Written Contacts (BW)"/>
      <sheetName val="Telephone Contacts"/>
      <sheetName val="Telephone Contacts (BW)"/>
      <sheetName val="GSS"/>
      <sheetName val="GSS (BW)"/>
      <sheetName val="Water Explanatory Factors"/>
      <sheetName val="Water Explanatory Factors (BW)"/>
      <sheetName val="Energy ODI"/>
      <sheetName val="Energy ODI (BW)"/>
      <sheetName val="Health and Safety ODI"/>
      <sheetName val="Water Prop and Pop and Bill"/>
      <sheetName val="Water Prop and Pop and Bill(BW)"/>
      <sheetName val="WW Large Works"/>
      <sheetName val="WW Assets"/>
      <sheetName val="Sewage Prop and Pop and Bill"/>
      <sheetName val="Waste Water Explanatory Factors"/>
      <sheetName val="BWQ ODI"/>
      <sheetName val="Sewer Flooding"/>
      <sheetName val="Wastewater Asset Health"/>
      <sheetName val="Sludge"/>
      <sheetName val="Sewage"/>
      <sheetName val="Customer Satisfaction ODI"/>
      <sheetName val="Customer Satisfaction ODI (BW)"/>
      <sheetName val="Community Scorecard ODI"/>
      <sheetName val="Community Scorecard ODI (BW)"/>
      <sheetName val="Retail ODI (BW)"/>
    </sheetNames>
    <sheetDataSet>
      <sheetData sheetId="0"/>
      <sheetData sheetId="1"/>
      <sheetData sheetId="2"/>
      <sheetData sheetId="3"/>
      <sheetData sheetId="4"/>
      <sheetData sheetId="5"/>
      <sheetData sheetId="6"/>
      <sheetData sheetId="7">
        <row r="5">
          <cell r="J5" t="str">
            <v>Stable</v>
          </cell>
          <cell r="K5" t="str">
            <v>Yes</v>
          </cell>
        </row>
        <row r="6">
          <cell r="J6">
            <v>2517</v>
          </cell>
          <cell r="K6" t="str">
            <v>Yes</v>
          </cell>
        </row>
        <row r="7">
          <cell r="J7">
            <v>471</v>
          </cell>
          <cell r="K7" t="str">
            <v>Yes</v>
          </cell>
        </row>
        <row r="8">
          <cell r="J8">
            <v>0.2</v>
          </cell>
          <cell r="K8" t="str">
            <v>Yes</v>
          </cell>
        </row>
        <row r="9">
          <cell r="J9">
            <v>158</v>
          </cell>
          <cell r="K9" t="str">
            <v>Yes</v>
          </cell>
        </row>
        <row r="10">
          <cell r="J10">
            <v>1.61</v>
          </cell>
          <cell r="K10" t="str">
            <v>Yes</v>
          </cell>
        </row>
        <row r="11">
          <cell r="J11">
            <v>7.0000000000000007E-2</v>
          </cell>
          <cell r="K11" t="str">
            <v>Yes</v>
          </cell>
        </row>
        <row r="12">
          <cell r="J12" t="str">
            <v>Stable</v>
          </cell>
          <cell r="K12" t="str">
            <v>Yes</v>
          </cell>
        </row>
        <row r="13">
          <cell r="J13">
            <v>0.03</v>
          </cell>
          <cell r="K13" t="str">
            <v>Yes</v>
          </cell>
        </row>
        <row r="14">
          <cell r="J14">
            <v>0</v>
          </cell>
          <cell r="K14" t="str">
            <v>Yes</v>
          </cell>
        </row>
        <row r="15">
          <cell r="J15">
            <v>0</v>
          </cell>
          <cell r="K15" t="str">
            <v>Yes</v>
          </cell>
        </row>
        <row r="16">
          <cell r="J16">
            <v>1</v>
          </cell>
          <cell r="K16" t="str">
            <v>Yes</v>
          </cell>
        </row>
        <row r="17">
          <cell r="J17">
            <v>2607</v>
          </cell>
          <cell r="K17" t="str">
            <v>Yes</v>
          </cell>
        </row>
        <row r="18">
          <cell r="J18" t="str">
            <v>Stable</v>
          </cell>
          <cell r="K18" t="str">
            <v>Yes</v>
          </cell>
        </row>
        <row r="19">
          <cell r="J19">
            <v>170</v>
          </cell>
          <cell r="K19" t="str">
            <v>Yes</v>
          </cell>
        </row>
        <row r="20">
          <cell r="J20">
            <v>107</v>
          </cell>
          <cell r="K20" t="str">
            <v>No</v>
          </cell>
        </row>
        <row r="21">
          <cell r="J21">
            <v>55</v>
          </cell>
          <cell r="K21" t="str">
            <v>Yes</v>
          </cell>
        </row>
        <row r="22">
          <cell r="J22">
            <v>1</v>
          </cell>
          <cell r="K22" t="str">
            <v>Yes</v>
          </cell>
        </row>
        <row r="23">
          <cell r="J23">
            <v>3136</v>
          </cell>
          <cell r="K23" t="str">
            <v>Yes</v>
          </cell>
        </row>
        <row r="24">
          <cell r="J24">
            <v>126</v>
          </cell>
          <cell r="K24" t="str">
            <v>Yes</v>
          </cell>
        </row>
        <row r="25">
          <cell r="J25" t="str">
            <v>Stable</v>
          </cell>
          <cell r="K25" t="str">
            <v>Yes</v>
          </cell>
        </row>
        <row r="26">
          <cell r="J26">
            <v>1.3029315960912058</v>
          </cell>
          <cell r="K26" t="str">
            <v>Yes</v>
          </cell>
        </row>
        <row r="27">
          <cell r="J27">
            <v>0.10933791973831708</v>
          </cell>
          <cell r="K27" t="str">
            <v>Yes</v>
          </cell>
        </row>
        <row r="28">
          <cell r="J28">
            <v>7073</v>
          </cell>
          <cell r="K28" t="str">
            <v>Yes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wp-content/uploads/2019/03/IN-1903-2018-19-RAG-1.pdf" TargetMode="External"/><Relationship Id="rId2" Type="http://schemas.openxmlformats.org/officeDocument/2006/relationships/hyperlink" Target="https://www.ofwat.gov.uk/wp-content/uploads/2019/03/IN-1906-Expectations-for-monopoly-company-annual-performance-reporting-2018-19_FINAL-1.pdf" TargetMode="External"/><Relationship Id="rId1" Type="http://schemas.openxmlformats.org/officeDocument/2006/relationships/hyperlink" Target="mailto:PR19@ofwat.gsi.gov.uk" TargetMode="Externa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9.bin"/><Relationship Id="rId1" Type="http://schemas.openxmlformats.org/officeDocument/2006/relationships/hyperlink" Target="https://www.ofwat.gov.uk/outcomes-definitions-pr19/"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36.bin"/><Relationship Id="rId4" Type="http://schemas.openxmlformats.org/officeDocument/2006/relationships/comments" Target="../comments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8.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5">
    <tabColor rgb="FFFF0000"/>
  </sheetPr>
  <dimension ref="A1:B15"/>
  <sheetViews>
    <sheetView workbookViewId="0"/>
  </sheetViews>
  <sheetFormatPr defaultRowHeight="14.25"/>
  <sheetData>
    <row r="1" spans="1:2">
      <c r="A1" t="s">
        <v>13218</v>
      </c>
      <c r="B1" t="s">
        <v>13222</v>
      </c>
    </row>
    <row r="2" spans="1:2">
      <c r="A2" t="s">
        <v>12211</v>
      </c>
      <c r="B2" t="s">
        <v>13198</v>
      </c>
    </row>
    <row r="3" spans="1:2">
      <c r="A3" t="s">
        <v>13199</v>
      </c>
      <c r="B3" t="s">
        <v>13205</v>
      </c>
    </row>
    <row r="4" spans="1:2">
      <c r="A4" t="s">
        <v>13200</v>
      </c>
      <c r="B4" t="s">
        <v>13206</v>
      </c>
    </row>
    <row r="5" spans="1:2">
      <c r="A5" t="s">
        <v>13201</v>
      </c>
      <c r="B5" t="s">
        <v>13202</v>
      </c>
    </row>
    <row r="6" spans="1:2">
      <c r="A6" t="s">
        <v>13203</v>
      </c>
      <c r="B6" t="s">
        <v>13204</v>
      </c>
    </row>
    <row r="7" spans="1:2">
      <c r="A7" t="s">
        <v>13207</v>
      </c>
      <c r="B7" t="s">
        <v>13220</v>
      </c>
    </row>
    <row r="8" spans="1:2">
      <c r="A8" t="s">
        <v>13208</v>
      </c>
      <c r="B8" t="s">
        <v>13209</v>
      </c>
    </row>
    <row r="9" spans="1:2">
      <c r="A9" t="s">
        <v>13210</v>
      </c>
      <c r="B9" t="s">
        <v>13209</v>
      </c>
    </row>
    <row r="10" spans="1:2">
      <c r="A10" t="s">
        <v>13211</v>
      </c>
      <c r="B10" t="s">
        <v>13219</v>
      </c>
    </row>
    <row r="11" spans="1:2">
      <c r="A11" t="s">
        <v>13212</v>
      </c>
      <c r="B11" t="s">
        <v>13219</v>
      </c>
    </row>
    <row r="12" spans="1:2">
      <c r="A12" t="s">
        <v>13213</v>
      </c>
      <c r="B12" t="s">
        <v>13219</v>
      </c>
    </row>
    <row r="13" spans="1:2">
      <c r="A13" t="s">
        <v>13214</v>
      </c>
      <c r="B13" t="s">
        <v>13219</v>
      </c>
    </row>
    <row r="14" spans="1:2">
      <c r="A14" t="s">
        <v>13215</v>
      </c>
      <c r="B14" t="s">
        <v>13216</v>
      </c>
    </row>
    <row r="15" spans="1:2">
      <c r="A15" t="s">
        <v>13217</v>
      </c>
      <c r="B15" t="s">
        <v>13221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8">
    <pageSetUpPr fitToPage="1"/>
  </sheetPr>
  <dimension ref="A1:AJ50"/>
  <sheetViews>
    <sheetView workbookViewId="0"/>
  </sheetViews>
  <sheetFormatPr defaultColWidth="0" defaultRowHeight="14.25" zeroHeight="1"/>
  <cols>
    <col min="1" max="1" width="0.625" style="71" customWidth="1"/>
    <col min="2" max="2" width="5.5" style="71" customWidth="1"/>
    <col min="3" max="3" width="38.125" style="71" customWidth="1"/>
    <col min="4" max="4" width="2.625" style="71" hidden="1" customWidth="1"/>
    <col min="5" max="6" width="5.125" style="71" customWidth="1"/>
    <col min="7" max="10" width="12.5" style="71" customWidth="1"/>
    <col min="11" max="11" width="2.625" style="71" customWidth="1"/>
    <col min="12" max="12" width="22" style="71" customWidth="1"/>
    <col min="13" max="13" width="20.125" style="71" customWidth="1"/>
    <col min="14" max="14" width="1.625" style="71" customWidth="1"/>
    <col min="15" max="15" width="1.625" style="72" hidden="1" customWidth="1"/>
    <col min="16" max="19" width="5.625" style="71" hidden="1" customWidth="1"/>
    <col min="20" max="20" width="1.625" style="72" hidden="1" customWidth="1"/>
    <col min="21" max="24" width="5.125" style="71" hidden="1" customWidth="1"/>
    <col min="25" max="25" width="1.625" style="72" hidden="1" customWidth="1"/>
    <col min="26" max="26" width="8.125" style="71" customWidth="1"/>
    <col min="27" max="27" width="5.5" style="71" customWidth="1"/>
    <col min="28" max="28" width="38.125" style="71" customWidth="1"/>
    <col min="29" max="29" width="2.625" style="71" hidden="1" customWidth="1"/>
    <col min="30" max="31" width="5.125" style="71" customWidth="1"/>
    <col min="32" max="35" width="12.5" style="71" customWidth="1"/>
    <col min="36" max="36" width="3.25" style="71" customWidth="1"/>
    <col min="37" max="16384" width="8.125" style="71" hidden="1"/>
  </cols>
  <sheetData>
    <row r="1" spans="2:35" ht="18.75">
      <c r="B1" s="67" t="s">
        <v>12525</v>
      </c>
      <c r="C1" s="67"/>
      <c r="D1" s="67"/>
      <c r="E1" s="67"/>
      <c r="F1" s="67"/>
      <c r="G1" s="67"/>
      <c r="H1" s="67"/>
      <c r="I1" s="67"/>
      <c r="J1" s="69" t="str">
        <f>Validation!B3</f>
        <v>South West Water – South West area</v>
      </c>
      <c r="K1" s="67"/>
      <c r="L1" s="67"/>
      <c r="M1" s="70" t="s">
        <v>2394</v>
      </c>
      <c r="AA1" s="67" t="s">
        <v>6671</v>
      </c>
      <c r="AB1" s="67"/>
      <c r="AC1" s="67"/>
      <c r="AD1" s="67"/>
      <c r="AE1" s="67"/>
      <c r="AF1" s="67"/>
      <c r="AG1" s="67"/>
      <c r="AH1" s="67"/>
      <c r="AI1" s="69"/>
    </row>
    <row r="2" spans="2:35" ht="15" thickBot="1">
      <c r="B2" s="74" t="s">
        <v>12524</v>
      </c>
      <c r="AA2" s="74" t="str">
        <f>B2</f>
        <v>For the 12 months ended 31 March 2019</v>
      </c>
    </row>
    <row r="3" spans="2:35" ht="15" customHeight="1">
      <c r="B3" s="3200" t="s">
        <v>2395</v>
      </c>
      <c r="C3" s="3201"/>
      <c r="D3" s="1447" t="s">
        <v>6496</v>
      </c>
      <c r="E3" s="3204" t="s">
        <v>2396</v>
      </c>
      <c r="F3" s="3206" t="s">
        <v>2397</v>
      </c>
      <c r="G3" s="3231" t="s">
        <v>2550</v>
      </c>
      <c r="H3" s="3232"/>
      <c r="I3" s="3232"/>
      <c r="J3" s="3233"/>
      <c r="L3" s="3213" t="s">
        <v>2577</v>
      </c>
      <c r="M3" s="3213" t="s">
        <v>1361</v>
      </c>
      <c r="P3" s="3215" t="s">
        <v>2404</v>
      </c>
      <c r="Q3" s="3215"/>
      <c r="R3" s="3215"/>
      <c r="S3" s="3215"/>
      <c r="U3" s="3215" t="s">
        <v>6502</v>
      </c>
      <c r="V3" s="3215"/>
      <c r="W3" s="3215"/>
      <c r="X3" s="3215"/>
      <c r="AA3" s="3200" t="s">
        <v>2395</v>
      </c>
      <c r="AB3" s="3201"/>
      <c r="AC3" s="1680" t="s">
        <v>6496</v>
      </c>
      <c r="AD3" s="3204" t="s">
        <v>2396</v>
      </c>
      <c r="AE3" s="3206" t="s">
        <v>2397</v>
      </c>
      <c r="AF3" s="3231" t="s">
        <v>2550</v>
      </c>
      <c r="AG3" s="3232"/>
      <c r="AH3" s="3232"/>
      <c r="AI3" s="3233"/>
    </row>
    <row r="4" spans="2:35" ht="15" customHeight="1" thickBot="1">
      <c r="B4" s="3202"/>
      <c r="C4" s="3203"/>
      <c r="D4" s="1448"/>
      <c r="E4" s="3205"/>
      <c r="F4" s="3207"/>
      <c r="G4" s="80" t="s">
        <v>2551</v>
      </c>
      <c r="H4" s="81" t="s">
        <v>2552</v>
      </c>
      <c r="I4" s="81" t="s">
        <v>2553</v>
      </c>
      <c r="J4" s="82" t="s">
        <v>2554</v>
      </c>
      <c r="L4" s="3214"/>
      <c r="M4" s="3214"/>
      <c r="N4" s="83"/>
      <c r="P4" s="3215"/>
      <c r="Q4" s="3215"/>
      <c r="R4" s="3215"/>
      <c r="S4" s="3215"/>
      <c r="U4" s="3215"/>
      <c r="V4" s="3215"/>
      <c r="W4" s="3215"/>
      <c r="X4" s="3215"/>
      <c r="AA4" s="3202"/>
      <c r="AB4" s="3203"/>
      <c r="AC4" s="1681"/>
      <c r="AD4" s="3205"/>
      <c r="AE4" s="3207"/>
      <c r="AF4" s="1682" t="s">
        <v>2551</v>
      </c>
      <c r="AG4" s="81" t="s">
        <v>2552</v>
      </c>
      <c r="AH4" s="81" t="s">
        <v>2553</v>
      </c>
      <c r="AI4" s="1683" t="s">
        <v>2554</v>
      </c>
    </row>
    <row r="5" spans="2:35" ht="15" thickBot="1">
      <c r="P5" s="90" t="s">
        <v>2405</v>
      </c>
      <c r="U5" s="90" t="s">
        <v>3592</v>
      </c>
    </row>
    <row r="6" spans="2:35" ht="15" thickBot="1">
      <c r="B6" s="91" t="s">
        <v>5032</v>
      </c>
      <c r="C6" s="122" t="s">
        <v>2555</v>
      </c>
      <c r="D6" s="122"/>
      <c r="E6" s="93" t="s">
        <v>750</v>
      </c>
      <c r="F6" s="94">
        <v>3</v>
      </c>
      <c r="G6" s="462"/>
      <c r="H6" s="470"/>
      <c r="I6" s="470"/>
      <c r="J6" s="505">
        <f xml:space="preserve"> SUM( G6:I6 )</f>
        <v>0</v>
      </c>
      <c r="L6" s="1431" t="str">
        <f xml:space="preserve"> IF( SUM( T6:Y6 ) = 0, 0, $U$5 )</f>
        <v>Please enter a positive number</v>
      </c>
      <c r="M6" s="24" t="str">
        <f t="shared" ref="M6" si="0" xml:space="preserve"> IF( SUM( O6:T6 ) = 0, 0, $P$5 )</f>
        <v>Please complete all cells in row</v>
      </c>
      <c r="P6" s="98">
        <f xml:space="preserve"> IF( ISNUMBER( G6 ), 0, 1 )</f>
        <v>1</v>
      </c>
      <c r="Q6" s="98">
        <f xml:space="preserve"> IF( ISNUMBER( H6 ), 0, 1 )</f>
        <v>1</v>
      </c>
      <c r="R6" s="98">
        <f xml:space="preserve"> IF( ISNUMBER( I6 ), 0, 1 )</f>
        <v>1</v>
      </c>
      <c r="U6" s="98">
        <f>IF(ISNUMBER(G6), IF(G6&gt;=0, 0, 1), 1)</f>
        <v>1</v>
      </c>
      <c r="V6" s="98">
        <f t="shared" ref="V6:W6" si="1">IF(ISNUMBER(H6), IF(H6&gt;=0, 0, 1), 1)</f>
        <v>1</v>
      </c>
      <c r="W6" s="98">
        <f t="shared" si="1"/>
        <v>1</v>
      </c>
      <c r="AA6" s="91" t="s">
        <v>5032</v>
      </c>
      <c r="AB6" s="122" t="s">
        <v>2555</v>
      </c>
      <c r="AC6" s="122"/>
      <c r="AD6" s="93" t="s">
        <v>750</v>
      </c>
      <c r="AE6" s="94">
        <v>3</v>
      </c>
      <c r="AF6" s="2755" t="s">
        <v>7032</v>
      </c>
      <c r="AG6" s="2756" t="s">
        <v>7033</v>
      </c>
      <c r="AH6" s="2756" t="s">
        <v>7034</v>
      </c>
      <c r="AI6" s="505" t="s">
        <v>7035</v>
      </c>
    </row>
    <row r="7" spans="2:35">
      <c r="B7" s="99" t="s">
        <v>5033</v>
      </c>
      <c r="C7" s="92" t="s">
        <v>2477</v>
      </c>
      <c r="D7" s="92"/>
      <c r="E7" s="100" t="s">
        <v>750</v>
      </c>
      <c r="F7" s="101">
        <v>3</v>
      </c>
      <c r="J7" s="249">
        <f>-1 * '1C'!K41</f>
        <v>0</v>
      </c>
      <c r="M7" s="131"/>
      <c r="S7" s="132"/>
      <c r="AA7" s="99" t="s">
        <v>5033</v>
      </c>
      <c r="AB7" s="92" t="s">
        <v>2477</v>
      </c>
      <c r="AC7" s="92"/>
      <c r="AD7" s="100" t="s">
        <v>750</v>
      </c>
      <c r="AE7" s="101">
        <v>3</v>
      </c>
      <c r="AI7" s="249" t="s">
        <v>7036</v>
      </c>
    </row>
    <row r="8" spans="2:35">
      <c r="B8" s="99" t="s">
        <v>5034</v>
      </c>
      <c r="C8" s="92" t="s">
        <v>2556</v>
      </c>
      <c r="D8" s="92"/>
      <c r="E8" s="100" t="s">
        <v>750</v>
      </c>
      <c r="F8" s="101">
        <v>3</v>
      </c>
      <c r="J8" s="249">
        <f xml:space="preserve"> J6 + J7</f>
        <v>0</v>
      </c>
      <c r="M8" s="131"/>
      <c r="AA8" s="99" t="s">
        <v>5034</v>
      </c>
      <c r="AB8" s="92" t="s">
        <v>2556</v>
      </c>
      <c r="AC8" s="92"/>
      <c r="AD8" s="100" t="s">
        <v>750</v>
      </c>
      <c r="AE8" s="101">
        <v>3</v>
      </c>
      <c r="AI8" s="249" t="s">
        <v>7037</v>
      </c>
    </row>
    <row r="9" spans="2:35">
      <c r="B9" s="99" t="s">
        <v>5035</v>
      </c>
      <c r="C9" s="92" t="s">
        <v>2557</v>
      </c>
      <c r="D9" s="92"/>
      <c r="E9" s="100" t="s">
        <v>750</v>
      </c>
      <c r="F9" s="101">
        <v>3</v>
      </c>
      <c r="J9" s="427"/>
      <c r="M9" s="24" t="str">
        <f t="shared" ref="M9:M10" si="2" xml:space="preserve"> IF( SUM( O9:T9 ) = 0, 0, $P$5 )</f>
        <v>Please complete all cells in row</v>
      </c>
      <c r="S9" s="98">
        <f xml:space="preserve"> IF( ISNUMBER( J9 ), 0, 1 )</f>
        <v>1</v>
      </c>
      <c r="AA9" s="99" t="s">
        <v>5035</v>
      </c>
      <c r="AB9" s="92" t="s">
        <v>2557</v>
      </c>
      <c r="AC9" s="92"/>
      <c r="AD9" s="100" t="s">
        <v>750</v>
      </c>
      <c r="AE9" s="101">
        <v>3</v>
      </c>
      <c r="AI9" s="2762" t="s">
        <v>7038</v>
      </c>
    </row>
    <row r="10" spans="2:35">
      <c r="B10" s="99" t="s">
        <v>5036</v>
      </c>
      <c r="C10" s="92" t="s">
        <v>2558</v>
      </c>
      <c r="D10" s="92"/>
      <c r="E10" s="100" t="s">
        <v>750</v>
      </c>
      <c r="F10" s="101">
        <v>3</v>
      </c>
      <c r="J10" s="427"/>
      <c r="M10" s="24" t="str">
        <f t="shared" si="2"/>
        <v>Please complete all cells in row</v>
      </c>
      <c r="S10" s="98">
        <f xml:space="preserve"> IF( ISNUMBER( J10 ), 0, 1 )</f>
        <v>1</v>
      </c>
      <c r="AA10" s="99" t="s">
        <v>5036</v>
      </c>
      <c r="AB10" s="92" t="s">
        <v>2558</v>
      </c>
      <c r="AC10" s="92"/>
      <c r="AD10" s="100" t="s">
        <v>750</v>
      </c>
      <c r="AE10" s="101">
        <v>3</v>
      </c>
      <c r="AI10" s="2762" t="s">
        <v>7039</v>
      </c>
    </row>
    <row r="11" spans="2:35" ht="15" thickBot="1">
      <c r="B11" s="106" t="s">
        <v>5037</v>
      </c>
      <c r="C11" s="107" t="s">
        <v>2559</v>
      </c>
      <c r="D11" s="107"/>
      <c r="E11" s="108" t="s">
        <v>750</v>
      </c>
      <c r="F11" s="105">
        <v>3</v>
      </c>
      <c r="J11" s="208">
        <f xml:space="preserve"> SUM( J8:J10 )</f>
        <v>0</v>
      </c>
      <c r="M11" s="131"/>
      <c r="AA11" s="106" t="s">
        <v>5037</v>
      </c>
      <c r="AB11" s="107" t="s">
        <v>2559</v>
      </c>
      <c r="AC11" s="107"/>
      <c r="AD11" s="108" t="s">
        <v>750</v>
      </c>
      <c r="AE11" s="105">
        <v>3</v>
      </c>
      <c r="AI11" s="208" t="s">
        <v>7040</v>
      </c>
    </row>
    <row r="12" spans="2:35" ht="15" thickBot="1">
      <c r="M12" s="131"/>
    </row>
    <row r="13" spans="2:35">
      <c r="B13" s="91" t="s">
        <v>5038</v>
      </c>
      <c r="C13" s="122" t="s">
        <v>2560</v>
      </c>
      <c r="D13" s="122"/>
      <c r="E13" s="93" t="s">
        <v>76</v>
      </c>
      <c r="F13" s="94">
        <v>2</v>
      </c>
      <c r="J13" s="756">
        <f>IF(Validation!$H$3=1, IF( '4C'!G10 = 0, 0, J11 / '4C'!G10 ), IF( '4C'!G10 + '4C'!H10 + '4C'!I10 = 0, 0, J11 / ('4C'!G10 +'4C'!H10 + '4C'!I10) ))</f>
        <v>0</v>
      </c>
      <c r="M13" s="131"/>
      <c r="AA13" s="91" t="s">
        <v>5038</v>
      </c>
      <c r="AB13" s="122" t="s">
        <v>2560</v>
      </c>
      <c r="AC13" s="122"/>
      <c r="AD13" s="93" t="s">
        <v>76</v>
      </c>
      <c r="AE13" s="94">
        <v>2</v>
      </c>
      <c r="AI13" s="756" t="s">
        <v>7041</v>
      </c>
    </row>
    <row r="14" spans="2:35" ht="15" thickBot="1">
      <c r="B14" s="106" t="s">
        <v>5039</v>
      </c>
      <c r="C14" s="107" t="s">
        <v>2561</v>
      </c>
      <c r="D14" s="107"/>
      <c r="E14" s="108" t="s">
        <v>76</v>
      </c>
      <c r="F14" s="105">
        <v>2</v>
      </c>
      <c r="J14" s="693"/>
      <c r="L14" s="1431" t="str">
        <f xml:space="preserve"> IF( SUM( T14:Y14 ) = 0, 0, $U$5 )</f>
        <v>Please enter a positive number</v>
      </c>
      <c r="M14" s="24" t="str">
        <f t="shared" ref="M14:M17" si="3" xml:space="preserve"> IF( SUM( O14:T14 ) = 0, 0, $P$5 )</f>
        <v>Please complete all cells in row</v>
      </c>
      <c r="S14" s="98">
        <f xml:space="preserve"> IF( ISNUMBER( J14 ), 0, 1 )</f>
        <v>1</v>
      </c>
      <c r="X14" s="98">
        <f t="shared" ref="X14" si="4">IF(ISNUMBER(J14), IF(J14&gt;=0, 0, 1), 1)</f>
        <v>1</v>
      </c>
      <c r="AA14" s="106" t="s">
        <v>5039</v>
      </c>
      <c r="AB14" s="107" t="s">
        <v>2561</v>
      </c>
      <c r="AC14" s="107"/>
      <c r="AD14" s="108" t="s">
        <v>76</v>
      </c>
      <c r="AE14" s="105">
        <v>2</v>
      </c>
      <c r="AI14" s="2772" t="s">
        <v>7042</v>
      </c>
    </row>
    <row r="15" spans="2:35" ht="15" thickBot="1">
      <c r="M15" s="232"/>
    </row>
    <row r="16" spans="2:35">
      <c r="B16" s="91" t="s">
        <v>5040</v>
      </c>
      <c r="C16" s="122" t="s">
        <v>2562</v>
      </c>
      <c r="D16" s="122"/>
      <c r="E16" s="93" t="s">
        <v>750</v>
      </c>
      <c r="F16" s="94">
        <v>3</v>
      </c>
      <c r="G16" s="430"/>
      <c r="H16" s="441"/>
      <c r="I16" s="441"/>
      <c r="J16" s="198">
        <f xml:space="preserve"> SUM( G16:I16 )</f>
        <v>0</v>
      </c>
      <c r="L16" s="1431" t="str">
        <f xml:space="preserve"> IF( SUM( T16:Y16 ) = 0, 0, $U$5 )</f>
        <v>Please enter a positive number</v>
      </c>
      <c r="M16" s="24" t="str">
        <f t="shared" si="3"/>
        <v>Please complete all cells in row</v>
      </c>
      <c r="P16" s="98">
        <f t="shared" ref="P16:R17" si="5" xml:space="preserve"> IF( ISNUMBER( G16 ), 0, 1 )</f>
        <v>1</v>
      </c>
      <c r="Q16" s="98">
        <f t="shared" si="5"/>
        <v>1</v>
      </c>
      <c r="R16" s="98">
        <f t="shared" si="5"/>
        <v>1</v>
      </c>
      <c r="U16" s="98">
        <f t="shared" ref="U16:U17" si="6">IF(ISNUMBER(G16), IF(G16&gt;=0, 0, 1), 1)</f>
        <v>1</v>
      </c>
      <c r="V16" s="98">
        <f t="shared" ref="V16:V17" si="7">IF(ISNUMBER(H16), IF(H16&gt;=0, 0, 1), 1)</f>
        <v>1</v>
      </c>
      <c r="W16" s="98">
        <f t="shared" ref="W16:W17" si="8">IF(ISNUMBER(I16), IF(I16&gt;=0, 0, 1), 1)</f>
        <v>1</v>
      </c>
      <c r="AA16" s="91" t="s">
        <v>5040</v>
      </c>
      <c r="AB16" s="122" t="s">
        <v>2562</v>
      </c>
      <c r="AC16" s="122"/>
      <c r="AD16" s="93" t="s">
        <v>750</v>
      </c>
      <c r="AE16" s="94">
        <v>3</v>
      </c>
      <c r="AF16" s="2747" t="s">
        <v>7043</v>
      </c>
      <c r="AG16" s="2748" t="s">
        <v>7044</v>
      </c>
      <c r="AH16" s="2748" t="s">
        <v>7045</v>
      </c>
      <c r="AI16" s="198" t="s">
        <v>7046</v>
      </c>
    </row>
    <row r="17" spans="2:35" ht="15" thickBot="1">
      <c r="B17" s="106" t="s">
        <v>5041</v>
      </c>
      <c r="C17" s="107" t="s">
        <v>2563</v>
      </c>
      <c r="D17" s="107"/>
      <c r="E17" s="108" t="s">
        <v>750</v>
      </c>
      <c r="F17" s="105">
        <v>3</v>
      </c>
      <c r="G17" s="471"/>
      <c r="H17" s="472"/>
      <c r="I17" s="472"/>
      <c r="J17" s="203">
        <f xml:space="preserve"> SUM( G17:I17 )</f>
        <v>0</v>
      </c>
      <c r="L17" s="1431" t="str">
        <f xml:space="preserve"> IF( SUM( T17:Y17 ) = 0, 0, $U$5 )</f>
        <v>Please enter a positive number</v>
      </c>
      <c r="M17" s="24" t="str">
        <f t="shared" si="3"/>
        <v>Please complete all cells in row</v>
      </c>
      <c r="P17" s="98">
        <f t="shared" si="5"/>
        <v>1</v>
      </c>
      <c r="Q17" s="98">
        <f t="shared" si="5"/>
        <v>1</v>
      </c>
      <c r="R17" s="98">
        <f t="shared" si="5"/>
        <v>1</v>
      </c>
      <c r="U17" s="98">
        <f t="shared" si="6"/>
        <v>1</v>
      </c>
      <c r="V17" s="98">
        <f t="shared" si="7"/>
        <v>1</v>
      </c>
      <c r="W17" s="98">
        <f t="shared" si="8"/>
        <v>1</v>
      </c>
      <c r="AA17" s="106" t="s">
        <v>5041</v>
      </c>
      <c r="AB17" s="107" t="s">
        <v>2563</v>
      </c>
      <c r="AC17" s="107"/>
      <c r="AD17" s="108" t="s">
        <v>750</v>
      </c>
      <c r="AE17" s="105">
        <v>3</v>
      </c>
      <c r="AF17" s="2773" t="s">
        <v>7047</v>
      </c>
      <c r="AG17" s="2774" t="s">
        <v>7048</v>
      </c>
      <c r="AH17" s="2774" t="s">
        <v>7049</v>
      </c>
      <c r="AI17" s="203" t="s">
        <v>7050</v>
      </c>
    </row>
    <row r="18" spans="2:35" ht="15" thickBot="1">
      <c r="M18" s="131"/>
    </row>
    <row r="19" spans="2:35" ht="15" thickBot="1">
      <c r="B19" s="87" t="s">
        <v>2449</v>
      </c>
      <c r="C19" s="88" t="s">
        <v>2564</v>
      </c>
      <c r="D19" s="1584"/>
      <c r="M19" s="131"/>
      <c r="AA19" s="87" t="s">
        <v>2449</v>
      </c>
      <c r="AB19" s="88" t="s">
        <v>2564</v>
      </c>
      <c r="AC19" s="1584"/>
    </row>
    <row r="20" spans="2:35">
      <c r="B20" s="91" t="s">
        <v>5042</v>
      </c>
      <c r="C20" s="122" t="s">
        <v>2565</v>
      </c>
      <c r="D20" s="122"/>
      <c r="E20" s="93" t="s">
        <v>76</v>
      </c>
      <c r="F20" s="223">
        <v>2</v>
      </c>
      <c r="G20" s="757"/>
      <c r="H20" s="758"/>
      <c r="I20" s="758"/>
      <c r="J20" s="759"/>
      <c r="L20" s="1431" t="str">
        <f xml:space="preserve"> IF( SUM( T20:Y20 ) = 0, 0, $U$5 )</f>
        <v>Please enter a positive number</v>
      </c>
      <c r="M20" s="24" t="str">
        <f t="shared" ref="M20:M21" si="9" xml:space="preserve"> IF( SUM( O20:T20 ) = 0, 0, $P$5 )</f>
        <v>Please complete all cells in row</v>
      </c>
      <c r="P20" s="98">
        <f t="shared" ref="P20:S21" si="10" xml:space="preserve"> IF( ISNUMBER( G20 ), 0, 1 )</f>
        <v>1</v>
      </c>
      <c r="Q20" s="98">
        <f t="shared" si="10"/>
        <v>1</v>
      </c>
      <c r="R20" s="98">
        <f t="shared" si="10"/>
        <v>1</v>
      </c>
      <c r="S20" s="98">
        <f t="shared" si="10"/>
        <v>1</v>
      </c>
      <c r="U20" s="98">
        <f t="shared" ref="U20:U21" si="11">IF(ISNUMBER(G20), IF(G20&gt;=0, 0, 1), 1)</f>
        <v>1</v>
      </c>
      <c r="V20" s="98">
        <f t="shared" ref="V20:V21" si="12">IF(ISNUMBER(H20), IF(H20&gt;=0, 0, 1), 1)</f>
        <v>1</v>
      </c>
      <c r="W20" s="98">
        <f t="shared" ref="W20:W21" si="13">IF(ISNUMBER(I20), IF(I20&gt;=0, 0, 1), 1)</f>
        <v>1</v>
      </c>
      <c r="X20" s="98">
        <f t="shared" ref="X20:X21" si="14">IF(ISNUMBER(J20), IF(J20&gt;=0, 0, 1), 1)</f>
        <v>1</v>
      </c>
      <c r="AA20" s="91" t="s">
        <v>5042</v>
      </c>
      <c r="AB20" s="122" t="s">
        <v>2565</v>
      </c>
      <c r="AC20" s="122"/>
      <c r="AD20" s="93" t="s">
        <v>76</v>
      </c>
      <c r="AE20" s="223">
        <v>2</v>
      </c>
      <c r="AF20" s="2775" t="s">
        <v>7051</v>
      </c>
      <c r="AG20" s="2776" t="s">
        <v>7052</v>
      </c>
      <c r="AH20" s="2776" t="s">
        <v>7053</v>
      </c>
      <c r="AI20" s="2777" t="s">
        <v>7054</v>
      </c>
    </row>
    <row r="21" spans="2:35" ht="15" thickBot="1">
      <c r="B21" s="181" t="s">
        <v>5043</v>
      </c>
      <c r="C21" s="407" t="s">
        <v>2566</v>
      </c>
      <c r="D21" s="407"/>
      <c r="E21" s="182" t="s">
        <v>76</v>
      </c>
      <c r="F21" s="408">
        <v>2</v>
      </c>
      <c r="G21" s="760"/>
      <c r="H21" s="761"/>
      <c r="I21" s="761"/>
      <c r="J21" s="762"/>
      <c r="L21" s="1431" t="str">
        <f xml:space="preserve"> IF( SUM( T21:Y21 ) = 0, 0, $U$5 )</f>
        <v>Please enter a positive number</v>
      </c>
      <c r="M21" s="24" t="str">
        <f t="shared" si="9"/>
        <v>Please complete all cells in row</v>
      </c>
      <c r="P21" s="98">
        <f t="shared" si="10"/>
        <v>1</v>
      </c>
      <c r="Q21" s="98">
        <f t="shared" si="10"/>
        <v>1</v>
      </c>
      <c r="R21" s="98">
        <f t="shared" si="10"/>
        <v>1</v>
      </c>
      <c r="S21" s="98">
        <f t="shared" si="10"/>
        <v>1</v>
      </c>
      <c r="U21" s="98">
        <f t="shared" si="11"/>
        <v>1</v>
      </c>
      <c r="V21" s="98">
        <f t="shared" si="12"/>
        <v>1</v>
      </c>
      <c r="W21" s="98">
        <f t="shared" si="13"/>
        <v>1</v>
      </c>
      <c r="X21" s="98">
        <f t="shared" si="14"/>
        <v>1</v>
      </c>
      <c r="AA21" s="181" t="s">
        <v>5043</v>
      </c>
      <c r="AB21" s="407" t="s">
        <v>2566</v>
      </c>
      <c r="AC21" s="407"/>
      <c r="AD21" s="182" t="s">
        <v>76</v>
      </c>
      <c r="AE21" s="408">
        <v>2</v>
      </c>
      <c r="AF21" s="2778" t="s">
        <v>7055</v>
      </c>
      <c r="AG21" s="2779" t="s">
        <v>7056</v>
      </c>
      <c r="AH21" s="2779" t="s">
        <v>7057</v>
      </c>
      <c r="AI21" s="2780" t="s">
        <v>7058</v>
      </c>
    </row>
    <row r="22" spans="2:35" s="115" customFormat="1" ht="15" thickBot="1">
      <c r="C22" s="157"/>
      <c r="D22" s="157"/>
      <c r="H22" s="170"/>
      <c r="J22" s="123"/>
      <c r="K22" s="123"/>
      <c r="L22" s="123"/>
      <c r="M22" s="125"/>
      <c r="N22" s="123"/>
      <c r="O22" s="72"/>
      <c r="P22" s="125"/>
      <c r="Q22" s="123"/>
      <c r="R22" s="288"/>
      <c r="T22" s="72"/>
      <c r="Y22" s="72"/>
      <c r="AB22" s="157"/>
      <c r="AC22" s="157"/>
      <c r="AG22" s="170"/>
      <c r="AI22" s="123"/>
    </row>
    <row r="23" spans="2:35" ht="15" thickBot="1">
      <c r="B23" s="136" t="s">
        <v>5044</v>
      </c>
      <c r="C23" s="695" t="s">
        <v>3182</v>
      </c>
      <c r="D23" s="1604"/>
      <c r="E23" s="697" t="s">
        <v>48</v>
      </c>
      <c r="F23" s="696">
        <v>2</v>
      </c>
      <c r="G23" s="506"/>
      <c r="H23" s="507"/>
      <c r="I23" s="507"/>
      <c r="J23" s="508"/>
      <c r="L23" s="1431" t="str">
        <f xml:space="preserve"> IF( SUM( T23:Y23 ) = 0, 0, $U$5 )</f>
        <v>Please enter a positive number</v>
      </c>
      <c r="M23" s="24" t="str">
        <f t="shared" ref="M23" si="15" xml:space="preserve"> IF( SUM( O23:T23 ) = 0, 0, $P$5 )</f>
        <v>Please complete all cells in row</v>
      </c>
      <c r="P23" s="98">
        <f xml:space="preserve"> IF( ISNUMBER( G23 ), 0, 1 )</f>
        <v>1</v>
      </c>
      <c r="Q23" s="98">
        <f t="shared" ref="Q23" si="16" xml:space="preserve"> IF( ISNUMBER( H23 ), 0, 1 )</f>
        <v>1</v>
      </c>
      <c r="R23" s="98">
        <f t="shared" ref="R23" si="17" xml:space="preserve"> IF( ISNUMBER( I23 ), 0, 1 )</f>
        <v>1</v>
      </c>
      <c r="S23" s="98">
        <f t="shared" ref="S23" si="18" xml:space="preserve"> IF( ISNUMBER( J23 ), 0, 1 )</f>
        <v>1</v>
      </c>
      <c r="U23" s="98">
        <f t="shared" ref="U23" si="19">IF(ISNUMBER(G23), IF(G23&gt;=0, 0, 1), 1)</f>
        <v>1</v>
      </c>
      <c r="V23" s="98">
        <f t="shared" ref="V23" si="20">IF(ISNUMBER(H23), IF(H23&gt;=0, 0, 1), 1)</f>
        <v>1</v>
      </c>
      <c r="W23" s="98">
        <f t="shared" ref="W23" si="21">IF(ISNUMBER(I23), IF(I23&gt;=0, 0, 1), 1)</f>
        <v>1</v>
      </c>
      <c r="X23" s="98">
        <f t="shared" ref="X23" si="22">IF(ISNUMBER(J23), IF(J23&gt;=0, 0, 1), 1)</f>
        <v>1</v>
      </c>
      <c r="AA23" s="136" t="s">
        <v>5044</v>
      </c>
      <c r="AB23" s="695" t="s">
        <v>3182</v>
      </c>
      <c r="AC23" s="1604"/>
      <c r="AD23" s="697" t="s">
        <v>48</v>
      </c>
      <c r="AE23" s="696">
        <v>2</v>
      </c>
      <c r="AF23" s="2781" t="s">
        <v>7059</v>
      </c>
      <c r="AG23" s="2782" t="s">
        <v>7060</v>
      </c>
      <c r="AH23" s="2782" t="s">
        <v>7061</v>
      </c>
      <c r="AI23" s="2783" t="s">
        <v>7062</v>
      </c>
    </row>
    <row r="24" spans="2:35" s="115" customFormat="1">
      <c r="C24" s="157"/>
      <c r="D24" s="157"/>
      <c r="H24" s="170"/>
      <c r="J24" s="123"/>
      <c r="K24" s="123"/>
      <c r="L24" s="123"/>
      <c r="M24" s="125"/>
      <c r="N24" s="123"/>
      <c r="O24" s="72"/>
      <c r="P24" s="125"/>
      <c r="Q24" s="123"/>
      <c r="R24" s="288"/>
      <c r="T24" s="72"/>
      <c r="Y24" s="72"/>
      <c r="AB24" s="157"/>
      <c r="AC24" s="157"/>
      <c r="AG24" s="170"/>
      <c r="AI24" s="123"/>
    </row>
    <row r="25" spans="2:35" s="170" customFormat="1" ht="12.75">
      <c r="B25" s="3220" t="s">
        <v>2420</v>
      </c>
      <c r="C25" s="3220"/>
      <c r="D25" s="1449"/>
      <c r="J25" s="131"/>
      <c r="K25" s="131"/>
      <c r="L25" s="131"/>
      <c r="M25" s="131"/>
      <c r="N25" s="131"/>
      <c r="O25" s="129"/>
      <c r="P25" s="131"/>
      <c r="Q25" s="131"/>
      <c r="R25" s="211"/>
      <c r="T25" s="129"/>
      <c r="Y25" s="129"/>
    </row>
    <row r="26" spans="2:35" s="170" customFormat="1" ht="12">
      <c r="B26" s="146"/>
      <c r="C26" s="147"/>
      <c r="D26" s="147"/>
      <c r="J26" s="131"/>
      <c r="K26" s="131"/>
      <c r="L26" s="131"/>
      <c r="M26" s="131"/>
      <c r="N26" s="131"/>
      <c r="O26" s="124"/>
      <c r="P26" s="131"/>
      <c r="Q26" s="131"/>
      <c r="R26" s="211"/>
      <c r="T26" s="124"/>
      <c r="Y26" s="124"/>
    </row>
    <row r="27" spans="2:35" s="170" customFormat="1" ht="12">
      <c r="B27" s="25"/>
      <c r="C27" s="148" t="s">
        <v>2421</v>
      </c>
      <c r="D27" s="148"/>
      <c r="J27" s="131"/>
      <c r="K27" s="131"/>
      <c r="L27" s="131"/>
      <c r="M27" s="131"/>
      <c r="N27" s="131"/>
      <c r="O27" s="124"/>
      <c r="P27" s="131"/>
      <c r="Q27" s="131"/>
      <c r="R27" s="211"/>
      <c r="T27" s="124"/>
      <c r="Y27" s="124"/>
    </row>
    <row r="28" spans="2:35" s="170" customFormat="1" ht="12">
      <c r="B28" s="146"/>
      <c r="C28" s="147"/>
      <c r="D28" s="147"/>
      <c r="J28" s="131"/>
      <c r="K28" s="131"/>
      <c r="L28" s="131"/>
      <c r="M28" s="131"/>
      <c r="N28" s="131"/>
      <c r="O28" s="124"/>
      <c r="P28" s="131"/>
      <c r="Q28" s="131"/>
      <c r="R28" s="211"/>
      <c r="T28" s="124"/>
      <c r="Y28" s="124"/>
    </row>
    <row r="29" spans="2:35" s="170" customFormat="1" ht="12">
      <c r="B29" s="149"/>
      <c r="C29" s="148" t="s">
        <v>2422</v>
      </c>
      <c r="D29" s="148"/>
      <c r="J29" s="131"/>
      <c r="K29" s="131"/>
      <c r="L29" s="131"/>
      <c r="M29" s="131"/>
      <c r="N29" s="131"/>
      <c r="O29" s="124"/>
      <c r="P29" s="131"/>
      <c r="Q29" s="131"/>
      <c r="R29" s="211"/>
      <c r="T29" s="124"/>
      <c r="Y29" s="124"/>
    </row>
    <row r="30" spans="2:35" s="170" customFormat="1" ht="12">
      <c r="B30" s="150"/>
      <c r="C30" s="148"/>
      <c r="D30" s="148"/>
      <c r="J30" s="131"/>
      <c r="K30" s="131"/>
      <c r="L30" s="131"/>
      <c r="M30" s="131"/>
      <c r="N30" s="131"/>
      <c r="O30" s="124"/>
      <c r="P30" s="131"/>
      <c r="Q30" s="131"/>
      <c r="R30" s="211"/>
      <c r="T30" s="124"/>
      <c r="Y30" s="124"/>
    </row>
    <row r="31" spans="2:35" s="185" customFormat="1" ht="13.5" thickBot="1">
      <c r="C31" s="186"/>
      <c r="D31" s="186"/>
      <c r="J31" s="135"/>
      <c r="K31" s="135"/>
      <c r="L31" s="135"/>
      <c r="M31" s="131"/>
      <c r="N31" s="131"/>
      <c r="O31" s="124"/>
      <c r="P31" s="131"/>
      <c r="Q31" s="131"/>
      <c r="R31" s="313"/>
      <c r="T31" s="124"/>
      <c r="Y31" s="124"/>
    </row>
    <row r="32" spans="2:35" s="185" customFormat="1" ht="19.5" thickBot="1">
      <c r="B32" s="1433" t="s">
        <v>12572</v>
      </c>
      <c r="C32" s="152"/>
      <c r="D32" s="152"/>
      <c r="E32" s="153"/>
      <c r="F32" s="153"/>
      <c r="G32" s="153"/>
      <c r="H32" s="153"/>
      <c r="I32" s="153"/>
      <c r="J32" s="159"/>
      <c r="K32" s="135"/>
      <c r="L32" s="135"/>
      <c r="M32" s="131"/>
      <c r="N32" s="131"/>
      <c r="O32" s="124"/>
      <c r="P32" s="131"/>
      <c r="Q32" s="131"/>
      <c r="R32" s="313"/>
      <c r="T32" s="124"/>
      <c r="Y32" s="124"/>
    </row>
    <row r="33" spans="1:25" s="185" customFormat="1" ht="12.75">
      <c r="C33" s="186"/>
      <c r="D33" s="186"/>
      <c r="J33" s="135"/>
      <c r="K33" s="135"/>
      <c r="L33" s="135"/>
      <c r="M33" s="131"/>
      <c r="N33" s="131"/>
      <c r="O33" s="124"/>
      <c r="P33" s="131"/>
      <c r="Q33" s="131"/>
      <c r="R33" s="313"/>
      <c r="T33" s="124"/>
      <c r="Y33" s="124"/>
    </row>
    <row r="34" spans="1:25" s="115" customFormat="1" ht="19.5" hidden="1" thickBot="1">
      <c r="A34" s="1643"/>
      <c r="B34" s="151" t="str">
        <f ca="1" xml:space="preserve"> RIGHT(CELL("filename", $A$1), LEN(CELL("filename", $A$1)) - SEARCH("]", CELL("filename", $A$1)))&amp;" - Line definitions"</f>
        <v>1E - Line definitions</v>
      </c>
      <c r="C34" s="152"/>
      <c r="D34" s="152"/>
      <c r="E34" s="153"/>
      <c r="F34" s="153"/>
      <c r="G34" s="153"/>
      <c r="H34" s="153"/>
      <c r="I34" s="153"/>
      <c r="J34" s="159"/>
      <c r="K34" s="123"/>
      <c r="L34" s="123"/>
      <c r="M34" s="125"/>
      <c r="N34" s="123"/>
      <c r="O34" s="124"/>
      <c r="P34" s="125"/>
      <c r="Q34" s="123"/>
      <c r="R34" s="288"/>
      <c r="T34" s="124"/>
      <c r="Y34" s="124"/>
    </row>
    <row r="35" spans="1:25" s="115" customFormat="1" ht="15" hidden="1" thickBot="1">
      <c r="A35" s="1643"/>
      <c r="B35" s="75"/>
      <c r="C35" s="160"/>
      <c r="D35" s="160"/>
      <c r="E35" s="75"/>
      <c r="F35" s="75"/>
      <c r="G35" s="75"/>
      <c r="J35" s="123"/>
      <c r="K35" s="123"/>
      <c r="L35" s="123"/>
      <c r="M35" s="125"/>
      <c r="N35" s="123"/>
      <c r="O35" s="129"/>
      <c r="Q35" s="123"/>
      <c r="R35" s="288"/>
      <c r="T35" s="129"/>
      <c r="Y35" s="129"/>
    </row>
    <row r="36" spans="1:25" s="185" customFormat="1" ht="13.5" hidden="1" thickBot="1">
      <c r="A36" s="1644"/>
      <c r="B36" s="381" t="s">
        <v>2423</v>
      </c>
      <c r="C36" s="382" t="s">
        <v>2424</v>
      </c>
      <c r="D36" s="383"/>
      <c r="E36" s="383"/>
      <c r="F36" s="383"/>
      <c r="G36" s="383"/>
      <c r="H36" s="383"/>
      <c r="I36" s="383"/>
      <c r="J36" s="901"/>
      <c r="K36" s="360"/>
      <c r="L36" s="360"/>
      <c r="M36" s="135"/>
      <c r="N36" s="123"/>
      <c r="O36" s="129"/>
      <c r="P36" s="90" t="s">
        <v>2425</v>
      </c>
      <c r="Q36" s="123"/>
      <c r="T36" s="129"/>
      <c r="Y36" s="129"/>
    </row>
    <row r="37" spans="1:25" s="115" customFormat="1" ht="204.75" hidden="1" customHeight="1">
      <c r="A37" s="1643"/>
      <c r="B37" s="188" t="s">
        <v>5032</v>
      </c>
      <c r="C37" s="3234" t="s">
        <v>4030</v>
      </c>
      <c r="D37" s="3235"/>
      <c r="E37" s="3235"/>
      <c r="F37" s="3235"/>
      <c r="G37" s="3235"/>
      <c r="H37" s="3235"/>
      <c r="I37" s="3235"/>
      <c r="J37" s="3236"/>
      <c r="K37" s="362"/>
      <c r="L37" s="362"/>
      <c r="M37" s="125"/>
      <c r="N37" s="123"/>
      <c r="O37" s="129"/>
      <c r="P37" s="210" t="s">
        <v>3782</v>
      </c>
      <c r="Q37" s="123"/>
      <c r="R37" s="288"/>
      <c r="T37" s="129"/>
      <c r="Y37" s="129"/>
    </row>
    <row r="38" spans="1:25" s="115" customFormat="1" ht="23.25" hidden="1" customHeight="1">
      <c r="A38" s="1643"/>
      <c r="B38" s="166" t="s">
        <v>5033</v>
      </c>
      <c r="C38" s="3225" t="s">
        <v>12739</v>
      </c>
      <c r="D38" s="3226"/>
      <c r="E38" s="3226"/>
      <c r="F38" s="3226"/>
      <c r="G38" s="3226"/>
      <c r="H38" s="3226"/>
      <c r="I38" s="3226"/>
      <c r="J38" s="3227"/>
      <c r="K38" s="362"/>
      <c r="L38" s="362"/>
      <c r="O38" s="129"/>
      <c r="P38" s="389" t="s">
        <v>2428</v>
      </c>
      <c r="T38" s="129"/>
      <c r="Y38" s="129"/>
    </row>
    <row r="39" spans="1:25" s="115" customFormat="1" hidden="1">
      <c r="A39" s="1643"/>
      <c r="B39" s="166" t="s">
        <v>5034</v>
      </c>
      <c r="C39" s="3225" t="s">
        <v>2567</v>
      </c>
      <c r="D39" s="3226"/>
      <c r="E39" s="3226"/>
      <c r="F39" s="3226"/>
      <c r="G39" s="3226"/>
      <c r="H39" s="3226"/>
      <c r="I39" s="3226"/>
      <c r="J39" s="3227"/>
      <c r="K39" s="362"/>
      <c r="L39" s="362"/>
      <c r="O39" s="129"/>
      <c r="P39" s="261">
        <v>1</v>
      </c>
      <c r="T39" s="129"/>
      <c r="Y39" s="129"/>
    </row>
    <row r="40" spans="1:25" s="125" customFormat="1" hidden="1">
      <c r="A40" s="1645"/>
      <c r="B40" s="166" t="s">
        <v>5035</v>
      </c>
      <c r="C40" s="3225" t="s">
        <v>2568</v>
      </c>
      <c r="D40" s="3226"/>
      <c r="E40" s="3226"/>
      <c r="F40" s="3226"/>
      <c r="G40" s="3226"/>
      <c r="H40" s="3226"/>
      <c r="I40" s="3226"/>
      <c r="J40" s="3227"/>
      <c r="K40" s="362"/>
      <c r="L40" s="362"/>
      <c r="O40" s="129"/>
      <c r="P40" s="261">
        <v>1</v>
      </c>
      <c r="T40" s="129"/>
      <c r="Y40" s="129"/>
    </row>
    <row r="41" spans="1:25" s="125" customFormat="1" ht="13.5" hidden="1" customHeight="1">
      <c r="A41" s="1645"/>
      <c r="B41" s="166" t="s">
        <v>5036</v>
      </c>
      <c r="C41" s="3225" t="s">
        <v>2569</v>
      </c>
      <c r="D41" s="3226"/>
      <c r="E41" s="3226"/>
      <c r="F41" s="3226"/>
      <c r="G41" s="3226"/>
      <c r="H41" s="3226"/>
      <c r="I41" s="3226"/>
      <c r="J41" s="3227"/>
      <c r="K41" s="362"/>
      <c r="L41" s="362"/>
      <c r="O41" s="129"/>
      <c r="P41" s="261">
        <v>1</v>
      </c>
      <c r="T41" s="129"/>
      <c r="Y41" s="129"/>
    </row>
    <row r="42" spans="1:25" s="125" customFormat="1" hidden="1">
      <c r="A42" s="1645"/>
      <c r="B42" s="166" t="s">
        <v>5037</v>
      </c>
      <c r="C42" s="3225" t="s">
        <v>2570</v>
      </c>
      <c r="D42" s="3226"/>
      <c r="E42" s="3226"/>
      <c r="F42" s="3226"/>
      <c r="G42" s="3226"/>
      <c r="H42" s="3226"/>
      <c r="I42" s="3226"/>
      <c r="J42" s="3227"/>
      <c r="K42" s="362"/>
      <c r="L42" s="362"/>
      <c r="O42" s="129"/>
      <c r="P42" s="261">
        <v>1</v>
      </c>
      <c r="T42" s="129"/>
      <c r="Y42" s="129"/>
    </row>
    <row r="43" spans="1:25" ht="13.5" hidden="1" customHeight="1">
      <c r="A43" s="1646"/>
      <c r="B43" s="166" t="s">
        <v>5038</v>
      </c>
      <c r="C43" s="3225" t="s">
        <v>3781</v>
      </c>
      <c r="D43" s="3226"/>
      <c r="E43" s="3226"/>
      <c r="F43" s="3226"/>
      <c r="G43" s="3226"/>
      <c r="H43" s="3226"/>
      <c r="I43" s="3226"/>
      <c r="J43" s="3227"/>
      <c r="K43" s="362"/>
      <c r="L43" s="362"/>
      <c r="O43" s="129"/>
      <c r="P43" s="165">
        <v>1</v>
      </c>
      <c r="T43" s="129"/>
      <c r="Y43" s="129"/>
    </row>
    <row r="44" spans="1:25" ht="35.25" hidden="1" customHeight="1">
      <c r="A44" s="1646"/>
      <c r="B44" s="166" t="s">
        <v>5039</v>
      </c>
      <c r="C44" s="3225" t="s">
        <v>2571</v>
      </c>
      <c r="D44" s="3226"/>
      <c r="E44" s="3226"/>
      <c r="F44" s="3226"/>
      <c r="G44" s="3226"/>
      <c r="H44" s="3226"/>
      <c r="I44" s="3226"/>
      <c r="J44" s="3227"/>
      <c r="K44" s="362"/>
      <c r="L44" s="362"/>
      <c r="P44" s="168" t="s">
        <v>2426</v>
      </c>
    </row>
    <row r="45" spans="1:25" ht="267.75" hidden="1" customHeight="1">
      <c r="A45" s="1646"/>
      <c r="B45" s="166" t="s">
        <v>5040</v>
      </c>
      <c r="C45" s="3225" t="s">
        <v>12740</v>
      </c>
      <c r="D45" s="3226"/>
      <c r="E45" s="3226"/>
      <c r="F45" s="3226"/>
      <c r="G45" s="3226"/>
      <c r="H45" s="3226"/>
      <c r="I45" s="3226"/>
      <c r="J45" s="3227"/>
      <c r="K45" s="362"/>
      <c r="L45" s="362"/>
      <c r="P45" s="210" t="s">
        <v>2572</v>
      </c>
    </row>
    <row r="46" spans="1:25" ht="69.75" hidden="1" customHeight="1">
      <c r="A46" s="1646"/>
      <c r="B46" s="166" t="s">
        <v>5041</v>
      </c>
      <c r="C46" s="3225" t="s">
        <v>3725</v>
      </c>
      <c r="D46" s="3226"/>
      <c r="E46" s="3226"/>
      <c r="F46" s="3226"/>
      <c r="G46" s="3226"/>
      <c r="H46" s="3226"/>
      <c r="I46" s="3226"/>
      <c r="J46" s="3227"/>
      <c r="K46" s="362"/>
      <c r="L46" s="362"/>
      <c r="P46" s="168" t="s">
        <v>2573</v>
      </c>
    </row>
    <row r="47" spans="1:25" ht="47.25" hidden="1" customHeight="1">
      <c r="A47" s="1646"/>
      <c r="B47" s="166" t="s">
        <v>5042</v>
      </c>
      <c r="C47" s="3225" t="s">
        <v>12741</v>
      </c>
      <c r="D47" s="3226"/>
      <c r="E47" s="3226"/>
      <c r="F47" s="3226"/>
      <c r="G47" s="3226"/>
      <c r="H47" s="3226"/>
      <c r="I47" s="3226"/>
      <c r="J47" s="3227"/>
      <c r="K47" s="362"/>
      <c r="L47" s="2236" t="s">
        <v>12903</v>
      </c>
      <c r="P47" s="168" t="s">
        <v>2428</v>
      </c>
    </row>
    <row r="48" spans="1:25" ht="49.15" hidden="1" customHeight="1">
      <c r="A48" s="1646"/>
      <c r="B48" s="166" t="s">
        <v>5043</v>
      </c>
      <c r="C48" s="3225" t="s">
        <v>12742</v>
      </c>
      <c r="D48" s="3226"/>
      <c r="E48" s="3226"/>
      <c r="F48" s="3226"/>
      <c r="G48" s="3226"/>
      <c r="H48" s="3226"/>
      <c r="I48" s="3226"/>
      <c r="J48" s="3227"/>
      <c r="K48" s="362"/>
      <c r="L48" s="2236" t="s">
        <v>12903</v>
      </c>
      <c r="P48" s="168" t="s">
        <v>2428</v>
      </c>
    </row>
    <row r="49" spans="1:16" ht="93.75" hidden="1" customHeight="1" thickBot="1">
      <c r="A49" s="1646"/>
      <c r="B49" s="190" t="s">
        <v>5044</v>
      </c>
      <c r="C49" s="3228" t="s">
        <v>12743</v>
      </c>
      <c r="D49" s="3229"/>
      <c r="E49" s="3229"/>
      <c r="F49" s="3229"/>
      <c r="G49" s="3229"/>
      <c r="H49" s="3229"/>
      <c r="I49" s="3229"/>
      <c r="J49" s="3230"/>
      <c r="K49" s="362"/>
      <c r="L49" s="362"/>
      <c r="P49" s="168" t="s">
        <v>3344</v>
      </c>
    </row>
    <row r="50" spans="1:16" hidden="1">
      <c r="A50" s="1646"/>
      <c r="P50" s="262"/>
    </row>
  </sheetData>
  <mergeCells count="26">
    <mergeCell ref="AA3:AB4"/>
    <mergeCell ref="AD3:AD4"/>
    <mergeCell ref="AE3:AE4"/>
    <mergeCell ref="AF3:AI3"/>
    <mergeCell ref="U3:X4"/>
    <mergeCell ref="P3:S4"/>
    <mergeCell ref="C40:J40"/>
    <mergeCell ref="B3:C4"/>
    <mergeCell ref="E3:E4"/>
    <mergeCell ref="F3:F4"/>
    <mergeCell ref="G3:J3"/>
    <mergeCell ref="B25:C25"/>
    <mergeCell ref="C37:J37"/>
    <mergeCell ref="C38:J38"/>
    <mergeCell ref="C39:J39"/>
    <mergeCell ref="L3:L4"/>
    <mergeCell ref="M3:M4"/>
    <mergeCell ref="C46:J46"/>
    <mergeCell ref="C49:J49"/>
    <mergeCell ref="C47:J47"/>
    <mergeCell ref="C48:J48"/>
    <mergeCell ref="C41:J41"/>
    <mergeCell ref="C42:J42"/>
    <mergeCell ref="C43:J43"/>
    <mergeCell ref="C44:J44"/>
    <mergeCell ref="C45:J45"/>
  </mergeCells>
  <conditionalFormatting sqref="M9:M10 M6">
    <cfRule type="cellIs" dxfId="2823" priority="19" operator="equal">
      <formula>0</formula>
    </cfRule>
  </conditionalFormatting>
  <conditionalFormatting sqref="M14">
    <cfRule type="cellIs" dxfId="2822" priority="18" operator="equal">
      <formula>0</formula>
    </cfRule>
  </conditionalFormatting>
  <conditionalFormatting sqref="M16:M17">
    <cfRule type="cellIs" dxfId="2821" priority="17" operator="equal">
      <formula>0</formula>
    </cfRule>
  </conditionalFormatting>
  <conditionalFormatting sqref="M20:M21">
    <cfRule type="cellIs" dxfId="2820" priority="16" operator="equal">
      <formula>0</formula>
    </cfRule>
  </conditionalFormatting>
  <conditionalFormatting sqref="M23">
    <cfRule type="cellIs" dxfId="2819" priority="15" operator="equal">
      <formula>0</formula>
    </cfRule>
  </conditionalFormatting>
  <conditionalFormatting sqref="L6">
    <cfRule type="cellIs" dxfId="2818" priority="14" operator="equal">
      <formula>0</formula>
    </cfRule>
  </conditionalFormatting>
  <conditionalFormatting sqref="L14">
    <cfRule type="cellIs" dxfId="2817" priority="10" operator="equal">
      <formula>0</formula>
    </cfRule>
  </conditionalFormatting>
  <conditionalFormatting sqref="L16">
    <cfRule type="cellIs" dxfId="2816" priority="9" operator="equal">
      <formula>0</formula>
    </cfRule>
  </conditionalFormatting>
  <conditionalFormatting sqref="L17">
    <cfRule type="cellIs" dxfId="2815" priority="8" operator="equal">
      <formula>0</formula>
    </cfRule>
  </conditionalFormatting>
  <conditionalFormatting sqref="L21">
    <cfRule type="cellIs" dxfId="2814" priority="6" operator="equal">
      <formula>0</formula>
    </cfRule>
  </conditionalFormatting>
  <conditionalFormatting sqref="L23">
    <cfRule type="cellIs" dxfId="2813" priority="5" operator="equal">
      <formula>0</formula>
    </cfRule>
  </conditionalFormatting>
  <conditionalFormatting sqref="L20">
    <cfRule type="cellIs" dxfId="281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3" max="21" man="1"/>
  </rowBreaks>
  <legacyDrawingHF r:id="rId2"/>
</worksheet>
</file>

<file path=xl/worksheets/sheet11.xml><?xml version="1.0" encoding="utf-8"?>
<worksheet xmlns="http://schemas.openxmlformats.org/spreadsheetml/2006/main" xmlns:r="http://schemas.openxmlformats.org/officeDocument/2006/relationships">
  <sheetPr codeName="Sheet59">
    <pageSetUpPr fitToPage="1"/>
  </sheetPr>
  <dimension ref="A1:BH79"/>
  <sheetViews>
    <sheetView zoomScaleNormal="100" workbookViewId="0"/>
  </sheetViews>
  <sheetFormatPr defaultColWidth="0" defaultRowHeight="14.25" zeroHeight="1"/>
  <cols>
    <col min="1" max="1" width="0.625" style="71" customWidth="1"/>
    <col min="2" max="2" width="7.625" style="71" customWidth="1"/>
    <col min="3" max="3" width="38.125" style="71" customWidth="1"/>
    <col min="4" max="4" width="2.625" style="71" hidden="1" customWidth="1"/>
    <col min="5" max="6" width="5.125" style="71" customWidth="1"/>
    <col min="7" max="18" width="12.5" style="71" customWidth="1"/>
    <col min="19" max="19" width="2.625" style="71" customWidth="1"/>
    <col min="20" max="20" width="27" style="71" customWidth="1"/>
    <col min="21" max="21" width="1.625" style="71" hidden="1" customWidth="1"/>
    <col min="22" max="22" width="1.625" style="72" hidden="1" customWidth="1"/>
    <col min="23" max="34" width="5.625" style="71" hidden="1" customWidth="1"/>
    <col min="35" max="35" width="1.625" style="72" hidden="1" customWidth="1"/>
    <col min="36" max="36" width="8.125" style="71" hidden="1" customWidth="1"/>
    <col min="37" max="41" width="8.625" style="71" hidden="1" customWidth="1"/>
    <col min="42" max="42" width="8.125" style="71" customWidth="1"/>
    <col min="43" max="43" width="7.625" style="71" customWidth="1"/>
    <col min="44" max="44" width="38.125" style="71" customWidth="1"/>
    <col min="45" max="45" width="12.5" style="71" customWidth="1"/>
    <col min="46" max="47" width="5.125" style="71" customWidth="1"/>
    <col min="48" max="59" width="13.25" style="71" customWidth="1"/>
    <col min="60" max="60" width="1.625" style="71" customWidth="1"/>
    <col min="61" max="16384" width="8.125" style="71" hidden="1"/>
  </cols>
  <sheetData>
    <row r="1" spans="2:59" ht="18.75">
      <c r="B1" s="67" t="s">
        <v>13520</v>
      </c>
      <c r="C1" s="67"/>
      <c r="D1" s="67"/>
      <c r="E1" s="67"/>
      <c r="F1" s="67"/>
      <c r="G1" s="67"/>
      <c r="H1" s="67"/>
      <c r="I1" s="67"/>
      <c r="J1" s="67"/>
      <c r="K1" s="67"/>
      <c r="L1" s="67"/>
      <c r="M1" s="67"/>
      <c r="N1" s="67"/>
      <c r="O1" s="67"/>
      <c r="P1" s="67"/>
      <c r="Q1" s="67"/>
      <c r="R1" s="69" t="str">
        <f>Validation!B3</f>
        <v>South West Water – South West area</v>
      </c>
      <c r="S1" s="67"/>
      <c r="T1" s="70" t="s">
        <v>2394</v>
      </c>
      <c r="AQ1" s="67" t="s">
        <v>6671</v>
      </c>
      <c r="AR1" s="67"/>
      <c r="AS1" s="67"/>
      <c r="AT1" s="67"/>
      <c r="AU1" s="67"/>
    </row>
    <row r="2" spans="2:59" ht="15" thickBot="1">
      <c r="B2" s="74" t="s">
        <v>12524</v>
      </c>
      <c r="AQ2" s="74" t="str">
        <f>B2</f>
        <v>For the 12 months ended 31 March 2019</v>
      </c>
    </row>
    <row r="3" spans="2:59" ht="15" customHeight="1" thickBot="1">
      <c r="B3" s="3200" t="s">
        <v>2395</v>
      </c>
      <c r="C3" s="3201"/>
      <c r="D3" s="2477" t="s">
        <v>6496</v>
      </c>
      <c r="E3" s="3204" t="s">
        <v>2396</v>
      </c>
      <c r="F3" s="3206" t="s">
        <v>2397</v>
      </c>
      <c r="G3" s="3244" t="s">
        <v>12744</v>
      </c>
      <c r="H3" s="3245"/>
      <c r="I3" s="3245"/>
      <c r="J3" s="3245"/>
      <c r="K3" s="3245"/>
      <c r="L3" s="3246"/>
      <c r="M3" s="3244" t="s">
        <v>12745</v>
      </c>
      <c r="N3" s="3245"/>
      <c r="O3" s="3245"/>
      <c r="P3" s="3245"/>
      <c r="Q3" s="3245"/>
      <c r="R3" s="3246"/>
      <c r="T3" s="3213" t="s">
        <v>1361</v>
      </c>
      <c r="AQ3" s="3200" t="s">
        <v>2395</v>
      </c>
      <c r="AR3" s="3201"/>
      <c r="AS3" s="3204" t="s">
        <v>6496</v>
      </c>
      <c r="AT3" s="3204" t="s">
        <v>2396</v>
      </c>
      <c r="AU3" s="3206" t="s">
        <v>2397</v>
      </c>
      <c r="AV3" s="3244" t="s">
        <v>12744</v>
      </c>
      <c r="AW3" s="3245"/>
      <c r="AX3" s="3245"/>
      <c r="AY3" s="3245"/>
      <c r="AZ3" s="3245"/>
      <c r="BA3" s="3246"/>
      <c r="BB3" s="3244" t="s">
        <v>12745</v>
      </c>
      <c r="BC3" s="3245"/>
      <c r="BD3" s="3245"/>
      <c r="BE3" s="3245"/>
      <c r="BF3" s="3245"/>
      <c r="BG3" s="3246"/>
    </row>
    <row r="4" spans="2:59" ht="15" customHeight="1" thickBot="1">
      <c r="B4" s="3240"/>
      <c r="C4" s="3241"/>
      <c r="D4" s="2481"/>
      <c r="E4" s="3242"/>
      <c r="F4" s="3243"/>
      <c r="G4" s="3237" t="s">
        <v>76</v>
      </c>
      <c r="H4" s="3237"/>
      <c r="I4" s="3237"/>
      <c r="J4" s="3237" t="s">
        <v>750</v>
      </c>
      <c r="K4" s="3237"/>
      <c r="L4" s="3237"/>
      <c r="M4" s="3237" t="s">
        <v>76</v>
      </c>
      <c r="N4" s="3237"/>
      <c r="O4" s="3237"/>
      <c r="P4" s="3237" t="s">
        <v>750</v>
      </c>
      <c r="Q4" s="3237"/>
      <c r="R4" s="3237"/>
      <c r="T4" s="3239"/>
      <c r="AQ4" s="3240"/>
      <c r="AR4" s="3241"/>
      <c r="AS4" s="3242"/>
      <c r="AT4" s="3242"/>
      <c r="AU4" s="3243"/>
      <c r="AV4" s="3237" t="s">
        <v>76</v>
      </c>
      <c r="AW4" s="3237"/>
      <c r="AX4" s="3237"/>
      <c r="AY4" s="3237" t="s">
        <v>12433</v>
      </c>
      <c r="AZ4" s="3237"/>
      <c r="BA4" s="3237"/>
      <c r="BB4" s="3237" t="s">
        <v>76</v>
      </c>
      <c r="BC4" s="3237"/>
      <c r="BD4" s="3237"/>
      <c r="BE4" s="3237" t="s">
        <v>12433</v>
      </c>
      <c r="BF4" s="3237"/>
      <c r="BG4" s="3237"/>
    </row>
    <row r="5" spans="2:59" ht="54.75" customHeight="1" thickBot="1">
      <c r="B5" s="3202"/>
      <c r="C5" s="3203"/>
      <c r="D5" s="2478"/>
      <c r="E5" s="3205"/>
      <c r="F5" s="3207"/>
      <c r="G5" s="2159" t="s">
        <v>12526</v>
      </c>
      <c r="H5" s="2159" t="s">
        <v>12527</v>
      </c>
      <c r="I5" s="2159" t="s">
        <v>12528</v>
      </c>
      <c r="J5" s="2159" t="s">
        <v>12526</v>
      </c>
      <c r="K5" s="2159" t="s">
        <v>12527</v>
      </c>
      <c r="L5" s="2159" t="s">
        <v>12528</v>
      </c>
      <c r="M5" s="2159" t="s">
        <v>12526</v>
      </c>
      <c r="N5" s="2159" t="s">
        <v>12527</v>
      </c>
      <c r="O5" s="2159" t="s">
        <v>12528</v>
      </c>
      <c r="P5" s="2159" t="s">
        <v>12526</v>
      </c>
      <c r="Q5" s="2159" t="s">
        <v>12527</v>
      </c>
      <c r="R5" s="2159" t="s">
        <v>12528</v>
      </c>
      <c r="T5" s="3214"/>
      <c r="U5" s="83"/>
      <c r="W5" s="3215" t="s">
        <v>2404</v>
      </c>
      <c r="X5" s="3215"/>
      <c r="Y5" s="3215"/>
      <c r="Z5" s="2479"/>
      <c r="AA5" s="2479"/>
      <c r="AB5" s="2479"/>
      <c r="AC5" s="2479"/>
      <c r="AD5" s="2479"/>
      <c r="AE5" s="2479"/>
      <c r="AF5" s="2479"/>
      <c r="AG5" s="2479"/>
      <c r="AH5" s="2479"/>
      <c r="AQ5" s="3202"/>
      <c r="AR5" s="3203"/>
      <c r="AS5" s="3205"/>
      <c r="AT5" s="3205"/>
      <c r="AU5" s="3207"/>
      <c r="AV5" s="2159" t="s">
        <v>12526</v>
      </c>
      <c r="AW5" s="2159" t="s">
        <v>12527</v>
      </c>
      <c r="AX5" s="2159" t="s">
        <v>12528</v>
      </c>
      <c r="AY5" s="2159" t="s">
        <v>12526</v>
      </c>
      <c r="AZ5" s="2159" t="s">
        <v>12527</v>
      </c>
      <c r="BA5" s="2159" t="s">
        <v>12528</v>
      </c>
      <c r="BB5" s="2159" t="s">
        <v>12526</v>
      </c>
      <c r="BC5" s="2159" t="s">
        <v>12527</v>
      </c>
      <c r="BD5" s="2159" t="s">
        <v>12528</v>
      </c>
      <c r="BE5" s="2159" t="s">
        <v>12526</v>
      </c>
      <c r="BF5" s="2159" t="s">
        <v>12527</v>
      </c>
      <c r="BG5" s="2159" t="s">
        <v>12528</v>
      </c>
    </row>
    <row r="6" spans="2:59" ht="15" thickBot="1">
      <c r="AV6" s="2476" t="s">
        <v>13022</v>
      </c>
      <c r="AW6" s="2476" t="s">
        <v>13023</v>
      </c>
      <c r="AX6" s="2476" t="s">
        <v>13024</v>
      </c>
      <c r="AY6" s="2476" t="s">
        <v>13025</v>
      </c>
      <c r="AZ6" s="2476" t="s">
        <v>13026</v>
      </c>
      <c r="BA6" s="2476" t="s">
        <v>13027</v>
      </c>
      <c r="BB6" s="2476" t="s">
        <v>13028</v>
      </c>
      <c r="BC6" s="2476" t="s">
        <v>13029</v>
      </c>
      <c r="BD6" s="2476" t="s">
        <v>13030</v>
      </c>
      <c r="BE6" s="2476" t="s">
        <v>13031</v>
      </c>
      <c r="BF6" s="2476" t="s">
        <v>13032</v>
      </c>
      <c r="BG6" s="2476" t="s">
        <v>13033</v>
      </c>
    </row>
    <row r="7" spans="2:59" ht="15" thickBot="1">
      <c r="B7" s="2484" t="s">
        <v>2449</v>
      </c>
      <c r="C7" s="2475"/>
      <c r="D7" s="1584"/>
      <c r="W7" s="90" t="s">
        <v>2405</v>
      </c>
      <c r="AQ7" s="2484" t="str">
        <f t="shared" ref="AQ7:AR7" si="0">+B7</f>
        <v>A</v>
      </c>
      <c r="AR7" s="88">
        <f t="shared" si="0"/>
        <v>0</v>
      </c>
      <c r="AS7" s="1584"/>
    </row>
    <row r="8" spans="2:59" ht="15" thickBot="1">
      <c r="B8" s="91" t="s">
        <v>12550</v>
      </c>
      <c r="C8" s="122" t="s">
        <v>12529</v>
      </c>
      <c r="D8" s="122"/>
      <c r="E8" s="93" t="s">
        <v>750</v>
      </c>
      <c r="F8" s="94">
        <v>3</v>
      </c>
      <c r="G8" s="2161"/>
      <c r="H8" s="2486">
        <f>IFERROR(+K8/H$11,0)</f>
        <v>0</v>
      </c>
      <c r="I8" s="2495">
        <f>+G8</f>
        <v>0</v>
      </c>
      <c r="J8" s="662">
        <f>+G$11*G8</f>
        <v>0</v>
      </c>
      <c r="K8" s="197">
        <f>+L8</f>
        <v>0</v>
      </c>
      <c r="L8" s="198">
        <f>+I$11*I8</f>
        <v>0</v>
      </c>
      <c r="M8" s="2488"/>
      <c r="N8" s="2486">
        <f t="shared" ref="N8:N9" si="1">IFERROR(+Q8/N$11,0)</f>
        <v>0</v>
      </c>
      <c r="O8" s="2495">
        <f>+M8</f>
        <v>0</v>
      </c>
      <c r="P8" s="662">
        <f>+M$11*M8</f>
        <v>0</v>
      </c>
      <c r="Q8" s="197">
        <f>+R8</f>
        <v>0</v>
      </c>
      <c r="R8" s="198">
        <f>+O$11*O8</f>
        <v>0</v>
      </c>
      <c r="T8" s="1431" t="str">
        <f xml:space="preserve"> IF( SUM( V8:AI8 ) = 0, 0, $W$7 )</f>
        <v>Please complete all cells in row</v>
      </c>
      <c r="W8" s="98">
        <f t="shared" ref="W8:Y11" si="2" xml:space="preserve"> IF( ISNUMBER( G8 ), 0, 1 )</f>
        <v>1</v>
      </c>
      <c r="X8" s="132"/>
      <c r="Y8" s="132"/>
      <c r="Z8" s="132"/>
      <c r="AA8" s="132"/>
      <c r="AB8" s="132"/>
      <c r="AC8" s="98">
        <f t="shared" ref="AC8:AC9" si="3" xml:space="preserve"> IF( ISNUMBER( M8 ), 0, 1 )</f>
        <v>1</v>
      </c>
      <c r="AD8" s="132"/>
      <c r="AE8" s="132"/>
      <c r="AF8" s="132"/>
      <c r="AG8" s="132"/>
      <c r="AH8" s="132"/>
      <c r="AQ8" s="91" t="str">
        <f>+B8</f>
        <v>1F.1</v>
      </c>
      <c r="AR8" s="122" t="str">
        <f t="shared" ref="AR8:AR11" si="4">+C8</f>
        <v>Return on regulatory equity</v>
      </c>
      <c r="AS8" s="122" t="s">
        <v>13001</v>
      </c>
      <c r="AT8" s="93" t="s">
        <v>750</v>
      </c>
      <c r="AU8" s="94">
        <v>3</v>
      </c>
      <c r="AV8" s="2547" t="str">
        <f>$AS8&amp;AV$6</f>
        <v>CR12501NNP</v>
      </c>
      <c r="AW8" s="2579" t="str">
        <f t="shared" ref="AW8:BG11" si="5">$AS8&amp;AW$6</f>
        <v>CR12501ANP</v>
      </c>
      <c r="AX8" s="2579" t="str">
        <f t="shared" si="5"/>
        <v>CR12501AAP</v>
      </c>
      <c r="AY8" s="2580" t="str">
        <f t="shared" si="5"/>
        <v>CR12501NNV</v>
      </c>
      <c r="AZ8" s="2580" t="str">
        <f t="shared" si="5"/>
        <v>CR12501ANV</v>
      </c>
      <c r="BA8" s="2580" t="str">
        <f t="shared" si="5"/>
        <v>CR12501AAV</v>
      </c>
      <c r="BB8" s="2548" t="str">
        <f t="shared" si="5"/>
        <v>CR12501NNPA</v>
      </c>
      <c r="BC8" s="2579" t="str">
        <f t="shared" si="5"/>
        <v>CR12501ANPA</v>
      </c>
      <c r="BD8" s="2579" t="str">
        <f t="shared" si="5"/>
        <v>CR12501AAPA</v>
      </c>
      <c r="BE8" s="2580" t="str">
        <f t="shared" si="5"/>
        <v>CR12501NNVA</v>
      </c>
      <c r="BF8" s="2580" t="str">
        <f t="shared" si="5"/>
        <v>CR12501ANVA</v>
      </c>
      <c r="BG8" s="2148" t="str">
        <f t="shared" si="5"/>
        <v>CR12501AAVA</v>
      </c>
    </row>
    <row r="9" spans="2:59" ht="15" thickBot="1">
      <c r="B9" s="99" t="s">
        <v>12551</v>
      </c>
      <c r="C9" s="92" t="s">
        <v>12530</v>
      </c>
      <c r="D9" s="92"/>
      <c r="E9" s="100" t="s">
        <v>750</v>
      </c>
      <c r="F9" s="101">
        <v>3</v>
      </c>
      <c r="G9" s="2162"/>
      <c r="H9" s="2164">
        <f>IFERROR(+K9/H$11,0)</f>
        <v>0</v>
      </c>
      <c r="I9" s="2496">
        <f>+G9</f>
        <v>0</v>
      </c>
      <c r="J9" s="251">
        <f>+G$11*G9</f>
        <v>0</v>
      </c>
      <c r="K9" s="252">
        <f>+L9</f>
        <v>0</v>
      </c>
      <c r="L9" s="199">
        <f>+I$11*I9</f>
        <v>0</v>
      </c>
      <c r="M9" s="2489"/>
      <c r="N9" s="2164">
        <f t="shared" si="1"/>
        <v>0</v>
      </c>
      <c r="O9" s="2496">
        <f>+M9</f>
        <v>0</v>
      </c>
      <c r="P9" s="251">
        <f>+M$11*M9</f>
        <v>0</v>
      </c>
      <c r="Q9" s="252">
        <f>+R9</f>
        <v>0</v>
      </c>
      <c r="R9" s="199">
        <f>+O$11*O9</f>
        <v>0</v>
      </c>
      <c r="T9" s="1431" t="str">
        <f xml:space="preserve"> IF( SUM( V9:AI9 ) = 0, 0, $W$7 )</f>
        <v>Please complete all cells in row</v>
      </c>
      <c r="W9" s="98">
        <f t="shared" si="2"/>
        <v>1</v>
      </c>
      <c r="X9" s="132"/>
      <c r="Y9" s="132"/>
      <c r="Z9" s="132"/>
      <c r="AA9" s="132"/>
      <c r="AB9" s="132"/>
      <c r="AC9" s="98">
        <f t="shared" si="3"/>
        <v>1</v>
      </c>
      <c r="AD9" s="132"/>
      <c r="AE9" s="132"/>
      <c r="AF9" s="132"/>
      <c r="AG9" s="132"/>
      <c r="AH9" s="132"/>
      <c r="AQ9" s="99" t="str">
        <f t="shared" ref="AQ9:AQ11" si="6">+B9</f>
        <v>1F.2</v>
      </c>
      <c r="AR9" s="92" t="str">
        <f t="shared" si="4"/>
        <v>Actual performance adjustment 2010-15</v>
      </c>
      <c r="AS9" s="122" t="s">
        <v>13002</v>
      </c>
      <c r="AT9" s="100" t="s">
        <v>750</v>
      </c>
      <c r="AU9" s="101">
        <v>3</v>
      </c>
      <c r="AV9" s="2549" t="str">
        <f t="shared" ref="AV9:AV11" si="7">$AS9&amp;AV$6</f>
        <v>CR12502NNP</v>
      </c>
      <c r="AW9" s="2552" t="str">
        <f t="shared" si="5"/>
        <v>CR12502ANP</v>
      </c>
      <c r="AX9" s="2552" t="str">
        <f t="shared" si="5"/>
        <v>CR12502AAP</v>
      </c>
      <c r="AY9" s="2278" t="str">
        <f t="shared" si="5"/>
        <v>CR12502NNV</v>
      </c>
      <c r="AZ9" s="2278" t="str">
        <f t="shared" si="5"/>
        <v>CR12502ANV</v>
      </c>
      <c r="BA9" s="2278" t="str">
        <f t="shared" si="5"/>
        <v>CR12502AAV</v>
      </c>
      <c r="BB9" s="2550" t="str">
        <f t="shared" si="5"/>
        <v>CR12502NNPA</v>
      </c>
      <c r="BC9" s="2552" t="str">
        <f t="shared" si="5"/>
        <v>CR12502ANPA</v>
      </c>
      <c r="BD9" s="2552" t="str">
        <f t="shared" si="5"/>
        <v>CR12502AAPA</v>
      </c>
      <c r="BE9" s="2278" t="str">
        <f t="shared" si="5"/>
        <v>CR12502NNVA</v>
      </c>
      <c r="BF9" s="2278" t="str">
        <f t="shared" si="5"/>
        <v>CR12502ANVA</v>
      </c>
      <c r="BG9" s="2150" t="str">
        <f t="shared" si="5"/>
        <v>CR12502AAVA</v>
      </c>
    </row>
    <row r="10" spans="2:59" ht="15" thickBot="1">
      <c r="B10" s="99" t="s">
        <v>12552</v>
      </c>
      <c r="C10" s="92" t="s">
        <v>12531</v>
      </c>
      <c r="D10" s="92"/>
      <c r="E10" s="100" t="s">
        <v>750</v>
      </c>
      <c r="F10" s="101">
        <v>3</v>
      </c>
      <c r="G10" s="2163">
        <f>SUM(G8:G9)</f>
        <v>0</v>
      </c>
      <c r="H10" s="2164">
        <f t="shared" ref="H10:I10" si="8">SUM(H8:H9)</f>
        <v>0</v>
      </c>
      <c r="I10" s="2496">
        <f t="shared" si="8"/>
        <v>0</v>
      </c>
      <c r="J10" s="251">
        <f t="shared" ref="J10:L10" si="9">J9+J8</f>
        <v>0</v>
      </c>
      <c r="K10" s="252">
        <f t="shared" si="9"/>
        <v>0</v>
      </c>
      <c r="L10" s="199">
        <f t="shared" si="9"/>
        <v>0</v>
      </c>
      <c r="M10" s="2490">
        <f>SUM(M8:M9)</f>
        <v>0</v>
      </c>
      <c r="N10" s="2164">
        <f t="shared" ref="N10" si="10">SUM(N8:N9)</f>
        <v>0</v>
      </c>
      <c r="O10" s="2496">
        <f t="shared" ref="O10" si="11">SUM(O8:O9)</f>
        <v>0</v>
      </c>
      <c r="P10" s="251">
        <f t="shared" ref="P10:R10" si="12">P9+P8</f>
        <v>0</v>
      </c>
      <c r="Q10" s="252">
        <f t="shared" si="12"/>
        <v>0</v>
      </c>
      <c r="R10" s="199">
        <f t="shared" si="12"/>
        <v>0</v>
      </c>
      <c r="T10" s="1431">
        <f xml:space="preserve"> IF( SUM( V10:AI10 ) = 0, 0, $W$7 )</f>
        <v>0</v>
      </c>
      <c r="AD10" s="200"/>
      <c r="AE10" s="200"/>
      <c r="AF10" s="200"/>
      <c r="AG10" s="200"/>
      <c r="AH10" s="200"/>
      <c r="AQ10" s="99" t="str">
        <f t="shared" si="6"/>
        <v>1F.3</v>
      </c>
      <c r="AR10" s="92" t="str">
        <f t="shared" si="4"/>
        <v>Adjusted Return on regulatory equity</v>
      </c>
      <c r="AS10" s="122" t="s">
        <v>13003</v>
      </c>
      <c r="AT10" s="100" t="s">
        <v>750</v>
      </c>
      <c r="AU10" s="101">
        <v>3</v>
      </c>
      <c r="AV10" s="2551" t="str">
        <f t="shared" si="7"/>
        <v>CR12503NNP</v>
      </c>
      <c r="AW10" s="2552" t="str">
        <f t="shared" si="5"/>
        <v>CR12503ANP</v>
      </c>
      <c r="AX10" s="2552" t="str">
        <f t="shared" si="5"/>
        <v>CR12503AAP</v>
      </c>
      <c r="AY10" s="2278" t="str">
        <f t="shared" si="5"/>
        <v>CR12503NNV</v>
      </c>
      <c r="AZ10" s="2278" t="str">
        <f t="shared" si="5"/>
        <v>CR12503ANV</v>
      </c>
      <c r="BA10" s="2278" t="str">
        <f t="shared" si="5"/>
        <v>CR12503AAV</v>
      </c>
      <c r="BB10" s="2552" t="str">
        <f t="shared" si="5"/>
        <v>CR12503NNPA</v>
      </c>
      <c r="BC10" s="2552" t="str">
        <f t="shared" si="5"/>
        <v>CR12503ANPA</v>
      </c>
      <c r="BD10" s="2552" t="str">
        <f t="shared" si="5"/>
        <v>CR12503AAPA</v>
      </c>
      <c r="BE10" s="2278" t="str">
        <f t="shared" si="5"/>
        <v>CR12503NNVA</v>
      </c>
      <c r="BF10" s="2278" t="str">
        <f t="shared" si="5"/>
        <v>CR12503ANVA</v>
      </c>
      <c r="BG10" s="2150" t="str">
        <f t="shared" si="5"/>
        <v>CR12503AAVA</v>
      </c>
    </row>
    <row r="11" spans="2:59" ht="15" thickBot="1">
      <c r="B11" s="106" t="s">
        <v>12553</v>
      </c>
      <c r="C11" s="107" t="s">
        <v>12532</v>
      </c>
      <c r="D11" s="107"/>
      <c r="E11" s="108" t="s">
        <v>750</v>
      </c>
      <c r="F11" s="105">
        <v>3</v>
      </c>
      <c r="G11" s="2515"/>
      <c r="H11" s="2516">
        <f>G11</f>
        <v>0</v>
      </c>
      <c r="I11" s="2517"/>
      <c r="J11" s="2518"/>
      <c r="K11" s="2518"/>
      <c r="L11" s="2518"/>
      <c r="M11" s="2515"/>
      <c r="N11" s="2516">
        <f>M11</f>
        <v>0</v>
      </c>
      <c r="O11" s="2517"/>
      <c r="T11" s="1431" t="str">
        <f xml:space="preserve"> IF( SUM( V11:AI11 ) = 0, 0, $W$7 )</f>
        <v>Please complete all cells in row</v>
      </c>
      <c r="W11" s="98">
        <f t="shared" si="2"/>
        <v>1</v>
      </c>
      <c r="X11" s="132"/>
      <c r="Y11" s="98">
        <f t="shared" si="2"/>
        <v>1</v>
      </c>
      <c r="Z11" s="132"/>
      <c r="AA11" s="132"/>
      <c r="AB11" s="132"/>
      <c r="AC11" s="98">
        <f t="shared" ref="AC11" si="13" xml:space="preserve"> IF( ISNUMBER( M11 ), 0, 1 )</f>
        <v>1</v>
      </c>
      <c r="AD11" s="132"/>
      <c r="AE11" s="98">
        <f t="shared" ref="AE11" si="14" xml:space="preserve"> IF( ISNUMBER( O11 ), 0, 1 )</f>
        <v>1</v>
      </c>
      <c r="AF11" s="132"/>
      <c r="AG11" s="132"/>
      <c r="AH11" s="132"/>
      <c r="AQ11" s="99" t="str">
        <f t="shared" si="6"/>
        <v>1F.4</v>
      </c>
      <c r="AR11" s="92" t="str">
        <f t="shared" si="4"/>
        <v>Regulatory equity</v>
      </c>
      <c r="AS11" s="122" t="s">
        <v>13004</v>
      </c>
      <c r="AT11" s="100" t="s">
        <v>750</v>
      </c>
      <c r="AU11" s="101">
        <v>3</v>
      </c>
      <c r="AV11" s="2553" t="str">
        <f t="shared" si="7"/>
        <v>CR12504NNP</v>
      </c>
      <c r="AW11" s="2581" t="str">
        <f t="shared" si="5"/>
        <v>CR12504ANP</v>
      </c>
      <c r="AX11" s="2554" t="str">
        <f t="shared" si="5"/>
        <v>CR12504AAP</v>
      </c>
      <c r="AY11" s="2270"/>
      <c r="AZ11" s="2270"/>
      <c r="BA11" s="2270"/>
      <c r="BB11" s="2554" t="str">
        <f t="shared" si="5"/>
        <v>CR12504NNPA</v>
      </c>
      <c r="BC11" s="2581" t="str">
        <f t="shared" si="5"/>
        <v>CR12504ANPA</v>
      </c>
      <c r="BD11" s="2554" t="str">
        <f t="shared" si="5"/>
        <v>CR12504AAPA</v>
      </c>
      <c r="BE11" s="2270"/>
      <c r="BF11" s="2270"/>
      <c r="BG11" s="2270"/>
    </row>
    <row r="12" spans="2:59" ht="15" thickBot="1">
      <c r="T12" s="131"/>
      <c r="AV12" s="2555"/>
      <c r="AW12" s="2555"/>
      <c r="AX12" s="2555"/>
      <c r="AY12" s="2270"/>
      <c r="AZ12" s="2270"/>
      <c r="BA12" s="2270"/>
      <c r="BB12" s="2555"/>
      <c r="BC12" s="2555"/>
      <c r="BD12" s="2555"/>
      <c r="BE12" s="2270"/>
      <c r="BF12" s="2270"/>
      <c r="BG12" s="2270"/>
    </row>
    <row r="13" spans="2:59" ht="15" thickBot="1">
      <c r="B13" s="118" t="s">
        <v>2458</v>
      </c>
      <c r="C13" s="88" t="s">
        <v>12533</v>
      </c>
      <c r="D13" s="1584"/>
      <c r="T13" s="131"/>
      <c r="AQ13" s="118" t="str">
        <f t="shared" ref="AQ13:AR13" si="15">+B13</f>
        <v>B</v>
      </c>
      <c r="AR13" s="88" t="str">
        <f t="shared" si="15"/>
        <v>Financing</v>
      </c>
      <c r="AS13" s="1584"/>
      <c r="AV13" s="2555"/>
      <c r="AW13" s="2555"/>
      <c r="AX13" s="2555"/>
      <c r="AY13" s="2270"/>
      <c r="AZ13" s="2270"/>
      <c r="BA13" s="2270"/>
      <c r="BB13" s="2555"/>
      <c r="BC13" s="2555"/>
      <c r="BD13" s="2555"/>
      <c r="BE13" s="2270"/>
      <c r="BF13" s="2270"/>
      <c r="BG13" s="2270"/>
    </row>
    <row r="14" spans="2:59" ht="15" thickBot="1">
      <c r="B14" s="380" t="s">
        <v>12554</v>
      </c>
      <c r="C14" s="122" t="s">
        <v>2560</v>
      </c>
      <c r="D14" s="122"/>
      <c r="E14" s="93" t="s">
        <v>750</v>
      </c>
      <c r="F14" s="94">
        <v>3</v>
      </c>
      <c r="G14" s="2520">
        <v>0</v>
      </c>
      <c r="H14" s="2503">
        <f>IFERROR(+K14/H$11,0)</f>
        <v>0</v>
      </c>
      <c r="I14" s="2497">
        <f t="shared" ref="I14:I18" si="16">IFERROR(+L14/I$11,0)</f>
        <v>0</v>
      </c>
      <c r="J14" s="3173">
        <v>0</v>
      </c>
      <c r="K14" s="198">
        <f t="shared" ref="K14:K17" si="17">+L14</f>
        <v>0</v>
      </c>
      <c r="L14" s="481"/>
      <c r="M14" s="2520">
        <v>0</v>
      </c>
      <c r="N14" s="2503">
        <f t="shared" ref="N14:N18" si="18">IFERROR(+Q14/N$11,0)</f>
        <v>0</v>
      </c>
      <c r="O14" s="2497">
        <f t="shared" ref="O14:O18" si="19">IFERROR(+R14/O$11,0)</f>
        <v>0</v>
      </c>
      <c r="P14" s="196">
        <v>0</v>
      </c>
      <c r="Q14" s="204">
        <f t="shared" ref="Q14:Q16" si="20">+R14</f>
        <v>0</v>
      </c>
      <c r="R14" s="481"/>
      <c r="T14" s="1431" t="str">
        <f xml:space="preserve"> IF( SUM( V14:AI14 ) = 0, 0, $W$7 )</f>
        <v>Please complete all cells in row</v>
      </c>
      <c r="W14" s="132"/>
      <c r="X14" s="132"/>
      <c r="Y14" s="132"/>
      <c r="Z14" s="132"/>
      <c r="AA14" s="132"/>
      <c r="AB14" s="98">
        <f t="shared" ref="AB14:AB18" si="21" xml:space="preserve"> IF( ISNUMBER( L14 ), 0, 1 )</f>
        <v>1</v>
      </c>
      <c r="AC14" s="132"/>
      <c r="AD14" s="132"/>
      <c r="AE14" s="132"/>
      <c r="AF14" s="132"/>
      <c r="AG14" s="132"/>
      <c r="AH14" s="98">
        <f t="shared" ref="AG14:AH18" si="22" xml:space="preserve"> IF( ISNUMBER( R14 ), 0, 1 )</f>
        <v>1</v>
      </c>
      <c r="AQ14" s="380" t="str">
        <f t="shared" ref="AQ14:AQ18" si="23">+B14</f>
        <v>1F.5</v>
      </c>
      <c r="AR14" s="122" t="str">
        <f t="shared" ref="AR14:AR18" si="24">+C14</f>
        <v>Gearing</v>
      </c>
      <c r="AS14" s="122" t="s">
        <v>13005</v>
      </c>
      <c r="AT14" s="93" t="s">
        <v>750</v>
      </c>
      <c r="AU14" s="94">
        <v>3</v>
      </c>
      <c r="AV14" s="2582" t="str">
        <f t="shared" ref="AV14:BG18" si="25">$AS14&amp;AV$6</f>
        <v>CR12505NNP</v>
      </c>
      <c r="AW14" s="2583" t="str">
        <f t="shared" si="25"/>
        <v>CR12505ANP</v>
      </c>
      <c r="AX14" s="2583" t="str">
        <f t="shared" si="25"/>
        <v>CR12505AAP</v>
      </c>
      <c r="AY14" s="2584" t="str">
        <f t="shared" si="25"/>
        <v>CR12505NNV</v>
      </c>
      <c r="AZ14" s="2584" t="str">
        <f t="shared" si="25"/>
        <v>CR12505ANV</v>
      </c>
      <c r="BA14" s="2556" t="str">
        <f t="shared" si="25"/>
        <v>CR12505AAV</v>
      </c>
      <c r="BB14" s="2583" t="str">
        <f t="shared" si="25"/>
        <v>CR12505NNPA</v>
      </c>
      <c r="BC14" s="2583" t="str">
        <f t="shared" si="25"/>
        <v>CR12505ANPA</v>
      </c>
      <c r="BD14" s="2583" t="str">
        <f t="shared" si="25"/>
        <v>CR12505AAPA</v>
      </c>
      <c r="BE14" s="2584" t="str">
        <f t="shared" si="25"/>
        <v>CR12505NNVA</v>
      </c>
      <c r="BF14" s="2584" t="str">
        <f t="shared" si="25"/>
        <v>CR12505ANVA</v>
      </c>
      <c r="BG14" s="2557" t="str">
        <f t="shared" si="25"/>
        <v>CR12505AAVA</v>
      </c>
    </row>
    <row r="15" spans="2:59" ht="15" thickBot="1">
      <c r="B15" s="99" t="s">
        <v>12555</v>
      </c>
      <c r="C15" s="92" t="s">
        <v>12534</v>
      </c>
      <c r="D15" s="92"/>
      <c r="E15" s="100" t="s">
        <v>750</v>
      </c>
      <c r="F15" s="101">
        <v>3</v>
      </c>
      <c r="G15" s="3172">
        <v>0</v>
      </c>
      <c r="H15" s="2500">
        <f>IFERROR(+K15/H$11,0)</f>
        <v>0</v>
      </c>
      <c r="I15" s="2498">
        <f t="shared" si="16"/>
        <v>0</v>
      </c>
      <c r="J15" s="251">
        <v>0</v>
      </c>
      <c r="K15" s="199">
        <f t="shared" si="17"/>
        <v>0</v>
      </c>
      <c r="L15" s="482"/>
      <c r="M15" s="3172">
        <v>0</v>
      </c>
      <c r="N15" s="2500">
        <f t="shared" si="18"/>
        <v>0</v>
      </c>
      <c r="O15" s="2498">
        <f t="shared" si="19"/>
        <v>0</v>
      </c>
      <c r="P15" s="253">
        <v>0</v>
      </c>
      <c r="Q15" s="205">
        <f t="shared" si="20"/>
        <v>0</v>
      </c>
      <c r="R15" s="482"/>
      <c r="T15" s="1431" t="str">
        <f xml:space="preserve"> IF( SUM( V15:AI15 ) = 0, 0, $W$7 )</f>
        <v>Please complete all cells in row</v>
      </c>
      <c r="W15" s="132"/>
      <c r="X15" s="132"/>
      <c r="Y15" s="132"/>
      <c r="Z15" s="132"/>
      <c r="AA15" s="132"/>
      <c r="AB15" s="98">
        <f t="shared" si="21"/>
        <v>1</v>
      </c>
      <c r="AC15" s="132"/>
      <c r="AD15" s="132"/>
      <c r="AE15" s="132"/>
      <c r="AF15" s="132"/>
      <c r="AG15" s="132"/>
      <c r="AH15" s="98">
        <f t="shared" si="22"/>
        <v>1</v>
      </c>
      <c r="AQ15" s="99" t="str">
        <f t="shared" si="23"/>
        <v>1F.6</v>
      </c>
      <c r="AR15" s="92" t="str">
        <f t="shared" si="24"/>
        <v>Variance in corporation tax</v>
      </c>
      <c r="AS15" s="122" t="s">
        <v>13006</v>
      </c>
      <c r="AT15" s="100" t="s">
        <v>750</v>
      </c>
      <c r="AU15" s="101">
        <v>3</v>
      </c>
      <c r="AV15" s="2585" t="str">
        <f t="shared" si="25"/>
        <v>CR12506NNP</v>
      </c>
      <c r="AW15" s="2586" t="str">
        <f t="shared" si="25"/>
        <v>CR12506ANP</v>
      </c>
      <c r="AX15" s="2586" t="str">
        <f t="shared" si="25"/>
        <v>CR12506AAP</v>
      </c>
      <c r="AY15" s="2277" t="str">
        <f t="shared" si="25"/>
        <v>CR12506NNV</v>
      </c>
      <c r="AZ15" s="2277" t="str">
        <f t="shared" si="25"/>
        <v>CR12506ANV</v>
      </c>
      <c r="BA15" s="2558" t="str">
        <f t="shared" si="25"/>
        <v>CR12506AAV</v>
      </c>
      <c r="BB15" s="2586" t="str">
        <f t="shared" si="25"/>
        <v>CR12506NNPA</v>
      </c>
      <c r="BC15" s="2586" t="str">
        <f t="shared" si="25"/>
        <v>CR12506ANPA</v>
      </c>
      <c r="BD15" s="2586" t="str">
        <f t="shared" si="25"/>
        <v>CR12506AAPA</v>
      </c>
      <c r="BE15" s="2277" t="str">
        <f t="shared" si="25"/>
        <v>CR12506NNVA</v>
      </c>
      <c r="BF15" s="2277" t="str">
        <f t="shared" si="25"/>
        <v>CR12506ANVA</v>
      </c>
      <c r="BG15" s="2559" t="str">
        <f t="shared" si="25"/>
        <v>CR12506AAVA</v>
      </c>
    </row>
    <row r="16" spans="2:59" ht="15" thickBot="1">
      <c r="B16" s="99" t="s">
        <v>12556</v>
      </c>
      <c r="C16" s="92" t="s">
        <v>12535</v>
      </c>
      <c r="D16" s="92"/>
      <c r="E16" s="100" t="s">
        <v>750</v>
      </c>
      <c r="F16" s="101">
        <v>3</v>
      </c>
      <c r="G16" s="3172">
        <v>0</v>
      </c>
      <c r="H16" s="2500">
        <f t="shared" ref="H16:H17" si="26">IFERROR(+K16/H$11,0)</f>
        <v>0</v>
      </c>
      <c r="I16" s="2498">
        <f t="shared" si="16"/>
        <v>0</v>
      </c>
      <c r="J16" s="251">
        <v>0</v>
      </c>
      <c r="K16" s="199">
        <f t="shared" si="17"/>
        <v>0</v>
      </c>
      <c r="L16" s="482"/>
      <c r="M16" s="3172">
        <v>0</v>
      </c>
      <c r="N16" s="2500">
        <f t="shared" si="18"/>
        <v>0</v>
      </c>
      <c r="O16" s="2498">
        <f t="shared" si="19"/>
        <v>0</v>
      </c>
      <c r="P16" s="253">
        <v>0</v>
      </c>
      <c r="Q16" s="205">
        <f t="shared" si="20"/>
        <v>0</v>
      </c>
      <c r="R16" s="482"/>
      <c r="T16" s="1431" t="str">
        <f xml:space="preserve"> IF( SUM( V16:AI16 ) = 0, 0, $W$7 )</f>
        <v>Please complete all cells in row</v>
      </c>
      <c r="W16" s="132"/>
      <c r="X16" s="132"/>
      <c r="Y16" s="132"/>
      <c r="Z16" s="132"/>
      <c r="AA16" s="132"/>
      <c r="AB16" s="98">
        <f t="shared" si="21"/>
        <v>1</v>
      </c>
      <c r="AC16" s="132"/>
      <c r="AD16" s="132"/>
      <c r="AE16" s="132"/>
      <c r="AF16" s="132"/>
      <c r="AG16" s="132"/>
      <c r="AH16" s="98">
        <f t="shared" si="22"/>
        <v>1</v>
      </c>
      <c r="AQ16" s="99" t="str">
        <f t="shared" si="23"/>
        <v>1F.7</v>
      </c>
      <c r="AR16" s="92" t="str">
        <f t="shared" si="24"/>
        <v>Group relief</v>
      </c>
      <c r="AS16" s="122" t="s">
        <v>13007</v>
      </c>
      <c r="AT16" s="100" t="s">
        <v>750</v>
      </c>
      <c r="AU16" s="101">
        <v>3</v>
      </c>
      <c r="AV16" s="2585" t="str">
        <f t="shared" si="25"/>
        <v>CR12507NNP</v>
      </c>
      <c r="AW16" s="2586" t="str">
        <f t="shared" si="25"/>
        <v>CR12507ANP</v>
      </c>
      <c r="AX16" s="2586" t="str">
        <f t="shared" si="25"/>
        <v>CR12507AAP</v>
      </c>
      <c r="AY16" s="2277" t="str">
        <f t="shared" si="25"/>
        <v>CR12507NNV</v>
      </c>
      <c r="AZ16" s="2277" t="str">
        <f t="shared" si="25"/>
        <v>CR12507ANV</v>
      </c>
      <c r="BA16" s="2558" t="str">
        <f t="shared" si="25"/>
        <v>CR12507AAV</v>
      </c>
      <c r="BB16" s="2586" t="str">
        <f t="shared" si="25"/>
        <v>CR12507NNPA</v>
      </c>
      <c r="BC16" s="2586" t="str">
        <f t="shared" si="25"/>
        <v>CR12507ANPA</v>
      </c>
      <c r="BD16" s="2586" t="str">
        <f t="shared" si="25"/>
        <v>CR12507AAPA</v>
      </c>
      <c r="BE16" s="2277" t="str">
        <f t="shared" si="25"/>
        <v>CR12507NNVA</v>
      </c>
      <c r="BF16" s="2277" t="str">
        <f t="shared" si="25"/>
        <v>CR12507ANVA</v>
      </c>
      <c r="BG16" s="2559" t="str">
        <f t="shared" si="25"/>
        <v>CR12507AAVA</v>
      </c>
    </row>
    <row r="17" spans="2:59" ht="15" thickBot="1">
      <c r="B17" s="99" t="s">
        <v>12557</v>
      </c>
      <c r="C17" s="92" t="s">
        <v>12536</v>
      </c>
      <c r="D17" s="92"/>
      <c r="E17" s="100" t="s">
        <v>750</v>
      </c>
      <c r="F17" s="101">
        <v>3</v>
      </c>
      <c r="G17" s="3172">
        <v>0</v>
      </c>
      <c r="H17" s="2500">
        <f t="shared" si="26"/>
        <v>0</v>
      </c>
      <c r="I17" s="2498">
        <f t="shared" si="16"/>
        <v>0</v>
      </c>
      <c r="J17" s="251">
        <v>0</v>
      </c>
      <c r="K17" s="199">
        <f t="shared" si="17"/>
        <v>0</v>
      </c>
      <c r="L17" s="482"/>
      <c r="M17" s="3172">
        <v>0</v>
      </c>
      <c r="N17" s="2500">
        <f t="shared" si="18"/>
        <v>0</v>
      </c>
      <c r="O17" s="2498">
        <f t="shared" si="19"/>
        <v>0</v>
      </c>
      <c r="P17" s="253">
        <v>0</v>
      </c>
      <c r="Q17" s="482"/>
      <c r="R17" s="482"/>
      <c r="T17" s="1431" t="str">
        <f xml:space="preserve"> IF( SUM( V17:AI17 ) = 0, 0, $W$7 )</f>
        <v>Please complete all cells in row</v>
      </c>
      <c r="W17" s="132"/>
      <c r="X17" s="132"/>
      <c r="Y17" s="132"/>
      <c r="Z17" s="132"/>
      <c r="AA17" s="132"/>
      <c r="AB17" s="98">
        <f t="shared" si="21"/>
        <v>1</v>
      </c>
      <c r="AC17" s="132"/>
      <c r="AD17" s="132"/>
      <c r="AE17" s="132"/>
      <c r="AF17" s="132"/>
      <c r="AG17" s="98">
        <f t="shared" ref="AG17" si="27" xml:space="preserve"> IF( ISNUMBER( Q17 ), 0, 1 )</f>
        <v>1</v>
      </c>
      <c r="AH17" s="98">
        <f t="shared" si="22"/>
        <v>1</v>
      </c>
      <c r="AQ17" s="99" t="str">
        <f t="shared" si="23"/>
        <v>1F.8</v>
      </c>
      <c r="AR17" s="92" t="str">
        <f t="shared" si="24"/>
        <v>Cost of debt</v>
      </c>
      <c r="AS17" s="122" t="s">
        <v>13008</v>
      </c>
      <c r="AT17" s="100" t="s">
        <v>750</v>
      </c>
      <c r="AU17" s="101">
        <v>3</v>
      </c>
      <c r="AV17" s="2585" t="str">
        <f t="shared" si="25"/>
        <v>CR12508NNP</v>
      </c>
      <c r="AW17" s="2586" t="str">
        <f t="shared" si="25"/>
        <v>CR12508ANP</v>
      </c>
      <c r="AX17" s="2586" t="str">
        <f t="shared" si="25"/>
        <v>CR12508AAP</v>
      </c>
      <c r="AY17" s="2277" t="str">
        <f t="shared" si="25"/>
        <v>CR12508NNV</v>
      </c>
      <c r="AZ17" s="2277" t="str">
        <f t="shared" si="25"/>
        <v>CR12508ANV</v>
      </c>
      <c r="BA17" s="2558" t="str">
        <f t="shared" si="25"/>
        <v>CR12508AAV</v>
      </c>
      <c r="BB17" s="2586" t="str">
        <f t="shared" si="25"/>
        <v>CR12508NNPA</v>
      </c>
      <c r="BC17" s="2586" t="str">
        <f t="shared" si="25"/>
        <v>CR12508ANPA</v>
      </c>
      <c r="BD17" s="2586" t="str">
        <f t="shared" si="25"/>
        <v>CR12508AAPA</v>
      </c>
      <c r="BE17" s="2277" t="str">
        <f t="shared" si="25"/>
        <v>CR12508NNVA</v>
      </c>
      <c r="BF17" s="2558" t="str">
        <f t="shared" si="25"/>
        <v>CR12508ANVA</v>
      </c>
      <c r="BG17" s="2559" t="str">
        <f t="shared" si="25"/>
        <v>CR12508AAVA</v>
      </c>
    </row>
    <row r="18" spans="2:59" ht="15" thickBot="1">
      <c r="B18" s="177" t="s">
        <v>12558</v>
      </c>
      <c r="C18" s="107" t="s">
        <v>12537</v>
      </c>
      <c r="D18" s="107"/>
      <c r="E18" s="108" t="s">
        <v>750</v>
      </c>
      <c r="F18" s="105">
        <v>3</v>
      </c>
      <c r="G18" s="2519">
        <v>0</v>
      </c>
      <c r="H18" s="2501">
        <f>IFERROR(+K18/H$11,0)</f>
        <v>0</v>
      </c>
      <c r="I18" s="2499">
        <f t="shared" si="16"/>
        <v>0</v>
      </c>
      <c r="J18" s="250">
        <v>0</v>
      </c>
      <c r="K18" s="203">
        <f>+L18</f>
        <v>0</v>
      </c>
      <c r="L18" s="3171"/>
      <c r="M18" s="2519">
        <v>0</v>
      </c>
      <c r="N18" s="2501">
        <f t="shared" si="18"/>
        <v>0</v>
      </c>
      <c r="O18" s="2499">
        <f t="shared" si="19"/>
        <v>0</v>
      </c>
      <c r="P18" s="201">
        <v>0</v>
      </c>
      <c r="Q18" s="3171"/>
      <c r="R18" s="3171"/>
      <c r="T18" s="1431" t="str">
        <f xml:space="preserve"> IF( SUM( V18:AI18 ) = 0, 0, $W$7 )</f>
        <v>Please complete all cells in row</v>
      </c>
      <c r="W18" s="132"/>
      <c r="X18" s="132"/>
      <c r="Y18" s="132"/>
      <c r="Z18" s="132"/>
      <c r="AA18" s="132"/>
      <c r="AB18" s="98">
        <f t="shared" si="21"/>
        <v>1</v>
      </c>
      <c r="AC18" s="132"/>
      <c r="AD18" s="132"/>
      <c r="AE18" s="132"/>
      <c r="AF18" s="132"/>
      <c r="AG18" s="98">
        <f t="shared" si="22"/>
        <v>1</v>
      </c>
      <c r="AH18" s="98">
        <f t="shared" si="22"/>
        <v>1</v>
      </c>
      <c r="AQ18" s="177" t="str">
        <f t="shared" si="23"/>
        <v>1F.9</v>
      </c>
      <c r="AR18" s="107" t="str">
        <f t="shared" si="24"/>
        <v>Hedging instruments</v>
      </c>
      <c r="AS18" s="122" t="s">
        <v>13009</v>
      </c>
      <c r="AT18" s="108" t="s">
        <v>750</v>
      </c>
      <c r="AU18" s="105">
        <v>3</v>
      </c>
      <c r="AV18" s="2587" t="str">
        <f t="shared" si="25"/>
        <v>CR12509NNP</v>
      </c>
      <c r="AW18" s="2581" t="str">
        <f t="shared" si="25"/>
        <v>CR12509ANP</v>
      </c>
      <c r="AX18" s="2581" t="str">
        <f t="shared" si="25"/>
        <v>CR12509AAP</v>
      </c>
      <c r="AY18" s="2154" t="str">
        <f t="shared" si="25"/>
        <v>CR12509NNV</v>
      </c>
      <c r="AZ18" s="2154" t="str">
        <f t="shared" si="25"/>
        <v>CR12509ANV</v>
      </c>
      <c r="BA18" s="2560" t="str">
        <f t="shared" si="25"/>
        <v>CR12509AAV</v>
      </c>
      <c r="BB18" s="2581" t="str">
        <f t="shared" si="25"/>
        <v>CR12509NNPA</v>
      </c>
      <c r="BC18" s="2581" t="str">
        <f t="shared" si="25"/>
        <v>CR12509ANPA</v>
      </c>
      <c r="BD18" s="2581" t="str">
        <f t="shared" si="25"/>
        <v>CR12509AAPA</v>
      </c>
      <c r="BE18" s="2154" t="str">
        <f t="shared" si="25"/>
        <v>CR12509NNVA</v>
      </c>
      <c r="BF18" s="2560" t="str">
        <f t="shared" si="25"/>
        <v>CR12509ANVA</v>
      </c>
      <c r="BG18" s="2561" t="str">
        <f t="shared" si="25"/>
        <v>CR12509AAVA</v>
      </c>
    </row>
    <row r="19" spans="2:59" ht="15" thickBot="1">
      <c r="G19" s="2506"/>
      <c r="H19" s="2506"/>
      <c r="I19" s="2165"/>
      <c r="M19" s="2506"/>
      <c r="N19" s="2506"/>
      <c r="O19" s="2165"/>
      <c r="P19" s="2509"/>
      <c r="T19" s="131"/>
      <c r="AV19" s="2555"/>
      <c r="AW19" s="2555"/>
      <c r="AX19" s="2555"/>
      <c r="AY19" s="2270"/>
      <c r="AZ19" s="2270"/>
      <c r="BA19" s="2270"/>
      <c r="BB19" s="2555"/>
      <c r="BC19" s="2555"/>
      <c r="BD19" s="2555"/>
      <c r="BE19" s="2270"/>
      <c r="BF19" s="2270"/>
      <c r="BG19" s="2270"/>
    </row>
    <row r="20" spans="2:59" ht="15" thickBot="1">
      <c r="B20" s="136" t="s">
        <v>12560</v>
      </c>
      <c r="C20" s="137" t="s">
        <v>12538</v>
      </c>
      <c r="D20" s="137"/>
      <c r="E20" s="138" t="s">
        <v>750</v>
      </c>
      <c r="F20" s="139">
        <v>3</v>
      </c>
      <c r="G20" s="2502">
        <f>SUM(G14:G18)+G10</f>
        <v>0</v>
      </c>
      <c r="H20" s="2502">
        <f t="shared" ref="H20:I20" si="28">SUM(H14:H18)+H10</f>
        <v>0</v>
      </c>
      <c r="I20" s="2166">
        <f t="shared" si="28"/>
        <v>0</v>
      </c>
      <c r="J20" s="810">
        <f>SUM(J14:J18)+J10</f>
        <v>0</v>
      </c>
      <c r="K20" s="779">
        <f t="shared" ref="K20:L20" si="29">SUM(K14:K18)+K10</f>
        <v>0</v>
      </c>
      <c r="L20" s="504">
        <f t="shared" si="29"/>
        <v>0</v>
      </c>
      <c r="M20" s="2502">
        <f>SUM(M14:M18)+M10</f>
        <v>0</v>
      </c>
      <c r="N20" s="2502">
        <f t="shared" ref="N20:O20" si="30">SUM(N14:N18)+N10</f>
        <v>0</v>
      </c>
      <c r="O20" s="2166">
        <f t="shared" si="30"/>
        <v>0</v>
      </c>
      <c r="P20" s="810">
        <f>SUM(P14:P18)+P10</f>
        <v>0</v>
      </c>
      <c r="Q20" s="810">
        <f t="shared" ref="Q20:R20" si="31">SUM(Q14:Q18)+Q10</f>
        <v>0</v>
      </c>
      <c r="R20" s="504">
        <f t="shared" si="31"/>
        <v>0</v>
      </c>
      <c r="T20" s="131"/>
      <c r="U20" s="125"/>
      <c r="V20" s="124"/>
      <c r="W20" s="125"/>
      <c r="X20" s="125"/>
      <c r="Y20" s="125"/>
      <c r="Z20" s="125"/>
      <c r="AA20" s="125"/>
      <c r="AB20" s="125"/>
      <c r="AC20" s="125"/>
      <c r="AD20" s="125"/>
      <c r="AE20" s="125"/>
      <c r="AF20" s="125"/>
      <c r="AG20" s="125"/>
      <c r="AH20" s="125"/>
      <c r="AI20" s="124"/>
      <c r="AQ20" s="136" t="str">
        <f t="shared" ref="AQ20:AR20" si="32">+B20</f>
        <v>1F.10</v>
      </c>
      <c r="AR20" s="137" t="str">
        <f t="shared" si="32"/>
        <v>Financing total</v>
      </c>
      <c r="AS20" s="137" t="s">
        <v>13010</v>
      </c>
      <c r="AT20" s="138" t="s">
        <v>750</v>
      </c>
      <c r="AU20" s="139">
        <v>3</v>
      </c>
      <c r="AV20" s="2562" t="str">
        <f t="shared" ref="AV20:BG20" si="33">$AS20&amp;AV$6</f>
        <v>CR12510NNP</v>
      </c>
      <c r="AW20" s="2563" t="str">
        <f t="shared" si="33"/>
        <v>CR12510ANP</v>
      </c>
      <c r="AX20" s="2563" t="str">
        <f t="shared" si="33"/>
        <v>CR12510AAP</v>
      </c>
      <c r="AY20" s="2564" t="str">
        <f t="shared" si="33"/>
        <v>CR12510NNV</v>
      </c>
      <c r="AZ20" s="2564" t="str">
        <f t="shared" si="33"/>
        <v>CR12510ANV</v>
      </c>
      <c r="BA20" s="2564" t="str">
        <f t="shared" si="33"/>
        <v>CR12510AAV</v>
      </c>
      <c r="BB20" s="2563" t="str">
        <f t="shared" si="33"/>
        <v>CR12510NNPA</v>
      </c>
      <c r="BC20" s="2563" t="str">
        <f t="shared" si="33"/>
        <v>CR12510ANPA</v>
      </c>
      <c r="BD20" s="2563" t="str">
        <f t="shared" si="33"/>
        <v>CR12510AAPA</v>
      </c>
      <c r="BE20" s="2564" t="str">
        <f t="shared" si="33"/>
        <v>CR12510NNVA</v>
      </c>
      <c r="BF20" s="2564" t="str">
        <f t="shared" si="33"/>
        <v>CR12510ANVA</v>
      </c>
      <c r="BG20" s="2273" t="str">
        <f t="shared" si="33"/>
        <v>CR12510AAVA</v>
      </c>
    </row>
    <row r="21" spans="2:59" ht="15" thickBot="1">
      <c r="T21" s="131"/>
      <c r="AV21" s="2555"/>
      <c r="AW21" s="2555"/>
      <c r="AX21" s="2555"/>
      <c r="AY21" s="2270"/>
      <c r="AZ21" s="2270"/>
      <c r="BA21" s="2270"/>
      <c r="BB21" s="2555"/>
      <c r="BC21" s="2555"/>
      <c r="BD21" s="2555"/>
      <c r="BE21" s="2270"/>
      <c r="BF21" s="2270"/>
      <c r="BG21" s="2270"/>
    </row>
    <row r="22" spans="2:59" ht="15" thickBot="1">
      <c r="B22" s="2484" t="s">
        <v>2464</v>
      </c>
      <c r="C22" s="88" t="s">
        <v>12539</v>
      </c>
      <c r="D22" s="1584"/>
      <c r="T22" s="131"/>
      <c r="AQ22" s="2484" t="str">
        <f t="shared" ref="AQ22:AQ27" si="34">+B22</f>
        <v>C</v>
      </c>
      <c r="AR22" s="88" t="str">
        <f t="shared" ref="AR22:AR27" si="35">+C22</f>
        <v>Operational performance</v>
      </c>
      <c r="AS22" s="1584"/>
      <c r="AV22" s="2555"/>
      <c r="AW22" s="2555"/>
      <c r="AX22" s="2555"/>
      <c r="AY22" s="2270"/>
      <c r="AZ22" s="2270"/>
      <c r="BA22" s="2270"/>
      <c r="BB22" s="2555"/>
      <c r="BC22" s="2555"/>
      <c r="BD22" s="2555"/>
      <c r="BE22" s="2270"/>
      <c r="BF22" s="2270"/>
      <c r="BG22" s="2270"/>
    </row>
    <row r="23" spans="2:59">
      <c r="B23" s="1300" t="s">
        <v>12559</v>
      </c>
      <c r="C23" s="122" t="s">
        <v>12540</v>
      </c>
      <c r="D23" s="122"/>
      <c r="E23" s="93" t="s">
        <v>750</v>
      </c>
      <c r="F23" s="94">
        <v>3</v>
      </c>
      <c r="G23" s="2503">
        <v>0</v>
      </c>
      <c r="H23" s="2503">
        <f t="shared" ref="H23:I26" si="36">IFERROR(+K23/H$11,0)</f>
        <v>0</v>
      </c>
      <c r="I23" s="2497">
        <f t="shared" si="36"/>
        <v>0</v>
      </c>
      <c r="J23" s="196">
        <v>0</v>
      </c>
      <c r="K23" s="662">
        <f>+L23</f>
        <v>0</v>
      </c>
      <c r="L23" s="444"/>
      <c r="M23" s="2503">
        <v>0</v>
      </c>
      <c r="N23" s="2503">
        <f t="shared" ref="N23:O26" si="37">IFERROR(+Q23/N$11,0)</f>
        <v>0</v>
      </c>
      <c r="O23" s="2497">
        <f t="shared" si="37"/>
        <v>0</v>
      </c>
      <c r="P23" s="662">
        <v>0</v>
      </c>
      <c r="Q23" s="662">
        <f t="shared" ref="Q23:Q26" si="38">+R23</f>
        <v>0</v>
      </c>
      <c r="R23" s="444"/>
      <c r="T23" s="1431" t="str">
        <f xml:space="preserve"> IF( SUM( V23:AI23 ) = 0, 0, $W$7 )</f>
        <v>Please complete all cells in row</v>
      </c>
      <c r="V23" s="129"/>
      <c r="W23" s="132"/>
      <c r="X23" s="132"/>
      <c r="Y23" s="132"/>
      <c r="Z23" s="132"/>
      <c r="AA23" s="132"/>
      <c r="AB23" s="98">
        <f t="shared" ref="AB23:AB26" si="39" xml:space="preserve"> IF( ISNUMBER( L23 ), 0, 1 )</f>
        <v>1</v>
      </c>
      <c r="AC23" s="132"/>
      <c r="AD23" s="132"/>
      <c r="AE23" s="132"/>
      <c r="AF23" s="132"/>
      <c r="AG23" s="132"/>
      <c r="AH23" s="98">
        <f t="shared" ref="AH23:AH26" si="40" xml:space="preserve"> IF( ISNUMBER( R23 ), 0, 1 )</f>
        <v>1</v>
      </c>
      <c r="AI23" s="129"/>
      <c r="AQ23" s="1300" t="str">
        <f t="shared" si="34"/>
        <v>1F.11</v>
      </c>
      <c r="AR23" s="122" t="str">
        <f t="shared" si="35"/>
        <v>Totex out / (under) performance</v>
      </c>
      <c r="AS23" s="839" t="s">
        <v>13011</v>
      </c>
      <c r="AT23" s="93" t="s">
        <v>750</v>
      </c>
      <c r="AU23" s="94">
        <v>3</v>
      </c>
      <c r="AV23" s="2582" t="str">
        <f t="shared" ref="AV23:BG27" si="41">$AS23&amp;AV$6</f>
        <v>CR12511NNP</v>
      </c>
      <c r="AW23" s="2583" t="str">
        <f t="shared" si="41"/>
        <v>CR12511ANP</v>
      </c>
      <c r="AX23" s="2583" t="str">
        <f t="shared" si="41"/>
        <v>CR12511AAP</v>
      </c>
      <c r="AY23" s="2584" t="str">
        <f t="shared" si="41"/>
        <v>CR12511NNV</v>
      </c>
      <c r="AZ23" s="2584" t="str">
        <f t="shared" si="41"/>
        <v>CR12511ANV</v>
      </c>
      <c r="BA23" s="2556" t="str">
        <f t="shared" si="41"/>
        <v>CR12511AAV</v>
      </c>
      <c r="BB23" s="2583" t="str">
        <f t="shared" si="41"/>
        <v>CR12511NNPA</v>
      </c>
      <c r="BC23" s="2583" t="str">
        <f t="shared" si="41"/>
        <v>CR12511ANPA</v>
      </c>
      <c r="BD23" s="2583" t="str">
        <f t="shared" si="41"/>
        <v>CR12511AAPA</v>
      </c>
      <c r="BE23" s="2584" t="str">
        <f t="shared" si="41"/>
        <v>CR12511NNVA</v>
      </c>
      <c r="BF23" s="2584" t="str">
        <f t="shared" si="41"/>
        <v>CR12511ANVA</v>
      </c>
      <c r="BG23" s="2557" t="str">
        <f t="shared" si="41"/>
        <v>CR12511AAVA</v>
      </c>
    </row>
    <row r="24" spans="2:59">
      <c r="B24" s="99" t="s">
        <v>12561</v>
      </c>
      <c r="C24" s="92" t="s">
        <v>12541</v>
      </c>
      <c r="D24" s="92"/>
      <c r="E24" s="100" t="s">
        <v>750</v>
      </c>
      <c r="F24" s="101">
        <v>3</v>
      </c>
      <c r="G24" s="2500">
        <v>0</v>
      </c>
      <c r="H24" s="2500">
        <f t="shared" si="36"/>
        <v>0</v>
      </c>
      <c r="I24" s="2498">
        <f t="shared" si="36"/>
        <v>0</v>
      </c>
      <c r="J24" s="253">
        <v>0</v>
      </c>
      <c r="K24" s="251">
        <f t="shared" ref="K24:K26" si="42">+L24</f>
        <v>0</v>
      </c>
      <c r="L24" s="427"/>
      <c r="M24" s="2500">
        <v>0</v>
      </c>
      <c r="N24" s="2500">
        <f t="shared" si="37"/>
        <v>0</v>
      </c>
      <c r="O24" s="2498">
        <f t="shared" si="37"/>
        <v>0</v>
      </c>
      <c r="P24" s="251">
        <v>0</v>
      </c>
      <c r="Q24" s="251">
        <f t="shared" si="38"/>
        <v>0</v>
      </c>
      <c r="R24" s="427"/>
      <c r="T24" s="1431" t="str">
        <f xml:space="preserve"> IF( SUM( V24:AI24 ) = 0, 0, $W$7 )</f>
        <v>Please complete all cells in row</v>
      </c>
      <c r="V24" s="124"/>
      <c r="W24" s="132"/>
      <c r="X24" s="132"/>
      <c r="Y24" s="132"/>
      <c r="Z24" s="132"/>
      <c r="AA24" s="132"/>
      <c r="AB24" s="98">
        <f t="shared" si="39"/>
        <v>1</v>
      </c>
      <c r="AC24" s="132"/>
      <c r="AD24" s="132"/>
      <c r="AE24" s="132"/>
      <c r="AF24" s="132"/>
      <c r="AG24" s="132"/>
      <c r="AH24" s="98">
        <f t="shared" si="40"/>
        <v>1</v>
      </c>
      <c r="AI24" s="124"/>
      <c r="AQ24" s="99" t="str">
        <f t="shared" si="34"/>
        <v>1F.12</v>
      </c>
      <c r="AR24" s="92" t="str">
        <f t="shared" si="35"/>
        <v>ODI out / (under) performance</v>
      </c>
      <c r="AS24" s="92" t="s">
        <v>13012</v>
      </c>
      <c r="AT24" s="100" t="s">
        <v>750</v>
      </c>
      <c r="AU24" s="101">
        <v>3</v>
      </c>
      <c r="AV24" s="2585" t="str">
        <f t="shared" si="41"/>
        <v>CR12512NNP</v>
      </c>
      <c r="AW24" s="2586" t="str">
        <f t="shared" si="41"/>
        <v>CR12512ANP</v>
      </c>
      <c r="AX24" s="2586" t="str">
        <f t="shared" si="41"/>
        <v>CR12512AAP</v>
      </c>
      <c r="AY24" s="2277" t="str">
        <f t="shared" si="41"/>
        <v>CR12512NNV</v>
      </c>
      <c r="AZ24" s="2277" t="str">
        <f t="shared" si="41"/>
        <v>CR12512ANV</v>
      </c>
      <c r="BA24" s="2558" t="str">
        <f t="shared" si="41"/>
        <v>CR12512AAV</v>
      </c>
      <c r="BB24" s="2586" t="str">
        <f t="shared" si="41"/>
        <v>CR12512NNPA</v>
      </c>
      <c r="BC24" s="2586" t="str">
        <f t="shared" si="41"/>
        <v>CR12512ANPA</v>
      </c>
      <c r="BD24" s="2586" t="str">
        <f t="shared" si="41"/>
        <v>CR12512AAPA</v>
      </c>
      <c r="BE24" s="2277" t="str">
        <f t="shared" si="41"/>
        <v>CR12512NNVA</v>
      </c>
      <c r="BF24" s="2277" t="str">
        <f t="shared" si="41"/>
        <v>CR12512ANVA</v>
      </c>
      <c r="BG24" s="2559" t="str">
        <f t="shared" si="41"/>
        <v>CR12512AAVA</v>
      </c>
    </row>
    <row r="25" spans="2:59" ht="15" thickBot="1">
      <c r="B25" s="99" t="s">
        <v>12562</v>
      </c>
      <c r="C25" s="92" t="s">
        <v>12542</v>
      </c>
      <c r="D25" s="92"/>
      <c r="E25" s="100" t="s">
        <v>750</v>
      </c>
      <c r="F25" s="101">
        <v>3</v>
      </c>
      <c r="G25" s="2500">
        <v>0</v>
      </c>
      <c r="H25" s="2500">
        <f t="shared" si="36"/>
        <v>0</v>
      </c>
      <c r="I25" s="2498">
        <f t="shared" si="36"/>
        <v>0</v>
      </c>
      <c r="J25" s="253">
        <v>0</v>
      </c>
      <c r="K25" s="251">
        <f t="shared" si="42"/>
        <v>0</v>
      </c>
      <c r="L25" s="427"/>
      <c r="M25" s="2500">
        <v>0</v>
      </c>
      <c r="N25" s="2500">
        <f t="shared" si="37"/>
        <v>0</v>
      </c>
      <c r="O25" s="2498">
        <f t="shared" si="37"/>
        <v>0</v>
      </c>
      <c r="P25" s="251">
        <v>0</v>
      </c>
      <c r="Q25" s="251">
        <f t="shared" si="38"/>
        <v>0</v>
      </c>
      <c r="R25" s="427"/>
      <c r="T25" s="1431" t="str">
        <f xml:space="preserve"> IF( SUM( V25:AI25 ) = 0, 0, $W$7 )</f>
        <v>Please complete all cells in row</v>
      </c>
      <c r="V25" s="124"/>
      <c r="W25" s="132"/>
      <c r="X25" s="132"/>
      <c r="Y25" s="132"/>
      <c r="Z25" s="132"/>
      <c r="AA25" s="132"/>
      <c r="AB25" s="98">
        <f t="shared" si="39"/>
        <v>1</v>
      </c>
      <c r="AC25" s="132"/>
      <c r="AD25" s="132"/>
      <c r="AE25" s="132"/>
      <c r="AF25" s="132"/>
      <c r="AG25" s="132"/>
      <c r="AH25" s="98">
        <f t="shared" si="40"/>
        <v>1</v>
      </c>
      <c r="AI25" s="124"/>
      <c r="AQ25" s="99" t="str">
        <f t="shared" si="34"/>
        <v>1F.13</v>
      </c>
      <c r="AR25" s="92" t="str">
        <f t="shared" si="35"/>
        <v>Retail out / (under) performance</v>
      </c>
      <c r="AS25" s="178" t="s">
        <v>13013</v>
      </c>
      <c r="AT25" s="100" t="s">
        <v>750</v>
      </c>
      <c r="AU25" s="101">
        <v>3</v>
      </c>
      <c r="AV25" s="2585" t="str">
        <f t="shared" si="41"/>
        <v>CR12513NNP</v>
      </c>
      <c r="AW25" s="2586" t="str">
        <f t="shared" si="41"/>
        <v>CR12513ANP</v>
      </c>
      <c r="AX25" s="2586" t="str">
        <f t="shared" si="41"/>
        <v>CR12513AAP</v>
      </c>
      <c r="AY25" s="2277" t="str">
        <f t="shared" si="41"/>
        <v>CR12513NNV</v>
      </c>
      <c r="AZ25" s="2277" t="str">
        <f t="shared" si="41"/>
        <v>CR12513ANV</v>
      </c>
      <c r="BA25" s="2558" t="str">
        <f t="shared" si="41"/>
        <v>CR12513AAV</v>
      </c>
      <c r="BB25" s="2586" t="str">
        <f t="shared" si="41"/>
        <v>CR12513NNPA</v>
      </c>
      <c r="BC25" s="2586" t="str">
        <f t="shared" si="41"/>
        <v>CR12513ANPA</v>
      </c>
      <c r="BD25" s="2586" t="str">
        <f t="shared" si="41"/>
        <v>CR12513AAPA</v>
      </c>
      <c r="BE25" s="2277" t="str">
        <f t="shared" si="41"/>
        <v>CR12513NNVA</v>
      </c>
      <c r="BF25" s="2277" t="str">
        <f t="shared" si="41"/>
        <v>CR12513ANVA</v>
      </c>
      <c r="BG25" s="2559" t="str">
        <f t="shared" si="41"/>
        <v>CR12513AAVA</v>
      </c>
    </row>
    <row r="26" spans="2:59" ht="15" thickBot="1">
      <c r="B26" s="99" t="s">
        <v>12563</v>
      </c>
      <c r="C26" s="92" t="s">
        <v>13517</v>
      </c>
      <c r="D26" s="92"/>
      <c r="E26" s="100" t="s">
        <v>750</v>
      </c>
      <c r="F26" s="101">
        <v>3</v>
      </c>
      <c r="G26" s="2500">
        <v>0</v>
      </c>
      <c r="H26" s="2500">
        <f t="shared" si="36"/>
        <v>0</v>
      </c>
      <c r="I26" s="2498">
        <f t="shared" si="36"/>
        <v>0</v>
      </c>
      <c r="J26" s="253">
        <v>0</v>
      </c>
      <c r="K26" s="251">
        <f t="shared" si="42"/>
        <v>0</v>
      </c>
      <c r="L26" s="427"/>
      <c r="M26" s="2500">
        <v>0</v>
      </c>
      <c r="N26" s="2500">
        <f t="shared" si="37"/>
        <v>0</v>
      </c>
      <c r="O26" s="2498">
        <f t="shared" si="37"/>
        <v>0</v>
      </c>
      <c r="P26" s="251">
        <v>0</v>
      </c>
      <c r="Q26" s="251">
        <f t="shared" si="38"/>
        <v>0</v>
      </c>
      <c r="R26" s="427"/>
      <c r="T26" s="1431" t="str">
        <f xml:space="preserve"> IF( SUM( V26:AI26 ) = 0, 0, $W$7 )</f>
        <v>Please complete all cells in row</v>
      </c>
      <c r="V26" s="124"/>
      <c r="W26" s="132"/>
      <c r="X26" s="132"/>
      <c r="Y26" s="132"/>
      <c r="Z26" s="132"/>
      <c r="AA26" s="132"/>
      <c r="AB26" s="98">
        <f t="shared" si="39"/>
        <v>1</v>
      </c>
      <c r="AC26" s="132"/>
      <c r="AD26" s="132"/>
      <c r="AE26" s="132"/>
      <c r="AF26" s="132"/>
      <c r="AG26" s="132"/>
      <c r="AH26" s="98">
        <f t="shared" si="40"/>
        <v>1</v>
      </c>
      <c r="AI26" s="124"/>
      <c r="AQ26" s="99" t="str">
        <f t="shared" si="34"/>
        <v>1F.14</v>
      </c>
      <c r="AR26" s="92" t="str">
        <f t="shared" si="35"/>
        <v>Other exceptional items</v>
      </c>
      <c r="AS26" s="122" t="s">
        <v>13518</v>
      </c>
      <c r="AT26" s="100" t="s">
        <v>750</v>
      </c>
      <c r="AU26" s="101">
        <v>3</v>
      </c>
      <c r="AV26" s="2585" t="str">
        <f t="shared" si="41"/>
        <v>CR12523NNP</v>
      </c>
      <c r="AW26" s="2586" t="str">
        <f t="shared" si="41"/>
        <v>CR12523ANP</v>
      </c>
      <c r="AX26" s="2586" t="str">
        <f t="shared" si="41"/>
        <v>CR12523AAP</v>
      </c>
      <c r="AY26" s="2277" t="str">
        <f t="shared" si="41"/>
        <v>CR12523NNV</v>
      </c>
      <c r="AZ26" s="2277" t="str">
        <f t="shared" si="41"/>
        <v>CR12523ANV</v>
      </c>
      <c r="BA26" s="2558" t="str">
        <f t="shared" si="41"/>
        <v>CR12523AAV</v>
      </c>
      <c r="BB26" s="2586" t="str">
        <f t="shared" si="41"/>
        <v>CR12523NNPA</v>
      </c>
      <c r="BC26" s="2586" t="str">
        <f t="shared" si="41"/>
        <v>CR12523ANPA</v>
      </c>
      <c r="BD26" s="2586" t="str">
        <f t="shared" si="41"/>
        <v>CR12523AAPA</v>
      </c>
      <c r="BE26" s="2277" t="str">
        <f t="shared" si="41"/>
        <v>CR12523NNVA</v>
      </c>
      <c r="BF26" s="2277" t="str">
        <f t="shared" si="41"/>
        <v>CR12523ANVA</v>
      </c>
      <c r="BG26" s="2559" t="str">
        <f t="shared" si="41"/>
        <v>CR12523AAVA</v>
      </c>
    </row>
    <row r="27" spans="2:59" ht="15" thickBot="1">
      <c r="B27" s="177" t="s">
        <v>12564</v>
      </c>
      <c r="C27" s="92" t="s">
        <v>12543</v>
      </c>
      <c r="D27" s="92"/>
      <c r="E27" s="100" t="s">
        <v>750</v>
      </c>
      <c r="F27" s="101">
        <v>3</v>
      </c>
      <c r="G27" s="2502">
        <f>SUM(G23:G26)</f>
        <v>0</v>
      </c>
      <c r="H27" s="2502">
        <f t="shared" ref="H27:R27" si="43">SUM(H23:H26)</f>
        <v>0</v>
      </c>
      <c r="I27" s="2166">
        <f t="shared" si="43"/>
        <v>0</v>
      </c>
      <c r="J27" s="779">
        <f t="shared" si="43"/>
        <v>0</v>
      </c>
      <c r="K27" s="810">
        <f t="shared" si="43"/>
        <v>0</v>
      </c>
      <c r="L27" s="504">
        <f t="shared" si="43"/>
        <v>0</v>
      </c>
      <c r="M27" s="2502">
        <f t="shared" si="43"/>
        <v>0</v>
      </c>
      <c r="N27" s="2502">
        <f t="shared" si="43"/>
        <v>0</v>
      </c>
      <c r="O27" s="2166">
        <f t="shared" si="43"/>
        <v>0</v>
      </c>
      <c r="P27" s="810">
        <f t="shared" si="43"/>
        <v>0</v>
      </c>
      <c r="Q27" s="810">
        <f t="shared" si="43"/>
        <v>0</v>
      </c>
      <c r="R27" s="504">
        <f t="shared" si="43"/>
        <v>0</v>
      </c>
      <c r="T27" s="1431">
        <f xml:space="preserve"> IF( SUM( V27:AI27 ) = 0, 0, $W$7 )</f>
        <v>0</v>
      </c>
      <c r="V27" s="124"/>
      <c r="AI27" s="124"/>
      <c r="AQ27" s="177" t="str">
        <f t="shared" si="34"/>
        <v>1F.15</v>
      </c>
      <c r="AR27" s="92" t="str">
        <f t="shared" si="35"/>
        <v>Operational performance total</v>
      </c>
      <c r="AS27" s="122" t="s">
        <v>13014</v>
      </c>
      <c r="AT27" s="100" t="s">
        <v>750</v>
      </c>
      <c r="AU27" s="101">
        <v>3</v>
      </c>
      <c r="AV27" s="2562" t="str">
        <f t="shared" si="41"/>
        <v>CR12514NNP</v>
      </c>
      <c r="AW27" s="2563" t="str">
        <f t="shared" si="41"/>
        <v>CR12514ANP</v>
      </c>
      <c r="AX27" s="2563" t="str">
        <f t="shared" si="41"/>
        <v>CR12514AAP</v>
      </c>
      <c r="AY27" s="2564" t="str">
        <f t="shared" si="41"/>
        <v>CR12514NNV</v>
      </c>
      <c r="AZ27" s="2564" t="str">
        <f t="shared" si="41"/>
        <v>CR12514ANV</v>
      </c>
      <c r="BA27" s="2564" t="str">
        <f t="shared" si="41"/>
        <v>CR12514AAV</v>
      </c>
      <c r="BB27" s="2563" t="str">
        <f t="shared" si="41"/>
        <v>CR12514NNPA</v>
      </c>
      <c r="BC27" s="2563" t="str">
        <f t="shared" si="41"/>
        <v>CR12514ANPA</v>
      </c>
      <c r="BD27" s="2563" t="str">
        <f t="shared" si="41"/>
        <v>CR12514AAPA</v>
      </c>
      <c r="BE27" s="2564" t="str">
        <f t="shared" si="41"/>
        <v>CR12514NNVA</v>
      </c>
      <c r="BF27" s="2564" t="str">
        <f t="shared" si="41"/>
        <v>CR12514ANVA</v>
      </c>
      <c r="BG27" s="2273" t="str">
        <f t="shared" si="41"/>
        <v>CR12514AAVA</v>
      </c>
    </row>
    <row r="28" spans="2:59" ht="15" thickBot="1">
      <c r="T28" s="131"/>
      <c r="AV28" s="2555"/>
      <c r="AW28" s="2555"/>
      <c r="AX28" s="2555"/>
      <c r="AY28" s="2270"/>
      <c r="AZ28" s="2270"/>
      <c r="BA28" s="2270"/>
      <c r="BB28" s="2555"/>
      <c r="BC28" s="2555"/>
      <c r="BD28" s="2555"/>
      <c r="BE28" s="2270"/>
      <c r="BF28" s="2270"/>
      <c r="BG28" s="2270"/>
    </row>
    <row r="29" spans="2:59" ht="15" thickBot="1">
      <c r="B29" s="136" t="s">
        <v>12565</v>
      </c>
      <c r="C29" s="137" t="s">
        <v>12544</v>
      </c>
      <c r="D29" s="137"/>
      <c r="E29" s="138" t="s">
        <v>750</v>
      </c>
      <c r="F29" s="139">
        <v>3</v>
      </c>
      <c r="G29" s="2502">
        <f>G20+G27</f>
        <v>0</v>
      </c>
      <c r="H29" s="2502">
        <f>H20+H27</f>
        <v>0</v>
      </c>
      <c r="I29" s="2166">
        <f t="shared" ref="I29:L29" si="44">I20+I27</f>
        <v>0</v>
      </c>
      <c r="J29" s="810">
        <f t="shared" si="44"/>
        <v>0</v>
      </c>
      <c r="K29" s="779">
        <f t="shared" si="44"/>
        <v>0</v>
      </c>
      <c r="L29" s="504">
        <f t="shared" si="44"/>
        <v>0</v>
      </c>
      <c r="M29" s="2502">
        <f>M20+M27</f>
        <v>0</v>
      </c>
      <c r="N29" s="2502">
        <f>N20+N27</f>
        <v>0</v>
      </c>
      <c r="O29" s="2166">
        <f t="shared" ref="O29:R29" si="45">O20+O27</f>
        <v>0</v>
      </c>
      <c r="P29" s="810">
        <f t="shared" si="45"/>
        <v>0</v>
      </c>
      <c r="Q29" s="810">
        <f t="shared" si="45"/>
        <v>0</v>
      </c>
      <c r="R29" s="504">
        <f t="shared" si="45"/>
        <v>0</v>
      </c>
      <c r="T29" s="131"/>
      <c r="U29" s="125"/>
      <c r="V29" s="124"/>
      <c r="W29" s="125"/>
      <c r="X29" s="125"/>
      <c r="Y29" s="125"/>
      <c r="Z29" s="125"/>
      <c r="AA29" s="125"/>
      <c r="AB29" s="125"/>
      <c r="AC29" s="125"/>
      <c r="AD29" s="125"/>
      <c r="AE29" s="125"/>
      <c r="AF29" s="125"/>
      <c r="AG29" s="125"/>
      <c r="AH29" s="125"/>
      <c r="AI29" s="124"/>
      <c r="AQ29" s="136" t="str">
        <f t="shared" ref="AQ29:AR29" si="46">+B29</f>
        <v>1F.16</v>
      </c>
      <c r="AR29" s="137" t="str">
        <f t="shared" si="46"/>
        <v>Total earnings</v>
      </c>
      <c r="AS29" s="137" t="s">
        <v>13015</v>
      </c>
      <c r="AT29" s="138" t="s">
        <v>750</v>
      </c>
      <c r="AU29" s="139">
        <v>3</v>
      </c>
      <c r="AV29" s="2562" t="str">
        <f t="shared" ref="AV29:BG29" si="47">$AS29&amp;AV$6</f>
        <v>CR12516NNP</v>
      </c>
      <c r="AW29" s="2563" t="str">
        <f t="shared" si="47"/>
        <v>CR12516ANP</v>
      </c>
      <c r="AX29" s="2563" t="str">
        <f t="shared" si="47"/>
        <v>CR12516AAP</v>
      </c>
      <c r="AY29" s="2564" t="str">
        <f t="shared" si="47"/>
        <v>CR12516NNV</v>
      </c>
      <c r="AZ29" s="2564" t="str">
        <f t="shared" si="47"/>
        <v>CR12516ANV</v>
      </c>
      <c r="BA29" s="2564" t="str">
        <f t="shared" si="47"/>
        <v>CR12516AAV</v>
      </c>
      <c r="BB29" s="2563" t="str">
        <f t="shared" si="47"/>
        <v>CR12516NNPA</v>
      </c>
      <c r="BC29" s="2563" t="str">
        <f t="shared" si="47"/>
        <v>CR12516ANPA</v>
      </c>
      <c r="BD29" s="2563" t="str">
        <f t="shared" si="47"/>
        <v>CR12516AAPA</v>
      </c>
      <c r="BE29" s="2564" t="str">
        <f t="shared" si="47"/>
        <v>CR12516NNVA</v>
      </c>
      <c r="BF29" s="2564" t="str">
        <f t="shared" si="47"/>
        <v>CR12516ANVA</v>
      </c>
      <c r="BG29" s="2273" t="str">
        <f t="shared" si="47"/>
        <v>CR12516AAVA</v>
      </c>
    </row>
    <row r="30" spans="2:59" ht="15" thickBot="1">
      <c r="T30" s="131"/>
      <c r="V30" s="124"/>
      <c r="AI30" s="124"/>
      <c r="AV30" s="2555"/>
      <c r="AW30" s="2555"/>
      <c r="AX30" s="2555"/>
      <c r="AY30" s="2270"/>
      <c r="AZ30" s="2270"/>
      <c r="BA30" s="2270"/>
      <c r="BB30" s="2555"/>
      <c r="BC30" s="2555"/>
      <c r="BD30" s="2555"/>
      <c r="BE30" s="2270"/>
      <c r="BF30" s="2270"/>
      <c r="BG30" s="2270"/>
    </row>
    <row r="31" spans="2:59" ht="15" thickBot="1">
      <c r="B31" s="136" t="s">
        <v>12566</v>
      </c>
      <c r="C31" s="137" t="s">
        <v>13519</v>
      </c>
      <c r="D31" s="137"/>
      <c r="E31" s="138" t="s">
        <v>750</v>
      </c>
      <c r="F31" s="139">
        <v>3</v>
      </c>
      <c r="G31" s="2507"/>
      <c r="H31" s="2502">
        <f>+G31</f>
        <v>0</v>
      </c>
      <c r="I31" s="2166">
        <f>+H31</f>
        <v>0</v>
      </c>
      <c r="J31" s="810">
        <f>+G31*G11</f>
        <v>0</v>
      </c>
      <c r="K31" s="779">
        <f>+H31*H11</f>
        <v>0</v>
      </c>
      <c r="L31" s="504">
        <f>+I31*I11</f>
        <v>0</v>
      </c>
      <c r="M31" s="2507"/>
      <c r="N31" s="2502">
        <f>+M31</f>
        <v>0</v>
      </c>
      <c r="O31" s="2166">
        <f>+N31</f>
        <v>0</v>
      </c>
      <c r="P31" s="810">
        <f>+M31*M11</f>
        <v>0</v>
      </c>
      <c r="Q31" s="810">
        <f>+N31*N11</f>
        <v>0</v>
      </c>
      <c r="R31" s="504">
        <f>+O31*O11</f>
        <v>0</v>
      </c>
      <c r="T31" s="1431" t="str">
        <f xml:space="preserve"> IF( SUM( V31:AI31 ) = 0, 0, $W$7 )</f>
        <v>Please complete all cells in row</v>
      </c>
      <c r="U31" s="125"/>
      <c r="V31" s="124"/>
      <c r="W31" s="98">
        <f t="shared" ref="W31" si="48" xml:space="preserve"> IF( ISNUMBER( G31 ), 0, 1 )</f>
        <v>1</v>
      </c>
      <c r="X31" s="132"/>
      <c r="Y31" s="132"/>
      <c r="Z31" s="132"/>
      <c r="AA31" s="132"/>
      <c r="AB31" s="132"/>
      <c r="AC31" s="98">
        <f t="shared" ref="AC31" si="49" xml:space="preserve"> IF( ISNUMBER( M31 ), 0, 1 )</f>
        <v>1</v>
      </c>
      <c r="AD31" s="132"/>
      <c r="AE31" s="132"/>
      <c r="AF31" s="132"/>
      <c r="AG31" s="132"/>
      <c r="AH31" s="132"/>
      <c r="AI31" s="124"/>
      <c r="AQ31" s="136" t="str">
        <f t="shared" ref="AQ31:AR31" si="50">+B31</f>
        <v>1F.17</v>
      </c>
      <c r="AR31" s="137" t="str">
        <f t="shared" si="50"/>
        <v>RCV growth from RPI inflation</v>
      </c>
      <c r="AS31" s="137" t="s">
        <v>13016</v>
      </c>
      <c r="AT31" s="138" t="s">
        <v>750</v>
      </c>
      <c r="AU31" s="139">
        <v>3</v>
      </c>
      <c r="AV31" s="2565" t="str">
        <f t="shared" ref="AV31:BG37" si="51">$AS31&amp;AV$6</f>
        <v>CR12517NNP</v>
      </c>
      <c r="AW31" s="2563" t="str">
        <f t="shared" si="51"/>
        <v>CR12517ANP</v>
      </c>
      <c r="AX31" s="2563" t="str">
        <f t="shared" si="51"/>
        <v>CR12517AAP</v>
      </c>
      <c r="AY31" s="2564" t="str">
        <f t="shared" si="51"/>
        <v>CR12517NNV</v>
      </c>
      <c r="AZ31" s="2564" t="str">
        <f t="shared" si="51"/>
        <v>CR12517ANV</v>
      </c>
      <c r="BA31" s="2564" t="str">
        <f t="shared" si="51"/>
        <v>CR12517AAV</v>
      </c>
      <c r="BB31" s="2566" t="str">
        <f t="shared" si="51"/>
        <v>CR12517NNPA</v>
      </c>
      <c r="BC31" s="2563" t="str">
        <f t="shared" si="51"/>
        <v>CR12517ANPA</v>
      </c>
      <c r="BD31" s="2563" t="str">
        <f t="shared" si="51"/>
        <v>CR12517AAPA</v>
      </c>
      <c r="BE31" s="2564" t="str">
        <f t="shared" si="51"/>
        <v>CR12517NNVA</v>
      </c>
      <c r="BF31" s="2564" t="str">
        <f t="shared" si="51"/>
        <v>CR12517ANVA</v>
      </c>
      <c r="BG31" s="2273" t="str">
        <f t="shared" si="51"/>
        <v>CR12517AAVA</v>
      </c>
    </row>
    <row r="32" spans="2:59" ht="15" thickBot="1">
      <c r="T32" s="131"/>
      <c r="V32" s="124"/>
      <c r="AI32" s="124"/>
      <c r="AV32" s="2555"/>
      <c r="AW32" s="2555"/>
      <c r="AX32" s="2555"/>
      <c r="AY32" s="2270"/>
      <c r="AZ32" s="2270"/>
      <c r="BA32" s="2270"/>
      <c r="BB32" s="2555"/>
      <c r="BC32" s="2555"/>
      <c r="BD32" s="2555"/>
      <c r="BE32" s="2270"/>
      <c r="BF32" s="2270"/>
      <c r="BG32" s="2270"/>
    </row>
    <row r="33" spans="2:59" ht="15" thickBot="1">
      <c r="B33" s="136" t="s">
        <v>12567</v>
      </c>
      <c r="C33" s="137" t="s">
        <v>12545</v>
      </c>
      <c r="D33" s="137"/>
      <c r="E33" s="138" t="s">
        <v>750</v>
      </c>
      <c r="F33" s="139">
        <v>3</v>
      </c>
      <c r="G33" s="2502">
        <f>G29+G31</f>
        <v>0</v>
      </c>
      <c r="H33" s="2502">
        <f>+H29+H31</f>
        <v>0</v>
      </c>
      <c r="I33" s="2166">
        <f t="shared" ref="I33:L33" si="52">+I29+I31</f>
        <v>0</v>
      </c>
      <c r="J33" s="810">
        <f t="shared" si="52"/>
        <v>0</v>
      </c>
      <c r="K33" s="779">
        <f t="shared" si="52"/>
        <v>0</v>
      </c>
      <c r="L33" s="504">
        <f t="shared" si="52"/>
        <v>0</v>
      </c>
      <c r="M33" s="2502">
        <f>M29+M31</f>
        <v>0</v>
      </c>
      <c r="N33" s="2502">
        <f>+N29+N31</f>
        <v>0</v>
      </c>
      <c r="O33" s="2166">
        <f t="shared" ref="O33:R33" si="53">+O29+O31</f>
        <v>0</v>
      </c>
      <c r="P33" s="810">
        <f t="shared" si="53"/>
        <v>0</v>
      </c>
      <c r="Q33" s="810">
        <f t="shared" si="53"/>
        <v>0</v>
      </c>
      <c r="R33" s="504">
        <f t="shared" si="53"/>
        <v>0</v>
      </c>
      <c r="T33" s="131"/>
      <c r="U33" s="125"/>
      <c r="V33" s="124"/>
      <c r="W33" s="125"/>
      <c r="X33" s="125"/>
      <c r="Y33" s="125"/>
      <c r="Z33" s="125"/>
      <c r="AA33" s="125"/>
      <c r="AB33" s="125"/>
      <c r="AC33" s="125"/>
      <c r="AD33" s="125"/>
      <c r="AE33" s="125"/>
      <c r="AF33" s="125"/>
      <c r="AG33" s="125"/>
      <c r="AH33" s="125"/>
      <c r="AI33" s="124"/>
      <c r="AQ33" s="136" t="str">
        <f t="shared" ref="AQ33:AR33" si="54">+B33</f>
        <v>1F.18</v>
      </c>
      <c r="AR33" s="137" t="str">
        <f t="shared" si="54"/>
        <v>Total shareholder return</v>
      </c>
      <c r="AS33" s="137" t="s">
        <v>13017</v>
      </c>
      <c r="AT33" s="138" t="s">
        <v>750</v>
      </c>
      <c r="AU33" s="139">
        <v>3</v>
      </c>
      <c r="AV33" s="2562" t="str">
        <f t="shared" si="51"/>
        <v>CR12518NNP</v>
      </c>
      <c r="AW33" s="2563" t="str">
        <f t="shared" si="51"/>
        <v>CR12518ANP</v>
      </c>
      <c r="AX33" s="2563" t="str">
        <f t="shared" si="51"/>
        <v>CR12518AAP</v>
      </c>
      <c r="AY33" s="2564" t="str">
        <f t="shared" si="51"/>
        <v>CR12518NNV</v>
      </c>
      <c r="AZ33" s="2564" t="str">
        <f t="shared" si="51"/>
        <v>CR12518ANV</v>
      </c>
      <c r="BA33" s="2564" t="str">
        <f t="shared" si="51"/>
        <v>CR12518AAV</v>
      </c>
      <c r="BB33" s="2563" t="str">
        <f t="shared" si="51"/>
        <v>CR12518NNPA</v>
      </c>
      <c r="BC33" s="2563" t="str">
        <f t="shared" si="51"/>
        <v>CR12518ANPA</v>
      </c>
      <c r="BD33" s="2563" t="str">
        <f t="shared" si="51"/>
        <v>CR12518AAPA</v>
      </c>
      <c r="BE33" s="2564" t="str">
        <f t="shared" si="51"/>
        <v>CR12518NNVA</v>
      </c>
      <c r="BF33" s="2564" t="str">
        <f t="shared" si="51"/>
        <v>CR12518ANVA</v>
      </c>
      <c r="BG33" s="2273" t="str">
        <f t="shared" si="51"/>
        <v>CR12518AAVA</v>
      </c>
    </row>
    <row r="34" spans="2:59" ht="15" thickBot="1">
      <c r="T34" s="131"/>
      <c r="V34" s="124"/>
      <c r="AI34" s="124"/>
      <c r="AV34" s="2555"/>
      <c r="AW34" s="2555"/>
      <c r="AX34" s="2555"/>
      <c r="AY34" s="2270"/>
      <c r="AZ34" s="2270"/>
      <c r="BA34" s="2270"/>
      <c r="BB34" s="2555"/>
      <c r="BC34" s="2555"/>
      <c r="BD34" s="2555"/>
      <c r="BE34" s="2270"/>
      <c r="BF34" s="2270"/>
      <c r="BG34" s="2270"/>
    </row>
    <row r="35" spans="2:59" ht="15" thickBot="1">
      <c r="B35" s="136" t="s">
        <v>12568</v>
      </c>
      <c r="C35" s="137" t="s">
        <v>12546</v>
      </c>
      <c r="D35" s="137"/>
      <c r="E35" s="138" t="s">
        <v>750</v>
      </c>
      <c r="F35" s="139">
        <v>3</v>
      </c>
      <c r="G35" s="2504">
        <f>G42</f>
        <v>0.04</v>
      </c>
      <c r="H35" s="2504">
        <f>H42</f>
        <v>0</v>
      </c>
      <c r="I35" s="2167">
        <f t="shared" ref="I35:L35" si="55">I42</f>
        <v>0</v>
      </c>
      <c r="J35" s="2492">
        <f t="shared" si="55"/>
        <v>0</v>
      </c>
      <c r="K35" s="2160">
        <f t="shared" si="55"/>
        <v>0</v>
      </c>
      <c r="L35" s="2494">
        <f t="shared" si="55"/>
        <v>0</v>
      </c>
      <c r="M35" s="2504">
        <f>M42</f>
        <v>0.04</v>
      </c>
      <c r="N35" s="2504">
        <f>N42</f>
        <v>0</v>
      </c>
      <c r="O35" s="2167">
        <f t="shared" ref="O35:R35" si="56">O42</f>
        <v>0</v>
      </c>
      <c r="P35" s="2492">
        <f t="shared" si="56"/>
        <v>0</v>
      </c>
      <c r="Q35" s="2492">
        <f t="shared" si="56"/>
        <v>0</v>
      </c>
      <c r="R35" s="2494">
        <f t="shared" si="56"/>
        <v>0</v>
      </c>
      <c r="T35" s="131"/>
      <c r="U35" s="125"/>
      <c r="V35" s="124"/>
      <c r="W35" s="125"/>
      <c r="X35" s="125"/>
      <c r="Y35" s="125"/>
      <c r="Z35" s="125"/>
      <c r="AA35" s="125"/>
      <c r="AB35" s="125"/>
      <c r="AC35" s="125"/>
      <c r="AD35" s="125"/>
      <c r="AE35" s="125"/>
      <c r="AF35" s="125"/>
      <c r="AG35" s="125"/>
      <c r="AH35" s="125"/>
      <c r="AI35" s="124"/>
      <c r="AQ35" s="136" t="str">
        <f t="shared" ref="AQ35:AR35" si="57">+B35</f>
        <v>1F.19</v>
      </c>
      <c r="AR35" s="137" t="str">
        <f t="shared" si="57"/>
        <v>Net dividend</v>
      </c>
      <c r="AS35" s="137" t="str">
        <f>AS42</f>
        <v>CR12522</v>
      </c>
      <c r="AT35" s="138" t="s">
        <v>750</v>
      </c>
      <c r="AU35" s="139">
        <v>3</v>
      </c>
      <c r="AV35" s="2567" t="str">
        <f t="shared" si="51"/>
        <v>CR12522NNP</v>
      </c>
      <c r="AW35" s="2568" t="str">
        <f t="shared" si="51"/>
        <v>CR12522ANP</v>
      </c>
      <c r="AX35" s="2568" t="str">
        <f t="shared" si="51"/>
        <v>CR12522AAP</v>
      </c>
      <c r="AY35" s="2569" t="str">
        <f t="shared" si="51"/>
        <v>CR12522NNV</v>
      </c>
      <c r="AZ35" s="2569" t="str">
        <f t="shared" si="51"/>
        <v>CR12522ANV</v>
      </c>
      <c r="BA35" s="2569" t="str">
        <f t="shared" si="51"/>
        <v>CR12522AAV</v>
      </c>
      <c r="BB35" s="2568" t="str">
        <f t="shared" si="51"/>
        <v>CR12522NNPA</v>
      </c>
      <c r="BC35" s="2568" t="str">
        <f t="shared" si="51"/>
        <v>CR12522ANPA</v>
      </c>
      <c r="BD35" s="2568" t="str">
        <f t="shared" si="51"/>
        <v>CR12522AAPA</v>
      </c>
      <c r="BE35" s="2569" t="str">
        <f t="shared" si="51"/>
        <v>CR12522NNVA</v>
      </c>
      <c r="BF35" s="2569" t="str">
        <f t="shared" si="51"/>
        <v>CR12522ANVA</v>
      </c>
      <c r="BG35" s="2570" t="str">
        <f t="shared" si="51"/>
        <v>CR12522AAVA</v>
      </c>
    </row>
    <row r="36" spans="2:59" ht="15" thickBot="1">
      <c r="T36" s="131"/>
      <c r="V36" s="124"/>
      <c r="AI36" s="124"/>
      <c r="AV36" s="2555"/>
      <c r="AW36" s="2555"/>
      <c r="AX36" s="2555"/>
      <c r="AY36" s="2270"/>
      <c r="AZ36" s="2270"/>
      <c r="BA36" s="2270"/>
      <c r="BB36" s="2555"/>
      <c r="BC36" s="2555"/>
      <c r="BD36" s="2555"/>
      <c r="BE36" s="2270"/>
      <c r="BF36" s="2270"/>
      <c r="BG36" s="2270"/>
    </row>
    <row r="37" spans="2:59" ht="15" thickBot="1">
      <c r="B37" s="136" t="s">
        <v>12569</v>
      </c>
      <c r="C37" s="137" t="s">
        <v>13498</v>
      </c>
      <c r="D37" s="137"/>
      <c r="E37" s="138" t="s">
        <v>750</v>
      </c>
      <c r="F37" s="139">
        <v>3</v>
      </c>
      <c r="G37" s="2502">
        <f>G33-G35</f>
        <v>-0.04</v>
      </c>
      <c r="H37" s="2502">
        <f>H33-H35</f>
        <v>0</v>
      </c>
      <c r="I37" s="2166">
        <f t="shared" ref="I37:L37" si="58">I33-I35</f>
        <v>0</v>
      </c>
      <c r="J37" s="810">
        <f t="shared" si="58"/>
        <v>0</v>
      </c>
      <c r="K37" s="779">
        <f t="shared" si="58"/>
        <v>0</v>
      </c>
      <c r="L37" s="504">
        <f t="shared" si="58"/>
        <v>0</v>
      </c>
      <c r="M37" s="2502">
        <f>M33-M35</f>
        <v>-0.04</v>
      </c>
      <c r="N37" s="2502">
        <f>N33-N35</f>
        <v>0</v>
      </c>
      <c r="O37" s="2166">
        <f t="shared" ref="O37:R37" si="59">O33-O35</f>
        <v>0</v>
      </c>
      <c r="P37" s="810">
        <f t="shared" si="59"/>
        <v>0</v>
      </c>
      <c r="Q37" s="810">
        <f t="shared" si="59"/>
        <v>0</v>
      </c>
      <c r="R37" s="504">
        <f t="shared" si="59"/>
        <v>0</v>
      </c>
      <c r="T37" s="131"/>
      <c r="U37" s="125"/>
      <c r="V37" s="124"/>
      <c r="W37" s="125"/>
      <c r="X37" s="125"/>
      <c r="Y37" s="125"/>
      <c r="Z37" s="125"/>
      <c r="AA37" s="125"/>
      <c r="AB37" s="125"/>
      <c r="AC37" s="125"/>
      <c r="AD37" s="125"/>
      <c r="AE37" s="125"/>
      <c r="AF37" s="125"/>
      <c r="AG37" s="125"/>
      <c r="AH37" s="125"/>
      <c r="AI37" s="124"/>
      <c r="AQ37" s="136" t="str">
        <f t="shared" ref="AQ37:AR37" si="60">+B37</f>
        <v>1F.20</v>
      </c>
      <c r="AR37" s="137" t="str">
        <f t="shared" si="60"/>
        <v>Retained value</v>
      </c>
      <c r="AS37" s="137" t="s">
        <v>13018</v>
      </c>
      <c r="AT37" s="138" t="s">
        <v>750</v>
      </c>
      <c r="AU37" s="139">
        <v>3</v>
      </c>
      <c r="AV37" s="2562" t="str">
        <f t="shared" si="51"/>
        <v>CR12519NNP</v>
      </c>
      <c r="AW37" s="2563" t="str">
        <f t="shared" si="51"/>
        <v>CR12519ANP</v>
      </c>
      <c r="AX37" s="2563" t="str">
        <f t="shared" si="51"/>
        <v>CR12519AAP</v>
      </c>
      <c r="AY37" s="2564" t="str">
        <f t="shared" si="51"/>
        <v>CR12519NNV</v>
      </c>
      <c r="AZ37" s="2564" t="str">
        <f t="shared" si="51"/>
        <v>CR12519ANV</v>
      </c>
      <c r="BA37" s="2564" t="str">
        <f t="shared" si="51"/>
        <v>CR12519AAV</v>
      </c>
      <c r="BB37" s="2563" t="str">
        <f t="shared" si="51"/>
        <v>CR12519NNPA</v>
      </c>
      <c r="BC37" s="2563" t="str">
        <f t="shared" si="51"/>
        <v>CR12519ANPA</v>
      </c>
      <c r="BD37" s="2563" t="str">
        <f t="shared" si="51"/>
        <v>CR12519AAPA</v>
      </c>
      <c r="BE37" s="2564" t="str">
        <f t="shared" si="51"/>
        <v>CR12519NNVA</v>
      </c>
      <c r="BF37" s="2564" t="str">
        <f t="shared" si="51"/>
        <v>CR12519ANVA</v>
      </c>
      <c r="BG37" s="2273" t="str">
        <f t="shared" si="51"/>
        <v>CR12519AAVA</v>
      </c>
    </row>
    <row r="38" spans="2:59" ht="15" thickBot="1">
      <c r="T38" s="131"/>
      <c r="V38" s="124"/>
      <c r="AI38" s="124"/>
      <c r="AV38" s="2555"/>
      <c r="AW38" s="2555"/>
      <c r="AX38" s="2555"/>
      <c r="AY38" s="2270"/>
      <c r="AZ38" s="2270"/>
      <c r="BA38" s="2270"/>
      <c r="BB38" s="2555"/>
      <c r="BC38" s="2555"/>
      <c r="BD38" s="2555"/>
      <c r="BE38" s="2270"/>
      <c r="BF38" s="2270"/>
      <c r="BG38" s="2270"/>
    </row>
    <row r="39" spans="2:59" ht="15" thickBot="1">
      <c r="B39" s="2484" t="s">
        <v>2480</v>
      </c>
      <c r="C39" s="88" t="s">
        <v>12547</v>
      </c>
      <c r="D39" s="1584"/>
      <c r="T39" s="131"/>
      <c r="AQ39" s="2484" t="str">
        <f t="shared" ref="AQ39:AQ42" si="61">+B39</f>
        <v>E</v>
      </c>
      <c r="AR39" s="88" t="str">
        <f t="shared" ref="AR39:AR42" si="62">+C39</f>
        <v>Dividends reconciliation</v>
      </c>
      <c r="AS39" s="1584"/>
      <c r="AV39" s="2555"/>
      <c r="AW39" s="2555"/>
      <c r="AX39" s="2555"/>
      <c r="AY39" s="2270"/>
      <c r="AZ39" s="2270"/>
      <c r="BA39" s="2270"/>
      <c r="BB39" s="2555"/>
      <c r="BC39" s="2555"/>
      <c r="BD39" s="2555"/>
      <c r="BE39" s="2270"/>
      <c r="BF39" s="2270"/>
      <c r="BG39" s="2270"/>
    </row>
    <row r="40" spans="2:59">
      <c r="B40" s="91" t="s">
        <v>12570</v>
      </c>
      <c r="C40" s="122" t="s">
        <v>12548</v>
      </c>
      <c r="D40" s="122"/>
      <c r="E40" s="93" t="s">
        <v>750</v>
      </c>
      <c r="F40" s="223">
        <v>3</v>
      </c>
      <c r="G40" s="2520">
        <v>0.04</v>
      </c>
      <c r="H40" s="2503">
        <f t="shared" ref="H40:I41" si="63">IFERROR(+K40/H$11,0)</f>
        <v>0</v>
      </c>
      <c r="I40" s="2497">
        <f t="shared" si="63"/>
        <v>0</v>
      </c>
      <c r="J40" s="662">
        <f>+G35*G11</f>
        <v>0</v>
      </c>
      <c r="K40" s="196">
        <f>+L40</f>
        <v>0</v>
      </c>
      <c r="L40" s="444"/>
      <c r="M40" s="2503">
        <v>0.04</v>
      </c>
      <c r="N40" s="2503">
        <f t="shared" ref="N40:O41" si="64">IFERROR(+Q40/N$11,0)</f>
        <v>0</v>
      </c>
      <c r="O40" s="2497">
        <f t="shared" si="64"/>
        <v>0</v>
      </c>
      <c r="P40" s="662">
        <f>+M35*M11</f>
        <v>0</v>
      </c>
      <c r="Q40" s="662">
        <f>+R40</f>
        <v>0</v>
      </c>
      <c r="R40" s="444"/>
      <c r="T40" s="1431" t="str">
        <f t="shared" ref="T40:T41" si="65" xml:space="preserve"> IF( SUM( V40:AI40 ) = 0, 0, $W$7 )</f>
        <v>Please complete all cells in row</v>
      </c>
      <c r="W40" s="132"/>
      <c r="X40" s="132"/>
      <c r="Y40" s="132"/>
      <c r="Z40" s="132"/>
      <c r="AA40" s="132"/>
      <c r="AB40" s="98">
        <f t="shared" ref="AB40:AB41" si="66" xml:space="preserve"> IF( ISNUMBER( L40 ), 0, 1 )</f>
        <v>1</v>
      </c>
      <c r="AC40" s="132"/>
      <c r="AD40" s="132"/>
      <c r="AE40" s="132"/>
      <c r="AF40" s="132"/>
      <c r="AG40" s="132"/>
      <c r="AH40" s="98">
        <f t="shared" ref="AH40:AH41" si="67" xml:space="preserve"> IF( ISNUMBER( R40 ), 0, 1 )</f>
        <v>1</v>
      </c>
      <c r="AQ40" s="91" t="str">
        <f t="shared" si="61"/>
        <v>1F.21</v>
      </c>
      <c r="AR40" s="122" t="str">
        <f t="shared" si="62"/>
        <v>Gross dividend</v>
      </c>
      <c r="AS40" s="122" t="s">
        <v>13019</v>
      </c>
      <c r="AT40" s="93" t="s">
        <v>750</v>
      </c>
      <c r="AU40" s="223">
        <v>3</v>
      </c>
      <c r="AV40" s="2588" t="str">
        <f t="shared" ref="AV40:BG42" si="68">$AS40&amp;AV$6</f>
        <v>CR12520NNP</v>
      </c>
      <c r="AW40" s="2583" t="str">
        <f t="shared" si="68"/>
        <v>CR12520ANP</v>
      </c>
      <c r="AX40" s="2583" t="str">
        <f t="shared" si="68"/>
        <v>CR12520AAP</v>
      </c>
      <c r="AY40" s="2584" t="str">
        <f t="shared" si="68"/>
        <v>CR12520NNV</v>
      </c>
      <c r="AZ40" s="2584" t="str">
        <f t="shared" si="68"/>
        <v>CR12520ANV</v>
      </c>
      <c r="BA40" s="2556" t="str">
        <f t="shared" si="68"/>
        <v>CR12520AAV</v>
      </c>
      <c r="BB40" s="2583" t="str">
        <f t="shared" si="68"/>
        <v>CR12520NNPA</v>
      </c>
      <c r="BC40" s="2583" t="str">
        <f t="shared" si="68"/>
        <v>CR12520ANPA</v>
      </c>
      <c r="BD40" s="2583" t="str">
        <f t="shared" si="68"/>
        <v>CR12520AAPA</v>
      </c>
      <c r="BE40" s="2584" t="str">
        <f t="shared" si="68"/>
        <v>CR12520NNVA</v>
      </c>
      <c r="BF40" s="2584" t="str">
        <f t="shared" si="68"/>
        <v>CR12520ANVA</v>
      </c>
      <c r="BG40" s="2557" t="str">
        <f t="shared" si="68"/>
        <v>CR12520AAVA</v>
      </c>
    </row>
    <row r="41" spans="2:59">
      <c r="B41" s="177" t="s">
        <v>12571</v>
      </c>
      <c r="C41" s="178" t="s">
        <v>12549</v>
      </c>
      <c r="D41" s="178"/>
      <c r="E41" s="174" t="s">
        <v>750</v>
      </c>
      <c r="F41" s="412">
        <v>3</v>
      </c>
      <c r="G41" s="2521">
        <v>0</v>
      </c>
      <c r="H41" s="2522">
        <f t="shared" si="63"/>
        <v>0</v>
      </c>
      <c r="I41" s="2523">
        <f t="shared" si="63"/>
        <v>0</v>
      </c>
      <c r="J41" s="2508">
        <v>0</v>
      </c>
      <c r="K41" s="2487">
        <f>+L41</f>
        <v>0</v>
      </c>
      <c r="L41" s="478"/>
      <c r="M41" s="2522">
        <v>0</v>
      </c>
      <c r="N41" s="2500">
        <f t="shared" si="64"/>
        <v>0</v>
      </c>
      <c r="O41" s="2498">
        <f t="shared" si="64"/>
        <v>0</v>
      </c>
      <c r="P41" s="2508">
        <v>0</v>
      </c>
      <c r="Q41" s="2508">
        <f>+R41</f>
        <v>0</v>
      </c>
      <c r="R41" s="478"/>
      <c r="T41" s="1431" t="str">
        <f t="shared" si="65"/>
        <v>Please complete all cells in row</v>
      </c>
      <c r="W41" s="132"/>
      <c r="X41" s="132"/>
      <c r="Y41" s="132"/>
      <c r="Z41" s="132"/>
      <c r="AA41" s="132"/>
      <c r="AB41" s="98">
        <f t="shared" si="66"/>
        <v>1</v>
      </c>
      <c r="AC41" s="132"/>
      <c r="AD41" s="132"/>
      <c r="AE41" s="132"/>
      <c r="AF41" s="132"/>
      <c r="AG41" s="132"/>
      <c r="AH41" s="98">
        <f t="shared" si="67"/>
        <v>1</v>
      </c>
      <c r="AQ41" s="177" t="str">
        <f t="shared" si="61"/>
        <v>1F.22</v>
      </c>
      <c r="AR41" s="178" t="str">
        <f t="shared" si="62"/>
        <v>Interest received on intercompany loans</v>
      </c>
      <c r="AS41" s="178" t="s">
        <v>13020</v>
      </c>
      <c r="AT41" s="174" t="s">
        <v>750</v>
      </c>
      <c r="AU41" s="412">
        <v>3</v>
      </c>
      <c r="AV41" s="2589" t="str">
        <f t="shared" si="68"/>
        <v>CR12521NNP</v>
      </c>
      <c r="AW41" s="2590" t="str">
        <f t="shared" si="68"/>
        <v>CR12521ANP</v>
      </c>
      <c r="AX41" s="2590" t="str">
        <f t="shared" si="68"/>
        <v>CR12521AAP</v>
      </c>
      <c r="AY41" s="2591" t="str">
        <f t="shared" si="68"/>
        <v>CR12521NNV</v>
      </c>
      <c r="AZ41" s="2591" t="str">
        <f t="shared" si="68"/>
        <v>CR12521ANV</v>
      </c>
      <c r="BA41" s="2571" t="str">
        <f t="shared" si="68"/>
        <v>CR12521AAV</v>
      </c>
      <c r="BB41" s="2590" t="str">
        <f t="shared" si="68"/>
        <v>CR12521NNPA</v>
      </c>
      <c r="BC41" s="2590" t="str">
        <f t="shared" si="68"/>
        <v>CR12521ANPA</v>
      </c>
      <c r="BD41" s="2590" t="str">
        <f t="shared" si="68"/>
        <v>CR12521AAPA</v>
      </c>
      <c r="BE41" s="2591" t="str">
        <f t="shared" si="68"/>
        <v>CR12521NNVA</v>
      </c>
      <c r="BF41" s="2591" t="str">
        <f t="shared" si="68"/>
        <v>CR12521ANVA</v>
      </c>
      <c r="BG41" s="2572" t="str">
        <f t="shared" si="68"/>
        <v>CR12521AAVA</v>
      </c>
    </row>
    <row r="42" spans="2:59" ht="15" thickBot="1">
      <c r="B42" s="181" t="s">
        <v>13516</v>
      </c>
      <c r="C42" s="407" t="s">
        <v>12546</v>
      </c>
      <c r="D42" s="407"/>
      <c r="E42" s="182" t="s">
        <v>750</v>
      </c>
      <c r="F42" s="408">
        <v>3</v>
      </c>
      <c r="G42" s="2168">
        <f xml:space="preserve"> G40 - G41</f>
        <v>0.04</v>
      </c>
      <c r="H42" s="2505">
        <f t="shared" ref="H42:L42" si="69" xml:space="preserve"> H40 - H41</f>
        <v>0</v>
      </c>
      <c r="I42" s="2491">
        <f t="shared" si="69"/>
        <v>0</v>
      </c>
      <c r="J42" s="2493">
        <f t="shared" si="69"/>
        <v>0</v>
      </c>
      <c r="K42" s="410">
        <f t="shared" si="69"/>
        <v>0</v>
      </c>
      <c r="L42" s="415">
        <f t="shared" si="69"/>
        <v>0</v>
      </c>
      <c r="M42" s="2505">
        <f xml:space="preserve"> M40 - M41</f>
        <v>0.04</v>
      </c>
      <c r="N42" s="2505">
        <f t="shared" ref="N42:R42" si="70" xml:space="preserve"> N40 - N41</f>
        <v>0</v>
      </c>
      <c r="O42" s="2491">
        <f t="shared" si="70"/>
        <v>0</v>
      </c>
      <c r="P42" s="2493">
        <f t="shared" si="70"/>
        <v>0</v>
      </c>
      <c r="Q42" s="2493">
        <f t="shared" si="70"/>
        <v>0</v>
      </c>
      <c r="R42" s="415">
        <f t="shared" si="70"/>
        <v>0</v>
      </c>
      <c r="T42" s="131"/>
      <c r="AQ42" s="181" t="str">
        <f t="shared" si="61"/>
        <v>1F.23</v>
      </c>
      <c r="AR42" s="407" t="str">
        <f t="shared" si="62"/>
        <v>Net dividend</v>
      </c>
      <c r="AS42" s="407" t="s">
        <v>13021</v>
      </c>
      <c r="AT42" s="182" t="s">
        <v>750</v>
      </c>
      <c r="AU42" s="408">
        <v>3</v>
      </c>
      <c r="AV42" s="2573" t="str">
        <f t="shared" si="68"/>
        <v>CR12522NNP</v>
      </c>
      <c r="AW42" s="2574" t="str">
        <f t="shared" si="68"/>
        <v>CR12522ANP</v>
      </c>
      <c r="AX42" s="2574" t="str">
        <f t="shared" si="68"/>
        <v>CR12522AAP</v>
      </c>
      <c r="AY42" s="2575" t="str">
        <f t="shared" si="68"/>
        <v>CR12522NNV</v>
      </c>
      <c r="AZ42" s="2575" t="str">
        <f t="shared" si="68"/>
        <v>CR12522ANV</v>
      </c>
      <c r="BA42" s="2575" t="str">
        <f t="shared" si="68"/>
        <v>CR12522AAV</v>
      </c>
      <c r="BB42" s="2574" t="str">
        <f t="shared" si="68"/>
        <v>CR12522NNPA</v>
      </c>
      <c r="BC42" s="2574" t="str">
        <f t="shared" si="68"/>
        <v>CR12522ANPA</v>
      </c>
      <c r="BD42" s="2574" t="str">
        <f t="shared" si="68"/>
        <v>CR12522AAPA</v>
      </c>
      <c r="BE42" s="2575" t="str">
        <f t="shared" si="68"/>
        <v>CR12522NNVA</v>
      </c>
      <c r="BF42" s="2575" t="str">
        <f t="shared" si="68"/>
        <v>CR12522ANVA</v>
      </c>
      <c r="BG42" s="2576" t="str">
        <f t="shared" si="68"/>
        <v>CR12522AAVA</v>
      </c>
    </row>
    <row r="43" spans="2:59" s="115" customFormat="1">
      <c r="C43" s="157"/>
      <c r="D43" s="157"/>
      <c r="G43" s="71"/>
      <c r="H43" s="71"/>
      <c r="I43" s="71"/>
      <c r="J43" s="71"/>
      <c r="K43" s="71"/>
      <c r="L43" s="71"/>
      <c r="M43" s="71"/>
      <c r="N43" s="71"/>
      <c r="O43" s="71"/>
      <c r="P43" s="71"/>
      <c r="Q43" s="71"/>
      <c r="R43" s="71"/>
      <c r="S43" s="123"/>
      <c r="T43" s="131"/>
      <c r="U43" s="123"/>
      <c r="V43" s="72"/>
      <c r="W43" s="125"/>
      <c r="X43" s="123"/>
      <c r="Y43" s="288"/>
      <c r="Z43" s="288"/>
      <c r="AA43" s="288"/>
      <c r="AB43" s="288"/>
      <c r="AC43" s="288"/>
      <c r="AD43" s="288"/>
      <c r="AE43" s="288"/>
      <c r="AF43" s="288"/>
      <c r="AG43" s="288"/>
      <c r="AH43" s="288"/>
      <c r="AI43" s="72"/>
      <c r="AR43" s="157"/>
      <c r="AS43" s="157"/>
      <c r="AV43" s="2577"/>
      <c r="AW43" s="2577"/>
      <c r="AX43" s="2577"/>
      <c r="AY43" s="2577"/>
      <c r="AZ43" s="2577"/>
      <c r="BA43" s="2577"/>
      <c r="BB43" s="2577"/>
      <c r="BC43" s="2577"/>
      <c r="BD43" s="2577"/>
      <c r="BE43" s="2577"/>
      <c r="BF43" s="2577"/>
      <c r="BG43" s="2577"/>
    </row>
    <row r="44" spans="2:59" s="170" customFormat="1">
      <c r="B44" s="3220" t="s">
        <v>2420</v>
      </c>
      <c r="C44" s="3220"/>
      <c r="D44" s="2480"/>
      <c r="J44" s="131"/>
      <c r="K44" s="131"/>
      <c r="L44" s="131"/>
      <c r="M44" s="131"/>
      <c r="N44" s="131"/>
      <c r="O44" s="131"/>
      <c r="P44" s="131"/>
      <c r="Q44" s="131"/>
      <c r="R44" s="131"/>
      <c r="S44" s="131"/>
      <c r="T44" s="131"/>
      <c r="U44" s="131"/>
      <c r="V44" s="72"/>
      <c r="W44" s="131"/>
      <c r="X44" s="131"/>
      <c r="Y44" s="211"/>
      <c r="Z44" s="211"/>
      <c r="AA44" s="211"/>
      <c r="AB44" s="211"/>
      <c r="AC44" s="211"/>
      <c r="AD44" s="211"/>
      <c r="AE44" s="211"/>
      <c r="AF44" s="211"/>
      <c r="AG44" s="211"/>
      <c r="AH44" s="211"/>
      <c r="AI44" s="72"/>
      <c r="AV44" s="2578"/>
      <c r="AW44" s="2578"/>
      <c r="AX44" s="2578"/>
      <c r="AY44" s="2578"/>
      <c r="AZ44" s="2578"/>
      <c r="BA44" s="2578"/>
      <c r="BB44" s="2578"/>
      <c r="BC44" s="2578"/>
      <c r="BD44" s="2578"/>
      <c r="BE44" s="2578"/>
      <c r="BF44" s="2578"/>
      <c r="BG44" s="2578"/>
    </row>
    <row r="45" spans="2:59" s="170" customFormat="1">
      <c r="B45" s="146"/>
      <c r="C45" s="147"/>
      <c r="D45" s="147"/>
      <c r="J45" s="131"/>
      <c r="K45" s="131"/>
      <c r="L45" s="131"/>
      <c r="M45" s="131"/>
      <c r="N45" s="131"/>
      <c r="O45" s="131"/>
      <c r="P45" s="131"/>
      <c r="Q45" s="131"/>
      <c r="R45" s="131"/>
      <c r="S45" s="131"/>
      <c r="T45" s="131"/>
      <c r="U45" s="131"/>
      <c r="V45" s="72"/>
      <c r="W45" s="131"/>
      <c r="X45" s="131"/>
      <c r="Y45" s="211"/>
      <c r="Z45" s="211"/>
      <c r="AA45" s="211"/>
      <c r="AB45" s="211"/>
      <c r="AC45" s="211"/>
      <c r="AD45" s="211"/>
      <c r="AE45" s="211"/>
      <c r="AF45" s="211"/>
      <c r="AG45" s="211"/>
      <c r="AH45" s="211"/>
      <c r="AI45" s="72"/>
    </row>
    <row r="46" spans="2:59" s="170" customFormat="1">
      <c r="B46" s="1970"/>
      <c r="C46" s="148" t="s">
        <v>2421</v>
      </c>
      <c r="D46" s="148"/>
      <c r="J46" s="131"/>
      <c r="K46" s="131"/>
      <c r="L46" s="131"/>
      <c r="M46" s="131"/>
      <c r="N46" s="131"/>
      <c r="O46" s="131"/>
      <c r="P46" s="131"/>
      <c r="Q46" s="131"/>
      <c r="R46" s="131"/>
      <c r="S46" s="131"/>
      <c r="T46" s="131"/>
      <c r="U46" s="131"/>
      <c r="V46" s="72"/>
      <c r="W46" s="131"/>
      <c r="X46" s="131"/>
      <c r="Y46" s="211"/>
      <c r="Z46" s="211"/>
      <c r="AA46" s="211"/>
      <c r="AB46" s="211"/>
      <c r="AC46" s="211"/>
      <c r="AD46" s="211"/>
      <c r="AE46" s="211"/>
      <c r="AF46" s="211"/>
      <c r="AG46" s="211"/>
      <c r="AH46" s="211"/>
      <c r="AI46" s="72"/>
    </row>
    <row r="47" spans="2:59" s="170" customFormat="1">
      <c r="B47" s="146"/>
      <c r="C47" s="147"/>
      <c r="D47" s="147"/>
      <c r="J47" s="131"/>
      <c r="K47" s="131"/>
      <c r="L47" s="131"/>
      <c r="M47" s="131"/>
      <c r="N47" s="131"/>
      <c r="O47" s="131"/>
      <c r="P47" s="131"/>
      <c r="Q47" s="131"/>
      <c r="R47" s="131"/>
      <c r="S47" s="131"/>
      <c r="T47" s="131"/>
      <c r="U47" s="131"/>
      <c r="V47" s="72"/>
      <c r="W47" s="131"/>
      <c r="X47" s="131"/>
      <c r="Y47" s="211"/>
      <c r="Z47" s="211"/>
      <c r="AA47" s="211"/>
      <c r="AB47" s="211"/>
      <c r="AC47" s="211"/>
      <c r="AD47" s="211"/>
      <c r="AE47" s="211"/>
      <c r="AF47" s="211"/>
      <c r="AG47" s="211"/>
      <c r="AH47" s="211"/>
      <c r="AI47" s="72"/>
    </row>
    <row r="48" spans="2:59" s="170" customFormat="1">
      <c r="B48" s="149"/>
      <c r="C48" s="148" t="s">
        <v>13521</v>
      </c>
      <c r="D48" s="148"/>
      <c r="J48" s="131"/>
      <c r="K48" s="131"/>
      <c r="L48" s="131"/>
      <c r="M48" s="131"/>
      <c r="N48" s="131"/>
      <c r="O48" s="131"/>
      <c r="P48" s="131"/>
      <c r="Q48" s="131"/>
      <c r="R48" s="131"/>
      <c r="S48" s="131"/>
      <c r="T48" s="131"/>
      <c r="U48" s="131"/>
      <c r="V48" s="72"/>
      <c r="W48" s="131"/>
      <c r="X48" s="131"/>
      <c r="Y48" s="211"/>
      <c r="Z48" s="211"/>
      <c r="AA48" s="211"/>
      <c r="AB48" s="211"/>
      <c r="AC48" s="211"/>
      <c r="AD48" s="211"/>
      <c r="AE48" s="211"/>
      <c r="AF48" s="211"/>
      <c r="AG48" s="211"/>
      <c r="AH48" s="211"/>
      <c r="AI48" s="72"/>
    </row>
    <row r="49" spans="1:35" s="185" customFormat="1">
      <c r="C49" s="186"/>
      <c r="D49" s="186"/>
      <c r="J49" s="135"/>
      <c r="K49" s="135"/>
      <c r="L49" s="135"/>
      <c r="M49" s="135"/>
      <c r="N49" s="135"/>
      <c r="O49" s="135"/>
      <c r="P49" s="135"/>
      <c r="Q49" s="135"/>
      <c r="R49" s="135"/>
      <c r="S49" s="135"/>
      <c r="T49" s="131"/>
      <c r="U49" s="131"/>
      <c r="V49" s="72"/>
      <c r="W49" s="131"/>
      <c r="X49" s="131"/>
      <c r="Y49" s="313"/>
      <c r="Z49" s="313"/>
      <c r="AA49" s="313"/>
      <c r="AB49" s="313"/>
      <c r="AC49" s="313"/>
      <c r="AD49" s="313"/>
      <c r="AE49" s="313"/>
      <c r="AF49" s="313"/>
      <c r="AG49" s="313"/>
      <c r="AH49" s="313"/>
      <c r="AI49" s="72"/>
    </row>
    <row r="50" spans="1:35" s="185" customFormat="1">
      <c r="B50" s="2527"/>
      <c r="C50" s="186" t="s">
        <v>13522</v>
      </c>
      <c r="D50" s="186"/>
      <c r="J50" s="135"/>
      <c r="K50" s="135"/>
      <c r="L50" s="135"/>
      <c r="M50" s="135"/>
      <c r="N50" s="135"/>
      <c r="O50" s="135"/>
      <c r="P50" s="135"/>
      <c r="Q50" s="135"/>
      <c r="R50" s="135"/>
      <c r="S50" s="135"/>
      <c r="T50" s="131"/>
      <c r="U50" s="131"/>
      <c r="V50" s="72"/>
      <c r="W50" s="131"/>
      <c r="X50" s="131"/>
      <c r="Y50" s="313"/>
      <c r="Z50" s="313"/>
      <c r="AA50" s="313"/>
      <c r="AB50" s="313"/>
      <c r="AC50" s="313"/>
      <c r="AD50" s="313"/>
      <c r="AE50" s="313"/>
      <c r="AF50" s="313"/>
      <c r="AG50" s="313"/>
      <c r="AH50" s="313"/>
      <c r="AI50" s="72"/>
    </row>
    <row r="51" spans="1:35" s="185" customFormat="1" ht="15" thickBot="1">
      <c r="C51" s="186"/>
      <c r="D51" s="186"/>
      <c r="J51" s="135"/>
      <c r="K51" s="135"/>
      <c r="L51" s="135"/>
      <c r="M51" s="135"/>
      <c r="N51" s="135"/>
      <c r="O51" s="135"/>
      <c r="P51" s="135"/>
      <c r="Q51" s="135"/>
      <c r="R51" s="135"/>
      <c r="S51" s="135"/>
      <c r="T51" s="131"/>
      <c r="U51" s="131"/>
      <c r="V51" s="72"/>
      <c r="W51" s="131"/>
      <c r="X51" s="131"/>
      <c r="Y51" s="313"/>
      <c r="Z51" s="313"/>
      <c r="AA51" s="313"/>
      <c r="AB51" s="313"/>
      <c r="AC51" s="313"/>
      <c r="AD51" s="313"/>
      <c r="AE51" s="313"/>
      <c r="AF51" s="313"/>
      <c r="AG51" s="313"/>
      <c r="AH51" s="313"/>
      <c r="AI51" s="72"/>
    </row>
    <row r="52" spans="1:35" s="185" customFormat="1" ht="19.5" thickBot="1">
      <c r="B52" s="2485" t="s">
        <v>12572</v>
      </c>
      <c r="C52" s="152"/>
      <c r="D52" s="152"/>
      <c r="E52" s="153"/>
      <c r="F52" s="153"/>
      <c r="G52" s="153"/>
      <c r="H52" s="153"/>
      <c r="I52" s="153"/>
      <c r="J52" s="153"/>
      <c r="K52" s="153"/>
      <c r="L52" s="153"/>
      <c r="M52" s="153"/>
      <c r="N52" s="153"/>
      <c r="O52" s="153"/>
      <c r="P52" s="153"/>
      <c r="Q52" s="153"/>
      <c r="R52" s="159"/>
      <c r="S52" s="135"/>
      <c r="T52" s="131"/>
      <c r="U52" s="131"/>
      <c r="V52" s="72"/>
      <c r="W52" s="131"/>
      <c r="X52" s="131"/>
      <c r="Y52" s="313"/>
      <c r="Z52" s="313"/>
      <c r="AA52" s="313"/>
      <c r="AB52" s="313"/>
      <c r="AC52" s="313"/>
      <c r="AD52" s="313"/>
      <c r="AE52" s="313"/>
      <c r="AF52" s="313"/>
      <c r="AG52" s="313"/>
      <c r="AH52" s="313"/>
      <c r="AI52" s="72"/>
    </row>
    <row r="53" spans="1:35" s="185" customFormat="1">
      <c r="C53" s="186"/>
      <c r="D53" s="186"/>
      <c r="J53" s="135"/>
      <c r="K53" s="135"/>
      <c r="L53" s="135"/>
      <c r="M53" s="135"/>
      <c r="N53" s="135"/>
      <c r="O53" s="135"/>
      <c r="P53" s="135"/>
      <c r="Q53" s="135"/>
      <c r="R53" s="135"/>
      <c r="S53" s="135"/>
      <c r="T53" s="131"/>
      <c r="U53" s="131"/>
      <c r="V53" s="72"/>
      <c r="W53" s="131"/>
      <c r="X53" s="131"/>
      <c r="Y53" s="313"/>
      <c r="Z53" s="313"/>
      <c r="AA53" s="313"/>
      <c r="AB53" s="313"/>
      <c r="AC53" s="313"/>
      <c r="AD53" s="313"/>
      <c r="AE53" s="313"/>
      <c r="AF53" s="313"/>
      <c r="AG53" s="313"/>
      <c r="AH53" s="313"/>
      <c r="AI53" s="72"/>
    </row>
    <row r="54" spans="1:35" s="115" customFormat="1" ht="27" hidden="1" customHeight="1" thickBot="1">
      <c r="A54" s="1643"/>
      <c r="B54" s="151" t="str">
        <f ca="1" xml:space="preserve"> RIGHT(CELL("filename", $A$1), LEN(CELL("filename", $A$1)) - SEARCH("]", CELL("filename", $A$1)))&amp;" - Line definitions"</f>
        <v>1F - Line definitions</v>
      </c>
      <c r="C54" s="152"/>
      <c r="D54" s="152"/>
      <c r="E54" s="153"/>
      <c r="F54" s="153"/>
      <c r="G54" s="153"/>
      <c r="H54" s="153"/>
      <c r="I54" s="153"/>
      <c r="J54" s="153"/>
      <c r="K54" s="153"/>
      <c r="L54" s="153"/>
      <c r="M54" s="153"/>
      <c r="N54" s="153"/>
      <c r="O54" s="153"/>
      <c r="P54" s="153"/>
      <c r="Q54" s="153"/>
      <c r="R54" s="159"/>
      <c r="S54" s="123"/>
      <c r="T54" s="125"/>
      <c r="U54" s="123"/>
      <c r="V54" s="72"/>
      <c r="W54" s="125"/>
      <c r="X54" s="123"/>
      <c r="Y54" s="288"/>
      <c r="Z54" s="288"/>
      <c r="AA54" s="288"/>
      <c r="AB54" s="288"/>
      <c r="AC54" s="288"/>
      <c r="AD54" s="288"/>
      <c r="AE54" s="288"/>
      <c r="AF54" s="288"/>
      <c r="AG54" s="288"/>
      <c r="AH54" s="288"/>
      <c r="AI54" s="72"/>
    </row>
    <row r="55" spans="1:35" s="115" customFormat="1" ht="15" hidden="1" thickBot="1">
      <c r="A55" s="1643"/>
      <c r="B55" s="75"/>
      <c r="C55" s="160"/>
      <c r="D55" s="160"/>
      <c r="E55" s="75"/>
      <c r="F55" s="75"/>
      <c r="G55" s="75"/>
      <c r="J55" s="123"/>
      <c r="K55" s="123"/>
      <c r="L55" s="123"/>
      <c r="M55" s="123"/>
      <c r="N55" s="123"/>
      <c r="O55" s="123"/>
      <c r="P55" s="123"/>
      <c r="Q55" s="123"/>
      <c r="R55" s="123"/>
      <c r="S55" s="123"/>
      <c r="T55" s="125"/>
      <c r="U55" s="123"/>
      <c r="V55" s="72"/>
      <c r="W55" s="125"/>
      <c r="X55" s="123"/>
      <c r="Y55" s="288"/>
      <c r="Z55" s="288"/>
      <c r="AA55" s="288"/>
      <c r="AB55" s="288"/>
      <c r="AC55" s="288"/>
      <c r="AD55" s="288"/>
      <c r="AE55" s="288"/>
      <c r="AF55" s="288"/>
      <c r="AG55" s="288"/>
      <c r="AH55" s="288"/>
      <c r="AI55" s="72"/>
    </row>
    <row r="56" spans="1:35" s="185" customFormat="1" ht="15" hidden="1" thickBot="1">
      <c r="A56" s="1644"/>
      <c r="B56" s="295" t="s">
        <v>2423</v>
      </c>
      <c r="C56" s="2482" t="s">
        <v>2424</v>
      </c>
      <c r="D56" s="2483"/>
      <c r="E56" s="2483"/>
      <c r="F56" s="2483"/>
      <c r="G56" s="2483"/>
      <c r="H56" s="2483"/>
      <c r="I56" s="2483"/>
      <c r="J56" s="2483"/>
      <c r="K56" s="2483"/>
      <c r="L56" s="2483"/>
      <c r="M56" s="2483"/>
      <c r="N56" s="2483"/>
      <c r="O56" s="2483"/>
      <c r="P56" s="2483"/>
      <c r="Q56" s="2483"/>
      <c r="R56" s="164"/>
      <c r="S56" s="360"/>
      <c r="T56" s="135"/>
      <c r="U56" s="123"/>
      <c r="V56" s="72"/>
      <c r="W56" s="90" t="s">
        <v>2425</v>
      </c>
      <c r="X56" s="123"/>
      <c r="AI56" s="72"/>
    </row>
    <row r="57" spans="1:35" s="115" customFormat="1" ht="83.25" hidden="1" customHeight="1">
      <c r="A57" s="1643"/>
      <c r="B57" s="188" t="str">
        <f>B8</f>
        <v>1F.1</v>
      </c>
      <c r="C57" s="3238" t="s">
        <v>12746</v>
      </c>
      <c r="D57" s="3216"/>
      <c r="E57" s="3216"/>
      <c r="F57" s="3216"/>
      <c r="G57" s="3216"/>
      <c r="H57" s="3216"/>
      <c r="I57" s="3216"/>
      <c r="J57" s="3216"/>
      <c r="K57" s="3234"/>
      <c r="L57" s="3234"/>
      <c r="M57" s="3234"/>
      <c r="N57" s="3234"/>
      <c r="O57" s="3234"/>
      <c r="P57" s="3234"/>
      <c r="Q57" s="3234"/>
      <c r="R57" s="3217"/>
      <c r="S57" s="362"/>
      <c r="T57" s="125"/>
      <c r="U57" s="123"/>
      <c r="V57" s="72"/>
      <c r="W57" s="168">
        <v>1</v>
      </c>
      <c r="X57" s="123"/>
      <c r="Y57" s="288"/>
      <c r="Z57" s="288"/>
      <c r="AA57" s="288"/>
      <c r="AB57" s="288"/>
      <c r="AC57" s="288"/>
      <c r="AD57" s="288"/>
      <c r="AE57" s="288"/>
      <c r="AF57" s="288"/>
      <c r="AG57" s="288"/>
      <c r="AH57" s="288"/>
      <c r="AI57" s="72"/>
    </row>
    <row r="58" spans="1:35" s="115" customFormat="1" ht="30" hidden="1" customHeight="1">
      <c r="A58" s="1643"/>
      <c r="B58" s="166" t="str">
        <f>B9</f>
        <v>1F.2</v>
      </c>
      <c r="C58" s="3198" t="s">
        <v>12747</v>
      </c>
      <c r="D58" s="3198"/>
      <c r="E58" s="3198"/>
      <c r="F58" s="3198"/>
      <c r="G58" s="3198"/>
      <c r="H58" s="3198"/>
      <c r="I58" s="3198"/>
      <c r="J58" s="3198"/>
      <c r="K58" s="3225"/>
      <c r="L58" s="3225"/>
      <c r="M58" s="3225"/>
      <c r="N58" s="3225"/>
      <c r="O58" s="3225"/>
      <c r="P58" s="3225"/>
      <c r="Q58" s="3225"/>
      <c r="R58" s="3199"/>
      <c r="S58" s="362"/>
      <c r="V58" s="72"/>
      <c r="W58" s="261">
        <v>1</v>
      </c>
      <c r="AI58" s="72"/>
    </row>
    <row r="59" spans="1:35" s="115" customFormat="1" ht="13.5" hidden="1" customHeight="1">
      <c r="A59" s="1643"/>
      <c r="B59" s="166" t="str">
        <f>B10</f>
        <v>1F.3</v>
      </c>
      <c r="C59" s="3198" t="s">
        <v>12748</v>
      </c>
      <c r="D59" s="3198"/>
      <c r="E59" s="3198"/>
      <c r="F59" s="3198"/>
      <c r="G59" s="3198"/>
      <c r="H59" s="3198"/>
      <c r="I59" s="3198"/>
      <c r="J59" s="3198"/>
      <c r="K59" s="3225"/>
      <c r="L59" s="3225"/>
      <c r="M59" s="3225"/>
      <c r="N59" s="3225"/>
      <c r="O59" s="3225"/>
      <c r="P59" s="3225"/>
      <c r="Q59" s="3225"/>
      <c r="R59" s="3199"/>
      <c r="S59" s="362"/>
      <c r="V59" s="72"/>
      <c r="W59" s="261">
        <v>1</v>
      </c>
      <c r="AI59" s="72"/>
    </row>
    <row r="60" spans="1:35" s="125" customFormat="1" ht="87" hidden="1" customHeight="1">
      <c r="A60" s="1645"/>
      <c r="B60" s="166" t="str">
        <f>B11</f>
        <v>1F.4</v>
      </c>
      <c r="C60" s="3198" t="s">
        <v>12749</v>
      </c>
      <c r="D60" s="3198"/>
      <c r="E60" s="3198"/>
      <c r="F60" s="3198"/>
      <c r="G60" s="3198"/>
      <c r="H60" s="3198"/>
      <c r="I60" s="3198"/>
      <c r="J60" s="3198"/>
      <c r="K60" s="3225"/>
      <c r="L60" s="3225"/>
      <c r="M60" s="3225"/>
      <c r="N60" s="3225"/>
      <c r="O60" s="3225"/>
      <c r="P60" s="3225"/>
      <c r="Q60" s="3225"/>
      <c r="R60" s="3199"/>
      <c r="S60" s="362"/>
      <c r="V60" s="72"/>
      <c r="W60" s="261">
        <v>1</v>
      </c>
      <c r="AI60" s="72"/>
    </row>
    <row r="61" spans="1:35" ht="82.5" hidden="1" customHeight="1">
      <c r="A61" s="1646"/>
      <c r="B61" s="166" t="str">
        <f>B14</f>
        <v>1F.5</v>
      </c>
      <c r="C61" s="3198" t="s">
        <v>12750</v>
      </c>
      <c r="D61" s="3198"/>
      <c r="E61" s="3198"/>
      <c r="F61" s="3198"/>
      <c r="G61" s="3198"/>
      <c r="H61" s="3198"/>
      <c r="I61" s="3198"/>
      <c r="J61" s="3198"/>
      <c r="K61" s="3225"/>
      <c r="L61" s="3225"/>
      <c r="M61" s="3225"/>
      <c r="N61" s="3225"/>
      <c r="O61" s="3225"/>
      <c r="P61" s="3225"/>
      <c r="Q61" s="3225"/>
      <c r="R61" s="3199"/>
      <c r="S61" s="362"/>
      <c r="W61" s="165">
        <v>1</v>
      </c>
    </row>
    <row r="62" spans="1:35" ht="45.75" hidden="1" customHeight="1">
      <c r="A62" s="1646"/>
      <c r="B62" s="166" t="str">
        <f>B15</f>
        <v>1F.6</v>
      </c>
      <c r="C62" s="3198" t="s">
        <v>12751</v>
      </c>
      <c r="D62" s="3198"/>
      <c r="E62" s="3198"/>
      <c r="F62" s="3198"/>
      <c r="G62" s="3198"/>
      <c r="H62" s="3198"/>
      <c r="I62" s="3198"/>
      <c r="J62" s="3198"/>
      <c r="K62" s="3225"/>
      <c r="L62" s="3225"/>
      <c r="M62" s="3225"/>
      <c r="N62" s="3225"/>
      <c r="O62" s="3225"/>
      <c r="P62" s="3225"/>
      <c r="Q62" s="3225"/>
      <c r="R62" s="3199"/>
      <c r="S62" s="362"/>
      <c r="W62" s="389" t="s">
        <v>2428</v>
      </c>
    </row>
    <row r="63" spans="1:35" ht="19.5" hidden="1" customHeight="1">
      <c r="A63" s="1646"/>
      <c r="B63" s="166" t="str">
        <f>B16</f>
        <v>1F.7</v>
      </c>
      <c r="C63" s="3198" t="s">
        <v>12752</v>
      </c>
      <c r="D63" s="3198"/>
      <c r="E63" s="3198"/>
      <c r="F63" s="3198"/>
      <c r="G63" s="3198"/>
      <c r="H63" s="3198"/>
      <c r="I63" s="3198"/>
      <c r="J63" s="3198"/>
      <c r="K63" s="3225"/>
      <c r="L63" s="3225"/>
      <c r="M63" s="3225"/>
      <c r="N63" s="3225"/>
      <c r="O63" s="3225"/>
      <c r="P63" s="3225"/>
      <c r="Q63" s="3225"/>
      <c r="R63" s="3199"/>
      <c r="S63" s="362"/>
      <c r="W63" s="389" t="s">
        <v>2428</v>
      </c>
    </row>
    <row r="64" spans="1:35" ht="291.75" hidden="1" customHeight="1">
      <c r="A64" s="1646"/>
      <c r="B64" s="166" t="str">
        <f>B17</f>
        <v>1F.8</v>
      </c>
      <c r="C64" s="3198" t="s">
        <v>12753</v>
      </c>
      <c r="D64" s="3198"/>
      <c r="E64" s="3198"/>
      <c r="F64" s="3198"/>
      <c r="G64" s="3198"/>
      <c r="H64" s="3198"/>
      <c r="I64" s="3198"/>
      <c r="J64" s="3198"/>
      <c r="K64" s="3225"/>
      <c r="L64" s="3225"/>
      <c r="M64" s="3225"/>
      <c r="N64" s="3225"/>
      <c r="O64" s="3225"/>
      <c r="P64" s="3225"/>
      <c r="Q64" s="3225"/>
      <c r="R64" s="3199"/>
      <c r="S64" s="362"/>
      <c r="W64" s="389" t="s">
        <v>2428</v>
      </c>
    </row>
    <row r="65" spans="1:23" ht="13.5" hidden="1" customHeight="1">
      <c r="A65" s="1646"/>
      <c r="B65" s="166" t="str">
        <f>B18</f>
        <v>1F.9</v>
      </c>
      <c r="C65" s="3198" t="s">
        <v>12754</v>
      </c>
      <c r="D65" s="3198"/>
      <c r="E65" s="3198"/>
      <c r="F65" s="3198"/>
      <c r="G65" s="3198"/>
      <c r="H65" s="3198"/>
      <c r="I65" s="3198"/>
      <c r="J65" s="3198"/>
      <c r="K65" s="3225"/>
      <c r="L65" s="3225"/>
      <c r="M65" s="3225"/>
      <c r="N65" s="3225"/>
      <c r="O65" s="3225"/>
      <c r="P65" s="3225"/>
      <c r="Q65" s="3225"/>
      <c r="R65" s="3199"/>
      <c r="S65" s="362"/>
      <c r="W65" s="165">
        <v>1</v>
      </c>
    </row>
    <row r="66" spans="1:23" ht="13.5" hidden="1" customHeight="1">
      <c r="A66" s="1646"/>
      <c r="B66" s="166" t="str">
        <f>B20</f>
        <v>1F.10</v>
      </c>
      <c r="C66" s="3198" t="s">
        <v>12755</v>
      </c>
      <c r="D66" s="3198"/>
      <c r="E66" s="3198"/>
      <c r="F66" s="3198"/>
      <c r="G66" s="3198"/>
      <c r="H66" s="3198"/>
      <c r="I66" s="3198"/>
      <c r="J66" s="3198"/>
      <c r="K66" s="3225"/>
      <c r="L66" s="3225"/>
      <c r="M66" s="3225"/>
      <c r="N66" s="3225"/>
      <c r="O66" s="3225"/>
      <c r="P66" s="3225"/>
      <c r="Q66" s="3225"/>
      <c r="R66" s="3199"/>
      <c r="S66" s="362"/>
      <c r="W66" s="165"/>
    </row>
    <row r="67" spans="1:23" ht="54.75" hidden="1" customHeight="1">
      <c r="A67" s="1646"/>
      <c r="B67" s="166" t="str">
        <f>B23</f>
        <v>1F.11</v>
      </c>
      <c r="C67" s="3198" t="s">
        <v>12756</v>
      </c>
      <c r="D67" s="3198"/>
      <c r="E67" s="3198"/>
      <c r="F67" s="3198"/>
      <c r="G67" s="3198"/>
      <c r="H67" s="3198"/>
      <c r="I67" s="3198"/>
      <c r="J67" s="3198"/>
      <c r="K67" s="3225"/>
      <c r="L67" s="3225"/>
      <c r="M67" s="3225"/>
      <c r="N67" s="3225"/>
      <c r="O67" s="3225"/>
      <c r="P67" s="3225"/>
      <c r="Q67" s="3225"/>
      <c r="R67" s="3199"/>
      <c r="S67" s="362"/>
      <c r="W67" s="389" t="s">
        <v>2428</v>
      </c>
    </row>
    <row r="68" spans="1:23" ht="27.75" hidden="1" customHeight="1">
      <c r="A68" s="1646"/>
      <c r="B68" s="166" t="str">
        <f>B24</f>
        <v>1F.12</v>
      </c>
      <c r="C68" s="3198" t="s">
        <v>12757</v>
      </c>
      <c r="D68" s="3198"/>
      <c r="E68" s="3198"/>
      <c r="F68" s="3198"/>
      <c r="G68" s="3198"/>
      <c r="H68" s="3198"/>
      <c r="I68" s="3198"/>
      <c r="J68" s="3198"/>
      <c r="K68" s="3225"/>
      <c r="L68" s="3225"/>
      <c r="M68" s="3225"/>
      <c r="N68" s="3225"/>
      <c r="O68" s="3225"/>
      <c r="P68" s="3225"/>
      <c r="Q68" s="3225"/>
      <c r="R68" s="3199"/>
      <c r="S68" s="362"/>
      <c r="W68" s="165">
        <v>1</v>
      </c>
    </row>
    <row r="69" spans="1:23" ht="49.15" hidden="1" customHeight="1">
      <c r="A69" s="1646"/>
      <c r="B69" s="166" t="str">
        <f>B25</f>
        <v>1F.13</v>
      </c>
      <c r="C69" s="3198" t="s">
        <v>12758</v>
      </c>
      <c r="D69" s="3198"/>
      <c r="E69" s="3198"/>
      <c r="F69" s="3198"/>
      <c r="G69" s="3198"/>
      <c r="H69" s="3198"/>
      <c r="I69" s="3198"/>
      <c r="J69" s="3198"/>
      <c r="K69" s="3225"/>
      <c r="L69" s="3225"/>
      <c r="M69" s="3225"/>
      <c r="N69" s="3225"/>
      <c r="O69" s="3225"/>
      <c r="P69" s="3225"/>
      <c r="Q69" s="3225"/>
      <c r="R69" s="3199"/>
      <c r="S69" s="362"/>
      <c r="W69" s="168" t="s">
        <v>2496</v>
      </c>
    </row>
    <row r="70" spans="1:23" ht="23.25" hidden="1" customHeight="1">
      <c r="A70" s="1646"/>
      <c r="B70" s="166" t="str">
        <f>B27</f>
        <v>1F.15</v>
      </c>
      <c r="C70" s="3198" t="s">
        <v>12759</v>
      </c>
      <c r="D70" s="3198"/>
      <c r="E70" s="3198"/>
      <c r="F70" s="3198"/>
      <c r="G70" s="3198"/>
      <c r="H70" s="3198"/>
      <c r="I70" s="3198"/>
      <c r="J70" s="3198"/>
      <c r="K70" s="3225"/>
      <c r="L70" s="3225"/>
      <c r="M70" s="3225"/>
      <c r="N70" s="3225"/>
      <c r="O70" s="3225"/>
      <c r="P70" s="3225"/>
      <c r="Q70" s="3225"/>
      <c r="R70" s="3199"/>
      <c r="S70" s="362"/>
      <c r="W70" s="168" t="s">
        <v>2428</v>
      </c>
    </row>
    <row r="71" spans="1:23" ht="13.5" hidden="1" customHeight="1">
      <c r="A71" s="1646"/>
      <c r="B71" s="166" t="str">
        <f>B29</f>
        <v>1F.16</v>
      </c>
      <c r="C71" s="3198" t="s">
        <v>12760</v>
      </c>
      <c r="D71" s="3198"/>
      <c r="E71" s="3198"/>
      <c r="F71" s="3198"/>
      <c r="G71" s="3198"/>
      <c r="H71" s="3198"/>
      <c r="I71" s="3198"/>
      <c r="J71" s="3198"/>
      <c r="K71" s="3225"/>
      <c r="L71" s="3225"/>
      <c r="M71" s="3225"/>
      <c r="N71" s="3225"/>
      <c r="O71" s="3225"/>
      <c r="P71" s="3225"/>
      <c r="Q71" s="3225"/>
      <c r="R71" s="3199"/>
      <c r="S71" s="362"/>
      <c r="W71" s="165">
        <v>1</v>
      </c>
    </row>
    <row r="72" spans="1:23" ht="23.25" hidden="1" customHeight="1">
      <c r="A72" s="1646"/>
      <c r="B72" s="166" t="str">
        <f>B31</f>
        <v>1F.17</v>
      </c>
      <c r="C72" s="3198" t="s">
        <v>12761</v>
      </c>
      <c r="D72" s="3198"/>
      <c r="E72" s="3198"/>
      <c r="F72" s="3198"/>
      <c r="G72" s="3198"/>
      <c r="H72" s="3198"/>
      <c r="I72" s="3198"/>
      <c r="J72" s="3198"/>
      <c r="K72" s="3225"/>
      <c r="L72" s="3225"/>
      <c r="M72" s="3225"/>
      <c r="N72" s="3225"/>
      <c r="O72" s="3225"/>
      <c r="P72" s="3225"/>
      <c r="Q72" s="3225"/>
      <c r="R72" s="3199"/>
      <c r="S72" s="362"/>
      <c r="W72" s="168" t="s">
        <v>2428</v>
      </c>
    </row>
    <row r="73" spans="1:23" ht="18.75" hidden="1" customHeight="1">
      <c r="A73" s="1646"/>
      <c r="B73" s="166" t="str">
        <f t="shared" ref="B73" si="71">B33</f>
        <v>1F.18</v>
      </c>
      <c r="C73" s="3198" t="s">
        <v>12762</v>
      </c>
      <c r="D73" s="3198"/>
      <c r="E73" s="3198"/>
      <c r="F73" s="3198"/>
      <c r="G73" s="3198"/>
      <c r="H73" s="3198"/>
      <c r="I73" s="3198"/>
      <c r="J73" s="3198"/>
      <c r="K73" s="3225"/>
      <c r="L73" s="3225"/>
      <c r="M73" s="3225"/>
      <c r="N73" s="3225"/>
      <c r="O73" s="3225"/>
      <c r="P73" s="3225"/>
      <c r="Q73" s="3225"/>
      <c r="R73" s="3199"/>
      <c r="S73" s="362"/>
      <c r="W73" s="168" t="s">
        <v>2496</v>
      </c>
    </row>
    <row r="74" spans="1:23" ht="23.25" hidden="1" customHeight="1">
      <c r="A74" s="1646"/>
      <c r="B74" s="166" t="str">
        <f>B35</f>
        <v>1F.19</v>
      </c>
      <c r="C74" s="3198" t="s">
        <v>12763</v>
      </c>
      <c r="D74" s="3198"/>
      <c r="E74" s="3198"/>
      <c r="F74" s="3198"/>
      <c r="G74" s="3198"/>
      <c r="H74" s="3198"/>
      <c r="I74" s="3198"/>
      <c r="J74" s="3198"/>
      <c r="K74" s="3225"/>
      <c r="L74" s="3225"/>
      <c r="M74" s="3225"/>
      <c r="N74" s="3225"/>
      <c r="O74" s="3225"/>
      <c r="P74" s="3225"/>
      <c r="Q74" s="3225"/>
      <c r="R74" s="3199"/>
      <c r="S74" s="362"/>
      <c r="W74" s="168" t="s">
        <v>2428</v>
      </c>
    </row>
    <row r="75" spans="1:23" ht="13.5" hidden="1" customHeight="1">
      <c r="A75" s="1646"/>
      <c r="B75" s="166" t="str">
        <f>B37</f>
        <v>1F.20</v>
      </c>
      <c r="C75" s="3198" t="s">
        <v>12764</v>
      </c>
      <c r="D75" s="3198"/>
      <c r="E75" s="3198"/>
      <c r="F75" s="3198"/>
      <c r="G75" s="3198"/>
      <c r="H75" s="3198"/>
      <c r="I75" s="3198"/>
      <c r="J75" s="3198"/>
      <c r="K75" s="3225"/>
      <c r="L75" s="3225"/>
      <c r="M75" s="3225"/>
      <c r="N75" s="3225"/>
      <c r="O75" s="3225"/>
      <c r="P75" s="3225"/>
      <c r="Q75" s="3225"/>
      <c r="R75" s="3199"/>
      <c r="S75" s="362"/>
      <c r="W75" s="168">
        <v>1</v>
      </c>
    </row>
    <row r="76" spans="1:23" ht="13.5" hidden="1" customHeight="1">
      <c r="A76" s="1646"/>
      <c r="B76" s="166" t="str">
        <f>B40</f>
        <v>1F.21</v>
      </c>
      <c r="C76" s="3198" t="s">
        <v>12765</v>
      </c>
      <c r="D76" s="3198"/>
      <c r="E76" s="3198"/>
      <c r="F76" s="3198"/>
      <c r="G76" s="3198"/>
      <c r="H76" s="3198"/>
      <c r="I76" s="3198"/>
      <c r="J76" s="3198"/>
      <c r="K76" s="3225"/>
      <c r="L76" s="3225"/>
      <c r="M76" s="3225"/>
      <c r="N76" s="3225"/>
      <c r="O76" s="3225"/>
      <c r="P76" s="3225"/>
      <c r="Q76" s="3225"/>
      <c r="R76" s="3199"/>
      <c r="S76" s="362"/>
      <c r="W76" s="165">
        <v>1</v>
      </c>
    </row>
    <row r="77" spans="1:23" ht="13.5" hidden="1" customHeight="1">
      <c r="A77" s="1646"/>
      <c r="B77" s="166" t="str">
        <f>B41</f>
        <v>1F.22</v>
      </c>
      <c r="C77" s="3198" t="s">
        <v>12766</v>
      </c>
      <c r="D77" s="3198"/>
      <c r="E77" s="3198"/>
      <c r="F77" s="3198"/>
      <c r="G77" s="3198"/>
      <c r="H77" s="3198"/>
      <c r="I77" s="3198"/>
      <c r="J77" s="3198"/>
      <c r="K77" s="3225"/>
      <c r="L77" s="3225"/>
      <c r="M77" s="3225"/>
      <c r="N77" s="3225"/>
      <c r="O77" s="3225"/>
      <c r="P77" s="3225"/>
      <c r="Q77" s="3225"/>
      <c r="R77" s="3199"/>
      <c r="W77" s="165">
        <v>1</v>
      </c>
    </row>
    <row r="78" spans="1:23" ht="14.25" hidden="1" customHeight="1" thickBot="1">
      <c r="A78" s="1646"/>
      <c r="B78" s="190" t="str">
        <f>B42</f>
        <v>1F.23</v>
      </c>
      <c r="C78" s="3218" t="s">
        <v>12767</v>
      </c>
      <c r="D78" s="3218"/>
      <c r="E78" s="3218"/>
      <c r="F78" s="3218"/>
      <c r="G78" s="3218"/>
      <c r="H78" s="3218"/>
      <c r="I78" s="3218"/>
      <c r="J78" s="3218"/>
      <c r="K78" s="3228"/>
      <c r="L78" s="3228"/>
      <c r="M78" s="3228"/>
      <c r="N78" s="3228"/>
      <c r="O78" s="3228"/>
      <c r="P78" s="3228"/>
      <c r="Q78" s="3228"/>
      <c r="R78" s="3219"/>
      <c r="W78" s="168">
        <v>1</v>
      </c>
    </row>
    <row r="79" spans="1:23" hidden="1">
      <c r="A79" s="1646"/>
      <c r="B79" s="418"/>
      <c r="C79" s="357"/>
      <c r="D79" s="357"/>
      <c r="E79" s="357"/>
      <c r="F79" s="357"/>
      <c r="G79" s="357"/>
      <c r="H79" s="357"/>
      <c r="I79" s="357"/>
      <c r="J79" s="357"/>
      <c r="K79" s="357"/>
      <c r="L79" s="357"/>
      <c r="M79" s="357"/>
      <c r="N79" s="357"/>
      <c r="O79" s="357"/>
      <c r="P79" s="357"/>
      <c r="Q79" s="357"/>
      <c r="R79" s="357"/>
      <c r="W79" s="262"/>
    </row>
  </sheetData>
  <mergeCells count="44">
    <mergeCell ref="AV3:BA3"/>
    <mergeCell ref="BB3:BG3"/>
    <mergeCell ref="AV4:AX4"/>
    <mergeCell ref="AY4:BA4"/>
    <mergeCell ref="BB4:BD4"/>
    <mergeCell ref="BE4:BG4"/>
    <mergeCell ref="T3:T5"/>
    <mergeCell ref="AQ3:AR5"/>
    <mergeCell ref="AT3:AT5"/>
    <mergeCell ref="AU3:AU5"/>
    <mergeCell ref="B3:C5"/>
    <mergeCell ref="E3:E5"/>
    <mergeCell ref="F3:F5"/>
    <mergeCell ref="G3:L3"/>
    <mergeCell ref="G4:I4"/>
    <mergeCell ref="J4:L4"/>
    <mergeCell ref="M3:R3"/>
    <mergeCell ref="M4:O4"/>
    <mergeCell ref="W5:Y5"/>
    <mergeCell ref="AS3:AS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C78:R78"/>
    <mergeCell ref="C76:R76"/>
    <mergeCell ref="C77:R77"/>
    <mergeCell ref="C70:R70"/>
    <mergeCell ref="C71:R71"/>
    <mergeCell ref="C72:R72"/>
    <mergeCell ref="C73:R73"/>
    <mergeCell ref="C74:R74"/>
    <mergeCell ref="C75:R75"/>
  </mergeCells>
  <conditionalFormatting sqref="T8:T11 T23:T25 T14:T17 T40:T41 T27">
    <cfRule type="cellIs" dxfId="2811" priority="4" operator="equal">
      <formula>0</formula>
    </cfRule>
  </conditionalFormatting>
  <conditionalFormatting sqref="T31">
    <cfRule type="cellIs" dxfId="2810" priority="3" operator="equal">
      <formula>0</formula>
    </cfRule>
  </conditionalFormatting>
  <conditionalFormatting sqref="T18">
    <cfRule type="cellIs" dxfId="2809" priority="2" operator="equal">
      <formula>0</formula>
    </cfRule>
  </conditionalFormatting>
  <conditionalFormatting sqref="T26">
    <cfRule type="cellIs" dxfId="28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53" max="19" man="1"/>
  </rowBreaks>
  <legacyDrawingHF r:id="rId2"/>
</worksheet>
</file>

<file path=xl/worksheets/sheet12.xml><?xml version="1.0" encoding="utf-8"?>
<worksheet xmlns="http://schemas.openxmlformats.org/spreadsheetml/2006/main" xmlns:r="http://schemas.openxmlformats.org/officeDocument/2006/relationships">
  <sheetPr codeName="Sheet9">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idden="1"/>
    <row r="3" spans="12:12" hidden="1"/>
    <row r="4" spans="12:12" hidden="1"/>
    <row r="5" spans="12:12" hidden="1"/>
    <row r="6" spans="12:12" hidden="1">
      <c r="L6" s="8">
        <f>IF(Validation!$H$3=1,0,IF(ISNUMBER(#REF!),0,1))</f>
        <v>1</v>
      </c>
    </row>
    <row r="7" spans="12:12" hidden="1"/>
    <row r="8" spans="12:12" hidden="1"/>
    <row r="9" spans="12:12" hidden="1"/>
    <row r="10" spans="12:12" hidden="1"/>
    <row r="11" spans="12:12" hidden="1"/>
    <row r="12" spans="12:12" hidden="1"/>
    <row r="13" spans="12:12" hidden="1"/>
    <row r="14" spans="12:12" hidden="1"/>
    <row r="15" spans="12:12" hidden="1"/>
    <row r="16" spans="12:12"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13.xml><?xml version="1.0" encoding="utf-8"?>
<worksheet xmlns="http://schemas.openxmlformats.org/spreadsheetml/2006/main" xmlns:r="http://schemas.openxmlformats.org/officeDocument/2006/relationships">
  <sheetPr codeName="Sheet10">
    <pageSetUpPr fitToPage="1"/>
  </sheetPr>
  <dimension ref="A1:BV46"/>
  <sheetViews>
    <sheetView workbookViewId="0"/>
  </sheetViews>
  <sheetFormatPr defaultColWidth="0" defaultRowHeight="14.25" zeroHeight="1"/>
  <cols>
    <col min="1" max="1" width="0.625" style="75" customWidth="1"/>
    <col min="2" max="2" width="4.125" style="75" customWidth="1"/>
    <col min="3" max="3" width="34.625" style="75" bestFit="1" customWidth="1"/>
    <col min="4" max="4" width="5.625" style="75" hidden="1" customWidth="1"/>
    <col min="5" max="6" width="5.125" style="75" customWidth="1"/>
    <col min="7" max="16" width="12.625" style="75" customWidth="1"/>
    <col min="17" max="17" width="2.625" style="75" customWidth="1"/>
    <col min="18" max="18" width="42.625" style="75" customWidth="1"/>
    <col min="19" max="19" width="25.5" style="75" customWidth="1"/>
    <col min="20" max="20" width="1.625" style="71" customWidth="1"/>
    <col min="21" max="21" width="1.625" style="72" hidden="1" customWidth="1"/>
    <col min="22" max="31" width="4.625" style="71" hidden="1" customWidth="1"/>
    <col min="32" max="32" width="1.625" style="72" hidden="1" customWidth="1"/>
    <col min="33" max="37" width="8" style="75" hidden="1" customWidth="1"/>
    <col min="38" max="38" width="1.625" style="72" hidden="1" customWidth="1"/>
    <col min="39" max="39" width="8.125" style="75" hidden="1" customWidth="1"/>
    <col min="40" max="40" width="7" style="75" hidden="1" customWidth="1"/>
    <col min="41" max="41" width="42.625" style="75" hidden="1" customWidth="1"/>
    <col min="42" max="43" width="5.625" style="75" hidden="1" customWidth="1"/>
    <col min="44" max="44" width="54.5" style="75" hidden="1" customWidth="1"/>
    <col min="45" max="45" width="5.625" style="75" hidden="1" customWidth="1"/>
    <col min="46" max="46" width="5.125" style="75" hidden="1" customWidth="1"/>
    <col min="47" max="47" width="35.625" style="75" hidden="1" customWidth="1"/>
    <col min="48" max="48" width="5.625" style="75" hidden="1" customWidth="1"/>
    <col min="49" max="49" width="5.125" style="75" hidden="1" customWidth="1"/>
    <col min="50" max="50" width="39.625" style="75" hidden="1" customWidth="1"/>
    <col min="51" max="52" width="5.125" style="75" hidden="1" customWidth="1"/>
    <col min="53" max="53" width="39.625" style="75" hidden="1" customWidth="1"/>
    <col min="54" max="54" width="1.625" style="72" hidden="1" customWidth="1"/>
    <col min="55" max="57" width="8.625" style="75" hidden="1" customWidth="1"/>
    <col min="58" max="58" width="8" style="75" hidden="1" customWidth="1"/>
    <col min="59" max="59" width="4.125" style="75" customWidth="1"/>
    <col min="60" max="60" width="34.625" style="75" bestFit="1" customWidth="1"/>
    <col min="61" max="61" width="5.625" style="75" hidden="1" customWidth="1"/>
    <col min="62" max="63" width="5.125" style="75" customWidth="1"/>
    <col min="64" max="73" width="12.625" style="75" customWidth="1"/>
    <col min="74" max="74" width="3.125" style="75" customWidth="1"/>
    <col min="75" max="16384" width="8" style="75" hidden="1"/>
  </cols>
  <sheetData>
    <row r="1" spans="2:73" s="71" customFormat="1" ht="18.75">
      <c r="B1" s="67" t="s">
        <v>2574</v>
      </c>
      <c r="C1" s="67"/>
      <c r="D1" s="67"/>
      <c r="E1" s="67"/>
      <c r="F1" s="67"/>
      <c r="G1" s="67"/>
      <c r="H1" s="67"/>
      <c r="I1" s="69"/>
      <c r="J1" s="69"/>
      <c r="K1" s="69"/>
      <c r="L1" s="69"/>
      <c r="M1" s="69"/>
      <c r="N1" s="67"/>
      <c r="O1" s="67"/>
      <c r="P1" s="69" t="str">
        <f>Validation!B3</f>
        <v>South West Water – South West area</v>
      </c>
      <c r="Q1" s="70"/>
      <c r="R1" s="70"/>
      <c r="S1" s="70" t="s">
        <v>2394</v>
      </c>
      <c r="U1" s="72"/>
      <c r="AF1" s="72"/>
      <c r="AL1" s="72"/>
      <c r="BB1" s="72"/>
      <c r="BG1" s="67" t="s">
        <v>6671</v>
      </c>
      <c r="BH1" s="67"/>
      <c r="BI1" s="67"/>
      <c r="BJ1" s="67"/>
      <c r="BK1" s="67"/>
      <c r="BL1" s="67"/>
      <c r="BM1" s="67"/>
      <c r="BN1" s="69"/>
      <c r="BO1" s="69"/>
      <c r="BP1" s="69"/>
      <c r="BQ1" s="69"/>
      <c r="BR1" s="69"/>
      <c r="BS1" s="67"/>
      <c r="BT1" s="67"/>
      <c r="BU1" s="69"/>
    </row>
    <row r="2" spans="2:73" s="71" customFormat="1" ht="15" thickBot="1">
      <c r="B2" s="74" t="s">
        <v>12524</v>
      </c>
      <c r="U2" s="72"/>
      <c r="AF2" s="72"/>
      <c r="AL2" s="72"/>
      <c r="BB2" s="72"/>
      <c r="BG2" s="74" t="str">
        <f>+B2</f>
        <v>For the 12 months ended 31 March 2019</v>
      </c>
    </row>
    <row r="3" spans="2:73" ht="13.5" customHeight="1">
      <c r="B3" s="3249" t="s">
        <v>2395</v>
      </c>
      <c r="C3" s="3250"/>
      <c r="D3" s="1450" t="s">
        <v>6496</v>
      </c>
      <c r="E3" s="3253" t="s">
        <v>2396</v>
      </c>
      <c r="F3" s="3255" t="s">
        <v>2397</v>
      </c>
      <c r="G3" s="3257" t="s">
        <v>2575</v>
      </c>
      <c r="H3" s="3258"/>
      <c r="I3" s="3259" t="s">
        <v>2576</v>
      </c>
      <c r="J3" s="3260"/>
      <c r="K3" s="3260"/>
      <c r="L3" s="3260"/>
      <c r="M3" s="3260"/>
      <c r="N3" s="3260"/>
      <c r="O3" s="3261"/>
      <c r="P3" s="3247" t="s">
        <v>2554</v>
      </c>
      <c r="R3" s="3210" t="s">
        <v>2577</v>
      </c>
      <c r="S3" s="3212" t="s">
        <v>1361</v>
      </c>
      <c r="V3" s="3215" t="s">
        <v>2404</v>
      </c>
      <c r="W3" s="3215"/>
      <c r="X3" s="3215"/>
      <c r="Y3" s="3215"/>
      <c r="Z3" s="3215"/>
      <c r="AA3" s="3215"/>
      <c r="AB3" s="3215"/>
      <c r="AC3" s="3215"/>
      <c r="AD3" s="3215"/>
      <c r="AE3" s="3215"/>
      <c r="AG3" s="3215" t="s">
        <v>2390</v>
      </c>
      <c r="AH3" s="1430"/>
      <c r="AI3" s="1430"/>
      <c r="AJ3" s="1430"/>
      <c r="AK3" s="2127"/>
      <c r="AM3" s="3262" t="s">
        <v>2578</v>
      </c>
      <c r="AN3" s="3262"/>
      <c r="AO3" s="3262"/>
      <c r="AP3" s="3262"/>
      <c r="AQ3" s="3262"/>
      <c r="AR3" s="3262"/>
      <c r="AS3" s="3262"/>
      <c r="AT3" s="3262"/>
      <c r="AU3" s="3262"/>
      <c r="AV3" s="3262"/>
      <c r="AW3" s="3262"/>
      <c r="AX3" s="3262"/>
      <c r="AY3" s="2109"/>
      <c r="AZ3" s="2109"/>
      <c r="BA3" s="2109"/>
      <c r="BG3" s="3249" t="s">
        <v>2395</v>
      </c>
      <c r="BH3" s="3250"/>
      <c r="BI3" s="1689" t="s">
        <v>6496</v>
      </c>
      <c r="BJ3" s="3253" t="s">
        <v>2396</v>
      </c>
      <c r="BK3" s="3255" t="s">
        <v>2397</v>
      </c>
      <c r="BL3" s="3257" t="s">
        <v>2575</v>
      </c>
      <c r="BM3" s="3258"/>
      <c r="BN3" s="3259" t="s">
        <v>2576</v>
      </c>
      <c r="BO3" s="3260"/>
      <c r="BP3" s="3260"/>
      <c r="BQ3" s="3260"/>
      <c r="BR3" s="3260"/>
      <c r="BS3" s="3260"/>
      <c r="BT3" s="3261"/>
      <c r="BU3" s="3247" t="s">
        <v>2554</v>
      </c>
    </row>
    <row r="4" spans="2:73" ht="28.5" customHeight="1" thickBot="1">
      <c r="B4" s="3251"/>
      <c r="C4" s="3252"/>
      <c r="D4" s="1451"/>
      <c r="E4" s="3254"/>
      <c r="F4" s="3256"/>
      <c r="G4" s="267" t="s">
        <v>2579</v>
      </c>
      <c r="H4" s="268" t="s">
        <v>2580</v>
      </c>
      <c r="I4" s="509" t="s">
        <v>2746</v>
      </c>
      <c r="J4" s="510" t="s">
        <v>3184</v>
      </c>
      <c r="K4" s="510" t="s">
        <v>3185</v>
      </c>
      <c r="L4" s="509" t="s">
        <v>3186</v>
      </c>
      <c r="M4" s="510" t="s">
        <v>1195</v>
      </c>
      <c r="N4" s="2088" t="s">
        <v>3187</v>
      </c>
      <c r="O4" s="268" t="s">
        <v>1800</v>
      </c>
      <c r="P4" s="3248"/>
      <c r="R4" s="3263"/>
      <c r="S4" s="3264"/>
      <c r="T4" s="83"/>
      <c r="V4" s="3215"/>
      <c r="W4" s="3215"/>
      <c r="X4" s="3215"/>
      <c r="Y4" s="3215"/>
      <c r="Z4" s="3215"/>
      <c r="AA4" s="3215"/>
      <c r="AB4" s="3215"/>
      <c r="AC4" s="3215"/>
      <c r="AD4" s="3215"/>
      <c r="AE4" s="3215"/>
      <c r="AG4" s="3215"/>
      <c r="AH4" s="1430"/>
      <c r="AI4" s="1430"/>
      <c r="AJ4" s="1430"/>
      <c r="AK4" s="2127"/>
      <c r="AM4" s="3262"/>
      <c r="AN4" s="3262"/>
      <c r="AO4" s="3262"/>
      <c r="AP4" s="3262"/>
      <c r="AQ4" s="3262"/>
      <c r="AR4" s="3262"/>
      <c r="AS4" s="3262"/>
      <c r="AT4" s="3262"/>
      <c r="AU4" s="3262"/>
      <c r="AV4" s="3262"/>
      <c r="AW4" s="3262"/>
      <c r="AX4" s="3262"/>
      <c r="AY4" s="2109"/>
      <c r="AZ4" s="2109"/>
      <c r="BA4" s="2109"/>
      <c r="BG4" s="3251"/>
      <c r="BH4" s="3252"/>
      <c r="BI4" s="1690"/>
      <c r="BJ4" s="3254"/>
      <c r="BK4" s="3256"/>
      <c r="BL4" s="267" t="s">
        <v>2579</v>
      </c>
      <c r="BM4" s="268" t="s">
        <v>2580</v>
      </c>
      <c r="BN4" s="509" t="s">
        <v>2746</v>
      </c>
      <c r="BO4" s="510" t="s">
        <v>3184</v>
      </c>
      <c r="BP4" s="510" t="s">
        <v>3185</v>
      </c>
      <c r="BQ4" s="509" t="s">
        <v>3186</v>
      </c>
      <c r="BR4" s="510" t="s">
        <v>1195</v>
      </c>
      <c r="BS4" s="268" t="s">
        <v>3187</v>
      </c>
      <c r="BT4" s="268" t="s">
        <v>1800</v>
      </c>
      <c r="BU4" s="3248"/>
    </row>
    <row r="5" spans="2:73" ht="15" thickBot="1">
      <c r="B5" s="270"/>
      <c r="C5" s="270"/>
      <c r="D5" s="270"/>
      <c r="V5" s="90" t="s">
        <v>2405</v>
      </c>
      <c r="BG5" s="270"/>
      <c r="BH5" s="270"/>
      <c r="BI5" s="270"/>
    </row>
    <row r="6" spans="2:73" ht="33.75">
      <c r="B6" s="298" t="s">
        <v>5045</v>
      </c>
      <c r="C6" s="29" t="s">
        <v>2581</v>
      </c>
      <c r="D6" s="29"/>
      <c r="E6" s="311" t="s">
        <v>750</v>
      </c>
      <c r="F6" s="283">
        <v>3</v>
      </c>
      <c r="G6" s="468"/>
      <c r="H6" s="464"/>
      <c r="J6" s="620"/>
      <c r="K6" s="394">
        <f xml:space="preserve"> J6</f>
        <v>0</v>
      </c>
      <c r="L6" s="705"/>
      <c r="N6" s="718">
        <f xml:space="preserve"> L6</f>
        <v>0</v>
      </c>
      <c r="O6" s="705"/>
      <c r="P6" s="394">
        <f xml:space="preserve"> G6 + H6 + K6 + N6 + O6</f>
        <v>0</v>
      </c>
      <c r="R6" s="1431" t="str">
        <f xml:space="preserve"> IF( SUM( AF6:AL6 ) = 0, 0, IF(AG6=1,AO6,"") &amp; IF(AH6=1,AR6,"") &amp; IF(AI6=1,AU6,"") &amp; IF(AJ6=1,AX6,"") &amp; IF(AK6=1,BA6,""))</f>
        <v xml:space="preserve">Retail household column should be equal to line 2I.13 (household column). Wholesale Water column should be equal to line 2I.4. Wholesale Wastewater column should be equal to line 2I.8. </v>
      </c>
      <c r="S6" s="24" t="str">
        <f xml:space="preserve"> IF( SUM( U6:AF6 ) = 0, 0, $V$5 )</f>
        <v>Please complete all cells in row</v>
      </c>
      <c r="V6" s="98">
        <f xml:space="preserve"> IF( ISNUMBER( G6 ), 0, 1 )</f>
        <v>1</v>
      </c>
      <c r="W6" s="98">
        <f xml:space="preserve"> IF( ISNUMBER( H6 ), 0, 1 )</f>
        <v>1</v>
      </c>
      <c r="X6" s="132"/>
      <c r="Y6" s="98">
        <f xml:space="preserve"> IF( ISNUMBER( J6 ), 0, 1 )</f>
        <v>1</v>
      </c>
      <c r="Z6" s="132"/>
      <c r="AA6" s="98">
        <f xml:space="preserve"> IF( Validation!$H$3 = 1, 0, ( IF( ISNUMBER( L6 ), 0, 1 )))</f>
        <v>1</v>
      </c>
      <c r="AB6" s="132"/>
      <c r="AC6" s="132"/>
      <c r="AD6" s="98">
        <f>IF( Validation!$H$3 = 1, 0, IF(Validation!$B$3 &lt;&gt; "Thames Water",0, (IF(ISNUMBER(O6),0,1))))</f>
        <v>0</v>
      </c>
      <c r="AG6" s="98">
        <f xml:space="preserve"> IF( (AM6 - AN6) = 0, 0, 1 )</f>
        <v>1</v>
      </c>
      <c r="AH6" s="98">
        <f xml:space="preserve"> IF( (AP6 - AQ6) = 0, 0, 1 )</f>
        <v>0</v>
      </c>
      <c r="AI6" s="98">
        <f xml:space="preserve"> IF( (AS6 - AT6) = 0, 0, 1 )</f>
        <v>1</v>
      </c>
      <c r="AJ6" s="98">
        <f xml:space="preserve"> IF( (AV6 - AW6) = 0, 0, 1 )</f>
        <v>1</v>
      </c>
      <c r="AK6" s="98">
        <f xml:space="preserve"> IF( (AY6 - AZ6) = 0, 0, 1 )</f>
        <v>0</v>
      </c>
      <c r="AM6" s="172">
        <f xml:space="preserve"> ROUND( G6, 3)</f>
        <v>0</v>
      </c>
      <c r="AN6" s="172">
        <f xml:space="preserve"> ROUND( '2I - SWT'!G29, 3 )</f>
        <v>34.99</v>
      </c>
      <c r="AO6" s="1432" t="s">
        <v>12216</v>
      </c>
      <c r="AP6" s="172">
        <f xml:space="preserve"> ROUND( H6, 3)</f>
        <v>0</v>
      </c>
      <c r="AQ6" s="172">
        <f xml:space="preserve"> ROUND( '2I - SWT'!H29, 3 )</f>
        <v>0</v>
      </c>
      <c r="AR6" s="1432" t="s">
        <v>12217</v>
      </c>
      <c r="AS6" s="172">
        <f xml:space="preserve"> ROUND( K6, 3)</f>
        <v>0</v>
      </c>
      <c r="AT6" s="172">
        <f xml:space="preserve"> ROUND( '2I - SWT'!I9, 3 )</f>
        <v>204.97300000000001</v>
      </c>
      <c r="AU6" s="1432" t="s">
        <v>12218</v>
      </c>
      <c r="AV6" s="172">
        <f xml:space="preserve"> ROUND( N6, 3)</f>
        <v>0</v>
      </c>
      <c r="AW6" s="172">
        <f xml:space="preserve"> ROUND( '2I - SWT'!I15, 3 )</f>
        <v>277.88299999999998</v>
      </c>
      <c r="AX6" s="1432" t="s">
        <v>12219</v>
      </c>
      <c r="AY6" s="172">
        <f xml:space="preserve"> ROUND( O6, 3)</f>
        <v>0</v>
      </c>
      <c r="AZ6" s="172">
        <f xml:space="preserve"> ROUND( '2I - SWT'!I21, 3 )</f>
        <v>0</v>
      </c>
      <c r="BA6" s="1432" t="s">
        <v>12430</v>
      </c>
      <c r="BG6" s="298" t="s">
        <v>5045</v>
      </c>
      <c r="BH6" s="29" t="s">
        <v>2581</v>
      </c>
      <c r="BI6" s="29"/>
      <c r="BJ6" s="311" t="s">
        <v>750</v>
      </c>
      <c r="BK6" s="283">
        <v>3</v>
      </c>
      <c r="BL6" s="2784" t="s">
        <v>7063</v>
      </c>
      <c r="BM6" s="2785" t="s">
        <v>7064</v>
      </c>
      <c r="BO6" s="2786" t="s">
        <v>7069</v>
      </c>
      <c r="BP6" s="394" t="s">
        <v>7070</v>
      </c>
      <c r="BQ6" s="2064" t="s">
        <v>7071</v>
      </c>
      <c r="BS6" s="718" t="s">
        <v>7072</v>
      </c>
      <c r="BT6" s="2064" t="s">
        <v>12281</v>
      </c>
      <c r="BU6" s="394" t="s">
        <v>7083</v>
      </c>
    </row>
    <row r="7" spans="2:73" ht="14.25" customHeight="1" thickBot="1">
      <c r="B7" s="299" t="s">
        <v>5046</v>
      </c>
      <c r="C7" s="30" t="s">
        <v>2582</v>
      </c>
      <c r="D7" s="30"/>
      <c r="E7" s="312" t="s">
        <v>750</v>
      </c>
      <c r="F7" s="287">
        <v>3</v>
      </c>
      <c r="G7" s="469"/>
      <c r="H7" s="465"/>
      <c r="J7" s="512"/>
      <c r="K7" s="395">
        <f xml:space="preserve"> J7</f>
        <v>0</v>
      </c>
      <c r="L7" s="706"/>
      <c r="N7" s="719">
        <f xml:space="preserve"> L7</f>
        <v>0</v>
      </c>
      <c r="O7" s="706"/>
      <c r="P7" s="395">
        <f xml:space="preserve"> G7 + H7 + K7 + N7 + O7</f>
        <v>0</v>
      </c>
      <c r="R7" s="1431">
        <f xml:space="preserve"> IF( SUM( AF7:AL7 ) = 0, 0, AO7 )</f>
        <v>0</v>
      </c>
      <c r="S7" s="24" t="str">
        <f t="shared" ref="S7:S20" si="0" xml:space="preserve"> IF( SUM( U7:AF7 ) = 0, 0, $V$5 )</f>
        <v>Please complete all cells in row</v>
      </c>
      <c r="V7" s="98">
        <f xml:space="preserve"> IF( ISNUMBER( G7 ), 0, 1 )</f>
        <v>1</v>
      </c>
      <c r="W7" s="98">
        <f xml:space="preserve"> IF( ISNUMBER( H7 ), 0, 1 )</f>
        <v>1</v>
      </c>
      <c r="X7" s="132"/>
      <c r="Y7" s="98">
        <f xml:space="preserve"> IF( ISNUMBER( J7 ), 0, 1 )</f>
        <v>1</v>
      </c>
      <c r="Z7" s="132"/>
      <c r="AA7" s="98">
        <f xml:space="preserve"> IF( Validation!$H$3 = 1, 0, ( IF( ISNUMBER( L7 ), 0, 1 )))</f>
        <v>1</v>
      </c>
      <c r="AB7" s="132"/>
      <c r="AC7" s="132"/>
      <c r="AD7" s="98">
        <f>IF( Validation!$H$3 = 1, 0, IF(Validation!$B$3 &lt;&gt; "Thames Water",0, (IF(ISNUMBER(O7),0,1))))</f>
        <v>0</v>
      </c>
      <c r="AG7" s="98">
        <f xml:space="preserve"> IF( (AM7 - AN7) = 0, 0, 1 )</f>
        <v>0</v>
      </c>
      <c r="AM7" s="172">
        <f xml:space="preserve"> ROUND( P6 + P7, 3)</f>
        <v>0</v>
      </c>
      <c r="AN7" s="172">
        <f xml:space="preserve"> ROUND( '1A'!K6, 3 )</f>
        <v>0</v>
      </c>
      <c r="AO7" s="1432" t="s">
        <v>12220</v>
      </c>
      <c r="AP7" s="172"/>
      <c r="AQ7" s="172"/>
      <c r="AR7" s="1432"/>
      <c r="AS7" s="172"/>
      <c r="AT7" s="172"/>
      <c r="AU7" s="1432"/>
      <c r="AV7" s="172"/>
      <c r="AW7" s="172"/>
      <c r="AX7" s="1432"/>
      <c r="AY7" s="1432"/>
      <c r="AZ7" s="1432"/>
      <c r="BA7" s="1432"/>
      <c r="BG7" s="299" t="s">
        <v>5046</v>
      </c>
      <c r="BH7" s="30" t="s">
        <v>2582</v>
      </c>
      <c r="BI7" s="30"/>
      <c r="BJ7" s="312" t="s">
        <v>750</v>
      </c>
      <c r="BK7" s="287">
        <v>3</v>
      </c>
      <c r="BL7" s="2787" t="s">
        <v>7065</v>
      </c>
      <c r="BM7" s="2788" t="s">
        <v>7066</v>
      </c>
      <c r="BO7" s="2789" t="s">
        <v>7073</v>
      </c>
      <c r="BP7" s="395" t="s">
        <v>7074</v>
      </c>
      <c r="BQ7" s="2065" t="s">
        <v>7075</v>
      </c>
      <c r="BS7" s="719" t="s">
        <v>7076</v>
      </c>
      <c r="BT7" s="2065" t="s">
        <v>12282</v>
      </c>
      <c r="BU7" s="395" t="s">
        <v>7084</v>
      </c>
    </row>
    <row r="8" spans="2:73" ht="14.25" customHeight="1">
      <c r="B8" s="299" t="s">
        <v>5047</v>
      </c>
      <c r="C8" s="30" t="s">
        <v>2587</v>
      </c>
      <c r="D8" s="30"/>
      <c r="E8" s="312" t="s">
        <v>750</v>
      </c>
      <c r="F8" s="287">
        <v>3</v>
      </c>
      <c r="G8" s="404">
        <f xml:space="preserve"> -1 * ( '2C'!G14 )</f>
        <v>0</v>
      </c>
      <c r="H8" s="346">
        <f xml:space="preserve"> -1 * ( '2C'!H14 )</f>
        <v>0</v>
      </c>
      <c r="I8" s="781">
        <f xml:space="preserve"> -1 * ( '2B'!G17 )</f>
        <v>0</v>
      </c>
      <c r="J8" s="346">
        <f xml:space="preserve"> -1 * ( '2B'!H17 )</f>
        <v>0</v>
      </c>
      <c r="K8" s="395">
        <f t="shared" ref="K8:K11" si="1" xml:space="preserve"> I8 + J8</f>
        <v>0</v>
      </c>
      <c r="L8" s="716">
        <f xml:space="preserve"> -1 * ( '2B'!I17 )</f>
        <v>0</v>
      </c>
      <c r="M8" s="717">
        <f xml:space="preserve"> -1 * ( '2B'!J17 )</f>
        <v>0</v>
      </c>
      <c r="N8" s="720">
        <f t="shared" ref="N8:N15" si="2" xml:space="preserve"> L8 + M8</f>
        <v>0</v>
      </c>
      <c r="O8" s="720">
        <f xml:space="preserve"> -1 * ( '2B'!K17 )</f>
        <v>0</v>
      </c>
      <c r="P8" s="395">
        <f t="shared" ref="P8:P12" si="3" xml:space="preserve"> G8 + H8 + K8 + N8 + O8</f>
        <v>0</v>
      </c>
      <c r="R8" s="66">
        <f xml:space="preserve"> IF( SUM( AF8:AL8 ) = 0, 0, AO8 )</f>
        <v>0</v>
      </c>
      <c r="S8" s="24">
        <f xml:space="preserve"> IF( SUM( U8:AF8 ) = 0, 0, $V$5 )</f>
        <v>0</v>
      </c>
      <c r="V8" s="132"/>
      <c r="W8" s="132"/>
      <c r="X8" s="132"/>
      <c r="Y8" s="132"/>
      <c r="Z8" s="132"/>
      <c r="AA8" s="132"/>
      <c r="AB8" s="132"/>
      <c r="AC8" s="132"/>
      <c r="AD8" s="132"/>
      <c r="AG8" s="98">
        <f xml:space="preserve"> IF( (AM8 - AN8) = 0, 0, 1 )</f>
        <v>0</v>
      </c>
      <c r="AM8" s="172">
        <f xml:space="preserve"> ROUND( P8 + P9 + P10, 3)</f>
        <v>0</v>
      </c>
      <c r="AN8" s="172">
        <f xml:space="preserve"> ROUND( '1A'!K7, 3 )</f>
        <v>0</v>
      </c>
      <c r="AO8" s="796" t="s">
        <v>12221</v>
      </c>
      <c r="AP8" s="172"/>
      <c r="AQ8" s="172"/>
      <c r="AR8" s="1432"/>
      <c r="AS8" s="172"/>
      <c r="AT8" s="172"/>
      <c r="AU8" s="1432"/>
      <c r="AV8" s="172"/>
      <c r="AW8" s="172"/>
      <c r="AX8" s="1432"/>
      <c r="AY8" s="1432"/>
      <c r="AZ8" s="1432"/>
      <c r="BA8" s="1432"/>
      <c r="BG8" s="299" t="s">
        <v>5047</v>
      </c>
      <c r="BH8" s="30" t="s">
        <v>2587</v>
      </c>
      <c r="BI8" s="30"/>
      <c r="BJ8" s="312" t="s">
        <v>750</v>
      </c>
      <c r="BK8" s="287">
        <v>3</v>
      </c>
      <c r="BL8" s="404" t="s">
        <v>7067</v>
      </c>
      <c r="BM8" s="346" t="s">
        <v>7068</v>
      </c>
      <c r="BN8" s="781" t="s">
        <v>7077</v>
      </c>
      <c r="BO8" s="346" t="s">
        <v>7078</v>
      </c>
      <c r="BP8" s="395" t="s">
        <v>7079</v>
      </c>
      <c r="BQ8" s="716" t="s">
        <v>7080</v>
      </c>
      <c r="BR8" s="717" t="s">
        <v>7081</v>
      </c>
      <c r="BS8" s="720" t="s">
        <v>7082</v>
      </c>
      <c r="BT8" s="720" t="s">
        <v>12283</v>
      </c>
      <c r="BU8" s="395" t="s">
        <v>7085</v>
      </c>
    </row>
    <row r="9" spans="2:73" ht="14.25" customHeight="1">
      <c r="B9" s="299" t="s">
        <v>5048</v>
      </c>
      <c r="C9" s="30" t="s">
        <v>3183</v>
      </c>
      <c r="D9" s="30"/>
      <c r="E9" s="312" t="s">
        <v>750</v>
      </c>
      <c r="F9" s="287">
        <v>3</v>
      </c>
      <c r="G9" s="2332">
        <f>'2D'!L18</f>
        <v>0</v>
      </c>
      <c r="H9" s="2331">
        <f>'2D'!M18</f>
        <v>0</v>
      </c>
      <c r="I9" s="2326">
        <f>'2D'!G18</f>
        <v>0</v>
      </c>
      <c r="J9" s="2327">
        <f>'2D'!H18</f>
        <v>0</v>
      </c>
      <c r="K9" s="395">
        <f xml:space="preserve"> I9 + J9</f>
        <v>0</v>
      </c>
      <c r="L9" s="2328">
        <f>'2D'!I18</f>
        <v>0</v>
      </c>
      <c r="M9" s="2329">
        <f>'2D'!J18</f>
        <v>0</v>
      </c>
      <c r="N9" s="720">
        <f t="shared" si="2"/>
        <v>0</v>
      </c>
      <c r="O9" s="2330">
        <f>'2D'!K18</f>
        <v>0</v>
      </c>
      <c r="P9" s="395">
        <f t="shared" si="3"/>
        <v>0</v>
      </c>
      <c r="R9" s="680">
        <f xml:space="preserve"> IF( SUM( AF9:AL9 ) = 0, 0, AO9 )</f>
        <v>0</v>
      </c>
      <c r="S9" s="24">
        <f t="shared" ref="S9:S10" si="4" xml:space="preserve"> IF( SUM( U9:AF9 ) = 0, 0, $V$5 )</f>
        <v>0</v>
      </c>
      <c r="V9" s="132"/>
      <c r="W9" s="132"/>
      <c r="X9" s="132"/>
      <c r="Y9" s="132"/>
      <c r="Z9" s="132"/>
      <c r="AA9" s="132"/>
      <c r="AB9" s="132"/>
      <c r="AC9" s="132"/>
      <c r="AD9" s="132"/>
      <c r="AG9" s="98">
        <f xml:space="preserve"> IF( (AM9 - AN9) = 0, 0, 1 )</f>
        <v>0</v>
      </c>
      <c r="AM9" s="172">
        <f xml:space="preserve"> ROUND( P9, 3)</f>
        <v>0</v>
      </c>
      <c r="AN9" s="231">
        <f xml:space="preserve"> ROUND( '2D'!N18, 3)</f>
        <v>0</v>
      </c>
      <c r="AO9" s="796" t="s">
        <v>12222</v>
      </c>
      <c r="AP9" s="172"/>
      <c r="AQ9" s="231"/>
      <c r="AR9" s="1432"/>
      <c r="AS9" s="172"/>
      <c r="AT9" s="231"/>
      <c r="AU9" s="1432"/>
      <c r="AV9" s="172"/>
      <c r="AW9" s="231"/>
      <c r="AX9" s="1432"/>
      <c r="AY9" s="1432"/>
      <c r="AZ9" s="1432"/>
      <c r="BA9" s="1432"/>
      <c r="BG9" s="299" t="s">
        <v>5048</v>
      </c>
      <c r="BH9" s="30" t="s">
        <v>3183</v>
      </c>
      <c r="BI9" s="30"/>
      <c r="BJ9" s="312" t="s">
        <v>750</v>
      </c>
      <c r="BK9" s="287">
        <v>3</v>
      </c>
      <c r="BL9" s="787" t="str">
        <f>'2D'!BK18</f>
        <v>BM4046H</v>
      </c>
      <c r="BM9" s="788" t="str">
        <f>'2D'!BL18</f>
        <v>BM4046NH</v>
      </c>
      <c r="BN9" s="789" t="str">
        <f>'2D'!BF18</f>
        <v>BM4046WR</v>
      </c>
      <c r="BO9" s="790" t="str">
        <f>'2D'!BG18</f>
        <v>BM4046WN</v>
      </c>
      <c r="BP9" s="395" t="s">
        <v>7086</v>
      </c>
      <c r="BQ9" s="791" t="str">
        <f>'2D'!BH18</f>
        <v>BM4046WNK</v>
      </c>
      <c r="BR9" s="768" t="str">
        <f>'2D'!BI18</f>
        <v>BM4046SG</v>
      </c>
      <c r="BS9" s="720" t="s">
        <v>7087</v>
      </c>
      <c r="BT9" s="720" t="s">
        <v>12284</v>
      </c>
      <c r="BU9" s="395" t="s">
        <v>7088</v>
      </c>
    </row>
    <row r="10" spans="2:73" ht="14.25" customHeight="1">
      <c r="B10" s="299" t="s">
        <v>5049</v>
      </c>
      <c r="C10" s="30" t="s">
        <v>3604</v>
      </c>
      <c r="D10" s="30"/>
      <c r="E10" s="312" t="s">
        <v>750</v>
      </c>
      <c r="F10" s="287">
        <v>3</v>
      </c>
      <c r="G10" s="469"/>
      <c r="H10" s="465"/>
      <c r="I10" s="684"/>
      <c r="J10" s="511"/>
      <c r="K10" s="395">
        <f t="shared" si="1"/>
        <v>0</v>
      </c>
      <c r="L10" s="702"/>
      <c r="M10" s="703"/>
      <c r="N10" s="720">
        <f t="shared" si="2"/>
        <v>0</v>
      </c>
      <c r="O10" s="2115"/>
      <c r="P10" s="395">
        <f t="shared" si="3"/>
        <v>0</v>
      </c>
      <c r="R10" s="131"/>
      <c r="S10" s="24" t="str">
        <f t="shared" si="4"/>
        <v>Please complete all cells in row</v>
      </c>
      <c r="V10" s="98">
        <f t="shared" ref="V10" si="5" xml:space="preserve"> IF( ISNUMBER( G10 ), 0, 1 )</f>
        <v>1</v>
      </c>
      <c r="W10" s="98">
        <f t="shared" ref="W10" si="6" xml:space="preserve"> IF( ISNUMBER( H10 ), 0, 1 )</f>
        <v>1</v>
      </c>
      <c r="X10" s="98">
        <f t="shared" ref="X10:X11" si="7" xml:space="preserve"> IF( ISNUMBER( I10 ), 0, 1 )</f>
        <v>1</v>
      </c>
      <c r="Y10" s="98">
        <f t="shared" ref="Y10:Y11" si="8" xml:space="preserve"> IF( ISNUMBER( J10 ), 0, 1 )</f>
        <v>1</v>
      </c>
      <c r="Z10" s="132"/>
      <c r="AA10" s="98">
        <f xml:space="preserve"> IF( Validation!$H$3 = 1, 0, ( IF( ISNUMBER( L10 ), 0, 1 )))</f>
        <v>1</v>
      </c>
      <c r="AB10" s="98">
        <f xml:space="preserve"> IF( Validation!$H$3 = 1, 0, ( IF( ISNUMBER( M10 ), 0, 1 )))</f>
        <v>1</v>
      </c>
      <c r="AC10" s="132"/>
      <c r="AD10" s="98">
        <f>IF( Validation!$H$3 = 1, 0, IF(Validation!$B$3 &lt;&gt; "Thames Water",0, (IF(ISNUMBER(O10),0,1))))</f>
        <v>0</v>
      </c>
      <c r="AG10" s="132"/>
      <c r="AM10" s="172"/>
      <c r="AN10" s="172"/>
      <c r="AO10" s="796"/>
      <c r="AP10" s="172"/>
      <c r="AQ10" s="172"/>
      <c r="AR10" s="1432"/>
      <c r="AS10" s="172"/>
      <c r="AT10" s="172"/>
      <c r="AU10" s="1432"/>
      <c r="AV10" s="172"/>
      <c r="AW10" s="172"/>
      <c r="AX10" s="1432"/>
      <c r="AY10" s="1432"/>
      <c r="AZ10" s="1432"/>
      <c r="BA10" s="1432"/>
      <c r="BG10" s="299" t="s">
        <v>5049</v>
      </c>
      <c r="BH10" s="30" t="s">
        <v>3604</v>
      </c>
      <c r="BI10" s="30"/>
      <c r="BJ10" s="312" t="s">
        <v>750</v>
      </c>
      <c r="BK10" s="287">
        <v>3</v>
      </c>
      <c r="BL10" s="2787" t="s">
        <v>7089</v>
      </c>
      <c r="BM10" s="2788" t="s">
        <v>7090</v>
      </c>
      <c r="BN10" s="2790" t="s">
        <v>7091</v>
      </c>
      <c r="BO10" s="2791" t="s">
        <v>7092</v>
      </c>
      <c r="BP10" s="395" t="s">
        <v>7093</v>
      </c>
      <c r="BQ10" s="2792" t="s">
        <v>7099</v>
      </c>
      <c r="BR10" s="2793" t="s">
        <v>7100</v>
      </c>
      <c r="BS10" s="720" t="s">
        <v>7101</v>
      </c>
      <c r="BT10" s="2066" t="s">
        <v>12285</v>
      </c>
      <c r="BU10" s="395" t="s">
        <v>7104</v>
      </c>
    </row>
    <row r="11" spans="2:73" ht="14.25" customHeight="1" thickBot="1">
      <c r="B11" s="299" t="s">
        <v>5050</v>
      </c>
      <c r="C11" s="30" t="s">
        <v>2408</v>
      </c>
      <c r="D11" s="30"/>
      <c r="E11" s="312" t="s">
        <v>750</v>
      </c>
      <c r="F11" s="287">
        <v>3</v>
      </c>
      <c r="G11" s="469"/>
      <c r="H11" s="465"/>
      <c r="I11" s="685"/>
      <c r="J11" s="466"/>
      <c r="K11" s="395">
        <f t="shared" si="1"/>
        <v>0</v>
      </c>
      <c r="L11" s="712"/>
      <c r="M11" s="713"/>
      <c r="N11" s="720">
        <f t="shared" si="2"/>
        <v>0</v>
      </c>
      <c r="O11" s="2115"/>
      <c r="P11" s="395">
        <f t="shared" si="3"/>
        <v>0</v>
      </c>
      <c r="R11" s="66">
        <f xml:space="preserve"> IF( SUM( AF11:AL11 ) = 0, 0, AO11 )</f>
        <v>0</v>
      </c>
      <c r="S11" s="24" t="str">
        <f t="shared" si="0"/>
        <v>Please complete all cells in row</v>
      </c>
      <c r="V11" s="98">
        <f xml:space="preserve"> IF( ISNUMBER( G11 ), 0, 1 )</f>
        <v>1</v>
      </c>
      <c r="W11" s="98">
        <f xml:space="preserve"> IF( ISNUMBER( H11 ), 0, 1 )</f>
        <v>1</v>
      </c>
      <c r="X11" s="98">
        <f t="shared" si="7"/>
        <v>1</v>
      </c>
      <c r="Y11" s="98">
        <f t="shared" si="8"/>
        <v>1</v>
      </c>
      <c r="Z11" s="132"/>
      <c r="AA11" s="98">
        <f xml:space="preserve"> IF( Validation!$H$3 = 1, 0, ( IF( ISNUMBER( L11 ), 0, 1 )))</f>
        <v>1</v>
      </c>
      <c r="AB11" s="98">
        <f xml:space="preserve"> IF( Validation!$H$3 = 1, 0, ( IF( ISNUMBER( M11 ), 0, 1 )))</f>
        <v>1</v>
      </c>
      <c r="AC11" s="132"/>
      <c r="AD11" s="98">
        <f>IF( Validation!$H$3 = 1, 0, IF(Validation!$B$3 &lt;&gt; "Thames Water",0, (IF(ISNUMBER(O11),0,1))))</f>
        <v>0</v>
      </c>
      <c r="AG11" s="98">
        <f xml:space="preserve"> IF( (AM11 - AN11) = 0, 0, 1 )</f>
        <v>0</v>
      </c>
      <c r="AM11" s="172">
        <f xml:space="preserve"> ROUND( P11, 3)</f>
        <v>0</v>
      </c>
      <c r="AN11" s="172">
        <f xml:space="preserve"> ROUND( '1A'!K8, 3 )</f>
        <v>0</v>
      </c>
      <c r="AO11" s="796" t="s">
        <v>12223</v>
      </c>
      <c r="AP11" s="172"/>
      <c r="AQ11" s="172"/>
      <c r="AR11" s="1432"/>
      <c r="AS11" s="172"/>
      <c r="AT11" s="172"/>
      <c r="AU11" s="1432"/>
      <c r="AV11" s="172"/>
      <c r="AW11" s="172"/>
      <c r="AX11" s="1432"/>
      <c r="AY11" s="1432"/>
      <c r="AZ11" s="1432"/>
      <c r="BA11" s="1432"/>
      <c r="BG11" s="299" t="s">
        <v>5050</v>
      </c>
      <c r="BH11" s="30" t="s">
        <v>2408</v>
      </c>
      <c r="BI11" s="30"/>
      <c r="BJ11" s="312" t="s">
        <v>750</v>
      </c>
      <c r="BK11" s="287">
        <v>3</v>
      </c>
      <c r="BL11" s="2787" t="s">
        <v>7094</v>
      </c>
      <c r="BM11" s="2788" t="s">
        <v>7095</v>
      </c>
      <c r="BN11" s="2794" t="s">
        <v>7096</v>
      </c>
      <c r="BO11" s="2795" t="s">
        <v>7097</v>
      </c>
      <c r="BP11" s="395" t="s">
        <v>7098</v>
      </c>
      <c r="BQ11" s="2796" t="s">
        <v>7102</v>
      </c>
      <c r="BR11" s="2797" t="s">
        <v>7103</v>
      </c>
      <c r="BS11" s="199" t="s">
        <v>12512</v>
      </c>
      <c r="BT11" s="2066" t="s">
        <v>12286</v>
      </c>
      <c r="BU11" s="395" t="s">
        <v>7105</v>
      </c>
    </row>
    <row r="12" spans="2:73" ht="14.25" customHeight="1" thickBot="1">
      <c r="B12" s="300" t="s">
        <v>5051</v>
      </c>
      <c r="C12" s="31" t="s">
        <v>2583</v>
      </c>
      <c r="D12" s="31"/>
      <c r="E12" s="291" t="s">
        <v>750</v>
      </c>
      <c r="F12" s="292">
        <v>3</v>
      </c>
      <c r="G12" s="405">
        <f>SUM(G6:G11)</f>
        <v>0</v>
      </c>
      <c r="H12" s="349">
        <f>SUM(H6:H11)</f>
        <v>0</v>
      </c>
      <c r="K12" s="358">
        <f>SUM(K6:K11)</f>
        <v>0</v>
      </c>
      <c r="N12" s="721">
        <f>SUM(N6:N11)</f>
        <v>0</v>
      </c>
      <c r="O12" s="721">
        <f>SUM(O6:O11)</f>
        <v>0</v>
      </c>
      <c r="P12" s="358">
        <f t="shared" si="3"/>
        <v>0</v>
      </c>
      <c r="R12" s="131"/>
      <c r="S12" s="131"/>
      <c r="Z12" s="200"/>
      <c r="AC12" s="200"/>
      <c r="BG12" s="300" t="s">
        <v>5051</v>
      </c>
      <c r="BH12" s="31" t="s">
        <v>2583</v>
      </c>
      <c r="BI12" s="31"/>
      <c r="BJ12" s="291" t="s">
        <v>750</v>
      </c>
      <c r="BK12" s="292">
        <v>3</v>
      </c>
      <c r="BL12" s="405" t="s">
        <v>7106</v>
      </c>
      <c r="BM12" s="349" t="s">
        <v>7107</v>
      </c>
      <c r="BP12" s="358" t="s">
        <v>7108</v>
      </c>
      <c r="BS12" s="721" t="s">
        <v>7109</v>
      </c>
      <c r="BT12" s="721" t="s">
        <v>12287</v>
      </c>
      <c r="BU12" s="358" t="s">
        <v>7110</v>
      </c>
    </row>
    <row r="13" spans="2:73" s="115" customFormat="1" ht="15" thickBot="1">
      <c r="C13" s="157"/>
      <c r="D13" s="157"/>
      <c r="H13" s="170"/>
      <c r="N13" s="123"/>
      <c r="O13" s="123"/>
      <c r="P13" s="123"/>
      <c r="Q13" s="123"/>
      <c r="R13" s="131"/>
      <c r="S13" s="125"/>
      <c r="T13" s="71"/>
      <c r="U13" s="72"/>
      <c r="V13" s="71"/>
      <c r="W13" s="71"/>
      <c r="X13" s="71"/>
      <c r="Y13" s="71"/>
      <c r="Z13" s="71"/>
      <c r="AA13" s="71"/>
      <c r="AB13" s="71"/>
      <c r="AC13" s="71"/>
      <c r="AD13" s="71"/>
      <c r="AE13" s="71"/>
      <c r="AF13" s="72"/>
      <c r="AL13" s="72"/>
      <c r="BB13" s="72"/>
      <c r="BH13" s="157"/>
      <c r="BI13" s="157"/>
      <c r="BM13" s="170"/>
      <c r="BS13" s="123"/>
      <c r="BT13" s="123"/>
      <c r="BU13" s="123"/>
    </row>
    <row r="14" spans="2:73" ht="14.25" customHeight="1" thickBot="1">
      <c r="B14" s="87" t="s">
        <v>2449</v>
      </c>
      <c r="C14" s="88" t="s">
        <v>3786</v>
      </c>
      <c r="D14" s="1584"/>
      <c r="E14" s="115"/>
      <c r="F14" s="115"/>
      <c r="G14" s="115"/>
      <c r="H14" s="115"/>
      <c r="I14" s="115"/>
      <c r="J14" s="115"/>
      <c r="K14" s="115"/>
      <c r="L14" s="115"/>
      <c r="M14" s="115"/>
      <c r="N14" s="115"/>
      <c r="O14" s="115"/>
      <c r="P14" s="115"/>
      <c r="Q14" s="115"/>
      <c r="R14" s="131"/>
      <c r="S14" s="131"/>
      <c r="Z14" s="200"/>
      <c r="AC14" s="200"/>
      <c r="BG14" s="87" t="s">
        <v>2449</v>
      </c>
      <c r="BH14" s="88" t="s">
        <v>3786</v>
      </c>
      <c r="BI14" s="1584"/>
      <c r="BJ14" s="115"/>
      <c r="BK14" s="115"/>
      <c r="BL14" s="115"/>
      <c r="BM14" s="115"/>
      <c r="BN14" s="115"/>
      <c r="BO14" s="115"/>
      <c r="BP14" s="115"/>
      <c r="BQ14" s="115"/>
      <c r="BR14" s="115"/>
      <c r="BS14" s="115"/>
      <c r="BT14" s="115"/>
      <c r="BU14" s="115"/>
    </row>
    <row r="15" spans="2:73" ht="14.25" customHeight="1">
      <c r="B15" s="299" t="s">
        <v>5052</v>
      </c>
      <c r="C15" s="30" t="s">
        <v>2584</v>
      </c>
      <c r="D15" s="1603"/>
      <c r="E15" s="311" t="s">
        <v>750</v>
      </c>
      <c r="F15" s="283">
        <v>3</v>
      </c>
      <c r="G15" s="468"/>
      <c r="H15" s="464"/>
      <c r="I15" s="622"/>
      <c r="J15" s="464"/>
      <c r="K15" s="394">
        <f xml:space="preserve"> I15 + J15</f>
        <v>0</v>
      </c>
      <c r="L15" s="467"/>
      <c r="M15" s="707"/>
      <c r="N15" s="792">
        <f t="shared" si="2"/>
        <v>0</v>
      </c>
      <c r="O15" s="2116"/>
      <c r="P15" s="394">
        <f xml:space="preserve"> G15 + H15 + K15 + N15 + O15</f>
        <v>0</v>
      </c>
      <c r="R15" s="131"/>
      <c r="S15" s="24" t="str">
        <f t="shared" si="0"/>
        <v>Please complete all cells in row</v>
      </c>
      <c r="V15" s="98">
        <f t="shared" ref="V15:Y16" si="9" xml:space="preserve"> IF( ISNUMBER( G15 ), 0, 1 )</f>
        <v>1</v>
      </c>
      <c r="W15" s="98">
        <f t="shared" si="9"/>
        <v>1</v>
      </c>
      <c r="X15" s="98">
        <f t="shared" si="9"/>
        <v>1</v>
      </c>
      <c r="Y15" s="98">
        <f t="shared" si="9"/>
        <v>1</v>
      </c>
      <c r="Z15" s="132"/>
      <c r="AA15" s="98">
        <f xml:space="preserve"> IF( Validation!$H$3 = 1, 0, ( IF( ISNUMBER( L15 ), 0, 1 )))</f>
        <v>1</v>
      </c>
      <c r="AB15" s="98">
        <f xml:space="preserve"> IF( Validation!$H$3 = 1, 0, ( IF( ISNUMBER( M15 ), 0, 1 )))</f>
        <v>1</v>
      </c>
      <c r="AC15" s="132"/>
      <c r="AD15" s="98">
        <f>IF( Validation!$H$3 = 1, 0, IF(Validation!$B$3 &lt;&gt; "Thames Water",0, (IF(ISNUMBER(O15),0,1))))</f>
        <v>0</v>
      </c>
      <c r="BG15" s="299" t="s">
        <v>5052</v>
      </c>
      <c r="BH15" s="30" t="s">
        <v>2584</v>
      </c>
      <c r="BI15" s="1603"/>
      <c r="BJ15" s="311" t="s">
        <v>750</v>
      </c>
      <c r="BK15" s="283">
        <v>3</v>
      </c>
      <c r="BL15" s="2784" t="s">
        <v>7111</v>
      </c>
      <c r="BM15" s="2785" t="s">
        <v>7112</v>
      </c>
      <c r="BN15" s="2798" t="s">
        <v>7113</v>
      </c>
      <c r="BO15" s="2785" t="s">
        <v>7114</v>
      </c>
      <c r="BP15" s="394" t="s">
        <v>7115</v>
      </c>
      <c r="BQ15" s="2799" t="s">
        <v>7116</v>
      </c>
      <c r="BR15" s="2073" t="s">
        <v>7117</v>
      </c>
      <c r="BS15" s="792" t="s">
        <v>7118</v>
      </c>
      <c r="BT15" s="2067" t="s">
        <v>12288</v>
      </c>
      <c r="BU15" s="394" t="s">
        <v>7127</v>
      </c>
    </row>
    <row r="16" spans="2:73" ht="14.25" customHeight="1" thickBot="1">
      <c r="B16" s="300" t="s">
        <v>5053</v>
      </c>
      <c r="C16" s="31" t="s">
        <v>2585</v>
      </c>
      <c r="D16" s="31"/>
      <c r="E16" s="291" t="s">
        <v>750</v>
      </c>
      <c r="F16" s="292">
        <v>3</v>
      </c>
      <c r="G16" s="795"/>
      <c r="H16" s="466"/>
      <c r="I16" s="621"/>
      <c r="J16" s="466"/>
      <c r="K16" s="358">
        <f xml:space="preserve"> I16 + J16</f>
        <v>0</v>
      </c>
      <c r="L16" s="712"/>
      <c r="M16" s="713"/>
      <c r="N16" s="721">
        <f t="shared" ref="N16" si="10" xml:space="preserve"> L16 + M16</f>
        <v>0</v>
      </c>
      <c r="O16" s="2117"/>
      <c r="P16" s="358">
        <f xml:space="preserve"> G16 + H16 + K16 + N16 + O16</f>
        <v>0</v>
      </c>
      <c r="R16" s="131"/>
      <c r="S16" s="24" t="str">
        <f t="shared" si="0"/>
        <v>Please complete all cells in row</v>
      </c>
      <c r="V16" s="98">
        <f t="shared" si="9"/>
        <v>1</v>
      </c>
      <c r="W16" s="98">
        <f t="shared" si="9"/>
        <v>1</v>
      </c>
      <c r="X16" s="98">
        <f t="shared" si="9"/>
        <v>1</v>
      </c>
      <c r="Y16" s="98">
        <f t="shared" si="9"/>
        <v>1</v>
      </c>
      <c r="Z16" s="132"/>
      <c r="AA16" s="98">
        <f xml:space="preserve"> IF( Validation!$H$3 = 1, 0, ( IF( ISNUMBER( L16 ), 0, 1 )))</f>
        <v>1</v>
      </c>
      <c r="AB16" s="98">
        <f xml:space="preserve"> IF( Validation!$H$3 = 1, 0, ( IF( ISNUMBER( M16 ), 0, 1 )))</f>
        <v>1</v>
      </c>
      <c r="AC16" s="132"/>
      <c r="AD16" s="98">
        <f>IF( Validation!$H$3 = 1, 0, IF(Validation!$B$3 &lt;&gt; "Thames Water",0, (IF(ISNUMBER(O16),0,1))))</f>
        <v>0</v>
      </c>
      <c r="BG16" s="300" t="s">
        <v>5053</v>
      </c>
      <c r="BH16" s="31" t="s">
        <v>2585</v>
      </c>
      <c r="BI16" s="31"/>
      <c r="BJ16" s="291" t="s">
        <v>750</v>
      </c>
      <c r="BK16" s="292">
        <v>3</v>
      </c>
      <c r="BL16" s="2800" t="s">
        <v>7119</v>
      </c>
      <c r="BM16" s="2795" t="s">
        <v>7120</v>
      </c>
      <c r="BN16" s="2801" t="s">
        <v>7121</v>
      </c>
      <c r="BO16" s="2795" t="s">
        <v>7122</v>
      </c>
      <c r="BP16" s="358" t="s">
        <v>7123</v>
      </c>
      <c r="BQ16" s="2796" t="s">
        <v>7124</v>
      </c>
      <c r="BR16" s="2797" t="s">
        <v>7125</v>
      </c>
      <c r="BS16" s="721" t="s">
        <v>7126</v>
      </c>
      <c r="BT16" s="2068" t="s">
        <v>12289</v>
      </c>
      <c r="BU16" s="358" t="s">
        <v>7128</v>
      </c>
    </row>
    <row r="17" spans="1:73" s="115" customFormat="1" ht="15" thickBot="1">
      <c r="C17" s="157"/>
      <c r="D17" s="157"/>
      <c r="H17" s="170"/>
      <c r="N17" s="123"/>
      <c r="O17" s="123"/>
      <c r="P17" s="123"/>
      <c r="Q17" s="123"/>
      <c r="R17" s="131"/>
      <c r="S17" s="125"/>
      <c r="T17" s="71"/>
      <c r="U17" s="72"/>
      <c r="V17" s="71"/>
      <c r="W17" s="71"/>
      <c r="X17" s="71"/>
      <c r="Y17" s="71"/>
      <c r="Z17" s="71"/>
      <c r="AA17" s="71"/>
      <c r="AB17" s="71"/>
      <c r="AC17" s="71"/>
      <c r="AD17" s="71"/>
      <c r="AE17" s="71"/>
      <c r="AF17" s="72"/>
      <c r="AL17" s="72"/>
      <c r="BB17" s="72"/>
      <c r="BH17" s="157"/>
      <c r="BI17" s="157"/>
      <c r="BM17" s="170"/>
      <c r="BS17" s="123"/>
      <c r="BT17" s="123"/>
      <c r="BU17" s="123"/>
    </row>
    <row r="18" spans="1:73" ht="14.25" customHeight="1" thickBot="1">
      <c r="B18" s="352" t="s">
        <v>5054</v>
      </c>
      <c r="C18" s="28" t="s">
        <v>2409</v>
      </c>
      <c r="D18" s="28"/>
      <c r="E18" s="353" t="s">
        <v>750</v>
      </c>
      <c r="F18" s="274">
        <v>3</v>
      </c>
      <c r="G18" s="354">
        <f xml:space="preserve"> G12 + SUM(G15:G16)</f>
        <v>0</v>
      </c>
      <c r="H18" s="356">
        <f xml:space="preserve"> H12 + SUM(H15:H16)</f>
        <v>0</v>
      </c>
      <c r="K18" s="644">
        <f xml:space="preserve"> K12 + SUM(K15:K16)</f>
        <v>0</v>
      </c>
      <c r="N18" s="794">
        <f xml:space="preserve"> N12 + SUM(N15:N16)</f>
        <v>0</v>
      </c>
      <c r="O18" s="794">
        <f xml:space="preserve"> O12 + SUM(O15:O16)</f>
        <v>0</v>
      </c>
      <c r="P18" s="644">
        <f xml:space="preserve"> G18 + H18 + K18 + N18 + O18</f>
        <v>0</v>
      </c>
      <c r="R18" s="131"/>
      <c r="S18" s="131"/>
      <c r="BG18" s="352" t="s">
        <v>5054</v>
      </c>
      <c r="BH18" s="28" t="s">
        <v>2409</v>
      </c>
      <c r="BI18" s="28"/>
      <c r="BJ18" s="353" t="s">
        <v>750</v>
      </c>
      <c r="BK18" s="274">
        <v>3</v>
      </c>
      <c r="BL18" s="354" t="s">
        <v>7129</v>
      </c>
      <c r="BM18" s="356" t="s">
        <v>7130</v>
      </c>
      <c r="BP18" s="644" t="s">
        <v>7131</v>
      </c>
      <c r="BS18" s="794" t="s">
        <v>7132</v>
      </c>
      <c r="BT18" s="794" t="s">
        <v>12290</v>
      </c>
      <c r="BU18" s="644" t="s">
        <v>7133</v>
      </c>
    </row>
    <row r="19" spans="1:73" s="115" customFormat="1" ht="15" thickBot="1">
      <c r="C19" s="157"/>
      <c r="D19" s="157"/>
      <c r="H19" s="170"/>
      <c r="N19" s="123"/>
      <c r="O19" s="123"/>
      <c r="P19" s="123"/>
      <c r="Q19" s="123"/>
      <c r="R19" s="131"/>
      <c r="S19" s="125"/>
      <c r="T19" s="71"/>
      <c r="U19" s="72"/>
      <c r="V19" s="71"/>
      <c r="W19" s="71"/>
      <c r="X19" s="71"/>
      <c r="Y19" s="71"/>
      <c r="Z19" s="71"/>
      <c r="AA19" s="71"/>
      <c r="AB19" s="71"/>
      <c r="AC19" s="71"/>
      <c r="AD19" s="71"/>
      <c r="AE19" s="71"/>
      <c r="AF19" s="72"/>
      <c r="AL19" s="72"/>
      <c r="BB19" s="72"/>
      <c r="BH19" s="157"/>
      <c r="BI19" s="157"/>
      <c r="BM19" s="170"/>
      <c r="BS19" s="123"/>
      <c r="BT19" s="123"/>
      <c r="BU19" s="123"/>
    </row>
    <row r="20" spans="1:73" ht="14.25" customHeight="1" thickBot="1">
      <c r="B20" s="352" t="s">
        <v>5055</v>
      </c>
      <c r="C20" s="28" t="s">
        <v>2586</v>
      </c>
      <c r="D20" s="28"/>
      <c r="E20" s="353" t="s">
        <v>750</v>
      </c>
      <c r="F20" s="274">
        <v>3</v>
      </c>
      <c r="G20" s="406"/>
      <c r="H20" s="406"/>
      <c r="I20" s="406"/>
      <c r="J20" s="406"/>
      <c r="K20" s="406"/>
      <c r="L20" s="406"/>
      <c r="M20" s="406"/>
      <c r="N20" s="406"/>
      <c r="O20" s="406"/>
      <c r="P20" s="793"/>
      <c r="R20" s="131"/>
      <c r="S20" s="24" t="str">
        <f t="shared" si="0"/>
        <v>Please complete all cells in row</v>
      </c>
      <c r="AE20" s="98">
        <f t="shared" ref="AE20" si="11" xml:space="preserve"> IF( ISNUMBER( P20 ), 0, 1 )</f>
        <v>1</v>
      </c>
      <c r="BG20" s="352" t="s">
        <v>5055</v>
      </c>
      <c r="BH20" s="28" t="s">
        <v>2586</v>
      </c>
      <c r="BI20" s="28"/>
      <c r="BJ20" s="353" t="s">
        <v>750</v>
      </c>
      <c r="BK20" s="274">
        <v>3</v>
      </c>
      <c r="BL20" s="406"/>
      <c r="BM20" s="406"/>
      <c r="BN20" s="406"/>
      <c r="BO20" s="406"/>
      <c r="BP20" s="406"/>
      <c r="BQ20" s="406"/>
      <c r="BR20" s="406"/>
      <c r="BS20" s="406"/>
      <c r="BT20" s="406"/>
      <c r="BU20" s="2802" t="s">
        <v>7134</v>
      </c>
    </row>
    <row r="21" spans="1:73" s="115" customFormat="1">
      <c r="C21" s="157"/>
      <c r="D21" s="157"/>
      <c r="H21" s="170"/>
      <c r="N21" s="123"/>
      <c r="O21" s="123"/>
      <c r="P21" s="123"/>
      <c r="Q21" s="123"/>
      <c r="R21" s="131"/>
      <c r="S21" s="125"/>
      <c r="T21" s="71"/>
      <c r="U21" s="72"/>
      <c r="V21" s="71"/>
      <c r="W21" s="71"/>
      <c r="X21" s="71"/>
      <c r="Y21" s="71"/>
      <c r="Z21" s="71"/>
      <c r="AA21" s="71"/>
      <c r="AB21" s="71"/>
      <c r="AC21" s="71"/>
      <c r="AD21" s="71"/>
      <c r="AE21" s="71"/>
      <c r="AF21" s="72"/>
      <c r="AL21" s="72"/>
      <c r="BB21" s="72"/>
      <c r="BH21" s="157"/>
      <c r="BI21" s="157"/>
      <c r="BM21" s="170"/>
      <c r="BS21" s="123"/>
      <c r="BT21" s="123"/>
      <c r="BU21" s="123"/>
    </row>
    <row r="22" spans="1:73" s="170" customFormat="1">
      <c r="B22" s="3220" t="s">
        <v>2420</v>
      </c>
      <c r="C22" s="3220"/>
      <c r="D22" s="1449"/>
      <c r="N22" s="131"/>
      <c r="O22" s="131"/>
      <c r="P22" s="131"/>
      <c r="Q22" s="131"/>
      <c r="R22" s="131"/>
      <c r="S22" s="131"/>
      <c r="T22" s="71"/>
      <c r="U22" s="72"/>
      <c r="V22" s="71"/>
      <c r="W22" s="71"/>
      <c r="X22" s="71"/>
      <c r="Y22" s="71"/>
      <c r="Z22" s="71"/>
      <c r="AA22" s="71"/>
      <c r="AB22" s="71"/>
      <c r="AC22" s="71"/>
      <c r="AD22" s="71"/>
      <c r="AE22" s="71"/>
      <c r="AF22" s="72"/>
      <c r="AL22" s="72"/>
      <c r="BB22" s="72"/>
    </row>
    <row r="23" spans="1:73" s="170" customFormat="1">
      <c r="B23" s="146"/>
      <c r="C23" s="147"/>
      <c r="D23" s="147"/>
      <c r="N23" s="131"/>
      <c r="O23" s="131"/>
      <c r="P23" s="131"/>
      <c r="Q23" s="131"/>
      <c r="R23" s="131"/>
      <c r="S23" s="131"/>
      <c r="T23" s="71"/>
      <c r="U23" s="72"/>
      <c r="V23" s="71"/>
      <c r="W23" s="71"/>
      <c r="X23" s="71"/>
      <c r="Y23" s="71"/>
      <c r="Z23" s="71"/>
      <c r="AA23" s="71"/>
      <c r="AB23" s="71"/>
      <c r="AC23" s="71"/>
      <c r="AD23" s="71"/>
      <c r="AE23" s="71"/>
      <c r="AF23" s="72"/>
      <c r="AL23" s="72"/>
      <c r="BB23" s="72"/>
    </row>
    <row r="24" spans="1:73" s="170" customFormat="1">
      <c r="B24" s="25"/>
      <c r="C24" s="148" t="s">
        <v>2421</v>
      </c>
      <c r="D24" s="148"/>
      <c r="N24" s="131"/>
      <c r="O24" s="131"/>
      <c r="P24" s="131"/>
      <c r="Q24" s="131"/>
      <c r="R24" s="131"/>
      <c r="S24" s="131"/>
      <c r="T24" s="71"/>
      <c r="U24" s="72"/>
      <c r="V24" s="71"/>
      <c r="W24" s="71"/>
      <c r="X24" s="71"/>
      <c r="Y24" s="71"/>
      <c r="Z24" s="71"/>
      <c r="AA24" s="71"/>
      <c r="AB24" s="71"/>
      <c r="AC24" s="71"/>
      <c r="AD24" s="71"/>
      <c r="AE24" s="71"/>
      <c r="AF24" s="72"/>
      <c r="AL24" s="72"/>
      <c r="BB24" s="72"/>
    </row>
    <row r="25" spans="1:73" s="170" customFormat="1">
      <c r="B25" s="146"/>
      <c r="C25" s="147"/>
      <c r="D25" s="147"/>
      <c r="N25" s="131"/>
      <c r="O25" s="131"/>
      <c r="P25" s="131"/>
      <c r="Q25" s="131"/>
      <c r="R25" s="131"/>
      <c r="S25" s="131"/>
      <c r="T25" s="71"/>
      <c r="U25" s="72"/>
      <c r="V25" s="71"/>
      <c r="W25" s="71"/>
      <c r="X25" s="71"/>
      <c r="Y25" s="71"/>
      <c r="Z25" s="71"/>
      <c r="AA25" s="71"/>
      <c r="AB25" s="71"/>
      <c r="AC25" s="71"/>
      <c r="AD25" s="71"/>
      <c r="AE25" s="71"/>
      <c r="AF25" s="72"/>
      <c r="AL25" s="72"/>
      <c r="BB25" s="72"/>
    </row>
    <row r="26" spans="1:73" s="170" customFormat="1">
      <c r="B26" s="149"/>
      <c r="C26" s="148" t="s">
        <v>2422</v>
      </c>
      <c r="D26" s="148"/>
      <c r="N26" s="131"/>
      <c r="O26" s="131"/>
      <c r="P26" s="131"/>
      <c r="Q26" s="131"/>
      <c r="R26" s="131"/>
      <c r="S26" s="131"/>
      <c r="T26" s="71"/>
      <c r="U26" s="72"/>
      <c r="V26" s="71"/>
      <c r="W26" s="71"/>
      <c r="X26" s="71"/>
      <c r="Y26" s="71"/>
      <c r="Z26" s="71"/>
      <c r="AA26" s="71"/>
      <c r="AB26" s="71"/>
      <c r="AC26" s="71"/>
      <c r="AD26" s="71"/>
      <c r="AE26" s="71"/>
      <c r="AF26" s="72"/>
      <c r="AL26" s="72"/>
      <c r="BB26" s="72"/>
    </row>
    <row r="27" spans="1:73" s="170" customFormat="1">
      <c r="B27" s="148"/>
      <c r="C27" s="148"/>
      <c r="D27" s="148"/>
      <c r="N27" s="131"/>
      <c r="O27" s="131"/>
      <c r="P27" s="131"/>
      <c r="Q27" s="131"/>
      <c r="R27" s="131"/>
      <c r="S27" s="131"/>
      <c r="T27" s="71"/>
      <c r="U27" s="72"/>
      <c r="V27" s="71"/>
      <c r="W27" s="71"/>
      <c r="X27" s="71"/>
      <c r="Y27" s="71"/>
      <c r="Z27" s="71"/>
      <c r="AA27" s="71"/>
      <c r="AB27" s="71"/>
      <c r="AC27" s="71"/>
      <c r="AD27" s="71"/>
      <c r="AE27" s="71"/>
      <c r="AF27" s="72"/>
      <c r="AL27" s="72"/>
      <c r="BB27" s="72"/>
    </row>
    <row r="28" spans="1:73" s="170" customFormat="1">
      <c r="B28" s="2527"/>
      <c r="C28" s="186" t="s">
        <v>13522</v>
      </c>
      <c r="D28" s="148"/>
      <c r="N28" s="131"/>
      <c r="O28" s="131"/>
      <c r="P28" s="131"/>
      <c r="Q28" s="131"/>
      <c r="R28" s="131"/>
      <c r="S28" s="131"/>
      <c r="T28" s="71"/>
      <c r="U28" s="72"/>
      <c r="V28" s="71"/>
      <c r="W28" s="71"/>
      <c r="X28" s="71"/>
      <c r="Y28" s="71"/>
      <c r="Z28" s="71"/>
      <c r="AA28" s="71"/>
      <c r="AB28" s="71"/>
      <c r="AC28" s="71"/>
      <c r="AD28" s="71"/>
      <c r="AE28" s="71"/>
      <c r="AF28" s="72"/>
      <c r="AL28" s="72"/>
      <c r="BB28" s="72"/>
    </row>
    <row r="29" spans="1:73" s="185" customFormat="1" ht="13.5" thickBot="1">
      <c r="C29" s="186"/>
      <c r="D29" s="186"/>
      <c r="N29" s="135"/>
      <c r="O29" s="135"/>
      <c r="P29" s="135"/>
      <c r="Q29" s="135"/>
      <c r="R29" s="131"/>
      <c r="S29" s="131"/>
      <c r="T29" s="131"/>
      <c r="U29" s="124"/>
      <c r="V29" s="131"/>
      <c r="W29" s="131"/>
      <c r="X29" s="131"/>
      <c r="Y29" s="131"/>
      <c r="Z29" s="131"/>
      <c r="AA29" s="211"/>
      <c r="AB29" s="211"/>
      <c r="AC29" s="211"/>
      <c r="AD29" s="211"/>
      <c r="AE29" s="170"/>
      <c r="AF29" s="124"/>
      <c r="AL29" s="124"/>
      <c r="BB29" s="124"/>
    </row>
    <row r="30" spans="1:73" s="185" customFormat="1" ht="19.5" thickBot="1">
      <c r="B30" s="1433" t="s">
        <v>12572</v>
      </c>
      <c r="C30" s="152"/>
      <c r="D30" s="152"/>
      <c r="E30" s="153"/>
      <c r="F30" s="153"/>
      <c r="G30" s="153"/>
      <c r="H30" s="153"/>
      <c r="I30" s="153"/>
      <c r="J30" s="153"/>
      <c r="K30" s="153"/>
      <c r="L30" s="153"/>
      <c r="M30" s="153"/>
      <c r="N30" s="153"/>
      <c r="O30" s="153"/>
      <c r="P30" s="159"/>
      <c r="Q30" s="135"/>
      <c r="R30" s="131"/>
      <c r="S30" s="131"/>
      <c r="T30" s="131"/>
      <c r="U30" s="124"/>
      <c r="V30" s="131"/>
      <c r="W30" s="131"/>
      <c r="X30" s="131"/>
      <c r="Y30" s="131"/>
      <c r="Z30" s="131"/>
      <c r="AA30" s="211"/>
      <c r="AB30" s="211"/>
      <c r="AC30" s="211"/>
      <c r="AD30" s="211"/>
      <c r="AE30" s="170"/>
      <c r="AF30" s="124"/>
      <c r="AL30" s="124"/>
      <c r="BB30" s="124"/>
    </row>
    <row r="31" spans="1:73" s="185" customFormat="1" ht="12.75">
      <c r="C31" s="186"/>
      <c r="D31" s="186"/>
      <c r="N31" s="135"/>
      <c r="O31" s="135"/>
      <c r="P31" s="135"/>
      <c r="Q31" s="135"/>
      <c r="R31" s="131"/>
      <c r="S31" s="131"/>
      <c r="T31" s="131"/>
      <c r="U31" s="124"/>
      <c r="V31" s="131"/>
      <c r="W31" s="131"/>
      <c r="X31" s="131"/>
      <c r="Y31" s="131"/>
      <c r="Z31" s="131"/>
      <c r="AA31" s="211"/>
      <c r="AB31" s="211"/>
      <c r="AC31" s="211"/>
      <c r="AD31" s="211"/>
      <c r="AE31" s="170"/>
      <c r="AF31" s="124"/>
      <c r="AL31" s="124"/>
      <c r="BB31" s="124"/>
    </row>
    <row r="32" spans="1:73" s="115" customFormat="1" ht="19.5" hidden="1" thickBot="1">
      <c r="A32" s="1643"/>
      <c r="B32" s="151" t="str">
        <f ca="1" xml:space="preserve"> RIGHT(CELL("filename", $A$1), LEN(CELL("filename", $A$1)) - SEARCH("]", CELL("filename", $A$1)))&amp;" - Line definitions"</f>
        <v>2A - Line definitions</v>
      </c>
      <c r="C32" s="152"/>
      <c r="D32" s="152"/>
      <c r="E32" s="153"/>
      <c r="F32" s="153"/>
      <c r="G32" s="153"/>
      <c r="H32" s="153"/>
      <c r="I32" s="153"/>
      <c r="J32" s="153"/>
      <c r="K32" s="153"/>
      <c r="L32" s="153"/>
      <c r="M32" s="153"/>
      <c r="N32" s="153"/>
      <c r="O32" s="153"/>
      <c r="P32" s="159"/>
      <c r="Q32" s="123"/>
      <c r="R32" s="125"/>
      <c r="S32" s="125"/>
      <c r="T32" s="131"/>
      <c r="U32" s="124"/>
      <c r="V32" s="131"/>
      <c r="W32" s="131"/>
      <c r="X32" s="131"/>
      <c r="Y32" s="131"/>
      <c r="Z32" s="131"/>
      <c r="AA32" s="211"/>
      <c r="AB32" s="211"/>
      <c r="AC32" s="211"/>
      <c r="AD32" s="211"/>
      <c r="AE32" s="170"/>
      <c r="AF32" s="124"/>
      <c r="AL32" s="124"/>
      <c r="BB32" s="124"/>
    </row>
    <row r="33" spans="1:54" s="115" customFormat="1" ht="15" hidden="1" thickBot="1">
      <c r="A33" s="1643"/>
      <c r="B33" s="75"/>
      <c r="C33" s="160"/>
      <c r="D33" s="160"/>
      <c r="E33" s="75"/>
      <c r="F33" s="75"/>
      <c r="G33" s="75"/>
      <c r="N33" s="123"/>
      <c r="O33" s="123"/>
      <c r="P33" s="123"/>
      <c r="Q33" s="123"/>
      <c r="R33" s="125"/>
      <c r="S33" s="125"/>
      <c r="T33" s="131"/>
      <c r="U33" s="124"/>
      <c r="W33" s="131"/>
      <c r="X33" s="131"/>
      <c r="Y33" s="131"/>
      <c r="Z33" s="131"/>
      <c r="AA33" s="211"/>
      <c r="AB33" s="211"/>
      <c r="AC33" s="211"/>
      <c r="AD33" s="211"/>
      <c r="AE33" s="170"/>
      <c r="AF33" s="124"/>
      <c r="AL33" s="124"/>
      <c r="BB33" s="124"/>
    </row>
    <row r="34" spans="1:54" s="185" customFormat="1" ht="13.5" hidden="1" thickBot="1">
      <c r="A34" s="1644"/>
      <c r="B34" s="381" t="s">
        <v>2423</v>
      </c>
      <c r="C34" s="382" t="s">
        <v>2424</v>
      </c>
      <c r="D34" s="383"/>
      <c r="E34" s="383"/>
      <c r="F34" s="383"/>
      <c r="G34" s="383"/>
      <c r="H34" s="383"/>
      <c r="I34" s="383"/>
      <c r="J34" s="383"/>
      <c r="K34" s="383"/>
      <c r="L34" s="383"/>
      <c r="M34" s="383"/>
      <c r="N34" s="383"/>
      <c r="O34" s="383"/>
      <c r="P34" s="384"/>
      <c r="Q34" s="360"/>
      <c r="R34" s="135"/>
      <c r="S34" s="135"/>
      <c r="T34" s="131"/>
      <c r="U34" s="124"/>
      <c r="V34" s="90" t="s">
        <v>2425</v>
      </c>
      <c r="W34" s="131"/>
      <c r="X34" s="131"/>
      <c r="Y34" s="131"/>
      <c r="Z34" s="131"/>
      <c r="AA34" s="211"/>
      <c r="AB34" s="211"/>
      <c r="AC34" s="211"/>
      <c r="AD34" s="211"/>
      <c r="AE34" s="170"/>
      <c r="AF34" s="124"/>
      <c r="AL34" s="124"/>
      <c r="BB34" s="124"/>
    </row>
    <row r="35" spans="1:54" s="115" customFormat="1" ht="23.25" hidden="1" customHeight="1">
      <c r="A35" s="1643"/>
      <c r="B35" s="188" t="s">
        <v>5045</v>
      </c>
      <c r="C35" s="3216" t="s">
        <v>3602</v>
      </c>
      <c r="D35" s="3216"/>
      <c r="E35" s="3216"/>
      <c r="F35" s="3216"/>
      <c r="G35" s="3216"/>
      <c r="H35" s="3216"/>
      <c r="I35" s="3216"/>
      <c r="J35" s="3216"/>
      <c r="K35" s="3216"/>
      <c r="L35" s="3216"/>
      <c r="M35" s="3216"/>
      <c r="N35" s="3216"/>
      <c r="O35" s="3234"/>
      <c r="P35" s="3217"/>
      <c r="Q35" s="362"/>
      <c r="R35" s="125"/>
      <c r="S35" s="125"/>
      <c r="T35" s="131"/>
      <c r="U35" s="124"/>
      <c r="V35" s="168" t="s">
        <v>2428</v>
      </c>
      <c r="W35" s="131"/>
      <c r="X35" s="131"/>
      <c r="Y35" s="131"/>
      <c r="Z35" s="131"/>
      <c r="AA35" s="211"/>
      <c r="AB35" s="211"/>
      <c r="AC35" s="211"/>
      <c r="AD35" s="211"/>
      <c r="AE35" s="170"/>
      <c r="AF35" s="124"/>
      <c r="AL35" s="124"/>
      <c r="BB35" s="124"/>
    </row>
    <row r="36" spans="1:54" s="115" customFormat="1" ht="23.25" hidden="1" customHeight="1">
      <c r="A36" s="1643"/>
      <c r="B36" s="166" t="s">
        <v>5046</v>
      </c>
      <c r="C36" s="3198" t="s">
        <v>3603</v>
      </c>
      <c r="D36" s="3198"/>
      <c r="E36" s="3198"/>
      <c r="F36" s="3198"/>
      <c r="G36" s="3198"/>
      <c r="H36" s="3198"/>
      <c r="I36" s="3198"/>
      <c r="J36" s="3198"/>
      <c r="K36" s="3198"/>
      <c r="L36" s="3198"/>
      <c r="M36" s="3198"/>
      <c r="N36" s="3198"/>
      <c r="O36" s="3225"/>
      <c r="P36" s="3199"/>
      <c r="Q36" s="362"/>
      <c r="R36" s="125"/>
      <c r="S36" s="125"/>
      <c r="T36" s="131"/>
      <c r="U36" s="124"/>
      <c r="V36" s="168" t="s">
        <v>2428</v>
      </c>
      <c r="W36" s="131"/>
      <c r="X36" s="131"/>
      <c r="Y36" s="131"/>
      <c r="Z36" s="131"/>
      <c r="AA36" s="211"/>
      <c r="AB36" s="211"/>
      <c r="AC36" s="211"/>
      <c r="AD36" s="211"/>
      <c r="AE36" s="170"/>
      <c r="AF36" s="124"/>
      <c r="AL36" s="124"/>
      <c r="BB36" s="124"/>
    </row>
    <row r="37" spans="1:54" s="115" customFormat="1" ht="23.25" hidden="1" customHeight="1">
      <c r="A37" s="1643"/>
      <c r="B37" s="166" t="s">
        <v>5047</v>
      </c>
      <c r="C37" s="3198" t="s">
        <v>13161</v>
      </c>
      <c r="D37" s="3198"/>
      <c r="E37" s="3198"/>
      <c r="F37" s="3198"/>
      <c r="G37" s="3198"/>
      <c r="H37" s="3198"/>
      <c r="I37" s="3198"/>
      <c r="J37" s="3198"/>
      <c r="K37" s="3198"/>
      <c r="L37" s="3198"/>
      <c r="M37" s="3198"/>
      <c r="N37" s="3198"/>
      <c r="O37" s="3225"/>
      <c r="P37" s="3199"/>
      <c r="Q37" s="362"/>
      <c r="R37" s="125"/>
      <c r="S37" s="125"/>
      <c r="T37" s="131"/>
      <c r="U37" s="124"/>
      <c r="V37" s="168" t="s">
        <v>2428</v>
      </c>
      <c r="W37" s="131"/>
      <c r="X37" s="131"/>
      <c r="Y37" s="131"/>
      <c r="Z37" s="131"/>
      <c r="AA37" s="313"/>
      <c r="AB37" s="313"/>
      <c r="AC37" s="313"/>
      <c r="AD37" s="313"/>
      <c r="AE37" s="185"/>
      <c r="AF37" s="124"/>
      <c r="AL37" s="124"/>
      <c r="BB37" s="124"/>
    </row>
    <row r="38" spans="1:54" s="115" customFormat="1" ht="13.5" hidden="1" customHeight="1">
      <c r="A38" s="1643"/>
      <c r="B38" s="166" t="s">
        <v>5048</v>
      </c>
      <c r="C38" s="3198" t="s">
        <v>13162</v>
      </c>
      <c r="D38" s="3198"/>
      <c r="E38" s="3198"/>
      <c r="F38" s="3198"/>
      <c r="G38" s="3198"/>
      <c r="H38" s="3198"/>
      <c r="I38" s="3198"/>
      <c r="J38" s="3198"/>
      <c r="K38" s="3198"/>
      <c r="L38" s="3198"/>
      <c r="M38" s="3198"/>
      <c r="N38" s="3198"/>
      <c r="O38" s="3225"/>
      <c r="P38" s="3199"/>
      <c r="Q38" s="362"/>
      <c r="R38" s="125"/>
      <c r="S38" s="125"/>
      <c r="T38" s="131"/>
      <c r="U38" s="124"/>
      <c r="V38" s="168">
        <v>1</v>
      </c>
      <c r="W38" s="131"/>
      <c r="X38" s="131"/>
      <c r="Y38" s="131"/>
      <c r="Z38" s="131"/>
      <c r="AA38" s="313"/>
      <c r="AB38" s="313"/>
      <c r="AC38" s="313"/>
      <c r="AD38" s="313"/>
      <c r="AE38" s="185"/>
      <c r="AF38" s="124"/>
      <c r="AL38" s="124"/>
      <c r="BB38" s="124"/>
    </row>
    <row r="39" spans="1:54" s="115" customFormat="1" ht="13.5" hidden="1" customHeight="1">
      <c r="A39" s="1643"/>
      <c r="B39" s="166" t="s">
        <v>5049</v>
      </c>
      <c r="C39" s="3198" t="s">
        <v>3605</v>
      </c>
      <c r="D39" s="3198"/>
      <c r="E39" s="3198"/>
      <c r="F39" s="3198"/>
      <c r="G39" s="3198"/>
      <c r="H39" s="3198"/>
      <c r="I39" s="3198"/>
      <c r="J39" s="3198"/>
      <c r="K39" s="3198"/>
      <c r="L39" s="3198"/>
      <c r="M39" s="3198"/>
      <c r="N39" s="3198"/>
      <c r="O39" s="3225"/>
      <c r="P39" s="3199"/>
      <c r="Q39" s="362"/>
      <c r="R39" s="125"/>
      <c r="S39" s="125"/>
      <c r="T39" s="131"/>
      <c r="U39" s="124"/>
      <c r="V39" s="168">
        <v>1</v>
      </c>
      <c r="W39" s="131"/>
      <c r="X39" s="131"/>
      <c r="Y39" s="131"/>
      <c r="Z39" s="131"/>
      <c r="AA39" s="313"/>
      <c r="AB39" s="313"/>
      <c r="AC39" s="313"/>
      <c r="AD39" s="313"/>
      <c r="AE39" s="185"/>
      <c r="AF39" s="124"/>
      <c r="AL39" s="124"/>
      <c r="BB39" s="124"/>
    </row>
    <row r="40" spans="1:54" s="115" customFormat="1" ht="13.5" hidden="1" customHeight="1">
      <c r="A40" s="1643"/>
      <c r="B40" s="166" t="s">
        <v>5050</v>
      </c>
      <c r="C40" s="3198" t="s">
        <v>3606</v>
      </c>
      <c r="D40" s="3198"/>
      <c r="E40" s="3198"/>
      <c r="F40" s="3198"/>
      <c r="G40" s="3198"/>
      <c r="H40" s="3198"/>
      <c r="I40" s="3198"/>
      <c r="J40" s="3198"/>
      <c r="K40" s="3198"/>
      <c r="L40" s="3198"/>
      <c r="M40" s="3198"/>
      <c r="N40" s="3198"/>
      <c r="O40" s="3225"/>
      <c r="P40" s="3199"/>
      <c r="Q40" s="362"/>
      <c r="R40" s="125"/>
      <c r="S40" s="125"/>
      <c r="T40" s="131"/>
      <c r="U40" s="124"/>
      <c r="V40" s="168">
        <v>1</v>
      </c>
      <c r="W40" s="131"/>
      <c r="X40" s="131"/>
      <c r="Y40" s="131"/>
      <c r="Z40" s="131"/>
      <c r="AA40" s="313"/>
      <c r="AB40" s="313"/>
      <c r="AC40" s="313"/>
      <c r="AD40" s="313"/>
      <c r="AE40" s="185"/>
      <c r="AF40" s="124"/>
      <c r="AL40" s="124"/>
      <c r="BB40" s="124"/>
    </row>
    <row r="41" spans="1:54" s="115" customFormat="1" ht="13.5" hidden="1" customHeight="1">
      <c r="A41" s="1643"/>
      <c r="B41" s="166" t="s">
        <v>5051</v>
      </c>
      <c r="C41" s="3198" t="s">
        <v>3787</v>
      </c>
      <c r="D41" s="3198"/>
      <c r="E41" s="3198"/>
      <c r="F41" s="3198"/>
      <c r="G41" s="3198"/>
      <c r="H41" s="3198"/>
      <c r="I41" s="3198"/>
      <c r="J41" s="3198"/>
      <c r="K41" s="3198"/>
      <c r="L41" s="3198"/>
      <c r="M41" s="3198"/>
      <c r="N41" s="3198"/>
      <c r="O41" s="3225"/>
      <c r="P41" s="3199"/>
      <c r="Q41" s="362"/>
      <c r="R41" s="125"/>
      <c r="S41" s="125"/>
      <c r="T41" s="123"/>
      <c r="U41" s="124"/>
      <c r="V41" s="168">
        <v>1</v>
      </c>
      <c r="W41" s="123"/>
      <c r="X41" s="123"/>
      <c r="Y41" s="123"/>
      <c r="Z41" s="123"/>
      <c r="AA41" s="288"/>
      <c r="AB41" s="288"/>
      <c r="AC41" s="288"/>
      <c r="AD41" s="288"/>
      <c r="AF41" s="124"/>
      <c r="AL41" s="124"/>
      <c r="BB41" s="124"/>
    </row>
    <row r="42" spans="1:54" s="115" customFormat="1" ht="13.5" hidden="1" customHeight="1">
      <c r="A42" s="1643"/>
      <c r="B42" s="166" t="s">
        <v>5052</v>
      </c>
      <c r="C42" s="3198" t="s">
        <v>3788</v>
      </c>
      <c r="D42" s="3198"/>
      <c r="E42" s="3198"/>
      <c r="F42" s="3198"/>
      <c r="G42" s="3198"/>
      <c r="H42" s="3198"/>
      <c r="I42" s="3198"/>
      <c r="J42" s="3198"/>
      <c r="K42" s="3198"/>
      <c r="L42" s="3198"/>
      <c r="M42" s="3198"/>
      <c r="N42" s="3198"/>
      <c r="O42" s="3225"/>
      <c r="P42" s="3199"/>
      <c r="Q42" s="362"/>
      <c r="R42" s="125"/>
      <c r="S42" s="125"/>
      <c r="T42" s="123"/>
      <c r="U42" s="129"/>
      <c r="V42" s="168">
        <v>1</v>
      </c>
      <c r="W42" s="123"/>
      <c r="X42" s="123"/>
      <c r="Y42" s="123"/>
      <c r="Z42" s="123"/>
      <c r="AA42" s="288"/>
      <c r="AB42" s="288"/>
      <c r="AC42" s="288"/>
      <c r="AD42" s="288"/>
      <c r="AF42" s="129"/>
      <c r="AL42" s="129"/>
      <c r="BB42" s="129"/>
    </row>
    <row r="43" spans="1:54" s="115" customFormat="1" ht="13.5" hidden="1" customHeight="1">
      <c r="A43" s="1643"/>
      <c r="B43" s="166" t="s">
        <v>5053</v>
      </c>
      <c r="C43" s="3198" t="s">
        <v>3789</v>
      </c>
      <c r="D43" s="3198"/>
      <c r="E43" s="3198"/>
      <c r="F43" s="3198"/>
      <c r="G43" s="3198"/>
      <c r="H43" s="3198"/>
      <c r="I43" s="3198"/>
      <c r="J43" s="3198"/>
      <c r="K43" s="3198"/>
      <c r="L43" s="3198"/>
      <c r="M43" s="3198"/>
      <c r="N43" s="3198"/>
      <c r="O43" s="3225"/>
      <c r="P43" s="3199"/>
      <c r="Q43" s="362"/>
      <c r="R43" s="125"/>
      <c r="S43" s="125"/>
      <c r="T43" s="123"/>
      <c r="U43" s="129"/>
      <c r="V43" s="168">
        <v>1</v>
      </c>
      <c r="W43" s="123"/>
      <c r="X43" s="123"/>
      <c r="Y43" s="123"/>
      <c r="Z43" s="123"/>
      <c r="AA43" s="185"/>
      <c r="AB43" s="185"/>
      <c r="AC43" s="185"/>
      <c r="AD43" s="185"/>
      <c r="AE43" s="185"/>
      <c r="AF43" s="129"/>
      <c r="AL43" s="129"/>
      <c r="BB43" s="129"/>
    </row>
    <row r="44" spans="1:54" s="115" customFormat="1" hidden="1">
      <c r="A44" s="1643"/>
      <c r="B44" s="166" t="s">
        <v>5054</v>
      </c>
      <c r="C44" s="3198" t="s">
        <v>3607</v>
      </c>
      <c r="D44" s="3198"/>
      <c r="E44" s="3198"/>
      <c r="F44" s="3198"/>
      <c r="G44" s="3198"/>
      <c r="H44" s="3198"/>
      <c r="I44" s="3198"/>
      <c r="J44" s="3198"/>
      <c r="K44" s="3198"/>
      <c r="L44" s="3198"/>
      <c r="M44" s="3198"/>
      <c r="N44" s="3198"/>
      <c r="O44" s="3225"/>
      <c r="P44" s="3199"/>
      <c r="Q44" s="362"/>
      <c r="R44" s="125"/>
      <c r="S44" s="125"/>
      <c r="T44" s="123"/>
      <c r="U44" s="129"/>
      <c r="V44" s="165">
        <v>1</v>
      </c>
      <c r="W44" s="123"/>
      <c r="X44" s="123"/>
      <c r="Y44" s="123"/>
      <c r="Z44" s="123"/>
      <c r="AA44" s="288"/>
      <c r="AB44" s="288"/>
      <c r="AC44" s="288"/>
      <c r="AD44" s="288"/>
      <c r="AF44" s="129"/>
      <c r="AL44" s="129"/>
      <c r="BB44" s="129"/>
    </row>
    <row r="45" spans="1:54" s="115" customFormat="1" ht="14.25" hidden="1" customHeight="1" thickBot="1">
      <c r="A45" s="1643"/>
      <c r="B45" s="190" t="s">
        <v>5055</v>
      </c>
      <c r="C45" s="3218" t="s">
        <v>3608</v>
      </c>
      <c r="D45" s="3218"/>
      <c r="E45" s="3218"/>
      <c r="F45" s="3218"/>
      <c r="G45" s="3218"/>
      <c r="H45" s="3218"/>
      <c r="I45" s="3218"/>
      <c r="J45" s="3218"/>
      <c r="K45" s="3218"/>
      <c r="L45" s="3218"/>
      <c r="M45" s="3218"/>
      <c r="N45" s="3218"/>
      <c r="O45" s="3228"/>
      <c r="P45" s="3219"/>
      <c r="Q45" s="362"/>
      <c r="R45" s="125"/>
      <c r="S45" s="125"/>
      <c r="U45" s="129"/>
      <c r="V45" s="165">
        <v>1</v>
      </c>
      <c r="AF45" s="129"/>
      <c r="AL45" s="129"/>
      <c r="BB45" s="129"/>
    </row>
    <row r="46" spans="1:54" hidden="1">
      <c r="A46" s="1647"/>
      <c r="C46" s="184"/>
      <c r="D46" s="184"/>
      <c r="T46" s="115"/>
      <c r="U46" s="129"/>
      <c r="V46" s="165"/>
      <c r="W46" s="115"/>
      <c r="X46" s="115"/>
      <c r="Y46" s="115"/>
      <c r="Z46" s="115"/>
      <c r="AA46" s="115"/>
      <c r="AB46" s="115"/>
      <c r="AC46" s="115"/>
      <c r="AD46" s="115"/>
      <c r="AE46" s="115"/>
      <c r="AF46" s="129"/>
      <c r="AL46" s="129"/>
      <c r="BB46" s="129"/>
    </row>
  </sheetData>
  <mergeCells count="32">
    <mergeCell ref="C42:P42"/>
    <mergeCell ref="C43:P43"/>
    <mergeCell ref="C44:P44"/>
    <mergeCell ref="C45:P45"/>
    <mergeCell ref="B22:C22"/>
    <mergeCell ref="C35:P35"/>
    <mergeCell ref="C36:P36"/>
    <mergeCell ref="C37:P37"/>
    <mergeCell ref="C40:P40"/>
    <mergeCell ref="C41:P41"/>
    <mergeCell ref="C38:P38"/>
    <mergeCell ref="C39:P39"/>
    <mergeCell ref="AP3:AR4"/>
    <mergeCell ref="AS3:AU4"/>
    <mergeCell ref="AV3:AX4"/>
    <mergeCell ref="B3:C4"/>
    <mergeCell ref="E3:E4"/>
    <mergeCell ref="F3:F4"/>
    <mergeCell ref="G3:H3"/>
    <mergeCell ref="P3:P4"/>
    <mergeCell ref="R3:R4"/>
    <mergeCell ref="S3:S4"/>
    <mergeCell ref="V3:AE4"/>
    <mergeCell ref="AG3:AG4"/>
    <mergeCell ref="AM3:AO4"/>
    <mergeCell ref="I3:O3"/>
    <mergeCell ref="BU3:BU4"/>
    <mergeCell ref="BG3:BH4"/>
    <mergeCell ref="BJ3:BJ4"/>
    <mergeCell ref="BK3:BK4"/>
    <mergeCell ref="BL3:BM3"/>
    <mergeCell ref="BN3:BT3"/>
  </mergeCells>
  <conditionalFormatting sqref="R5 S15:S16 S20 R11:S11 S9:S10 S6 R7:S8">
    <cfRule type="cellIs" dxfId="2807" priority="22" operator="equal">
      <formula>0</formula>
    </cfRule>
  </conditionalFormatting>
  <conditionalFormatting sqref="R9">
    <cfRule type="cellIs" dxfId="2806" priority="18" operator="equal">
      <formula>0</formula>
    </cfRule>
  </conditionalFormatting>
  <conditionalFormatting sqref="R6">
    <cfRule type="cellIs" dxfId="2805" priority="15" operator="equal">
      <formula>0</formula>
    </cfRule>
  </conditionalFormatting>
  <conditionalFormatting sqref="O6:O18">
    <cfRule type="expression" dxfId="2804" priority="1">
      <formula>$P$1&lt;&gt; "Thames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7"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16" id="{6904E0D7-9B3E-41DF-90CE-7925EE91B07E}">
            <xm:f>Validation!$H$3=1</xm:f>
            <x14:dxf>
              <fill>
                <patternFill>
                  <bgColor rgb="FFE0DCD8"/>
                </patternFill>
              </fill>
            </x14:dxf>
          </x14:cfRule>
          <xm:sqref>N6:O12 L7:L11 M8:M11 L15:O16 N18:O18</xm:sqref>
        </x14:conditionalFormatting>
        <x14:conditionalFormatting xmlns:xm="http://schemas.microsoft.com/office/excel/2006/main">
          <x14:cfRule type="expression" priority="6"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5"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4"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3"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2" id="{BEEFB7F5-B07B-4922-AF41-F4E2347AD7EB}">
            <xm:f>Validation!$H$3=1</xm:f>
            <x14:dxf>
              <fill>
                <patternFill>
                  <bgColor rgb="FFE0DCD8"/>
                </patternFill>
              </fill>
            </x14:dxf>
          </x14:cfRule>
          <xm:sqref>BS11</xm:sqref>
        </x14:conditionalFormatting>
      </x14:conditionalFormattings>
    </ext>
  </extLst>
</worksheet>
</file>

<file path=xl/worksheets/sheet14.xml><?xml version="1.0" encoding="utf-8"?>
<worksheet xmlns="http://schemas.openxmlformats.org/spreadsheetml/2006/main" xmlns:r="http://schemas.openxmlformats.org/officeDocument/2006/relationships">
  <sheetPr codeName="Sheet11">
    <pageSetUpPr fitToPage="1"/>
  </sheetPr>
  <dimension ref="A1:BL79"/>
  <sheetViews>
    <sheetView workbookViewId="0"/>
  </sheetViews>
  <sheetFormatPr defaultColWidth="0" defaultRowHeight="14.25" zeroHeight="1"/>
  <cols>
    <col min="1" max="1" width="0.625" style="86" customWidth="1"/>
    <col min="2" max="2" width="6.125" style="86" customWidth="1"/>
    <col min="3" max="3" width="58.125" style="86" bestFit="1" customWidth="1"/>
    <col min="4" max="4" width="5.625" style="86" hidden="1" customWidth="1"/>
    <col min="5" max="6" width="5.125" style="86" customWidth="1"/>
    <col min="7" max="12" width="12.625" style="169" customWidth="1"/>
    <col min="13" max="13" width="2.625" style="169" customWidth="1"/>
    <col min="14" max="14" width="35.75" style="75" customWidth="1"/>
    <col min="15" max="15" width="24.625" style="75" customWidth="1"/>
    <col min="16" max="16" width="1.625" style="71" customWidth="1"/>
    <col min="17" max="17" width="1.625" style="72" hidden="1" customWidth="1"/>
    <col min="18" max="21" width="5.125" style="71" hidden="1" customWidth="1"/>
    <col min="22" max="22" width="1.625" style="72" hidden="1" customWidth="1"/>
    <col min="23" max="23" width="8" style="75" hidden="1" customWidth="1"/>
    <col min="24" max="24" width="1.625" style="72" hidden="1" customWidth="1"/>
    <col min="25" max="28" width="6.625" style="75" hidden="1" customWidth="1"/>
    <col min="29" max="29" width="66.625" style="75" hidden="1" customWidth="1"/>
    <col min="30" max="30" width="1.625" style="72" hidden="1" customWidth="1"/>
    <col min="31" max="51" width="0" style="86" hidden="1" customWidth="1"/>
    <col min="52" max="52" width="9" style="86" customWidth="1"/>
    <col min="53" max="53" width="6.125" style="86" customWidth="1"/>
    <col min="54" max="54" width="58.125" style="86" bestFit="1" customWidth="1"/>
    <col min="55" max="55" width="5.625" style="86" hidden="1" customWidth="1"/>
    <col min="56" max="57" width="5.125" style="86" customWidth="1"/>
    <col min="58" max="63" width="12.625" style="169" customWidth="1"/>
    <col min="64" max="64" width="2.625" style="86" customWidth="1"/>
    <col min="65" max="16384" width="9" style="86" hidden="1"/>
  </cols>
  <sheetData>
    <row r="1" spans="2:63" s="71" customFormat="1" ht="18.75">
      <c r="B1" s="67" t="s">
        <v>3727</v>
      </c>
      <c r="C1" s="67"/>
      <c r="D1" s="67"/>
      <c r="E1" s="67"/>
      <c r="F1" s="67"/>
      <c r="G1" s="67"/>
      <c r="H1" s="67"/>
      <c r="I1" s="67"/>
      <c r="J1" s="67"/>
      <c r="K1" s="67"/>
      <c r="L1" s="69" t="str">
        <f>Validation!B3</f>
        <v>South West Water – South West area</v>
      </c>
      <c r="M1" s="67"/>
      <c r="N1" s="70"/>
      <c r="O1" s="70" t="s">
        <v>2394</v>
      </c>
      <c r="Q1" s="72"/>
      <c r="V1" s="72"/>
      <c r="X1" s="72"/>
      <c r="AD1" s="72"/>
      <c r="BA1" s="67" t="s">
        <v>6671</v>
      </c>
      <c r="BB1" s="67"/>
      <c r="BC1" s="67"/>
      <c r="BD1" s="67"/>
      <c r="BE1" s="67"/>
      <c r="BF1" s="67"/>
      <c r="BG1" s="67"/>
      <c r="BH1" s="67"/>
      <c r="BI1" s="67"/>
      <c r="BJ1" s="67"/>
      <c r="BK1" s="69"/>
    </row>
    <row r="2" spans="2:63" s="2" customFormat="1" ht="15.75" customHeight="1" thickBot="1">
      <c r="B2" s="74" t="s">
        <v>12524</v>
      </c>
      <c r="C2" s="399"/>
      <c r="D2" s="399"/>
      <c r="E2" s="75"/>
      <c r="F2" s="75"/>
      <c r="G2" s="75"/>
      <c r="H2" s="75"/>
      <c r="I2" s="75"/>
      <c r="J2" s="75"/>
      <c r="K2" s="75"/>
      <c r="L2" s="75"/>
      <c r="M2" s="75"/>
      <c r="N2" s="71"/>
      <c r="O2" s="71"/>
      <c r="P2" s="71"/>
      <c r="Q2" s="72"/>
      <c r="R2" s="71"/>
      <c r="S2" s="71"/>
      <c r="T2" s="71"/>
      <c r="U2" s="71"/>
      <c r="V2" s="72"/>
      <c r="W2" s="71"/>
      <c r="X2" s="72"/>
      <c r="Y2" s="71"/>
      <c r="Z2" s="71"/>
      <c r="AA2" s="71"/>
      <c r="AB2" s="71"/>
      <c r="AC2" s="71"/>
      <c r="AD2" s="72"/>
      <c r="BA2" s="74" t="str">
        <f>+B2</f>
        <v>For the 12 months ended 31 March 2019</v>
      </c>
      <c r="BB2" s="399"/>
      <c r="BC2" s="399"/>
      <c r="BD2" s="75"/>
      <c r="BE2" s="75"/>
      <c r="BF2" s="75"/>
      <c r="BG2" s="75"/>
      <c r="BH2" s="75"/>
      <c r="BI2" s="75"/>
      <c r="BJ2" s="75"/>
      <c r="BK2" s="75"/>
    </row>
    <row r="3" spans="2:63" s="627" customFormat="1" ht="29.25" customHeight="1" thickBot="1">
      <c r="B3" s="3265" t="s">
        <v>2395</v>
      </c>
      <c r="C3" s="3266"/>
      <c r="D3" s="1452" t="s">
        <v>6496</v>
      </c>
      <c r="E3" s="319" t="s">
        <v>2396</v>
      </c>
      <c r="F3" s="307" t="s">
        <v>2397</v>
      </c>
      <c r="G3" s="306" t="s">
        <v>3609</v>
      </c>
      <c r="H3" s="307" t="s">
        <v>3184</v>
      </c>
      <c r="I3" s="623" t="s">
        <v>3610</v>
      </c>
      <c r="J3" s="2098" t="s">
        <v>1195</v>
      </c>
      <c r="K3" s="307" t="s">
        <v>1800</v>
      </c>
      <c r="L3" s="364" t="s">
        <v>2554</v>
      </c>
      <c r="M3" s="624"/>
      <c r="N3" s="195" t="s">
        <v>2577</v>
      </c>
      <c r="O3" s="195" t="s">
        <v>1361</v>
      </c>
      <c r="P3" s="625"/>
      <c r="Q3" s="626"/>
      <c r="R3" s="3215" t="s">
        <v>2404</v>
      </c>
      <c r="S3" s="3215"/>
      <c r="T3" s="3215"/>
      <c r="U3" s="3215"/>
      <c r="V3" s="626"/>
      <c r="W3" s="3215" t="s">
        <v>2390</v>
      </c>
      <c r="X3" s="72"/>
      <c r="Y3" s="3262" t="s">
        <v>2578</v>
      </c>
      <c r="Z3" s="3262"/>
      <c r="AA3" s="3262"/>
      <c r="AB3" s="3262"/>
      <c r="AC3" s="3262"/>
      <c r="AD3" s="72"/>
      <c r="BA3" s="3265" t="s">
        <v>2395</v>
      </c>
      <c r="BB3" s="3266"/>
      <c r="BC3" s="1691" t="s">
        <v>6496</v>
      </c>
      <c r="BD3" s="319" t="s">
        <v>2396</v>
      </c>
      <c r="BE3" s="307" t="s">
        <v>2397</v>
      </c>
      <c r="BF3" s="306" t="s">
        <v>3609</v>
      </c>
      <c r="BG3" s="307" t="s">
        <v>3184</v>
      </c>
      <c r="BH3" s="623" t="s">
        <v>3610</v>
      </c>
      <c r="BI3" s="307" t="s">
        <v>1195</v>
      </c>
      <c r="BJ3" s="2069" t="s">
        <v>1800</v>
      </c>
      <c r="BK3" s="364" t="s">
        <v>2554</v>
      </c>
    </row>
    <row r="4" spans="2:63" s="2" customFormat="1" ht="15" thickBot="1">
      <c r="B4" s="75"/>
      <c r="C4" s="343"/>
      <c r="D4" s="343"/>
      <c r="E4" s="75"/>
      <c r="F4" s="75"/>
      <c r="G4" s="75"/>
      <c r="H4" s="75"/>
      <c r="I4" s="75"/>
      <c r="J4" s="75"/>
      <c r="K4" s="75"/>
      <c r="L4" s="75"/>
      <c r="M4" s="75"/>
      <c r="N4" s="75"/>
      <c r="O4" s="75"/>
      <c r="P4" s="83"/>
      <c r="Q4" s="72"/>
      <c r="R4" s="3215"/>
      <c r="S4" s="3215"/>
      <c r="T4" s="3215"/>
      <c r="U4" s="3215"/>
      <c r="V4" s="72"/>
      <c r="W4" s="3215"/>
      <c r="X4" s="72"/>
      <c r="Y4" s="3262"/>
      <c r="Z4" s="3262"/>
      <c r="AA4" s="3262"/>
      <c r="AB4" s="3262"/>
      <c r="AC4" s="3262"/>
      <c r="AD4" s="72"/>
      <c r="BA4" s="75"/>
      <c r="BB4" s="343"/>
      <c r="BC4" s="343"/>
      <c r="BD4" s="75"/>
      <c r="BE4" s="75"/>
      <c r="BF4" s="75"/>
      <c r="BG4" s="75"/>
      <c r="BH4" s="75"/>
      <c r="BI4" s="75"/>
      <c r="BJ4" s="75"/>
      <c r="BK4" s="75"/>
    </row>
    <row r="5" spans="2:63" s="2" customFormat="1" ht="15" thickBot="1">
      <c r="B5" s="308" t="s">
        <v>2449</v>
      </c>
      <c r="C5" s="309" t="s">
        <v>2587</v>
      </c>
      <c r="D5" s="1587"/>
      <c r="E5" s="270"/>
      <c r="F5" s="270"/>
      <c r="G5" s="270"/>
      <c r="H5" s="270"/>
      <c r="I5" s="270"/>
      <c r="J5" s="270"/>
      <c r="K5" s="270"/>
      <c r="L5" s="270"/>
      <c r="M5" s="75"/>
      <c r="N5" s="135"/>
      <c r="O5" s="135"/>
      <c r="P5" s="71"/>
      <c r="Q5" s="72"/>
      <c r="R5" s="90" t="s">
        <v>2405</v>
      </c>
      <c r="S5" s="90"/>
      <c r="T5" s="90"/>
      <c r="U5" s="71"/>
      <c r="V5" s="72"/>
      <c r="W5" s="75"/>
      <c r="X5" s="72"/>
      <c r="Y5" s="75"/>
      <c r="Z5" s="75"/>
      <c r="AA5" s="75"/>
      <c r="AB5" s="75"/>
      <c r="AC5" s="75"/>
      <c r="AD5" s="72"/>
      <c r="BA5" s="1692" t="s">
        <v>2449</v>
      </c>
      <c r="BB5" s="309" t="s">
        <v>2587</v>
      </c>
      <c r="BC5" s="1587"/>
      <c r="BD5" s="270"/>
      <c r="BE5" s="270"/>
      <c r="BF5" s="270"/>
      <c r="BG5" s="270"/>
      <c r="BH5" s="270"/>
      <c r="BI5" s="270"/>
      <c r="BJ5" s="270"/>
      <c r="BK5" s="270"/>
    </row>
    <row r="6" spans="2:63" s="2" customFormat="1">
      <c r="B6" s="298" t="s">
        <v>5056</v>
      </c>
      <c r="C6" s="281" t="s">
        <v>2588</v>
      </c>
      <c r="D6" s="281"/>
      <c r="E6" s="311" t="s">
        <v>750</v>
      </c>
      <c r="F6" s="283">
        <v>3</v>
      </c>
      <c r="G6" s="764">
        <f xml:space="preserve"> SUM( '4D'!G7:H7 )</f>
        <v>0</v>
      </c>
      <c r="H6" s="765">
        <f xml:space="preserve"> SUM( '4D'!I7:L7 )</f>
        <v>0</v>
      </c>
      <c r="I6" s="764">
        <f xml:space="preserve"> SUM( '4E'!G7:K7 )</f>
        <v>0</v>
      </c>
      <c r="J6" s="2099">
        <f xml:space="preserve"> SUM( '4E'!L7:N7 )</f>
        <v>0</v>
      </c>
      <c r="K6" s="2118"/>
      <c r="L6" s="394">
        <f xml:space="preserve"> SUM( G6:K6 )</f>
        <v>0</v>
      </c>
      <c r="M6" s="75"/>
      <c r="N6" s="135"/>
      <c r="O6" s="24">
        <f xml:space="preserve"> IF( SUM( Q6:V6 ) = 0, 0, $R$5 )</f>
        <v>0</v>
      </c>
      <c r="P6" s="71"/>
      <c r="Q6" s="72"/>
      <c r="R6" s="132"/>
      <c r="S6" s="132"/>
      <c r="T6" s="132"/>
      <c r="U6" s="98">
        <f>IF( Validation!$H$3=1, 0, IF(Validation!$B$3 &lt;&gt; "Thames Water", 0, (IF(ISNUMBER(K6), 0, 1))))</f>
        <v>0</v>
      </c>
      <c r="V6" s="72"/>
      <c r="W6" s="132"/>
      <c r="X6" s="72"/>
      <c r="Y6" s="231"/>
      <c r="Z6" s="231"/>
      <c r="AA6" s="231"/>
      <c r="AB6" s="231"/>
      <c r="AC6" s="3267"/>
      <c r="AD6" s="72"/>
      <c r="BA6" s="298" t="s">
        <v>5056</v>
      </c>
      <c r="BB6" s="281" t="s">
        <v>2588</v>
      </c>
      <c r="BC6" s="281"/>
      <c r="BD6" s="311" t="s">
        <v>750</v>
      </c>
      <c r="BE6" s="283">
        <v>3</v>
      </c>
      <c r="BF6" s="764" t="s">
        <v>9561</v>
      </c>
      <c r="BG6" s="765" t="s">
        <v>9562</v>
      </c>
      <c r="BH6" s="764" t="s">
        <v>9563</v>
      </c>
      <c r="BI6" s="765" t="s">
        <v>9564</v>
      </c>
      <c r="BJ6" s="2073" t="s">
        <v>12291</v>
      </c>
      <c r="BK6" s="394" t="s">
        <v>9565</v>
      </c>
    </row>
    <row r="7" spans="2:63" s="2" customFormat="1">
      <c r="B7" s="299" t="s">
        <v>5058</v>
      </c>
      <c r="C7" s="285" t="s">
        <v>2589</v>
      </c>
      <c r="D7" s="285"/>
      <c r="E7" s="312" t="s">
        <v>750</v>
      </c>
      <c r="F7" s="287">
        <v>3</v>
      </c>
      <c r="G7" s="766">
        <f xml:space="preserve"> SUM( '4D'!G8:H8 )</f>
        <v>0</v>
      </c>
      <c r="H7" s="767">
        <f xml:space="preserve"> SUM( '4D'!I8:L8 )</f>
        <v>0</v>
      </c>
      <c r="I7" s="766">
        <f xml:space="preserve"> SUM( '4E'!G8:K8 )</f>
        <v>0</v>
      </c>
      <c r="J7" s="2100">
        <f xml:space="preserve"> SUM( '4E'!L8:N8 )</f>
        <v>0</v>
      </c>
      <c r="K7" s="2119"/>
      <c r="L7" s="395">
        <f t="shared" ref="L7:L13" si="0" xml:space="preserve"> SUM( G7:K7 )</f>
        <v>0</v>
      </c>
      <c r="M7" s="75"/>
      <c r="N7" s="135"/>
      <c r="O7" s="24" t="str">
        <f t="shared" ref="O7:O13" si="1" xml:space="preserve"> IF( SUM( Q7:V7 ) = 0, 0, $R$5 )</f>
        <v>Please complete all cells in row</v>
      </c>
      <c r="P7" s="71"/>
      <c r="Q7" s="72"/>
      <c r="R7" s="132"/>
      <c r="S7" s="132"/>
      <c r="T7" s="132"/>
      <c r="U7" s="98">
        <f xml:space="preserve"> IF( Validation!$H$3 = 1, 0, ( IF( ISNUMBER( K7 ), 0, 1 )))</f>
        <v>1</v>
      </c>
      <c r="V7" s="72"/>
      <c r="W7" s="75"/>
      <c r="X7" s="72"/>
      <c r="Y7" s="75"/>
      <c r="Z7" s="75"/>
      <c r="AA7" s="75"/>
      <c r="AB7" s="75"/>
      <c r="AC7" s="3267"/>
      <c r="AD7" s="72"/>
      <c r="BA7" s="299" t="s">
        <v>5058</v>
      </c>
      <c r="BB7" s="285" t="s">
        <v>2589</v>
      </c>
      <c r="BC7" s="285"/>
      <c r="BD7" s="312" t="s">
        <v>750</v>
      </c>
      <c r="BE7" s="287">
        <v>3</v>
      </c>
      <c r="BF7" s="766" t="s">
        <v>9566</v>
      </c>
      <c r="BG7" s="767" t="s">
        <v>9567</v>
      </c>
      <c r="BH7" s="766" t="s">
        <v>9568</v>
      </c>
      <c r="BI7" s="767" t="s">
        <v>9569</v>
      </c>
      <c r="BJ7" s="2074" t="s">
        <v>12292</v>
      </c>
      <c r="BK7" s="395" t="s">
        <v>9570</v>
      </c>
    </row>
    <row r="8" spans="2:63" s="2" customFormat="1">
      <c r="B8" s="299" t="s">
        <v>5057</v>
      </c>
      <c r="C8" s="285" t="s">
        <v>3790</v>
      </c>
      <c r="D8" s="285"/>
      <c r="E8" s="312" t="s">
        <v>750</v>
      </c>
      <c r="F8" s="287">
        <v>3</v>
      </c>
      <c r="G8" s="766">
        <f xml:space="preserve"> SUM( '4D'!G9:H9 )</f>
        <v>0</v>
      </c>
      <c r="H8" s="767">
        <f xml:space="preserve"> SUM( '4D'!I9:L9 )</f>
        <v>0</v>
      </c>
      <c r="I8" s="766">
        <f xml:space="preserve"> SUM( '4E'!G9:K9 )</f>
        <v>0</v>
      </c>
      <c r="J8" s="2100">
        <f xml:space="preserve"> SUM( '4E'!L9:N9 )</f>
        <v>0</v>
      </c>
      <c r="K8" s="2119"/>
      <c r="L8" s="395">
        <f t="shared" si="0"/>
        <v>0</v>
      </c>
      <c r="M8" s="97"/>
      <c r="N8" s="135"/>
      <c r="O8" s="24" t="str">
        <f t="shared" si="1"/>
        <v>Please complete all cells in row</v>
      </c>
      <c r="P8" s="71"/>
      <c r="Q8" s="72"/>
      <c r="R8" s="132"/>
      <c r="S8" s="132"/>
      <c r="T8" s="132"/>
      <c r="U8" s="98">
        <f xml:space="preserve"> IF( Validation!$H$3 = 1, 0, ( IF( ISNUMBER( K8 ), 0, 1 )))</f>
        <v>1</v>
      </c>
      <c r="V8" s="72"/>
      <c r="W8" s="132"/>
      <c r="X8" s="72"/>
      <c r="Y8" s="231"/>
      <c r="Z8" s="231"/>
      <c r="AA8" s="231"/>
      <c r="AB8" s="231"/>
      <c r="AC8" s="681"/>
      <c r="AD8" s="72"/>
      <c r="BA8" s="299" t="s">
        <v>5057</v>
      </c>
      <c r="BB8" s="285" t="s">
        <v>3790</v>
      </c>
      <c r="BC8" s="285"/>
      <c r="BD8" s="312" t="s">
        <v>750</v>
      </c>
      <c r="BE8" s="287">
        <v>3</v>
      </c>
      <c r="BF8" s="766" t="s">
        <v>9571</v>
      </c>
      <c r="BG8" s="767" t="s">
        <v>9572</v>
      </c>
      <c r="BH8" s="766" t="s">
        <v>9573</v>
      </c>
      <c r="BI8" s="767" t="s">
        <v>9574</v>
      </c>
      <c r="BJ8" s="2074" t="s">
        <v>12293</v>
      </c>
      <c r="BK8" s="395" t="s">
        <v>9575</v>
      </c>
    </row>
    <row r="9" spans="2:63" s="2" customFormat="1" ht="14.25" customHeight="1">
      <c r="B9" s="299" t="s">
        <v>5059</v>
      </c>
      <c r="C9" s="285" t="s">
        <v>2590</v>
      </c>
      <c r="D9" s="285"/>
      <c r="E9" s="312" t="s">
        <v>750</v>
      </c>
      <c r="F9" s="287">
        <v>3</v>
      </c>
      <c r="G9" s="766">
        <f xml:space="preserve"> SUM( '4D'!G10:H10 )</f>
        <v>0</v>
      </c>
      <c r="H9" s="767">
        <f xml:space="preserve"> SUM( '4D'!I10:L10 )</f>
        <v>0</v>
      </c>
      <c r="I9" s="766">
        <f xml:space="preserve"> SUM( '4E'!G10:K10 )</f>
        <v>0</v>
      </c>
      <c r="J9" s="2100">
        <f xml:space="preserve"> SUM( '4E'!L10:N10 )</f>
        <v>0</v>
      </c>
      <c r="K9" s="2119"/>
      <c r="L9" s="395">
        <f t="shared" si="0"/>
        <v>0</v>
      </c>
      <c r="M9" s="97"/>
      <c r="N9" s="135"/>
      <c r="O9" s="24" t="str">
        <f t="shared" si="1"/>
        <v>Please complete all cells in row</v>
      </c>
      <c r="P9" s="71"/>
      <c r="Q9" s="72"/>
      <c r="R9" s="132"/>
      <c r="S9" s="132"/>
      <c r="T9" s="132"/>
      <c r="U9" s="98">
        <f xml:space="preserve"> IF( Validation!$H$3 = 1, 0, ( IF( ISNUMBER( K9 ), 0, 1 )))</f>
        <v>1</v>
      </c>
      <c r="V9" s="72"/>
      <c r="W9" s="132"/>
      <c r="X9" s="72"/>
      <c r="Y9" s="231"/>
      <c r="Z9" s="231"/>
      <c r="AA9" s="231"/>
      <c r="AB9" s="231"/>
      <c r="AC9" s="681"/>
      <c r="AD9" s="72"/>
      <c r="BA9" s="299" t="s">
        <v>5059</v>
      </c>
      <c r="BB9" s="285" t="s">
        <v>2590</v>
      </c>
      <c r="BC9" s="285"/>
      <c r="BD9" s="312" t="s">
        <v>750</v>
      </c>
      <c r="BE9" s="287">
        <v>3</v>
      </c>
      <c r="BF9" s="766" t="s">
        <v>9576</v>
      </c>
      <c r="BG9" s="767" t="s">
        <v>9577</v>
      </c>
      <c r="BH9" s="766" t="s">
        <v>9578</v>
      </c>
      <c r="BI9" s="767" t="s">
        <v>9579</v>
      </c>
      <c r="BJ9" s="2074" t="s">
        <v>12294</v>
      </c>
      <c r="BK9" s="395" t="s">
        <v>9580</v>
      </c>
    </row>
    <row r="10" spans="2:63" s="2" customFormat="1">
      <c r="B10" s="299" t="s">
        <v>5060</v>
      </c>
      <c r="C10" s="285" t="s">
        <v>3791</v>
      </c>
      <c r="D10" s="285"/>
      <c r="E10" s="312" t="s">
        <v>750</v>
      </c>
      <c r="F10" s="287">
        <v>3</v>
      </c>
      <c r="G10" s="766">
        <f xml:space="preserve"> SUM( '4D'!G11:H11 )</f>
        <v>0</v>
      </c>
      <c r="H10" s="767">
        <f xml:space="preserve"> SUM( '4D'!I11:L11 )</f>
        <v>0</v>
      </c>
      <c r="I10" s="766">
        <f xml:space="preserve"> SUM( '4E'!G11:K11 )</f>
        <v>0</v>
      </c>
      <c r="J10" s="2100">
        <f xml:space="preserve"> SUM( '4E'!L11:N11 )</f>
        <v>0</v>
      </c>
      <c r="K10" s="2119"/>
      <c r="L10" s="395">
        <f t="shared" si="0"/>
        <v>0</v>
      </c>
      <c r="M10" s="97"/>
      <c r="N10" s="135"/>
      <c r="O10" s="24" t="str">
        <f t="shared" si="1"/>
        <v>Please complete all cells in row</v>
      </c>
      <c r="P10" s="71"/>
      <c r="Q10" s="72"/>
      <c r="R10" s="132"/>
      <c r="S10" s="132"/>
      <c r="T10" s="132"/>
      <c r="U10" s="98">
        <f xml:space="preserve"> IF( Validation!$H$3 = 1, 0, ( IF( ISNUMBER( K10 ), 0, 1 )))</f>
        <v>1</v>
      </c>
      <c r="V10" s="72"/>
      <c r="W10" s="132"/>
      <c r="X10" s="72"/>
      <c r="Y10" s="172"/>
      <c r="Z10" s="172"/>
      <c r="AA10" s="172"/>
      <c r="AB10" s="172"/>
      <c r="AC10" s="681"/>
      <c r="AD10" s="72"/>
      <c r="BA10" s="299" t="s">
        <v>5060</v>
      </c>
      <c r="BB10" s="285" t="s">
        <v>3791</v>
      </c>
      <c r="BC10" s="285"/>
      <c r="BD10" s="312" t="s">
        <v>750</v>
      </c>
      <c r="BE10" s="287">
        <v>3</v>
      </c>
      <c r="BF10" s="766" t="s">
        <v>11092</v>
      </c>
      <c r="BG10" s="767" t="s">
        <v>11093</v>
      </c>
      <c r="BH10" s="766" t="s">
        <v>11094</v>
      </c>
      <c r="BI10" s="767" t="s">
        <v>11095</v>
      </c>
      <c r="BJ10" s="2074" t="s">
        <v>12312</v>
      </c>
      <c r="BK10" s="395" t="s">
        <v>11096</v>
      </c>
    </row>
    <row r="11" spans="2:63" s="2" customFormat="1">
      <c r="B11" s="299" t="s">
        <v>5062</v>
      </c>
      <c r="C11" s="285" t="s">
        <v>3792</v>
      </c>
      <c r="D11" s="285"/>
      <c r="E11" s="312" t="s">
        <v>750</v>
      </c>
      <c r="F11" s="287">
        <v>3</v>
      </c>
      <c r="G11" s="766">
        <f xml:space="preserve"> SUM( '4D'!G12:H12 )</f>
        <v>0</v>
      </c>
      <c r="H11" s="767">
        <f xml:space="preserve"> SUM( '4D'!I12:L12 )</f>
        <v>0</v>
      </c>
      <c r="I11" s="766">
        <f xml:space="preserve"> SUM( '4E'!G12:K12 )</f>
        <v>0</v>
      </c>
      <c r="J11" s="2100">
        <f xml:space="preserve"> SUM( '4E'!L12:N12 )</f>
        <v>0</v>
      </c>
      <c r="K11" s="2119"/>
      <c r="L11" s="395">
        <f t="shared" si="0"/>
        <v>0</v>
      </c>
      <c r="M11" s="97"/>
      <c r="N11" s="135"/>
      <c r="O11" s="24" t="str">
        <f t="shared" si="1"/>
        <v>Please complete all cells in row</v>
      </c>
      <c r="P11" s="71"/>
      <c r="Q11" s="72"/>
      <c r="R11" s="132"/>
      <c r="S11" s="132"/>
      <c r="T11" s="132"/>
      <c r="U11" s="98">
        <f xml:space="preserve"> IF( Validation!$H$3 = 1, 0, ( IF( ISNUMBER( K11 ), 0, 1 )))</f>
        <v>1</v>
      </c>
      <c r="V11" s="72"/>
      <c r="W11" s="132"/>
      <c r="X11" s="72"/>
      <c r="Y11" s="172"/>
      <c r="Z11" s="172"/>
      <c r="AA11" s="172"/>
      <c r="AB11" s="172"/>
      <c r="AC11" s="775"/>
      <c r="AD11" s="72"/>
      <c r="BA11" s="299" t="s">
        <v>5062</v>
      </c>
      <c r="BB11" s="285" t="s">
        <v>3792</v>
      </c>
      <c r="BC11" s="285"/>
      <c r="BD11" s="312" t="s">
        <v>750</v>
      </c>
      <c r="BE11" s="287">
        <v>3</v>
      </c>
      <c r="BF11" s="766" t="s">
        <v>11097</v>
      </c>
      <c r="BG11" s="767" t="s">
        <v>11098</v>
      </c>
      <c r="BH11" s="766" t="s">
        <v>11099</v>
      </c>
      <c r="BI11" s="767" t="s">
        <v>11100</v>
      </c>
      <c r="BJ11" s="2074" t="s">
        <v>12313</v>
      </c>
      <c r="BK11" s="395" t="s">
        <v>11101</v>
      </c>
    </row>
    <row r="12" spans="2:63" s="2" customFormat="1">
      <c r="B12" s="299" t="s">
        <v>5061</v>
      </c>
      <c r="C12" s="285" t="s">
        <v>3793</v>
      </c>
      <c r="D12" s="285"/>
      <c r="E12" s="312" t="s">
        <v>750</v>
      </c>
      <c r="F12" s="287">
        <v>3</v>
      </c>
      <c r="G12" s="766">
        <f xml:space="preserve"> SUM( '4D'!G13:H13 )</f>
        <v>0</v>
      </c>
      <c r="H12" s="767">
        <f xml:space="preserve"> SUM( '4D'!I13:L13 )</f>
        <v>0</v>
      </c>
      <c r="I12" s="766">
        <f xml:space="preserve"> SUM( '4E'!G13:K13 )</f>
        <v>0</v>
      </c>
      <c r="J12" s="2100">
        <f xml:space="preserve"> SUM( '4E'!L13:N13 )</f>
        <v>0</v>
      </c>
      <c r="K12" s="2119"/>
      <c r="L12" s="395">
        <f t="shared" si="0"/>
        <v>0</v>
      </c>
      <c r="M12" s="97"/>
      <c r="N12" s="135"/>
      <c r="O12" s="24" t="str">
        <f t="shared" si="1"/>
        <v>Please complete all cells in row</v>
      </c>
      <c r="P12" s="71"/>
      <c r="Q12" s="72"/>
      <c r="R12" s="132"/>
      <c r="S12" s="132"/>
      <c r="T12" s="132"/>
      <c r="U12" s="98">
        <f xml:space="preserve"> IF( Validation!$H$3 = 1, 0, ( IF( ISNUMBER( K12 ), 0, 1 )))</f>
        <v>1</v>
      </c>
      <c r="V12" s="72"/>
      <c r="W12" s="132"/>
      <c r="X12" s="72"/>
      <c r="Y12" s="172"/>
      <c r="Z12" s="172"/>
      <c r="AA12" s="172"/>
      <c r="AB12" s="172"/>
      <c r="AC12" s="775"/>
      <c r="AD12" s="72"/>
      <c r="BA12" s="299" t="s">
        <v>5061</v>
      </c>
      <c r="BB12" s="285" t="s">
        <v>3793</v>
      </c>
      <c r="BC12" s="285"/>
      <c r="BD12" s="312" t="s">
        <v>750</v>
      </c>
      <c r="BE12" s="287">
        <v>3</v>
      </c>
      <c r="BF12" s="766" t="s">
        <v>11102</v>
      </c>
      <c r="BG12" s="767" t="s">
        <v>11103</v>
      </c>
      <c r="BH12" s="766" t="s">
        <v>11104</v>
      </c>
      <c r="BI12" s="767" t="s">
        <v>11105</v>
      </c>
      <c r="BJ12" s="2074" t="s">
        <v>12314</v>
      </c>
      <c r="BK12" s="395" t="s">
        <v>11106</v>
      </c>
    </row>
    <row r="13" spans="2:63" s="2" customFormat="1">
      <c r="B13" s="299" t="s">
        <v>5063</v>
      </c>
      <c r="C13" s="285" t="s">
        <v>3611</v>
      </c>
      <c r="D13" s="285"/>
      <c r="E13" s="312" t="s">
        <v>750</v>
      </c>
      <c r="F13" s="287">
        <v>3</v>
      </c>
      <c r="G13" s="766">
        <f xml:space="preserve"> SUM( '4D'!G14:H14 )</f>
        <v>0</v>
      </c>
      <c r="H13" s="767">
        <f xml:space="preserve"> SUM( '4D'!I14:L14 )</f>
        <v>0</v>
      </c>
      <c r="I13" s="766">
        <f xml:space="preserve"> SUM( '4E'!G14:K14 )</f>
        <v>0</v>
      </c>
      <c r="J13" s="2100">
        <f xml:space="preserve"> SUM( '4E'!L14:N14 )</f>
        <v>0</v>
      </c>
      <c r="K13" s="2119"/>
      <c r="L13" s="395">
        <f t="shared" si="0"/>
        <v>0</v>
      </c>
      <c r="M13" s="97"/>
      <c r="N13" s="135"/>
      <c r="O13" s="24" t="str">
        <f t="shared" si="1"/>
        <v>Please complete all cells in row</v>
      </c>
      <c r="P13" s="71"/>
      <c r="Q13" s="72"/>
      <c r="R13" s="132"/>
      <c r="S13" s="132"/>
      <c r="T13" s="132"/>
      <c r="U13" s="98">
        <f xml:space="preserve"> IF( Validation!$H$3 = 1, 0, ( IF( ISNUMBER( K13 ), 0, 1 )))</f>
        <v>1</v>
      </c>
      <c r="V13" s="72"/>
      <c r="W13" s="132"/>
      <c r="X13" s="72"/>
      <c r="Y13" s="172"/>
      <c r="Z13" s="172"/>
      <c r="AA13" s="172"/>
      <c r="AB13" s="172"/>
      <c r="AC13" s="681"/>
      <c r="AD13" s="72"/>
      <c r="BA13" s="299" t="s">
        <v>5063</v>
      </c>
      <c r="BB13" s="285" t="s">
        <v>3611</v>
      </c>
      <c r="BC13" s="285"/>
      <c r="BD13" s="312" t="s">
        <v>750</v>
      </c>
      <c r="BE13" s="287">
        <v>3</v>
      </c>
      <c r="BF13" s="766" t="s">
        <v>9581</v>
      </c>
      <c r="BG13" s="767" t="s">
        <v>9582</v>
      </c>
      <c r="BH13" s="766" t="s">
        <v>9583</v>
      </c>
      <c r="BI13" s="767" t="s">
        <v>9584</v>
      </c>
      <c r="BJ13" s="2074" t="s">
        <v>12295</v>
      </c>
      <c r="BK13" s="395" t="s">
        <v>9585</v>
      </c>
    </row>
    <row r="14" spans="2:63" s="2" customFormat="1" ht="15" thickBot="1">
      <c r="B14" s="300" t="s">
        <v>5064</v>
      </c>
      <c r="C14" s="290" t="s">
        <v>2592</v>
      </c>
      <c r="D14" s="290"/>
      <c r="E14" s="291" t="s">
        <v>750</v>
      </c>
      <c r="F14" s="292">
        <v>3</v>
      </c>
      <c r="G14" s="347">
        <f t="shared" ref="G14:L14" si="2" xml:space="preserve"> SUM( G6:G13 )</f>
        <v>0</v>
      </c>
      <c r="H14" s="349">
        <f t="shared" si="2"/>
        <v>0</v>
      </c>
      <c r="I14" s="405">
        <f t="shared" si="2"/>
        <v>0</v>
      </c>
      <c r="J14" s="2101">
        <f t="shared" si="2"/>
        <v>0</v>
      </c>
      <c r="K14" s="349">
        <f t="shared" si="2"/>
        <v>0</v>
      </c>
      <c r="L14" s="358">
        <f t="shared" si="2"/>
        <v>0</v>
      </c>
      <c r="M14" s="97"/>
      <c r="N14" s="135"/>
      <c r="O14" s="135"/>
      <c r="P14" s="71"/>
      <c r="Q14" s="72"/>
      <c r="R14" s="200"/>
      <c r="S14" s="200"/>
      <c r="T14" s="200"/>
      <c r="U14" s="200"/>
      <c r="V14" s="72"/>
      <c r="W14" s="75"/>
      <c r="X14" s="72"/>
      <c r="Y14" s="75"/>
      <c r="Z14" s="75"/>
      <c r="AA14" s="75"/>
      <c r="AB14" s="75"/>
      <c r="AC14" s="75"/>
      <c r="AD14" s="72"/>
      <c r="BA14" s="300" t="s">
        <v>5064</v>
      </c>
      <c r="BB14" s="290" t="s">
        <v>2592</v>
      </c>
      <c r="BC14" s="290"/>
      <c r="BD14" s="291" t="s">
        <v>750</v>
      </c>
      <c r="BE14" s="292">
        <v>3</v>
      </c>
      <c r="BF14" s="347" t="s">
        <v>9586</v>
      </c>
      <c r="BG14" s="349" t="s">
        <v>9587</v>
      </c>
      <c r="BH14" s="405" t="s">
        <v>9588</v>
      </c>
      <c r="BI14" s="349" t="s">
        <v>9589</v>
      </c>
      <c r="BJ14" s="2070" t="s">
        <v>12296</v>
      </c>
      <c r="BK14" s="358" t="s">
        <v>9590</v>
      </c>
    </row>
    <row r="15" spans="2:63" s="2" customFormat="1" ht="15" thickBot="1">
      <c r="E15" s="5"/>
      <c r="F15" s="5"/>
      <c r="G15" s="801"/>
      <c r="H15" s="801"/>
      <c r="I15" s="801"/>
      <c r="J15" s="801"/>
      <c r="K15" s="801"/>
      <c r="L15" s="801"/>
      <c r="N15" s="131"/>
      <c r="O15" s="131"/>
      <c r="P15" s="71"/>
      <c r="Q15" s="72"/>
      <c r="R15" s="200"/>
      <c r="S15" s="200"/>
      <c r="T15" s="200"/>
      <c r="U15" s="200"/>
      <c r="V15" s="72"/>
      <c r="W15" s="75"/>
      <c r="X15" s="72"/>
      <c r="Y15" s="75"/>
      <c r="Z15" s="75"/>
      <c r="AA15" s="75"/>
      <c r="AB15" s="75"/>
      <c r="AC15" s="75"/>
      <c r="AD15" s="72"/>
      <c r="BD15" s="5"/>
      <c r="BE15" s="5"/>
      <c r="BF15" s="801"/>
      <c r="BG15" s="801"/>
      <c r="BH15" s="801"/>
      <c r="BI15" s="801"/>
      <c r="BJ15" s="801"/>
      <c r="BK15" s="801"/>
    </row>
    <row r="16" spans="2:63" s="2" customFormat="1">
      <c r="B16" s="298" t="s">
        <v>5065</v>
      </c>
      <c r="C16" s="29" t="s">
        <v>2593</v>
      </c>
      <c r="D16" s="29"/>
      <c r="E16" s="311" t="s">
        <v>750</v>
      </c>
      <c r="F16" s="283">
        <v>3</v>
      </c>
      <c r="G16" s="764">
        <f xml:space="preserve"> SUM( '4D'!G17:H17 )</f>
        <v>0</v>
      </c>
      <c r="H16" s="717">
        <f xml:space="preserve"> SUM( '4D'!I17:L17 )</f>
        <v>0</v>
      </c>
      <c r="I16" s="764">
        <f xml:space="preserve"> SUM( '4E'!G17:K17 )</f>
        <v>0</v>
      </c>
      <c r="J16" s="2099">
        <f xml:space="preserve"> SUM( '4E'!L17:N17 )</f>
        <v>0</v>
      </c>
      <c r="K16" s="2118"/>
      <c r="L16" s="394">
        <f xml:space="preserve"> SUM( G16:K16 )</f>
        <v>0</v>
      </c>
      <c r="M16" s="97"/>
      <c r="N16" s="131"/>
      <c r="O16" s="24" t="str">
        <f xml:space="preserve"> IF( SUM( Q16:V16 ) = 0, 0, $R$5 )</f>
        <v>Please complete all cells in row</v>
      </c>
      <c r="P16" s="71"/>
      <c r="Q16" s="72"/>
      <c r="R16" s="132"/>
      <c r="S16" s="132"/>
      <c r="T16" s="132"/>
      <c r="U16" s="98">
        <f xml:space="preserve"> IF( Validation!$H$3 = 1, 0, ( IF( ISNUMBER( K16 ), 0, 1 )))</f>
        <v>1</v>
      </c>
      <c r="V16" s="72"/>
      <c r="W16" s="75"/>
      <c r="X16" s="72"/>
      <c r="Y16" s="75"/>
      <c r="Z16" s="75"/>
      <c r="AA16" s="75"/>
      <c r="AB16" s="75"/>
      <c r="AC16" s="75"/>
      <c r="AD16" s="72"/>
      <c r="BA16" s="298" t="s">
        <v>5065</v>
      </c>
      <c r="BB16" s="29" t="s">
        <v>2593</v>
      </c>
      <c r="BC16" s="29"/>
      <c r="BD16" s="311" t="s">
        <v>750</v>
      </c>
      <c r="BE16" s="283">
        <v>3</v>
      </c>
      <c r="BF16" s="764" t="s">
        <v>9591</v>
      </c>
      <c r="BG16" s="717" t="s">
        <v>9592</v>
      </c>
      <c r="BH16" s="764" t="s">
        <v>9593</v>
      </c>
      <c r="BI16" s="765" t="s">
        <v>9594</v>
      </c>
      <c r="BJ16" s="2073" t="s">
        <v>12297</v>
      </c>
      <c r="BK16" s="394" t="s">
        <v>9595</v>
      </c>
    </row>
    <row r="17" spans="2:63" s="2" customFormat="1" ht="15" thickBot="1">
      <c r="B17" s="300" t="s">
        <v>5074</v>
      </c>
      <c r="C17" s="31" t="s">
        <v>2594</v>
      </c>
      <c r="D17" s="31"/>
      <c r="E17" s="291" t="s">
        <v>750</v>
      </c>
      <c r="F17" s="292">
        <v>3</v>
      </c>
      <c r="G17" s="347">
        <f xml:space="preserve"> G14 + G16</f>
        <v>0</v>
      </c>
      <c r="H17" s="349">
        <f t="shared" ref="H17:J17" si="3" xml:space="preserve"> H14 + H16</f>
        <v>0</v>
      </c>
      <c r="I17" s="405">
        <f t="shared" si="3"/>
        <v>0</v>
      </c>
      <c r="J17" s="2101">
        <f t="shared" si="3"/>
        <v>0</v>
      </c>
      <c r="K17" s="349">
        <f xml:space="preserve"> K14 + K16</f>
        <v>0</v>
      </c>
      <c r="L17" s="358">
        <f t="shared" ref="L17" si="4" xml:space="preserve"> L14 + L16</f>
        <v>0</v>
      </c>
      <c r="M17" s="97"/>
      <c r="N17" s="131"/>
      <c r="O17" s="131"/>
      <c r="P17" s="71"/>
      <c r="Q17" s="72"/>
      <c r="R17" s="200"/>
      <c r="S17" s="200"/>
      <c r="T17" s="200"/>
      <c r="U17" s="200"/>
      <c r="V17" s="72"/>
      <c r="W17" s="75"/>
      <c r="X17" s="72"/>
      <c r="Y17" s="75"/>
      <c r="Z17" s="75"/>
      <c r="AA17" s="75"/>
      <c r="AB17" s="75"/>
      <c r="AC17" s="75"/>
      <c r="AD17" s="72"/>
      <c r="BA17" s="300" t="s">
        <v>5074</v>
      </c>
      <c r="BB17" s="31" t="s">
        <v>2594</v>
      </c>
      <c r="BC17" s="31"/>
      <c r="BD17" s="291" t="s">
        <v>750</v>
      </c>
      <c r="BE17" s="292">
        <v>3</v>
      </c>
      <c r="BF17" s="347" t="s">
        <v>9596</v>
      </c>
      <c r="BG17" s="349" t="s">
        <v>9597</v>
      </c>
      <c r="BH17" s="405" t="s">
        <v>9598</v>
      </c>
      <c r="BI17" s="349" t="s">
        <v>9599</v>
      </c>
      <c r="BJ17" s="2070" t="s">
        <v>12298</v>
      </c>
      <c r="BK17" s="358" t="s">
        <v>9600</v>
      </c>
    </row>
    <row r="18" spans="2:63" s="2" customFormat="1" ht="15" thickBot="1">
      <c r="E18" s="5"/>
      <c r="F18" s="5"/>
      <c r="G18" s="801"/>
      <c r="H18" s="801"/>
      <c r="I18" s="801"/>
      <c r="J18" s="801"/>
      <c r="K18" s="801"/>
      <c r="L18" s="801"/>
      <c r="N18" s="131"/>
      <c r="O18" s="131"/>
      <c r="P18" s="71"/>
      <c r="Q18" s="72"/>
      <c r="R18" s="200"/>
      <c r="S18" s="200"/>
      <c r="T18" s="200"/>
      <c r="U18" s="200"/>
      <c r="V18" s="72"/>
      <c r="W18" s="75"/>
      <c r="X18" s="72"/>
      <c r="Y18" s="75"/>
      <c r="Z18" s="75"/>
      <c r="AA18" s="75"/>
      <c r="AB18" s="75"/>
      <c r="AC18" s="75"/>
      <c r="AD18" s="72"/>
      <c r="BD18" s="5"/>
      <c r="BE18" s="5"/>
      <c r="BF18" s="801"/>
      <c r="BG18" s="801"/>
      <c r="BH18" s="801"/>
      <c r="BI18" s="801"/>
      <c r="BJ18" s="801"/>
      <c r="BK18" s="801"/>
    </row>
    <row r="19" spans="2:63" s="2" customFormat="1" ht="15" thickBot="1">
      <c r="B19" s="308" t="s">
        <v>2458</v>
      </c>
      <c r="C19" s="309" t="s">
        <v>2595</v>
      </c>
      <c r="D19" s="1587"/>
      <c r="E19" s="5"/>
      <c r="F19" s="5"/>
      <c r="G19" s="801"/>
      <c r="H19" s="801"/>
      <c r="I19" s="801"/>
      <c r="J19" s="801"/>
      <c r="K19" s="801"/>
      <c r="L19" s="801"/>
      <c r="N19" s="131"/>
      <c r="O19" s="131"/>
      <c r="P19" s="71"/>
      <c r="Q19" s="72"/>
      <c r="R19" s="200"/>
      <c r="S19" s="200"/>
      <c r="T19" s="200"/>
      <c r="U19" s="200"/>
      <c r="V19" s="72"/>
      <c r="W19" s="115"/>
      <c r="X19" s="72"/>
      <c r="Y19" s="115"/>
      <c r="Z19" s="115"/>
      <c r="AA19" s="115"/>
      <c r="AB19" s="115"/>
      <c r="AC19" s="115"/>
      <c r="AD19" s="72"/>
      <c r="BA19" s="1692" t="s">
        <v>2458</v>
      </c>
      <c r="BB19" s="309" t="s">
        <v>2595</v>
      </c>
      <c r="BC19" s="1587"/>
      <c r="BD19" s="5"/>
      <c r="BE19" s="5"/>
      <c r="BF19" s="801"/>
      <c r="BG19" s="801"/>
      <c r="BH19" s="801"/>
      <c r="BI19" s="801"/>
      <c r="BJ19" s="801"/>
      <c r="BK19" s="801"/>
    </row>
    <row r="20" spans="2:63" s="2" customFormat="1">
      <c r="B20" s="298" t="s">
        <v>5066</v>
      </c>
      <c r="C20" s="281" t="s">
        <v>2596</v>
      </c>
      <c r="D20" s="281"/>
      <c r="E20" s="311" t="s">
        <v>750</v>
      </c>
      <c r="F20" s="283">
        <v>3</v>
      </c>
      <c r="G20" s="764">
        <f xml:space="preserve"> SUM( '4D'!G21:H21 )</f>
        <v>0</v>
      </c>
      <c r="H20" s="765">
        <f xml:space="preserve"> SUM( '4D'!I21:L21 )</f>
        <v>0</v>
      </c>
      <c r="I20" s="764">
        <f xml:space="preserve"> SUM( '4E'!G21:K21 )</f>
        <v>0</v>
      </c>
      <c r="J20" s="2099">
        <f xml:space="preserve"> SUM( '4E'!L21:N21 )</f>
        <v>0</v>
      </c>
      <c r="K20" s="2118"/>
      <c r="L20" s="394">
        <f t="shared" ref="L20:L24" si="5" xml:space="preserve"> SUM( G20:K20 )</f>
        <v>0</v>
      </c>
      <c r="M20" s="97"/>
      <c r="N20" s="131"/>
      <c r="O20" s="24" t="str">
        <f t="shared" ref="O20:O24" si="6" xml:space="preserve"> IF( SUM( Q20:V20 ) = 0, 0, $R$5 )</f>
        <v>Please complete all cells in row</v>
      </c>
      <c r="P20" s="71"/>
      <c r="Q20" s="72"/>
      <c r="R20" s="132"/>
      <c r="S20" s="132"/>
      <c r="T20" s="132"/>
      <c r="U20" s="98">
        <f xml:space="preserve"> IF( Validation!$H$3 = 1, 0, ( IF( ISNUMBER( K20 ), 0, 1 )))</f>
        <v>1</v>
      </c>
      <c r="V20" s="72"/>
      <c r="W20" s="170"/>
      <c r="X20" s="72"/>
      <c r="Y20" s="170"/>
      <c r="Z20" s="170"/>
      <c r="AA20" s="170"/>
      <c r="AB20" s="170"/>
      <c r="AC20" s="170"/>
      <c r="AD20" s="72"/>
      <c r="BA20" s="298" t="s">
        <v>5066</v>
      </c>
      <c r="BB20" s="281" t="s">
        <v>2596</v>
      </c>
      <c r="BC20" s="281"/>
      <c r="BD20" s="311" t="s">
        <v>750</v>
      </c>
      <c r="BE20" s="283">
        <v>3</v>
      </c>
      <c r="BF20" s="764" t="s">
        <v>9601</v>
      </c>
      <c r="BG20" s="765" t="s">
        <v>9602</v>
      </c>
      <c r="BH20" s="764" t="s">
        <v>9603</v>
      </c>
      <c r="BI20" s="765" t="s">
        <v>9604</v>
      </c>
      <c r="BJ20" s="2073" t="s">
        <v>12299</v>
      </c>
      <c r="BK20" s="394" t="s">
        <v>9605</v>
      </c>
    </row>
    <row r="21" spans="2:63" s="2" customFormat="1">
      <c r="B21" s="299" t="s">
        <v>5067</v>
      </c>
      <c r="C21" s="285" t="s">
        <v>2597</v>
      </c>
      <c r="D21" s="285"/>
      <c r="E21" s="312" t="s">
        <v>750</v>
      </c>
      <c r="F21" s="287">
        <v>3</v>
      </c>
      <c r="G21" s="766">
        <f xml:space="preserve"> SUM( '4D'!G22:H22 )</f>
        <v>0</v>
      </c>
      <c r="H21" s="767">
        <f xml:space="preserve"> SUM( '4D'!I22:L22 )</f>
        <v>0</v>
      </c>
      <c r="I21" s="766">
        <f xml:space="preserve"> SUM( '4E'!G22:K22 )</f>
        <v>0</v>
      </c>
      <c r="J21" s="2100">
        <f xml:space="preserve"> SUM( '4E'!L22:N22 )</f>
        <v>0</v>
      </c>
      <c r="K21" s="2119"/>
      <c r="L21" s="395">
        <f t="shared" si="5"/>
        <v>0</v>
      </c>
      <c r="M21" s="97"/>
      <c r="N21" s="131"/>
      <c r="O21" s="24" t="str">
        <f t="shared" si="6"/>
        <v>Please complete all cells in row</v>
      </c>
      <c r="P21" s="71"/>
      <c r="Q21" s="72"/>
      <c r="R21" s="132"/>
      <c r="S21" s="132"/>
      <c r="T21" s="132"/>
      <c r="U21" s="98">
        <f xml:space="preserve"> IF( Validation!$H$3 = 1, 0, ( IF( ISNUMBER( K21 ), 0, 1 )))</f>
        <v>1</v>
      </c>
      <c r="V21" s="72"/>
      <c r="W21" s="170"/>
      <c r="X21" s="72"/>
      <c r="Y21" s="170"/>
      <c r="Z21" s="170"/>
      <c r="AA21" s="170"/>
      <c r="AB21" s="170"/>
      <c r="AC21" s="170"/>
      <c r="AD21" s="72"/>
      <c r="BA21" s="299" t="s">
        <v>5067</v>
      </c>
      <c r="BB21" s="285" t="s">
        <v>2597</v>
      </c>
      <c r="BC21" s="285"/>
      <c r="BD21" s="312" t="s">
        <v>750</v>
      </c>
      <c r="BE21" s="287">
        <v>3</v>
      </c>
      <c r="BF21" s="766" t="s">
        <v>9606</v>
      </c>
      <c r="BG21" s="767" t="s">
        <v>9607</v>
      </c>
      <c r="BH21" s="766" t="s">
        <v>9608</v>
      </c>
      <c r="BI21" s="767" t="s">
        <v>9609</v>
      </c>
      <c r="BJ21" s="2074" t="s">
        <v>12300</v>
      </c>
      <c r="BK21" s="395" t="s">
        <v>9610</v>
      </c>
    </row>
    <row r="22" spans="2:63" s="2" customFormat="1">
      <c r="B22" s="299" t="s">
        <v>5068</v>
      </c>
      <c r="C22" s="400" t="s">
        <v>2598</v>
      </c>
      <c r="D22" s="400"/>
      <c r="E22" s="312" t="s">
        <v>750</v>
      </c>
      <c r="F22" s="287">
        <v>3</v>
      </c>
      <c r="G22" s="766">
        <f xml:space="preserve"> SUM( '4D'!G23:H23 )</f>
        <v>0</v>
      </c>
      <c r="H22" s="767">
        <f xml:space="preserve"> SUM( '4D'!I23:L23 )</f>
        <v>0</v>
      </c>
      <c r="I22" s="766">
        <f xml:space="preserve"> SUM( '4E'!G23:K23 )</f>
        <v>0</v>
      </c>
      <c r="J22" s="2100">
        <f xml:space="preserve"> SUM( '4E'!L23:N23 )</f>
        <v>0</v>
      </c>
      <c r="K22" s="2119"/>
      <c r="L22" s="395">
        <f t="shared" si="5"/>
        <v>0</v>
      </c>
      <c r="M22" s="97"/>
      <c r="N22" s="131"/>
      <c r="O22" s="24" t="str">
        <f t="shared" si="6"/>
        <v>Please complete all cells in row</v>
      </c>
      <c r="P22" s="71"/>
      <c r="Q22" s="72"/>
      <c r="R22" s="132"/>
      <c r="S22" s="132"/>
      <c r="T22" s="132"/>
      <c r="U22" s="98">
        <f xml:space="preserve"> IF( Validation!$H$3 = 1, 0, ( IF( ISNUMBER( K22 ), 0, 1 )))</f>
        <v>1</v>
      </c>
      <c r="V22" s="72"/>
      <c r="W22" s="170"/>
      <c r="X22" s="72"/>
      <c r="Y22" s="170"/>
      <c r="Z22" s="170"/>
      <c r="AA22" s="170"/>
      <c r="AB22" s="170"/>
      <c r="AC22" s="170"/>
      <c r="AD22" s="72"/>
      <c r="BA22" s="299" t="s">
        <v>5068</v>
      </c>
      <c r="BB22" s="400" t="s">
        <v>2598</v>
      </c>
      <c r="BC22" s="400"/>
      <c r="BD22" s="312" t="s">
        <v>750</v>
      </c>
      <c r="BE22" s="287">
        <v>3</v>
      </c>
      <c r="BF22" s="766" t="s">
        <v>9611</v>
      </c>
      <c r="BG22" s="767" t="s">
        <v>9612</v>
      </c>
      <c r="BH22" s="766" t="s">
        <v>9613</v>
      </c>
      <c r="BI22" s="767" t="s">
        <v>9614</v>
      </c>
      <c r="BJ22" s="2074" t="s">
        <v>12301</v>
      </c>
      <c r="BK22" s="395" t="s">
        <v>9615</v>
      </c>
    </row>
    <row r="23" spans="2:63" s="2" customFormat="1">
      <c r="B23" s="299" t="s">
        <v>5069</v>
      </c>
      <c r="C23" s="400" t="s">
        <v>2599</v>
      </c>
      <c r="D23" s="400"/>
      <c r="E23" s="312" t="s">
        <v>750</v>
      </c>
      <c r="F23" s="287">
        <v>3</v>
      </c>
      <c r="G23" s="766">
        <f xml:space="preserve"> SUM( '4D'!G24:H24 )</f>
        <v>0</v>
      </c>
      <c r="H23" s="767">
        <f xml:space="preserve"> SUM( '4D'!I24:L24 )</f>
        <v>0</v>
      </c>
      <c r="I23" s="766">
        <f xml:space="preserve"> SUM( '4E'!G24:K24 )</f>
        <v>0</v>
      </c>
      <c r="J23" s="2100">
        <f xml:space="preserve"> SUM( '4E'!L24:N24 )</f>
        <v>0</v>
      </c>
      <c r="K23" s="2119"/>
      <c r="L23" s="395">
        <f t="shared" si="5"/>
        <v>0</v>
      </c>
      <c r="M23" s="97"/>
      <c r="N23" s="131"/>
      <c r="O23" s="24" t="str">
        <f t="shared" si="6"/>
        <v>Please complete all cells in row</v>
      </c>
      <c r="P23" s="71"/>
      <c r="Q23" s="72"/>
      <c r="R23" s="132"/>
      <c r="S23" s="132"/>
      <c r="T23" s="132"/>
      <c r="U23" s="98">
        <f xml:space="preserve"> IF( Validation!$H$3 = 1, 0, ( IF( ISNUMBER( K23 ), 0, 1 )))</f>
        <v>1</v>
      </c>
      <c r="V23" s="72"/>
      <c r="W23" s="170"/>
      <c r="X23" s="72"/>
      <c r="Y23" s="170"/>
      <c r="Z23" s="170"/>
      <c r="AA23" s="170"/>
      <c r="AB23" s="170"/>
      <c r="AC23" s="170"/>
      <c r="AD23" s="72"/>
      <c r="BA23" s="299" t="s">
        <v>5069</v>
      </c>
      <c r="BB23" s="400" t="s">
        <v>2599</v>
      </c>
      <c r="BC23" s="400"/>
      <c r="BD23" s="312" t="s">
        <v>750</v>
      </c>
      <c r="BE23" s="287">
        <v>3</v>
      </c>
      <c r="BF23" s="766" t="s">
        <v>9616</v>
      </c>
      <c r="BG23" s="767" t="s">
        <v>9617</v>
      </c>
      <c r="BH23" s="766" t="s">
        <v>9618</v>
      </c>
      <c r="BI23" s="767" t="s">
        <v>9619</v>
      </c>
      <c r="BJ23" s="2074" t="s">
        <v>12302</v>
      </c>
      <c r="BK23" s="395" t="s">
        <v>9620</v>
      </c>
    </row>
    <row r="24" spans="2:63" s="2" customFormat="1">
      <c r="B24" s="299" t="s">
        <v>5070</v>
      </c>
      <c r="C24" s="400" t="s">
        <v>3794</v>
      </c>
      <c r="D24" s="400"/>
      <c r="E24" s="312" t="s">
        <v>750</v>
      </c>
      <c r="F24" s="287">
        <v>3</v>
      </c>
      <c r="G24" s="766">
        <f xml:space="preserve"> SUM( '4D'!G25:H25 )</f>
        <v>0</v>
      </c>
      <c r="H24" s="767">
        <f xml:space="preserve"> SUM( '4D'!I25:L25 )</f>
        <v>0</v>
      </c>
      <c r="I24" s="766">
        <f xml:space="preserve"> SUM( '4E'!G25:K25 )</f>
        <v>0</v>
      </c>
      <c r="J24" s="2100">
        <f xml:space="preserve"> SUM( '4E'!L25:N25 )</f>
        <v>0</v>
      </c>
      <c r="K24" s="2119"/>
      <c r="L24" s="395">
        <f t="shared" si="5"/>
        <v>0</v>
      </c>
      <c r="M24" s="97"/>
      <c r="N24" s="131"/>
      <c r="O24" s="24" t="str">
        <f t="shared" si="6"/>
        <v>Please complete all cells in row</v>
      </c>
      <c r="P24" s="71"/>
      <c r="Q24" s="72"/>
      <c r="R24" s="132"/>
      <c r="S24" s="132"/>
      <c r="T24" s="132"/>
      <c r="U24" s="98">
        <f xml:space="preserve"> IF( Validation!$H$3 = 1, 0, ( IF( ISNUMBER( K24 ), 0, 1 )))</f>
        <v>1</v>
      </c>
      <c r="V24" s="72"/>
      <c r="W24" s="170"/>
      <c r="X24" s="72"/>
      <c r="Y24" s="170"/>
      <c r="Z24" s="170"/>
      <c r="AA24" s="170"/>
      <c r="AB24" s="170"/>
      <c r="AC24" s="170"/>
      <c r="AD24" s="72"/>
      <c r="BA24" s="299" t="s">
        <v>5070</v>
      </c>
      <c r="BB24" s="400" t="s">
        <v>3794</v>
      </c>
      <c r="BC24" s="400"/>
      <c r="BD24" s="312" t="s">
        <v>750</v>
      </c>
      <c r="BE24" s="287">
        <v>3</v>
      </c>
      <c r="BF24" s="766" t="s">
        <v>11107</v>
      </c>
      <c r="BG24" s="767" t="s">
        <v>11108</v>
      </c>
      <c r="BH24" s="766" t="s">
        <v>11109</v>
      </c>
      <c r="BI24" s="767" t="s">
        <v>11110</v>
      </c>
      <c r="BJ24" s="2074" t="s">
        <v>12311</v>
      </c>
      <c r="BK24" s="395" t="s">
        <v>11111</v>
      </c>
    </row>
    <row r="25" spans="2:63" s="2" customFormat="1">
      <c r="B25" s="299" t="s">
        <v>5071</v>
      </c>
      <c r="C25" s="285" t="s">
        <v>2600</v>
      </c>
      <c r="D25" s="285"/>
      <c r="E25" s="312" t="s">
        <v>750</v>
      </c>
      <c r="F25" s="287">
        <v>3</v>
      </c>
      <c r="G25" s="361">
        <f t="shared" ref="G25:L25" si="7" xml:space="preserve"> SUM( G20:G24 )</f>
        <v>0</v>
      </c>
      <c r="H25" s="346">
        <f t="shared" si="7"/>
        <v>0</v>
      </c>
      <c r="I25" s="404">
        <f t="shared" si="7"/>
        <v>0</v>
      </c>
      <c r="J25" s="2102">
        <f t="shared" si="7"/>
        <v>0</v>
      </c>
      <c r="K25" s="346">
        <f t="shared" si="7"/>
        <v>0</v>
      </c>
      <c r="L25" s="395">
        <f t="shared" si="7"/>
        <v>0</v>
      </c>
      <c r="M25" s="97"/>
      <c r="N25" s="131"/>
      <c r="O25" s="131"/>
      <c r="P25" s="123"/>
      <c r="Q25" s="72"/>
      <c r="R25" s="200"/>
      <c r="S25" s="200"/>
      <c r="T25" s="200"/>
      <c r="U25" s="200"/>
      <c r="V25" s="72"/>
      <c r="W25" s="170"/>
      <c r="X25" s="72"/>
      <c r="Y25" s="170"/>
      <c r="Z25" s="170"/>
      <c r="AA25" s="170"/>
      <c r="AB25" s="170"/>
      <c r="AC25" s="170"/>
      <c r="AD25" s="72"/>
      <c r="BA25" s="299" t="s">
        <v>5071</v>
      </c>
      <c r="BB25" s="285" t="s">
        <v>2600</v>
      </c>
      <c r="BC25" s="285"/>
      <c r="BD25" s="312" t="s">
        <v>750</v>
      </c>
      <c r="BE25" s="287">
        <v>3</v>
      </c>
      <c r="BF25" s="361" t="s">
        <v>9621</v>
      </c>
      <c r="BG25" s="346" t="s">
        <v>9622</v>
      </c>
      <c r="BH25" s="404" t="s">
        <v>9623</v>
      </c>
      <c r="BI25" s="346" t="s">
        <v>9624</v>
      </c>
      <c r="BJ25" s="2071" t="s">
        <v>12303</v>
      </c>
      <c r="BK25" s="395" t="s">
        <v>9625</v>
      </c>
    </row>
    <row r="26" spans="2:63" s="2" customFormat="1">
      <c r="B26" s="299" t="s">
        <v>5072</v>
      </c>
      <c r="C26" s="285" t="s">
        <v>2593</v>
      </c>
      <c r="D26" s="285"/>
      <c r="E26" s="312" t="s">
        <v>750</v>
      </c>
      <c r="F26" s="287">
        <v>3</v>
      </c>
      <c r="G26" s="766">
        <f xml:space="preserve"> SUM( '4D'!G27:H27 )</f>
        <v>0</v>
      </c>
      <c r="H26" s="767">
        <f xml:space="preserve"> SUM( '4D'!I27:L27 )</f>
        <v>0</v>
      </c>
      <c r="I26" s="766">
        <f xml:space="preserve"> SUM( '4E'!G27:K27 )</f>
        <v>0</v>
      </c>
      <c r="J26" s="2100">
        <f xml:space="preserve"> SUM( '4E'!L27:N27 )</f>
        <v>0</v>
      </c>
      <c r="K26" s="2119"/>
      <c r="L26" s="395">
        <f xml:space="preserve"> SUM( G26:K26 )</f>
        <v>0</v>
      </c>
      <c r="M26" s="97"/>
      <c r="N26" s="131"/>
      <c r="O26" s="24" t="str">
        <f xml:space="preserve"> IF( SUM( Q26:V26 ) = 0, 0, $R$5 )</f>
        <v>Please complete all cells in row</v>
      </c>
      <c r="P26" s="131"/>
      <c r="Q26" s="129"/>
      <c r="R26" s="132"/>
      <c r="S26" s="132"/>
      <c r="T26" s="132"/>
      <c r="U26" s="98">
        <f xml:space="preserve"> IF( Validation!$H$3 = 1, 0, ( IF( ISNUMBER( K26 ), 0, 1 )))</f>
        <v>1</v>
      </c>
      <c r="V26" s="129"/>
      <c r="W26" s="170"/>
      <c r="X26" s="72"/>
      <c r="Y26" s="170"/>
      <c r="Z26" s="170"/>
      <c r="AA26" s="170"/>
      <c r="AB26" s="170"/>
      <c r="AC26" s="170"/>
      <c r="AD26" s="72"/>
      <c r="BA26" s="299" t="s">
        <v>5072</v>
      </c>
      <c r="BB26" s="285" t="s">
        <v>2593</v>
      </c>
      <c r="BC26" s="285"/>
      <c r="BD26" s="312" t="s">
        <v>750</v>
      </c>
      <c r="BE26" s="287">
        <v>3</v>
      </c>
      <c r="BF26" s="766" t="s">
        <v>9626</v>
      </c>
      <c r="BG26" s="767" t="s">
        <v>9627</v>
      </c>
      <c r="BH26" s="766" t="s">
        <v>9628</v>
      </c>
      <c r="BI26" s="767" t="s">
        <v>9629</v>
      </c>
      <c r="BJ26" s="2074" t="s">
        <v>12304</v>
      </c>
      <c r="BK26" s="395" t="s">
        <v>9630</v>
      </c>
    </row>
    <row r="27" spans="2:63" s="2" customFormat="1" ht="15" thickBot="1">
      <c r="B27" s="300" t="s">
        <v>5073</v>
      </c>
      <c r="C27" s="290" t="s">
        <v>2601</v>
      </c>
      <c r="D27" s="290"/>
      <c r="E27" s="291" t="s">
        <v>750</v>
      </c>
      <c r="F27" s="292">
        <v>3</v>
      </c>
      <c r="G27" s="347">
        <f xml:space="preserve"> G25 + G26</f>
        <v>0</v>
      </c>
      <c r="H27" s="349">
        <f t="shared" ref="H27:K27" si="8" xml:space="preserve"> H25 + H26</f>
        <v>0</v>
      </c>
      <c r="I27" s="797">
        <f t="shared" si="8"/>
        <v>0</v>
      </c>
      <c r="J27" s="2103">
        <f t="shared" si="8"/>
        <v>0</v>
      </c>
      <c r="K27" s="798">
        <f t="shared" si="8"/>
        <v>0</v>
      </c>
      <c r="L27" s="358">
        <f t="shared" ref="L27" si="9" xml:space="preserve"> L25 + L26</f>
        <v>0</v>
      </c>
      <c r="M27" s="97"/>
      <c r="N27" s="131"/>
      <c r="O27" s="131"/>
      <c r="P27" s="131"/>
      <c r="Q27" s="124"/>
      <c r="R27" s="247"/>
      <c r="S27" s="247"/>
      <c r="T27" s="247"/>
      <c r="U27" s="247"/>
      <c r="V27" s="124"/>
      <c r="W27" s="170"/>
      <c r="X27" s="72"/>
      <c r="Y27" s="170"/>
      <c r="Z27" s="170"/>
      <c r="AA27" s="170"/>
      <c r="AB27" s="170"/>
      <c r="AC27" s="170"/>
      <c r="AD27" s="72"/>
      <c r="BA27" s="300" t="s">
        <v>5073</v>
      </c>
      <c r="BB27" s="290" t="s">
        <v>2601</v>
      </c>
      <c r="BC27" s="290"/>
      <c r="BD27" s="291" t="s">
        <v>750</v>
      </c>
      <c r="BE27" s="292">
        <v>3</v>
      </c>
      <c r="BF27" s="347" t="s">
        <v>9631</v>
      </c>
      <c r="BG27" s="349" t="s">
        <v>9632</v>
      </c>
      <c r="BH27" s="797" t="s">
        <v>9633</v>
      </c>
      <c r="BI27" s="798" t="s">
        <v>9634</v>
      </c>
      <c r="BJ27" s="2072" t="s">
        <v>12305</v>
      </c>
      <c r="BK27" s="358" t="s">
        <v>9635</v>
      </c>
    </row>
    <row r="28" spans="2:63" s="2" customFormat="1" ht="15" thickBot="1">
      <c r="B28" s="401"/>
      <c r="E28" s="5"/>
      <c r="F28" s="5"/>
      <c r="G28" s="801"/>
      <c r="H28" s="801"/>
      <c r="I28" s="801"/>
      <c r="J28" s="801"/>
      <c r="K28" s="801"/>
      <c r="L28" s="801"/>
      <c r="N28" s="125"/>
      <c r="O28" s="125"/>
      <c r="P28" s="131"/>
      <c r="Q28" s="124"/>
      <c r="R28" s="247"/>
      <c r="S28" s="247"/>
      <c r="T28" s="247"/>
      <c r="U28" s="247"/>
      <c r="V28" s="124"/>
      <c r="W28" s="115"/>
      <c r="X28" s="124"/>
      <c r="Y28" s="115"/>
      <c r="Z28" s="115"/>
      <c r="AA28" s="115"/>
      <c r="AB28" s="115"/>
      <c r="AC28" s="115"/>
      <c r="AD28" s="124"/>
      <c r="BA28" s="401"/>
      <c r="BD28" s="5"/>
      <c r="BE28" s="5"/>
      <c r="BF28" s="801"/>
      <c r="BG28" s="801"/>
      <c r="BH28" s="801"/>
      <c r="BI28" s="801"/>
      <c r="BJ28" s="801"/>
      <c r="BK28" s="801"/>
    </row>
    <row r="29" spans="2:63" s="2" customFormat="1" ht="15" thickBot="1">
      <c r="B29" s="776" t="s">
        <v>2464</v>
      </c>
      <c r="C29" s="309" t="s">
        <v>3612</v>
      </c>
      <c r="D29" s="1587"/>
      <c r="E29" s="5"/>
      <c r="F29" s="5"/>
      <c r="G29" s="801"/>
      <c r="H29" s="801"/>
      <c r="I29" s="801"/>
      <c r="J29" s="801"/>
      <c r="K29" s="801"/>
      <c r="L29" s="801"/>
      <c r="N29" s="131"/>
      <c r="O29" s="131"/>
      <c r="P29" s="71"/>
      <c r="Q29" s="72"/>
      <c r="R29" s="200"/>
      <c r="S29" s="200"/>
      <c r="T29" s="200"/>
      <c r="U29" s="200"/>
      <c r="V29" s="72"/>
      <c r="W29" s="115"/>
      <c r="X29" s="72"/>
      <c r="Y29" s="115"/>
      <c r="Z29" s="115"/>
      <c r="AA29" s="115"/>
      <c r="AB29" s="115"/>
      <c r="AC29" s="115"/>
      <c r="AD29" s="72"/>
      <c r="BA29" s="1692" t="s">
        <v>2464</v>
      </c>
      <c r="BB29" s="309" t="s">
        <v>3612</v>
      </c>
      <c r="BC29" s="1587"/>
      <c r="BD29" s="5"/>
      <c r="BE29" s="5"/>
      <c r="BF29" s="801"/>
      <c r="BG29" s="801"/>
      <c r="BH29" s="801"/>
      <c r="BI29" s="801"/>
      <c r="BJ29" s="801"/>
      <c r="BK29" s="801"/>
    </row>
    <row r="30" spans="2:63" s="2" customFormat="1" ht="24" customHeight="1" thickBot="1">
      <c r="B30" s="352" t="s">
        <v>5075</v>
      </c>
      <c r="C30" s="272" t="s">
        <v>3612</v>
      </c>
      <c r="D30" s="272"/>
      <c r="E30" s="353" t="s">
        <v>750</v>
      </c>
      <c r="F30" s="274">
        <v>3</v>
      </c>
      <c r="G30" s="799">
        <f xml:space="preserve"> SUM( '4D'!G31:H31 )</f>
        <v>0</v>
      </c>
      <c r="H30" s="800">
        <f xml:space="preserve"> SUM( '4D'!I31:L31 )</f>
        <v>0</v>
      </c>
      <c r="I30" s="799">
        <f xml:space="preserve"> SUM( '4E'!G31:K31 )</f>
        <v>0</v>
      </c>
      <c r="J30" s="2104">
        <f xml:space="preserve"> SUM( '4E'!L31:N31 )</f>
        <v>0</v>
      </c>
      <c r="K30" s="2120"/>
      <c r="L30" s="644">
        <f xml:space="preserve"> SUM( G30:K30 )</f>
        <v>0</v>
      </c>
      <c r="M30" s="97"/>
      <c r="N30" s="680">
        <f xml:space="preserve"> IF( SUM( V30:X30 ) = 0, 0, AC30 )</f>
        <v>0</v>
      </c>
      <c r="O30" s="24" t="str">
        <f xml:space="preserve"> IF( SUM( Q30:V30 ) = 0, 0, $R$5 )</f>
        <v>Please complete all cells in row</v>
      </c>
      <c r="P30" s="131"/>
      <c r="Q30" s="124"/>
      <c r="R30" s="132"/>
      <c r="S30" s="132"/>
      <c r="T30" s="132"/>
      <c r="U30" s="98">
        <f xml:space="preserve"> IF( Validation!$H$3 = 1, 0, ( IF( ISNUMBER( K30 ), 0, 1 )))</f>
        <v>1</v>
      </c>
      <c r="V30" s="124"/>
      <c r="W30" s="98">
        <f xml:space="preserve"> IF( (Y30 - Z30 - AA30 - AB30 ) = 0, 0, 1 )</f>
        <v>0</v>
      </c>
      <c r="X30" s="72"/>
      <c r="Y30" s="172">
        <f xml:space="preserve"> ROUND( L30, 3)</f>
        <v>0</v>
      </c>
      <c r="Z30" s="172">
        <f xml:space="preserve"> ROUND( '2E'!J13, 3 )</f>
        <v>0</v>
      </c>
      <c r="AA30" s="172">
        <f xml:space="preserve"> ROUND( '2E'!J24, 3 )</f>
        <v>0</v>
      </c>
      <c r="AB30" s="172">
        <f xml:space="preserve"> ROUND( '2E'!J35, 3 )</f>
        <v>0</v>
      </c>
      <c r="AC30" s="681" t="s">
        <v>12431</v>
      </c>
      <c r="AD30" s="129"/>
      <c r="BA30" s="352" t="s">
        <v>5075</v>
      </c>
      <c r="BB30" s="272" t="s">
        <v>3612</v>
      </c>
      <c r="BC30" s="272"/>
      <c r="BD30" s="353" t="s">
        <v>750</v>
      </c>
      <c r="BE30" s="274">
        <v>3</v>
      </c>
      <c r="BF30" s="799" t="s">
        <v>9636</v>
      </c>
      <c r="BG30" s="800" t="s">
        <v>9637</v>
      </c>
      <c r="BH30" s="799" t="s">
        <v>9638</v>
      </c>
      <c r="BI30" s="800" t="s">
        <v>9639</v>
      </c>
      <c r="BJ30" s="2075" t="s">
        <v>12306</v>
      </c>
      <c r="BK30" s="644" t="s">
        <v>9640</v>
      </c>
    </row>
    <row r="31" spans="2:63" s="2" customFormat="1" ht="15" thickBot="1">
      <c r="B31" s="401"/>
      <c r="E31" s="5"/>
      <c r="F31" s="5"/>
      <c r="G31" s="801"/>
      <c r="H31" s="801"/>
      <c r="I31" s="801"/>
      <c r="J31" s="801"/>
      <c r="K31" s="801"/>
      <c r="L31" s="801"/>
      <c r="N31" s="125"/>
      <c r="O31" s="125"/>
      <c r="P31" s="131"/>
      <c r="Q31" s="124"/>
      <c r="R31" s="247"/>
      <c r="S31" s="247"/>
      <c r="T31" s="247"/>
      <c r="U31" s="247"/>
      <c r="V31" s="124"/>
      <c r="W31" s="115"/>
      <c r="X31" s="124"/>
      <c r="Y31" s="115"/>
      <c r="Z31" s="115"/>
      <c r="AA31" s="115"/>
      <c r="AB31" s="115"/>
      <c r="AC31" s="115"/>
      <c r="AD31" s="124"/>
      <c r="BA31" s="401"/>
      <c r="BD31" s="5"/>
      <c r="BE31" s="5"/>
      <c r="BF31" s="801"/>
      <c r="BG31" s="801"/>
      <c r="BH31" s="801"/>
      <c r="BI31" s="801"/>
      <c r="BJ31" s="801"/>
      <c r="BK31" s="801"/>
    </row>
    <row r="32" spans="2:63" s="2" customFormat="1" ht="15" thickBot="1">
      <c r="B32" s="352" t="s">
        <v>5076</v>
      </c>
      <c r="C32" s="272" t="s">
        <v>2602</v>
      </c>
      <c r="D32" s="272"/>
      <c r="E32" s="353" t="s">
        <v>750</v>
      </c>
      <c r="F32" s="274">
        <v>3</v>
      </c>
      <c r="G32" s="354">
        <f xml:space="preserve"> G17 + G27 - G30</f>
        <v>0</v>
      </c>
      <c r="H32" s="356">
        <f t="shared" ref="H32:K32" si="10" xml:space="preserve"> H17 + H27 - H30</f>
        <v>0</v>
      </c>
      <c r="I32" s="802">
        <f t="shared" si="10"/>
        <v>0</v>
      </c>
      <c r="J32" s="2105">
        <f t="shared" si="10"/>
        <v>0</v>
      </c>
      <c r="K32" s="356">
        <f t="shared" si="10"/>
        <v>0</v>
      </c>
      <c r="L32" s="644">
        <f xml:space="preserve"> SUM( G32:K32 )</f>
        <v>0</v>
      </c>
      <c r="M32" s="97"/>
      <c r="N32" s="131"/>
      <c r="O32" s="131"/>
      <c r="P32" s="131"/>
      <c r="Q32" s="124"/>
      <c r="R32" s="247"/>
      <c r="S32" s="247"/>
      <c r="T32" s="247"/>
      <c r="U32" s="247"/>
      <c r="V32" s="124"/>
      <c r="W32" s="185"/>
      <c r="X32" s="124"/>
      <c r="Y32" s="185"/>
      <c r="Z32" s="185"/>
      <c r="AA32" s="185"/>
      <c r="AB32" s="185"/>
      <c r="AC32" s="185"/>
      <c r="AD32" s="124"/>
      <c r="BA32" s="352" t="s">
        <v>5076</v>
      </c>
      <c r="BB32" s="272" t="s">
        <v>2602</v>
      </c>
      <c r="BC32" s="272"/>
      <c r="BD32" s="353" t="s">
        <v>750</v>
      </c>
      <c r="BE32" s="274">
        <v>3</v>
      </c>
      <c r="BF32" s="354" t="s">
        <v>9641</v>
      </c>
      <c r="BG32" s="356" t="s">
        <v>9642</v>
      </c>
      <c r="BH32" s="802" t="s">
        <v>9643</v>
      </c>
      <c r="BI32" s="356" t="s">
        <v>9644</v>
      </c>
      <c r="BJ32" s="356" t="s">
        <v>12307</v>
      </c>
      <c r="BK32" s="644" t="s">
        <v>9645</v>
      </c>
    </row>
    <row r="33" spans="2:63" s="2" customFormat="1" ht="15" thickBot="1">
      <c r="B33" s="401"/>
      <c r="E33" s="5"/>
      <c r="F33" s="5"/>
      <c r="G33" s="801"/>
      <c r="H33" s="801"/>
      <c r="I33" s="801"/>
      <c r="J33" s="801"/>
      <c r="K33" s="801"/>
      <c r="L33" s="801"/>
      <c r="N33" s="125"/>
      <c r="O33" s="125"/>
      <c r="P33" s="131"/>
      <c r="Q33" s="124"/>
      <c r="R33" s="247"/>
      <c r="S33" s="247"/>
      <c r="T33" s="247"/>
      <c r="U33" s="247"/>
      <c r="V33" s="124"/>
      <c r="W33" s="115"/>
      <c r="X33" s="124"/>
      <c r="Y33" s="115"/>
      <c r="Z33" s="115"/>
      <c r="AA33" s="115"/>
      <c r="AB33" s="115"/>
      <c r="AC33" s="115"/>
      <c r="AD33" s="124"/>
      <c r="BA33" s="401"/>
      <c r="BD33" s="5"/>
      <c r="BE33" s="5"/>
      <c r="BF33" s="801"/>
      <c r="BG33" s="801"/>
      <c r="BH33" s="801"/>
      <c r="BI33" s="801"/>
      <c r="BJ33" s="801"/>
      <c r="BK33" s="801"/>
    </row>
    <row r="34" spans="2:63" s="2" customFormat="1" ht="15" thickBot="1">
      <c r="B34" s="308" t="s">
        <v>2473</v>
      </c>
      <c r="C34" s="309" t="s">
        <v>2603</v>
      </c>
      <c r="D34" s="1587"/>
      <c r="E34" s="5"/>
      <c r="F34" s="5"/>
      <c r="G34" s="801"/>
      <c r="H34" s="801"/>
      <c r="I34" s="801"/>
      <c r="J34" s="801"/>
      <c r="K34" s="801"/>
      <c r="L34" s="801"/>
      <c r="N34" s="125"/>
      <c r="O34" s="125"/>
      <c r="P34" s="131"/>
      <c r="Q34" s="124"/>
      <c r="R34" s="247"/>
      <c r="S34" s="247"/>
      <c r="T34" s="247"/>
      <c r="U34" s="247"/>
      <c r="V34" s="124"/>
      <c r="W34" s="115"/>
      <c r="X34" s="124"/>
      <c r="Y34" s="115"/>
      <c r="Z34" s="115"/>
      <c r="AA34" s="115"/>
      <c r="AB34" s="115"/>
      <c r="AC34" s="115"/>
      <c r="AD34" s="124"/>
      <c r="BA34" s="1692" t="s">
        <v>2473</v>
      </c>
      <c r="BB34" s="309" t="s">
        <v>2603</v>
      </c>
      <c r="BC34" s="1587"/>
      <c r="BD34" s="5"/>
      <c r="BE34" s="5"/>
      <c r="BF34" s="801"/>
      <c r="BG34" s="801"/>
      <c r="BH34" s="801"/>
      <c r="BI34" s="801"/>
      <c r="BJ34" s="801"/>
      <c r="BK34" s="801"/>
    </row>
    <row r="35" spans="2:63" s="2" customFormat="1">
      <c r="B35" s="298" t="s">
        <v>5079</v>
      </c>
      <c r="C35" s="281" t="s">
        <v>2604</v>
      </c>
      <c r="D35" s="281"/>
      <c r="E35" s="311" t="s">
        <v>750</v>
      </c>
      <c r="F35" s="283">
        <v>3</v>
      </c>
      <c r="G35" s="769">
        <f xml:space="preserve"> SUM( '4D'!G36:H36 )</f>
        <v>0</v>
      </c>
      <c r="H35" s="770">
        <f xml:space="preserve"> SUM( '4D'!I36:L36 )</f>
        <v>0</v>
      </c>
      <c r="I35" s="769">
        <f xml:space="preserve"> SUM( '4E'!G36:K36 )</f>
        <v>0</v>
      </c>
      <c r="J35" s="2106">
        <f xml:space="preserve"> SUM( '4E'!L36:N36 )</f>
        <v>0</v>
      </c>
      <c r="K35" s="2121"/>
      <c r="L35" s="394">
        <f t="shared" ref="L35:L36" si="11" xml:space="preserve"> SUM( G35:K35 )</f>
        <v>0</v>
      </c>
      <c r="M35" s="97"/>
      <c r="N35" s="135"/>
      <c r="O35" s="24" t="str">
        <f t="shared" ref="O35:O36" si="12" xml:space="preserve"> IF( SUM( Q35:V35 ) = 0, 0, $R$5 )</f>
        <v>Please complete all cells in row</v>
      </c>
      <c r="P35" s="131"/>
      <c r="Q35" s="124"/>
      <c r="R35" s="132"/>
      <c r="S35" s="132"/>
      <c r="T35" s="132"/>
      <c r="U35" s="98">
        <f xml:space="preserve"> IF( Validation!$H$3 = 1, 0, ( IF( ISNUMBER( K35 ), 0, 1 )))</f>
        <v>1</v>
      </c>
      <c r="V35" s="124"/>
      <c r="W35" s="185"/>
      <c r="X35" s="124"/>
      <c r="Y35" s="185"/>
      <c r="Z35" s="185"/>
      <c r="AA35" s="185"/>
      <c r="AB35" s="185"/>
      <c r="AC35" s="185"/>
      <c r="AD35" s="124"/>
      <c r="BA35" s="298" t="s">
        <v>5079</v>
      </c>
      <c r="BB35" s="281" t="s">
        <v>2604</v>
      </c>
      <c r="BC35" s="281"/>
      <c r="BD35" s="311" t="s">
        <v>750</v>
      </c>
      <c r="BE35" s="283">
        <v>3</v>
      </c>
      <c r="BF35" s="769" t="s">
        <v>9646</v>
      </c>
      <c r="BG35" s="770" t="s">
        <v>9647</v>
      </c>
      <c r="BH35" s="769" t="s">
        <v>9648</v>
      </c>
      <c r="BI35" s="770" t="s">
        <v>9649</v>
      </c>
      <c r="BJ35" s="2076" t="s">
        <v>12308</v>
      </c>
      <c r="BK35" s="394" t="s">
        <v>9650</v>
      </c>
    </row>
    <row r="36" spans="2:63" s="2" customFormat="1" ht="15" thickBot="1">
      <c r="B36" s="300" t="s">
        <v>5077</v>
      </c>
      <c r="C36" s="290" t="s">
        <v>2605</v>
      </c>
      <c r="D36" s="290"/>
      <c r="E36" s="291" t="s">
        <v>750</v>
      </c>
      <c r="F36" s="292">
        <v>3</v>
      </c>
      <c r="G36" s="771">
        <f xml:space="preserve"> SUM( '4D'!G37:H37 )</f>
        <v>0</v>
      </c>
      <c r="H36" s="772">
        <f xml:space="preserve"> SUM( '4D'!I37:L37 )</f>
        <v>0</v>
      </c>
      <c r="I36" s="771">
        <f xml:space="preserve"> SUM( '4E'!G37:K37 )</f>
        <v>0</v>
      </c>
      <c r="J36" s="2107">
        <f xml:space="preserve"> SUM( '4E'!L37:N37 )</f>
        <v>0</v>
      </c>
      <c r="K36" s="2122"/>
      <c r="L36" s="358">
        <f t="shared" si="11"/>
        <v>0</v>
      </c>
      <c r="M36" s="97"/>
      <c r="N36" s="125"/>
      <c r="O36" s="24" t="str">
        <f t="shared" si="12"/>
        <v>Please complete all cells in row</v>
      </c>
      <c r="P36" s="131"/>
      <c r="Q36" s="124"/>
      <c r="R36" s="132"/>
      <c r="S36" s="132"/>
      <c r="T36" s="132"/>
      <c r="U36" s="98">
        <f xml:space="preserve"> IF( Validation!$H$3 = 1, 0, ( IF( ISNUMBER( K36 ), 0, 1 )))</f>
        <v>1</v>
      </c>
      <c r="V36" s="124"/>
      <c r="W36" s="115"/>
      <c r="X36" s="124"/>
      <c r="Y36" s="115"/>
      <c r="Z36" s="115"/>
      <c r="AA36" s="115"/>
      <c r="AB36" s="115"/>
      <c r="AC36" s="115"/>
      <c r="AD36" s="124"/>
      <c r="BA36" s="300" t="s">
        <v>5077</v>
      </c>
      <c r="BB36" s="290" t="s">
        <v>2605</v>
      </c>
      <c r="BC36" s="290"/>
      <c r="BD36" s="291" t="s">
        <v>750</v>
      </c>
      <c r="BE36" s="292">
        <v>3</v>
      </c>
      <c r="BF36" s="771" t="s">
        <v>9651</v>
      </c>
      <c r="BG36" s="772" t="s">
        <v>9652</v>
      </c>
      <c r="BH36" s="771" t="s">
        <v>9653</v>
      </c>
      <c r="BI36" s="772" t="s">
        <v>9654</v>
      </c>
      <c r="BJ36" s="2077" t="s">
        <v>12309</v>
      </c>
      <c r="BK36" s="358" t="s">
        <v>9655</v>
      </c>
    </row>
    <row r="37" spans="2:63" s="2" customFormat="1" ht="15" thickBot="1">
      <c r="B37" s="278"/>
      <c r="C37" s="275"/>
      <c r="D37" s="275"/>
      <c r="E37" s="277"/>
      <c r="F37" s="277"/>
      <c r="G37" s="402"/>
      <c r="H37" s="402"/>
      <c r="I37" s="402"/>
      <c r="J37" s="402"/>
      <c r="K37" s="801"/>
      <c r="L37" s="406"/>
      <c r="M37" s="97"/>
      <c r="N37" s="125"/>
      <c r="O37" s="125"/>
      <c r="P37" s="131"/>
      <c r="Q37" s="124"/>
      <c r="R37" s="131"/>
      <c r="S37" s="131"/>
      <c r="T37" s="131"/>
      <c r="U37" s="131"/>
      <c r="V37" s="124"/>
      <c r="W37" s="115"/>
      <c r="X37" s="124"/>
      <c r="Y37" s="115"/>
      <c r="Z37" s="115"/>
      <c r="AA37" s="115"/>
      <c r="AB37" s="115"/>
      <c r="AC37" s="115"/>
      <c r="AD37" s="124"/>
      <c r="BA37" s="278"/>
      <c r="BB37" s="275"/>
      <c r="BC37" s="275"/>
      <c r="BD37" s="277"/>
      <c r="BE37" s="277"/>
      <c r="BF37" s="402"/>
      <c r="BG37" s="402"/>
      <c r="BH37" s="402"/>
      <c r="BI37" s="402"/>
      <c r="BJ37" s="402"/>
      <c r="BK37" s="406"/>
    </row>
    <row r="38" spans="2:63" s="2" customFormat="1" ht="15" thickBot="1">
      <c r="B38" s="269" t="s">
        <v>2480</v>
      </c>
      <c r="C38" s="27" t="s">
        <v>2554</v>
      </c>
      <c r="D38" s="1587"/>
      <c r="E38" s="277"/>
      <c r="F38" s="277"/>
      <c r="G38" s="402"/>
      <c r="H38" s="402"/>
      <c r="I38" s="402"/>
      <c r="J38" s="402"/>
      <c r="K38" s="801"/>
      <c r="L38" s="406"/>
      <c r="M38" s="97"/>
      <c r="N38" s="125"/>
      <c r="O38" s="125"/>
      <c r="P38" s="123"/>
      <c r="Q38" s="124"/>
      <c r="R38" s="125"/>
      <c r="S38" s="125"/>
      <c r="T38" s="125"/>
      <c r="U38" s="123"/>
      <c r="V38" s="124"/>
      <c r="W38" s="115"/>
      <c r="X38" s="124"/>
      <c r="Y38" s="115"/>
      <c r="Z38" s="115"/>
      <c r="AA38" s="115"/>
      <c r="AB38" s="115"/>
      <c r="AC38" s="115"/>
      <c r="AD38" s="124"/>
      <c r="BA38" s="269" t="s">
        <v>2480</v>
      </c>
      <c r="BB38" s="27" t="s">
        <v>2554</v>
      </c>
      <c r="BC38" s="1587"/>
      <c r="BD38" s="277"/>
      <c r="BE38" s="277"/>
      <c r="BF38" s="402"/>
      <c r="BG38" s="402"/>
      <c r="BH38" s="402"/>
      <c r="BI38" s="402"/>
      <c r="BJ38" s="402"/>
      <c r="BK38" s="406"/>
    </row>
    <row r="39" spans="2:63" s="2" customFormat="1" ht="15" thickBot="1">
      <c r="B39" s="352" t="s">
        <v>5078</v>
      </c>
      <c r="C39" s="272" t="s">
        <v>2606</v>
      </c>
      <c r="D39" s="272"/>
      <c r="E39" s="353" t="s">
        <v>750</v>
      </c>
      <c r="F39" s="274">
        <v>3</v>
      </c>
      <c r="G39" s="354">
        <f xml:space="preserve"> G32 + SUM( G35:G36 )</f>
        <v>0</v>
      </c>
      <c r="H39" s="356">
        <f t="shared" ref="H39:K39" si="13" xml:space="preserve"> H32 + SUM( H35:H36 )</f>
        <v>0</v>
      </c>
      <c r="I39" s="802">
        <f xml:space="preserve"> I32 + SUM( I35:I36 )</f>
        <v>0</v>
      </c>
      <c r="J39" s="2105">
        <f t="shared" si="13"/>
        <v>0</v>
      </c>
      <c r="K39" s="356">
        <f t="shared" si="13"/>
        <v>0</v>
      </c>
      <c r="L39" s="644">
        <f t="shared" ref="L39" si="14" xml:space="preserve"> L32 + SUM( L35:L36 )</f>
        <v>0</v>
      </c>
      <c r="M39" s="97"/>
      <c r="N39" s="125"/>
      <c r="O39" s="125"/>
      <c r="P39" s="123"/>
      <c r="Q39" s="129"/>
      <c r="R39" s="125"/>
      <c r="S39" s="125"/>
      <c r="T39" s="125"/>
      <c r="U39" s="123"/>
      <c r="V39" s="129"/>
      <c r="W39" s="115"/>
      <c r="X39" s="124"/>
      <c r="Y39" s="115"/>
      <c r="Z39" s="115"/>
      <c r="AA39" s="115"/>
      <c r="AB39" s="115"/>
      <c r="AC39" s="115"/>
      <c r="AD39" s="124"/>
      <c r="BA39" s="352" t="s">
        <v>5078</v>
      </c>
      <c r="BB39" s="272" t="s">
        <v>2606</v>
      </c>
      <c r="BC39" s="272"/>
      <c r="BD39" s="353" t="s">
        <v>750</v>
      </c>
      <c r="BE39" s="274">
        <v>3</v>
      </c>
      <c r="BF39" s="354" t="s">
        <v>9656</v>
      </c>
      <c r="BG39" s="356" t="s">
        <v>9657</v>
      </c>
      <c r="BH39" s="802" t="s">
        <v>9658</v>
      </c>
      <c r="BI39" s="356" t="s">
        <v>9659</v>
      </c>
      <c r="BJ39" s="2094" t="s">
        <v>12310</v>
      </c>
      <c r="BK39" s="644" t="s">
        <v>9660</v>
      </c>
    </row>
    <row r="40" spans="2:63" s="115" customFormat="1">
      <c r="C40" s="157"/>
      <c r="D40" s="157"/>
      <c r="J40" s="170"/>
      <c r="K40" s="170"/>
      <c r="M40" s="123"/>
      <c r="N40" s="125"/>
      <c r="O40" s="125"/>
      <c r="P40" s="123"/>
      <c r="Q40" s="129"/>
      <c r="R40" s="135"/>
      <c r="S40" s="135"/>
      <c r="T40" s="135"/>
      <c r="U40" s="123"/>
      <c r="V40" s="129"/>
      <c r="X40" s="124"/>
      <c r="AD40" s="124"/>
      <c r="BB40" s="157"/>
      <c r="BC40" s="157"/>
      <c r="BI40" s="170"/>
      <c r="BJ40" s="170"/>
    </row>
    <row r="41" spans="2:63" s="170" customFormat="1">
      <c r="B41" s="3220" t="s">
        <v>2420</v>
      </c>
      <c r="C41" s="3220"/>
      <c r="D41" s="1449"/>
      <c r="M41" s="131"/>
      <c r="N41" s="125"/>
      <c r="O41" s="125"/>
      <c r="P41" s="123"/>
      <c r="Q41" s="129"/>
      <c r="R41" s="125"/>
      <c r="S41" s="125"/>
      <c r="T41" s="125"/>
      <c r="U41" s="123"/>
      <c r="V41" s="129"/>
      <c r="W41" s="115"/>
      <c r="X41" s="124"/>
      <c r="Y41" s="115"/>
      <c r="Z41" s="115"/>
      <c r="AA41" s="115"/>
      <c r="AB41" s="115"/>
      <c r="AC41" s="115"/>
      <c r="AD41" s="124"/>
    </row>
    <row r="42" spans="2:63" s="170" customFormat="1">
      <c r="B42" s="146"/>
      <c r="C42" s="147"/>
      <c r="D42" s="147"/>
      <c r="M42" s="131"/>
      <c r="N42" s="125"/>
      <c r="O42" s="125"/>
      <c r="P42" s="115"/>
      <c r="Q42" s="129"/>
      <c r="R42" s="115"/>
      <c r="S42" s="115"/>
      <c r="T42" s="115"/>
      <c r="U42" s="115"/>
      <c r="V42" s="129"/>
      <c r="W42" s="115"/>
      <c r="X42" s="124"/>
      <c r="Y42" s="115"/>
      <c r="Z42" s="115"/>
      <c r="AA42" s="115"/>
      <c r="AB42" s="115"/>
      <c r="AC42" s="115"/>
      <c r="AD42" s="124"/>
    </row>
    <row r="43" spans="2:63" s="170" customFormat="1">
      <c r="B43" s="25"/>
      <c r="C43" s="148" t="s">
        <v>2421</v>
      </c>
      <c r="D43" s="148"/>
      <c r="M43" s="131"/>
      <c r="N43" s="125"/>
      <c r="O43" s="125"/>
      <c r="P43" s="115"/>
      <c r="Q43" s="129"/>
      <c r="R43" s="115"/>
      <c r="S43" s="115"/>
      <c r="T43" s="115"/>
      <c r="U43" s="115"/>
      <c r="V43" s="129"/>
      <c r="W43" s="115"/>
      <c r="X43" s="129"/>
      <c r="Y43" s="115"/>
      <c r="Z43" s="115"/>
      <c r="AA43" s="115"/>
      <c r="AB43" s="115"/>
      <c r="AC43" s="115"/>
      <c r="AD43" s="129"/>
    </row>
    <row r="44" spans="2:63" s="170" customFormat="1">
      <c r="B44" s="146"/>
      <c r="C44" s="147"/>
      <c r="D44" s="147"/>
      <c r="M44" s="131"/>
      <c r="N44" s="125"/>
      <c r="O44" s="125"/>
      <c r="P44" s="125"/>
      <c r="Q44" s="129"/>
      <c r="R44" s="125"/>
      <c r="S44" s="125"/>
      <c r="T44" s="125"/>
      <c r="U44" s="125"/>
      <c r="V44" s="129"/>
      <c r="W44" s="115"/>
      <c r="X44" s="129"/>
      <c r="Y44" s="115"/>
      <c r="Z44" s="115"/>
      <c r="AA44" s="115"/>
      <c r="AB44" s="115"/>
      <c r="AC44" s="115"/>
      <c r="AD44" s="129"/>
    </row>
    <row r="45" spans="2:63" s="170" customFormat="1">
      <c r="B45" s="149"/>
      <c r="C45" s="148" t="s">
        <v>2422</v>
      </c>
      <c r="D45" s="148"/>
      <c r="M45" s="131"/>
      <c r="N45" s="125"/>
      <c r="O45" s="125"/>
      <c r="P45" s="125"/>
      <c r="Q45" s="129"/>
      <c r="R45" s="125"/>
      <c r="S45" s="125"/>
      <c r="T45" s="125"/>
      <c r="U45" s="125"/>
      <c r="V45" s="129"/>
      <c r="W45" s="115"/>
      <c r="X45" s="129"/>
      <c r="Y45" s="115"/>
      <c r="Z45" s="115"/>
      <c r="AA45" s="115"/>
      <c r="AB45" s="115"/>
      <c r="AC45" s="115"/>
      <c r="AD45" s="129"/>
    </row>
    <row r="46" spans="2:63" s="170" customFormat="1">
      <c r="B46" s="150"/>
      <c r="C46" s="148"/>
      <c r="D46" s="148"/>
      <c r="M46" s="131"/>
      <c r="N46" s="125"/>
      <c r="O46" s="125"/>
      <c r="P46" s="125"/>
      <c r="Q46" s="129"/>
      <c r="R46" s="125"/>
      <c r="S46" s="125"/>
      <c r="T46" s="125"/>
      <c r="U46" s="125"/>
      <c r="V46" s="129"/>
      <c r="W46" s="115"/>
      <c r="X46" s="129"/>
      <c r="Y46" s="115"/>
      <c r="Z46" s="115"/>
      <c r="AA46" s="115"/>
      <c r="AB46" s="115"/>
      <c r="AC46" s="115"/>
      <c r="AD46" s="129"/>
    </row>
    <row r="47" spans="2:63" s="185" customFormat="1" ht="15" thickBot="1">
      <c r="C47" s="186"/>
      <c r="D47" s="186"/>
      <c r="M47" s="135"/>
      <c r="N47" s="75"/>
      <c r="O47" s="75"/>
      <c r="P47" s="71"/>
      <c r="Q47" s="72"/>
      <c r="R47" s="71"/>
      <c r="S47" s="71"/>
      <c r="T47" s="71"/>
      <c r="U47" s="71"/>
      <c r="V47" s="72"/>
      <c r="W47" s="75"/>
      <c r="X47" s="129"/>
      <c r="Y47" s="75"/>
      <c r="Z47" s="75"/>
      <c r="AA47" s="75"/>
      <c r="AB47" s="75"/>
      <c r="AC47" s="75"/>
      <c r="AD47" s="129"/>
    </row>
    <row r="48" spans="2:63" s="185" customFormat="1" ht="15" thickBot="1">
      <c r="B48" s="1433" t="s">
        <v>12572</v>
      </c>
      <c r="C48" s="152"/>
      <c r="D48" s="152"/>
      <c r="E48" s="153"/>
      <c r="F48" s="153"/>
      <c r="G48" s="153"/>
      <c r="H48" s="153"/>
      <c r="I48" s="153"/>
      <c r="J48" s="153"/>
      <c r="K48" s="153"/>
      <c r="L48" s="259"/>
      <c r="M48" s="135"/>
      <c r="N48" s="75"/>
      <c r="O48" s="75"/>
      <c r="P48" s="71"/>
      <c r="Q48" s="72"/>
      <c r="R48" s="71"/>
      <c r="S48" s="71"/>
      <c r="T48" s="71"/>
      <c r="U48" s="71"/>
      <c r="V48" s="72"/>
      <c r="W48" s="75"/>
      <c r="X48" s="129"/>
      <c r="Y48" s="75"/>
      <c r="Z48" s="75"/>
      <c r="AA48" s="75"/>
      <c r="AB48" s="75"/>
      <c r="AC48" s="75"/>
      <c r="AD48" s="129"/>
    </row>
    <row r="49" spans="1:30" s="185" customFormat="1">
      <c r="C49" s="186"/>
      <c r="D49" s="186"/>
      <c r="M49" s="135"/>
      <c r="N49" s="75"/>
      <c r="O49" s="75"/>
      <c r="P49" s="71"/>
      <c r="Q49" s="72"/>
      <c r="R49" s="71"/>
      <c r="S49" s="71"/>
      <c r="T49" s="71"/>
      <c r="U49" s="71"/>
      <c r="V49" s="72"/>
      <c r="W49" s="75"/>
      <c r="X49" s="129"/>
      <c r="Y49" s="75"/>
      <c r="Z49" s="75"/>
      <c r="AA49" s="75"/>
      <c r="AB49" s="75"/>
      <c r="AC49" s="75"/>
      <c r="AD49" s="129"/>
    </row>
    <row r="50" spans="1:30" s="115" customFormat="1" ht="15" hidden="1" thickBot="1">
      <c r="A50" s="1643"/>
      <c r="B50" s="151" t="str">
        <f ca="1" xml:space="preserve"> RIGHT(CELL("filename", $A$1), LEN(CELL("filename", $A$1)) - SEARCH("]", CELL("filename", $A$1)))&amp;" - Line definitions"</f>
        <v>2B - Line definitions</v>
      </c>
      <c r="C50" s="152"/>
      <c r="D50" s="152"/>
      <c r="E50" s="153"/>
      <c r="F50" s="153"/>
      <c r="G50" s="153"/>
      <c r="H50" s="153"/>
      <c r="I50" s="153"/>
      <c r="J50" s="153"/>
      <c r="K50" s="153"/>
      <c r="L50" s="259"/>
      <c r="M50" s="135"/>
      <c r="N50" s="75"/>
      <c r="O50" s="75"/>
      <c r="P50" s="71"/>
      <c r="Q50" s="72"/>
      <c r="R50" s="71"/>
      <c r="S50" s="71"/>
      <c r="T50" s="71"/>
      <c r="U50" s="71"/>
      <c r="V50" s="72"/>
      <c r="W50" s="75"/>
      <c r="X50" s="129"/>
      <c r="Y50" s="75"/>
      <c r="Z50" s="75"/>
      <c r="AA50" s="75"/>
      <c r="AB50" s="75"/>
      <c r="AC50" s="75"/>
      <c r="AD50" s="129"/>
    </row>
    <row r="51" spans="1:30" s="115" customFormat="1" ht="15" hidden="1" thickBot="1">
      <c r="A51" s="1643"/>
      <c r="B51" s="75"/>
      <c r="C51" s="160"/>
      <c r="D51" s="160"/>
      <c r="E51" s="75"/>
      <c r="F51" s="75"/>
      <c r="G51" s="75"/>
      <c r="H51" s="75"/>
      <c r="I51" s="75"/>
      <c r="M51" s="135"/>
      <c r="N51" s="75"/>
      <c r="O51" s="75"/>
      <c r="P51" s="71"/>
      <c r="Q51" s="72"/>
      <c r="U51" s="71"/>
      <c r="V51" s="72"/>
      <c r="W51" s="75"/>
      <c r="X51" s="129"/>
      <c r="Y51" s="75"/>
      <c r="Z51" s="75"/>
      <c r="AA51" s="75"/>
      <c r="AB51" s="75"/>
      <c r="AC51" s="75"/>
      <c r="AD51" s="129"/>
    </row>
    <row r="52" spans="1:30" s="185" customFormat="1" ht="15" hidden="1" thickBot="1">
      <c r="A52" s="1644"/>
      <c r="B52" s="381" t="s">
        <v>2423</v>
      </c>
      <c r="C52" s="382" t="s">
        <v>2424</v>
      </c>
      <c r="D52" s="383"/>
      <c r="E52" s="383"/>
      <c r="F52" s="383"/>
      <c r="G52" s="383"/>
      <c r="H52" s="383"/>
      <c r="I52" s="383"/>
      <c r="J52" s="383"/>
      <c r="K52" s="383"/>
      <c r="L52" s="403"/>
      <c r="M52" s="2"/>
      <c r="N52" s="75"/>
      <c r="O52" s="75"/>
      <c r="P52" s="71"/>
      <c r="Q52" s="72"/>
      <c r="R52" s="90" t="s">
        <v>2425</v>
      </c>
      <c r="S52" s="90"/>
      <c r="T52" s="90"/>
      <c r="U52" s="71"/>
      <c r="V52" s="72"/>
      <c r="W52" s="75"/>
      <c r="X52" s="72"/>
      <c r="Y52" s="75"/>
      <c r="Z52" s="75"/>
      <c r="AA52" s="75"/>
      <c r="AB52" s="75"/>
      <c r="AC52" s="75"/>
      <c r="AD52" s="72"/>
    </row>
    <row r="53" spans="1:30" s="115" customFormat="1" ht="23.25" hidden="1" customHeight="1">
      <c r="A53" s="1643"/>
      <c r="B53" s="188" t="s">
        <v>5056</v>
      </c>
      <c r="C53" s="3271" t="s">
        <v>3613</v>
      </c>
      <c r="D53" s="3272"/>
      <c r="E53" s="3272"/>
      <c r="F53" s="3272"/>
      <c r="G53" s="3272"/>
      <c r="H53" s="3272"/>
      <c r="I53" s="3272"/>
      <c r="J53" s="3272"/>
      <c r="K53" s="3272"/>
      <c r="L53" s="3273"/>
      <c r="M53" s="2"/>
      <c r="N53" s="75"/>
      <c r="O53" s="75"/>
      <c r="P53" s="71"/>
      <c r="Q53" s="72"/>
      <c r="R53" s="168" t="s">
        <v>2428</v>
      </c>
      <c r="S53" s="165"/>
      <c r="T53" s="165"/>
      <c r="U53" s="71"/>
      <c r="V53" s="72"/>
      <c r="W53" s="75"/>
      <c r="X53" s="72"/>
      <c r="Y53" s="75"/>
      <c r="Z53" s="75"/>
      <c r="AA53" s="75"/>
      <c r="AB53" s="75"/>
      <c r="AC53" s="75"/>
      <c r="AD53" s="72"/>
    </row>
    <row r="54" spans="1:30" s="115" customFormat="1" ht="64.5" hidden="1" customHeight="1">
      <c r="A54" s="1643"/>
      <c r="B54" s="166" t="s">
        <v>5058</v>
      </c>
      <c r="C54" s="3268" t="s">
        <v>12904</v>
      </c>
      <c r="D54" s="3269"/>
      <c r="E54" s="3269"/>
      <c r="F54" s="3269"/>
      <c r="G54" s="3269"/>
      <c r="H54" s="3269"/>
      <c r="I54" s="3269"/>
      <c r="J54" s="3269"/>
      <c r="K54" s="3269"/>
      <c r="L54" s="3270"/>
      <c r="M54" s="2"/>
      <c r="N54" s="75"/>
      <c r="O54" s="75"/>
      <c r="P54" s="71"/>
      <c r="Q54" s="72"/>
      <c r="R54" s="168" t="s">
        <v>3344</v>
      </c>
      <c r="S54" s="168"/>
      <c r="T54" s="168"/>
      <c r="U54" s="71"/>
      <c r="V54" s="72"/>
      <c r="W54" s="75"/>
      <c r="X54" s="72"/>
      <c r="Y54" s="75"/>
      <c r="Z54" s="75"/>
      <c r="AA54" s="75"/>
      <c r="AB54" s="75"/>
      <c r="AC54" s="75"/>
      <c r="AD54" s="72"/>
    </row>
    <row r="55" spans="1:30" s="115" customFormat="1" ht="13.5" hidden="1" customHeight="1">
      <c r="A55" s="1643"/>
      <c r="B55" s="166" t="s">
        <v>5057</v>
      </c>
      <c r="C55" s="3268" t="s">
        <v>2607</v>
      </c>
      <c r="D55" s="3269"/>
      <c r="E55" s="3269"/>
      <c r="F55" s="3269"/>
      <c r="G55" s="3269"/>
      <c r="H55" s="3269"/>
      <c r="I55" s="3269"/>
      <c r="J55" s="3269"/>
      <c r="K55" s="3269"/>
      <c r="L55" s="3270"/>
      <c r="M55" s="2"/>
      <c r="N55" s="75"/>
      <c r="O55" s="75"/>
      <c r="P55" s="71"/>
      <c r="Q55" s="72"/>
      <c r="R55" s="165">
        <v>1</v>
      </c>
      <c r="S55" s="165"/>
      <c r="T55" s="165"/>
      <c r="U55" s="71"/>
      <c r="V55" s="72"/>
      <c r="W55" s="75"/>
      <c r="X55" s="72"/>
      <c r="Y55" s="75"/>
      <c r="Z55" s="75"/>
      <c r="AA55" s="75"/>
      <c r="AB55" s="75"/>
      <c r="AC55" s="75"/>
      <c r="AD55" s="72"/>
    </row>
    <row r="56" spans="1:30" s="115" customFormat="1" ht="16.5" hidden="1" customHeight="1">
      <c r="A56" s="1643"/>
      <c r="B56" s="166" t="s">
        <v>5059</v>
      </c>
      <c r="C56" s="3268" t="s">
        <v>2608</v>
      </c>
      <c r="D56" s="3269"/>
      <c r="E56" s="3269"/>
      <c r="F56" s="3269"/>
      <c r="G56" s="3269"/>
      <c r="H56" s="3269"/>
      <c r="I56" s="3269"/>
      <c r="J56" s="3269"/>
      <c r="K56" s="3269"/>
      <c r="L56" s="3270"/>
      <c r="M56" s="2"/>
      <c r="N56" s="75"/>
      <c r="O56" s="75"/>
      <c r="P56" s="71"/>
      <c r="Q56" s="72"/>
      <c r="R56" s="168" t="s">
        <v>2428</v>
      </c>
      <c r="S56" s="168"/>
      <c r="T56" s="168"/>
      <c r="U56" s="71"/>
      <c r="V56" s="72"/>
      <c r="W56" s="75"/>
      <c r="X56" s="72"/>
      <c r="Y56" s="75"/>
      <c r="Z56" s="75"/>
      <c r="AA56" s="75"/>
      <c r="AB56" s="75"/>
      <c r="AC56" s="75"/>
      <c r="AD56" s="72"/>
    </row>
    <row r="57" spans="1:30" s="115" customFormat="1" ht="23.25" hidden="1" customHeight="1">
      <c r="A57" s="1643"/>
      <c r="B57" s="166" t="s">
        <v>5060</v>
      </c>
      <c r="C57" s="3268" t="s">
        <v>3795</v>
      </c>
      <c r="D57" s="3269"/>
      <c r="E57" s="3269"/>
      <c r="F57" s="3269"/>
      <c r="G57" s="3269"/>
      <c r="H57" s="3269"/>
      <c r="I57" s="3269"/>
      <c r="J57" s="3269"/>
      <c r="K57" s="3269"/>
      <c r="L57" s="3270"/>
      <c r="M57" s="2"/>
      <c r="N57" s="75"/>
      <c r="O57" s="75"/>
      <c r="P57" s="71"/>
      <c r="Q57" s="72"/>
      <c r="R57" s="168" t="s">
        <v>2428</v>
      </c>
      <c r="S57" s="165"/>
      <c r="T57" s="165"/>
      <c r="U57" s="71"/>
      <c r="V57" s="72"/>
      <c r="W57" s="75"/>
      <c r="X57" s="72"/>
      <c r="Y57" s="75"/>
      <c r="Z57" s="75"/>
      <c r="AA57" s="75"/>
      <c r="AB57" s="75"/>
      <c r="AC57" s="75"/>
      <c r="AD57" s="72"/>
    </row>
    <row r="58" spans="1:30" s="115" customFormat="1" ht="23.25" hidden="1" customHeight="1">
      <c r="A58" s="1643"/>
      <c r="B58" s="166" t="s">
        <v>5062</v>
      </c>
      <c r="C58" s="3268" t="s">
        <v>3796</v>
      </c>
      <c r="D58" s="3269"/>
      <c r="E58" s="3269"/>
      <c r="F58" s="3269"/>
      <c r="G58" s="3269"/>
      <c r="H58" s="3269"/>
      <c r="I58" s="3269"/>
      <c r="J58" s="3269"/>
      <c r="K58" s="3269"/>
      <c r="L58" s="3270"/>
      <c r="M58" s="2"/>
      <c r="N58" s="75"/>
      <c r="O58" s="75"/>
      <c r="P58" s="71"/>
      <c r="Q58" s="72"/>
      <c r="R58" s="168" t="s">
        <v>2428</v>
      </c>
      <c r="S58" s="165"/>
      <c r="T58" s="165"/>
      <c r="U58" s="71"/>
      <c r="V58" s="72"/>
      <c r="W58" s="75"/>
      <c r="X58" s="72"/>
      <c r="Y58" s="75"/>
      <c r="Z58" s="75"/>
      <c r="AA58" s="75"/>
      <c r="AB58" s="75"/>
      <c r="AC58" s="75"/>
      <c r="AD58" s="72"/>
    </row>
    <row r="59" spans="1:30" s="115" customFormat="1" hidden="1">
      <c r="A59" s="1643"/>
      <c r="B59" s="166" t="s">
        <v>5061</v>
      </c>
      <c r="C59" s="3268" t="s">
        <v>3797</v>
      </c>
      <c r="D59" s="3269"/>
      <c r="E59" s="3269"/>
      <c r="F59" s="3269"/>
      <c r="G59" s="3269"/>
      <c r="H59" s="3269"/>
      <c r="I59" s="3269"/>
      <c r="J59" s="3269"/>
      <c r="K59" s="3269"/>
      <c r="L59" s="3270"/>
      <c r="M59" s="2"/>
      <c r="N59" s="75"/>
      <c r="O59" s="75"/>
      <c r="P59" s="71"/>
      <c r="Q59" s="72"/>
      <c r="R59" s="165">
        <v>1</v>
      </c>
      <c r="S59" s="165"/>
      <c r="T59" s="165"/>
      <c r="U59" s="71"/>
      <c r="V59" s="72"/>
      <c r="W59" s="75"/>
      <c r="X59" s="72"/>
      <c r="Y59" s="75"/>
      <c r="Z59" s="75"/>
      <c r="AA59" s="75"/>
      <c r="AB59" s="75"/>
      <c r="AC59" s="75"/>
      <c r="AD59" s="72"/>
    </row>
    <row r="60" spans="1:30" s="115" customFormat="1" ht="16.149999999999999" hidden="1" customHeight="1">
      <c r="A60" s="1643"/>
      <c r="B60" s="166" t="s">
        <v>5063</v>
      </c>
      <c r="C60" s="3268" t="s">
        <v>2609</v>
      </c>
      <c r="D60" s="3269"/>
      <c r="E60" s="3269"/>
      <c r="F60" s="3269"/>
      <c r="G60" s="3269"/>
      <c r="H60" s="3269"/>
      <c r="I60" s="3269"/>
      <c r="J60" s="3269"/>
      <c r="K60" s="3269"/>
      <c r="L60" s="3270"/>
      <c r="M60" s="2"/>
      <c r="N60" s="75"/>
      <c r="O60" s="75"/>
      <c r="P60" s="71"/>
      <c r="Q60" s="72"/>
      <c r="R60" s="168" t="s">
        <v>2428</v>
      </c>
      <c r="S60" s="168"/>
      <c r="T60" s="168"/>
      <c r="U60" s="71"/>
      <c r="V60" s="72"/>
      <c r="W60" s="75"/>
      <c r="X60" s="72"/>
      <c r="Y60" s="75"/>
      <c r="Z60" s="75"/>
      <c r="AA60" s="75"/>
      <c r="AB60" s="75"/>
      <c r="AC60" s="75"/>
      <c r="AD60" s="72"/>
    </row>
    <row r="61" spans="1:30" s="115" customFormat="1" ht="13.5" hidden="1" customHeight="1">
      <c r="A61" s="1643"/>
      <c r="B61" s="166" t="s">
        <v>5064</v>
      </c>
      <c r="C61" s="3268" t="s">
        <v>3798</v>
      </c>
      <c r="D61" s="3269"/>
      <c r="E61" s="3269"/>
      <c r="F61" s="3269"/>
      <c r="G61" s="3269"/>
      <c r="H61" s="3269"/>
      <c r="I61" s="3269"/>
      <c r="J61" s="3269"/>
      <c r="K61" s="3269"/>
      <c r="L61" s="3270"/>
      <c r="M61" s="2"/>
      <c r="N61" s="75"/>
      <c r="O61" s="75"/>
      <c r="P61" s="71"/>
      <c r="Q61" s="72"/>
      <c r="R61" s="165">
        <v>1</v>
      </c>
      <c r="S61" s="165"/>
      <c r="T61" s="165"/>
      <c r="U61" s="71"/>
      <c r="V61" s="72"/>
      <c r="W61" s="75"/>
      <c r="X61" s="72"/>
      <c r="Y61" s="75"/>
      <c r="Z61" s="75"/>
      <c r="AA61" s="75"/>
      <c r="AB61" s="75"/>
      <c r="AC61" s="75"/>
      <c r="AD61" s="72"/>
    </row>
    <row r="62" spans="1:30" s="115" customFormat="1" ht="17.649999999999999" hidden="1" customHeight="1">
      <c r="A62" s="1643"/>
      <c r="B62" s="166" t="s">
        <v>5065</v>
      </c>
      <c r="C62" s="3268" t="s">
        <v>2610</v>
      </c>
      <c r="D62" s="3269"/>
      <c r="E62" s="3269"/>
      <c r="F62" s="3269"/>
      <c r="G62" s="3269"/>
      <c r="H62" s="3269"/>
      <c r="I62" s="3269"/>
      <c r="J62" s="3269"/>
      <c r="K62" s="3269"/>
      <c r="L62" s="3270"/>
      <c r="M62" s="2"/>
      <c r="N62" s="75"/>
      <c r="O62" s="75"/>
      <c r="P62" s="71"/>
      <c r="Q62" s="72"/>
      <c r="R62" s="168" t="s">
        <v>2428</v>
      </c>
      <c r="S62" s="168"/>
      <c r="T62" s="168"/>
      <c r="U62" s="71"/>
      <c r="V62" s="72"/>
      <c r="W62" s="75"/>
      <c r="X62" s="72"/>
      <c r="Y62" s="75"/>
      <c r="Z62" s="75"/>
      <c r="AA62" s="75"/>
      <c r="AB62" s="75"/>
      <c r="AC62" s="75"/>
      <c r="AD62" s="72"/>
    </row>
    <row r="63" spans="1:30" s="115" customFormat="1" ht="18.75" hidden="1" customHeight="1">
      <c r="A63" s="1643"/>
      <c r="B63" s="166" t="s">
        <v>5074</v>
      </c>
      <c r="C63" s="3268" t="s">
        <v>3799</v>
      </c>
      <c r="D63" s="3269"/>
      <c r="E63" s="3269"/>
      <c r="F63" s="3269"/>
      <c r="G63" s="3269"/>
      <c r="H63" s="3269"/>
      <c r="I63" s="3269"/>
      <c r="J63" s="3269"/>
      <c r="K63" s="3269"/>
      <c r="L63" s="3270"/>
      <c r="M63" s="2"/>
      <c r="N63" s="75"/>
      <c r="O63" s="75"/>
      <c r="P63" s="71"/>
      <c r="Q63" s="72"/>
      <c r="R63" s="168" t="s">
        <v>2428</v>
      </c>
      <c r="S63" s="168"/>
      <c r="T63" s="168"/>
      <c r="U63" s="71"/>
      <c r="V63" s="72"/>
      <c r="W63" s="75"/>
      <c r="X63" s="72"/>
      <c r="Y63" s="75"/>
      <c r="Z63" s="75"/>
      <c r="AA63" s="75"/>
      <c r="AB63" s="75"/>
      <c r="AC63" s="75"/>
      <c r="AD63" s="72"/>
    </row>
    <row r="64" spans="1:30" s="115" customFormat="1" ht="23.25" hidden="1" customHeight="1">
      <c r="A64" s="1643"/>
      <c r="B64" s="166" t="s">
        <v>5066</v>
      </c>
      <c r="C64" s="3268" t="s">
        <v>3800</v>
      </c>
      <c r="D64" s="3269"/>
      <c r="E64" s="3269"/>
      <c r="F64" s="3269"/>
      <c r="G64" s="3269"/>
      <c r="H64" s="3269"/>
      <c r="I64" s="3269"/>
      <c r="J64" s="3269"/>
      <c r="K64" s="3269"/>
      <c r="L64" s="3270"/>
      <c r="M64" s="2"/>
      <c r="N64" s="75"/>
      <c r="O64" s="75"/>
      <c r="P64" s="71"/>
      <c r="Q64" s="72"/>
      <c r="R64" s="168" t="s">
        <v>2428</v>
      </c>
      <c r="S64" s="168"/>
      <c r="T64" s="168"/>
      <c r="U64" s="71"/>
      <c r="V64" s="72"/>
      <c r="W64" s="75"/>
      <c r="X64" s="72"/>
      <c r="Y64" s="75"/>
      <c r="Z64" s="75"/>
      <c r="AA64" s="75"/>
      <c r="AB64" s="75"/>
      <c r="AC64" s="75"/>
      <c r="AD64" s="72"/>
    </row>
    <row r="65" spans="1:63" s="115" customFormat="1" ht="23.25" hidden="1" customHeight="1">
      <c r="A65" s="1643"/>
      <c r="B65" s="166" t="s">
        <v>5067</v>
      </c>
      <c r="C65" s="3268" t="s">
        <v>3801</v>
      </c>
      <c r="D65" s="3269"/>
      <c r="E65" s="3269"/>
      <c r="F65" s="3269"/>
      <c r="G65" s="3269"/>
      <c r="H65" s="3269"/>
      <c r="I65" s="3269"/>
      <c r="J65" s="3269"/>
      <c r="K65" s="3269"/>
      <c r="L65" s="3270"/>
      <c r="M65" s="2"/>
      <c r="N65" s="75"/>
      <c r="O65" s="75"/>
      <c r="P65" s="71"/>
      <c r="Q65" s="72"/>
      <c r="R65" s="168" t="s">
        <v>2428</v>
      </c>
      <c r="S65" s="168"/>
      <c r="T65" s="168"/>
      <c r="U65" s="71"/>
      <c r="V65" s="72"/>
      <c r="W65" s="75"/>
      <c r="X65" s="72"/>
      <c r="Y65" s="75"/>
      <c r="Z65" s="75"/>
      <c r="AA65" s="75"/>
      <c r="AB65" s="75"/>
      <c r="AC65" s="75"/>
      <c r="AD65" s="72"/>
    </row>
    <row r="66" spans="1:63" s="115" customFormat="1" ht="13.5" hidden="1" customHeight="1">
      <c r="A66" s="1643"/>
      <c r="B66" s="166" t="s">
        <v>5068</v>
      </c>
      <c r="C66" s="3268" t="s">
        <v>3802</v>
      </c>
      <c r="D66" s="3269"/>
      <c r="E66" s="3269"/>
      <c r="F66" s="3269"/>
      <c r="G66" s="3269"/>
      <c r="H66" s="3269"/>
      <c r="I66" s="3269"/>
      <c r="J66" s="3269"/>
      <c r="K66" s="3269"/>
      <c r="L66" s="3270"/>
      <c r="M66" s="2"/>
      <c r="N66" s="75"/>
      <c r="O66" s="75"/>
      <c r="P66" s="71"/>
      <c r="Q66" s="72"/>
      <c r="R66" s="165">
        <v>1</v>
      </c>
      <c r="S66" s="165"/>
      <c r="T66" s="165"/>
      <c r="U66" s="71"/>
      <c r="V66" s="72"/>
      <c r="W66" s="75"/>
      <c r="X66" s="72"/>
      <c r="Y66" s="75"/>
      <c r="Z66" s="75"/>
      <c r="AA66" s="75"/>
      <c r="AB66" s="75"/>
      <c r="AC66" s="75"/>
      <c r="AD66" s="72"/>
    </row>
    <row r="67" spans="1:63" s="115" customFormat="1" ht="13.5" hidden="1" customHeight="1">
      <c r="A67" s="1643"/>
      <c r="B67" s="166" t="s">
        <v>5069</v>
      </c>
      <c r="C67" s="3268" t="s">
        <v>12905</v>
      </c>
      <c r="D67" s="3269"/>
      <c r="E67" s="3269"/>
      <c r="F67" s="3269"/>
      <c r="G67" s="3269"/>
      <c r="H67" s="3269"/>
      <c r="I67" s="3269"/>
      <c r="J67" s="3269"/>
      <c r="K67" s="3269"/>
      <c r="L67" s="3270"/>
      <c r="M67" s="2"/>
      <c r="N67" s="75"/>
      <c r="O67" s="75"/>
      <c r="P67" s="71"/>
      <c r="Q67" s="72"/>
      <c r="R67" s="165">
        <v>1</v>
      </c>
      <c r="S67" s="165"/>
      <c r="T67" s="165"/>
      <c r="U67" s="71"/>
      <c r="V67" s="72"/>
      <c r="W67" s="75"/>
      <c r="X67" s="72"/>
      <c r="Y67" s="75"/>
      <c r="Z67" s="75"/>
      <c r="AA67" s="75"/>
      <c r="AB67" s="75"/>
      <c r="AC67" s="75"/>
      <c r="AD67" s="72"/>
    </row>
    <row r="68" spans="1:63" s="115" customFormat="1" ht="65.650000000000006" hidden="1" customHeight="1">
      <c r="A68" s="1643"/>
      <c r="B68" s="166" t="s">
        <v>5070</v>
      </c>
      <c r="C68" s="3268" t="s">
        <v>3803</v>
      </c>
      <c r="D68" s="3269"/>
      <c r="E68" s="3269"/>
      <c r="F68" s="3269"/>
      <c r="G68" s="3269"/>
      <c r="H68" s="3269"/>
      <c r="I68" s="3269"/>
      <c r="J68" s="3269"/>
      <c r="K68" s="3269"/>
      <c r="L68" s="3270"/>
      <c r="M68" s="2"/>
      <c r="N68" s="75"/>
      <c r="O68" s="75"/>
      <c r="P68" s="71"/>
      <c r="Q68" s="72"/>
      <c r="R68" s="168" t="s">
        <v>2573</v>
      </c>
      <c r="S68" s="165"/>
      <c r="T68" s="165"/>
      <c r="U68" s="71"/>
      <c r="V68" s="72"/>
      <c r="W68" s="75"/>
      <c r="X68" s="72"/>
      <c r="Y68" s="75"/>
      <c r="Z68" s="75"/>
      <c r="AA68" s="75"/>
      <c r="AB68" s="75"/>
      <c r="AC68" s="75"/>
      <c r="AD68" s="72"/>
    </row>
    <row r="69" spans="1:63" s="115" customFormat="1" ht="13.5" hidden="1" customHeight="1">
      <c r="A69" s="1643"/>
      <c r="B69" s="166" t="s">
        <v>5071</v>
      </c>
      <c r="C69" s="3268" t="s">
        <v>3804</v>
      </c>
      <c r="D69" s="3269"/>
      <c r="E69" s="3269"/>
      <c r="F69" s="3269"/>
      <c r="G69" s="3269"/>
      <c r="H69" s="3269"/>
      <c r="I69" s="3269"/>
      <c r="J69" s="3269"/>
      <c r="K69" s="3269"/>
      <c r="L69" s="3270"/>
      <c r="M69" s="2"/>
      <c r="N69" s="75"/>
      <c r="O69" s="75"/>
      <c r="P69" s="71"/>
      <c r="Q69" s="72"/>
      <c r="R69" s="165">
        <v>1</v>
      </c>
      <c r="S69" s="165"/>
      <c r="T69" s="165"/>
      <c r="U69" s="71"/>
      <c r="V69" s="72"/>
      <c r="W69" s="75"/>
      <c r="X69" s="72"/>
      <c r="Y69" s="75"/>
      <c r="Z69" s="75"/>
      <c r="AA69" s="75"/>
      <c r="AB69" s="75"/>
      <c r="AC69" s="75"/>
      <c r="AD69" s="72"/>
    </row>
    <row r="70" spans="1:63" s="115" customFormat="1" ht="13.5" hidden="1" customHeight="1">
      <c r="A70" s="1643"/>
      <c r="B70" s="166" t="s">
        <v>5072</v>
      </c>
      <c r="C70" s="3268" t="s">
        <v>2611</v>
      </c>
      <c r="D70" s="3269"/>
      <c r="E70" s="3269"/>
      <c r="F70" s="3269"/>
      <c r="G70" s="3269"/>
      <c r="H70" s="3269"/>
      <c r="I70" s="3269"/>
      <c r="J70" s="3269"/>
      <c r="K70" s="3269"/>
      <c r="L70" s="3270"/>
      <c r="M70" s="2"/>
      <c r="N70" s="75"/>
      <c r="O70" s="75"/>
      <c r="P70" s="71"/>
      <c r="Q70" s="72"/>
      <c r="R70" s="165">
        <v>1</v>
      </c>
      <c r="S70" s="168"/>
      <c r="T70" s="168"/>
      <c r="U70" s="71"/>
      <c r="V70" s="72"/>
      <c r="W70" s="75"/>
      <c r="X70" s="72"/>
      <c r="Y70" s="75"/>
      <c r="Z70" s="75"/>
      <c r="AA70" s="75"/>
      <c r="AB70" s="75"/>
      <c r="AC70" s="75"/>
      <c r="AD70" s="72"/>
    </row>
    <row r="71" spans="1:63" s="115" customFormat="1" hidden="1">
      <c r="A71" s="1643"/>
      <c r="B71" s="166" t="s">
        <v>5073</v>
      </c>
      <c r="C71" s="3268" t="s">
        <v>3805</v>
      </c>
      <c r="D71" s="3269"/>
      <c r="E71" s="3269"/>
      <c r="F71" s="3269"/>
      <c r="G71" s="3269"/>
      <c r="H71" s="3269"/>
      <c r="I71" s="3269"/>
      <c r="J71" s="3269"/>
      <c r="K71" s="3269"/>
      <c r="L71" s="3270"/>
      <c r="M71" s="2"/>
      <c r="N71" s="75"/>
      <c r="O71" s="75"/>
      <c r="P71" s="71"/>
      <c r="Q71" s="72"/>
      <c r="R71" s="165">
        <v>1</v>
      </c>
      <c r="S71" s="165"/>
      <c r="T71" s="165"/>
      <c r="U71" s="71"/>
      <c r="V71" s="72"/>
      <c r="W71" s="75"/>
      <c r="X71" s="72"/>
      <c r="Y71" s="75"/>
      <c r="Z71" s="75"/>
      <c r="AA71" s="75"/>
      <c r="AB71" s="75"/>
      <c r="AC71" s="75"/>
      <c r="AD71" s="72"/>
    </row>
    <row r="72" spans="1:63" s="115" customFormat="1" ht="23.25" hidden="1" customHeight="1">
      <c r="A72" s="1643"/>
      <c r="B72" s="166" t="s">
        <v>5075</v>
      </c>
      <c r="C72" s="3268" t="s">
        <v>12906</v>
      </c>
      <c r="D72" s="3269"/>
      <c r="E72" s="3269"/>
      <c r="F72" s="3269"/>
      <c r="G72" s="3269"/>
      <c r="H72" s="3269"/>
      <c r="I72" s="3269"/>
      <c r="J72" s="3269"/>
      <c r="K72" s="3269"/>
      <c r="L72" s="3270"/>
      <c r="M72" s="2"/>
      <c r="N72" s="75"/>
      <c r="O72" s="75"/>
      <c r="P72" s="71"/>
      <c r="Q72" s="72"/>
      <c r="R72" s="168" t="s">
        <v>2428</v>
      </c>
      <c r="S72" s="168"/>
      <c r="T72" s="168"/>
      <c r="U72" s="71"/>
      <c r="V72" s="72"/>
      <c r="W72" s="75"/>
      <c r="X72" s="72"/>
      <c r="Y72" s="75"/>
      <c r="Z72" s="75"/>
      <c r="AA72" s="75"/>
      <c r="AB72" s="75"/>
      <c r="AC72" s="75"/>
      <c r="AD72" s="72"/>
    </row>
    <row r="73" spans="1:63" s="115" customFormat="1" hidden="1">
      <c r="A73" s="1643"/>
      <c r="B73" s="166" t="s">
        <v>5076</v>
      </c>
      <c r="C73" s="3268" t="s">
        <v>3806</v>
      </c>
      <c r="D73" s="3269"/>
      <c r="E73" s="3269"/>
      <c r="F73" s="3269"/>
      <c r="G73" s="3269"/>
      <c r="H73" s="3269"/>
      <c r="I73" s="3269"/>
      <c r="J73" s="3269"/>
      <c r="K73" s="3269"/>
      <c r="L73" s="3270"/>
      <c r="M73" s="2"/>
      <c r="N73" s="75"/>
      <c r="O73" s="75"/>
      <c r="P73" s="71"/>
      <c r="Q73" s="72"/>
      <c r="R73" s="165">
        <v>1</v>
      </c>
      <c r="S73" s="165"/>
      <c r="T73" s="165"/>
      <c r="U73" s="71"/>
      <c r="V73" s="72"/>
      <c r="W73" s="75"/>
      <c r="X73" s="72"/>
      <c r="Y73" s="75"/>
      <c r="Z73" s="75"/>
      <c r="AA73" s="75"/>
      <c r="AB73" s="75"/>
      <c r="AC73" s="75"/>
      <c r="AD73" s="72"/>
    </row>
    <row r="74" spans="1:63" s="115" customFormat="1" ht="13.5" hidden="1" customHeight="1">
      <c r="A74" s="1643"/>
      <c r="B74" s="166" t="s">
        <v>5079</v>
      </c>
      <c r="C74" s="3268" t="s">
        <v>2612</v>
      </c>
      <c r="D74" s="3269"/>
      <c r="E74" s="3269"/>
      <c r="F74" s="3269"/>
      <c r="G74" s="3269"/>
      <c r="H74" s="3269"/>
      <c r="I74" s="3269"/>
      <c r="J74" s="3269"/>
      <c r="K74" s="3269"/>
      <c r="L74" s="3270"/>
      <c r="M74" s="2"/>
      <c r="N74" s="75"/>
      <c r="O74" s="75"/>
      <c r="P74" s="71"/>
      <c r="Q74" s="72"/>
      <c r="R74" s="165">
        <v>1</v>
      </c>
      <c r="S74" s="165"/>
      <c r="T74" s="165"/>
      <c r="U74" s="71"/>
      <c r="V74" s="72"/>
      <c r="W74" s="75"/>
      <c r="X74" s="72"/>
      <c r="Y74" s="75"/>
      <c r="Z74" s="75"/>
      <c r="AA74" s="75"/>
      <c r="AB74" s="75"/>
      <c r="AC74" s="75"/>
      <c r="AD74" s="72"/>
    </row>
    <row r="75" spans="1:63" s="115" customFormat="1" hidden="1">
      <c r="A75" s="1643"/>
      <c r="B75" s="166" t="s">
        <v>5077</v>
      </c>
      <c r="C75" s="3268" t="s">
        <v>3807</v>
      </c>
      <c r="D75" s="3269"/>
      <c r="E75" s="3269"/>
      <c r="F75" s="3269"/>
      <c r="G75" s="3269"/>
      <c r="H75" s="3269"/>
      <c r="I75" s="3269"/>
      <c r="J75" s="3269"/>
      <c r="K75" s="3269"/>
      <c r="L75" s="3270"/>
      <c r="M75" s="2"/>
      <c r="N75" s="75"/>
      <c r="O75" s="75"/>
      <c r="P75" s="71"/>
      <c r="Q75" s="72"/>
      <c r="R75" s="165">
        <v>1</v>
      </c>
      <c r="S75" s="165"/>
      <c r="T75" s="165"/>
      <c r="U75" s="71"/>
      <c r="V75" s="72"/>
      <c r="W75" s="75"/>
      <c r="X75" s="72"/>
      <c r="Y75" s="75"/>
      <c r="Z75" s="75"/>
      <c r="AA75" s="75"/>
      <c r="AB75" s="75"/>
      <c r="AC75" s="75"/>
      <c r="AD75" s="72"/>
    </row>
    <row r="76" spans="1:63" s="115" customFormat="1" ht="15" hidden="1" thickBot="1">
      <c r="A76" s="1643"/>
      <c r="B76" s="190" t="s">
        <v>5078</v>
      </c>
      <c r="C76" s="3274" t="s">
        <v>3808</v>
      </c>
      <c r="D76" s="3275"/>
      <c r="E76" s="3275"/>
      <c r="F76" s="3275"/>
      <c r="G76" s="3275"/>
      <c r="H76" s="3275"/>
      <c r="I76" s="3275"/>
      <c r="J76" s="3275"/>
      <c r="K76" s="3275"/>
      <c r="L76" s="3276"/>
      <c r="M76" s="2"/>
      <c r="N76" s="75"/>
      <c r="O76" s="75"/>
      <c r="P76" s="71"/>
      <c r="Q76" s="72"/>
      <c r="R76" s="165">
        <v>1</v>
      </c>
      <c r="S76" s="165"/>
      <c r="T76" s="165"/>
      <c r="U76" s="71"/>
      <c r="V76" s="72"/>
      <c r="W76" s="75"/>
      <c r="X76" s="72"/>
      <c r="Y76" s="75"/>
      <c r="Z76" s="75"/>
      <c r="AA76" s="75"/>
      <c r="AB76" s="75"/>
      <c r="AC76" s="75"/>
      <c r="AD76" s="72"/>
    </row>
    <row r="77" spans="1:63" s="2" customFormat="1" hidden="1">
      <c r="A77" s="1648"/>
      <c r="N77" s="75"/>
      <c r="O77" s="75"/>
      <c r="P77" s="71"/>
      <c r="Q77" s="72"/>
      <c r="R77" s="71"/>
      <c r="S77" s="71"/>
      <c r="T77" s="71"/>
      <c r="U77" s="71"/>
      <c r="V77" s="72"/>
      <c r="W77" s="75"/>
      <c r="X77" s="72"/>
      <c r="Y77" s="75"/>
      <c r="Z77" s="75"/>
      <c r="AA77" s="75"/>
      <c r="AB77" s="75"/>
      <c r="AC77" s="75"/>
      <c r="AD77" s="72"/>
    </row>
    <row r="78" spans="1:63" hidden="1">
      <c r="A78" s="1649"/>
      <c r="BF78" s="86"/>
      <c r="BG78" s="86"/>
      <c r="BH78" s="86"/>
      <c r="BI78" s="86"/>
      <c r="BJ78" s="86"/>
      <c r="BK78" s="86"/>
    </row>
    <row r="79" spans="1:63" hidden="1">
      <c r="A79" s="1649"/>
      <c r="BF79" s="86"/>
      <c r="BG79" s="86"/>
      <c r="BH79" s="86"/>
      <c r="BI79" s="86"/>
      <c r="BJ79" s="86"/>
      <c r="BK79" s="86"/>
    </row>
  </sheetData>
  <mergeCells count="31">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s>
  <conditionalFormatting sqref="N30 O6:O13">
    <cfRule type="cellIs" dxfId="2803" priority="47" operator="equal">
      <formula>0</formula>
    </cfRule>
  </conditionalFormatting>
  <conditionalFormatting sqref="O35:O36">
    <cfRule type="cellIs" dxfId="2802" priority="2" operator="equal">
      <formula>0</formula>
    </cfRule>
  </conditionalFormatting>
  <conditionalFormatting sqref="O16">
    <cfRule type="cellIs" dxfId="2801" priority="6" operator="equal">
      <formula>0</formula>
    </cfRule>
  </conditionalFormatting>
  <conditionalFormatting sqref="O20:O24">
    <cfRule type="cellIs" dxfId="2800" priority="5" operator="equal">
      <formula>0</formula>
    </cfRule>
  </conditionalFormatting>
  <conditionalFormatting sqref="O26">
    <cfRule type="cellIs" dxfId="2799" priority="4" operator="equal">
      <formula>0</formula>
    </cfRule>
  </conditionalFormatting>
  <conditionalFormatting sqref="O30">
    <cfRule type="cellIs" dxfId="2798" priority="3" operator="equal">
      <formula>0</formula>
    </cfRule>
  </conditionalFormatting>
  <conditionalFormatting sqref="K6:K14 K16:K17 K20:K27 K30 K35:K36 K39 K32">
    <cfRule type="expression" dxfId="2797"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5.xml><?xml version="1.0" encoding="utf-8"?>
<worksheet xmlns="http://schemas.openxmlformats.org/spreadsheetml/2006/main" xmlns:r="http://schemas.openxmlformats.org/officeDocument/2006/relationships">
  <sheetPr codeName="Sheet12">
    <pageSetUpPr fitToPage="1"/>
  </sheetPr>
  <dimension ref="A1:AI48"/>
  <sheetViews>
    <sheetView workbookViewId="0"/>
  </sheetViews>
  <sheetFormatPr defaultColWidth="0" defaultRowHeight="14.25" zeroHeight="1"/>
  <cols>
    <col min="1" max="1" width="0.625" style="75" customWidth="1"/>
    <col min="2" max="2" width="5.125" style="75" customWidth="1"/>
    <col min="3" max="3" width="47.125" style="75" customWidth="1"/>
    <col min="4" max="4" width="5.625" style="75" hidden="1" customWidth="1"/>
    <col min="5" max="6" width="5.125" style="75" customWidth="1"/>
    <col min="7" max="9" width="13.625" style="75" customWidth="1"/>
    <col min="10" max="10" width="2.625" style="71" customWidth="1"/>
    <col min="11" max="11" width="18.625" style="71" bestFit="1" customWidth="1"/>
    <col min="12" max="12" width="1.625" style="71" customWidth="1"/>
    <col min="13" max="13" width="1.625" style="72" hidden="1" customWidth="1"/>
    <col min="14" max="15" width="8.625" style="71" hidden="1" customWidth="1"/>
    <col min="16" max="16" width="1.625" style="72" hidden="1" customWidth="1"/>
    <col min="17" max="25" width="0" style="75" hidden="1" customWidth="1"/>
    <col min="26" max="26" width="8" style="75" customWidth="1"/>
    <col min="27" max="27" width="5.125" style="75" customWidth="1"/>
    <col min="28" max="28" width="47.125" style="75" customWidth="1"/>
    <col min="29" max="29" width="5.625" style="75" hidden="1" customWidth="1"/>
    <col min="30" max="31" width="5.125" style="75" customWidth="1"/>
    <col min="32" max="34" width="13.625" style="75" customWidth="1"/>
    <col min="35" max="35" width="2.75" style="75" customWidth="1"/>
    <col min="36" max="16384" width="8" style="75" hidden="1"/>
  </cols>
  <sheetData>
    <row r="1" spans="2:34" s="71" customFormat="1" ht="18.75">
      <c r="B1" s="67" t="s">
        <v>2614</v>
      </c>
      <c r="C1" s="67"/>
      <c r="D1" s="67"/>
      <c r="E1" s="67"/>
      <c r="F1" s="67"/>
      <c r="G1" s="68"/>
      <c r="H1" s="67"/>
      <c r="I1" s="69" t="str">
        <f>Validation!B3</f>
        <v>South West Water – South West area</v>
      </c>
      <c r="J1" s="67"/>
      <c r="K1" s="70" t="s">
        <v>2394</v>
      </c>
      <c r="M1" s="72"/>
      <c r="P1" s="72"/>
      <c r="AA1" s="67" t="s">
        <v>6671</v>
      </c>
      <c r="AB1" s="67"/>
      <c r="AC1" s="67"/>
      <c r="AD1" s="67"/>
      <c r="AE1" s="67"/>
      <c r="AF1" s="68"/>
      <c r="AG1" s="67"/>
      <c r="AH1" s="69"/>
    </row>
    <row r="2" spans="2:34" ht="19.5" thickBot="1">
      <c r="B2" s="74" t="s">
        <v>12524</v>
      </c>
      <c r="C2" s="315"/>
      <c r="D2" s="315"/>
      <c r="AA2" s="74" t="str">
        <f>+B2</f>
        <v>For the 12 months ended 31 March 2019</v>
      </c>
      <c r="AB2" s="315"/>
      <c r="AC2" s="315"/>
    </row>
    <row r="3" spans="2:34" ht="15" customHeight="1" thickBot="1">
      <c r="B3" s="3277" t="s">
        <v>2395</v>
      </c>
      <c r="C3" s="3278"/>
      <c r="D3" s="1453" t="s">
        <v>6496</v>
      </c>
      <c r="E3" s="391" t="s">
        <v>2396</v>
      </c>
      <c r="F3" s="392" t="s">
        <v>2397</v>
      </c>
      <c r="G3" s="306" t="s">
        <v>2579</v>
      </c>
      <c r="H3" s="307" t="s">
        <v>2615</v>
      </c>
      <c r="I3" s="393" t="s">
        <v>2554</v>
      </c>
      <c r="J3" s="385"/>
      <c r="K3" s="195" t="s">
        <v>1361</v>
      </c>
      <c r="N3" s="3215" t="s">
        <v>2404</v>
      </c>
      <c r="O3" s="3215"/>
      <c r="AA3" s="3277" t="s">
        <v>2395</v>
      </c>
      <c r="AB3" s="3278"/>
      <c r="AC3" s="2734" t="s">
        <v>6496</v>
      </c>
      <c r="AD3" s="391" t="s">
        <v>2396</v>
      </c>
      <c r="AE3" s="392" t="s">
        <v>2397</v>
      </c>
      <c r="AF3" s="306" t="s">
        <v>2579</v>
      </c>
      <c r="AG3" s="307" t="s">
        <v>2615</v>
      </c>
      <c r="AH3" s="393" t="s">
        <v>2554</v>
      </c>
    </row>
    <row r="4" spans="2:34" ht="15" thickBot="1">
      <c r="C4" s="343"/>
      <c r="D4" s="343"/>
      <c r="J4" s="75"/>
      <c r="K4" s="75"/>
      <c r="L4" s="83"/>
      <c r="N4" s="3215"/>
      <c r="O4" s="3215"/>
      <c r="AB4" s="343"/>
      <c r="AC4" s="343"/>
    </row>
    <row r="5" spans="2:34" ht="15" customHeight="1" thickBot="1">
      <c r="B5" s="3277" t="s">
        <v>2587</v>
      </c>
      <c r="C5" s="3279"/>
      <c r="D5" s="1602"/>
      <c r="E5" s="270"/>
      <c r="F5" s="270"/>
      <c r="G5" s="270"/>
      <c r="H5" s="270"/>
      <c r="I5" s="270"/>
      <c r="N5" s="90" t="s">
        <v>2405</v>
      </c>
      <c r="AA5" s="3277" t="s">
        <v>2587</v>
      </c>
      <c r="AB5" s="3279"/>
      <c r="AC5" s="1602"/>
      <c r="AD5" s="270"/>
      <c r="AE5" s="270"/>
      <c r="AF5" s="270"/>
      <c r="AG5" s="270"/>
      <c r="AH5" s="270"/>
    </row>
    <row r="6" spans="2:34" ht="14.25" customHeight="1">
      <c r="B6" s="298" t="s">
        <v>5080</v>
      </c>
      <c r="C6" s="281" t="s">
        <v>2616</v>
      </c>
      <c r="D6" s="281"/>
      <c r="E6" s="311" t="s">
        <v>750</v>
      </c>
      <c r="F6" s="283">
        <v>3</v>
      </c>
      <c r="G6" s="823">
        <f xml:space="preserve"> '4F'!O7</f>
        <v>0</v>
      </c>
      <c r="H6" s="464"/>
      <c r="I6" s="394">
        <f xml:space="preserve"> G6 + H6</f>
        <v>0</v>
      </c>
      <c r="K6" s="24" t="str">
        <f xml:space="preserve"> IF( SUM( M6:P6 ) = 0, 0, $N$5 )</f>
        <v>Please complete all cells in row</v>
      </c>
      <c r="N6" s="132"/>
      <c r="O6" s="98">
        <f t="shared" ref="O6:O11" si="0" xml:space="preserve"> IF( ISNUMBER( H6 ), 0, 1 )</f>
        <v>1</v>
      </c>
      <c r="AA6" s="298" t="s">
        <v>5080</v>
      </c>
      <c r="AB6" s="281" t="s">
        <v>2616</v>
      </c>
      <c r="AC6" s="281"/>
      <c r="AD6" s="311" t="s">
        <v>750</v>
      </c>
      <c r="AE6" s="283">
        <v>3</v>
      </c>
      <c r="AF6" s="823" t="str">
        <f xml:space="preserve"> '4F'!BN7</f>
        <v>BM9030</v>
      </c>
      <c r="AG6" s="2785" t="s">
        <v>9662</v>
      </c>
      <c r="AH6" s="394" t="s">
        <v>9663</v>
      </c>
    </row>
    <row r="7" spans="2:34" ht="14.25" customHeight="1">
      <c r="B7" s="299" t="s">
        <v>5081</v>
      </c>
      <c r="C7" s="285" t="s">
        <v>2617</v>
      </c>
      <c r="D7" s="285"/>
      <c r="E7" s="312" t="s">
        <v>750</v>
      </c>
      <c r="F7" s="287">
        <v>3</v>
      </c>
      <c r="G7" s="824">
        <f xml:space="preserve"> '4F'!O8</f>
        <v>0</v>
      </c>
      <c r="H7" s="465"/>
      <c r="I7" s="395">
        <f t="shared" ref="I7:I17" si="1" xml:space="preserve"> G7 + H7</f>
        <v>0</v>
      </c>
      <c r="K7" s="24" t="str">
        <f t="shared" ref="K7:K17" si="2" xml:space="preserve"> IF( SUM( M7:P7 ) = 0, 0, $N$5 )</f>
        <v>Please complete all cells in row</v>
      </c>
      <c r="N7" s="132"/>
      <c r="O7" s="98">
        <f t="shared" si="0"/>
        <v>1</v>
      </c>
      <c r="AA7" s="299" t="s">
        <v>5081</v>
      </c>
      <c r="AB7" s="285" t="s">
        <v>2617</v>
      </c>
      <c r="AC7" s="285"/>
      <c r="AD7" s="312" t="s">
        <v>750</v>
      </c>
      <c r="AE7" s="287">
        <v>3</v>
      </c>
      <c r="AF7" s="824" t="str">
        <f xml:space="preserve"> '4F'!BN8</f>
        <v>BM9002</v>
      </c>
      <c r="AG7" s="2788" t="s">
        <v>9664</v>
      </c>
      <c r="AH7" s="395" t="s">
        <v>9665</v>
      </c>
    </row>
    <row r="8" spans="2:34" ht="14.25" customHeight="1">
      <c r="B8" s="299" t="s">
        <v>5082</v>
      </c>
      <c r="C8" s="285" t="s">
        <v>2618</v>
      </c>
      <c r="D8" s="285"/>
      <c r="E8" s="312" t="s">
        <v>750</v>
      </c>
      <c r="F8" s="287">
        <v>3</v>
      </c>
      <c r="G8" s="824">
        <f xml:space="preserve"> '4F'!O9</f>
        <v>0</v>
      </c>
      <c r="H8" s="465"/>
      <c r="I8" s="395">
        <f t="shared" si="1"/>
        <v>0</v>
      </c>
      <c r="K8" s="24" t="str">
        <f t="shared" si="2"/>
        <v>Please complete all cells in row</v>
      </c>
      <c r="N8" s="132"/>
      <c r="O8" s="98">
        <f t="shared" si="0"/>
        <v>1</v>
      </c>
      <c r="AA8" s="299" t="s">
        <v>5082</v>
      </c>
      <c r="AB8" s="285" t="s">
        <v>2618</v>
      </c>
      <c r="AC8" s="285"/>
      <c r="AD8" s="312" t="s">
        <v>750</v>
      </c>
      <c r="AE8" s="287">
        <v>3</v>
      </c>
      <c r="AF8" s="824" t="str">
        <f xml:space="preserve"> '4F'!BN9</f>
        <v>BM9003</v>
      </c>
      <c r="AG8" s="2788" t="s">
        <v>9666</v>
      </c>
      <c r="AH8" s="395" t="s">
        <v>9667</v>
      </c>
    </row>
    <row r="9" spans="2:34" ht="14.25" customHeight="1" thickBot="1">
      <c r="B9" s="299" t="s">
        <v>5083</v>
      </c>
      <c r="C9" s="285" t="s">
        <v>2619</v>
      </c>
      <c r="D9" s="285"/>
      <c r="E9" s="312" t="s">
        <v>750</v>
      </c>
      <c r="F9" s="287">
        <v>3</v>
      </c>
      <c r="G9" s="824">
        <f xml:space="preserve"> '4F'!O10</f>
        <v>0</v>
      </c>
      <c r="H9" s="465"/>
      <c r="I9" s="395">
        <f t="shared" si="1"/>
        <v>0</v>
      </c>
      <c r="K9" s="24" t="str">
        <f t="shared" si="2"/>
        <v>Please complete all cells in row</v>
      </c>
      <c r="N9" s="132"/>
      <c r="O9" s="98">
        <f t="shared" si="0"/>
        <v>1</v>
      </c>
      <c r="AA9" s="299" t="s">
        <v>5083</v>
      </c>
      <c r="AB9" s="285" t="s">
        <v>2619</v>
      </c>
      <c r="AC9" s="285"/>
      <c r="AD9" s="312" t="s">
        <v>750</v>
      </c>
      <c r="AE9" s="287">
        <v>3</v>
      </c>
      <c r="AF9" s="824" t="str">
        <f xml:space="preserve"> '4F'!BN10</f>
        <v>BM9007</v>
      </c>
      <c r="AG9" s="2788" t="s">
        <v>9668</v>
      </c>
      <c r="AH9" s="395" t="s">
        <v>9669</v>
      </c>
    </row>
    <row r="10" spans="2:34" ht="14.25" customHeight="1" thickBot="1">
      <c r="B10" s="299" t="s">
        <v>5084</v>
      </c>
      <c r="C10" s="285" t="s">
        <v>2620</v>
      </c>
      <c r="D10" s="285"/>
      <c r="E10" s="312" t="s">
        <v>750</v>
      </c>
      <c r="F10" s="287">
        <v>3</v>
      </c>
      <c r="G10" s="773"/>
      <c r="H10" s="698"/>
      <c r="I10" s="395">
        <f xml:space="preserve"> H10</f>
        <v>0</v>
      </c>
      <c r="K10" s="24" t="str">
        <f t="shared" si="2"/>
        <v>Please complete all cells in row</v>
      </c>
      <c r="N10" s="132"/>
      <c r="O10" s="98">
        <f t="shared" si="0"/>
        <v>1</v>
      </c>
      <c r="AA10" s="299" t="s">
        <v>5084</v>
      </c>
      <c r="AB10" s="285" t="s">
        <v>2620</v>
      </c>
      <c r="AC10" s="285"/>
      <c r="AD10" s="312" t="s">
        <v>750</v>
      </c>
      <c r="AE10" s="287">
        <v>3</v>
      </c>
      <c r="AF10" s="1738"/>
      <c r="AG10" s="2803" t="s">
        <v>9670</v>
      </c>
      <c r="AH10" s="395" t="s">
        <v>9671</v>
      </c>
    </row>
    <row r="11" spans="2:34" ht="14.25" customHeight="1">
      <c r="B11" s="299" t="s">
        <v>5085</v>
      </c>
      <c r="C11" s="285" t="s">
        <v>2591</v>
      </c>
      <c r="D11" s="285"/>
      <c r="E11" s="312" t="s">
        <v>750</v>
      </c>
      <c r="F11" s="287">
        <v>3</v>
      </c>
      <c r="G11" s="824">
        <f xml:space="preserve"> '4F'!O11</f>
        <v>0</v>
      </c>
      <c r="H11" s="465"/>
      <c r="I11" s="395">
        <f xml:space="preserve"> G11 + H11</f>
        <v>0</v>
      </c>
      <c r="K11" s="24" t="str">
        <f t="shared" si="2"/>
        <v>Please complete all cells in row</v>
      </c>
      <c r="N11" s="132"/>
      <c r="O11" s="98">
        <f t="shared" si="0"/>
        <v>1</v>
      </c>
      <c r="AA11" s="299" t="s">
        <v>5085</v>
      </c>
      <c r="AB11" s="285" t="s">
        <v>2591</v>
      </c>
      <c r="AC11" s="285"/>
      <c r="AD11" s="312" t="s">
        <v>750</v>
      </c>
      <c r="AE11" s="287">
        <v>3</v>
      </c>
      <c r="AF11" s="824" t="str">
        <f xml:space="preserve"> '4F'!BN11</f>
        <v>BM9033</v>
      </c>
      <c r="AG11" s="2788" t="s">
        <v>9672</v>
      </c>
      <c r="AH11" s="395" t="s">
        <v>9673</v>
      </c>
    </row>
    <row r="12" spans="2:34" ht="14.25" customHeight="1">
      <c r="B12" s="299" t="s">
        <v>5086</v>
      </c>
      <c r="C12" s="285" t="s">
        <v>2592</v>
      </c>
      <c r="D12" s="285"/>
      <c r="E12" s="312" t="s">
        <v>750</v>
      </c>
      <c r="F12" s="287">
        <v>3</v>
      </c>
      <c r="G12" s="361">
        <f xml:space="preserve"> SUM( G6:G9 ) + G11</f>
        <v>0</v>
      </c>
      <c r="H12" s="346">
        <f xml:space="preserve"> SUM( H6:H11 )</f>
        <v>0</v>
      </c>
      <c r="I12" s="395">
        <f xml:space="preserve"> SUM( I6:I11 )</f>
        <v>0</v>
      </c>
      <c r="K12" s="232"/>
      <c r="N12" s="200"/>
      <c r="AA12" s="299" t="s">
        <v>5086</v>
      </c>
      <c r="AB12" s="285" t="s">
        <v>2592</v>
      </c>
      <c r="AC12" s="285"/>
      <c r="AD12" s="312" t="s">
        <v>750</v>
      </c>
      <c r="AE12" s="287">
        <v>3</v>
      </c>
      <c r="AF12" s="361" t="str">
        <f xml:space="preserve"> '4F'!BN12</f>
        <v>BM9021</v>
      </c>
      <c r="AG12" s="346" t="s">
        <v>9674</v>
      </c>
      <c r="AH12" s="395" t="s">
        <v>9675</v>
      </c>
    </row>
    <row r="13" spans="2:34" ht="14.25" customHeight="1">
      <c r="B13" s="299" t="s">
        <v>5087</v>
      </c>
      <c r="C13" s="285" t="s">
        <v>2621</v>
      </c>
      <c r="D13" s="285"/>
      <c r="E13" s="312" t="s">
        <v>750</v>
      </c>
      <c r="F13" s="287">
        <v>3</v>
      </c>
      <c r="G13" s="824">
        <f xml:space="preserve"> '4F'!O14</f>
        <v>0</v>
      </c>
      <c r="H13" s="465"/>
      <c r="I13" s="395">
        <f t="shared" si="1"/>
        <v>0</v>
      </c>
      <c r="K13" s="24" t="str">
        <f t="shared" si="2"/>
        <v>Please complete all cells in row</v>
      </c>
      <c r="N13" s="132"/>
      <c r="O13" s="98">
        <f t="shared" ref="N13:O21" si="3" xml:space="preserve"> IF( ISNUMBER( H13 ), 0, 1 )</f>
        <v>1</v>
      </c>
      <c r="AA13" s="299" t="s">
        <v>5087</v>
      </c>
      <c r="AB13" s="285" t="s">
        <v>2621</v>
      </c>
      <c r="AC13" s="285"/>
      <c r="AD13" s="312" t="s">
        <v>750</v>
      </c>
      <c r="AE13" s="287">
        <v>3</v>
      </c>
      <c r="AF13" s="824" t="str">
        <f xml:space="preserve"> '4F'!BN14</f>
        <v>BM9022</v>
      </c>
      <c r="AG13" s="2788" t="s">
        <v>9676</v>
      </c>
      <c r="AH13" s="395" t="s">
        <v>9677</v>
      </c>
    </row>
    <row r="14" spans="2:34" ht="14.25" customHeight="1" thickBot="1">
      <c r="B14" s="300" t="s">
        <v>5088</v>
      </c>
      <c r="C14" s="290" t="s">
        <v>2594</v>
      </c>
      <c r="D14" s="290"/>
      <c r="E14" s="291" t="s">
        <v>750</v>
      </c>
      <c r="F14" s="292">
        <v>3</v>
      </c>
      <c r="G14" s="347">
        <f xml:space="preserve"> SUM( G12:G13 )</f>
        <v>0</v>
      </c>
      <c r="H14" s="349">
        <f xml:space="preserve"> SUM( H12:H13 )</f>
        <v>0</v>
      </c>
      <c r="I14" s="358">
        <f xml:space="preserve"> SUM( I12:I13 )</f>
        <v>0</v>
      </c>
      <c r="K14" s="232"/>
      <c r="N14" s="200"/>
      <c r="AA14" s="300" t="s">
        <v>5088</v>
      </c>
      <c r="AB14" s="290" t="s">
        <v>2594</v>
      </c>
      <c r="AC14" s="290"/>
      <c r="AD14" s="291" t="s">
        <v>750</v>
      </c>
      <c r="AE14" s="292">
        <v>3</v>
      </c>
      <c r="AF14" s="347" t="str">
        <f xml:space="preserve"> '4F'!BN15</f>
        <v>BM9023</v>
      </c>
      <c r="AG14" s="349" t="s">
        <v>9678</v>
      </c>
      <c r="AH14" s="358" t="s">
        <v>9679</v>
      </c>
    </row>
    <row r="15" spans="2:34" s="115" customFormat="1" ht="15" thickBot="1">
      <c r="C15" s="157"/>
      <c r="D15" s="157"/>
      <c r="H15" s="170"/>
      <c r="J15" s="71"/>
      <c r="K15" s="71"/>
      <c r="L15" s="71"/>
      <c r="M15" s="72"/>
      <c r="N15" s="71"/>
      <c r="O15" s="71"/>
      <c r="P15" s="72"/>
      <c r="AB15" s="157"/>
      <c r="AC15" s="157"/>
      <c r="AF15" s="1739"/>
      <c r="AG15" s="170"/>
    </row>
    <row r="16" spans="2:34" ht="14.25" customHeight="1">
      <c r="B16" s="298" t="s">
        <v>5089</v>
      </c>
      <c r="C16" s="281" t="s">
        <v>3183</v>
      </c>
      <c r="D16" s="281"/>
      <c r="E16" s="311" t="s">
        <v>750</v>
      </c>
      <c r="F16" s="283">
        <v>3</v>
      </c>
      <c r="G16" s="823">
        <f xml:space="preserve"> '4F'!O17 + '4F'!O18</f>
        <v>0</v>
      </c>
      <c r="H16" s="464"/>
      <c r="I16" s="394">
        <f t="shared" si="1"/>
        <v>0</v>
      </c>
      <c r="K16" s="24" t="str">
        <f t="shared" si="2"/>
        <v>Please complete all cells in row</v>
      </c>
      <c r="N16" s="132"/>
      <c r="O16" s="98">
        <f t="shared" si="3"/>
        <v>1</v>
      </c>
      <c r="AA16" s="298" t="s">
        <v>5089</v>
      </c>
      <c r="AB16" s="281" t="s">
        <v>3183</v>
      </c>
      <c r="AC16" s="281"/>
      <c r="AD16" s="311" t="s">
        <v>750</v>
      </c>
      <c r="AE16" s="283">
        <v>3</v>
      </c>
      <c r="AF16" s="823" t="s">
        <v>11713</v>
      </c>
      <c r="AG16" s="2785" t="s">
        <v>9680</v>
      </c>
      <c r="AH16" s="394" t="s">
        <v>9681</v>
      </c>
    </row>
    <row r="17" spans="1:34" ht="14.25" customHeight="1" thickBot="1">
      <c r="B17" s="300" t="s">
        <v>5090</v>
      </c>
      <c r="C17" s="290" t="s">
        <v>3604</v>
      </c>
      <c r="D17" s="290"/>
      <c r="E17" s="291" t="s">
        <v>750</v>
      </c>
      <c r="F17" s="292">
        <v>3</v>
      </c>
      <c r="G17" s="825">
        <f xml:space="preserve"> '4F'!O19 + '4F'!O20</f>
        <v>0</v>
      </c>
      <c r="H17" s="466"/>
      <c r="I17" s="358">
        <f t="shared" si="1"/>
        <v>0</v>
      </c>
      <c r="K17" s="24" t="str">
        <f t="shared" si="2"/>
        <v>Please complete all cells in row</v>
      </c>
      <c r="N17" s="132"/>
      <c r="O17" s="98">
        <f t="shared" ref="O17" si="4" xml:space="preserve"> IF( ISNUMBER( H17 ), 0, 1 )</f>
        <v>1</v>
      </c>
      <c r="AA17" s="300" t="s">
        <v>5090</v>
      </c>
      <c r="AB17" s="290" t="s">
        <v>3604</v>
      </c>
      <c r="AC17" s="290"/>
      <c r="AD17" s="291" t="s">
        <v>750</v>
      </c>
      <c r="AE17" s="292">
        <v>3</v>
      </c>
      <c r="AF17" s="825" t="s">
        <v>11714</v>
      </c>
      <c r="AG17" s="2795" t="s">
        <v>9682</v>
      </c>
      <c r="AH17" s="358" t="s">
        <v>9683</v>
      </c>
    </row>
    <row r="18" spans="1:34" s="115" customFormat="1" ht="15" thickBot="1">
      <c r="C18" s="157"/>
      <c r="D18" s="157"/>
      <c r="H18" s="170"/>
      <c r="J18" s="71"/>
      <c r="K18" s="71"/>
      <c r="L18" s="71"/>
      <c r="M18" s="72"/>
      <c r="N18" s="71"/>
      <c r="O18" s="71"/>
      <c r="P18" s="72"/>
      <c r="AB18" s="157"/>
      <c r="AC18" s="157"/>
      <c r="AF18" s="1739"/>
      <c r="AG18" s="170"/>
    </row>
    <row r="19" spans="1:34" ht="14.25" customHeight="1" thickBot="1">
      <c r="B19" s="352" t="s">
        <v>5091</v>
      </c>
      <c r="C19" s="272" t="s">
        <v>2622</v>
      </c>
      <c r="D19" s="272"/>
      <c r="E19" s="353" t="s">
        <v>750</v>
      </c>
      <c r="F19" s="274">
        <v>3</v>
      </c>
      <c r="G19" s="354">
        <f xml:space="preserve"> G14 + SUM( G16:G17 )</f>
        <v>0</v>
      </c>
      <c r="H19" s="356">
        <f xml:space="preserve"> H14 + SUM( H16:H17 )</f>
        <v>0</v>
      </c>
      <c r="I19" s="644">
        <f xml:space="preserve"> I14 + SUM( I16:I17 )</f>
        <v>0</v>
      </c>
      <c r="K19" s="232"/>
      <c r="AA19" s="352" t="s">
        <v>5091</v>
      </c>
      <c r="AB19" s="272" t="s">
        <v>2622</v>
      </c>
      <c r="AC19" s="272"/>
      <c r="AD19" s="353" t="s">
        <v>750</v>
      </c>
      <c r="AE19" s="274">
        <v>3</v>
      </c>
      <c r="AF19" s="354" t="str">
        <f xml:space="preserve"> '4F'!BN21</f>
        <v>BM9029</v>
      </c>
      <c r="AG19" s="356" t="s">
        <v>9684</v>
      </c>
      <c r="AH19" s="644" t="s">
        <v>9685</v>
      </c>
    </row>
    <row r="20" spans="1:34" s="115" customFormat="1" ht="15" thickBot="1">
      <c r="C20" s="157"/>
      <c r="D20" s="157"/>
      <c r="H20" s="170"/>
      <c r="J20" s="71"/>
      <c r="K20" s="71"/>
      <c r="L20" s="71"/>
      <c r="M20" s="72"/>
      <c r="N20" s="71"/>
      <c r="O20" s="71"/>
      <c r="P20" s="72"/>
      <c r="AB20" s="157"/>
      <c r="AC20" s="157"/>
      <c r="AG20" s="170"/>
    </row>
    <row r="21" spans="1:34" ht="14.25" customHeight="1" thickBot="1">
      <c r="B21" s="352" t="s">
        <v>5092</v>
      </c>
      <c r="C21" s="272" t="s">
        <v>2623</v>
      </c>
      <c r="D21" s="272"/>
      <c r="E21" s="353" t="s">
        <v>750</v>
      </c>
      <c r="F21" s="274">
        <v>3</v>
      </c>
      <c r="G21" s="821"/>
      <c r="H21" s="822"/>
      <c r="I21" s="644">
        <f xml:space="preserve"> G21 + H21</f>
        <v>0</v>
      </c>
      <c r="K21" s="24" t="str">
        <f xml:space="preserve"> IF( SUM( M21:P21 ) = 0, 0, $N$5 )</f>
        <v>Please complete all cells in row</v>
      </c>
      <c r="N21" s="98">
        <f t="shared" si="3"/>
        <v>1</v>
      </c>
      <c r="O21" s="98">
        <f t="shared" si="3"/>
        <v>1</v>
      </c>
      <c r="AA21" s="352" t="s">
        <v>5092</v>
      </c>
      <c r="AB21" s="272" t="s">
        <v>2623</v>
      </c>
      <c r="AC21" s="272"/>
      <c r="AD21" s="353" t="s">
        <v>750</v>
      </c>
      <c r="AE21" s="274">
        <v>3</v>
      </c>
      <c r="AF21" s="2804" t="s">
        <v>9686</v>
      </c>
      <c r="AG21" s="2805" t="s">
        <v>9687</v>
      </c>
      <c r="AH21" s="644" t="s">
        <v>9688</v>
      </c>
    </row>
    <row r="22" spans="1:34" s="115" customFormat="1">
      <c r="C22" s="157"/>
      <c r="D22" s="157"/>
      <c r="H22" s="170"/>
      <c r="J22" s="71"/>
      <c r="K22" s="71"/>
      <c r="L22" s="71"/>
      <c r="M22" s="72"/>
      <c r="N22" s="71"/>
      <c r="O22" s="71"/>
      <c r="P22" s="72"/>
      <c r="AB22" s="157"/>
      <c r="AC22" s="157"/>
      <c r="AG22" s="170"/>
    </row>
    <row r="23" spans="1:34" s="170" customFormat="1">
      <c r="B23" s="3220" t="s">
        <v>2420</v>
      </c>
      <c r="C23" s="3220"/>
      <c r="D23" s="1449"/>
      <c r="J23" s="71"/>
      <c r="K23" s="71"/>
      <c r="L23" s="71"/>
      <c r="M23" s="72"/>
      <c r="N23" s="71"/>
      <c r="O23" s="71"/>
      <c r="P23" s="72"/>
    </row>
    <row r="24" spans="1:34" s="170" customFormat="1">
      <c r="B24" s="146"/>
      <c r="C24" s="147"/>
      <c r="D24" s="147"/>
      <c r="J24" s="71"/>
      <c r="K24" s="71"/>
      <c r="L24" s="71"/>
      <c r="M24" s="72"/>
      <c r="N24" s="71"/>
      <c r="O24" s="71"/>
      <c r="P24" s="72"/>
    </row>
    <row r="25" spans="1:34" s="170" customFormat="1">
      <c r="B25" s="25"/>
      <c r="C25" s="148" t="s">
        <v>2421</v>
      </c>
      <c r="D25" s="148"/>
      <c r="J25" s="71"/>
      <c r="K25" s="71"/>
      <c r="L25" s="71"/>
      <c r="M25" s="72"/>
      <c r="N25" s="71"/>
      <c r="O25" s="71"/>
      <c r="P25" s="72"/>
    </row>
    <row r="26" spans="1:34" s="170" customFormat="1">
      <c r="B26" s="146"/>
      <c r="C26" s="147"/>
      <c r="D26" s="147"/>
      <c r="J26" s="123"/>
      <c r="K26" s="125"/>
      <c r="L26" s="123"/>
      <c r="M26" s="72"/>
      <c r="N26" s="71"/>
      <c r="O26" s="71"/>
      <c r="P26" s="72"/>
    </row>
    <row r="27" spans="1:34" s="170" customFormat="1" ht="12">
      <c r="B27" s="149"/>
      <c r="C27" s="148" t="s">
        <v>2422</v>
      </c>
      <c r="D27" s="148"/>
      <c r="J27" s="131"/>
      <c r="K27" s="131"/>
      <c r="L27" s="131"/>
      <c r="M27" s="129"/>
      <c r="N27" s="131"/>
      <c r="O27" s="131"/>
      <c r="P27" s="129"/>
    </row>
    <row r="28" spans="1:34" s="170" customFormat="1" ht="12">
      <c r="B28" s="150"/>
      <c r="C28" s="148"/>
      <c r="D28" s="148"/>
      <c r="J28" s="131"/>
      <c r="K28" s="131"/>
      <c r="L28" s="131"/>
      <c r="M28" s="124"/>
      <c r="N28" s="131"/>
      <c r="O28" s="131"/>
      <c r="P28" s="124"/>
    </row>
    <row r="29" spans="1:34" s="185" customFormat="1" ht="13.5" thickBot="1">
      <c r="C29" s="186"/>
      <c r="D29" s="186"/>
      <c r="J29" s="131"/>
      <c r="K29" s="131"/>
      <c r="L29" s="131"/>
      <c r="M29" s="124"/>
      <c r="N29" s="131"/>
      <c r="O29" s="131"/>
      <c r="P29" s="124"/>
    </row>
    <row r="30" spans="1:34" s="185" customFormat="1" ht="15" thickBot="1">
      <c r="B30" s="1433" t="s">
        <v>12572</v>
      </c>
      <c r="C30" s="152"/>
      <c r="D30" s="152"/>
      <c r="E30" s="153"/>
      <c r="F30" s="153"/>
      <c r="G30" s="153"/>
      <c r="H30" s="153"/>
      <c r="I30" s="259"/>
      <c r="J30" s="131"/>
      <c r="K30" s="131"/>
      <c r="L30" s="131"/>
      <c r="M30" s="124"/>
      <c r="N30" s="131"/>
      <c r="O30" s="131"/>
      <c r="P30" s="124"/>
    </row>
    <row r="31" spans="1:34" s="185" customFormat="1" ht="12.75">
      <c r="C31" s="186"/>
      <c r="D31" s="186"/>
      <c r="J31" s="131"/>
      <c r="K31" s="131"/>
      <c r="L31" s="131"/>
      <c r="M31" s="124"/>
      <c r="N31" s="131"/>
      <c r="O31" s="131"/>
      <c r="P31" s="124"/>
    </row>
    <row r="32" spans="1:34" s="115" customFormat="1" ht="15" hidden="1" thickBot="1">
      <c r="A32" s="1643"/>
      <c r="B32" s="151" t="str">
        <f ca="1" xml:space="preserve"> RIGHT(CELL("filename", $A$1), LEN(CELL("filename", $A$1)) - SEARCH("]", CELL("filename", $A$1)))&amp;" - Line definitions"</f>
        <v>2C - Line definitions</v>
      </c>
      <c r="C32" s="152"/>
      <c r="D32" s="152"/>
      <c r="E32" s="153"/>
      <c r="F32" s="153"/>
      <c r="G32" s="153"/>
      <c r="H32" s="153"/>
      <c r="I32" s="259"/>
      <c r="J32" s="131"/>
      <c r="K32" s="131"/>
      <c r="L32" s="131"/>
      <c r="M32" s="124"/>
      <c r="N32" s="131"/>
      <c r="O32" s="131"/>
      <c r="P32" s="124"/>
    </row>
    <row r="33" spans="1:16" s="115" customFormat="1" ht="15" hidden="1" thickBot="1">
      <c r="A33" s="1643"/>
      <c r="B33" s="75"/>
      <c r="C33" s="160"/>
      <c r="D33" s="160"/>
      <c r="E33" s="75"/>
      <c r="F33" s="75"/>
      <c r="G33" s="75"/>
      <c r="J33" s="131"/>
      <c r="K33" s="131"/>
      <c r="L33" s="131"/>
      <c r="M33" s="124"/>
      <c r="N33" s="131"/>
      <c r="O33" s="131"/>
      <c r="P33" s="124"/>
    </row>
    <row r="34" spans="1:16" s="332" customFormat="1" ht="14.25" hidden="1" customHeight="1" thickBot="1">
      <c r="A34" s="1650"/>
      <c r="B34" s="161" t="s">
        <v>2423</v>
      </c>
      <c r="C34" s="396" t="s">
        <v>2579</v>
      </c>
      <c r="D34" s="1454"/>
      <c r="E34" s="3280" t="s">
        <v>2615</v>
      </c>
      <c r="F34" s="3280"/>
      <c r="G34" s="3280"/>
      <c r="H34" s="3280"/>
      <c r="I34" s="3281"/>
      <c r="J34" s="135"/>
      <c r="K34" s="131"/>
      <c r="L34" s="131"/>
      <c r="M34" s="124"/>
      <c r="N34" s="131"/>
      <c r="O34" s="131"/>
      <c r="P34" s="124"/>
    </row>
    <row r="35" spans="1:16" ht="154.15" hidden="1" customHeight="1" thickBot="1">
      <c r="A35" s="1647"/>
      <c r="B35" s="397" t="s">
        <v>5080</v>
      </c>
      <c r="C35" s="826" t="s">
        <v>3836</v>
      </c>
      <c r="D35" s="826"/>
      <c r="E35" s="3216" t="s">
        <v>3837</v>
      </c>
      <c r="F35" s="3216"/>
      <c r="G35" s="3216"/>
      <c r="H35" s="3216"/>
      <c r="I35" s="3217"/>
      <c r="J35" s="135"/>
      <c r="K35" s="131"/>
      <c r="L35" s="131"/>
      <c r="M35" s="124"/>
      <c r="N35" s="210" t="s">
        <v>3875</v>
      </c>
      <c r="O35" s="131"/>
      <c r="P35" s="124"/>
    </row>
    <row r="36" spans="1:16" ht="117" hidden="1" customHeight="1" thickBot="1">
      <c r="A36" s="1647"/>
      <c r="B36" s="397" t="s">
        <v>5081</v>
      </c>
      <c r="C36" s="900" t="s">
        <v>3838</v>
      </c>
      <c r="D36" s="1455"/>
      <c r="E36" s="3198" t="s">
        <v>3839</v>
      </c>
      <c r="F36" s="3198"/>
      <c r="G36" s="3198"/>
      <c r="H36" s="3198"/>
      <c r="I36" s="3199"/>
      <c r="J36" s="123"/>
      <c r="K36" s="125"/>
      <c r="L36" s="123"/>
      <c r="M36" s="124"/>
      <c r="N36" s="210" t="s">
        <v>2496</v>
      </c>
      <c r="O36" s="123"/>
      <c r="P36" s="124"/>
    </row>
    <row r="37" spans="1:16" ht="37.5" hidden="1" customHeight="1" thickBot="1">
      <c r="A37" s="1647"/>
      <c r="B37" s="397" t="s">
        <v>5082</v>
      </c>
      <c r="C37" s="900" t="s">
        <v>3840</v>
      </c>
      <c r="D37" s="1455"/>
      <c r="E37" s="3198" t="s">
        <v>3841</v>
      </c>
      <c r="F37" s="3198"/>
      <c r="G37" s="3198"/>
      <c r="H37" s="3198"/>
      <c r="I37" s="3199"/>
      <c r="J37" s="123"/>
      <c r="K37" s="125"/>
      <c r="L37" s="123"/>
      <c r="M37" s="129"/>
      <c r="N37" s="389" t="s">
        <v>2426</v>
      </c>
      <c r="O37" s="123"/>
      <c r="P37" s="129"/>
    </row>
    <row r="38" spans="1:16" ht="95.25" hidden="1" customHeight="1" thickBot="1">
      <c r="A38" s="1647"/>
      <c r="B38" s="397" t="s">
        <v>5083</v>
      </c>
      <c r="C38" s="900" t="s">
        <v>3842</v>
      </c>
      <c r="D38" s="1455"/>
      <c r="E38" s="3198" t="s">
        <v>3843</v>
      </c>
      <c r="F38" s="3198"/>
      <c r="G38" s="3198"/>
      <c r="H38" s="3198"/>
      <c r="I38" s="3199"/>
      <c r="J38" s="360"/>
      <c r="K38" s="135"/>
      <c r="L38" s="123"/>
      <c r="M38" s="129"/>
      <c r="N38" s="210" t="s">
        <v>3344</v>
      </c>
      <c r="O38" s="123"/>
      <c r="P38" s="129"/>
    </row>
    <row r="39" spans="1:16" ht="84.75" hidden="1" customHeight="1" thickBot="1">
      <c r="A39" s="1647"/>
      <c r="B39" s="397" t="s">
        <v>5084</v>
      </c>
      <c r="C39" s="900" t="s">
        <v>2625</v>
      </c>
      <c r="D39" s="1455"/>
      <c r="E39" s="3282" t="s">
        <v>2626</v>
      </c>
      <c r="F39" s="3282"/>
      <c r="G39" s="3282"/>
      <c r="H39" s="3282"/>
      <c r="I39" s="3283"/>
      <c r="J39" s="362"/>
      <c r="K39" s="125"/>
      <c r="L39" s="123"/>
      <c r="M39" s="129"/>
      <c r="N39" s="389" t="s">
        <v>2817</v>
      </c>
      <c r="O39" s="123"/>
      <c r="P39" s="129"/>
    </row>
    <row r="40" spans="1:16" ht="140.25" hidden="1" customHeight="1" thickBot="1">
      <c r="A40" s="1647"/>
      <c r="B40" s="397" t="s">
        <v>5085</v>
      </c>
      <c r="C40" s="900" t="s">
        <v>3844</v>
      </c>
      <c r="D40" s="1455"/>
      <c r="E40" s="3198" t="s">
        <v>3845</v>
      </c>
      <c r="F40" s="3198"/>
      <c r="G40" s="3198"/>
      <c r="H40" s="3198"/>
      <c r="I40" s="3199"/>
      <c r="J40" s="362"/>
      <c r="K40" s="115"/>
      <c r="L40" s="115"/>
      <c r="M40" s="129"/>
      <c r="N40" s="210" t="s">
        <v>3742</v>
      </c>
      <c r="O40" s="115"/>
      <c r="P40" s="129"/>
    </row>
    <row r="41" spans="1:16" ht="14.25" hidden="1" customHeight="1" thickBot="1">
      <c r="A41" s="1647"/>
      <c r="B41" s="397" t="s">
        <v>5086</v>
      </c>
      <c r="C41" s="900" t="s">
        <v>2627</v>
      </c>
      <c r="D41" s="1455"/>
      <c r="E41" s="3198" t="s">
        <v>2627</v>
      </c>
      <c r="F41" s="3198"/>
      <c r="G41" s="3198"/>
      <c r="H41" s="3198"/>
      <c r="I41" s="3199"/>
      <c r="J41" s="362"/>
      <c r="K41" s="115"/>
      <c r="L41" s="115"/>
      <c r="M41" s="129"/>
      <c r="N41" s="261">
        <v>1</v>
      </c>
      <c r="O41" s="115"/>
      <c r="P41" s="129"/>
    </row>
    <row r="42" spans="1:16" ht="25.5" hidden="1" customHeight="1" thickBot="1">
      <c r="A42" s="1647"/>
      <c r="B42" s="397" t="s">
        <v>5087</v>
      </c>
      <c r="C42" s="900" t="s">
        <v>2628</v>
      </c>
      <c r="D42" s="1455"/>
      <c r="E42" s="3198" t="s">
        <v>2629</v>
      </c>
      <c r="F42" s="3198"/>
      <c r="G42" s="3198"/>
      <c r="H42" s="3198"/>
      <c r="I42" s="3199"/>
      <c r="J42" s="362"/>
      <c r="K42" s="125"/>
      <c r="L42" s="125"/>
      <c r="M42" s="129"/>
      <c r="N42" s="389" t="s">
        <v>2428</v>
      </c>
      <c r="O42" s="125"/>
      <c r="P42" s="129"/>
    </row>
    <row r="43" spans="1:16" ht="35.25" hidden="1" customHeight="1" thickBot="1">
      <c r="A43" s="1647"/>
      <c r="B43" s="397" t="s">
        <v>5088</v>
      </c>
      <c r="C43" s="900" t="s">
        <v>2630</v>
      </c>
      <c r="D43" s="1455"/>
      <c r="E43" s="3198" t="s">
        <v>2631</v>
      </c>
      <c r="F43" s="3198"/>
      <c r="G43" s="3198"/>
      <c r="H43" s="3198"/>
      <c r="I43" s="3199"/>
      <c r="J43" s="362"/>
      <c r="K43" s="125"/>
      <c r="L43" s="125"/>
      <c r="M43" s="129"/>
      <c r="N43" s="389" t="s">
        <v>2426</v>
      </c>
      <c r="O43" s="125"/>
      <c r="P43" s="129"/>
    </row>
    <row r="44" spans="1:16" ht="25.5" hidden="1" customHeight="1" thickBot="1">
      <c r="A44" s="1647"/>
      <c r="B44" s="397" t="s">
        <v>5089</v>
      </c>
      <c r="C44" s="900" t="s">
        <v>3846</v>
      </c>
      <c r="D44" s="1455"/>
      <c r="E44" s="3198" t="s">
        <v>3847</v>
      </c>
      <c r="F44" s="3198"/>
      <c r="G44" s="3198"/>
      <c r="H44" s="3198"/>
      <c r="I44" s="3199"/>
      <c r="J44" s="362"/>
      <c r="K44" s="125"/>
      <c r="L44" s="125"/>
      <c r="M44" s="129"/>
      <c r="N44" s="389" t="s">
        <v>2428</v>
      </c>
      <c r="O44" s="125"/>
      <c r="P44" s="129"/>
    </row>
    <row r="45" spans="1:16" ht="25.5" hidden="1" customHeight="1" thickBot="1">
      <c r="A45" s="1647"/>
      <c r="B45" s="397" t="s">
        <v>5090</v>
      </c>
      <c r="C45" s="900" t="s">
        <v>3848</v>
      </c>
      <c r="D45" s="1455"/>
      <c r="E45" s="3198" t="s">
        <v>3849</v>
      </c>
      <c r="F45" s="3198"/>
      <c r="G45" s="3198"/>
      <c r="H45" s="3198"/>
      <c r="I45" s="3199"/>
      <c r="J45" s="362"/>
      <c r="K45" s="125"/>
      <c r="L45" s="125"/>
      <c r="M45" s="129"/>
      <c r="N45" s="168" t="s">
        <v>2428</v>
      </c>
      <c r="O45" s="125"/>
      <c r="P45" s="129"/>
    </row>
    <row r="46" spans="1:16" ht="25.15" hidden="1" customHeight="1">
      <c r="A46" s="1647"/>
      <c r="B46" s="397" t="s">
        <v>5091</v>
      </c>
      <c r="C46" s="900" t="s">
        <v>3850</v>
      </c>
      <c r="D46" s="1455"/>
      <c r="E46" s="3198" t="s">
        <v>3851</v>
      </c>
      <c r="F46" s="3198"/>
      <c r="G46" s="3198"/>
      <c r="H46" s="3198"/>
      <c r="I46" s="3199"/>
      <c r="J46" s="362"/>
      <c r="M46" s="129"/>
      <c r="N46" s="168" t="s">
        <v>2428</v>
      </c>
      <c r="P46" s="129"/>
    </row>
    <row r="47" spans="1:16" ht="61.5" hidden="1" customHeight="1" thickBot="1">
      <c r="A47" s="1647"/>
      <c r="B47" s="398" t="s">
        <v>5092</v>
      </c>
      <c r="C47" s="827" t="s">
        <v>2632</v>
      </c>
      <c r="D47" s="1458"/>
      <c r="E47" s="3218" t="s">
        <v>2633</v>
      </c>
      <c r="F47" s="3218"/>
      <c r="G47" s="3218"/>
      <c r="H47" s="3218"/>
      <c r="I47" s="3219"/>
      <c r="J47" s="362"/>
      <c r="N47" s="210" t="s">
        <v>2624</v>
      </c>
    </row>
    <row r="48" spans="1:16" hidden="1">
      <c r="A48" s="1647"/>
      <c r="G48" s="8"/>
      <c r="H48" s="8"/>
      <c r="J48" s="362"/>
      <c r="N48" s="262"/>
    </row>
  </sheetData>
  <mergeCells count="20">
    <mergeCell ref="E42:I42"/>
    <mergeCell ref="E43:I43"/>
    <mergeCell ref="E44:I44"/>
    <mergeCell ref="E46:I46"/>
    <mergeCell ref="E47:I47"/>
    <mergeCell ref="E45:I45"/>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s>
  <conditionalFormatting sqref="K6:K11">
    <cfRule type="cellIs" dxfId="2796" priority="5" operator="equal">
      <formula>0</formula>
    </cfRule>
  </conditionalFormatting>
  <conditionalFormatting sqref="K24:K25">
    <cfRule type="cellIs" dxfId="2795" priority="4" operator="equal">
      <formula>2</formula>
    </cfRule>
  </conditionalFormatting>
  <conditionalFormatting sqref="K13">
    <cfRule type="cellIs" dxfId="2794" priority="3" operator="equal">
      <formula>0</formula>
    </cfRule>
  </conditionalFormatting>
  <conditionalFormatting sqref="K16:K17">
    <cfRule type="cellIs" dxfId="2793" priority="2" operator="equal">
      <formula>0</formula>
    </cfRule>
  </conditionalFormatting>
  <conditionalFormatting sqref="K21">
    <cfRule type="cellIs" dxfId="27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1" max="17" man="1"/>
  </rowBreaks>
  <legacyDrawingHF r:id="rId2"/>
</worksheet>
</file>

<file path=xl/worksheets/sheet16.xml><?xml version="1.0" encoding="utf-8"?>
<worksheet xmlns="http://schemas.openxmlformats.org/spreadsheetml/2006/main" xmlns:r="http://schemas.openxmlformats.org/officeDocument/2006/relationships">
  <sheetPr codeName="Sheet13">
    <pageSetUpPr fitToPage="1"/>
  </sheetPr>
  <dimension ref="A1:BN58"/>
  <sheetViews>
    <sheetView workbookViewId="0"/>
  </sheetViews>
  <sheetFormatPr defaultColWidth="0" defaultRowHeight="14.25" zeroHeight="1"/>
  <cols>
    <col min="1" max="1" width="0.625" style="71" customWidth="1"/>
    <col min="2" max="2" width="5.125" style="71" customWidth="1"/>
    <col min="3" max="3" width="38.125" style="71" customWidth="1"/>
    <col min="4" max="4" width="5.625" style="71" hidden="1" customWidth="1"/>
    <col min="5" max="6" width="5.125" style="71" customWidth="1"/>
    <col min="7" max="14" width="12.625" style="71" customWidth="1"/>
    <col min="15" max="15" width="2.625" style="71" customWidth="1"/>
    <col min="16" max="16" width="36.625" style="75" customWidth="1"/>
    <col min="17" max="17" width="18.625" style="71" bestFit="1" customWidth="1"/>
    <col min="18" max="18" width="1.625" style="71" customWidth="1"/>
    <col min="19" max="19" width="1.625" style="72" hidden="1" customWidth="1"/>
    <col min="20" max="26" width="4.625" style="71" hidden="1" customWidth="1"/>
    <col min="27" max="27" width="1.625" style="72" hidden="1" customWidth="1"/>
    <col min="28" max="35" width="5.125" style="75" hidden="1" customWidth="1"/>
    <col min="36" max="36" width="1.625" style="72" hidden="1" customWidth="1"/>
    <col min="37" max="51" width="0" style="71" hidden="1" customWidth="1"/>
    <col min="52" max="52" width="9" style="71" customWidth="1"/>
    <col min="53" max="53" width="5.125" style="71" customWidth="1"/>
    <col min="54" max="54" width="38.125" style="71" customWidth="1"/>
    <col min="55" max="55" width="5.625" style="71" hidden="1" customWidth="1"/>
    <col min="56" max="57" width="5.125" style="71" customWidth="1"/>
    <col min="58" max="65" width="12.625" style="71" customWidth="1"/>
    <col min="66" max="66" width="3" style="71" customWidth="1"/>
    <col min="67" max="16384" width="9" style="71" hidden="1"/>
  </cols>
  <sheetData>
    <row r="1" spans="2:65" ht="18.75">
      <c r="B1" s="67" t="s">
        <v>2634</v>
      </c>
      <c r="C1" s="67"/>
      <c r="D1" s="67"/>
      <c r="E1" s="67"/>
      <c r="F1" s="67"/>
      <c r="G1" s="67"/>
      <c r="H1" s="67"/>
      <c r="I1" s="67"/>
      <c r="J1" s="67"/>
      <c r="K1" s="67"/>
      <c r="L1" s="67"/>
      <c r="M1" s="67"/>
      <c r="N1" s="69" t="str">
        <f>Validation!B3</f>
        <v>South West Water – South West area</v>
      </c>
      <c r="O1" s="67"/>
      <c r="P1" s="70"/>
      <c r="Q1" s="70" t="s">
        <v>2394</v>
      </c>
      <c r="AB1" s="71"/>
      <c r="AC1" s="71"/>
      <c r="AD1" s="71"/>
      <c r="AE1" s="71"/>
      <c r="AF1" s="71"/>
      <c r="AG1" s="71"/>
      <c r="AH1" s="71"/>
      <c r="AI1" s="71"/>
      <c r="BA1" s="67" t="s">
        <v>6671</v>
      </c>
      <c r="BB1" s="67"/>
      <c r="BC1" s="67"/>
      <c r="BD1" s="67"/>
      <c r="BE1" s="67"/>
      <c r="BF1" s="67"/>
      <c r="BG1" s="67"/>
      <c r="BH1" s="67"/>
      <c r="BI1" s="67"/>
      <c r="BJ1" s="67"/>
      <c r="BK1" s="67"/>
      <c r="BL1" s="67"/>
      <c r="BM1" s="69"/>
    </row>
    <row r="2" spans="2:65" ht="15" thickBot="1">
      <c r="B2" s="74" t="s">
        <v>12524</v>
      </c>
      <c r="P2" s="71"/>
      <c r="AB2" s="71"/>
      <c r="AC2" s="71"/>
      <c r="AD2" s="71"/>
      <c r="AE2" s="71"/>
      <c r="AF2" s="71"/>
      <c r="AG2" s="71"/>
      <c r="AH2" s="71"/>
      <c r="AI2" s="71"/>
      <c r="BA2" s="74" t="str">
        <f>+B2</f>
        <v>For the 12 months ended 31 March 2019</v>
      </c>
    </row>
    <row r="3" spans="2:65" ht="15" customHeight="1">
      <c r="B3" s="3200" t="s">
        <v>2395</v>
      </c>
      <c r="C3" s="3201"/>
      <c r="D3" s="1447" t="s">
        <v>6496</v>
      </c>
      <c r="E3" s="3204" t="s">
        <v>2396</v>
      </c>
      <c r="F3" s="3206" t="s">
        <v>2397</v>
      </c>
      <c r="G3" s="3210" t="s">
        <v>2576</v>
      </c>
      <c r="H3" s="3232"/>
      <c r="I3" s="3232"/>
      <c r="J3" s="3232"/>
      <c r="K3" s="3212"/>
      <c r="L3" s="3232" t="s">
        <v>2575</v>
      </c>
      <c r="M3" s="3233"/>
      <c r="N3" s="3213" t="s">
        <v>2554</v>
      </c>
      <c r="O3" s="385"/>
      <c r="P3" s="3213" t="s">
        <v>2577</v>
      </c>
      <c r="Q3" s="3213" t="s">
        <v>1361</v>
      </c>
      <c r="T3" s="3215" t="s">
        <v>2404</v>
      </c>
      <c r="U3" s="3215"/>
      <c r="V3" s="3215"/>
      <c r="W3" s="3215"/>
      <c r="X3" s="3215"/>
      <c r="Y3" s="3286"/>
      <c r="Z3" s="3286"/>
      <c r="AB3" s="3284" t="s">
        <v>2390</v>
      </c>
      <c r="AC3" s="3285"/>
      <c r="AD3" s="3285"/>
      <c r="AE3" s="3285"/>
      <c r="AF3" s="3285"/>
      <c r="AG3" s="3285"/>
      <c r="AH3" s="3285"/>
      <c r="AI3" s="3285"/>
      <c r="BA3" s="3200" t="s">
        <v>2395</v>
      </c>
      <c r="BB3" s="3201"/>
      <c r="BC3" s="2723" t="s">
        <v>6496</v>
      </c>
      <c r="BD3" s="3204" t="s">
        <v>2396</v>
      </c>
      <c r="BE3" s="3206" t="s">
        <v>2397</v>
      </c>
      <c r="BF3" s="3210" t="s">
        <v>2576</v>
      </c>
      <c r="BG3" s="3232"/>
      <c r="BH3" s="3232"/>
      <c r="BI3" s="3232"/>
      <c r="BJ3" s="3212"/>
      <c r="BK3" s="3232" t="s">
        <v>2575</v>
      </c>
      <c r="BL3" s="3233"/>
      <c r="BM3" s="3213" t="s">
        <v>2554</v>
      </c>
    </row>
    <row r="4" spans="2:65" ht="26.25" thickBot="1">
      <c r="B4" s="3202"/>
      <c r="C4" s="3203"/>
      <c r="D4" s="1448"/>
      <c r="E4" s="3205"/>
      <c r="F4" s="3207"/>
      <c r="G4" s="386" t="s">
        <v>3609</v>
      </c>
      <c r="H4" s="81" t="s">
        <v>3184</v>
      </c>
      <c r="I4" s="628" t="s">
        <v>3610</v>
      </c>
      <c r="J4" s="930" t="s">
        <v>1195</v>
      </c>
      <c r="K4" s="2095" t="s">
        <v>1800</v>
      </c>
      <c r="L4" s="388" t="s">
        <v>2579</v>
      </c>
      <c r="M4" s="82" t="s">
        <v>2580</v>
      </c>
      <c r="N4" s="3214"/>
      <c r="O4" s="385"/>
      <c r="P4" s="3214"/>
      <c r="Q4" s="3214"/>
      <c r="R4" s="83"/>
      <c r="T4" s="3215"/>
      <c r="U4" s="3215"/>
      <c r="V4" s="3215"/>
      <c r="W4" s="3215"/>
      <c r="X4" s="3215"/>
      <c r="Y4" s="3286"/>
      <c r="Z4" s="3286"/>
      <c r="AB4" s="3284"/>
      <c r="AC4" s="3285"/>
      <c r="AD4" s="3285"/>
      <c r="AE4" s="3285"/>
      <c r="AF4" s="3285"/>
      <c r="AG4" s="3285"/>
      <c r="AH4" s="3285"/>
      <c r="AI4" s="3285"/>
      <c r="BA4" s="3202"/>
      <c r="BB4" s="3203"/>
      <c r="BC4" s="2724"/>
      <c r="BD4" s="3205"/>
      <c r="BE4" s="3207"/>
      <c r="BF4" s="1465" t="s">
        <v>3609</v>
      </c>
      <c r="BG4" s="81" t="s">
        <v>3184</v>
      </c>
      <c r="BH4" s="2739" t="s">
        <v>3610</v>
      </c>
      <c r="BI4" s="387" t="s">
        <v>1195</v>
      </c>
      <c r="BJ4" s="387" t="s">
        <v>1800</v>
      </c>
      <c r="BK4" s="388" t="s">
        <v>2579</v>
      </c>
      <c r="BL4" s="2732" t="s">
        <v>2580</v>
      </c>
      <c r="BM4" s="3214"/>
    </row>
    <row r="5" spans="2:65" ht="15" thickBot="1">
      <c r="P5" s="135"/>
      <c r="T5" s="90" t="s">
        <v>2405</v>
      </c>
      <c r="U5" s="90"/>
      <c r="V5" s="90"/>
      <c r="W5" s="90"/>
      <c r="AB5" s="90" t="s">
        <v>12224</v>
      </c>
    </row>
    <row r="6" spans="2:65" ht="15" thickBot="1">
      <c r="B6" s="87" t="s">
        <v>2449</v>
      </c>
      <c r="C6" s="88" t="s">
        <v>2635</v>
      </c>
      <c r="D6" s="1584"/>
      <c r="P6" s="135"/>
      <c r="AB6" s="132"/>
      <c r="AC6" s="132"/>
      <c r="AD6" s="132"/>
      <c r="AE6" s="132"/>
      <c r="AF6" s="132"/>
      <c r="AG6" s="132"/>
      <c r="AH6" s="132"/>
      <c r="AI6" s="132"/>
      <c r="BA6" s="2744" t="s">
        <v>2449</v>
      </c>
      <c r="BB6" s="88" t="s">
        <v>2635</v>
      </c>
      <c r="BC6" s="1584"/>
    </row>
    <row r="7" spans="2:65">
      <c r="B7" s="91" t="s">
        <v>5093</v>
      </c>
      <c r="C7" s="122" t="s">
        <v>12573</v>
      </c>
      <c r="D7" s="122"/>
      <c r="E7" s="93" t="s">
        <v>750</v>
      </c>
      <c r="F7" s="94">
        <v>3</v>
      </c>
      <c r="G7" s="430"/>
      <c r="H7" s="477"/>
      <c r="I7" s="441"/>
      <c r="J7" s="441"/>
      <c r="K7" s="481"/>
      <c r="L7" s="440"/>
      <c r="M7" s="460"/>
      <c r="N7" s="207">
        <f>SUM(G7:M7)</f>
        <v>0</v>
      </c>
      <c r="P7" s="135"/>
      <c r="Q7" s="24" t="str">
        <f xml:space="preserve"> IF( SUM( S7:AA7 ) = 0, 0, $T$5 )</f>
        <v>Please complete all cells in row</v>
      </c>
      <c r="T7" s="98">
        <f t="shared" ref="T7:U9" si="0" xml:space="preserve"> IF( ISNUMBER( G7 ), 0, 1 )</f>
        <v>1</v>
      </c>
      <c r="U7" s="98">
        <f t="shared" si="0"/>
        <v>1</v>
      </c>
      <c r="V7" s="98">
        <f>IF(Validation!$H$3=1,0,IF(ISNUMBER(I7),0,1))</f>
        <v>1</v>
      </c>
      <c r="W7" s="98">
        <f>IF(Validation!$H$3=1,0,IF(ISNUMBER(J7),0,1))</f>
        <v>1</v>
      </c>
      <c r="X7" s="98">
        <f>IF( Validation!$H$3=1, 0, IF(Validation!$B$3 &lt;&gt; "Thames Water", 0, (IF(ISNUMBER(K7), 0, 1))))</f>
        <v>0</v>
      </c>
      <c r="Y7" s="98">
        <f t="shared" ref="Y7:Z9" si="1" xml:space="preserve"> IF( ISNUMBER( L7 ), 0, 1 )</f>
        <v>1</v>
      </c>
      <c r="Z7" s="98">
        <f t="shared" si="1"/>
        <v>1</v>
      </c>
      <c r="BA7" s="91" t="s">
        <v>5093</v>
      </c>
      <c r="BB7" s="122" t="s">
        <v>3745</v>
      </c>
      <c r="BC7" s="122"/>
      <c r="BD7" s="93" t="s">
        <v>750</v>
      </c>
      <c r="BE7" s="94">
        <v>3</v>
      </c>
      <c r="BF7" s="2747" t="s">
        <v>9689</v>
      </c>
      <c r="BG7" s="2752" t="s">
        <v>9690</v>
      </c>
      <c r="BH7" s="2748" t="s">
        <v>9691</v>
      </c>
      <c r="BI7" s="2746" t="s">
        <v>9692</v>
      </c>
      <c r="BJ7" s="2746" t="s">
        <v>12315</v>
      </c>
      <c r="BK7" s="2806" t="s">
        <v>9745</v>
      </c>
      <c r="BL7" s="2807" t="s">
        <v>9746</v>
      </c>
      <c r="BM7" s="207" t="s">
        <v>9747</v>
      </c>
    </row>
    <row r="8" spans="2:65">
      <c r="B8" s="99" t="s">
        <v>5094</v>
      </c>
      <c r="C8" s="92" t="s">
        <v>2636</v>
      </c>
      <c r="D8" s="92"/>
      <c r="E8" s="100" t="s">
        <v>750</v>
      </c>
      <c r="F8" s="101">
        <v>3</v>
      </c>
      <c r="G8" s="428"/>
      <c r="H8" s="473"/>
      <c r="I8" s="429"/>
      <c r="J8" s="429"/>
      <c r="K8" s="482"/>
      <c r="L8" s="442"/>
      <c r="M8" s="461"/>
      <c r="N8" s="249">
        <f t="shared" ref="N8:N12" si="2">SUM(G8:M8)</f>
        <v>0</v>
      </c>
      <c r="P8" s="135"/>
      <c r="Q8" s="24" t="str">
        <f t="shared" ref="Q8:Q11" si="3" xml:space="preserve"> IF( SUM( S8:AA8 ) = 0, 0, $T$5 )</f>
        <v>Please complete all cells in row</v>
      </c>
      <c r="T8" s="98">
        <f t="shared" si="0"/>
        <v>1</v>
      </c>
      <c r="U8" s="98">
        <f t="shared" si="0"/>
        <v>1</v>
      </c>
      <c r="V8" s="98">
        <f>IF(Validation!$H$3=1,0,IF(ISNUMBER(I8),0,1))</f>
        <v>1</v>
      </c>
      <c r="W8" s="98">
        <f>IF(Validation!$H$3=1,0,IF(ISNUMBER(J8),0,1))</f>
        <v>1</v>
      </c>
      <c r="X8" s="98">
        <f>IF( Validation!$H$3=1, 0, IF(Validation!$B$3 &lt;&gt; "Thames Water", 0, (IF(ISNUMBER(K8), 0, 1))))</f>
        <v>0</v>
      </c>
      <c r="Y8" s="98">
        <f t="shared" si="1"/>
        <v>1</v>
      </c>
      <c r="Z8" s="98">
        <f t="shared" si="1"/>
        <v>1</v>
      </c>
      <c r="AB8" s="132"/>
      <c r="AC8" s="132"/>
      <c r="AD8" s="132"/>
      <c r="AE8" s="132"/>
      <c r="AF8" s="132"/>
      <c r="AG8" s="132"/>
      <c r="AH8" s="132"/>
      <c r="AI8" s="132"/>
      <c r="BA8" s="99" t="s">
        <v>5094</v>
      </c>
      <c r="BB8" s="92" t="s">
        <v>2636</v>
      </c>
      <c r="BC8" s="92"/>
      <c r="BD8" s="100" t="s">
        <v>750</v>
      </c>
      <c r="BE8" s="101">
        <v>3</v>
      </c>
      <c r="BF8" s="2750" t="s">
        <v>9693</v>
      </c>
      <c r="BG8" s="2753" t="s">
        <v>9694</v>
      </c>
      <c r="BH8" s="2751" t="s">
        <v>9695</v>
      </c>
      <c r="BI8" s="2749" t="s">
        <v>9696</v>
      </c>
      <c r="BJ8" s="2749" t="s">
        <v>12316</v>
      </c>
      <c r="BK8" s="2763" t="s">
        <v>9748</v>
      </c>
      <c r="BL8" s="2808" t="s">
        <v>9749</v>
      </c>
      <c r="BM8" s="249" t="s">
        <v>9750</v>
      </c>
    </row>
    <row r="9" spans="2:65">
      <c r="B9" s="99" t="s">
        <v>5095</v>
      </c>
      <c r="C9" s="92" t="s">
        <v>2637</v>
      </c>
      <c r="D9" s="92"/>
      <c r="E9" s="100" t="s">
        <v>750</v>
      </c>
      <c r="F9" s="101">
        <v>3</v>
      </c>
      <c r="G9" s="428"/>
      <c r="H9" s="473"/>
      <c r="I9" s="429"/>
      <c r="J9" s="429"/>
      <c r="K9" s="482"/>
      <c r="L9" s="442"/>
      <c r="M9" s="461"/>
      <c r="N9" s="249">
        <f t="shared" si="2"/>
        <v>0</v>
      </c>
      <c r="P9" s="135"/>
      <c r="Q9" s="24" t="str">
        <f t="shared" si="3"/>
        <v>Please complete all cells in row</v>
      </c>
      <c r="T9" s="98">
        <f t="shared" si="0"/>
        <v>1</v>
      </c>
      <c r="U9" s="98">
        <f t="shared" si="0"/>
        <v>1</v>
      </c>
      <c r="V9" s="98">
        <f>IF(Validation!$H$3=1,0,IF(ISNUMBER(I9),0,1))</f>
        <v>1</v>
      </c>
      <c r="W9" s="98">
        <f>IF(Validation!$H$3=1,0,IF(ISNUMBER(J9),0,1))</f>
        <v>1</v>
      </c>
      <c r="X9" s="98">
        <f>IF( Validation!$H$3=1, 0, IF(Validation!$B$3 &lt;&gt; "Thames Water", 0, (IF(ISNUMBER(K9), 0, 1))))</f>
        <v>0</v>
      </c>
      <c r="Y9" s="98">
        <f t="shared" si="1"/>
        <v>1</v>
      </c>
      <c r="Z9" s="98">
        <f t="shared" si="1"/>
        <v>1</v>
      </c>
      <c r="AB9" s="132"/>
      <c r="AC9" s="132"/>
      <c r="AD9" s="132"/>
      <c r="AE9" s="132"/>
      <c r="AF9" s="132"/>
      <c r="AG9" s="132"/>
      <c r="AH9" s="132"/>
      <c r="AI9" s="132"/>
      <c r="BA9" s="99" t="s">
        <v>5095</v>
      </c>
      <c r="BB9" s="92" t="s">
        <v>2637</v>
      </c>
      <c r="BC9" s="92"/>
      <c r="BD9" s="100" t="s">
        <v>750</v>
      </c>
      <c r="BE9" s="101">
        <v>3</v>
      </c>
      <c r="BF9" s="2750" t="s">
        <v>9697</v>
      </c>
      <c r="BG9" s="2753" t="s">
        <v>9698</v>
      </c>
      <c r="BH9" s="2751" t="s">
        <v>9699</v>
      </c>
      <c r="BI9" s="2749" t="s">
        <v>9700</v>
      </c>
      <c r="BJ9" s="2749" t="s">
        <v>12317</v>
      </c>
      <c r="BK9" s="2763" t="s">
        <v>9751</v>
      </c>
      <c r="BL9" s="2808" t="s">
        <v>9752</v>
      </c>
      <c r="BM9" s="249" t="s">
        <v>9753</v>
      </c>
    </row>
    <row r="10" spans="2:65">
      <c r="B10" s="99" t="s">
        <v>5097</v>
      </c>
      <c r="C10" s="227" t="s">
        <v>2399</v>
      </c>
      <c r="D10" s="227"/>
      <c r="E10" s="100" t="s">
        <v>750</v>
      </c>
      <c r="F10" s="101">
        <v>3</v>
      </c>
      <c r="G10" s="475"/>
      <c r="H10" s="474"/>
      <c r="I10" s="476"/>
      <c r="J10" s="476"/>
      <c r="K10" s="704"/>
      <c r="L10" s="630"/>
      <c r="M10" s="631"/>
      <c r="N10" s="249">
        <f t="shared" si="2"/>
        <v>0</v>
      </c>
      <c r="P10" s="135"/>
      <c r="Q10" s="24" t="str">
        <f t="shared" ref="Q10" si="4" xml:space="preserve"> IF( SUM( S10:AA10 ) = 0, 0, $T$5 )</f>
        <v>Please complete all cells in row</v>
      </c>
      <c r="T10" s="98">
        <f t="shared" ref="T10" si="5" xml:space="preserve"> IF( ISNUMBER( G10 ), 0, 1 )</f>
        <v>1</v>
      </c>
      <c r="U10" s="98">
        <f t="shared" ref="U10" si="6" xml:space="preserve"> IF( ISNUMBER( H10 ), 0, 1 )</f>
        <v>1</v>
      </c>
      <c r="V10" s="98">
        <f>IF(Validation!$H$3=1,0,IF(ISNUMBER(I10),0,1))</f>
        <v>1</v>
      </c>
      <c r="W10" s="98">
        <f>IF(Validation!$H$3=1,0,IF(ISNUMBER(J10),0,1))</f>
        <v>1</v>
      </c>
      <c r="X10" s="98">
        <f>IF( Validation!$H$3=1, 0, IF(Validation!$B$3 &lt;&gt; "Thames Water", 0, (IF(ISNUMBER(K10), 0, 1))))</f>
        <v>0</v>
      </c>
      <c r="Y10" s="98">
        <f t="shared" ref="Y10" si="7" xml:space="preserve"> IF( ISNUMBER( L10 ), 0, 1 )</f>
        <v>1</v>
      </c>
      <c r="Z10" s="98">
        <f t="shared" ref="Z10" si="8" xml:space="preserve"> IF( ISNUMBER( M10 ), 0, 1 )</f>
        <v>1</v>
      </c>
      <c r="AB10" s="132"/>
      <c r="AC10" s="132"/>
      <c r="AD10" s="132"/>
      <c r="AE10" s="132"/>
      <c r="AF10" s="132"/>
      <c r="AG10" s="132"/>
      <c r="AH10" s="132"/>
      <c r="AI10" s="132"/>
      <c r="BA10" s="99" t="s">
        <v>5097</v>
      </c>
      <c r="BB10" s="227" t="s">
        <v>2399</v>
      </c>
      <c r="BC10" s="227"/>
      <c r="BD10" s="100" t="s">
        <v>750</v>
      </c>
      <c r="BE10" s="101">
        <v>3</v>
      </c>
      <c r="BF10" s="2809" t="s">
        <v>11120</v>
      </c>
      <c r="BG10" s="2810" t="s">
        <v>11121</v>
      </c>
      <c r="BH10" s="2811" t="s">
        <v>11122</v>
      </c>
      <c r="BI10" s="2812" t="s">
        <v>11123</v>
      </c>
      <c r="BJ10" s="2812" t="s">
        <v>12328</v>
      </c>
      <c r="BK10" s="2813" t="s">
        <v>11124</v>
      </c>
      <c r="BL10" s="2814" t="s">
        <v>11125</v>
      </c>
      <c r="BM10" s="2265" t="s">
        <v>11126</v>
      </c>
    </row>
    <row r="11" spans="2:65">
      <c r="B11" s="99" t="s">
        <v>5096</v>
      </c>
      <c r="C11" s="227" t="s">
        <v>3614</v>
      </c>
      <c r="D11" s="227"/>
      <c r="E11" s="100" t="s">
        <v>750</v>
      </c>
      <c r="F11" s="101">
        <v>3</v>
      </c>
      <c r="G11" s="475"/>
      <c r="H11" s="474"/>
      <c r="I11" s="476"/>
      <c r="J11" s="476"/>
      <c r="K11" s="704"/>
      <c r="L11" s="630"/>
      <c r="M11" s="631"/>
      <c r="N11" s="249">
        <f t="shared" si="2"/>
        <v>0</v>
      </c>
      <c r="P11" s="135"/>
      <c r="Q11" s="24" t="str">
        <f t="shared" si="3"/>
        <v>Please complete all cells in row</v>
      </c>
      <c r="T11" s="98">
        <f xml:space="preserve"> IF( ISNUMBER( G11 ), 0, 1 )</f>
        <v>1</v>
      </c>
      <c r="U11" s="98">
        <f xml:space="preserve"> IF( ISNUMBER( H11 ), 0, 1 )</f>
        <v>1</v>
      </c>
      <c r="V11" s="98">
        <f>IF(Validation!$H$3=1,0,IF(ISNUMBER(I11),0,1))</f>
        <v>1</v>
      </c>
      <c r="W11" s="98">
        <f>IF(Validation!$H$3=1,0,IF(ISNUMBER(J11),0,1))</f>
        <v>1</v>
      </c>
      <c r="X11" s="98">
        <f>IF( Validation!$H$3=1, 0, IF(Validation!$B$3 &lt;&gt; "Thames Water", 0, (IF(ISNUMBER(K11), 0, 1))))</f>
        <v>0</v>
      </c>
      <c r="Y11" s="98">
        <f xml:space="preserve"> IF( ISNUMBER( L11 ), 0, 1 )</f>
        <v>1</v>
      </c>
      <c r="Z11" s="98">
        <f xml:space="preserve"> IF( ISNUMBER( M11 ), 0, 1 )</f>
        <v>1</v>
      </c>
      <c r="AB11" s="132"/>
      <c r="AC11" s="132"/>
      <c r="AD11" s="132"/>
      <c r="AE11" s="132"/>
      <c r="AF11" s="132"/>
      <c r="AG11" s="132"/>
      <c r="AH11" s="132"/>
      <c r="AI11" s="132"/>
      <c r="BA11" s="99" t="s">
        <v>5096</v>
      </c>
      <c r="BB11" s="227" t="s">
        <v>3614</v>
      </c>
      <c r="BC11" s="227"/>
      <c r="BD11" s="100" t="s">
        <v>750</v>
      </c>
      <c r="BE11" s="101">
        <v>3</v>
      </c>
      <c r="BF11" s="2809" t="s">
        <v>9701</v>
      </c>
      <c r="BG11" s="2810" t="s">
        <v>9702</v>
      </c>
      <c r="BH11" s="2811" t="s">
        <v>9703</v>
      </c>
      <c r="BI11" s="2812" t="s">
        <v>9704</v>
      </c>
      <c r="BJ11" s="2812" t="s">
        <v>12318</v>
      </c>
      <c r="BK11" s="2813" t="s">
        <v>9754</v>
      </c>
      <c r="BL11" s="2814" t="s">
        <v>9755</v>
      </c>
      <c r="BM11" s="2265" t="s">
        <v>9756</v>
      </c>
    </row>
    <row r="12" spans="2:65" ht="15" thickBot="1">
      <c r="B12" s="106" t="s">
        <v>5098</v>
      </c>
      <c r="C12" s="107" t="s">
        <v>12574</v>
      </c>
      <c r="D12" s="107"/>
      <c r="E12" s="108" t="s">
        <v>750</v>
      </c>
      <c r="F12" s="105">
        <v>3</v>
      </c>
      <c r="G12" s="201">
        <f>SUM(G7:G11)</f>
        <v>0</v>
      </c>
      <c r="H12" s="629">
        <f t="shared" ref="H12:M12" si="9">SUM(H7:H11)</f>
        <v>0</v>
      </c>
      <c r="I12" s="202">
        <f t="shared" si="9"/>
        <v>0</v>
      </c>
      <c r="J12" s="202">
        <f t="shared" ref="J12" si="10">SUM(J7:J11)</f>
        <v>0</v>
      </c>
      <c r="K12" s="206">
        <f t="shared" si="9"/>
        <v>0</v>
      </c>
      <c r="L12" s="250">
        <f t="shared" si="9"/>
        <v>0</v>
      </c>
      <c r="M12" s="379">
        <f t="shared" si="9"/>
        <v>0</v>
      </c>
      <c r="N12" s="208">
        <f t="shared" si="2"/>
        <v>0</v>
      </c>
      <c r="P12" s="135"/>
      <c r="AB12" s="132"/>
      <c r="AC12" s="132"/>
      <c r="AD12" s="132"/>
      <c r="AE12" s="132"/>
      <c r="AF12" s="132"/>
      <c r="AG12" s="132"/>
      <c r="AH12" s="132"/>
      <c r="AI12" s="132"/>
      <c r="BA12" s="106" t="s">
        <v>5098</v>
      </c>
      <c r="BB12" s="107" t="s">
        <v>3746</v>
      </c>
      <c r="BC12" s="107"/>
      <c r="BD12" s="108" t="s">
        <v>750</v>
      </c>
      <c r="BE12" s="105">
        <v>3</v>
      </c>
      <c r="BF12" s="2266" t="s">
        <v>9705</v>
      </c>
      <c r="BG12" s="2267" t="s">
        <v>9706</v>
      </c>
      <c r="BH12" s="2154" t="s">
        <v>9707</v>
      </c>
      <c r="BI12" s="2155" t="s">
        <v>9708</v>
      </c>
      <c r="BJ12" s="2155" t="s">
        <v>12319</v>
      </c>
      <c r="BK12" s="2268" t="s">
        <v>9757</v>
      </c>
      <c r="BL12" s="2269" t="s">
        <v>9758</v>
      </c>
      <c r="BM12" s="2156" t="s">
        <v>9759</v>
      </c>
    </row>
    <row r="13" spans="2:65" ht="15" thickBot="1">
      <c r="P13" s="135"/>
      <c r="BF13" s="2270"/>
      <c r="BG13" s="2270"/>
      <c r="BH13" s="2270"/>
      <c r="BI13" s="2270"/>
      <c r="BJ13" s="2270"/>
      <c r="BK13" s="2270"/>
      <c r="BL13" s="2270"/>
      <c r="BM13" s="2270"/>
    </row>
    <row r="14" spans="2:65" ht="15" thickBot="1">
      <c r="B14" s="87" t="s">
        <v>2458</v>
      </c>
      <c r="C14" s="88" t="s">
        <v>2511</v>
      </c>
      <c r="D14" s="1584"/>
      <c r="P14" s="131"/>
      <c r="BA14" s="2744" t="s">
        <v>2458</v>
      </c>
      <c r="BB14" s="88" t="s">
        <v>2511</v>
      </c>
      <c r="BC14" s="1584"/>
      <c r="BF14" s="2270"/>
      <c r="BG14" s="2270"/>
      <c r="BH14" s="2270"/>
      <c r="BI14" s="2270"/>
      <c r="BJ14" s="2270"/>
      <c r="BK14" s="2270"/>
      <c r="BL14" s="2270"/>
      <c r="BM14" s="2270"/>
    </row>
    <row r="15" spans="2:65">
      <c r="B15" s="91" t="s">
        <v>5099</v>
      </c>
      <c r="C15" s="122" t="s">
        <v>12573</v>
      </c>
      <c r="D15" s="122"/>
      <c r="E15" s="93" t="s">
        <v>750</v>
      </c>
      <c r="F15" s="94">
        <v>3</v>
      </c>
      <c r="G15" s="430"/>
      <c r="H15" s="440"/>
      <c r="I15" s="441"/>
      <c r="J15" s="441"/>
      <c r="K15" s="481"/>
      <c r="L15" s="440"/>
      <c r="M15" s="460"/>
      <c r="N15" s="207">
        <f>SUM(G15:M15)</f>
        <v>0</v>
      </c>
      <c r="P15" s="131"/>
      <c r="Q15" s="24" t="str">
        <f t="shared" ref="Q15:Q18" si="11" xml:space="preserve"> IF( SUM( S15:AA15 ) = 0, 0, $T$5 )</f>
        <v>Please complete all cells in row</v>
      </c>
      <c r="T15" s="98">
        <f xml:space="preserve"> IF( ISNUMBER( G15 ), 0, 1 )</f>
        <v>1</v>
      </c>
      <c r="U15" s="98">
        <f xml:space="preserve"> IF( ISNUMBER( H15 ), 0, 1 )</f>
        <v>1</v>
      </c>
      <c r="V15" s="98">
        <f>IF(Validation!$H$3=1,0,IF(ISNUMBER(I15),0,1))</f>
        <v>1</v>
      </c>
      <c r="W15" s="98">
        <f>IF(Validation!$H$3=1,0,IF(ISNUMBER(J15),0,1))</f>
        <v>1</v>
      </c>
      <c r="X15" s="98">
        <f>IF( Validation!$H$3=1, 0, IF(Validation!$B$3 &lt;&gt; "Thames Water", 0, (IF(ISNUMBER(K15), 0, 1))))</f>
        <v>0</v>
      </c>
      <c r="Y15" s="98">
        <f xml:space="preserve"> IF( ISNUMBER( L15 ), 0, 1 )</f>
        <v>1</v>
      </c>
      <c r="Z15" s="98">
        <f xml:space="preserve"> IF( ISNUMBER( M15 ), 0, 1 )</f>
        <v>1</v>
      </c>
      <c r="BA15" s="91" t="s">
        <v>5099</v>
      </c>
      <c r="BB15" s="122" t="s">
        <v>3745</v>
      </c>
      <c r="BC15" s="122"/>
      <c r="BD15" s="93" t="s">
        <v>750</v>
      </c>
      <c r="BE15" s="94">
        <v>3</v>
      </c>
      <c r="BF15" s="2556" t="s">
        <v>9709</v>
      </c>
      <c r="BG15" s="2815" t="s">
        <v>9710</v>
      </c>
      <c r="BH15" s="2758" t="s">
        <v>9711</v>
      </c>
      <c r="BI15" s="2816" t="s">
        <v>9712</v>
      </c>
      <c r="BJ15" s="2816" t="s">
        <v>12320</v>
      </c>
      <c r="BK15" s="2815" t="s">
        <v>9760</v>
      </c>
      <c r="BL15" s="2817" t="s">
        <v>9761</v>
      </c>
      <c r="BM15" s="2271" t="s">
        <v>9762</v>
      </c>
    </row>
    <row r="16" spans="2:65">
      <c r="B16" s="99" t="s">
        <v>5100</v>
      </c>
      <c r="C16" s="92" t="s">
        <v>2636</v>
      </c>
      <c r="D16" s="92"/>
      <c r="E16" s="100" t="s">
        <v>750</v>
      </c>
      <c r="F16" s="101">
        <v>3</v>
      </c>
      <c r="G16" s="428"/>
      <c r="H16" s="442"/>
      <c r="I16" s="429"/>
      <c r="J16" s="429"/>
      <c r="K16" s="482"/>
      <c r="L16" s="442"/>
      <c r="M16" s="461"/>
      <c r="N16" s="249">
        <f>SUM(G16:M16)</f>
        <v>0</v>
      </c>
      <c r="P16" s="131"/>
      <c r="Q16" s="24" t="str">
        <f t="shared" si="11"/>
        <v>Please complete all cells in row</v>
      </c>
      <c r="T16" s="98">
        <f xml:space="preserve"> IF( ISNUMBER( G16 ), 0, 1 )</f>
        <v>1</v>
      </c>
      <c r="U16" s="98">
        <f xml:space="preserve"> IF( ISNUMBER( H16 ), 0, 1 )</f>
        <v>1</v>
      </c>
      <c r="V16" s="98">
        <f>IF(Validation!$H$3=1,0,IF(ISNUMBER(I16),0,1))</f>
        <v>1</v>
      </c>
      <c r="W16" s="98">
        <f>IF(Validation!$H$3=1,0,IF(ISNUMBER(J16),0,1))</f>
        <v>1</v>
      </c>
      <c r="X16" s="98">
        <f>IF( Validation!$H$3=1, 0, IF(Validation!$B$3 &lt;&gt; "Thames Water", 0, (IF(ISNUMBER(K16), 0, 1))))</f>
        <v>0</v>
      </c>
      <c r="Y16" s="98">
        <f xml:space="preserve"> IF( ISNUMBER( L16 ), 0, 1 )</f>
        <v>1</v>
      </c>
      <c r="Z16" s="98">
        <f xml:space="preserve"> IF( ISNUMBER( M16 ), 0, 1 )</f>
        <v>1</v>
      </c>
      <c r="BA16" s="99" t="s">
        <v>5100</v>
      </c>
      <c r="BB16" s="92" t="s">
        <v>2636</v>
      </c>
      <c r="BC16" s="92"/>
      <c r="BD16" s="100" t="s">
        <v>750</v>
      </c>
      <c r="BE16" s="101">
        <v>3</v>
      </c>
      <c r="BF16" s="2558" t="s">
        <v>9713</v>
      </c>
      <c r="BG16" s="2818" t="s">
        <v>9714</v>
      </c>
      <c r="BH16" s="2760" t="s">
        <v>9715</v>
      </c>
      <c r="BI16" s="2819" t="s">
        <v>9716</v>
      </c>
      <c r="BJ16" s="2819" t="s">
        <v>12321</v>
      </c>
      <c r="BK16" s="2818" t="s">
        <v>9763</v>
      </c>
      <c r="BL16" s="2820" t="s">
        <v>9764</v>
      </c>
      <c r="BM16" s="2265" t="s">
        <v>9765</v>
      </c>
    </row>
    <row r="17" spans="2:65">
      <c r="B17" s="99" t="s">
        <v>5101</v>
      </c>
      <c r="C17" s="227" t="s">
        <v>2399</v>
      </c>
      <c r="D17" s="227"/>
      <c r="E17" s="100" t="s">
        <v>750</v>
      </c>
      <c r="F17" s="101">
        <v>3</v>
      </c>
      <c r="G17" s="428"/>
      <c r="H17" s="442"/>
      <c r="I17" s="429"/>
      <c r="J17" s="429"/>
      <c r="K17" s="482"/>
      <c r="L17" s="442"/>
      <c r="M17" s="461"/>
      <c r="N17" s="249">
        <f>SUM(G17:M17)</f>
        <v>0</v>
      </c>
      <c r="P17" s="131"/>
      <c r="Q17" s="24" t="str">
        <f t="shared" ref="Q17" si="12" xml:space="preserve"> IF( SUM( S17:AA17 ) = 0, 0, $T$5 )</f>
        <v>Please complete all cells in row</v>
      </c>
      <c r="T17" s="98">
        <f t="shared" ref="T17" si="13" xml:space="preserve"> IF( ISNUMBER( G17 ), 0, 1 )</f>
        <v>1</v>
      </c>
      <c r="U17" s="98">
        <f t="shared" ref="U17" si="14" xml:space="preserve"> IF( ISNUMBER( H17 ), 0, 1 )</f>
        <v>1</v>
      </c>
      <c r="V17" s="98">
        <f>IF(Validation!$H$3=1,0,IF(ISNUMBER(I17),0,1))</f>
        <v>1</v>
      </c>
      <c r="W17" s="98">
        <f>IF(Validation!$H$3=1,0,IF(ISNUMBER(J17),0,1))</f>
        <v>1</v>
      </c>
      <c r="X17" s="98">
        <f>IF( Validation!$H$3=1, 0, IF(Validation!$B$3 &lt;&gt; "Thames Water", 0, (IF(ISNUMBER(K17), 0, 1))))</f>
        <v>0</v>
      </c>
      <c r="Y17" s="98">
        <f t="shared" ref="Y17" si="15" xml:space="preserve"> IF( ISNUMBER( L17 ), 0, 1 )</f>
        <v>1</v>
      </c>
      <c r="Z17" s="98">
        <f t="shared" ref="Z17" si="16" xml:space="preserve"> IF( ISNUMBER( M17 ), 0, 1 )</f>
        <v>1</v>
      </c>
      <c r="BA17" s="99" t="s">
        <v>5101</v>
      </c>
      <c r="BB17" s="227" t="s">
        <v>2399</v>
      </c>
      <c r="BC17" s="227"/>
      <c r="BD17" s="100" t="s">
        <v>750</v>
      </c>
      <c r="BE17" s="101">
        <v>3</v>
      </c>
      <c r="BF17" s="2558" t="s">
        <v>11127</v>
      </c>
      <c r="BG17" s="2818" t="s">
        <v>11128</v>
      </c>
      <c r="BH17" s="2760" t="s">
        <v>11129</v>
      </c>
      <c r="BI17" s="2819" t="s">
        <v>11130</v>
      </c>
      <c r="BJ17" s="2819" t="s">
        <v>12329</v>
      </c>
      <c r="BK17" s="2818" t="s">
        <v>11131</v>
      </c>
      <c r="BL17" s="2820" t="s">
        <v>11132</v>
      </c>
      <c r="BM17" s="2265" t="s">
        <v>11133</v>
      </c>
    </row>
    <row r="18" spans="2:65">
      <c r="B18" s="99" t="s">
        <v>5103</v>
      </c>
      <c r="C18" s="92" t="s">
        <v>2638</v>
      </c>
      <c r="D18" s="92"/>
      <c r="E18" s="100" t="s">
        <v>750</v>
      </c>
      <c r="F18" s="101">
        <v>3</v>
      </c>
      <c r="G18" s="428"/>
      <c r="H18" s="442"/>
      <c r="I18" s="429"/>
      <c r="J18" s="429"/>
      <c r="K18" s="482"/>
      <c r="L18" s="442"/>
      <c r="M18" s="461"/>
      <c r="N18" s="249">
        <f>SUM(G18:M18)</f>
        <v>0</v>
      </c>
      <c r="P18" s="131"/>
      <c r="Q18" s="24" t="str">
        <f t="shared" si="11"/>
        <v>Please complete all cells in row</v>
      </c>
      <c r="T18" s="98">
        <f xml:space="preserve"> IF( ISNUMBER( G18 ), 0, 1 )</f>
        <v>1</v>
      </c>
      <c r="U18" s="98">
        <f xml:space="preserve"> IF( ISNUMBER( H18 ), 0, 1 )</f>
        <v>1</v>
      </c>
      <c r="V18" s="98">
        <f>IF(Validation!$H$3=1,0,IF(ISNUMBER(I18),0,1))</f>
        <v>1</v>
      </c>
      <c r="W18" s="98">
        <f>IF(Validation!$H$3=1,0,IF(ISNUMBER(J18),0,1))</f>
        <v>1</v>
      </c>
      <c r="X18" s="98">
        <f>IF( Validation!$H$3=1, 0, IF(Validation!$B$3 &lt;&gt; "Thames Water", 0, (IF(ISNUMBER(K18), 0, 1))))</f>
        <v>0</v>
      </c>
      <c r="Y18" s="98">
        <f t="shared" ref="Y18" si="17" xml:space="preserve"> IF( ISNUMBER( L18 ), 0, 1 )</f>
        <v>1</v>
      </c>
      <c r="Z18" s="98">
        <f t="shared" ref="Z18" si="18" xml:space="preserve"> IF( ISNUMBER( M18 ), 0, 1 )</f>
        <v>1</v>
      </c>
      <c r="BA18" s="99" t="s">
        <v>5103</v>
      </c>
      <c r="BB18" s="92" t="s">
        <v>2638</v>
      </c>
      <c r="BC18" s="92"/>
      <c r="BD18" s="100" t="s">
        <v>750</v>
      </c>
      <c r="BE18" s="101">
        <v>3</v>
      </c>
      <c r="BF18" s="2750" t="s">
        <v>9717</v>
      </c>
      <c r="BG18" s="2763" t="s">
        <v>9718</v>
      </c>
      <c r="BH18" s="2751" t="s">
        <v>9719</v>
      </c>
      <c r="BI18" s="2749" t="s">
        <v>9720</v>
      </c>
      <c r="BJ18" s="2749" t="s">
        <v>12284</v>
      </c>
      <c r="BK18" s="2763" t="s">
        <v>9766</v>
      </c>
      <c r="BL18" s="2808" t="s">
        <v>9767</v>
      </c>
      <c r="BM18" s="249" t="s">
        <v>9768</v>
      </c>
    </row>
    <row r="19" spans="2:65" ht="15" thickBot="1">
      <c r="B19" s="106" t="s">
        <v>5102</v>
      </c>
      <c r="C19" s="107" t="s">
        <v>12574</v>
      </c>
      <c r="D19" s="107"/>
      <c r="E19" s="108" t="s">
        <v>750</v>
      </c>
      <c r="F19" s="105">
        <v>3</v>
      </c>
      <c r="G19" s="201">
        <f t="shared" ref="G19:M19" si="19">SUM(G15:G18)</f>
        <v>0</v>
      </c>
      <c r="H19" s="250">
        <f t="shared" si="19"/>
        <v>0</v>
      </c>
      <c r="I19" s="202">
        <f t="shared" si="19"/>
        <v>0</v>
      </c>
      <c r="J19" s="202">
        <f t="shared" ref="J19" si="20">SUM(J15:J18)</f>
        <v>0</v>
      </c>
      <c r="K19" s="206">
        <f t="shared" si="19"/>
        <v>0</v>
      </c>
      <c r="L19" s="250">
        <f t="shared" si="19"/>
        <v>0</v>
      </c>
      <c r="M19" s="379">
        <f t="shared" si="19"/>
        <v>0</v>
      </c>
      <c r="N19" s="208">
        <f>SUM(G19:M19)</f>
        <v>0</v>
      </c>
      <c r="P19" s="131"/>
      <c r="AB19" s="115"/>
      <c r="AC19" s="115"/>
      <c r="AD19" s="115"/>
      <c r="AE19" s="115"/>
      <c r="AF19" s="115"/>
      <c r="AG19" s="115"/>
      <c r="AH19" s="115"/>
      <c r="AI19" s="115"/>
      <c r="BA19" s="106" t="s">
        <v>5102</v>
      </c>
      <c r="BB19" s="107" t="s">
        <v>3746</v>
      </c>
      <c r="BC19" s="107"/>
      <c r="BD19" s="108" t="s">
        <v>750</v>
      </c>
      <c r="BE19" s="105">
        <v>3</v>
      </c>
      <c r="BF19" s="201" t="s">
        <v>9721</v>
      </c>
      <c r="BG19" s="250" t="s">
        <v>9722</v>
      </c>
      <c r="BH19" s="202" t="s">
        <v>9723</v>
      </c>
      <c r="BI19" s="206" t="s">
        <v>9724</v>
      </c>
      <c r="BJ19" s="206" t="s">
        <v>12322</v>
      </c>
      <c r="BK19" s="250" t="s">
        <v>9769</v>
      </c>
      <c r="BL19" s="379" t="s">
        <v>9770</v>
      </c>
      <c r="BM19" s="208" t="s">
        <v>9771</v>
      </c>
    </row>
    <row r="20" spans="2:65" ht="15" thickBot="1">
      <c r="P20" s="131"/>
      <c r="AB20" s="170"/>
      <c r="AC20" s="170"/>
      <c r="AD20" s="170"/>
      <c r="AE20" s="170"/>
      <c r="AF20" s="170"/>
      <c r="AG20" s="170"/>
      <c r="AH20" s="170"/>
      <c r="AI20" s="170"/>
    </row>
    <row r="21" spans="2:65">
      <c r="B21" s="91" t="s">
        <v>5105</v>
      </c>
      <c r="C21" s="122" t="s">
        <v>12575</v>
      </c>
      <c r="D21" s="122"/>
      <c r="E21" s="93" t="s">
        <v>750</v>
      </c>
      <c r="F21" s="223">
        <v>3</v>
      </c>
      <c r="G21" s="196">
        <f xml:space="preserve"> G12 + G19</f>
        <v>0</v>
      </c>
      <c r="H21" s="197">
        <f t="shared" ref="H21:I21" si="21" xml:space="preserve"> H12 + H19</f>
        <v>0</v>
      </c>
      <c r="I21" s="197">
        <f t="shared" si="21"/>
        <v>0</v>
      </c>
      <c r="J21" s="197">
        <f t="shared" ref="J21" si="22" xml:space="preserve"> J12 + J19</f>
        <v>0</v>
      </c>
      <c r="K21" s="204">
        <f t="shared" ref="K21:M21" si="23" xml:space="preserve"> K12 + K19</f>
        <v>0</v>
      </c>
      <c r="L21" s="196">
        <f t="shared" si="23"/>
        <v>0</v>
      </c>
      <c r="M21" s="198">
        <f t="shared" si="23"/>
        <v>0</v>
      </c>
      <c r="N21" s="207">
        <f xml:space="preserve"> N12 + N19</f>
        <v>0</v>
      </c>
      <c r="P21" s="131"/>
      <c r="AB21" s="170"/>
      <c r="AC21" s="170"/>
      <c r="AD21" s="170"/>
      <c r="AE21" s="170"/>
      <c r="AF21" s="170"/>
      <c r="AG21" s="170"/>
      <c r="AH21" s="170"/>
      <c r="AI21" s="170"/>
      <c r="BA21" s="91" t="s">
        <v>5105</v>
      </c>
      <c r="BB21" s="122" t="s">
        <v>3747</v>
      </c>
      <c r="BC21" s="122"/>
      <c r="BD21" s="93" t="s">
        <v>750</v>
      </c>
      <c r="BE21" s="223">
        <v>3</v>
      </c>
      <c r="BF21" s="196" t="s">
        <v>9725</v>
      </c>
      <c r="BG21" s="197" t="s">
        <v>9726</v>
      </c>
      <c r="BH21" s="197" t="s">
        <v>9727</v>
      </c>
      <c r="BI21" s="204" t="s">
        <v>9728</v>
      </c>
      <c r="BJ21" s="204" t="s">
        <v>12323</v>
      </c>
      <c r="BK21" s="196" t="s">
        <v>9772</v>
      </c>
      <c r="BL21" s="198" t="s">
        <v>9773</v>
      </c>
      <c r="BM21" s="207" t="s">
        <v>9774</v>
      </c>
    </row>
    <row r="22" spans="2:65" ht="15" thickBot="1">
      <c r="B22" s="106" t="s">
        <v>5104</v>
      </c>
      <c r="C22" s="107" t="s">
        <v>12576</v>
      </c>
      <c r="D22" s="107"/>
      <c r="E22" s="108" t="s">
        <v>750</v>
      </c>
      <c r="F22" s="233">
        <v>3</v>
      </c>
      <c r="G22" s="201">
        <f t="shared" ref="G22:N22" si="24" xml:space="preserve"> G7 + G15</f>
        <v>0</v>
      </c>
      <c r="H22" s="202">
        <f t="shared" si="24"/>
        <v>0</v>
      </c>
      <c r="I22" s="202">
        <f t="shared" si="24"/>
        <v>0</v>
      </c>
      <c r="J22" s="202">
        <f t="shared" ref="J22" si="25" xml:space="preserve"> J7 + J15</f>
        <v>0</v>
      </c>
      <c r="K22" s="206">
        <f t="shared" si="24"/>
        <v>0</v>
      </c>
      <c r="L22" s="201">
        <f t="shared" si="24"/>
        <v>0</v>
      </c>
      <c r="M22" s="203">
        <f t="shared" si="24"/>
        <v>0</v>
      </c>
      <c r="N22" s="208">
        <f t="shared" si="24"/>
        <v>0</v>
      </c>
      <c r="P22" s="131"/>
      <c r="AB22" s="170"/>
      <c r="AC22" s="170"/>
      <c r="AD22" s="170"/>
      <c r="AE22" s="170"/>
      <c r="AF22" s="170"/>
      <c r="AG22" s="170"/>
      <c r="AH22" s="170"/>
      <c r="AI22" s="170"/>
      <c r="BA22" s="106" t="s">
        <v>5104</v>
      </c>
      <c r="BB22" s="107" t="s">
        <v>3748</v>
      </c>
      <c r="BC22" s="107"/>
      <c r="BD22" s="108" t="s">
        <v>750</v>
      </c>
      <c r="BE22" s="233">
        <v>3</v>
      </c>
      <c r="BF22" s="201" t="s">
        <v>9729</v>
      </c>
      <c r="BG22" s="202" t="s">
        <v>9730</v>
      </c>
      <c r="BH22" s="202" t="s">
        <v>9731</v>
      </c>
      <c r="BI22" s="206" t="s">
        <v>9732</v>
      </c>
      <c r="BJ22" s="206" t="s">
        <v>12324</v>
      </c>
      <c r="BK22" s="201" t="s">
        <v>9775</v>
      </c>
      <c r="BL22" s="203" t="s">
        <v>9776</v>
      </c>
      <c r="BM22" s="208" t="s">
        <v>9777</v>
      </c>
    </row>
    <row r="23" spans="2:65" ht="15" thickBot="1">
      <c r="B23" s="115"/>
      <c r="C23" s="157"/>
      <c r="D23" s="157"/>
      <c r="E23" s="115"/>
      <c r="F23" s="115"/>
      <c r="G23" s="170"/>
      <c r="H23" s="170"/>
      <c r="I23" s="170"/>
      <c r="L23" s="115"/>
      <c r="M23" s="123"/>
      <c r="N23" s="123"/>
      <c r="P23" s="131"/>
      <c r="AB23" s="170"/>
      <c r="AC23" s="170"/>
      <c r="AD23" s="170"/>
      <c r="AE23" s="170"/>
      <c r="AF23" s="170"/>
      <c r="AG23" s="170"/>
      <c r="AH23" s="170"/>
      <c r="AI23" s="170"/>
      <c r="BA23" s="115"/>
      <c r="BB23" s="157"/>
      <c r="BC23" s="157"/>
      <c r="BD23" s="115"/>
      <c r="BE23" s="115"/>
      <c r="BF23" s="170"/>
      <c r="BG23" s="170"/>
      <c r="BH23" s="170"/>
      <c r="BI23" s="170"/>
      <c r="BJ23" s="170"/>
      <c r="BK23" s="115"/>
      <c r="BL23" s="123"/>
      <c r="BM23" s="123"/>
    </row>
    <row r="24" spans="2:65" ht="15" thickBot="1">
      <c r="B24" s="87" t="s">
        <v>2473</v>
      </c>
      <c r="C24" s="88" t="s">
        <v>3615</v>
      </c>
      <c r="D24" s="1584"/>
      <c r="P24" s="131"/>
      <c r="AB24" s="170"/>
      <c r="AC24" s="170"/>
      <c r="AD24" s="170"/>
      <c r="AE24" s="170"/>
      <c r="AF24" s="170"/>
      <c r="AG24" s="170"/>
      <c r="AH24" s="170"/>
      <c r="AI24" s="170"/>
      <c r="BA24" s="2744" t="s">
        <v>2473</v>
      </c>
      <c r="BB24" s="88" t="s">
        <v>3615</v>
      </c>
      <c r="BC24" s="1584"/>
    </row>
    <row r="25" spans="2:65">
      <c r="B25" s="91" t="s">
        <v>5108</v>
      </c>
      <c r="C25" s="122" t="s">
        <v>3616</v>
      </c>
      <c r="D25" s="122"/>
      <c r="E25" s="93" t="s">
        <v>750</v>
      </c>
      <c r="F25" s="94">
        <v>3</v>
      </c>
      <c r="G25" s="430"/>
      <c r="H25" s="440"/>
      <c r="I25" s="441"/>
      <c r="J25" s="441"/>
      <c r="K25" s="481"/>
      <c r="L25" s="440"/>
      <c r="M25" s="460"/>
      <c r="N25" s="207">
        <f>SUM(G25:M25)</f>
        <v>0</v>
      </c>
      <c r="P25" s="131"/>
      <c r="Q25" s="24" t="str">
        <f xml:space="preserve"> IF( SUM( S25:AA25 ) = 0, 0, $T$5 )</f>
        <v>Please complete all cells in row</v>
      </c>
      <c r="T25" s="98">
        <f xml:space="preserve"> IF( ISNUMBER( G25 ), 0, 1 )</f>
        <v>1</v>
      </c>
      <c r="U25" s="98">
        <f xml:space="preserve"> IF( ISNUMBER( H25 ), 0, 1 )</f>
        <v>1</v>
      </c>
      <c r="V25" s="98">
        <f>IF(Validation!$H$3=1,0,IF(ISNUMBER(I25),0,1))</f>
        <v>1</v>
      </c>
      <c r="W25" s="98">
        <f>IF(Validation!$H$3=1,0,IF(ISNUMBER(J25),0,1))</f>
        <v>1</v>
      </c>
      <c r="X25" s="98">
        <f>IF( Validation!$H$3=1, 0, IF(Validation!$B$3 &lt;&gt; "Thames Water", 0, (IF(ISNUMBER(K25), 0, 1))))</f>
        <v>0</v>
      </c>
      <c r="Y25" s="98">
        <f t="shared" ref="Y25:Y26" si="26" xml:space="preserve"> IF( ISNUMBER( L25 ), 0, 1 )</f>
        <v>1</v>
      </c>
      <c r="Z25" s="98">
        <f t="shared" ref="Z25:Z26" si="27" xml:space="preserve"> IF( ISNUMBER( M25 ), 0, 1 )</f>
        <v>1</v>
      </c>
      <c r="AB25" s="170"/>
      <c r="AC25" s="170"/>
      <c r="AD25" s="170"/>
      <c r="AE25" s="170"/>
      <c r="AF25" s="170"/>
      <c r="AG25" s="170"/>
      <c r="AH25" s="170"/>
      <c r="AI25" s="170"/>
      <c r="BA25" s="91" t="s">
        <v>5108</v>
      </c>
      <c r="BB25" s="122" t="s">
        <v>3616</v>
      </c>
      <c r="BC25" s="122"/>
      <c r="BD25" s="93" t="s">
        <v>750</v>
      </c>
      <c r="BE25" s="94">
        <v>3</v>
      </c>
      <c r="BF25" s="2747" t="s">
        <v>9733</v>
      </c>
      <c r="BG25" s="2806" t="s">
        <v>9734</v>
      </c>
      <c r="BH25" s="2748" t="s">
        <v>9735</v>
      </c>
      <c r="BI25" s="2746" t="s">
        <v>9736</v>
      </c>
      <c r="BJ25" s="2746" t="s">
        <v>12325</v>
      </c>
      <c r="BK25" s="2806" t="s">
        <v>9778</v>
      </c>
      <c r="BL25" s="2807" t="s">
        <v>9779</v>
      </c>
      <c r="BM25" s="207" t="s">
        <v>9780</v>
      </c>
    </row>
    <row r="26" spans="2:65">
      <c r="B26" s="99" t="s">
        <v>5106</v>
      </c>
      <c r="C26" s="92" t="s">
        <v>2593</v>
      </c>
      <c r="D26" s="92"/>
      <c r="E26" s="100" t="s">
        <v>750</v>
      </c>
      <c r="F26" s="101">
        <v>3</v>
      </c>
      <c r="G26" s="428"/>
      <c r="H26" s="442"/>
      <c r="I26" s="429"/>
      <c r="J26" s="429"/>
      <c r="K26" s="482"/>
      <c r="L26" s="442"/>
      <c r="M26" s="461"/>
      <c r="N26" s="249">
        <f>SUM(G26:M26)</f>
        <v>0</v>
      </c>
      <c r="P26" s="131"/>
      <c r="Q26" s="24" t="str">
        <f xml:space="preserve"> IF( SUM( S26:AA26 ) = 0, 0, $T$5 )</f>
        <v>Please complete all cells in row</v>
      </c>
      <c r="T26" s="98">
        <f xml:space="preserve"> IF( ISNUMBER( G26 ), 0, 1 )</f>
        <v>1</v>
      </c>
      <c r="U26" s="98">
        <f xml:space="preserve"> IF( ISNUMBER( H26 ), 0, 1 )</f>
        <v>1</v>
      </c>
      <c r="V26" s="98">
        <f>IF(Validation!$H$3=1,0,IF(ISNUMBER(I26),0,1))</f>
        <v>1</v>
      </c>
      <c r="W26" s="98">
        <f>IF(Validation!$H$3=1,0,IF(ISNUMBER(J26),0,1))</f>
        <v>1</v>
      </c>
      <c r="X26" s="98">
        <f>IF( Validation!$H$3=1, 0, IF(Validation!$B$3 &lt;&gt; "Thames Water", 0, (IF(ISNUMBER(K26), 0, 1))))</f>
        <v>0</v>
      </c>
      <c r="Y26" s="98">
        <f t="shared" si="26"/>
        <v>1</v>
      </c>
      <c r="Z26" s="98">
        <f t="shared" si="27"/>
        <v>1</v>
      </c>
      <c r="AB26" s="170"/>
      <c r="AC26" s="170"/>
      <c r="AD26" s="170"/>
      <c r="AE26" s="170"/>
      <c r="AF26" s="170"/>
      <c r="AG26" s="170"/>
      <c r="AH26" s="170"/>
      <c r="AI26" s="170"/>
      <c r="BA26" s="99" t="s">
        <v>5106</v>
      </c>
      <c r="BB26" s="92" t="s">
        <v>2593</v>
      </c>
      <c r="BC26" s="92"/>
      <c r="BD26" s="100" t="s">
        <v>750</v>
      </c>
      <c r="BE26" s="101">
        <v>3</v>
      </c>
      <c r="BF26" s="2750" t="s">
        <v>9737</v>
      </c>
      <c r="BG26" s="2763" t="s">
        <v>9738</v>
      </c>
      <c r="BH26" s="2751" t="s">
        <v>9739</v>
      </c>
      <c r="BI26" s="2749" t="s">
        <v>9740</v>
      </c>
      <c r="BJ26" s="2749" t="s">
        <v>12326</v>
      </c>
      <c r="BK26" s="2763" t="s">
        <v>9781</v>
      </c>
      <c r="BL26" s="2808" t="s">
        <v>9782</v>
      </c>
      <c r="BM26" s="249" t="s">
        <v>9783</v>
      </c>
    </row>
    <row r="27" spans="2:65" ht="15" thickBot="1">
      <c r="B27" s="106" t="s">
        <v>5107</v>
      </c>
      <c r="C27" s="107" t="s">
        <v>2554</v>
      </c>
      <c r="D27" s="107"/>
      <c r="E27" s="108" t="s">
        <v>750</v>
      </c>
      <c r="F27" s="233">
        <v>3</v>
      </c>
      <c r="G27" s="201">
        <f>G25+G26</f>
        <v>0</v>
      </c>
      <c r="H27" s="202">
        <f t="shared" ref="H27:M27" si="28">H25+H26</f>
        <v>0</v>
      </c>
      <c r="I27" s="202">
        <f t="shared" si="28"/>
        <v>0</v>
      </c>
      <c r="J27" s="202">
        <f t="shared" ref="J27" si="29">J25+J26</f>
        <v>0</v>
      </c>
      <c r="K27" s="206">
        <f t="shared" si="28"/>
        <v>0</v>
      </c>
      <c r="L27" s="250">
        <f t="shared" si="28"/>
        <v>0</v>
      </c>
      <c r="M27" s="203">
        <f t="shared" si="28"/>
        <v>0</v>
      </c>
      <c r="N27" s="208">
        <f>SUM(G27:M27)</f>
        <v>0</v>
      </c>
      <c r="P27" s="680">
        <f xml:space="preserve"> IF( SUM( AA27:AJ27 ) = 0, 0, AB5 )</f>
        <v>0</v>
      </c>
      <c r="T27" s="132"/>
      <c r="U27" s="132"/>
      <c r="V27" s="132"/>
      <c r="W27" s="132"/>
      <c r="X27" s="132"/>
      <c r="Y27" s="132"/>
      <c r="Z27" s="132"/>
      <c r="AB27" s="98">
        <f xml:space="preserve"> IF( (ROUND( G27, 3) - ROUND( G18, 3)) = 0, 0, 1 )</f>
        <v>0</v>
      </c>
      <c r="AC27" s="98">
        <f xml:space="preserve"> IF( (ROUND( H27, 3) - ROUND( H18, 3)) = 0, 0, 1 )</f>
        <v>0</v>
      </c>
      <c r="AD27" s="98">
        <f xml:space="preserve"> IF( (ROUND( I27, 3) - ROUND( I18, 3)) = 0, 0, 1 )</f>
        <v>0</v>
      </c>
      <c r="AE27" s="98">
        <f t="shared" ref="AE27:AH27" si="30" xml:space="preserve"> IF( (ROUND( J27, 3) - ROUND( J18, 3)) = 0, 0, 1 )</f>
        <v>0</v>
      </c>
      <c r="AF27" s="98">
        <f t="shared" si="30"/>
        <v>0</v>
      </c>
      <c r="AG27" s="98">
        <f t="shared" si="30"/>
        <v>0</v>
      </c>
      <c r="AH27" s="98">
        <f t="shared" si="30"/>
        <v>0</v>
      </c>
      <c r="AI27" s="98">
        <f xml:space="preserve"> IF( (ROUND( N27, 3) - ROUND( N18, 3)) = 0, 0, 1 )</f>
        <v>0</v>
      </c>
      <c r="BA27" s="106" t="s">
        <v>5107</v>
      </c>
      <c r="BB27" s="107" t="s">
        <v>2554</v>
      </c>
      <c r="BC27" s="107"/>
      <c r="BD27" s="108" t="s">
        <v>750</v>
      </c>
      <c r="BE27" s="233">
        <v>3</v>
      </c>
      <c r="BF27" s="201" t="s">
        <v>9741</v>
      </c>
      <c r="BG27" s="202" t="s">
        <v>9742</v>
      </c>
      <c r="BH27" s="202" t="s">
        <v>9743</v>
      </c>
      <c r="BI27" s="206" t="s">
        <v>9744</v>
      </c>
      <c r="BJ27" s="206" t="s">
        <v>12327</v>
      </c>
      <c r="BK27" s="250" t="s">
        <v>9784</v>
      </c>
      <c r="BL27" s="203" t="s">
        <v>9785</v>
      </c>
      <c r="BM27" s="208" t="s">
        <v>9786</v>
      </c>
    </row>
    <row r="28" spans="2:65">
      <c r="B28" s="115"/>
      <c r="C28" s="157"/>
      <c r="D28" s="157"/>
      <c r="E28" s="115"/>
      <c r="F28" s="115"/>
      <c r="G28" s="170"/>
      <c r="H28" s="170"/>
      <c r="I28" s="170"/>
      <c r="J28" s="170"/>
      <c r="K28" s="170"/>
      <c r="L28" s="115"/>
      <c r="M28" s="123"/>
      <c r="N28" s="123"/>
      <c r="P28" s="135"/>
      <c r="AB28" s="185"/>
      <c r="AC28" s="185"/>
      <c r="AD28" s="185"/>
      <c r="AE28" s="185"/>
      <c r="AF28" s="185"/>
      <c r="AG28" s="185"/>
      <c r="AH28" s="185"/>
      <c r="AI28" s="185"/>
      <c r="AJ28" s="124"/>
    </row>
    <row r="29" spans="2:65">
      <c r="B29" s="3220" t="s">
        <v>2420</v>
      </c>
      <c r="C29" s="3220"/>
      <c r="D29" s="1449"/>
      <c r="E29" s="170"/>
      <c r="F29" s="170"/>
      <c r="G29" s="170"/>
      <c r="H29" s="170"/>
      <c r="I29" s="170"/>
      <c r="J29" s="170"/>
      <c r="K29" s="170"/>
      <c r="L29" s="170"/>
      <c r="M29" s="131"/>
      <c r="N29" s="131"/>
      <c r="P29" s="125"/>
      <c r="AB29" s="115"/>
      <c r="AC29" s="115"/>
      <c r="AD29" s="115"/>
      <c r="AE29" s="115"/>
      <c r="AF29" s="115"/>
      <c r="AG29" s="115"/>
      <c r="AH29" s="115"/>
      <c r="AI29" s="115"/>
      <c r="AJ29" s="124"/>
    </row>
    <row r="30" spans="2:65">
      <c r="B30" s="146"/>
      <c r="C30" s="147"/>
      <c r="D30" s="147"/>
      <c r="E30" s="170"/>
      <c r="F30" s="170"/>
      <c r="G30" s="170"/>
      <c r="H30" s="170"/>
      <c r="I30" s="170"/>
      <c r="J30" s="170"/>
      <c r="K30" s="170"/>
      <c r="L30" s="170"/>
      <c r="M30" s="131"/>
      <c r="N30" s="131"/>
      <c r="O30" s="123"/>
      <c r="P30" s="125"/>
      <c r="Q30" s="125"/>
      <c r="R30" s="123"/>
      <c r="AB30" s="115"/>
      <c r="AC30" s="115"/>
      <c r="AD30" s="115"/>
      <c r="AE30" s="115"/>
      <c r="AF30" s="115"/>
      <c r="AG30" s="115"/>
      <c r="AH30" s="115"/>
      <c r="AI30" s="115"/>
      <c r="AJ30" s="124"/>
    </row>
    <row r="31" spans="2:65">
      <c r="B31" s="25"/>
      <c r="C31" s="148" t="s">
        <v>2421</v>
      </c>
      <c r="D31" s="148"/>
      <c r="E31" s="170"/>
      <c r="F31" s="170"/>
      <c r="G31" s="170"/>
      <c r="H31" s="170"/>
      <c r="I31" s="170"/>
      <c r="J31" s="170"/>
      <c r="K31" s="170"/>
      <c r="L31" s="170"/>
      <c r="M31" s="131"/>
      <c r="N31" s="131"/>
      <c r="O31" s="131"/>
      <c r="P31" s="125"/>
      <c r="Q31" s="131"/>
      <c r="R31" s="131"/>
      <c r="S31" s="129"/>
      <c r="T31" s="131"/>
      <c r="U31" s="131"/>
      <c r="V31" s="131"/>
      <c r="W31" s="131"/>
      <c r="X31" s="131"/>
      <c r="Y31" s="131"/>
      <c r="Z31" s="131"/>
      <c r="AA31" s="129"/>
      <c r="AB31" s="115"/>
      <c r="AC31" s="115"/>
      <c r="AD31" s="115"/>
      <c r="AE31" s="115"/>
      <c r="AF31" s="115"/>
      <c r="AG31" s="115"/>
      <c r="AH31" s="115"/>
      <c r="AI31" s="115"/>
      <c r="AJ31" s="124"/>
    </row>
    <row r="32" spans="2:65">
      <c r="B32" s="146"/>
      <c r="C32" s="147"/>
      <c r="D32" s="147"/>
      <c r="E32" s="170"/>
      <c r="F32" s="170"/>
      <c r="G32" s="170"/>
      <c r="H32" s="170"/>
      <c r="I32" s="170"/>
      <c r="J32" s="170"/>
      <c r="K32" s="170"/>
      <c r="L32" s="170"/>
      <c r="M32" s="131"/>
      <c r="N32" s="131"/>
      <c r="O32" s="131"/>
      <c r="P32" s="125"/>
      <c r="Q32" s="131"/>
      <c r="R32" s="131"/>
      <c r="S32" s="124"/>
      <c r="T32" s="131"/>
      <c r="U32" s="131"/>
      <c r="V32" s="131"/>
      <c r="W32" s="131"/>
      <c r="X32" s="131"/>
      <c r="Y32" s="131"/>
      <c r="Z32" s="131"/>
      <c r="AA32" s="124"/>
      <c r="AB32" s="115"/>
      <c r="AC32" s="115"/>
      <c r="AD32" s="115"/>
      <c r="AE32" s="115"/>
      <c r="AF32" s="115"/>
      <c r="AG32" s="115"/>
      <c r="AH32" s="115"/>
      <c r="AI32" s="115"/>
      <c r="AJ32" s="124"/>
    </row>
    <row r="33" spans="1:36">
      <c r="B33" s="149"/>
      <c r="C33" s="148" t="s">
        <v>2422</v>
      </c>
      <c r="D33" s="148"/>
      <c r="E33" s="170"/>
      <c r="F33" s="170"/>
      <c r="G33" s="170"/>
      <c r="H33" s="170"/>
      <c r="I33" s="170"/>
      <c r="J33" s="170"/>
      <c r="K33" s="170"/>
      <c r="L33" s="170"/>
      <c r="M33" s="131"/>
      <c r="N33" s="131"/>
      <c r="O33" s="131"/>
      <c r="P33" s="125"/>
      <c r="Q33" s="131"/>
      <c r="R33" s="131"/>
      <c r="S33" s="124"/>
      <c r="T33" s="131"/>
      <c r="U33" s="131"/>
      <c r="V33" s="131"/>
      <c r="W33" s="131"/>
      <c r="X33" s="131"/>
      <c r="Y33" s="131"/>
      <c r="Z33" s="131"/>
      <c r="AA33" s="124"/>
      <c r="AB33" s="115"/>
      <c r="AC33" s="115"/>
      <c r="AD33" s="115"/>
      <c r="AE33" s="115"/>
      <c r="AF33" s="115"/>
      <c r="AG33" s="115"/>
      <c r="AH33" s="115"/>
      <c r="AI33" s="115"/>
      <c r="AJ33" s="124"/>
    </row>
    <row r="34" spans="1:36">
      <c r="B34" s="150"/>
      <c r="C34" s="148"/>
      <c r="D34" s="148"/>
      <c r="E34" s="170"/>
      <c r="F34" s="170"/>
      <c r="G34" s="170"/>
      <c r="H34" s="170"/>
      <c r="I34" s="170"/>
      <c r="J34" s="170"/>
      <c r="K34" s="170"/>
      <c r="L34" s="170"/>
      <c r="M34" s="131"/>
      <c r="N34" s="131"/>
      <c r="O34" s="131"/>
      <c r="P34" s="125"/>
      <c r="Q34" s="131"/>
      <c r="R34" s="131"/>
      <c r="S34" s="124"/>
      <c r="T34" s="131"/>
      <c r="U34" s="131"/>
      <c r="V34" s="131"/>
      <c r="W34" s="131"/>
      <c r="X34" s="131"/>
      <c r="Y34" s="131"/>
      <c r="Z34" s="131"/>
      <c r="AA34" s="124"/>
      <c r="AB34" s="115"/>
      <c r="AC34" s="115"/>
      <c r="AD34" s="115"/>
      <c r="AE34" s="115"/>
      <c r="AF34" s="115"/>
      <c r="AG34" s="115"/>
      <c r="AH34" s="115"/>
      <c r="AI34" s="115"/>
      <c r="AJ34" s="124"/>
    </row>
    <row r="35" spans="1:36" ht="15" thickBot="1">
      <c r="B35" s="185"/>
      <c r="C35" s="186"/>
      <c r="D35" s="186"/>
      <c r="E35" s="185"/>
      <c r="F35" s="185"/>
      <c r="G35" s="185"/>
      <c r="H35" s="185"/>
      <c r="I35" s="185"/>
      <c r="J35" s="185"/>
      <c r="K35" s="185"/>
      <c r="L35" s="185"/>
      <c r="M35" s="135"/>
      <c r="N35" s="135"/>
      <c r="O35" s="131"/>
      <c r="P35" s="125"/>
      <c r="Q35" s="131"/>
      <c r="R35" s="131"/>
      <c r="S35" s="124"/>
      <c r="T35" s="131"/>
      <c r="U35" s="131"/>
      <c r="V35" s="131"/>
      <c r="W35" s="131"/>
      <c r="X35" s="131"/>
      <c r="Y35" s="131"/>
      <c r="Z35" s="131"/>
      <c r="AA35" s="124"/>
      <c r="AB35" s="115"/>
      <c r="AC35" s="115"/>
      <c r="AD35" s="115"/>
      <c r="AE35" s="115"/>
      <c r="AF35" s="115"/>
      <c r="AG35" s="115"/>
      <c r="AH35" s="115"/>
      <c r="AI35" s="115"/>
      <c r="AJ35" s="129"/>
    </row>
    <row r="36" spans="1:36" ht="19.5" thickBot="1">
      <c r="B36" s="1433" t="s">
        <v>12572</v>
      </c>
      <c r="C36" s="152"/>
      <c r="D36" s="152"/>
      <c r="E36" s="153"/>
      <c r="F36" s="153"/>
      <c r="G36" s="153"/>
      <c r="H36" s="153"/>
      <c r="I36" s="153"/>
      <c r="J36" s="153"/>
      <c r="K36" s="153"/>
      <c r="L36" s="153"/>
      <c r="M36" s="153"/>
      <c r="N36" s="159"/>
      <c r="O36" s="131"/>
      <c r="P36" s="125"/>
      <c r="Q36" s="131"/>
      <c r="R36" s="131"/>
      <c r="S36" s="124"/>
      <c r="T36" s="131"/>
      <c r="U36" s="131"/>
      <c r="V36" s="131"/>
      <c r="W36" s="131"/>
      <c r="X36" s="131"/>
      <c r="Y36" s="131"/>
      <c r="Z36" s="131"/>
      <c r="AA36" s="124"/>
      <c r="AB36" s="115"/>
      <c r="AC36" s="115"/>
      <c r="AD36" s="115"/>
      <c r="AE36" s="115"/>
      <c r="AF36" s="115"/>
      <c r="AG36" s="115"/>
      <c r="AH36" s="115"/>
      <c r="AI36" s="115"/>
      <c r="AJ36" s="129"/>
    </row>
    <row r="37" spans="1:36">
      <c r="B37" s="185"/>
      <c r="C37" s="186"/>
      <c r="D37" s="186"/>
      <c r="E37" s="185"/>
      <c r="F37" s="185"/>
      <c r="G37" s="185"/>
      <c r="H37" s="185"/>
      <c r="I37" s="185"/>
      <c r="J37" s="185"/>
      <c r="K37" s="185"/>
      <c r="L37" s="185"/>
      <c r="M37" s="135"/>
      <c r="N37" s="135"/>
      <c r="O37" s="131"/>
      <c r="P37" s="125"/>
      <c r="Q37" s="131"/>
      <c r="R37" s="131"/>
      <c r="S37" s="124"/>
      <c r="T37" s="131"/>
      <c r="U37" s="131"/>
      <c r="V37" s="131"/>
      <c r="W37" s="131"/>
      <c r="X37" s="131"/>
      <c r="Y37" s="131"/>
      <c r="Z37" s="131"/>
      <c r="AA37" s="124"/>
      <c r="AB37" s="115"/>
      <c r="AC37" s="115"/>
      <c r="AD37" s="115"/>
      <c r="AE37" s="115"/>
      <c r="AF37" s="115"/>
      <c r="AG37" s="115"/>
      <c r="AH37" s="115"/>
      <c r="AI37" s="115"/>
      <c r="AJ37" s="129"/>
    </row>
    <row r="38" spans="1:36" s="115" customFormat="1" ht="21" hidden="1" customHeight="1" thickBot="1">
      <c r="A38" s="1643"/>
      <c r="B38" s="151" t="str">
        <f ca="1" xml:space="preserve"> RIGHT(CELL("filename", $A$1), LEN(CELL("filename", $A$1)) - SEARCH("]", CELL("filename", $A$1)))&amp;" - Line definitions"</f>
        <v>2D - Line definitions</v>
      </c>
      <c r="C38" s="152"/>
      <c r="D38" s="152"/>
      <c r="E38" s="153"/>
      <c r="F38" s="153"/>
      <c r="G38" s="153"/>
      <c r="H38" s="153"/>
      <c r="I38" s="153"/>
      <c r="J38" s="153"/>
      <c r="K38" s="153"/>
      <c r="L38" s="153"/>
      <c r="M38" s="153"/>
      <c r="N38" s="159"/>
      <c r="O38" s="135"/>
      <c r="P38" s="125"/>
      <c r="Q38" s="131"/>
      <c r="R38" s="131"/>
      <c r="S38" s="124"/>
      <c r="T38" s="131"/>
      <c r="U38" s="131"/>
      <c r="V38" s="131"/>
      <c r="W38" s="131"/>
      <c r="X38" s="131"/>
      <c r="Y38" s="131"/>
      <c r="Z38" s="131"/>
      <c r="AA38" s="124"/>
      <c r="AJ38" s="129"/>
    </row>
    <row r="39" spans="1:36" s="170" customFormat="1" ht="15" hidden="1" customHeight="1" thickBot="1">
      <c r="A39" s="1651"/>
      <c r="B39" s="75"/>
      <c r="C39" s="160"/>
      <c r="D39" s="160"/>
      <c r="E39" s="75"/>
      <c r="F39" s="75"/>
      <c r="G39" s="115"/>
      <c r="H39" s="115"/>
      <c r="I39" s="115"/>
      <c r="J39" s="115"/>
      <c r="K39" s="115"/>
      <c r="L39" s="115"/>
      <c r="M39" s="123"/>
      <c r="N39" s="123"/>
      <c r="O39" s="135"/>
      <c r="P39" s="125"/>
      <c r="Q39" s="131"/>
      <c r="R39" s="131"/>
      <c r="S39" s="124"/>
      <c r="T39" s="131"/>
      <c r="U39" s="131"/>
      <c r="V39" s="131"/>
      <c r="W39" s="131"/>
      <c r="X39" s="131"/>
      <c r="Y39" s="131"/>
      <c r="Z39" s="131"/>
      <c r="AA39" s="124"/>
      <c r="AB39" s="115"/>
      <c r="AC39" s="115"/>
      <c r="AD39" s="115"/>
      <c r="AE39" s="115"/>
      <c r="AF39" s="115"/>
      <c r="AG39" s="115"/>
      <c r="AH39" s="115"/>
      <c r="AI39" s="115"/>
      <c r="AJ39" s="129"/>
    </row>
    <row r="40" spans="1:36" s="170" customFormat="1" ht="15" hidden="1" thickBot="1">
      <c r="A40" s="1651"/>
      <c r="B40" s="381" t="s">
        <v>2423</v>
      </c>
      <c r="C40" s="382" t="s">
        <v>2424</v>
      </c>
      <c r="D40" s="383"/>
      <c r="E40" s="383"/>
      <c r="F40" s="383"/>
      <c r="G40" s="383"/>
      <c r="H40" s="383"/>
      <c r="I40" s="383"/>
      <c r="J40" s="383"/>
      <c r="K40" s="383"/>
      <c r="L40" s="383"/>
      <c r="M40" s="383"/>
      <c r="N40" s="384"/>
      <c r="O40" s="123"/>
      <c r="P40" s="75"/>
      <c r="Q40" s="125"/>
      <c r="R40" s="123"/>
      <c r="S40" s="124"/>
      <c r="T40" s="90" t="s">
        <v>2425</v>
      </c>
      <c r="U40" s="90"/>
      <c r="V40" s="90"/>
      <c r="W40" s="90"/>
      <c r="X40" s="123"/>
      <c r="Y40" s="123"/>
      <c r="Z40" s="123"/>
      <c r="AA40" s="124"/>
      <c r="AB40" s="75"/>
      <c r="AC40" s="75"/>
      <c r="AD40" s="75"/>
      <c r="AE40" s="75"/>
      <c r="AF40" s="75"/>
      <c r="AG40" s="75"/>
      <c r="AH40" s="75"/>
      <c r="AI40" s="75"/>
      <c r="AJ40" s="129"/>
    </row>
    <row r="41" spans="1:36" s="170" customFormat="1" ht="14.25" hidden="1" customHeight="1">
      <c r="A41" s="1651"/>
      <c r="B41" s="188" t="str">
        <f t="shared" ref="B41:B46" si="31">B7</f>
        <v>2D.1</v>
      </c>
      <c r="C41" s="3216" t="s">
        <v>2639</v>
      </c>
      <c r="D41" s="3216"/>
      <c r="E41" s="3216"/>
      <c r="F41" s="3216"/>
      <c r="G41" s="3216"/>
      <c r="H41" s="3216"/>
      <c r="I41" s="3216"/>
      <c r="J41" s="3216"/>
      <c r="K41" s="3216"/>
      <c r="L41" s="3216"/>
      <c r="M41" s="3216"/>
      <c r="N41" s="3217"/>
      <c r="O41" s="123"/>
      <c r="P41" s="75"/>
      <c r="Q41" s="125"/>
      <c r="R41" s="123"/>
      <c r="S41" s="129"/>
      <c r="T41" s="210">
        <v>1</v>
      </c>
      <c r="U41" s="210"/>
      <c r="V41" s="210"/>
      <c r="W41" s="210"/>
      <c r="X41" s="261"/>
      <c r="Y41" s="123"/>
      <c r="Z41" s="123"/>
      <c r="AA41" s="129"/>
      <c r="AB41" s="75"/>
      <c r="AC41" s="75"/>
      <c r="AD41" s="75"/>
      <c r="AE41" s="75"/>
      <c r="AF41" s="75"/>
      <c r="AG41" s="75"/>
      <c r="AH41" s="75"/>
      <c r="AI41" s="75"/>
      <c r="AJ41" s="129"/>
    </row>
    <row r="42" spans="1:36" s="170" customFormat="1" ht="14.25" hidden="1" customHeight="1">
      <c r="A42" s="1651"/>
      <c r="B42" s="166" t="str">
        <f t="shared" si="31"/>
        <v>2D.2</v>
      </c>
      <c r="C42" s="3198" t="s">
        <v>2640</v>
      </c>
      <c r="D42" s="3198"/>
      <c r="E42" s="3198"/>
      <c r="F42" s="3198"/>
      <c r="G42" s="3198"/>
      <c r="H42" s="3198"/>
      <c r="I42" s="3198"/>
      <c r="J42" s="3198"/>
      <c r="K42" s="3198"/>
      <c r="L42" s="3198"/>
      <c r="M42" s="3198"/>
      <c r="N42" s="3199"/>
      <c r="O42" s="360"/>
      <c r="P42" s="75"/>
      <c r="Q42" s="135"/>
      <c r="R42" s="123"/>
      <c r="S42" s="129"/>
      <c r="T42" s="261">
        <v>1</v>
      </c>
      <c r="U42" s="261"/>
      <c r="V42" s="261"/>
      <c r="W42" s="261"/>
      <c r="X42" s="261"/>
      <c r="Y42" s="123"/>
      <c r="Z42" s="123"/>
      <c r="AA42" s="129"/>
      <c r="AB42" s="75"/>
      <c r="AC42" s="75"/>
      <c r="AD42" s="75"/>
      <c r="AE42" s="75"/>
      <c r="AF42" s="75"/>
      <c r="AG42" s="75"/>
      <c r="AH42" s="75"/>
      <c r="AI42" s="75"/>
      <c r="AJ42" s="129"/>
    </row>
    <row r="43" spans="1:36" s="170" customFormat="1" ht="14.25" hidden="1" customHeight="1">
      <c r="A43" s="1651"/>
      <c r="B43" s="166" t="str">
        <f t="shared" si="31"/>
        <v>2D.3</v>
      </c>
      <c r="C43" s="3198" t="s">
        <v>2641</v>
      </c>
      <c r="D43" s="3198"/>
      <c r="E43" s="3198"/>
      <c r="F43" s="3198"/>
      <c r="G43" s="3198"/>
      <c r="H43" s="3198"/>
      <c r="I43" s="3198"/>
      <c r="J43" s="3198"/>
      <c r="K43" s="3198"/>
      <c r="L43" s="3198"/>
      <c r="M43" s="3198"/>
      <c r="N43" s="3199"/>
      <c r="O43" s="362"/>
      <c r="P43" s="75"/>
      <c r="Q43" s="125"/>
      <c r="R43" s="123"/>
      <c r="S43" s="129"/>
      <c r="T43" s="261">
        <v>1</v>
      </c>
      <c r="U43" s="261"/>
      <c r="V43" s="261"/>
      <c r="W43" s="261"/>
      <c r="X43" s="261"/>
      <c r="Y43" s="123"/>
      <c r="Z43" s="123"/>
      <c r="AA43" s="129"/>
      <c r="AB43" s="75"/>
      <c r="AC43" s="75"/>
      <c r="AD43" s="75"/>
      <c r="AE43" s="75"/>
      <c r="AF43" s="75"/>
      <c r="AG43" s="75"/>
      <c r="AH43" s="75"/>
      <c r="AI43" s="75"/>
      <c r="AJ43" s="129"/>
    </row>
    <row r="44" spans="1:36" s="170" customFormat="1" ht="14.25" hidden="1" customHeight="1">
      <c r="A44" s="1651"/>
      <c r="B44" s="166" t="str">
        <f t="shared" si="31"/>
        <v>2D.4</v>
      </c>
      <c r="C44" s="3198" t="s">
        <v>3829</v>
      </c>
      <c r="D44" s="3198"/>
      <c r="E44" s="3198"/>
      <c r="F44" s="3198"/>
      <c r="G44" s="3198"/>
      <c r="H44" s="3198"/>
      <c r="I44" s="3198"/>
      <c r="J44" s="3198"/>
      <c r="K44" s="3198"/>
      <c r="L44" s="3198"/>
      <c r="M44" s="3198"/>
      <c r="N44" s="3199"/>
      <c r="O44" s="362"/>
      <c r="P44" s="75"/>
      <c r="Q44" s="125"/>
      <c r="R44" s="123"/>
      <c r="S44" s="129"/>
      <c r="T44" s="261"/>
      <c r="U44" s="261"/>
      <c r="V44" s="261"/>
      <c r="W44" s="261"/>
      <c r="X44" s="261"/>
      <c r="Y44" s="123"/>
      <c r="Z44" s="123"/>
      <c r="AA44" s="129"/>
      <c r="AB44" s="75"/>
      <c r="AC44" s="75"/>
      <c r="AD44" s="75"/>
      <c r="AE44" s="75"/>
      <c r="AF44" s="75"/>
      <c r="AG44" s="75"/>
      <c r="AH44" s="75"/>
      <c r="AI44" s="75"/>
      <c r="AJ44" s="129"/>
    </row>
    <row r="45" spans="1:36" s="170" customFormat="1" ht="14.25" hidden="1" customHeight="1">
      <c r="A45" s="1651"/>
      <c r="B45" s="166" t="str">
        <f t="shared" si="31"/>
        <v>2D.5</v>
      </c>
      <c r="C45" s="3198" t="s">
        <v>3617</v>
      </c>
      <c r="D45" s="3198"/>
      <c r="E45" s="3198"/>
      <c r="F45" s="3198"/>
      <c r="G45" s="3198"/>
      <c r="H45" s="3198"/>
      <c r="I45" s="3198"/>
      <c r="J45" s="3198"/>
      <c r="K45" s="3198"/>
      <c r="L45" s="3198"/>
      <c r="M45" s="3198"/>
      <c r="N45" s="3199"/>
      <c r="O45" s="362"/>
      <c r="P45" s="75"/>
      <c r="Q45" s="125"/>
      <c r="R45" s="123"/>
      <c r="S45" s="129"/>
      <c r="T45" s="261">
        <v>1</v>
      </c>
      <c r="U45" s="261"/>
      <c r="V45" s="261"/>
      <c r="W45" s="261"/>
      <c r="X45" s="261"/>
      <c r="Y45" s="123"/>
      <c r="Z45" s="123"/>
      <c r="AA45" s="129"/>
      <c r="AB45" s="75"/>
      <c r="AC45" s="75"/>
      <c r="AD45" s="75"/>
      <c r="AE45" s="75"/>
      <c r="AF45" s="75"/>
      <c r="AG45" s="75"/>
      <c r="AH45" s="75"/>
      <c r="AI45" s="75"/>
      <c r="AJ45" s="129"/>
    </row>
    <row r="46" spans="1:36" s="170" customFormat="1" ht="13.5" hidden="1" customHeight="1">
      <c r="A46" s="1651"/>
      <c r="B46" s="166" t="str">
        <f t="shared" si="31"/>
        <v>2D.6</v>
      </c>
      <c r="C46" s="3198" t="s">
        <v>3830</v>
      </c>
      <c r="D46" s="3198"/>
      <c r="E46" s="3198"/>
      <c r="F46" s="3198"/>
      <c r="G46" s="3198"/>
      <c r="H46" s="3198"/>
      <c r="I46" s="3198"/>
      <c r="J46" s="3198"/>
      <c r="K46" s="3198"/>
      <c r="L46" s="3198"/>
      <c r="M46" s="3198"/>
      <c r="N46" s="3199"/>
      <c r="O46" s="362"/>
      <c r="P46" s="75"/>
      <c r="Q46" s="115"/>
      <c r="R46" s="115"/>
      <c r="S46" s="129"/>
      <c r="T46" s="261">
        <v>1</v>
      </c>
      <c r="U46" s="261"/>
      <c r="V46" s="261"/>
      <c r="W46" s="261"/>
      <c r="X46" s="301"/>
      <c r="Y46" s="115"/>
      <c r="Z46" s="115"/>
      <c r="AA46" s="129"/>
      <c r="AB46" s="75"/>
      <c r="AC46" s="75"/>
      <c r="AD46" s="75"/>
      <c r="AE46" s="75"/>
      <c r="AF46" s="75"/>
      <c r="AG46" s="75"/>
      <c r="AH46" s="75"/>
      <c r="AI46" s="75"/>
      <c r="AJ46" s="72"/>
    </row>
    <row r="47" spans="1:36" s="170" customFormat="1" ht="13.5" hidden="1" customHeight="1">
      <c r="A47" s="1651"/>
      <c r="B47" s="166" t="str">
        <f>B15</f>
        <v>2D.7</v>
      </c>
      <c r="C47" s="3198" t="s">
        <v>3618</v>
      </c>
      <c r="D47" s="3198"/>
      <c r="E47" s="3198"/>
      <c r="F47" s="3198"/>
      <c r="G47" s="3198"/>
      <c r="H47" s="3198"/>
      <c r="I47" s="3198"/>
      <c r="J47" s="3198"/>
      <c r="K47" s="3198"/>
      <c r="L47" s="3198"/>
      <c r="M47" s="3198"/>
      <c r="N47" s="3199"/>
      <c r="O47" s="362"/>
      <c r="P47" s="75"/>
      <c r="Q47" s="115"/>
      <c r="R47" s="115"/>
      <c r="S47" s="129"/>
      <c r="T47" s="261">
        <v>1</v>
      </c>
      <c r="U47" s="389"/>
      <c r="V47" s="389"/>
      <c r="W47" s="389"/>
      <c r="X47" s="301"/>
      <c r="Y47" s="115"/>
      <c r="Z47" s="115"/>
      <c r="AA47" s="129"/>
      <c r="AB47" s="75"/>
      <c r="AC47" s="75"/>
      <c r="AD47" s="75"/>
      <c r="AE47" s="75"/>
      <c r="AF47" s="75"/>
      <c r="AG47" s="75"/>
      <c r="AH47" s="75"/>
      <c r="AI47" s="75"/>
      <c r="AJ47" s="72"/>
    </row>
    <row r="48" spans="1:36" s="185" customFormat="1" ht="13.5" hidden="1" customHeight="1">
      <c r="A48" s="1652"/>
      <c r="B48" s="166" t="str">
        <f>B16</f>
        <v>2D.8</v>
      </c>
      <c r="C48" s="3198" t="s">
        <v>3619</v>
      </c>
      <c r="D48" s="3198"/>
      <c r="E48" s="3198"/>
      <c r="F48" s="3198"/>
      <c r="G48" s="3198"/>
      <c r="H48" s="3198"/>
      <c r="I48" s="3198"/>
      <c r="J48" s="3198"/>
      <c r="K48" s="3198"/>
      <c r="L48" s="3198"/>
      <c r="M48" s="3198"/>
      <c r="N48" s="3199"/>
      <c r="O48" s="362"/>
      <c r="P48" s="75"/>
      <c r="Q48" s="125"/>
      <c r="R48" s="125"/>
      <c r="S48" s="129"/>
      <c r="T48" s="261">
        <v>1</v>
      </c>
      <c r="U48" s="261"/>
      <c r="V48" s="261"/>
      <c r="W48" s="261"/>
      <c r="X48" s="261"/>
      <c r="Y48" s="125"/>
      <c r="Z48" s="125"/>
      <c r="AA48" s="129"/>
      <c r="AB48" s="75"/>
      <c r="AC48" s="75"/>
      <c r="AD48" s="75"/>
      <c r="AE48" s="75"/>
      <c r="AF48" s="75"/>
      <c r="AG48" s="75"/>
      <c r="AH48" s="75"/>
      <c r="AI48" s="75"/>
      <c r="AJ48" s="72"/>
    </row>
    <row r="49" spans="1:36" s="185" customFormat="1" ht="13.5" hidden="1" customHeight="1">
      <c r="A49" s="1652"/>
      <c r="B49" s="166" t="str">
        <f>B17</f>
        <v>2D.9</v>
      </c>
      <c r="C49" s="3198" t="s">
        <v>3831</v>
      </c>
      <c r="D49" s="3198"/>
      <c r="E49" s="3198"/>
      <c r="F49" s="3198"/>
      <c r="G49" s="3198"/>
      <c r="H49" s="3198"/>
      <c r="I49" s="3198"/>
      <c r="J49" s="3198"/>
      <c r="K49" s="3198"/>
      <c r="L49" s="3198"/>
      <c r="M49" s="3198"/>
      <c r="N49" s="3199"/>
      <c r="O49" s="362"/>
      <c r="P49" s="75"/>
      <c r="Q49" s="125"/>
      <c r="R49" s="125"/>
      <c r="S49" s="129"/>
      <c r="T49" s="261"/>
      <c r="U49" s="261"/>
      <c r="V49" s="261"/>
      <c r="W49" s="261"/>
      <c r="X49" s="261"/>
      <c r="Y49" s="125"/>
      <c r="Z49" s="125"/>
      <c r="AA49" s="129"/>
      <c r="AB49" s="75"/>
      <c r="AC49" s="75"/>
      <c r="AD49" s="75"/>
      <c r="AE49" s="75"/>
      <c r="AF49" s="75"/>
      <c r="AG49" s="75"/>
      <c r="AH49" s="75"/>
      <c r="AI49" s="75"/>
      <c r="AJ49" s="72"/>
    </row>
    <row r="50" spans="1:36" s="185" customFormat="1" ht="14.25" hidden="1" customHeight="1">
      <c r="A50" s="1644"/>
      <c r="B50" s="166" t="str">
        <f>B18</f>
        <v>2D.10</v>
      </c>
      <c r="C50" s="3198" t="s">
        <v>3620</v>
      </c>
      <c r="D50" s="3198"/>
      <c r="E50" s="3198"/>
      <c r="F50" s="3198"/>
      <c r="G50" s="3198"/>
      <c r="H50" s="3198"/>
      <c r="I50" s="3198"/>
      <c r="J50" s="3198"/>
      <c r="K50" s="3198"/>
      <c r="L50" s="3198"/>
      <c r="M50" s="3198"/>
      <c r="N50" s="3199"/>
      <c r="O50" s="362"/>
      <c r="P50" s="75"/>
      <c r="Q50" s="125"/>
      <c r="R50" s="125"/>
      <c r="S50" s="129"/>
      <c r="T50" s="261">
        <v>1</v>
      </c>
      <c r="U50" s="261"/>
      <c r="V50" s="261"/>
      <c r="W50" s="261"/>
      <c r="X50" s="261"/>
      <c r="Y50" s="125"/>
      <c r="Z50" s="125"/>
      <c r="AA50" s="129"/>
      <c r="AB50" s="75"/>
      <c r="AC50" s="75"/>
      <c r="AD50" s="75"/>
      <c r="AE50" s="75"/>
      <c r="AF50" s="75"/>
      <c r="AG50" s="75"/>
      <c r="AH50" s="75"/>
      <c r="AI50" s="75"/>
      <c r="AJ50" s="72"/>
    </row>
    <row r="51" spans="1:36" s="115" customFormat="1" ht="14.25" hidden="1" customHeight="1">
      <c r="A51" s="1643"/>
      <c r="B51" s="166" t="str">
        <f>B19</f>
        <v>2D.11</v>
      </c>
      <c r="C51" s="3198" t="s">
        <v>3832</v>
      </c>
      <c r="D51" s="3198"/>
      <c r="E51" s="3198"/>
      <c r="F51" s="3198"/>
      <c r="G51" s="3198"/>
      <c r="H51" s="3198"/>
      <c r="I51" s="3198"/>
      <c r="J51" s="3198"/>
      <c r="K51" s="3198"/>
      <c r="L51" s="3198"/>
      <c r="M51" s="3198"/>
      <c r="N51" s="3199"/>
      <c r="O51" s="362"/>
      <c r="P51" s="75"/>
      <c r="Q51" s="125"/>
      <c r="R51" s="125"/>
      <c r="S51" s="129"/>
      <c r="T51" s="261">
        <v>1</v>
      </c>
      <c r="U51" s="261"/>
      <c r="V51" s="261"/>
      <c r="W51" s="261"/>
      <c r="X51" s="261"/>
      <c r="Y51" s="125"/>
      <c r="Z51" s="125"/>
      <c r="AA51" s="129"/>
      <c r="AB51" s="75"/>
      <c r="AC51" s="75"/>
      <c r="AD51" s="75"/>
      <c r="AE51" s="75"/>
      <c r="AF51" s="75"/>
      <c r="AG51" s="75"/>
      <c r="AH51" s="75"/>
      <c r="AI51" s="75"/>
      <c r="AJ51" s="72"/>
    </row>
    <row r="52" spans="1:36" s="115" customFormat="1" ht="13.5" hidden="1" customHeight="1">
      <c r="A52" s="1643"/>
      <c r="B52" s="166" t="str">
        <f>B21</f>
        <v>2D.12</v>
      </c>
      <c r="C52" s="3198" t="s">
        <v>3833</v>
      </c>
      <c r="D52" s="3198"/>
      <c r="E52" s="3198"/>
      <c r="F52" s="3198"/>
      <c r="G52" s="3198"/>
      <c r="H52" s="3198"/>
      <c r="I52" s="3198"/>
      <c r="J52" s="3198"/>
      <c r="K52" s="3198"/>
      <c r="L52" s="3198"/>
      <c r="M52" s="3198"/>
      <c r="N52" s="3199"/>
      <c r="O52" s="362"/>
      <c r="P52" s="75"/>
      <c r="Q52" s="71"/>
      <c r="R52" s="71"/>
      <c r="S52" s="129"/>
      <c r="T52" s="261">
        <v>1</v>
      </c>
      <c r="U52" s="168"/>
      <c r="V52" s="168"/>
      <c r="W52" s="168"/>
      <c r="X52" s="390"/>
      <c r="Y52" s="71"/>
      <c r="Z52" s="71"/>
      <c r="AA52" s="129"/>
      <c r="AB52" s="75"/>
      <c r="AC52" s="75"/>
      <c r="AD52" s="75"/>
      <c r="AE52" s="75"/>
      <c r="AF52" s="75"/>
      <c r="AG52" s="75"/>
      <c r="AH52" s="75"/>
      <c r="AI52" s="75"/>
      <c r="AJ52" s="72"/>
    </row>
    <row r="53" spans="1:36" s="115" customFormat="1" ht="14.25" hidden="1" customHeight="1">
      <c r="A53" s="1643"/>
      <c r="B53" s="166" t="str">
        <f>B22</f>
        <v>2D.13</v>
      </c>
      <c r="C53" s="3198" t="s">
        <v>3834</v>
      </c>
      <c r="D53" s="3198"/>
      <c r="E53" s="3198"/>
      <c r="F53" s="3198"/>
      <c r="G53" s="3198"/>
      <c r="H53" s="3198"/>
      <c r="I53" s="3198"/>
      <c r="J53" s="3198"/>
      <c r="K53" s="3198"/>
      <c r="L53" s="3198"/>
      <c r="M53" s="3198"/>
      <c r="N53" s="3199"/>
      <c r="O53" s="362"/>
      <c r="P53" s="75"/>
      <c r="Q53" s="71"/>
      <c r="R53" s="71"/>
      <c r="S53" s="72"/>
      <c r="T53" s="261">
        <v>1</v>
      </c>
      <c r="U53" s="165"/>
      <c r="V53" s="165"/>
      <c r="W53" s="165"/>
      <c r="X53" s="390"/>
      <c r="Y53" s="71"/>
      <c r="Z53" s="71"/>
      <c r="AA53" s="72"/>
      <c r="AB53" s="75"/>
      <c r="AC53" s="75"/>
      <c r="AD53" s="75"/>
      <c r="AE53" s="75"/>
      <c r="AF53" s="75"/>
      <c r="AG53" s="75"/>
      <c r="AH53" s="75"/>
      <c r="AI53" s="75"/>
      <c r="AJ53" s="72"/>
    </row>
    <row r="54" spans="1:36" s="115" customFormat="1" ht="14.25" hidden="1" customHeight="1">
      <c r="A54" s="1643"/>
      <c r="B54" s="166" t="str">
        <f>B25</f>
        <v>2D.14</v>
      </c>
      <c r="C54" s="3198" t="s">
        <v>3621</v>
      </c>
      <c r="D54" s="3198"/>
      <c r="E54" s="3198"/>
      <c r="F54" s="3198"/>
      <c r="G54" s="3198"/>
      <c r="H54" s="3198"/>
      <c r="I54" s="3198"/>
      <c r="J54" s="3198"/>
      <c r="K54" s="3198"/>
      <c r="L54" s="3198"/>
      <c r="M54" s="3198"/>
      <c r="N54" s="3199"/>
      <c r="O54" s="362"/>
      <c r="P54" s="75"/>
      <c r="Q54" s="71"/>
      <c r="R54" s="71"/>
      <c r="S54" s="72"/>
      <c r="T54" s="261">
        <v>1</v>
      </c>
      <c r="U54" s="165"/>
      <c r="V54" s="165"/>
      <c r="W54" s="165"/>
      <c r="X54" s="390"/>
      <c r="Y54" s="71"/>
      <c r="Z54" s="71"/>
      <c r="AA54" s="72"/>
      <c r="AB54" s="75"/>
      <c r="AC54" s="75"/>
      <c r="AD54" s="75"/>
      <c r="AE54" s="75"/>
      <c r="AF54" s="75"/>
      <c r="AG54" s="75"/>
      <c r="AH54" s="75"/>
      <c r="AI54" s="75"/>
      <c r="AJ54" s="72"/>
    </row>
    <row r="55" spans="1:36" s="115" customFormat="1" ht="14.25" hidden="1" customHeight="1">
      <c r="A55" s="1643"/>
      <c r="B55" s="166" t="str">
        <f t="shared" ref="B55:B56" si="32">B26</f>
        <v>2D.15</v>
      </c>
      <c r="C55" s="3198" t="s">
        <v>3622</v>
      </c>
      <c r="D55" s="3198"/>
      <c r="E55" s="3198"/>
      <c r="F55" s="3198"/>
      <c r="G55" s="3198"/>
      <c r="H55" s="3198"/>
      <c r="I55" s="3198"/>
      <c r="J55" s="3198"/>
      <c r="K55" s="3198"/>
      <c r="L55" s="3198"/>
      <c r="M55" s="3198"/>
      <c r="N55" s="3199"/>
      <c r="O55" s="362"/>
      <c r="P55" s="75"/>
      <c r="Q55" s="71"/>
      <c r="R55" s="71"/>
      <c r="S55" s="72"/>
      <c r="T55" s="261">
        <v>1</v>
      </c>
      <c r="U55" s="262"/>
      <c r="V55" s="262"/>
      <c r="W55" s="262"/>
      <c r="X55" s="71"/>
      <c r="Y55" s="71"/>
      <c r="Z55" s="71"/>
      <c r="AA55" s="72"/>
      <c r="AB55" s="75"/>
      <c r="AC55" s="75"/>
      <c r="AD55" s="75"/>
      <c r="AE55" s="75"/>
      <c r="AF55" s="75"/>
      <c r="AG55" s="75"/>
      <c r="AH55" s="75"/>
      <c r="AI55" s="75"/>
      <c r="AJ55" s="72"/>
    </row>
    <row r="56" spans="1:36" s="115" customFormat="1" ht="14.25" hidden="1" customHeight="1" thickBot="1">
      <c r="A56" s="1643"/>
      <c r="B56" s="190" t="str">
        <f t="shared" si="32"/>
        <v>2D.16</v>
      </c>
      <c r="C56" s="3218" t="s">
        <v>3835</v>
      </c>
      <c r="D56" s="3218"/>
      <c r="E56" s="3218"/>
      <c r="F56" s="3218"/>
      <c r="G56" s="3218"/>
      <c r="H56" s="3218"/>
      <c r="I56" s="3218"/>
      <c r="J56" s="3218"/>
      <c r="K56" s="3218"/>
      <c r="L56" s="3218"/>
      <c r="M56" s="3218"/>
      <c r="N56" s="3219"/>
      <c r="O56" s="362"/>
      <c r="P56" s="75"/>
      <c r="Q56" s="71"/>
      <c r="R56" s="71"/>
      <c r="S56" s="72"/>
      <c r="T56" s="261">
        <v>1</v>
      </c>
      <c r="U56" s="262"/>
      <c r="V56" s="262"/>
      <c r="W56" s="262"/>
      <c r="X56" s="71"/>
      <c r="Y56" s="71"/>
      <c r="Z56" s="71"/>
      <c r="AA56" s="72"/>
      <c r="AB56" s="75"/>
      <c r="AC56" s="75"/>
      <c r="AD56" s="75"/>
      <c r="AE56" s="75"/>
      <c r="AF56" s="75"/>
      <c r="AG56" s="75"/>
      <c r="AH56" s="75"/>
      <c r="AI56" s="75"/>
      <c r="AJ56" s="72"/>
    </row>
    <row r="57" spans="1:36" s="115" customFormat="1" hidden="1">
      <c r="A57" s="1643"/>
      <c r="B57" s="71"/>
      <c r="C57" s="71"/>
      <c r="D57" s="71"/>
      <c r="E57" s="71"/>
      <c r="F57" s="71"/>
      <c r="G57" s="71"/>
      <c r="H57" s="71"/>
      <c r="I57" s="71"/>
      <c r="J57" s="71"/>
      <c r="K57" s="71"/>
      <c r="L57" s="71"/>
      <c r="M57" s="71"/>
      <c r="N57" s="71"/>
      <c r="O57" s="362"/>
      <c r="P57" s="75"/>
      <c r="Q57" s="71"/>
      <c r="R57" s="71"/>
      <c r="S57" s="72"/>
      <c r="T57" s="262"/>
      <c r="U57" s="262"/>
      <c r="V57" s="262"/>
      <c r="W57" s="262"/>
      <c r="X57" s="71"/>
      <c r="Y57" s="71"/>
      <c r="Z57" s="71"/>
      <c r="AA57" s="72"/>
      <c r="AB57" s="75"/>
      <c r="AC57" s="75"/>
      <c r="AD57" s="75"/>
      <c r="AE57" s="75"/>
      <c r="AF57" s="75"/>
      <c r="AG57" s="75"/>
      <c r="AH57" s="75"/>
      <c r="AI57" s="75"/>
      <c r="AJ57" s="72"/>
    </row>
    <row r="58" spans="1:36" s="185" customFormat="1" hidden="1">
      <c r="A58" s="1644"/>
      <c r="B58" s="71"/>
      <c r="C58" s="71"/>
      <c r="D58" s="71"/>
      <c r="E58" s="71"/>
      <c r="F58" s="71"/>
      <c r="G58" s="71"/>
      <c r="H58" s="71"/>
      <c r="I58" s="71"/>
      <c r="J58" s="71"/>
      <c r="K58" s="71"/>
      <c r="L58" s="71"/>
      <c r="M58" s="71"/>
      <c r="N58" s="71"/>
      <c r="O58" s="71"/>
      <c r="P58" s="75"/>
      <c r="Q58" s="71"/>
      <c r="R58" s="71"/>
      <c r="S58" s="72"/>
      <c r="T58" s="262"/>
      <c r="U58" s="262"/>
      <c r="V58" s="262"/>
      <c r="W58" s="262"/>
      <c r="X58" s="71"/>
      <c r="Y58" s="71"/>
      <c r="Z58" s="71"/>
      <c r="AA58" s="72"/>
      <c r="AB58" s="75"/>
      <c r="AC58" s="75"/>
      <c r="AD58" s="75"/>
      <c r="AE58" s="75"/>
      <c r="AF58" s="75"/>
      <c r="AG58" s="75"/>
      <c r="AH58" s="75"/>
      <c r="AI58" s="75"/>
      <c r="AJ58" s="72"/>
    </row>
  </sheetData>
  <mergeCells count="33">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 ref="AB3:AI4"/>
    <mergeCell ref="C54:N54"/>
    <mergeCell ref="C55:N55"/>
    <mergeCell ref="Q3:Q4"/>
    <mergeCell ref="T3:Z4"/>
    <mergeCell ref="F3:F4"/>
    <mergeCell ref="G3:K3"/>
    <mergeCell ref="L3:M3"/>
    <mergeCell ref="P3:P4"/>
    <mergeCell ref="C44:N44"/>
    <mergeCell ref="C49:N49"/>
    <mergeCell ref="BM3:BM4"/>
    <mergeCell ref="BA3:BB4"/>
    <mergeCell ref="BD3:BD4"/>
    <mergeCell ref="BE3:BE4"/>
    <mergeCell ref="BK3:BL3"/>
    <mergeCell ref="BF3:BJ3"/>
  </mergeCells>
  <conditionalFormatting sqref="Q7:Q9 Q11">
    <cfRule type="cellIs" dxfId="2791" priority="33" operator="equal">
      <formula>0</formula>
    </cfRule>
  </conditionalFormatting>
  <conditionalFormatting sqref="Q28:Q29">
    <cfRule type="cellIs" dxfId="2790" priority="32" operator="equal">
      <formula>2</formula>
    </cfRule>
  </conditionalFormatting>
  <conditionalFormatting sqref="Q15:Q16 Q18">
    <cfRule type="cellIs" dxfId="2789" priority="29" operator="equal">
      <formula>0</formula>
    </cfRule>
  </conditionalFormatting>
  <conditionalFormatting sqref="Q25:Q26">
    <cfRule type="cellIs" dxfId="2788" priority="25" operator="equal">
      <formula>0</formula>
    </cfRule>
  </conditionalFormatting>
  <conditionalFormatting sqref="Q27">
    <cfRule type="cellIs" dxfId="2787" priority="23" operator="equal">
      <formula>2</formula>
    </cfRule>
  </conditionalFormatting>
  <conditionalFormatting sqref="Q19:Q24">
    <cfRule type="cellIs" dxfId="2786" priority="22" operator="equal">
      <formula>2</formula>
    </cfRule>
  </conditionalFormatting>
  <conditionalFormatting sqref="Q12:Q14">
    <cfRule type="cellIs" dxfId="2785" priority="21" operator="equal">
      <formula>2</formula>
    </cfRule>
  </conditionalFormatting>
  <conditionalFormatting sqref="P27">
    <cfRule type="cellIs" dxfId="2784" priority="19" operator="equal">
      <formula>0</formula>
    </cfRule>
  </conditionalFormatting>
  <conditionalFormatting sqref="Q10">
    <cfRule type="cellIs" dxfId="2783" priority="15" operator="equal">
      <formula>0</formula>
    </cfRule>
  </conditionalFormatting>
  <conditionalFormatting sqref="Q17">
    <cfRule type="cellIs" dxfId="2782" priority="14" operator="equal">
      <formula>0</formula>
    </cfRule>
  </conditionalFormatting>
  <conditionalFormatting sqref="K7:K12 K15:K19 K21:K22 K25:K27">
    <cfRule type="expression" dxfId="2781" priority="1">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7"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6"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0"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18"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7"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16"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8"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3"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2"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1"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0"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9"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7"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6" id="{C0DB6C7F-AB0D-4692-AB47-31904C19E905}">
            <xm:f>Validation!$H$3=1</xm:f>
            <x14:dxf>
              <fill>
                <patternFill>
                  <bgColor rgb="FFE0DCD8"/>
                </patternFill>
              </fill>
            </x14:dxf>
          </x14:cfRule>
          <xm:sqref>J25:J26</xm:sqref>
        </x14:conditionalFormatting>
        <x14:conditionalFormatting xmlns:xm="http://schemas.microsoft.com/office/excel/2006/main">
          <x14:cfRule type="expression" priority="5"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4"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3"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2" id="{35CEE39D-1884-4D05-9D63-475DDE41023E}">
            <xm:f>Validation!$H$3=1</xm:f>
            <x14:dxf>
              <fill>
                <patternFill>
                  <bgColor rgb="FFE0DCD8"/>
                </patternFill>
              </fill>
            </x14:dxf>
          </x14:cfRule>
          <xm:sqref>BJ27</xm:sqref>
        </x14:conditionalFormatting>
      </x14:conditionalFormattings>
    </ext>
  </extLst>
</worksheet>
</file>

<file path=xl/worksheets/sheet17.xml><?xml version="1.0" encoding="utf-8"?>
<worksheet xmlns="http://schemas.openxmlformats.org/spreadsheetml/2006/main" xmlns:r="http://schemas.openxmlformats.org/officeDocument/2006/relationships">
  <sheetPr codeName="Sheet14">
    <pageSetUpPr fitToPage="1"/>
  </sheetPr>
  <dimension ref="A1:AJ86"/>
  <sheetViews>
    <sheetView workbookViewId="0"/>
  </sheetViews>
  <sheetFormatPr defaultColWidth="0" defaultRowHeight="14.25" zeroHeight="1"/>
  <cols>
    <col min="1" max="1" width="0.625" style="71" customWidth="1"/>
    <col min="2" max="2" width="5.125" style="71" customWidth="1"/>
    <col min="3" max="3" width="38.125" style="71" customWidth="1"/>
    <col min="4" max="4" width="5.625" style="71" hidden="1" customWidth="1"/>
    <col min="5" max="6" width="5.125" style="71" customWidth="1"/>
    <col min="7" max="10" width="14.625" style="71" customWidth="1"/>
    <col min="11" max="11" width="2.625" style="71" customWidth="1"/>
    <col min="12" max="12" width="18.625" style="71" bestFit="1" customWidth="1"/>
    <col min="13" max="13" width="1.625" style="71" customWidth="1"/>
    <col min="14" max="14" width="1.625" style="72" hidden="1" customWidth="1"/>
    <col min="15" max="17" width="5.625" style="71" hidden="1" customWidth="1"/>
    <col min="18" max="18" width="1.625" style="72" hidden="1" customWidth="1"/>
    <col min="19" max="25" width="0" style="8" hidden="1" customWidth="1"/>
    <col min="26" max="26" width="8.625" style="8" customWidth="1"/>
    <col min="27" max="27" width="5.125" style="71" customWidth="1"/>
    <col min="28" max="28" width="38.125" style="71" customWidth="1"/>
    <col min="29" max="29" width="5.625" style="71" hidden="1" customWidth="1"/>
    <col min="30" max="31" width="5.125" style="71" customWidth="1"/>
    <col min="32" max="32" width="16.375" style="71" customWidth="1"/>
    <col min="33" max="35" width="14.625" style="71" customWidth="1"/>
    <col min="36" max="36" width="2.625" style="8" customWidth="1"/>
    <col min="37" max="16384" width="8.625" style="8" hidden="1"/>
  </cols>
  <sheetData>
    <row r="1" spans="1:35" ht="18.75">
      <c r="B1" s="67" t="s">
        <v>12577</v>
      </c>
      <c r="C1" s="67"/>
      <c r="D1" s="67"/>
      <c r="E1" s="67"/>
      <c r="F1" s="67"/>
      <c r="G1" s="67"/>
      <c r="H1" s="67"/>
      <c r="I1" s="67"/>
      <c r="J1" s="69" t="str">
        <f>Validation!B3</f>
        <v>South West Water – South West area</v>
      </c>
      <c r="K1" s="67"/>
      <c r="L1" s="70" t="s">
        <v>2394</v>
      </c>
      <c r="AA1" s="67" t="s">
        <v>6671</v>
      </c>
      <c r="AB1" s="67"/>
      <c r="AC1" s="67"/>
      <c r="AD1" s="67"/>
      <c r="AE1" s="67"/>
      <c r="AF1" s="67"/>
      <c r="AG1" s="67"/>
      <c r="AH1" s="67"/>
      <c r="AI1" s="69"/>
    </row>
    <row r="2" spans="1:35" ht="15" thickBot="1">
      <c r="B2" s="74" t="s">
        <v>12524</v>
      </c>
      <c r="AA2" s="74" t="str">
        <f>+B2</f>
        <v>For the 12 months ended 31 March 2019</v>
      </c>
    </row>
    <row r="3" spans="1:35" ht="15" customHeight="1">
      <c r="B3" s="3287" t="s">
        <v>2395</v>
      </c>
      <c r="C3" s="3288"/>
      <c r="D3" s="1456" t="s">
        <v>6496</v>
      </c>
      <c r="E3" s="3291" t="s">
        <v>2396</v>
      </c>
      <c r="F3" s="3293" t="s">
        <v>2397</v>
      </c>
      <c r="G3" s="3210" t="s">
        <v>2642</v>
      </c>
      <c r="H3" s="3211"/>
      <c r="I3" s="3211"/>
      <c r="J3" s="3212"/>
      <c r="L3" s="3213" t="s">
        <v>1361</v>
      </c>
      <c r="O3" s="3215" t="s">
        <v>2404</v>
      </c>
      <c r="P3" s="3215"/>
      <c r="Q3" s="3286"/>
      <c r="AA3" s="3287" t="s">
        <v>2395</v>
      </c>
      <c r="AB3" s="3288"/>
      <c r="AC3" s="2735" t="s">
        <v>6496</v>
      </c>
      <c r="AD3" s="3291" t="s">
        <v>2396</v>
      </c>
      <c r="AE3" s="3293" t="s">
        <v>2397</v>
      </c>
      <c r="AF3" s="3210" t="s">
        <v>2642</v>
      </c>
      <c r="AG3" s="3211"/>
      <c r="AH3" s="3211"/>
      <c r="AI3" s="3212"/>
    </row>
    <row r="4" spans="1:35" ht="39" thickBot="1">
      <c r="B4" s="3289"/>
      <c r="C4" s="3290"/>
      <c r="D4" s="1457"/>
      <c r="E4" s="3292"/>
      <c r="F4" s="3294"/>
      <c r="G4" s="80" t="s">
        <v>2643</v>
      </c>
      <c r="H4" s="81" t="s">
        <v>3726</v>
      </c>
      <c r="I4" s="81" t="s">
        <v>2644</v>
      </c>
      <c r="J4" s="82" t="s">
        <v>2554</v>
      </c>
      <c r="L4" s="3214"/>
      <c r="M4" s="83"/>
      <c r="O4" s="3215"/>
      <c r="P4" s="3215"/>
      <c r="Q4" s="3286"/>
      <c r="AA4" s="3289"/>
      <c r="AB4" s="3290"/>
      <c r="AC4" s="2736"/>
      <c r="AD4" s="3292"/>
      <c r="AE4" s="3294"/>
      <c r="AF4" s="2731" t="s">
        <v>2643</v>
      </c>
      <c r="AG4" s="81" t="s">
        <v>3726</v>
      </c>
      <c r="AH4" s="81" t="s">
        <v>2644</v>
      </c>
      <c r="AI4" s="2732" t="s">
        <v>2554</v>
      </c>
    </row>
    <row r="5" spans="1:35" ht="15" thickBot="1">
      <c r="O5" s="90" t="s">
        <v>2405</v>
      </c>
    </row>
    <row r="6" spans="1:35" ht="15" thickBot="1">
      <c r="B6" s="87" t="s">
        <v>2449</v>
      </c>
      <c r="C6" s="88" t="s">
        <v>2645</v>
      </c>
      <c r="D6" s="1584"/>
      <c r="AA6" s="2744" t="s">
        <v>2449</v>
      </c>
      <c r="AB6" s="88" t="s">
        <v>2645</v>
      </c>
      <c r="AC6" s="1584"/>
    </row>
    <row r="7" spans="1:35">
      <c r="B7" s="91" t="s">
        <v>5109</v>
      </c>
      <c r="C7" s="122" t="s">
        <v>12578</v>
      </c>
      <c r="D7" s="122"/>
      <c r="E7" s="93" t="s">
        <v>750</v>
      </c>
      <c r="F7" s="94">
        <v>3</v>
      </c>
      <c r="G7" s="430"/>
      <c r="H7" s="441"/>
      <c r="I7" s="460"/>
      <c r="J7" s="198">
        <f>SUM(G7:I7)</f>
        <v>0</v>
      </c>
      <c r="L7" s="24" t="str">
        <f xml:space="preserve"> IF( SUM( N7:R7 ) = 0, 0, $O$5 )</f>
        <v>Please complete all cells in row</v>
      </c>
      <c r="O7" s="98">
        <f t="shared" ref="O7:Q12" si="0" xml:space="preserve"> IF( ISNUMBER( G7 ), 0, 1 )</f>
        <v>1</v>
      </c>
      <c r="P7" s="98">
        <f t="shared" si="0"/>
        <v>1</v>
      </c>
      <c r="Q7" s="98">
        <f t="shared" si="0"/>
        <v>1</v>
      </c>
      <c r="AA7" s="91" t="s">
        <v>5109</v>
      </c>
      <c r="AB7" s="122" t="s">
        <v>12578</v>
      </c>
      <c r="AC7" s="122"/>
      <c r="AD7" s="93" t="s">
        <v>750</v>
      </c>
      <c r="AE7" s="94">
        <v>3</v>
      </c>
      <c r="AF7" s="2747" t="s">
        <v>9787</v>
      </c>
      <c r="AG7" s="2748" t="s">
        <v>9788</v>
      </c>
      <c r="AH7" s="2807" t="s">
        <v>9789</v>
      </c>
      <c r="AI7" s="198" t="s">
        <v>9790</v>
      </c>
    </row>
    <row r="8" spans="1:35">
      <c r="B8" s="99" t="s">
        <v>5110</v>
      </c>
      <c r="C8" s="92" t="s">
        <v>12579</v>
      </c>
      <c r="D8" s="92"/>
      <c r="E8" s="100" t="s">
        <v>750</v>
      </c>
      <c r="F8" s="101">
        <v>3</v>
      </c>
      <c r="G8" s="428"/>
      <c r="H8" s="429"/>
      <c r="I8" s="461"/>
      <c r="J8" s="199">
        <f t="shared" ref="J8:J13" si="1">SUM(G8:I8)</f>
        <v>0</v>
      </c>
      <c r="L8" s="24" t="str">
        <f t="shared" ref="L8:L12" si="2" xml:space="preserve"> IF( SUM( N8:R8 ) = 0, 0, $O$5 )</f>
        <v>Please complete all cells in row</v>
      </c>
      <c r="O8" s="98">
        <f t="shared" si="0"/>
        <v>1</v>
      </c>
      <c r="P8" s="98">
        <f t="shared" si="0"/>
        <v>1</v>
      </c>
      <c r="Q8" s="98">
        <f t="shared" si="0"/>
        <v>1</v>
      </c>
      <c r="AA8" s="99" t="s">
        <v>5110</v>
      </c>
      <c r="AB8" s="92" t="s">
        <v>12579</v>
      </c>
      <c r="AC8" s="92"/>
      <c r="AD8" s="100" t="s">
        <v>750</v>
      </c>
      <c r="AE8" s="101">
        <v>3</v>
      </c>
      <c r="AF8" s="2750" t="s">
        <v>9791</v>
      </c>
      <c r="AG8" s="2751" t="s">
        <v>9792</v>
      </c>
      <c r="AH8" s="2808" t="s">
        <v>9793</v>
      </c>
      <c r="AI8" s="199" t="s">
        <v>9794</v>
      </c>
    </row>
    <row r="9" spans="1:35">
      <c r="B9" s="99" t="s">
        <v>5111</v>
      </c>
      <c r="C9" s="92" t="s">
        <v>12580</v>
      </c>
      <c r="D9" s="92"/>
      <c r="E9" s="100" t="s">
        <v>750</v>
      </c>
      <c r="F9" s="101">
        <v>3</v>
      </c>
      <c r="G9" s="428"/>
      <c r="H9" s="429"/>
      <c r="I9" s="461"/>
      <c r="J9" s="199">
        <f t="shared" si="1"/>
        <v>0</v>
      </c>
      <c r="L9" s="24" t="str">
        <f t="shared" si="2"/>
        <v>Please complete all cells in row</v>
      </c>
      <c r="O9" s="98">
        <f t="shared" si="0"/>
        <v>1</v>
      </c>
      <c r="P9" s="98">
        <f t="shared" si="0"/>
        <v>1</v>
      </c>
      <c r="Q9" s="98">
        <f t="shared" si="0"/>
        <v>1</v>
      </c>
      <c r="AA9" s="99" t="s">
        <v>5111</v>
      </c>
      <c r="AB9" s="92" t="s">
        <v>12580</v>
      </c>
      <c r="AC9" s="92"/>
      <c r="AD9" s="100" t="s">
        <v>750</v>
      </c>
      <c r="AE9" s="101">
        <v>3</v>
      </c>
      <c r="AF9" s="2750" t="s">
        <v>9795</v>
      </c>
      <c r="AG9" s="2751" t="s">
        <v>9796</v>
      </c>
      <c r="AH9" s="2808" t="s">
        <v>9797</v>
      </c>
      <c r="AI9" s="199" t="s">
        <v>9798</v>
      </c>
    </row>
    <row r="10" spans="1:35" s="496" customFormat="1">
      <c r="A10" s="71"/>
      <c r="B10" s="99" t="s">
        <v>5112</v>
      </c>
      <c r="C10" s="92" t="s">
        <v>3852</v>
      </c>
      <c r="D10" s="92"/>
      <c r="E10" s="100" t="s">
        <v>750</v>
      </c>
      <c r="F10" s="101">
        <v>3</v>
      </c>
      <c r="G10" s="428"/>
      <c r="H10" s="429"/>
      <c r="I10" s="461"/>
      <c r="J10" s="199">
        <f t="shared" si="1"/>
        <v>0</v>
      </c>
      <c r="K10" s="71"/>
      <c r="L10" s="24" t="str">
        <f t="shared" si="2"/>
        <v>Please complete all cells in row</v>
      </c>
      <c r="M10" s="71"/>
      <c r="N10" s="72"/>
      <c r="O10" s="98">
        <f t="shared" ref="O10" si="3" xml:space="preserve"> IF( ISNUMBER( G10 ), 0, 1 )</f>
        <v>1</v>
      </c>
      <c r="P10" s="98">
        <f t="shared" ref="P10" si="4" xml:space="preserve"> IF( ISNUMBER( H10 ), 0, 1 )</f>
        <v>1</v>
      </c>
      <c r="Q10" s="98">
        <f t="shared" ref="Q10" si="5" xml:space="preserve"> IF( ISNUMBER( I10 ), 0, 1 )</f>
        <v>1</v>
      </c>
      <c r="R10" s="72"/>
      <c r="AA10" s="99" t="s">
        <v>5112</v>
      </c>
      <c r="AB10" s="92" t="s">
        <v>3852</v>
      </c>
      <c r="AC10" s="92"/>
      <c r="AD10" s="100" t="s">
        <v>750</v>
      </c>
      <c r="AE10" s="101">
        <v>3</v>
      </c>
      <c r="AF10" s="2558" t="s">
        <v>9799</v>
      </c>
      <c r="AG10" s="2760" t="s">
        <v>9800</v>
      </c>
      <c r="AH10" s="2820" t="s">
        <v>9801</v>
      </c>
      <c r="AI10" s="2150" t="s">
        <v>9802</v>
      </c>
    </row>
    <row r="11" spans="1:35">
      <c r="B11" s="99" t="s">
        <v>5113</v>
      </c>
      <c r="C11" s="92" t="s">
        <v>12581</v>
      </c>
      <c r="D11" s="92"/>
      <c r="E11" s="100" t="s">
        <v>750</v>
      </c>
      <c r="F11" s="101">
        <v>3</v>
      </c>
      <c r="G11" s="428"/>
      <c r="H11" s="429"/>
      <c r="I11" s="461"/>
      <c r="J11" s="199">
        <f t="shared" si="1"/>
        <v>0</v>
      </c>
      <c r="L11" s="24" t="str">
        <f t="shared" si="2"/>
        <v>Please complete all cells in row</v>
      </c>
      <c r="O11" s="98">
        <f t="shared" si="0"/>
        <v>1</v>
      </c>
      <c r="P11" s="98">
        <f t="shared" si="0"/>
        <v>1</v>
      </c>
      <c r="Q11" s="98">
        <f t="shared" si="0"/>
        <v>1</v>
      </c>
      <c r="AA11" s="99" t="s">
        <v>5113</v>
      </c>
      <c r="AB11" s="92" t="s">
        <v>12581</v>
      </c>
      <c r="AC11" s="92"/>
      <c r="AD11" s="100" t="s">
        <v>750</v>
      </c>
      <c r="AE11" s="101">
        <v>3</v>
      </c>
      <c r="AF11" s="2558" t="s">
        <v>9803</v>
      </c>
      <c r="AG11" s="2760" t="s">
        <v>9804</v>
      </c>
      <c r="AH11" s="2820" t="s">
        <v>9805</v>
      </c>
      <c r="AI11" s="2150" t="s">
        <v>9806</v>
      </c>
    </row>
    <row r="12" spans="1:35">
      <c r="B12" s="99" t="s">
        <v>5114</v>
      </c>
      <c r="C12" s="92" t="s">
        <v>3853</v>
      </c>
      <c r="D12" s="92"/>
      <c r="E12" s="100" t="s">
        <v>750</v>
      </c>
      <c r="F12" s="101">
        <v>3</v>
      </c>
      <c r="G12" s="428"/>
      <c r="H12" s="429"/>
      <c r="I12" s="461"/>
      <c r="J12" s="199">
        <f t="shared" si="1"/>
        <v>0</v>
      </c>
      <c r="L12" s="24" t="str">
        <f t="shared" si="2"/>
        <v>Please complete all cells in row</v>
      </c>
      <c r="O12" s="98">
        <f t="shared" si="0"/>
        <v>1</v>
      </c>
      <c r="P12" s="98">
        <f t="shared" si="0"/>
        <v>1</v>
      </c>
      <c r="Q12" s="98">
        <f t="shared" si="0"/>
        <v>1</v>
      </c>
      <c r="AA12" s="99" t="s">
        <v>5114</v>
      </c>
      <c r="AB12" s="92" t="s">
        <v>3853</v>
      </c>
      <c r="AC12" s="92"/>
      <c r="AD12" s="100" t="s">
        <v>750</v>
      </c>
      <c r="AE12" s="101">
        <v>3</v>
      </c>
      <c r="AF12" s="2558" t="s">
        <v>9807</v>
      </c>
      <c r="AG12" s="2760" t="s">
        <v>9808</v>
      </c>
      <c r="AH12" s="2820" t="s">
        <v>9809</v>
      </c>
      <c r="AI12" s="2150" t="s">
        <v>9810</v>
      </c>
    </row>
    <row r="13" spans="1:35" ht="15" thickBot="1">
      <c r="B13" s="106" t="s">
        <v>5115</v>
      </c>
      <c r="C13" s="107" t="s">
        <v>2554</v>
      </c>
      <c r="D13" s="107"/>
      <c r="E13" s="108" t="s">
        <v>750</v>
      </c>
      <c r="F13" s="105">
        <v>3</v>
      </c>
      <c r="G13" s="201">
        <f>SUM(G7:G12)</f>
        <v>0</v>
      </c>
      <c r="H13" s="202">
        <f>SUM(H7:H12)</f>
        <v>0</v>
      </c>
      <c r="I13" s="379">
        <f>SUM(I7:I12)</f>
        <v>0</v>
      </c>
      <c r="J13" s="203">
        <f t="shared" si="1"/>
        <v>0</v>
      </c>
      <c r="L13" s="135"/>
      <c r="AA13" s="106" t="s">
        <v>5115</v>
      </c>
      <c r="AB13" s="107" t="s">
        <v>2554</v>
      </c>
      <c r="AC13" s="107"/>
      <c r="AD13" s="108" t="s">
        <v>750</v>
      </c>
      <c r="AE13" s="105">
        <v>3</v>
      </c>
      <c r="AF13" s="2266" t="s">
        <v>9811</v>
      </c>
      <c r="AG13" s="2154" t="s">
        <v>9812</v>
      </c>
      <c r="AH13" s="2269" t="s">
        <v>9813</v>
      </c>
      <c r="AI13" s="2152" t="s">
        <v>9814</v>
      </c>
    </row>
    <row r="14" spans="1:35" s="496" customFormat="1" ht="15" thickBot="1">
      <c r="A14" s="71"/>
      <c r="B14" s="126"/>
      <c r="C14" s="127"/>
      <c r="D14" s="127"/>
      <c r="E14" s="120"/>
      <c r="F14" s="120"/>
      <c r="G14" s="246"/>
      <c r="H14" s="246"/>
      <c r="I14" s="246"/>
      <c r="J14" s="246"/>
      <c r="K14" s="200"/>
      <c r="L14" s="135"/>
      <c r="M14" s="71"/>
      <c r="N14" s="72"/>
      <c r="O14" s="71"/>
      <c r="P14" s="71"/>
      <c r="Q14" s="71"/>
      <c r="R14" s="72"/>
      <c r="AA14" s="126"/>
      <c r="AB14" s="127"/>
      <c r="AC14" s="127"/>
      <c r="AD14" s="120"/>
      <c r="AE14" s="120"/>
      <c r="AF14" s="2272"/>
      <c r="AG14" s="2272"/>
      <c r="AH14" s="2272"/>
      <c r="AI14" s="2272"/>
    </row>
    <row r="15" spans="1:35" s="496" customFormat="1" ht="15" thickBot="1">
      <c r="A15" s="71"/>
      <c r="B15" s="136" t="s">
        <v>5116</v>
      </c>
      <c r="C15" s="137" t="s">
        <v>3636</v>
      </c>
      <c r="D15" s="137"/>
      <c r="E15" s="138" t="s">
        <v>750</v>
      </c>
      <c r="F15" s="139">
        <v>3</v>
      </c>
      <c r="G15" s="462"/>
      <c r="H15" s="807"/>
      <c r="I15" s="246"/>
      <c r="J15" s="504">
        <f xml:space="preserve"> +G15+H15</f>
        <v>0</v>
      </c>
      <c r="K15" s="71"/>
      <c r="L15" s="24" t="str">
        <f xml:space="preserve"> IF( SUM( N15:R15 ) = 0, 0, $O$5 )</f>
        <v>Please complete all cells in row</v>
      </c>
      <c r="M15" s="71"/>
      <c r="N15" s="72"/>
      <c r="O15" s="98">
        <f xml:space="preserve"> IF( ISNUMBER( G15 ), 0, 1 )</f>
        <v>1</v>
      </c>
      <c r="P15" s="98">
        <f xml:space="preserve"> IF( ISNUMBER( H15 ), 0, 1 )</f>
        <v>1</v>
      </c>
      <c r="Q15" s="71"/>
      <c r="R15" s="72"/>
      <c r="AA15" s="136" t="s">
        <v>5116</v>
      </c>
      <c r="AB15" s="137" t="s">
        <v>3636</v>
      </c>
      <c r="AC15" s="137"/>
      <c r="AD15" s="138" t="s">
        <v>750</v>
      </c>
      <c r="AE15" s="139">
        <v>3</v>
      </c>
      <c r="AF15" s="2821" t="s">
        <v>13485</v>
      </c>
      <c r="AG15" s="2822" t="s">
        <v>9815</v>
      </c>
      <c r="AH15" s="2272"/>
      <c r="AI15" s="2273" t="s">
        <v>13488</v>
      </c>
    </row>
    <row r="16" spans="1:35" s="496" customFormat="1">
      <c r="A16" s="71"/>
      <c r="B16" s="126"/>
      <c r="C16" s="127"/>
      <c r="D16" s="127"/>
      <c r="E16" s="120"/>
      <c r="F16" s="120"/>
      <c r="G16" s="246"/>
      <c r="H16" s="246"/>
      <c r="I16" s="246"/>
      <c r="J16" s="246"/>
      <c r="K16" s="200"/>
      <c r="L16" s="135"/>
      <c r="M16" s="71"/>
      <c r="N16" s="72"/>
      <c r="O16" s="71"/>
      <c r="P16" s="71"/>
      <c r="Q16" s="71"/>
      <c r="R16" s="72"/>
      <c r="AA16" s="126"/>
      <c r="AB16" s="127"/>
      <c r="AC16" s="127"/>
      <c r="AD16" s="120"/>
      <c r="AE16" s="120"/>
      <c r="AF16" s="2272"/>
      <c r="AG16" s="2272"/>
      <c r="AH16" s="2272"/>
      <c r="AI16" s="2272"/>
    </row>
    <row r="17" spans="1:35" ht="15" thickBot="1">
      <c r="L17" s="135"/>
      <c r="AF17" s="2270"/>
      <c r="AG17" s="2270"/>
      <c r="AH17" s="2270"/>
      <c r="AI17" s="2270"/>
    </row>
    <row r="18" spans="1:35" ht="15" thickBot="1">
      <c r="B18" s="87" t="s">
        <v>2458</v>
      </c>
      <c r="C18" s="88" t="s">
        <v>2646</v>
      </c>
      <c r="D18" s="1584"/>
      <c r="L18" s="135"/>
      <c r="AA18" s="2744" t="s">
        <v>2458</v>
      </c>
      <c r="AB18" s="88" t="s">
        <v>2646</v>
      </c>
      <c r="AC18" s="1584"/>
      <c r="AF18" s="2270"/>
      <c r="AG18" s="2270"/>
      <c r="AH18" s="2270"/>
      <c r="AI18" s="2270"/>
    </row>
    <row r="19" spans="1:35">
      <c r="B19" s="91" t="s">
        <v>5117</v>
      </c>
      <c r="C19" s="122" t="s">
        <v>12579</v>
      </c>
      <c r="D19" s="122"/>
      <c r="E19" s="93" t="s">
        <v>750</v>
      </c>
      <c r="F19" s="94">
        <v>3</v>
      </c>
      <c r="G19" s="430"/>
      <c r="H19" s="441"/>
      <c r="I19" s="460"/>
      <c r="J19" s="198">
        <f t="shared" ref="J19:J24" si="6">SUM(G19:I19)</f>
        <v>0</v>
      </c>
      <c r="L19" s="24" t="str">
        <f t="shared" ref="L19:L23" si="7" xml:space="preserve"> IF( SUM( N19:R19 ) = 0, 0, $O$5 )</f>
        <v>Please complete all cells in row</v>
      </c>
      <c r="O19" s="98">
        <f>IF(Validation!$H$3=1,0,IF(ISNUMBER(G19),0,1))</f>
        <v>1</v>
      </c>
      <c r="P19" s="98">
        <f>IF(Validation!$H$3=1,0,IF(ISNUMBER(H19),0,1))</f>
        <v>1</v>
      </c>
      <c r="Q19" s="98">
        <f>IF(Validation!$H$3=1,0,IF(ISNUMBER(I19),0,1))</f>
        <v>1</v>
      </c>
      <c r="AA19" s="91" t="s">
        <v>5117</v>
      </c>
      <c r="AB19" s="122" t="s">
        <v>12579</v>
      </c>
      <c r="AC19" s="122"/>
      <c r="AD19" s="93" t="s">
        <v>750</v>
      </c>
      <c r="AE19" s="94">
        <v>3</v>
      </c>
      <c r="AF19" s="2556" t="s">
        <v>9816</v>
      </c>
      <c r="AG19" s="2758" t="s">
        <v>9817</v>
      </c>
      <c r="AH19" s="2817" t="s">
        <v>9818</v>
      </c>
      <c r="AI19" s="2148" t="s">
        <v>9819</v>
      </c>
    </row>
    <row r="20" spans="1:35">
      <c r="B20" s="99" t="s">
        <v>5119</v>
      </c>
      <c r="C20" s="92" t="s">
        <v>12582</v>
      </c>
      <c r="D20" s="92"/>
      <c r="E20" s="100" t="s">
        <v>750</v>
      </c>
      <c r="F20" s="101">
        <v>3</v>
      </c>
      <c r="G20" s="428"/>
      <c r="H20" s="429"/>
      <c r="I20" s="461"/>
      <c r="J20" s="199">
        <f t="shared" si="6"/>
        <v>0</v>
      </c>
      <c r="L20" s="24" t="str">
        <f t="shared" si="7"/>
        <v>Please complete all cells in row</v>
      </c>
      <c r="O20" s="98">
        <f>IF(Validation!$H$3=1,0,IF(ISNUMBER(G20),0,1))</f>
        <v>1</v>
      </c>
      <c r="P20" s="98">
        <f>IF(Validation!$H$3=1,0,IF(ISNUMBER(H20),0,1))</f>
        <v>1</v>
      </c>
      <c r="Q20" s="98">
        <f>IF(Validation!$H$3=1,0,IF(ISNUMBER(I20),0,1))</f>
        <v>1</v>
      </c>
      <c r="AA20" s="99" t="s">
        <v>5119</v>
      </c>
      <c r="AB20" s="92" t="s">
        <v>12582</v>
      </c>
      <c r="AC20" s="92"/>
      <c r="AD20" s="100" t="s">
        <v>750</v>
      </c>
      <c r="AE20" s="101">
        <v>3</v>
      </c>
      <c r="AF20" s="2558" t="s">
        <v>9820</v>
      </c>
      <c r="AG20" s="2760" t="s">
        <v>9821</v>
      </c>
      <c r="AH20" s="2820" t="s">
        <v>9822</v>
      </c>
      <c r="AI20" s="2150" t="s">
        <v>9823</v>
      </c>
    </row>
    <row r="21" spans="1:35" s="496" customFormat="1">
      <c r="A21" s="71"/>
      <c r="B21" s="99" t="s">
        <v>5118</v>
      </c>
      <c r="C21" s="92" t="s">
        <v>3852</v>
      </c>
      <c r="D21" s="92"/>
      <c r="E21" s="100" t="s">
        <v>750</v>
      </c>
      <c r="F21" s="101">
        <v>3</v>
      </c>
      <c r="G21" s="428"/>
      <c r="H21" s="429"/>
      <c r="I21" s="461"/>
      <c r="J21" s="199">
        <f t="shared" ref="J21" si="8">SUM(G21:I21)</f>
        <v>0</v>
      </c>
      <c r="K21" s="71"/>
      <c r="L21" s="24" t="str">
        <f t="shared" si="7"/>
        <v>Please complete all cells in row</v>
      </c>
      <c r="M21" s="71"/>
      <c r="N21" s="72"/>
      <c r="O21" s="98">
        <f>IF(Validation!$H$3=1,0,IF(ISNUMBER(G21),0,1))</f>
        <v>1</v>
      </c>
      <c r="P21" s="98">
        <f>IF(Validation!$H$3=1,0,IF(ISNUMBER(H21),0,1))</f>
        <v>1</v>
      </c>
      <c r="Q21" s="98">
        <f>IF(Validation!$H$3=1,0,IF(ISNUMBER(I21),0,1))</f>
        <v>1</v>
      </c>
      <c r="R21" s="72"/>
      <c r="AA21" s="99" t="s">
        <v>5118</v>
      </c>
      <c r="AB21" s="92" t="s">
        <v>3852</v>
      </c>
      <c r="AC21" s="92"/>
      <c r="AD21" s="100" t="s">
        <v>750</v>
      </c>
      <c r="AE21" s="101">
        <v>3</v>
      </c>
      <c r="AF21" s="2558" t="s">
        <v>9828</v>
      </c>
      <c r="AG21" s="2760" t="s">
        <v>9829</v>
      </c>
      <c r="AH21" s="2820" t="s">
        <v>9830</v>
      </c>
      <c r="AI21" s="2150" t="s">
        <v>9831</v>
      </c>
    </row>
    <row r="22" spans="1:35">
      <c r="B22" s="99" t="s">
        <v>5120</v>
      </c>
      <c r="C22" s="92" t="s">
        <v>12581</v>
      </c>
      <c r="D22" s="92"/>
      <c r="E22" s="100" t="s">
        <v>750</v>
      </c>
      <c r="F22" s="101">
        <v>3</v>
      </c>
      <c r="G22" s="428"/>
      <c r="H22" s="429"/>
      <c r="I22" s="461"/>
      <c r="J22" s="199">
        <f t="shared" si="6"/>
        <v>0</v>
      </c>
      <c r="L22" s="24" t="str">
        <f t="shared" si="7"/>
        <v>Please complete all cells in row</v>
      </c>
      <c r="O22" s="98">
        <f>IF(Validation!$H$3=1,0,IF(ISNUMBER(G22),0,1))</f>
        <v>1</v>
      </c>
      <c r="P22" s="98">
        <f>IF(Validation!$H$3=1,0,IF(ISNUMBER(H22),0,1))</f>
        <v>1</v>
      </c>
      <c r="Q22" s="98">
        <f>IF(Validation!$H$3=1,0,IF(ISNUMBER(I22),0,1))</f>
        <v>1</v>
      </c>
      <c r="AA22" s="99" t="s">
        <v>5120</v>
      </c>
      <c r="AB22" s="92" t="s">
        <v>12581</v>
      </c>
      <c r="AC22" s="92"/>
      <c r="AD22" s="100" t="s">
        <v>750</v>
      </c>
      <c r="AE22" s="101">
        <v>3</v>
      </c>
      <c r="AF22" s="2558" t="s">
        <v>9824</v>
      </c>
      <c r="AG22" s="2760" t="s">
        <v>9825</v>
      </c>
      <c r="AH22" s="2820" t="s">
        <v>9826</v>
      </c>
      <c r="AI22" s="2150" t="s">
        <v>9827</v>
      </c>
    </row>
    <row r="23" spans="1:35">
      <c r="B23" s="99" t="s">
        <v>5121</v>
      </c>
      <c r="C23" s="92" t="s">
        <v>3853</v>
      </c>
      <c r="D23" s="92"/>
      <c r="E23" s="100" t="s">
        <v>750</v>
      </c>
      <c r="F23" s="101">
        <v>3</v>
      </c>
      <c r="G23" s="428"/>
      <c r="H23" s="429"/>
      <c r="I23" s="461"/>
      <c r="J23" s="199">
        <f t="shared" si="6"/>
        <v>0</v>
      </c>
      <c r="L23" s="24" t="str">
        <f t="shared" si="7"/>
        <v>Please complete all cells in row</v>
      </c>
      <c r="O23" s="98">
        <f>IF(Validation!$H$3=1,0,IF(ISNUMBER(G23),0,1))</f>
        <v>1</v>
      </c>
      <c r="P23" s="98">
        <f>IF(Validation!$H$3=1,0,IF(ISNUMBER(H23),0,1))</f>
        <v>1</v>
      </c>
      <c r="Q23" s="98">
        <f>IF(Validation!$H$3=1,0,IF(ISNUMBER(I23),0,1))</f>
        <v>1</v>
      </c>
      <c r="AA23" s="99" t="s">
        <v>5121</v>
      </c>
      <c r="AB23" s="92" t="s">
        <v>3853</v>
      </c>
      <c r="AC23" s="92"/>
      <c r="AD23" s="100" t="s">
        <v>750</v>
      </c>
      <c r="AE23" s="101">
        <v>3</v>
      </c>
      <c r="AF23" s="2558" t="s">
        <v>9832</v>
      </c>
      <c r="AG23" s="2760" t="s">
        <v>9833</v>
      </c>
      <c r="AH23" s="2820" t="s">
        <v>9834</v>
      </c>
      <c r="AI23" s="2150" t="s">
        <v>9835</v>
      </c>
    </row>
    <row r="24" spans="1:35" ht="15" thickBot="1">
      <c r="B24" s="106" t="s">
        <v>5122</v>
      </c>
      <c r="C24" s="107" t="s">
        <v>2554</v>
      </c>
      <c r="D24" s="107"/>
      <c r="E24" s="108" t="s">
        <v>750</v>
      </c>
      <c r="F24" s="105">
        <v>3</v>
      </c>
      <c r="G24" s="201">
        <f>SUM(G19:G23)</f>
        <v>0</v>
      </c>
      <c r="H24" s="202">
        <f>SUM(H19:H23)</f>
        <v>0</v>
      </c>
      <c r="I24" s="379">
        <f>SUM(I19:I23)</f>
        <v>0</v>
      </c>
      <c r="J24" s="203">
        <f t="shared" si="6"/>
        <v>0</v>
      </c>
      <c r="L24" s="135"/>
      <c r="AA24" s="106" t="s">
        <v>5122</v>
      </c>
      <c r="AB24" s="107" t="s">
        <v>2554</v>
      </c>
      <c r="AC24" s="107"/>
      <c r="AD24" s="108" t="s">
        <v>750</v>
      </c>
      <c r="AE24" s="105">
        <v>3</v>
      </c>
      <c r="AF24" s="2266" t="s">
        <v>9836</v>
      </c>
      <c r="AG24" s="2154" t="s">
        <v>9837</v>
      </c>
      <c r="AH24" s="2269" t="s">
        <v>9838</v>
      </c>
      <c r="AI24" s="2152" t="s">
        <v>9839</v>
      </c>
    </row>
    <row r="25" spans="1:35" s="496" customFormat="1" ht="15" thickBot="1">
      <c r="A25" s="71"/>
      <c r="B25" s="126"/>
      <c r="C25" s="127"/>
      <c r="D25" s="127"/>
      <c r="E25" s="120"/>
      <c r="F25" s="120"/>
      <c r="G25" s="246"/>
      <c r="H25" s="246"/>
      <c r="I25" s="246"/>
      <c r="J25" s="246"/>
      <c r="K25" s="200"/>
      <c r="L25" s="135"/>
      <c r="M25" s="71"/>
      <c r="N25" s="72"/>
      <c r="O25" s="71"/>
      <c r="P25" s="71"/>
      <c r="Q25" s="71"/>
      <c r="R25" s="72"/>
      <c r="AA25" s="126"/>
      <c r="AB25" s="127"/>
      <c r="AC25" s="127"/>
      <c r="AD25" s="120"/>
      <c r="AE25" s="120"/>
      <c r="AF25" s="2272"/>
      <c r="AG25" s="2272"/>
      <c r="AH25" s="2272"/>
      <c r="AI25" s="2272"/>
    </row>
    <row r="26" spans="1:35" s="496" customFormat="1" ht="15" thickBot="1">
      <c r="A26" s="71"/>
      <c r="B26" s="136" t="s">
        <v>5123</v>
      </c>
      <c r="C26" s="137" t="s">
        <v>3636</v>
      </c>
      <c r="D26" s="137"/>
      <c r="E26" s="138" t="s">
        <v>750</v>
      </c>
      <c r="F26" s="139">
        <v>3</v>
      </c>
      <c r="G26" s="462"/>
      <c r="H26" s="807"/>
      <c r="I26" s="246"/>
      <c r="J26" s="504">
        <f xml:space="preserve"> +G26+H26</f>
        <v>0</v>
      </c>
      <c r="K26" s="71"/>
      <c r="L26" s="24" t="str">
        <f xml:space="preserve"> IF( SUM( N26:R26 ) = 0, 0, $O$5 )</f>
        <v>Please complete all cells in row</v>
      </c>
      <c r="M26" s="71"/>
      <c r="N26" s="72"/>
      <c r="O26" s="98">
        <f xml:space="preserve"> IF( ISNUMBER( G26 ), 0, 1 )</f>
        <v>1</v>
      </c>
      <c r="P26" s="98">
        <f>IF(Validation!$H$3=1,0,IF(ISNUMBER(H26),0,1))</f>
        <v>1</v>
      </c>
      <c r="Q26" s="71"/>
      <c r="R26" s="72"/>
      <c r="AA26" s="136" t="s">
        <v>5123</v>
      </c>
      <c r="AB26" s="137" t="s">
        <v>3636</v>
      </c>
      <c r="AC26" s="137"/>
      <c r="AD26" s="138" t="s">
        <v>750</v>
      </c>
      <c r="AE26" s="139">
        <v>3</v>
      </c>
      <c r="AF26" s="2821" t="s">
        <v>13486</v>
      </c>
      <c r="AG26" s="2822" t="s">
        <v>9840</v>
      </c>
      <c r="AH26" s="2272"/>
      <c r="AI26" s="2273" t="s">
        <v>13489</v>
      </c>
    </row>
    <row r="27" spans="1:35">
      <c r="L27" s="135"/>
      <c r="AF27" s="2270"/>
      <c r="AG27" s="2270"/>
      <c r="AH27" s="2270"/>
      <c r="AI27" s="2270"/>
    </row>
    <row r="28" spans="1:35" s="496" customFormat="1" ht="15" thickBot="1">
      <c r="A28" s="71"/>
      <c r="B28" s="71"/>
      <c r="C28" s="71"/>
      <c r="D28" s="71"/>
      <c r="E28" s="71"/>
      <c r="F28" s="71"/>
      <c r="G28" s="71"/>
      <c r="H28" s="71"/>
      <c r="I28" s="71"/>
      <c r="J28" s="71"/>
      <c r="K28" s="71"/>
      <c r="L28" s="135"/>
      <c r="M28" s="71"/>
      <c r="N28" s="72"/>
      <c r="O28" s="71"/>
      <c r="P28" s="71"/>
      <c r="Q28" s="71"/>
      <c r="R28" s="72"/>
      <c r="AA28" s="71"/>
      <c r="AB28" s="71"/>
      <c r="AC28" s="71"/>
      <c r="AD28" s="71"/>
      <c r="AE28" s="71"/>
      <c r="AF28" s="2270"/>
      <c r="AG28" s="2270"/>
      <c r="AH28" s="2270"/>
      <c r="AI28" s="2270"/>
    </row>
    <row r="29" spans="1:35" s="496" customFormat="1" ht="15" thickBot="1">
      <c r="A29" s="71"/>
      <c r="B29" s="2063" t="s">
        <v>2458</v>
      </c>
      <c r="C29" s="88" t="s">
        <v>12212</v>
      </c>
      <c r="D29" s="1584"/>
      <c r="E29" s="71"/>
      <c r="F29" s="71"/>
      <c r="G29" s="71"/>
      <c r="H29" s="71"/>
      <c r="I29" s="71"/>
      <c r="J29" s="71"/>
      <c r="K29" s="71"/>
      <c r="L29" s="135"/>
      <c r="M29" s="71"/>
      <c r="N29" s="72"/>
      <c r="O29" s="71"/>
      <c r="P29" s="71"/>
      <c r="Q29" s="71"/>
      <c r="R29" s="72"/>
      <c r="AA29" s="2744" t="s">
        <v>2458</v>
      </c>
      <c r="AB29" s="88" t="s">
        <v>12212</v>
      </c>
      <c r="AC29" s="1584"/>
      <c r="AD29" s="71"/>
      <c r="AE29" s="71"/>
      <c r="AF29" s="2270"/>
      <c r="AG29" s="2270"/>
      <c r="AH29" s="2270"/>
      <c r="AI29" s="2270"/>
    </row>
    <row r="30" spans="1:35" s="496" customFormat="1">
      <c r="A30" s="71"/>
      <c r="B30" s="91" t="s">
        <v>5117</v>
      </c>
      <c r="C30" s="122" t="s">
        <v>12579</v>
      </c>
      <c r="D30" s="122"/>
      <c r="E30" s="93" t="s">
        <v>750</v>
      </c>
      <c r="F30" s="94">
        <v>3</v>
      </c>
      <c r="G30" s="430"/>
      <c r="H30" s="441"/>
      <c r="I30" s="460"/>
      <c r="J30" s="198">
        <f t="shared" ref="J30:J31" si="9">SUM(G30:I30)</f>
        <v>0</v>
      </c>
      <c r="K30" s="71"/>
      <c r="L30" s="24">
        <f t="shared" ref="L30:L31" si="10" xml:space="preserve"> IF( SUM( N30:R30 ) = 0, 0, $O$5 )</f>
        <v>0</v>
      </c>
      <c r="M30" s="71"/>
      <c r="N30" s="72"/>
      <c r="O30" s="98">
        <f>IF( Validation!$H$3=1, 0, IF(Validation!$B$3 &lt;&gt; "Thames Water", 0, (IF(ISNUMBER(G30), 0, 1))))</f>
        <v>0</v>
      </c>
      <c r="P30" s="98">
        <f>IF( Validation!$H$3=1, 0, IF(Validation!$B$3 &lt;&gt; "Thames Water", 0, (IF(ISNUMBER(H30), 0, 1))))</f>
        <v>0</v>
      </c>
      <c r="Q30" s="98">
        <f>IF( Validation!$H$3=1, 0, IF(Validation!$B$3 &lt;&gt; "Thames Water", 0, (IF(ISNUMBER(I30), 0, 1))))</f>
        <v>0</v>
      </c>
      <c r="R30" s="72"/>
      <c r="AA30" s="91" t="s">
        <v>5117</v>
      </c>
      <c r="AB30" s="122" t="s">
        <v>12579</v>
      </c>
      <c r="AC30" s="122"/>
      <c r="AD30" s="93" t="s">
        <v>750</v>
      </c>
      <c r="AE30" s="94">
        <v>3</v>
      </c>
      <c r="AF30" s="2556" t="s">
        <v>12330</v>
      </c>
      <c r="AG30" s="2758" t="s">
        <v>12331</v>
      </c>
      <c r="AH30" s="2817" t="s">
        <v>12332</v>
      </c>
      <c r="AI30" s="2148" t="s">
        <v>12333</v>
      </c>
    </row>
    <row r="31" spans="1:35" s="496" customFormat="1">
      <c r="A31" s="71"/>
      <c r="B31" s="99" t="s">
        <v>5119</v>
      </c>
      <c r="C31" s="92" t="s">
        <v>12582</v>
      </c>
      <c r="D31" s="92"/>
      <c r="E31" s="100" t="s">
        <v>750</v>
      </c>
      <c r="F31" s="101">
        <v>3</v>
      </c>
      <c r="G31" s="428"/>
      <c r="H31" s="429"/>
      <c r="I31" s="461"/>
      <c r="J31" s="199">
        <f t="shared" si="9"/>
        <v>0</v>
      </c>
      <c r="K31" s="71"/>
      <c r="L31" s="24">
        <f t="shared" si="10"/>
        <v>0</v>
      </c>
      <c r="M31" s="71"/>
      <c r="N31" s="72"/>
      <c r="O31" s="98">
        <f>IF( Validation!$H$3=1, 0, IF(Validation!$B$3 &lt;&gt; "Thames Water", 0, (IF(ISNUMBER(G31), 0, 1))))</f>
        <v>0</v>
      </c>
      <c r="P31" s="98">
        <f>IF( Validation!$H$3=1, 0, IF(Validation!$B$3 &lt;&gt; "Thames Water", 0, (IF(ISNUMBER(H31), 0, 1))))</f>
        <v>0</v>
      </c>
      <c r="Q31" s="98">
        <f>IF( Validation!$H$3=1, 0, IF(Validation!$B$3 &lt;&gt; "Thames Water", 0, (IF(ISNUMBER(I31), 0, 1))))</f>
        <v>0</v>
      </c>
      <c r="R31" s="72"/>
      <c r="AA31" s="99" t="s">
        <v>5119</v>
      </c>
      <c r="AB31" s="92" t="s">
        <v>12582</v>
      </c>
      <c r="AC31" s="92"/>
      <c r="AD31" s="100" t="s">
        <v>750</v>
      </c>
      <c r="AE31" s="101">
        <v>3</v>
      </c>
      <c r="AF31" s="2558" t="s">
        <v>12334</v>
      </c>
      <c r="AG31" s="2760" t="s">
        <v>12335</v>
      </c>
      <c r="AH31" s="2820" t="s">
        <v>12336</v>
      </c>
      <c r="AI31" s="2150" t="s">
        <v>12337</v>
      </c>
    </row>
    <row r="32" spans="1:35" s="496" customFormat="1">
      <c r="A32" s="71"/>
      <c r="B32" s="99" t="s">
        <v>5118</v>
      </c>
      <c r="C32" s="92" t="s">
        <v>3852</v>
      </c>
      <c r="D32" s="92"/>
      <c r="E32" s="100" t="s">
        <v>750</v>
      </c>
      <c r="F32" s="101">
        <v>3</v>
      </c>
      <c r="G32" s="428"/>
      <c r="H32" s="429"/>
      <c r="I32" s="461"/>
      <c r="J32" s="199">
        <f t="shared" ref="J32" si="11">SUM(G32:I32)</f>
        <v>0</v>
      </c>
      <c r="K32" s="71"/>
      <c r="L32" s="24">
        <f t="shared" ref="L32" si="12" xml:space="preserve"> IF( SUM( N32:R32 ) = 0, 0, $O$5 )</f>
        <v>0</v>
      </c>
      <c r="M32" s="71"/>
      <c r="N32" s="72"/>
      <c r="O32" s="98">
        <f>IF( Validation!$H$3=1, 0, IF(Validation!$B$3 &lt;&gt; "Thames Water", 0, (IF(ISNUMBER(G32), 0, 1))))</f>
        <v>0</v>
      </c>
      <c r="P32" s="98">
        <f>IF( Validation!$H$3=1, 0, IF(Validation!$B$3 &lt;&gt; "Thames Water", 0, (IF(ISNUMBER(H32), 0, 1))))</f>
        <v>0</v>
      </c>
      <c r="Q32" s="98">
        <f>IF( Validation!$H$3=1, 0, IF(Validation!$B$3 &lt;&gt; "Thames Water", 0, (IF(ISNUMBER(I32), 0, 1))))</f>
        <v>0</v>
      </c>
      <c r="R32" s="72"/>
      <c r="AA32" s="99" t="s">
        <v>5118</v>
      </c>
      <c r="AB32" s="92" t="s">
        <v>3852</v>
      </c>
      <c r="AC32" s="92"/>
      <c r="AD32" s="100" t="s">
        <v>750</v>
      </c>
      <c r="AE32" s="101">
        <v>3</v>
      </c>
      <c r="AF32" s="2558" t="s">
        <v>12350</v>
      </c>
      <c r="AG32" s="2760" t="s">
        <v>12351</v>
      </c>
      <c r="AH32" s="2820" t="s">
        <v>12352</v>
      </c>
      <c r="AI32" s="2150" t="s">
        <v>12353</v>
      </c>
    </row>
    <row r="33" spans="1:35" s="496" customFormat="1">
      <c r="A33" s="71"/>
      <c r="B33" s="99" t="s">
        <v>5120</v>
      </c>
      <c r="C33" s="92" t="s">
        <v>12581</v>
      </c>
      <c r="D33" s="92"/>
      <c r="E33" s="100" t="s">
        <v>750</v>
      </c>
      <c r="F33" s="101">
        <v>3</v>
      </c>
      <c r="G33" s="428"/>
      <c r="H33" s="429"/>
      <c r="I33" s="461"/>
      <c r="J33" s="199">
        <f t="shared" ref="J33:J35" si="13">SUM(G33:I33)</f>
        <v>0</v>
      </c>
      <c r="K33" s="71"/>
      <c r="L33" s="24">
        <f t="shared" ref="L33:L34" si="14" xml:space="preserve"> IF( SUM( N33:R33 ) = 0, 0, $O$5 )</f>
        <v>0</v>
      </c>
      <c r="M33" s="71"/>
      <c r="N33" s="72"/>
      <c r="O33" s="98">
        <f>IF( Validation!$H$3=1, 0, IF(Validation!$B$3 &lt;&gt; "Thames Water", 0, (IF(ISNUMBER(G33), 0, 1))))</f>
        <v>0</v>
      </c>
      <c r="P33" s="98">
        <f>IF( Validation!$H$3=1, 0, IF(Validation!$B$3 &lt;&gt; "Thames Water", 0, (IF(ISNUMBER(H33), 0, 1))))</f>
        <v>0</v>
      </c>
      <c r="Q33" s="98">
        <f>IF( Validation!$H$3=1, 0, IF(Validation!$B$3 &lt;&gt; "Thames Water", 0, (IF(ISNUMBER(I33), 0, 1))))</f>
        <v>0</v>
      </c>
      <c r="R33" s="72"/>
      <c r="AA33" s="99" t="s">
        <v>5120</v>
      </c>
      <c r="AB33" s="92" t="s">
        <v>12581</v>
      </c>
      <c r="AC33" s="92"/>
      <c r="AD33" s="100" t="s">
        <v>750</v>
      </c>
      <c r="AE33" s="101">
        <v>3</v>
      </c>
      <c r="AF33" s="2558" t="s">
        <v>12338</v>
      </c>
      <c r="AG33" s="2760" t="s">
        <v>12339</v>
      </c>
      <c r="AH33" s="2820" t="s">
        <v>12340</v>
      </c>
      <c r="AI33" s="2150" t="s">
        <v>12341</v>
      </c>
    </row>
    <row r="34" spans="1:35" s="496" customFormat="1">
      <c r="A34" s="71"/>
      <c r="B34" s="99" t="s">
        <v>5121</v>
      </c>
      <c r="C34" s="92" t="s">
        <v>3853</v>
      </c>
      <c r="D34" s="92"/>
      <c r="E34" s="100" t="s">
        <v>750</v>
      </c>
      <c r="F34" s="101">
        <v>3</v>
      </c>
      <c r="G34" s="428"/>
      <c r="H34" s="429"/>
      <c r="I34" s="461"/>
      <c r="J34" s="199">
        <f t="shared" si="13"/>
        <v>0</v>
      </c>
      <c r="K34" s="71"/>
      <c r="L34" s="24">
        <f t="shared" si="14"/>
        <v>0</v>
      </c>
      <c r="M34" s="71"/>
      <c r="N34" s="72"/>
      <c r="O34" s="98">
        <f>IF( Validation!$H$3=1, 0, IF(Validation!$B$3 &lt;&gt; "Thames Water", 0, (IF(ISNUMBER(G34), 0, 1))))</f>
        <v>0</v>
      </c>
      <c r="P34" s="98">
        <f>IF( Validation!$H$3=1, 0, IF(Validation!$B$3 &lt;&gt; "Thames Water", 0, (IF(ISNUMBER(H34), 0, 1))))</f>
        <v>0</v>
      </c>
      <c r="Q34" s="98">
        <f>IF( Validation!$H$3=1, 0, IF(Validation!$B$3 &lt;&gt; "Thames Water", 0, (IF(ISNUMBER(I34), 0, 1))))</f>
        <v>0</v>
      </c>
      <c r="R34" s="72"/>
      <c r="AA34" s="99" t="s">
        <v>5121</v>
      </c>
      <c r="AB34" s="92" t="s">
        <v>3853</v>
      </c>
      <c r="AC34" s="92"/>
      <c r="AD34" s="100" t="s">
        <v>750</v>
      </c>
      <c r="AE34" s="101">
        <v>3</v>
      </c>
      <c r="AF34" s="2558" t="s">
        <v>12346</v>
      </c>
      <c r="AG34" s="2760" t="s">
        <v>12347</v>
      </c>
      <c r="AH34" s="2820" t="s">
        <v>12348</v>
      </c>
      <c r="AI34" s="2150" t="s">
        <v>12349</v>
      </c>
    </row>
    <row r="35" spans="1:35" s="496" customFormat="1" ht="15" thickBot="1">
      <c r="A35" s="71"/>
      <c r="B35" s="106" t="s">
        <v>5122</v>
      </c>
      <c r="C35" s="107" t="s">
        <v>2554</v>
      </c>
      <c r="D35" s="107"/>
      <c r="E35" s="108" t="s">
        <v>750</v>
      </c>
      <c r="F35" s="105">
        <v>3</v>
      </c>
      <c r="G35" s="201">
        <f>SUM(G30:G34)</f>
        <v>0</v>
      </c>
      <c r="H35" s="202">
        <f>SUM(H30:H34)</f>
        <v>0</v>
      </c>
      <c r="I35" s="379">
        <f>SUM(I30:I34)</f>
        <v>0</v>
      </c>
      <c r="J35" s="203">
        <f t="shared" si="13"/>
        <v>0</v>
      </c>
      <c r="K35" s="71"/>
      <c r="L35" s="135"/>
      <c r="M35" s="71"/>
      <c r="N35" s="72"/>
      <c r="O35" s="71"/>
      <c r="P35" s="71"/>
      <c r="Q35" s="71"/>
      <c r="R35" s="72"/>
      <c r="AA35" s="106" t="s">
        <v>5122</v>
      </c>
      <c r="AB35" s="107" t="s">
        <v>2554</v>
      </c>
      <c r="AC35" s="107"/>
      <c r="AD35" s="108" t="s">
        <v>750</v>
      </c>
      <c r="AE35" s="105">
        <v>3</v>
      </c>
      <c r="AF35" s="2266" t="s">
        <v>12342</v>
      </c>
      <c r="AG35" s="2154" t="s">
        <v>12343</v>
      </c>
      <c r="AH35" s="2269" t="s">
        <v>12344</v>
      </c>
      <c r="AI35" s="2152" t="s">
        <v>12345</v>
      </c>
    </row>
    <row r="36" spans="1:35" s="496" customFormat="1" ht="15" thickBot="1">
      <c r="A36" s="71"/>
      <c r="B36" s="126"/>
      <c r="C36" s="127"/>
      <c r="D36" s="127"/>
      <c r="E36" s="120"/>
      <c r="F36" s="120"/>
      <c r="G36" s="246"/>
      <c r="H36" s="246"/>
      <c r="I36" s="246"/>
      <c r="J36" s="246"/>
      <c r="K36" s="200"/>
      <c r="L36" s="135"/>
      <c r="M36" s="71"/>
      <c r="N36" s="72"/>
      <c r="O36" s="71"/>
      <c r="P36" s="71"/>
      <c r="Q36" s="71"/>
      <c r="R36" s="72"/>
      <c r="AA36" s="126"/>
      <c r="AB36" s="127"/>
      <c r="AC36" s="127"/>
      <c r="AD36" s="120"/>
      <c r="AE36" s="120"/>
      <c r="AF36" s="246"/>
      <c r="AG36" s="246"/>
      <c r="AH36" s="246"/>
      <c r="AI36" s="246"/>
    </row>
    <row r="37" spans="1:35" s="496" customFormat="1" ht="15" thickBot="1">
      <c r="A37" s="71"/>
      <c r="B37" s="136" t="s">
        <v>5123</v>
      </c>
      <c r="C37" s="137" t="s">
        <v>3636</v>
      </c>
      <c r="D37" s="137"/>
      <c r="E37" s="138" t="s">
        <v>750</v>
      </c>
      <c r="F37" s="139">
        <v>3</v>
      </c>
      <c r="G37" s="462"/>
      <c r="H37" s="807"/>
      <c r="I37" s="246"/>
      <c r="J37" s="504">
        <f xml:space="preserve"> +G37+H37</f>
        <v>0</v>
      </c>
      <c r="K37" s="71"/>
      <c r="L37" s="24" t="str">
        <f xml:space="preserve"> IF( SUM( N37:R37 ) = 0, 0, $O$5 )</f>
        <v>Please complete all cells in row</v>
      </c>
      <c r="M37" s="71"/>
      <c r="N37" s="72"/>
      <c r="O37" s="98">
        <f xml:space="preserve"> IF( ISNUMBER( G37 ), 0, 1 )</f>
        <v>1</v>
      </c>
      <c r="P37" s="98">
        <f>IF( Validation!$H$3=1, 0, IF(Validation!$B$3 &lt;&gt; "Thames Water", 0, (IF(ISNUMBER(H37), 0, 1))))</f>
        <v>0</v>
      </c>
      <c r="Q37" s="71"/>
      <c r="R37" s="72"/>
      <c r="AA37" s="136" t="s">
        <v>5123</v>
      </c>
      <c r="AB37" s="137" t="s">
        <v>3636</v>
      </c>
      <c r="AC37" s="137"/>
      <c r="AD37" s="138" t="s">
        <v>750</v>
      </c>
      <c r="AE37" s="139">
        <v>3</v>
      </c>
      <c r="AF37" s="2821" t="s">
        <v>13487</v>
      </c>
      <c r="AG37" s="2823" t="s">
        <v>12354</v>
      </c>
      <c r="AH37" s="246"/>
      <c r="AI37" s="2273" t="s">
        <v>13495</v>
      </c>
    </row>
    <row r="38" spans="1:35" s="496" customFormat="1">
      <c r="A38" s="71"/>
      <c r="B38" s="71"/>
      <c r="C38" s="71"/>
      <c r="D38" s="71"/>
      <c r="E38" s="71"/>
      <c r="F38" s="71"/>
      <c r="G38" s="71"/>
      <c r="H38" s="71"/>
      <c r="I38" s="71"/>
      <c r="J38" s="71"/>
      <c r="K38" s="71"/>
      <c r="L38" s="135"/>
      <c r="M38" s="71"/>
      <c r="N38" s="72"/>
      <c r="O38" s="71"/>
      <c r="P38" s="71"/>
      <c r="Q38" s="71"/>
      <c r="R38" s="72"/>
      <c r="AA38" s="71"/>
      <c r="AB38" s="71"/>
      <c r="AC38" s="71"/>
      <c r="AD38" s="71"/>
      <c r="AE38" s="71"/>
      <c r="AF38" s="71"/>
      <c r="AG38" s="71"/>
      <c r="AH38" s="71"/>
      <c r="AI38" s="71"/>
    </row>
    <row r="39" spans="1:35" s="496" customFormat="1" ht="15" thickBot="1">
      <c r="A39" s="71"/>
      <c r="B39" s="71"/>
      <c r="C39" s="71"/>
      <c r="D39" s="71"/>
      <c r="E39" s="71"/>
      <c r="F39" s="71"/>
      <c r="G39" s="71"/>
      <c r="H39" s="71"/>
      <c r="I39" s="71"/>
      <c r="J39" s="71"/>
      <c r="K39" s="71"/>
      <c r="L39" s="135"/>
      <c r="M39" s="71"/>
      <c r="N39" s="72"/>
      <c r="O39" s="71"/>
      <c r="P39" s="71"/>
      <c r="Q39" s="71"/>
      <c r="R39" s="72"/>
      <c r="AA39" s="71"/>
      <c r="AB39" s="71"/>
      <c r="AC39" s="71"/>
      <c r="AD39" s="71"/>
      <c r="AE39" s="71"/>
      <c r="AF39" s="71"/>
      <c r="AG39" s="71"/>
      <c r="AH39" s="71"/>
      <c r="AI39" s="71"/>
    </row>
    <row r="40" spans="1:35">
      <c r="G40" s="3231" t="str">
        <f>G3</f>
        <v>Current year</v>
      </c>
      <c r="H40" s="3232"/>
      <c r="I40" s="3232"/>
      <c r="J40" s="3233"/>
      <c r="K40" s="123"/>
      <c r="L40" s="135"/>
      <c r="M40" s="123"/>
      <c r="AF40" s="3231" t="str">
        <f>AF3</f>
        <v>Current year</v>
      </c>
      <c r="AG40" s="3232"/>
      <c r="AH40" s="3232"/>
      <c r="AI40" s="3233"/>
    </row>
    <row r="41" spans="1:35" ht="15" thickBot="1">
      <c r="G41" s="2061" t="s">
        <v>40</v>
      </c>
      <c r="H41" s="81" t="s">
        <v>214</v>
      </c>
      <c r="I41" s="81" t="s">
        <v>1800</v>
      </c>
      <c r="J41" s="82" t="s">
        <v>2554</v>
      </c>
      <c r="K41" s="131"/>
      <c r="L41" s="135"/>
      <c r="M41" s="131"/>
      <c r="N41" s="129"/>
      <c r="O41" s="131"/>
      <c r="P41" s="131"/>
      <c r="Q41" s="131"/>
      <c r="R41" s="129"/>
      <c r="AF41" s="2731" t="s">
        <v>40</v>
      </c>
      <c r="AG41" s="81" t="s">
        <v>214</v>
      </c>
      <c r="AH41" s="81" t="s">
        <v>1800</v>
      </c>
      <c r="AI41" s="2732" t="s">
        <v>2554</v>
      </c>
    </row>
    <row r="42" spans="1:35" ht="15" thickBot="1">
      <c r="B42" s="118" t="s">
        <v>2464</v>
      </c>
      <c r="C42" s="119" t="s">
        <v>3637</v>
      </c>
      <c r="D42" s="1584"/>
      <c r="K42" s="131"/>
      <c r="L42" s="135"/>
      <c r="M42" s="131"/>
      <c r="N42" s="124"/>
      <c r="O42" s="131"/>
      <c r="P42" s="131"/>
      <c r="Q42" s="131"/>
      <c r="R42" s="124"/>
      <c r="AA42" s="118" t="s">
        <v>2464</v>
      </c>
      <c r="AB42" s="119" t="s">
        <v>3637</v>
      </c>
      <c r="AC42" s="1584"/>
    </row>
    <row r="43" spans="1:35">
      <c r="B43" s="91" t="s">
        <v>5124</v>
      </c>
      <c r="C43" s="122" t="s">
        <v>2647</v>
      </c>
      <c r="D43" s="122"/>
      <c r="E43" s="93" t="s">
        <v>750</v>
      </c>
      <c r="F43" s="94">
        <v>3</v>
      </c>
      <c r="G43" s="430"/>
      <c r="H43" s="441"/>
      <c r="I43" s="441"/>
      <c r="J43" s="198">
        <f>SUM(G43:I43)</f>
        <v>0</v>
      </c>
      <c r="K43" s="131"/>
      <c r="L43" s="24" t="str">
        <f t="shared" ref="L43" si="15" xml:space="preserve"> IF( SUM( N43:R43 ) = 0, 0, $O$5 )</f>
        <v>Please complete all cells in row</v>
      </c>
      <c r="M43" s="131"/>
      <c r="N43" s="124"/>
      <c r="O43" s="98">
        <f xml:space="preserve"> IF( ISNUMBER( G43 ), 0, 1 )</f>
        <v>1</v>
      </c>
      <c r="P43" s="98">
        <f>IF(Validation!$H$3=1,0,IF(ISNUMBER(H43),0,1))</f>
        <v>1</v>
      </c>
      <c r="Q43" s="98">
        <f>IF( Validation!$H$3=1, 0, IF(Validation!$B$3 &lt;&gt; "Thames Water", 0, (IF(ISNUMBER(I43), 0, 1))))</f>
        <v>0</v>
      </c>
      <c r="R43" s="124"/>
      <c r="AA43" s="91" t="s">
        <v>5124</v>
      </c>
      <c r="AB43" s="122" t="s">
        <v>2647</v>
      </c>
      <c r="AC43" s="122"/>
      <c r="AD43" s="93" t="s">
        <v>750</v>
      </c>
      <c r="AE43" s="94">
        <v>3</v>
      </c>
      <c r="AF43" s="2747" t="s">
        <v>9841</v>
      </c>
      <c r="AG43" s="2748" t="s">
        <v>9842</v>
      </c>
      <c r="AH43" s="2748" t="s">
        <v>12355</v>
      </c>
      <c r="AI43" s="198" t="s">
        <v>9843</v>
      </c>
    </row>
    <row r="44" spans="1:35">
      <c r="B44" s="99" t="s">
        <v>5125</v>
      </c>
      <c r="C44" s="92" t="s">
        <v>2648</v>
      </c>
      <c r="D44" s="92"/>
      <c r="E44" s="100" t="s">
        <v>750</v>
      </c>
      <c r="F44" s="101">
        <v>3</v>
      </c>
      <c r="G44" s="2333">
        <f>H13</f>
        <v>0</v>
      </c>
      <c r="H44" s="2334">
        <f>H24</f>
        <v>0</v>
      </c>
      <c r="I44" s="2334">
        <f>H35</f>
        <v>0</v>
      </c>
      <c r="J44" s="199">
        <f t="shared" ref="J44:J45" si="16">SUM(G44:I44)</f>
        <v>0</v>
      </c>
      <c r="K44" s="131"/>
      <c r="L44" s="135"/>
      <c r="M44" s="131"/>
      <c r="N44" s="124"/>
      <c r="O44" s="132"/>
      <c r="P44" s="132"/>
      <c r="Q44" s="132"/>
      <c r="R44" s="124"/>
      <c r="AA44" s="99" t="s">
        <v>5125</v>
      </c>
      <c r="AB44" s="92" t="s">
        <v>2648</v>
      </c>
      <c r="AC44" s="92"/>
      <c r="AD44" s="100" t="s">
        <v>750</v>
      </c>
      <c r="AE44" s="101">
        <v>3</v>
      </c>
      <c r="AF44" s="2333" t="str">
        <f>AG13</f>
        <v>BA1091CAP</v>
      </c>
      <c r="AG44" s="2334" t="str">
        <f>AG24</f>
        <v>BA2091CAP</v>
      </c>
      <c r="AH44" s="2334" t="str">
        <f>+AG35</f>
        <v>BA2091TTTCAP</v>
      </c>
      <c r="AI44" s="199" t="s">
        <v>9844</v>
      </c>
    </row>
    <row r="45" spans="1:35">
      <c r="B45" s="99" t="s">
        <v>5126</v>
      </c>
      <c r="C45" s="92" t="s">
        <v>2649</v>
      </c>
      <c r="D45" s="92"/>
      <c r="E45" s="100" t="s">
        <v>750</v>
      </c>
      <c r="F45" s="101">
        <v>3</v>
      </c>
      <c r="G45" s="428"/>
      <c r="H45" s="429"/>
      <c r="I45" s="429"/>
      <c r="J45" s="199">
        <f t="shared" si="16"/>
        <v>0</v>
      </c>
      <c r="K45" s="131"/>
      <c r="L45" s="24" t="str">
        <f t="shared" ref="L45" si="17" xml:space="preserve"> IF( SUM( N45:R45 ) = 0, 0, $O$5 )</f>
        <v>Please complete all cells in row</v>
      </c>
      <c r="M45" s="131"/>
      <c r="N45" s="124"/>
      <c r="O45" s="98">
        <f xml:space="preserve"> IF( ISNUMBER( G45 ), 0, 1 )</f>
        <v>1</v>
      </c>
      <c r="P45" s="98">
        <f>IF(Validation!$H$3=1,0,IF(ISNUMBER(H45),0,1))</f>
        <v>1</v>
      </c>
      <c r="Q45" s="98">
        <f>IF( Validation!$H$3=1, 0, IF(Validation!$B$3 &lt;&gt; "Thames Water", 0, (IF(ISNUMBER(I45), 0, 1))))</f>
        <v>0</v>
      </c>
      <c r="R45" s="124"/>
      <c r="AA45" s="99" t="s">
        <v>5126</v>
      </c>
      <c r="AB45" s="92" t="s">
        <v>2649</v>
      </c>
      <c r="AC45" s="92"/>
      <c r="AD45" s="100" t="s">
        <v>750</v>
      </c>
      <c r="AE45" s="101">
        <v>3</v>
      </c>
      <c r="AF45" s="2750" t="s">
        <v>9845</v>
      </c>
      <c r="AG45" s="2751" t="s">
        <v>9846</v>
      </c>
      <c r="AH45" s="2751" t="s">
        <v>12356</v>
      </c>
      <c r="AI45" s="199" t="s">
        <v>9847</v>
      </c>
    </row>
    <row r="46" spans="1:35" ht="15" thickBot="1">
      <c r="B46" s="106" t="s">
        <v>5127</v>
      </c>
      <c r="C46" s="107" t="s">
        <v>2650</v>
      </c>
      <c r="D46" s="107"/>
      <c r="E46" s="108" t="s">
        <v>750</v>
      </c>
      <c r="F46" s="105">
        <v>3</v>
      </c>
      <c r="G46" s="201">
        <f>SUM(G43:G45)</f>
        <v>0</v>
      </c>
      <c r="H46" s="202">
        <f>SUM(H43:H45)</f>
        <v>0</v>
      </c>
      <c r="I46" s="202">
        <f>SUM(I43:I45)</f>
        <v>0</v>
      </c>
      <c r="J46" s="203">
        <f>SUM(G46:I46)</f>
        <v>0</v>
      </c>
      <c r="K46" s="131"/>
      <c r="L46" s="135"/>
      <c r="M46" s="131"/>
      <c r="N46" s="124"/>
      <c r="O46" s="131"/>
      <c r="P46" s="131"/>
      <c r="Q46" s="131"/>
      <c r="R46" s="124"/>
      <c r="AA46" s="106" t="s">
        <v>5127</v>
      </c>
      <c r="AB46" s="107" t="s">
        <v>2650</v>
      </c>
      <c r="AC46" s="107"/>
      <c r="AD46" s="108" t="s">
        <v>750</v>
      </c>
      <c r="AE46" s="105">
        <v>3</v>
      </c>
      <c r="AF46" s="201" t="s">
        <v>9848</v>
      </c>
      <c r="AG46" s="202" t="s">
        <v>9849</v>
      </c>
      <c r="AH46" s="202" t="s">
        <v>12357</v>
      </c>
      <c r="AI46" s="203" t="s">
        <v>9850</v>
      </c>
    </row>
    <row r="47" spans="1:35" ht="15" thickBot="1">
      <c r="B47" s="115"/>
      <c r="C47" s="157"/>
      <c r="D47" s="157"/>
      <c r="E47" s="115"/>
      <c r="F47" s="115"/>
      <c r="G47" s="170"/>
      <c r="H47" s="170"/>
      <c r="I47" s="170"/>
      <c r="J47" s="123"/>
      <c r="K47" s="131"/>
      <c r="L47" s="135"/>
      <c r="M47" s="131"/>
      <c r="N47" s="124"/>
      <c r="O47" s="131"/>
      <c r="P47" s="131"/>
      <c r="Q47" s="131"/>
      <c r="R47" s="124"/>
      <c r="AA47" s="115"/>
      <c r="AB47" s="157"/>
      <c r="AC47" s="157"/>
      <c r="AD47" s="115"/>
      <c r="AE47" s="115"/>
      <c r="AF47" s="170"/>
      <c r="AG47" s="170"/>
      <c r="AH47" s="170"/>
      <c r="AI47" s="123"/>
    </row>
    <row r="48" spans="1:35" ht="15" thickBot="1">
      <c r="B48" s="87" t="s">
        <v>2473</v>
      </c>
      <c r="C48" s="88" t="s">
        <v>2651</v>
      </c>
      <c r="D48" s="1584"/>
      <c r="K48" s="135"/>
      <c r="L48" s="135"/>
      <c r="M48" s="131"/>
      <c r="N48" s="124"/>
      <c r="O48" s="131"/>
      <c r="P48" s="131"/>
      <c r="Q48" s="131"/>
      <c r="R48" s="124"/>
      <c r="AA48" s="2744" t="s">
        <v>2473</v>
      </c>
      <c r="AB48" s="88" t="s">
        <v>2651</v>
      </c>
      <c r="AC48" s="1584"/>
    </row>
    <row r="49" spans="1:35" ht="15" thickBot="1">
      <c r="B49" s="136" t="s">
        <v>5128</v>
      </c>
      <c r="C49" s="137" t="s">
        <v>2652</v>
      </c>
      <c r="D49" s="137"/>
      <c r="E49" s="1607" t="s">
        <v>4204</v>
      </c>
      <c r="F49" s="139">
        <v>3</v>
      </c>
      <c r="G49" s="462"/>
      <c r="H49" s="463"/>
      <c r="I49" s="463"/>
      <c r="J49" s="255">
        <f>G49+H49+I49</f>
        <v>0</v>
      </c>
      <c r="K49" s="135"/>
      <c r="L49" s="24" t="str">
        <f t="shared" ref="L49" si="18" xml:space="preserve"> IF( SUM( N49:R49 ) = 0, 0, $O$5 )</f>
        <v>Please complete all cells in row</v>
      </c>
      <c r="M49" s="131"/>
      <c r="N49" s="124"/>
      <c r="O49" s="98">
        <f t="shared" ref="O49" si="19" xml:space="preserve"> IF( ISNUMBER( G49 ), 0, 1 )</f>
        <v>1</v>
      </c>
      <c r="P49" s="98">
        <f>IF(Validation!$H$3=1,0,IF(ISNUMBER(H49),0,1))</f>
        <v>1</v>
      </c>
      <c r="Q49" s="98">
        <f>IF( Validation!$H$3=1, 0, IF(Validation!$B$3 &lt;&gt; "Thames Water", 0, (IF(ISNUMBER(I49), 0, 1))))</f>
        <v>0</v>
      </c>
      <c r="R49" s="124"/>
      <c r="AA49" s="136" t="s">
        <v>5128</v>
      </c>
      <c r="AB49" s="137" t="s">
        <v>2652</v>
      </c>
      <c r="AC49" s="137"/>
      <c r="AD49" s="1607" t="s">
        <v>4204</v>
      </c>
      <c r="AE49" s="139">
        <v>3</v>
      </c>
      <c r="AF49" s="2755" t="s">
        <v>9851</v>
      </c>
      <c r="AG49" s="2824" t="s">
        <v>9852</v>
      </c>
      <c r="AH49" s="2756" t="s">
        <v>12358</v>
      </c>
      <c r="AI49" s="255" t="s">
        <v>9853</v>
      </c>
    </row>
    <row r="50" spans="1:35">
      <c r="B50" s="115"/>
      <c r="C50" s="157"/>
      <c r="D50" s="157"/>
      <c r="E50" s="115"/>
      <c r="F50" s="115"/>
      <c r="H50" s="170"/>
      <c r="I50" s="170"/>
      <c r="J50" s="123"/>
      <c r="K50" s="123"/>
      <c r="L50" s="125"/>
      <c r="M50" s="123"/>
      <c r="N50" s="124"/>
      <c r="O50" s="125"/>
      <c r="P50" s="123"/>
      <c r="Q50" s="123"/>
      <c r="R50" s="124"/>
      <c r="AA50" s="115"/>
      <c r="AB50" s="157"/>
      <c r="AC50" s="157"/>
      <c r="AD50" s="115"/>
      <c r="AE50" s="115"/>
      <c r="AG50" s="170"/>
      <c r="AH50" s="170"/>
      <c r="AI50" s="123"/>
    </row>
    <row r="51" spans="1:35">
      <c r="B51" s="3220" t="s">
        <v>2420</v>
      </c>
      <c r="C51" s="3220"/>
      <c r="D51" s="1449"/>
      <c r="E51" s="170"/>
      <c r="F51" s="170"/>
      <c r="G51" s="170"/>
      <c r="H51" s="170"/>
      <c r="I51" s="170"/>
      <c r="J51" s="131"/>
      <c r="K51" s="123"/>
      <c r="L51" s="125"/>
      <c r="M51" s="123"/>
      <c r="N51" s="129"/>
      <c r="O51" s="125"/>
      <c r="P51" s="123"/>
      <c r="Q51" s="123"/>
      <c r="R51" s="129"/>
      <c r="AA51" s="8"/>
      <c r="AB51" s="8"/>
      <c r="AC51" s="8"/>
      <c r="AD51" s="8"/>
      <c r="AE51" s="8"/>
      <c r="AF51" s="8"/>
      <c r="AG51" s="8"/>
      <c r="AH51" s="8"/>
      <c r="AI51" s="8"/>
    </row>
    <row r="52" spans="1:35">
      <c r="B52" s="146"/>
      <c r="C52" s="147"/>
      <c r="D52" s="147"/>
      <c r="E52" s="170"/>
      <c r="F52" s="170"/>
      <c r="G52" s="170"/>
      <c r="H52" s="170"/>
      <c r="I52" s="170"/>
      <c r="J52" s="131"/>
      <c r="K52" s="360"/>
      <c r="L52" s="135"/>
      <c r="M52" s="123"/>
      <c r="N52" s="129"/>
      <c r="O52" s="135"/>
      <c r="P52" s="123"/>
      <c r="Q52" s="123"/>
      <c r="R52" s="129"/>
      <c r="AA52" s="8"/>
      <c r="AB52" s="8"/>
      <c r="AC52" s="8"/>
      <c r="AD52" s="8"/>
      <c r="AE52" s="8"/>
      <c r="AF52" s="8"/>
      <c r="AG52" s="8"/>
      <c r="AH52" s="8"/>
      <c r="AI52" s="8"/>
    </row>
    <row r="53" spans="1:35">
      <c r="B53" s="25"/>
      <c r="C53" s="148" t="s">
        <v>2421</v>
      </c>
      <c r="D53" s="148"/>
      <c r="E53" s="170"/>
      <c r="F53" s="170"/>
      <c r="G53" s="170"/>
      <c r="H53" s="170"/>
      <c r="I53" s="170"/>
      <c r="J53" s="131"/>
      <c r="K53" s="362"/>
      <c r="L53" s="125"/>
      <c r="M53" s="123"/>
      <c r="N53" s="129"/>
      <c r="O53" s="125"/>
      <c r="P53" s="123"/>
      <c r="Q53" s="123"/>
      <c r="R53" s="129"/>
      <c r="AA53" s="8"/>
      <c r="AB53" s="8"/>
      <c r="AC53" s="8"/>
      <c r="AD53" s="8"/>
      <c r="AE53" s="8"/>
      <c r="AF53" s="8"/>
      <c r="AG53" s="8"/>
      <c r="AH53" s="8"/>
      <c r="AI53" s="8"/>
    </row>
    <row r="54" spans="1:35">
      <c r="B54" s="146"/>
      <c r="C54" s="147"/>
      <c r="D54" s="147"/>
      <c r="E54" s="170"/>
      <c r="F54" s="170"/>
      <c r="G54" s="170"/>
      <c r="H54" s="170"/>
      <c r="I54" s="170"/>
      <c r="J54" s="131"/>
      <c r="K54" s="362"/>
      <c r="L54" s="115"/>
      <c r="M54" s="115"/>
      <c r="N54" s="129"/>
      <c r="O54" s="115"/>
      <c r="P54" s="115"/>
      <c r="Q54" s="115"/>
      <c r="R54" s="129"/>
      <c r="AA54" s="8"/>
      <c r="AB54" s="8"/>
      <c r="AC54" s="8"/>
      <c r="AD54" s="8"/>
      <c r="AE54" s="8"/>
      <c r="AF54" s="8"/>
      <c r="AG54" s="8"/>
      <c r="AH54" s="8"/>
      <c r="AI54" s="8"/>
    </row>
    <row r="55" spans="1:35">
      <c r="B55" s="149"/>
      <c r="C55" s="148" t="s">
        <v>2422</v>
      </c>
      <c r="D55" s="148"/>
      <c r="E55" s="170"/>
      <c r="F55" s="170"/>
      <c r="G55" s="170"/>
      <c r="H55" s="170"/>
      <c r="I55" s="170"/>
      <c r="J55" s="131"/>
      <c r="K55" s="362"/>
      <c r="L55" s="115"/>
      <c r="M55" s="115"/>
      <c r="N55" s="129"/>
      <c r="O55" s="115"/>
      <c r="P55" s="115"/>
      <c r="Q55" s="115"/>
      <c r="R55" s="129"/>
      <c r="AA55" s="8"/>
      <c r="AB55" s="8"/>
      <c r="AC55" s="8"/>
      <c r="AD55" s="8"/>
      <c r="AE55" s="8"/>
      <c r="AF55" s="8"/>
      <c r="AG55" s="8"/>
      <c r="AH55" s="8"/>
      <c r="AI55" s="8"/>
    </row>
    <row r="56" spans="1:35">
      <c r="B56" s="150"/>
      <c r="C56" s="148"/>
      <c r="D56" s="148"/>
      <c r="E56" s="170"/>
      <c r="F56" s="170"/>
      <c r="G56" s="170"/>
      <c r="H56" s="170"/>
      <c r="I56" s="170"/>
      <c r="J56" s="131"/>
      <c r="K56" s="362"/>
      <c r="L56" s="125"/>
      <c r="M56" s="125"/>
      <c r="N56" s="129"/>
      <c r="O56" s="125"/>
      <c r="P56" s="125"/>
      <c r="Q56" s="125"/>
      <c r="R56" s="129"/>
      <c r="AA56" s="8"/>
      <c r="AB56" s="8"/>
      <c r="AC56" s="8"/>
      <c r="AD56" s="8"/>
      <c r="AE56" s="8"/>
      <c r="AF56" s="8"/>
      <c r="AG56" s="8"/>
      <c r="AH56" s="8"/>
      <c r="AI56" s="8"/>
    </row>
    <row r="57" spans="1:35" s="496" customFormat="1">
      <c r="A57" s="71"/>
      <c r="B57" s="2527"/>
      <c r="C57" s="186" t="s">
        <v>13522</v>
      </c>
      <c r="D57" s="148"/>
      <c r="E57" s="170"/>
      <c r="F57" s="170"/>
      <c r="G57" s="170"/>
      <c r="H57" s="170"/>
      <c r="I57" s="170"/>
      <c r="J57" s="131"/>
      <c r="K57" s="362"/>
      <c r="L57" s="125"/>
      <c r="M57" s="125"/>
      <c r="N57" s="129"/>
      <c r="O57" s="125"/>
      <c r="P57" s="125"/>
      <c r="Q57" s="125"/>
      <c r="R57" s="129"/>
    </row>
    <row r="58" spans="1:35" ht="15" thickBot="1">
      <c r="A58" s="170"/>
      <c r="B58" s="185"/>
      <c r="C58" s="186"/>
      <c r="D58" s="186"/>
      <c r="E58" s="185"/>
      <c r="F58" s="185"/>
      <c r="G58" s="185"/>
      <c r="H58" s="185"/>
      <c r="I58" s="185"/>
      <c r="J58" s="135"/>
      <c r="K58" s="362"/>
      <c r="N58" s="129"/>
      <c r="R58" s="129"/>
      <c r="AA58" s="8"/>
      <c r="AB58" s="8"/>
      <c r="AC58" s="8"/>
      <c r="AD58" s="8"/>
      <c r="AE58" s="8"/>
      <c r="AF58" s="8"/>
      <c r="AG58" s="8"/>
      <c r="AH58" s="8"/>
      <c r="AI58" s="8"/>
    </row>
    <row r="59" spans="1:35" s="496" customFormat="1" ht="15" thickBot="1">
      <c r="A59" s="170"/>
      <c r="B59" s="1433" t="s">
        <v>12572</v>
      </c>
      <c r="C59" s="152"/>
      <c r="D59" s="152"/>
      <c r="E59" s="153"/>
      <c r="F59" s="153"/>
      <c r="G59" s="153"/>
      <c r="H59" s="153"/>
      <c r="I59" s="153"/>
      <c r="J59" s="259"/>
      <c r="K59" s="362"/>
      <c r="L59" s="71"/>
      <c r="M59" s="71"/>
      <c r="N59" s="129"/>
      <c r="O59" s="71"/>
      <c r="P59" s="71"/>
      <c r="Q59" s="71"/>
      <c r="R59" s="129"/>
    </row>
    <row r="60" spans="1:35" s="496" customFormat="1">
      <c r="A60" s="170"/>
      <c r="B60" s="185"/>
      <c r="C60" s="186"/>
      <c r="D60" s="186"/>
      <c r="E60" s="185"/>
      <c r="F60" s="185"/>
      <c r="G60" s="185"/>
      <c r="H60" s="185"/>
      <c r="I60" s="185"/>
      <c r="J60" s="135"/>
      <c r="K60" s="362"/>
      <c r="L60" s="71"/>
      <c r="M60" s="71"/>
      <c r="N60" s="129"/>
      <c r="O60" s="71"/>
      <c r="P60" s="71"/>
      <c r="Q60" s="71"/>
      <c r="R60" s="129"/>
    </row>
    <row r="61" spans="1:35" ht="21" hidden="1" customHeight="1" thickBot="1">
      <c r="A61" s="1652"/>
      <c r="B61" s="151" t="str">
        <f ca="1" xml:space="preserve"> RIGHT(CELL("filename", $A$1), LEN(CELL("filename", $A$1)) - SEARCH("]", CELL("filename", $A$1)))&amp;" - Line definitions"</f>
        <v>2E - Line definitions</v>
      </c>
      <c r="C61" s="152"/>
      <c r="D61" s="152"/>
      <c r="E61" s="153"/>
      <c r="F61" s="153"/>
      <c r="G61" s="153"/>
      <c r="H61" s="153"/>
      <c r="I61" s="153"/>
      <c r="J61" s="259"/>
      <c r="K61" s="362"/>
      <c r="AA61" s="8"/>
      <c r="AB61" s="8"/>
      <c r="AC61" s="8"/>
      <c r="AD61" s="8"/>
      <c r="AE61" s="8"/>
      <c r="AF61" s="8"/>
      <c r="AG61" s="8"/>
      <c r="AH61" s="8"/>
      <c r="AI61" s="8"/>
    </row>
    <row r="62" spans="1:35" ht="15" hidden="1" customHeight="1" thickBot="1">
      <c r="A62" s="1644"/>
      <c r="B62" s="75"/>
      <c r="C62" s="160"/>
      <c r="D62" s="160"/>
      <c r="E62" s="75"/>
      <c r="F62" s="75"/>
      <c r="G62" s="115"/>
      <c r="H62" s="115"/>
      <c r="I62" s="115"/>
      <c r="J62" s="123"/>
      <c r="K62" s="362"/>
      <c r="AA62" s="8"/>
      <c r="AB62" s="8"/>
      <c r="AC62" s="8"/>
      <c r="AD62" s="8"/>
      <c r="AE62" s="8"/>
      <c r="AF62" s="8"/>
      <c r="AG62" s="8"/>
      <c r="AH62" s="8"/>
      <c r="AI62" s="8"/>
    </row>
    <row r="63" spans="1:35" ht="15" hidden="1" thickBot="1">
      <c r="A63" s="1643"/>
      <c r="B63" s="381" t="s">
        <v>2423</v>
      </c>
      <c r="C63" s="382" t="s">
        <v>2424</v>
      </c>
      <c r="D63" s="383"/>
      <c r="E63" s="383"/>
      <c r="F63" s="383"/>
      <c r="G63" s="383"/>
      <c r="H63" s="383"/>
      <c r="I63" s="383"/>
      <c r="J63" s="403"/>
      <c r="K63" s="362"/>
      <c r="O63" s="90" t="s">
        <v>2425</v>
      </c>
      <c r="AA63" s="8"/>
      <c r="AB63" s="8"/>
      <c r="AC63" s="8"/>
      <c r="AD63" s="8"/>
      <c r="AE63" s="8"/>
      <c r="AF63" s="8"/>
      <c r="AG63" s="8"/>
      <c r="AH63" s="8"/>
      <c r="AI63" s="8"/>
    </row>
    <row r="64" spans="1:35" ht="14.25" hidden="1" customHeight="1">
      <c r="A64" s="1643"/>
      <c r="B64" s="828" t="str">
        <f t="shared" ref="B64:B70" si="20">B7</f>
        <v>2E.1</v>
      </c>
      <c r="C64" s="3295" t="s">
        <v>12907</v>
      </c>
      <c r="D64" s="3235"/>
      <c r="E64" s="3235"/>
      <c r="F64" s="3235"/>
      <c r="G64" s="3235"/>
      <c r="H64" s="3235"/>
      <c r="I64" s="3235"/>
      <c r="J64" s="3236"/>
      <c r="K64" s="362"/>
      <c r="O64" s="210">
        <v>1</v>
      </c>
      <c r="AA64" s="8"/>
      <c r="AB64" s="8"/>
      <c r="AC64" s="8"/>
      <c r="AD64" s="8"/>
      <c r="AE64" s="8"/>
      <c r="AF64" s="8"/>
      <c r="AG64" s="8"/>
      <c r="AH64" s="8"/>
      <c r="AI64" s="8"/>
    </row>
    <row r="65" spans="1:35" ht="23.25" hidden="1" customHeight="1">
      <c r="A65" s="1643"/>
      <c r="B65" s="829" t="str">
        <f t="shared" si="20"/>
        <v>2E.2</v>
      </c>
      <c r="C65" s="3296" t="s">
        <v>12908</v>
      </c>
      <c r="D65" s="3226"/>
      <c r="E65" s="3226"/>
      <c r="F65" s="3226"/>
      <c r="G65" s="3226"/>
      <c r="H65" s="3226"/>
      <c r="I65" s="3226"/>
      <c r="J65" s="3227"/>
      <c r="K65" s="362"/>
      <c r="O65" s="168" t="s">
        <v>2428</v>
      </c>
      <c r="AA65" s="8"/>
      <c r="AB65" s="8"/>
      <c r="AC65" s="8"/>
      <c r="AD65" s="8"/>
      <c r="AE65" s="8"/>
      <c r="AF65" s="8"/>
      <c r="AG65" s="8"/>
      <c r="AH65" s="8"/>
      <c r="AI65" s="8"/>
    </row>
    <row r="66" spans="1:35" ht="14.25" hidden="1" customHeight="1">
      <c r="A66" s="1643"/>
      <c r="B66" s="829" t="str">
        <f t="shared" si="20"/>
        <v>2E.3</v>
      </c>
      <c r="C66" s="3296" t="s">
        <v>12909</v>
      </c>
      <c r="D66" s="3226"/>
      <c r="E66" s="3226"/>
      <c r="F66" s="3226"/>
      <c r="G66" s="3226"/>
      <c r="H66" s="3226"/>
      <c r="I66" s="3226"/>
      <c r="J66" s="3227"/>
      <c r="O66" s="165">
        <v>1</v>
      </c>
      <c r="AA66" s="8"/>
      <c r="AB66" s="8"/>
      <c r="AC66" s="8"/>
      <c r="AD66" s="8"/>
      <c r="AE66" s="8"/>
      <c r="AF66" s="8"/>
      <c r="AG66" s="8"/>
      <c r="AH66" s="8"/>
      <c r="AI66" s="8"/>
    </row>
    <row r="67" spans="1:35" s="496" customFormat="1" ht="14.25" hidden="1" customHeight="1">
      <c r="A67" s="1643"/>
      <c r="B67" s="829" t="str">
        <f t="shared" si="20"/>
        <v>2E.4</v>
      </c>
      <c r="C67" s="3296" t="s">
        <v>3854</v>
      </c>
      <c r="D67" s="3226"/>
      <c r="E67" s="3226"/>
      <c r="F67" s="3226"/>
      <c r="G67" s="3226"/>
      <c r="H67" s="3226"/>
      <c r="I67" s="3226"/>
      <c r="J67" s="3227"/>
      <c r="K67" s="71"/>
      <c r="L67" s="71"/>
      <c r="M67" s="71"/>
      <c r="N67" s="72"/>
      <c r="O67" s="165">
        <v>1</v>
      </c>
      <c r="P67" s="71"/>
      <c r="Q67" s="71"/>
      <c r="R67" s="72"/>
    </row>
    <row r="68" spans="1:35" ht="14.25" hidden="1" customHeight="1">
      <c r="A68" s="1643"/>
      <c r="B68" s="829" t="str">
        <f t="shared" si="20"/>
        <v>2E.5</v>
      </c>
      <c r="C68" s="3296" t="s">
        <v>12910</v>
      </c>
      <c r="D68" s="3226"/>
      <c r="E68" s="3226"/>
      <c r="F68" s="3226"/>
      <c r="G68" s="3226"/>
      <c r="H68" s="3226"/>
      <c r="I68" s="3226"/>
      <c r="J68" s="3227"/>
      <c r="O68" s="165">
        <v>1</v>
      </c>
      <c r="AA68" s="8"/>
      <c r="AB68" s="8"/>
      <c r="AC68" s="8"/>
      <c r="AD68" s="8"/>
      <c r="AE68" s="8"/>
      <c r="AF68" s="8"/>
      <c r="AG68" s="8"/>
      <c r="AH68" s="8"/>
      <c r="AI68" s="8"/>
    </row>
    <row r="69" spans="1:35" ht="13.5" hidden="1" customHeight="1">
      <c r="A69" s="1643"/>
      <c r="B69" s="829" t="str">
        <f t="shared" si="20"/>
        <v>2E.6</v>
      </c>
      <c r="C69" s="3296" t="s">
        <v>3855</v>
      </c>
      <c r="D69" s="3226"/>
      <c r="E69" s="3226"/>
      <c r="F69" s="3226"/>
      <c r="G69" s="3226"/>
      <c r="H69" s="3226"/>
      <c r="I69" s="3226"/>
      <c r="J69" s="3227"/>
      <c r="O69" s="168">
        <v>1</v>
      </c>
      <c r="AA69" s="8"/>
      <c r="AB69" s="8"/>
      <c r="AC69" s="8"/>
      <c r="AD69" s="8"/>
      <c r="AE69" s="8"/>
      <c r="AF69" s="8"/>
      <c r="AG69" s="8"/>
      <c r="AH69" s="8"/>
      <c r="AI69" s="8"/>
    </row>
    <row r="70" spans="1:35" ht="14.25" hidden="1" customHeight="1">
      <c r="A70" s="1643"/>
      <c r="B70" s="829" t="str">
        <f t="shared" si="20"/>
        <v>2E.7</v>
      </c>
      <c r="C70" s="3296" t="s">
        <v>3856</v>
      </c>
      <c r="D70" s="3226"/>
      <c r="E70" s="3226"/>
      <c r="F70" s="3226"/>
      <c r="G70" s="3226"/>
      <c r="H70" s="3226"/>
      <c r="I70" s="3226"/>
      <c r="J70" s="3227"/>
      <c r="O70" s="165">
        <v>1</v>
      </c>
      <c r="AA70" s="8"/>
      <c r="AB70" s="8"/>
      <c r="AC70" s="8"/>
      <c r="AD70" s="8"/>
      <c r="AE70" s="8"/>
      <c r="AF70" s="8"/>
      <c r="AG70" s="8"/>
      <c r="AH70" s="8"/>
      <c r="AI70" s="8"/>
    </row>
    <row r="71" spans="1:35" s="496" customFormat="1" ht="14.25" hidden="1" customHeight="1">
      <c r="A71" s="1643"/>
      <c r="B71" s="829" t="str">
        <f t="shared" ref="B71" si="21">B15</f>
        <v>2E.8</v>
      </c>
      <c r="C71" s="3296" t="s">
        <v>3638</v>
      </c>
      <c r="D71" s="3226"/>
      <c r="E71" s="3226"/>
      <c r="F71" s="3226"/>
      <c r="G71" s="3226"/>
      <c r="H71" s="3226"/>
      <c r="I71" s="3226"/>
      <c r="J71" s="3227"/>
      <c r="K71" s="71"/>
      <c r="L71" s="71"/>
      <c r="M71" s="71"/>
      <c r="N71" s="72"/>
      <c r="O71" s="165">
        <v>1</v>
      </c>
      <c r="P71" s="71"/>
      <c r="Q71" s="71"/>
      <c r="R71" s="72"/>
    </row>
    <row r="72" spans="1:35" ht="23.25" hidden="1" customHeight="1">
      <c r="A72" s="1644"/>
      <c r="B72" s="829" t="str">
        <f t="shared" ref="B72:B77" si="22">B19</f>
        <v>2E.9</v>
      </c>
      <c r="C72" s="3296" t="s">
        <v>12911</v>
      </c>
      <c r="D72" s="3226"/>
      <c r="E72" s="3226"/>
      <c r="F72" s="3226"/>
      <c r="G72" s="3226"/>
      <c r="H72" s="3226"/>
      <c r="I72" s="3226"/>
      <c r="J72" s="3227"/>
      <c r="O72" s="168" t="s">
        <v>2428</v>
      </c>
      <c r="AA72" s="8"/>
      <c r="AB72" s="8"/>
      <c r="AC72" s="8"/>
      <c r="AD72" s="8"/>
      <c r="AE72" s="8"/>
      <c r="AF72" s="8"/>
      <c r="AG72" s="8"/>
      <c r="AH72" s="8"/>
      <c r="AI72" s="8"/>
    </row>
    <row r="73" spans="1:35" ht="14.25" hidden="1" customHeight="1">
      <c r="A73" s="1643"/>
      <c r="B73" s="829" t="str">
        <f t="shared" si="22"/>
        <v>2E.10</v>
      </c>
      <c r="C73" s="3296" t="s">
        <v>12912</v>
      </c>
      <c r="D73" s="3226"/>
      <c r="E73" s="3226"/>
      <c r="F73" s="3226"/>
      <c r="G73" s="3226"/>
      <c r="H73" s="3226"/>
      <c r="I73" s="3226"/>
      <c r="J73" s="3227"/>
      <c r="O73" s="165">
        <v>1</v>
      </c>
      <c r="AA73" s="8"/>
      <c r="AB73" s="8"/>
      <c r="AC73" s="8"/>
      <c r="AD73" s="8"/>
      <c r="AE73" s="8"/>
      <c r="AF73" s="8"/>
      <c r="AG73" s="8"/>
      <c r="AH73" s="8"/>
      <c r="AI73" s="8"/>
    </row>
    <row r="74" spans="1:35" s="496" customFormat="1" ht="14.25" hidden="1" customHeight="1">
      <c r="A74" s="1643"/>
      <c r="B74" s="829" t="str">
        <f t="shared" si="22"/>
        <v>2E.11</v>
      </c>
      <c r="C74" s="3296" t="s">
        <v>13506</v>
      </c>
      <c r="D74" s="3226"/>
      <c r="E74" s="3226"/>
      <c r="F74" s="3226"/>
      <c r="G74" s="3226"/>
      <c r="H74" s="3226"/>
      <c r="I74" s="3226"/>
      <c r="J74" s="3227"/>
      <c r="K74" s="71"/>
      <c r="L74" s="71"/>
      <c r="M74" s="71"/>
      <c r="N74" s="72"/>
      <c r="O74" s="165">
        <v>1</v>
      </c>
      <c r="P74" s="71"/>
      <c r="Q74" s="71"/>
      <c r="R74" s="72"/>
    </row>
    <row r="75" spans="1:35" ht="13.5" hidden="1" customHeight="1">
      <c r="A75" s="1643"/>
      <c r="B75" s="829" t="str">
        <f t="shared" si="22"/>
        <v>2E.12</v>
      </c>
      <c r="C75" s="3296" t="s">
        <v>12913</v>
      </c>
      <c r="D75" s="3226"/>
      <c r="E75" s="3226"/>
      <c r="F75" s="3226"/>
      <c r="G75" s="3226"/>
      <c r="H75" s="3226"/>
      <c r="I75" s="3226"/>
      <c r="J75" s="3227"/>
      <c r="O75" s="165">
        <v>1</v>
      </c>
      <c r="AA75" s="8"/>
      <c r="AB75" s="8"/>
      <c r="AC75" s="8"/>
      <c r="AD75" s="8"/>
      <c r="AE75" s="8"/>
      <c r="AF75" s="8"/>
      <c r="AG75" s="8"/>
      <c r="AH75" s="8"/>
      <c r="AI75" s="8"/>
    </row>
    <row r="76" spans="1:35" ht="13.5" hidden="1" customHeight="1">
      <c r="A76" s="1643"/>
      <c r="B76" s="829" t="str">
        <f t="shared" si="22"/>
        <v>2E.13</v>
      </c>
      <c r="C76" s="3296" t="s">
        <v>3857</v>
      </c>
      <c r="D76" s="3226"/>
      <c r="E76" s="3226"/>
      <c r="F76" s="3226"/>
      <c r="G76" s="3226"/>
      <c r="H76" s="3226"/>
      <c r="I76" s="3226"/>
      <c r="J76" s="3227"/>
      <c r="O76" s="168">
        <v>1</v>
      </c>
      <c r="AA76" s="8"/>
      <c r="AB76" s="8"/>
      <c r="AC76" s="8"/>
      <c r="AD76" s="8"/>
      <c r="AE76" s="8"/>
      <c r="AF76" s="8"/>
      <c r="AG76" s="8"/>
      <c r="AH76" s="8"/>
      <c r="AI76" s="8"/>
    </row>
    <row r="77" spans="1:35" hidden="1">
      <c r="A77" s="1643"/>
      <c r="B77" s="829" t="str">
        <f t="shared" si="22"/>
        <v>2E.14</v>
      </c>
      <c r="C77" s="3296" t="s">
        <v>3858</v>
      </c>
      <c r="D77" s="3226"/>
      <c r="E77" s="3226"/>
      <c r="F77" s="3226"/>
      <c r="G77" s="3226"/>
      <c r="H77" s="3226"/>
      <c r="I77" s="3226"/>
      <c r="J77" s="3227"/>
      <c r="O77" s="165">
        <v>1</v>
      </c>
      <c r="AA77" s="8"/>
      <c r="AB77" s="8"/>
      <c r="AC77" s="8"/>
      <c r="AD77" s="8"/>
      <c r="AE77" s="8"/>
      <c r="AF77" s="8"/>
      <c r="AG77" s="8"/>
      <c r="AH77" s="8"/>
      <c r="AI77" s="8"/>
    </row>
    <row r="78" spans="1:35" s="496" customFormat="1" hidden="1">
      <c r="A78" s="1643"/>
      <c r="B78" s="829" t="str">
        <f t="shared" ref="B78" si="23">B26</f>
        <v>2E.15</v>
      </c>
      <c r="C78" s="3296" t="s">
        <v>3639</v>
      </c>
      <c r="D78" s="3226"/>
      <c r="E78" s="3226"/>
      <c r="F78" s="3226"/>
      <c r="G78" s="3226"/>
      <c r="H78" s="3226"/>
      <c r="I78" s="3226"/>
      <c r="J78" s="3227"/>
      <c r="K78" s="71"/>
      <c r="L78" s="71"/>
      <c r="M78" s="71"/>
      <c r="N78" s="72"/>
      <c r="O78" s="165">
        <v>1</v>
      </c>
      <c r="P78" s="71"/>
      <c r="Q78" s="71"/>
      <c r="R78" s="72"/>
    </row>
    <row r="79" spans="1:35" ht="13.5" hidden="1" customHeight="1">
      <c r="A79" s="1643"/>
      <c r="B79" s="829" t="str">
        <f>B43</f>
        <v>2E.16</v>
      </c>
      <c r="C79" s="3296" t="s">
        <v>2653</v>
      </c>
      <c r="D79" s="3226"/>
      <c r="E79" s="3226"/>
      <c r="F79" s="3226"/>
      <c r="G79" s="3226"/>
      <c r="H79" s="3226"/>
      <c r="I79" s="3226"/>
      <c r="J79" s="3227"/>
      <c r="O79" s="165">
        <v>1</v>
      </c>
      <c r="AA79" s="8"/>
      <c r="AB79" s="8"/>
      <c r="AC79" s="8"/>
      <c r="AD79" s="8"/>
      <c r="AE79" s="8"/>
      <c r="AF79" s="8"/>
      <c r="AG79" s="8"/>
      <c r="AH79" s="8"/>
      <c r="AI79" s="8"/>
    </row>
    <row r="80" spans="1:35" ht="13.5" hidden="1" customHeight="1">
      <c r="A80" s="1643"/>
      <c r="B80" s="829" t="str">
        <f>B44</f>
        <v>2E.17</v>
      </c>
      <c r="C80" s="3296" t="s">
        <v>2654</v>
      </c>
      <c r="D80" s="3226"/>
      <c r="E80" s="3226"/>
      <c r="F80" s="3226"/>
      <c r="G80" s="3226"/>
      <c r="H80" s="3226"/>
      <c r="I80" s="3226"/>
      <c r="J80" s="3227"/>
      <c r="O80" s="165">
        <v>1</v>
      </c>
      <c r="AA80" s="8"/>
      <c r="AB80" s="8"/>
      <c r="AC80" s="8"/>
      <c r="AD80" s="8"/>
      <c r="AE80" s="8"/>
      <c r="AF80" s="8"/>
      <c r="AG80" s="8"/>
      <c r="AH80" s="8"/>
      <c r="AI80" s="8"/>
    </row>
    <row r="81" spans="1:35" ht="13.5" hidden="1" customHeight="1">
      <c r="A81" s="1643"/>
      <c r="B81" s="829" t="str">
        <f>B45</f>
        <v>2E.18</v>
      </c>
      <c r="C81" s="3296" t="s">
        <v>2655</v>
      </c>
      <c r="D81" s="3226"/>
      <c r="E81" s="3226"/>
      <c r="F81" s="3226"/>
      <c r="G81" s="3226"/>
      <c r="H81" s="3226"/>
      <c r="I81" s="3226"/>
      <c r="J81" s="3227"/>
      <c r="O81" s="165">
        <v>1</v>
      </c>
      <c r="AA81" s="8"/>
      <c r="AB81" s="8"/>
      <c r="AC81" s="8"/>
      <c r="AD81" s="8"/>
      <c r="AE81" s="8"/>
      <c r="AF81" s="8"/>
      <c r="AG81" s="8"/>
      <c r="AH81" s="8"/>
      <c r="AI81" s="8"/>
    </row>
    <row r="82" spans="1:35" ht="23.25" hidden="1" customHeight="1">
      <c r="A82" s="1643"/>
      <c r="B82" s="829" t="str">
        <f>B46</f>
        <v>2E.19</v>
      </c>
      <c r="C82" s="3296" t="s">
        <v>3859</v>
      </c>
      <c r="D82" s="3226"/>
      <c r="E82" s="3226"/>
      <c r="F82" s="3226"/>
      <c r="G82" s="3226"/>
      <c r="H82" s="3226"/>
      <c r="I82" s="3226"/>
      <c r="J82" s="3227"/>
      <c r="O82" s="168" t="s">
        <v>2428</v>
      </c>
      <c r="AA82" s="8"/>
      <c r="AB82" s="8"/>
      <c r="AC82" s="8"/>
      <c r="AD82" s="8"/>
      <c r="AE82" s="8"/>
      <c r="AF82" s="8"/>
      <c r="AG82" s="8"/>
      <c r="AH82" s="8"/>
      <c r="AI82" s="8"/>
    </row>
    <row r="83" spans="1:35" ht="24" hidden="1" customHeight="1" thickBot="1">
      <c r="A83" s="1643"/>
      <c r="B83" s="830" t="str">
        <f>B49</f>
        <v>2E.20</v>
      </c>
      <c r="C83" s="3297" t="s">
        <v>2656</v>
      </c>
      <c r="D83" s="3229"/>
      <c r="E83" s="3229"/>
      <c r="F83" s="3229"/>
      <c r="G83" s="3229"/>
      <c r="H83" s="3229"/>
      <c r="I83" s="3229"/>
      <c r="J83" s="3230"/>
      <c r="O83" s="168" t="s">
        <v>2428</v>
      </c>
      <c r="AA83" s="8"/>
      <c r="AB83" s="8"/>
      <c r="AC83" s="8"/>
      <c r="AD83" s="8"/>
      <c r="AE83" s="8"/>
      <c r="AF83" s="8"/>
      <c r="AG83" s="8"/>
      <c r="AH83" s="8"/>
      <c r="AI83" s="8"/>
    </row>
    <row r="84" spans="1:35" hidden="1">
      <c r="A84" s="1645"/>
      <c r="AA84" s="8"/>
      <c r="AB84" s="8"/>
      <c r="AC84" s="8"/>
      <c r="AD84" s="8"/>
      <c r="AE84" s="8"/>
      <c r="AF84" s="8"/>
      <c r="AG84" s="8"/>
      <c r="AH84" s="8"/>
      <c r="AI84" s="8"/>
    </row>
    <row r="85" spans="1:35" hidden="1">
      <c r="A85" s="125"/>
    </row>
    <row r="86" spans="1:35" hidden="1">
      <c r="A86" s="125"/>
    </row>
  </sheetData>
  <mergeCells count="33">
    <mergeCell ref="C71:J71"/>
    <mergeCell ref="C78:J78"/>
    <mergeCell ref="C74:J74"/>
    <mergeCell ref="C72:J72"/>
    <mergeCell ref="C82:J82"/>
    <mergeCell ref="C73:J73"/>
    <mergeCell ref="C83:J83"/>
    <mergeCell ref="C75:J75"/>
    <mergeCell ref="C76:J76"/>
    <mergeCell ref="C77:J77"/>
    <mergeCell ref="C79:J79"/>
    <mergeCell ref="C80:J80"/>
    <mergeCell ref="C81:J81"/>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AA3:AB4"/>
    <mergeCell ref="AD3:AD4"/>
    <mergeCell ref="AE3:AE4"/>
    <mergeCell ref="AF3:AI3"/>
    <mergeCell ref="AF40:AI40"/>
  </mergeCells>
  <conditionalFormatting sqref="L7:L9 L19:L20 L45 L49 L11:L12 L22:L23">
    <cfRule type="cellIs" dxfId="2780" priority="40" operator="equal">
      <formula>0</formula>
    </cfRule>
  </conditionalFormatting>
  <conditionalFormatting sqref="L19">
    <cfRule type="cellIs" dxfId="2779" priority="39" operator="equal">
      <formula>0</formula>
    </cfRule>
  </conditionalFormatting>
  <conditionalFormatting sqref="L22">
    <cfRule type="cellIs" dxfId="2778" priority="38" operator="equal">
      <formula>0</formula>
    </cfRule>
  </conditionalFormatting>
  <conditionalFormatting sqref="L20">
    <cfRule type="cellIs" dxfId="2777" priority="37" operator="equal">
      <formula>0</formula>
    </cfRule>
  </conditionalFormatting>
  <conditionalFormatting sqref="L45">
    <cfRule type="cellIs" dxfId="2776" priority="36" operator="equal">
      <formula>0</formula>
    </cfRule>
  </conditionalFormatting>
  <conditionalFormatting sqref="L49">
    <cfRule type="cellIs" dxfId="2775" priority="35" operator="equal">
      <formula>0</formula>
    </cfRule>
  </conditionalFormatting>
  <conditionalFormatting sqref="L43">
    <cfRule type="cellIs" dxfId="2774" priority="34" operator="equal">
      <formula>0</formula>
    </cfRule>
  </conditionalFormatting>
  <conditionalFormatting sqref="L43">
    <cfRule type="cellIs" dxfId="2773" priority="33" operator="equal">
      <formula>0</formula>
    </cfRule>
  </conditionalFormatting>
  <conditionalFormatting sqref="L15">
    <cfRule type="cellIs" dxfId="2772" priority="31" operator="equal">
      <formula>0</formula>
    </cfRule>
  </conditionalFormatting>
  <conditionalFormatting sqref="L26">
    <cfRule type="cellIs" dxfId="2771" priority="30" operator="equal">
      <formula>0</formula>
    </cfRule>
  </conditionalFormatting>
  <conditionalFormatting sqref="L30:L31 L33:L34">
    <cfRule type="cellIs" dxfId="2770" priority="21" operator="equal">
      <formula>0</formula>
    </cfRule>
  </conditionalFormatting>
  <conditionalFormatting sqref="L30">
    <cfRule type="cellIs" dxfId="2769" priority="20" operator="equal">
      <formula>0</formula>
    </cfRule>
  </conditionalFormatting>
  <conditionalFormatting sqref="L33">
    <cfRule type="cellIs" dxfId="2768" priority="19" operator="equal">
      <formula>0</formula>
    </cfRule>
  </conditionalFormatting>
  <conditionalFormatting sqref="L31">
    <cfRule type="cellIs" dxfId="2767" priority="18" operator="equal">
      <formula>0</formula>
    </cfRule>
  </conditionalFormatting>
  <conditionalFormatting sqref="L37">
    <cfRule type="cellIs" dxfId="2766" priority="17" operator="equal">
      <formula>0</formula>
    </cfRule>
  </conditionalFormatting>
  <conditionalFormatting sqref="L32">
    <cfRule type="cellIs" dxfId="2765" priority="15" operator="equal">
      <formula>0</formula>
    </cfRule>
  </conditionalFormatting>
  <conditionalFormatting sqref="L32">
    <cfRule type="cellIs" dxfId="2764" priority="14" operator="equal">
      <formula>0</formula>
    </cfRule>
  </conditionalFormatting>
  <conditionalFormatting sqref="L10">
    <cfRule type="cellIs" dxfId="2763" priority="8" operator="equal">
      <formula>0</formula>
    </cfRule>
  </conditionalFormatting>
  <conditionalFormatting sqref="L21">
    <cfRule type="cellIs" dxfId="2762" priority="6" operator="equal">
      <formula>0</formula>
    </cfRule>
  </conditionalFormatting>
  <conditionalFormatting sqref="L21">
    <cfRule type="cellIs" dxfId="2761" priority="7" operator="equal">
      <formula>0</formula>
    </cfRule>
  </conditionalFormatting>
  <conditionalFormatting sqref="I43:I46 I49 G30:J35 H37 J37">
    <cfRule type="expression" dxfId="2760" priority="5">
      <formula>$J$1 &lt;&gt; "Thames Water"</formula>
    </cfRule>
  </conditionalFormatting>
  <conditionalFormatting sqref="G37">
    <cfRule type="expression" dxfId="2759"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8.xml><?xml version="1.0" encoding="utf-8"?>
<worksheet xmlns="http://schemas.openxmlformats.org/spreadsheetml/2006/main" xmlns:r="http://schemas.openxmlformats.org/officeDocument/2006/relationships">
  <sheetPr codeName="Sheet15">
    <tabColor rgb="FF00B0F0"/>
    <pageSetUpPr fitToPage="1"/>
  </sheetPr>
  <dimension ref="A1:AI32"/>
  <sheetViews>
    <sheetView workbookViewId="0">
      <selection activeCell="H13" sqref="H13:H18"/>
    </sheetView>
  </sheetViews>
  <sheetFormatPr defaultColWidth="0" defaultRowHeight="14.25" zeroHeight="1"/>
  <cols>
    <col min="1" max="1" width="0.625" style="8" customWidth="1"/>
    <col min="2" max="2" width="4.125" style="8" customWidth="1"/>
    <col min="3" max="3" width="38.125" style="8" customWidth="1"/>
    <col min="4" max="4" width="5.625" style="496" hidden="1" customWidth="1"/>
    <col min="5" max="9" width="14.625" style="8" customWidth="1"/>
    <col min="10" max="10" width="2.625" style="71" customWidth="1"/>
    <col min="11" max="11" width="18.625" style="71" bestFit="1" customWidth="1"/>
    <col min="12" max="12" width="1.625" style="71" customWidth="1"/>
    <col min="13" max="13" width="1.625" style="72" hidden="1" customWidth="1"/>
    <col min="14" max="17" width="5.625" style="71" hidden="1" customWidth="1"/>
    <col min="18" max="18" width="1.625" style="72" hidden="1" customWidth="1"/>
    <col min="19" max="19" width="8.625" style="71" hidden="1" customWidth="1"/>
    <col min="20" max="25" width="0" style="8" hidden="1" customWidth="1"/>
    <col min="26" max="26" width="8.625" style="8" customWidth="1"/>
    <col min="27" max="27" width="4.125" style="496" customWidth="1"/>
    <col min="28" max="28" width="38.125" style="496" customWidth="1"/>
    <col min="29" max="29" width="5.625" style="496" hidden="1" customWidth="1"/>
    <col min="30" max="34" width="14.625" style="496" customWidth="1"/>
    <col min="35" max="35" width="1.875" style="8" customWidth="1"/>
    <col min="36" max="16384" width="8.625" style="8" hidden="1"/>
  </cols>
  <sheetData>
    <row r="1" spans="2:34" ht="18.75">
      <c r="B1" s="67" t="s">
        <v>2657</v>
      </c>
      <c r="C1" s="67"/>
      <c r="D1" s="67"/>
      <c r="E1" s="67"/>
      <c r="F1" s="67"/>
      <c r="G1" s="69"/>
      <c r="H1" s="67"/>
      <c r="I1" s="69" t="str">
        <f>Validation!B3</f>
        <v>South West Water – South West area</v>
      </c>
      <c r="J1" s="67"/>
      <c r="K1" s="70" t="s">
        <v>2394</v>
      </c>
      <c r="AA1" s="67" t="s">
        <v>6671</v>
      </c>
      <c r="AB1" s="67"/>
      <c r="AC1" s="67"/>
      <c r="AD1" s="67"/>
      <c r="AE1" s="67"/>
      <c r="AF1" s="69"/>
      <c r="AG1" s="67"/>
      <c r="AH1" s="69"/>
    </row>
    <row r="2" spans="2:34" ht="15" thickBot="1">
      <c r="B2" s="74" t="s">
        <v>12524</v>
      </c>
      <c r="C2" s="71"/>
      <c r="D2" s="71"/>
      <c r="E2" s="71"/>
      <c r="F2" s="71"/>
      <c r="G2" s="71"/>
      <c r="H2" s="71"/>
      <c r="I2" s="71"/>
      <c r="AA2" s="74" t="s">
        <v>3744</v>
      </c>
      <c r="AB2" s="71" t="str">
        <f>+B2</f>
        <v>For the 12 months ended 31 March 2019</v>
      </c>
      <c r="AC2" s="71"/>
      <c r="AD2" s="71"/>
      <c r="AE2" s="71"/>
      <c r="AF2" s="71"/>
      <c r="AG2" s="71"/>
      <c r="AH2" s="71"/>
    </row>
    <row r="3" spans="2:34" ht="51.75" thickBot="1">
      <c r="B3" s="3298" t="s">
        <v>2395</v>
      </c>
      <c r="C3" s="3299"/>
      <c r="D3" s="1598" t="s">
        <v>6496</v>
      </c>
      <c r="E3" s="193" t="s">
        <v>2658</v>
      </c>
      <c r="F3" s="375" t="s">
        <v>3632</v>
      </c>
      <c r="G3" s="194" t="s">
        <v>3633</v>
      </c>
      <c r="H3" s="195" t="s">
        <v>3635</v>
      </c>
      <c r="I3" s="1668" t="s">
        <v>3634</v>
      </c>
      <c r="K3" s="195" t="s">
        <v>1361</v>
      </c>
      <c r="N3" s="3215" t="s">
        <v>2404</v>
      </c>
      <c r="O3" s="3286"/>
      <c r="P3" s="3286"/>
      <c r="Q3" s="3286"/>
      <c r="AA3" s="3298" t="s">
        <v>2395</v>
      </c>
      <c r="AB3" s="3299"/>
      <c r="AC3" s="1598" t="s">
        <v>6496</v>
      </c>
      <c r="AD3" s="193" t="s">
        <v>2658</v>
      </c>
      <c r="AE3" s="375" t="s">
        <v>3632</v>
      </c>
      <c r="AF3" s="194" t="s">
        <v>3633</v>
      </c>
      <c r="AG3" s="2725" t="s">
        <v>3635</v>
      </c>
      <c r="AH3" s="2726" t="s">
        <v>3634</v>
      </c>
    </row>
    <row r="4" spans="2:34" ht="15" customHeight="1" thickBot="1">
      <c r="B4" s="71"/>
      <c r="C4" s="71"/>
      <c r="D4" s="71"/>
      <c r="E4" s="71"/>
      <c r="F4" s="71"/>
      <c r="G4" s="71"/>
      <c r="H4" s="71"/>
      <c r="I4" s="71"/>
      <c r="N4" s="171" t="s">
        <v>2405</v>
      </c>
      <c r="O4" s="132"/>
      <c r="P4" s="132"/>
      <c r="Q4" s="132"/>
      <c r="AA4" s="71"/>
      <c r="AB4" s="71"/>
      <c r="AC4" s="71"/>
      <c r="AD4" s="71"/>
      <c r="AE4" s="71"/>
      <c r="AF4" s="71"/>
      <c r="AG4" s="71"/>
      <c r="AH4" s="71"/>
    </row>
    <row r="5" spans="2:34">
      <c r="B5" s="91" t="s">
        <v>5129</v>
      </c>
      <c r="C5" s="376" t="s">
        <v>2661</v>
      </c>
      <c r="D5" s="1599"/>
      <c r="E5" s="430">
        <v>11.901</v>
      </c>
      <c r="F5" s="441">
        <v>1.2829999999999999</v>
      </c>
      <c r="G5" s="198">
        <f>SUM(E5:F5)</f>
        <v>13.183999999999999</v>
      </c>
      <c r="H5" s="444">
        <v>31.321000000000002</v>
      </c>
      <c r="I5" s="1324">
        <f t="shared" ref="I5:I11" si="0">IF(H5=0,0,F5/H5 * 1000)</f>
        <v>40.962932218000695</v>
      </c>
      <c r="K5" s="24">
        <f t="shared" ref="K5:K10" si="1" xml:space="preserve"> IF( SUM( M5:R5 ) = 0, 0, $N$4 )</f>
        <v>0</v>
      </c>
      <c r="N5" s="98">
        <f xml:space="preserve"> IF( ISNUMBER( E5 ), 0, 1 )</f>
        <v>0</v>
      </c>
      <c r="O5" s="98">
        <f xml:space="preserve"> IF( ISNUMBER( F5 ), 0, 1 )</f>
        <v>0</v>
      </c>
      <c r="P5" s="132"/>
      <c r="Q5" s="98">
        <f xml:space="preserve"> IF( ISNUMBER( H5 ), 0, 1 )</f>
        <v>0</v>
      </c>
      <c r="AA5" s="91" t="s">
        <v>5129</v>
      </c>
      <c r="AB5" s="376" t="s">
        <v>2661</v>
      </c>
      <c r="AC5" s="1599"/>
      <c r="AD5" s="2747" t="s">
        <v>9854</v>
      </c>
      <c r="AE5" s="2748" t="s">
        <v>9855</v>
      </c>
      <c r="AF5" s="198" t="s">
        <v>9856</v>
      </c>
      <c r="AG5" s="2767" t="s">
        <v>9857</v>
      </c>
      <c r="AH5" s="1324" t="s">
        <v>9858</v>
      </c>
    </row>
    <row r="6" spans="2:34">
      <c r="B6" s="99" t="s">
        <v>5130</v>
      </c>
      <c r="C6" s="377" t="s">
        <v>2662</v>
      </c>
      <c r="D6" s="1600"/>
      <c r="E6" s="428">
        <v>1.004</v>
      </c>
      <c r="F6" s="429">
        <v>9.4E-2</v>
      </c>
      <c r="G6" s="199">
        <f t="shared" ref="G6:G10" si="2">SUM(E6:F6)</f>
        <v>1.0980000000000001</v>
      </c>
      <c r="H6" s="427">
        <v>2.2389999999999999</v>
      </c>
      <c r="I6" s="1327">
        <f t="shared" si="0"/>
        <v>41.983028137561412</v>
      </c>
      <c r="K6" s="24">
        <f t="shared" si="1"/>
        <v>0</v>
      </c>
      <c r="N6" s="98">
        <f>IF(Validation!$H$3=1,0,IF(ISNUMBER(E6),0,1))</f>
        <v>0</v>
      </c>
      <c r="O6" s="98">
        <f>IF(Validation!$H$3=1,0,IF(ISNUMBER(F6),0,1))</f>
        <v>0</v>
      </c>
      <c r="P6" s="132"/>
      <c r="Q6" s="98">
        <f>IF(Validation!$H$3=1,0,IF(ISNUMBER(H6),0,1))</f>
        <v>0</v>
      </c>
      <c r="AA6" s="99" t="s">
        <v>5130</v>
      </c>
      <c r="AB6" s="377" t="s">
        <v>2662</v>
      </c>
      <c r="AC6" s="1600"/>
      <c r="AD6" s="2750" t="s">
        <v>9859</v>
      </c>
      <c r="AE6" s="2751" t="s">
        <v>9860</v>
      </c>
      <c r="AF6" s="199" t="s">
        <v>9861</v>
      </c>
      <c r="AG6" s="2762" t="s">
        <v>9862</v>
      </c>
      <c r="AH6" s="1327" t="s">
        <v>9863</v>
      </c>
    </row>
    <row r="7" spans="2:34">
      <c r="B7" s="99" t="s">
        <v>5131</v>
      </c>
      <c r="C7" s="377" t="s">
        <v>2663</v>
      </c>
      <c r="D7" s="1600"/>
      <c r="E7" s="428">
        <v>77.837999999999994</v>
      </c>
      <c r="F7" s="429">
        <v>5.274</v>
      </c>
      <c r="G7" s="199">
        <f t="shared" si="2"/>
        <v>83.111999999999995</v>
      </c>
      <c r="H7" s="427">
        <v>103.80200000000001</v>
      </c>
      <c r="I7" s="1327">
        <f t="shared" si="0"/>
        <v>50.808269590181304</v>
      </c>
      <c r="K7" s="24">
        <f t="shared" si="1"/>
        <v>0</v>
      </c>
      <c r="N7" s="98">
        <f>IF(Validation!$H$3=1,0,IF(ISNUMBER(E7),0,1))</f>
        <v>0</v>
      </c>
      <c r="O7" s="98">
        <f>IF(Validation!$H$3=1,0,IF(ISNUMBER(F7),0,1))</f>
        <v>0</v>
      </c>
      <c r="P7" s="132"/>
      <c r="Q7" s="98">
        <f>IF(Validation!$H$3=1,0,IF(ISNUMBER(H7),0,1))</f>
        <v>0</v>
      </c>
      <c r="AA7" s="99" t="s">
        <v>5131</v>
      </c>
      <c r="AB7" s="377" t="s">
        <v>2663</v>
      </c>
      <c r="AC7" s="1600"/>
      <c r="AD7" s="2750" t="s">
        <v>9864</v>
      </c>
      <c r="AE7" s="2751" t="s">
        <v>9865</v>
      </c>
      <c r="AF7" s="199" t="s">
        <v>9866</v>
      </c>
      <c r="AG7" s="2762" t="s">
        <v>9867</v>
      </c>
      <c r="AH7" s="1327" t="s">
        <v>9868</v>
      </c>
    </row>
    <row r="8" spans="2:34">
      <c r="B8" s="99" t="s">
        <v>5132</v>
      </c>
      <c r="C8" s="377" t="s">
        <v>2664</v>
      </c>
      <c r="D8" s="1600"/>
      <c r="E8" s="428">
        <v>11.359</v>
      </c>
      <c r="F8" s="429">
        <v>1.38</v>
      </c>
      <c r="G8" s="199">
        <f t="shared" si="2"/>
        <v>12.739000000000001</v>
      </c>
      <c r="H8" s="427">
        <v>32.741999999999997</v>
      </c>
      <c r="I8" s="1327">
        <f t="shared" si="0"/>
        <v>42.147700201575958</v>
      </c>
      <c r="K8" s="24">
        <f t="shared" si="1"/>
        <v>0</v>
      </c>
      <c r="N8" s="98">
        <f t="shared" ref="N8:Q8" si="3" xml:space="preserve"> IF( ISNUMBER( E8 ), 0, 1 )</f>
        <v>0</v>
      </c>
      <c r="O8" s="98">
        <f t="shared" si="3"/>
        <v>0</v>
      </c>
      <c r="P8" s="132"/>
      <c r="Q8" s="98">
        <f t="shared" si="3"/>
        <v>0</v>
      </c>
      <c r="AA8" s="99" t="s">
        <v>5132</v>
      </c>
      <c r="AB8" s="377" t="s">
        <v>2664</v>
      </c>
      <c r="AC8" s="1600"/>
      <c r="AD8" s="2750" t="s">
        <v>9869</v>
      </c>
      <c r="AE8" s="2751" t="s">
        <v>9870</v>
      </c>
      <c r="AF8" s="199" t="s">
        <v>9871</v>
      </c>
      <c r="AG8" s="2762" t="s">
        <v>9872</v>
      </c>
      <c r="AH8" s="1327" t="s">
        <v>9873</v>
      </c>
    </row>
    <row r="9" spans="2:34">
      <c r="B9" s="99" t="s">
        <v>5134</v>
      </c>
      <c r="C9" s="377" t="s">
        <v>2665</v>
      </c>
      <c r="D9" s="1600"/>
      <c r="E9" s="428">
        <v>0.69499999999999995</v>
      </c>
      <c r="F9" s="429">
        <v>7.4999999999999997E-2</v>
      </c>
      <c r="G9" s="199">
        <f t="shared" si="2"/>
        <v>0.76999999999999991</v>
      </c>
      <c r="H9" s="427">
        <v>2.625</v>
      </c>
      <c r="I9" s="1327">
        <f t="shared" si="0"/>
        <v>28.571428571428569</v>
      </c>
      <c r="K9" s="24">
        <f t="shared" si="1"/>
        <v>0</v>
      </c>
      <c r="N9" s="98">
        <f>IF(Validation!$H$3=1,0,IF(ISNUMBER(E9),0,1))</f>
        <v>0</v>
      </c>
      <c r="O9" s="98">
        <f>IF(Validation!$H$3=1,0,IF(ISNUMBER(F9),0,1))</f>
        <v>0</v>
      </c>
      <c r="P9" s="132"/>
      <c r="Q9" s="98">
        <f>IF(Validation!$H$3=1,0,IF(ISNUMBER(H9),0,1))</f>
        <v>0</v>
      </c>
      <c r="AA9" s="99" t="s">
        <v>5134</v>
      </c>
      <c r="AB9" s="377" t="s">
        <v>2665</v>
      </c>
      <c r="AC9" s="1600"/>
      <c r="AD9" s="2750" t="s">
        <v>9874</v>
      </c>
      <c r="AE9" s="2751" t="s">
        <v>9875</v>
      </c>
      <c r="AF9" s="199" t="s">
        <v>9876</v>
      </c>
      <c r="AG9" s="2762" t="s">
        <v>9877</v>
      </c>
      <c r="AH9" s="1327" t="s">
        <v>9878</v>
      </c>
    </row>
    <row r="10" spans="2:34">
      <c r="B10" s="99" t="s">
        <v>5133</v>
      </c>
      <c r="C10" s="377" t="s">
        <v>2666</v>
      </c>
      <c r="D10" s="1600"/>
      <c r="E10" s="428">
        <v>261.42200000000003</v>
      </c>
      <c r="F10" s="429">
        <v>26.884</v>
      </c>
      <c r="G10" s="199">
        <f t="shared" si="2"/>
        <v>288.30600000000004</v>
      </c>
      <c r="H10" s="427">
        <v>594.37099999999998</v>
      </c>
      <c r="I10" s="1327">
        <f t="shared" si="0"/>
        <v>45.231008915307108</v>
      </c>
      <c r="K10" s="24">
        <f t="shared" si="1"/>
        <v>0</v>
      </c>
      <c r="N10" s="98">
        <f>IF(Validation!$H$3=1,0,IF(ISNUMBER(E10),0,1))</f>
        <v>0</v>
      </c>
      <c r="O10" s="98">
        <f>IF(Validation!$H$3=1,0,IF(ISNUMBER(F10),0,1))</f>
        <v>0</v>
      </c>
      <c r="P10" s="132"/>
      <c r="Q10" s="98">
        <f>IF(Validation!$H$3=1,0,IF(ISNUMBER(H10),0,1))</f>
        <v>0</v>
      </c>
      <c r="AA10" s="99" t="s">
        <v>5133</v>
      </c>
      <c r="AB10" s="377" t="s">
        <v>2666</v>
      </c>
      <c r="AC10" s="1600"/>
      <c r="AD10" s="2750" t="s">
        <v>9879</v>
      </c>
      <c r="AE10" s="2751" t="s">
        <v>9880</v>
      </c>
      <c r="AF10" s="199" t="s">
        <v>9881</v>
      </c>
      <c r="AG10" s="2762" t="s">
        <v>9882</v>
      </c>
      <c r="AH10" s="1327" t="s">
        <v>9883</v>
      </c>
    </row>
    <row r="11" spans="2:34" ht="15" thickBot="1">
      <c r="B11" s="106" t="s">
        <v>5135</v>
      </c>
      <c r="C11" s="378" t="s">
        <v>2554</v>
      </c>
      <c r="D11" s="1601"/>
      <c r="E11" s="201">
        <f>SUM(E5:E10)</f>
        <v>364.21899999999999</v>
      </c>
      <c r="F11" s="202">
        <f>SUM(F5:F10)</f>
        <v>34.989999999999995</v>
      </c>
      <c r="G11" s="203">
        <f>SUM(G5:G10)</f>
        <v>399.20900000000006</v>
      </c>
      <c r="H11" s="208">
        <f>SUM(H5:H10)</f>
        <v>767.1</v>
      </c>
      <c r="I11" s="1335">
        <f t="shared" si="0"/>
        <v>45.613348976665357</v>
      </c>
      <c r="K11" s="131"/>
      <c r="N11" s="288"/>
      <c r="O11" s="115"/>
      <c r="P11" s="115"/>
      <c r="Q11" s="115"/>
      <c r="AA11" s="106" t="s">
        <v>5135</v>
      </c>
      <c r="AB11" s="378" t="s">
        <v>2554</v>
      </c>
      <c r="AC11" s="1601"/>
      <c r="AD11" s="201" t="s">
        <v>9884</v>
      </c>
      <c r="AE11" s="202" t="s">
        <v>9885</v>
      </c>
      <c r="AF11" s="203" t="s">
        <v>9886</v>
      </c>
      <c r="AG11" s="208" t="s">
        <v>9887</v>
      </c>
      <c r="AH11" s="1335" t="s">
        <v>9888</v>
      </c>
    </row>
    <row r="12" spans="2:34">
      <c r="B12" s="71"/>
      <c r="C12" s="71"/>
      <c r="D12" s="71"/>
      <c r="E12" s="71"/>
      <c r="F12" s="71"/>
      <c r="G12" s="71"/>
      <c r="H12" s="71"/>
      <c r="I12" s="71"/>
      <c r="K12" s="131"/>
      <c r="N12" s="288"/>
      <c r="O12" s="115"/>
      <c r="P12" s="115"/>
      <c r="Q12" s="115"/>
      <c r="AA12" s="71"/>
      <c r="AB12" s="71"/>
      <c r="AC12" s="71"/>
      <c r="AD12" s="71"/>
      <c r="AE12" s="71"/>
      <c r="AF12" s="71"/>
      <c r="AG12" s="71"/>
      <c r="AH12" s="71"/>
    </row>
    <row r="13" spans="2:34">
      <c r="B13" s="3220" t="s">
        <v>2420</v>
      </c>
      <c r="C13" s="3220"/>
      <c r="D13" s="1449"/>
      <c r="E13" s="3194"/>
      <c r="F13" s="3194"/>
      <c r="G13" s="170"/>
      <c r="H13" s="3194"/>
      <c r="I13" s="71"/>
      <c r="K13" s="131"/>
      <c r="N13" s="288"/>
      <c r="O13" s="115"/>
      <c r="P13" s="115"/>
      <c r="Q13" s="115"/>
    </row>
    <row r="14" spans="2:34">
      <c r="B14" s="146"/>
      <c r="C14" s="147"/>
      <c r="D14" s="147"/>
      <c r="E14" s="3194"/>
      <c r="F14" s="3194"/>
      <c r="G14" s="170"/>
      <c r="H14" s="3194"/>
      <c r="I14" s="71"/>
      <c r="K14" s="131"/>
      <c r="N14" s="288"/>
      <c r="O14" s="115"/>
      <c r="P14" s="115"/>
      <c r="Q14" s="115"/>
      <c r="AA14" s="8"/>
      <c r="AB14" s="8"/>
      <c r="AC14" s="8"/>
      <c r="AD14" s="8"/>
      <c r="AE14" s="8"/>
      <c r="AF14" s="8"/>
      <c r="AG14" s="8"/>
      <c r="AH14" s="8"/>
    </row>
    <row r="15" spans="2:34">
      <c r="B15" s="25"/>
      <c r="C15" s="148" t="s">
        <v>2421</v>
      </c>
      <c r="D15" s="148"/>
      <c r="E15" s="3194"/>
      <c r="F15" s="3194"/>
      <c r="G15" s="170"/>
      <c r="H15" s="3194"/>
      <c r="I15" s="71"/>
      <c r="K15" s="131"/>
      <c r="N15" s="288"/>
      <c r="O15" s="115"/>
      <c r="P15" s="115"/>
      <c r="Q15" s="115"/>
      <c r="AA15" s="8"/>
      <c r="AB15" s="8"/>
      <c r="AC15" s="8"/>
      <c r="AD15" s="8"/>
      <c r="AE15" s="8"/>
      <c r="AF15" s="8"/>
      <c r="AG15" s="8"/>
      <c r="AH15" s="8"/>
    </row>
    <row r="16" spans="2:34">
      <c r="B16" s="146"/>
      <c r="C16" s="147"/>
      <c r="D16" s="147"/>
      <c r="E16" s="3194"/>
      <c r="F16" s="3194"/>
      <c r="G16" s="170"/>
      <c r="H16" s="3194"/>
      <c r="I16" s="71"/>
      <c r="K16" s="131"/>
      <c r="N16" s="288"/>
      <c r="O16" s="115"/>
      <c r="P16" s="115"/>
      <c r="Q16" s="115"/>
      <c r="AA16" s="8"/>
      <c r="AB16" s="8"/>
      <c r="AC16" s="8"/>
      <c r="AD16" s="8"/>
      <c r="AE16" s="8"/>
      <c r="AF16" s="8"/>
      <c r="AG16" s="8"/>
      <c r="AH16" s="8"/>
    </row>
    <row r="17" spans="1:34">
      <c r="B17" s="149"/>
      <c r="C17" s="148" t="s">
        <v>2422</v>
      </c>
      <c r="D17" s="148"/>
      <c r="E17" s="3194"/>
      <c r="F17" s="3194"/>
      <c r="G17" s="170"/>
      <c r="H17" s="3194"/>
      <c r="I17" s="71"/>
      <c r="K17" s="131"/>
      <c r="N17" s="288"/>
      <c r="O17" s="115"/>
      <c r="P17" s="115"/>
      <c r="Q17" s="115"/>
      <c r="AA17" s="8"/>
      <c r="AB17" s="8"/>
      <c r="AC17" s="8"/>
      <c r="AD17" s="8"/>
      <c r="AE17" s="8"/>
      <c r="AF17" s="8"/>
      <c r="AG17" s="8"/>
      <c r="AH17" s="8"/>
    </row>
    <row r="18" spans="1:34">
      <c r="B18" s="150"/>
      <c r="C18" s="148"/>
      <c r="D18" s="148"/>
      <c r="E18" s="3194"/>
      <c r="F18" s="3194"/>
      <c r="G18" s="170"/>
      <c r="H18" s="3194"/>
      <c r="I18" s="123"/>
      <c r="K18" s="131"/>
      <c r="N18" s="288"/>
      <c r="O18" s="115"/>
      <c r="P18" s="115"/>
      <c r="Q18" s="115"/>
      <c r="AA18" s="8"/>
      <c r="AB18" s="8"/>
      <c r="AC18" s="8"/>
      <c r="AD18" s="8"/>
      <c r="AE18" s="8"/>
      <c r="AF18" s="8"/>
      <c r="AG18" s="8"/>
      <c r="AH18" s="8"/>
    </row>
    <row r="19" spans="1:34" ht="15" thickBot="1">
      <c r="B19" s="185"/>
      <c r="C19" s="186"/>
      <c r="D19" s="186"/>
      <c r="E19" s="185"/>
      <c r="F19" s="185"/>
      <c r="G19" s="185"/>
      <c r="H19" s="135"/>
      <c r="I19" s="131"/>
      <c r="K19" s="131"/>
      <c r="N19" s="288"/>
      <c r="O19" s="115"/>
      <c r="P19" s="115"/>
      <c r="Q19" s="115"/>
      <c r="AA19" s="8"/>
      <c r="AB19" s="8"/>
      <c r="AC19" s="8"/>
      <c r="AD19" s="8"/>
      <c r="AE19" s="8"/>
      <c r="AF19" s="8"/>
      <c r="AG19" s="8"/>
      <c r="AH19" s="8"/>
    </row>
    <row r="20" spans="1:34" s="496" customFormat="1" ht="15" thickBot="1">
      <c r="B20" s="1433" t="s">
        <v>12572</v>
      </c>
      <c r="C20" s="152"/>
      <c r="D20" s="152"/>
      <c r="E20" s="153"/>
      <c r="F20" s="153"/>
      <c r="G20" s="153"/>
      <c r="H20" s="153"/>
      <c r="I20" s="259"/>
      <c r="J20" s="71"/>
      <c r="K20" s="131"/>
      <c r="L20" s="71"/>
      <c r="M20" s="72"/>
      <c r="N20" s="288"/>
      <c r="O20" s="115"/>
      <c r="P20" s="115"/>
      <c r="Q20" s="115"/>
      <c r="R20" s="72"/>
      <c r="S20" s="71"/>
    </row>
    <row r="21" spans="1:34" s="496" customFormat="1">
      <c r="B21" s="185"/>
      <c r="C21" s="186"/>
      <c r="D21" s="186"/>
      <c r="E21" s="185"/>
      <c r="F21" s="185"/>
      <c r="G21" s="185"/>
      <c r="H21" s="135"/>
      <c r="I21" s="131"/>
      <c r="J21" s="71"/>
      <c r="K21" s="131"/>
      <c r="L21" s="71"/>
      <c r="M21" s="72"/>
      <c r="N21" s="288"/>
      <c r="O21" s="115"/>
      <c r="P21" s="115"/>
      <c r="Q21" s="115"/>
      <c r="R21" s="72"/>
      <c r="S21" s="71"/>
    </row>
    <row r="22" spans="1:34" ht="15" hidden="1" thickBot="1">
      <c r="A22" s="1649"/>
      <c r="B22" s="151" t="str">
        <f ca="1" xml:space="preserve"> RIGHT(CELL("filename", $A$1), LEN(CELL("filename", $A$1)) - SEARCH("]", CELL("filename", $A$1)))&amp;" - Line definitions"</f>
        <v>2F - SWT - Line definitions</v>
      </c>
      <c r="C22" s="152"/>
      <c r="D22" s="152"/>
      <c r="E22" s="153"/>
      <c r="F22" s="153"/>
      <c r="G22" s="153"/>
      <c r="H22" s="153"/>
      <c r="I22" s="259"/>
      <c r="J22" s="123"/>
      <c r="K22" s="131"/>
      <c r="L22" s="123"/>
      <c r="M22" s="129"/>
      <c r="N22" s="288"/>
      <c r="O22" s="115"/>
      <c r="P22" s="115"/>
      <c r="Q22" s="115"/>
      <c r="R22" s="129"/>
      <c r="S22" s="115"/>
      <c r="AA22" s="8"/>
      <c r="AB22" s="8"/>
      <c r="AC22" s="8"/>
      <c r="AD22" s="8"/>
      <c r="AE22" s="8"/>
      <c r="AF22" s="8"/>
      <c r="AG22" s="8"/>
      <c r="AH22" s="8"/>
    </row>
    <row r="23" spans="1:34" ht="15" hidden="1" thickBot="1">
      <c r="A23" s="1649"/>
      <c r="B23" s="75"/>
      <c r="C23" s="160"/>
      <c r="D23" s="160"/>
      <c r="E23" s="115"/>
      <c r="F23" s="115"/>
      <c r="G23" s="115"/>
      <c r="H23" s="123"/>
      <c r="I23" s="115"/>
      <c r="J23" s="131"/>
      <c r="K23" s="131"/>
      <c r="L23" s="131"/>
      <c r="M23" s="124"/>
      <c r="N23" s="211"/>
      <c r="O23" s="170"/>
      <c r="P23" s="170"/>
      <c r="Q23" s="170"/>
      <c r="R23" s="124"/>
      <c r="S23" s="170"/>
      <c r="AA23" s="8"/>
      <c r="AB23" s="8"/>
      <c r="AC23" s="8"/>
      <c r="AD23" s="8"/>
      <c r="AE23" s="8"/>
      <c r="AF23" s="8"/>
      <c r="AG23" s="8"/>
      <c r="AH23" s="8"/>
    </row>
    <row r="24" spans="1:34" ht="15" hidden="1" thickBot="1">
      <c r="A24" s="1649"/>
      <c r="B24" s="161" t="s">
        <v>2423</v>
      </c>
      <c r="C24" s="162" t="s">
        <v>2424</v>
      </c>
      <c r="D24" s="1460"/>
      <c r="E24" s="163"/>
      <c r="F24" s="163"/>
      <c r="G24" s="163"/>
      <c r="H24" s="163"/>
      <c r="I24" s="297"/>
      <c r="J24" s="131"/>
      <c r="K24" s="131"/>
      <c r="L24" s="131"/>
      <c r="M24" s="124"/>
      <c r="N24" s="90" t="s">
        <v>2425</v>
      </c>
      <c r="O24" s="170"/>
      <c r="P24" s="170"/>
      <c r="Q24" s="170"/>
      <c r="R24" s="124"/>
      <c r="S24" s="170"/>
      <c r="AA24" s="8"/>
      <c r="AB24" s="8"/>
      <c r="AC24" s="8"/>
      <c r="AD24" s="8"/>
      <c r="AE24" s="8"/>
      <c r="AF24" s="8"/>
      <c r="AG24" s="8"/>
      <c r="AH24" s="8"/>
    </row>
    <row r="25" spans="1:34" s="10" customFormat="1" ht="14.25" hidden="1" customHeight="1">
      <c r="A25" s="1653"/>
      <c r="B25" s="858" t="str">
        <f>B5</f>
        <v>2F.1</v>
      </c>
      <c r="C25" s="3300" t="s">
        <v>2667</v>
      </c>
      <c r="D25" s="3300"/>
      <c r="E25" s="3300"/>
      <c r="F25" s="3300"/>
      <c r="G25" s="3300"/>
      <c r="H25" s="3300"/>
      <c r="I25" s="3301"/>
      <c r="J25" s="131"/>
      <c r="K25" s="131"/>
      <c r="L25" s="131"/>
      <c r="M25" s="124"/>
      <c r="N25" s="210">
        <v>1</v>
      </c>
      <c r="O25" s="170"/>
      <c r="P25" s="170"/>
      <c r="Q25" s="170"/>
      <c r="R25" s="124"/>
      <c r="S25" s="170"/>
    </row>
    <row r="26" spans="1:34" s="10" customFormat="1" ht="14.25" hidden="1" customHeight="1">
      <c r="A26" s="1653"/>
      <c r="B26" s="166" t="str">
        <f t="shared" ref="B26:B31" si="4">B6</f>
        <v>2F.2</v>
      </c>
      <c r="C26" s="3198" t="s">
        <v>2668</v>
      </c>
      <c r="D26" s="3198"/>
      <c r="E26" s="3198"/>
      <c r="F26" s="3198"/>
      <c r="G26" s="3198"/>
      <c r="H26" s="3198"/>
      <c r="I26" s="3199"/>
      <c r="J26" s="131"/>
      <c r="K26" s="131"/>
      <c r="L26" s="131"/>
      <c r="M26" s="124"/>
      <c r="N26" s="210">
        <v>1</v>
      </c>
      <c r="O26" s="170"/>
      <c r="P26" s="170"/>
      <c r="Q26" s="170"/>
      <c r="R26" s="124"/>
      <c r="S26" s="170"/>
    </row>
    <row r="27" spans="1:34" s="10" customFormat="1" ht="13.5" hidden="1" customHeight="1">
      <c r="A27" s="1653"/>
      <c r="B27" s="166" t="str">
        <f t="shared" si="4"/>
        <v>2F.3</v>
      </c>
      <c r="C27" s="3198" t="s">
        <v>2669</v>
      </c>
      <c r="D27" s="3198"/>
      <c r="E27" s="3198"/>
      <c r="F27" s="3198"/>
      <c r="G27" s="3198"/>
      <c r="H27" s="3198"/>
      <c r="I27" s="3199"/>
      <c r="J27" s="131"/>
      <c r="K27" s="131"/>
      <c r="L27" s="131"/>
      <c r="M27" s="124"/>
      <c r="N27" s="210">
        <v>1</v>
      </c>
      <c r="O27" s="170"/>
      <c r="P27" s="170"/>
      <c r="Q27" s="170"/>
      <c r="R27" s="124"/>
      <c r="S27" s="170"/>
    </row>
    <row r="28" spans="1:34" s="10" customFormat="1" ht="14.25" hidden="1" customHeight="1">
      <c r="A28" s="1653"/>
      <c r="B28" s="166" t="str">
        <f t="shared" si="4"/>
        <v>2F.4</v>
      </c>
      <c r="C28" s="3198" t="s">
        <v>2670</v>
      </c>
      <c r="D28" s="3198"/>
      <c r="E28" s="3198"/>
      <c r="F28" s="3198"/>
      <c r="G28" s="3198"/>
      <c r="H28" s="3198"/>
      <c r="I28" s="3199"/>
      <c r="J28" s="131"/>
      <c r="K28" s="131"/>
      <c r="L28" s="131"/>
      <c r="M28" s="124"/>
      <c r="N28" s="210">
        <v>1</v>
      </c>
      <c r="O28" s="170"/>
      <c r="P28" s="170"/>
      <c r="Q28" s="170"/>
      <c r="R28" s="124"/>
      <c r="S28" s="170"/>
    </row>
    <row r="29" spans="1:34" s="10" customFormat="1" ht="14.25" hidden="1" customHeight="1">
      <c r="A29" s="1653"/>
      <c r="B29" s="166" t="str">
        <f t="shared" si="4"/>
        <v>2F.5</v>
      </c>
      <c r="C29" s="3198" t="s">
        <v>2671</v>
      </c>
      <c r="D29" s="3198"/>
      <c r="E29" s="3198"/>
      <c r="F29" s="3198"/>
      <c r="G29" s="3198"/>
      <c r="H29" s="3198"/>
      <c r="I29" s="3199"/>
      <c r="J29" s="131"/>
      <c r="K29" s="131"/>
      <c r="L29" s="131"/>
      <c r="M29" s="124"/>
      <c r="N29" s="210">
        <v>1</v>
      </c>
      <c r="O29" s="170"/>
      <c r="P29" s="170"/>
      <c r="Q29" s="170"/>
      <c r="R29" s="124"/>
      <c r="S29" s="170"/>
    </row>
    <row r="30" spans="1:34" s="10" customFormat="1" ht="13.5" hidden="1" customHeight="1">
      <c r="A30" s="1653"/>
      <c r="B30" s="166" t="str">
        <f t="shared" si="4"/>
        <v>2F.6</v>
      </c>
      <c r="C30" s="3198" t="s">
        <v>2672</v>
      </c>
      <c r="D30" s="3198"/>
      <c r="E30" s="3198"/>
      <c r="F30" s="3198"/>
      <c r="G30" s="3198"/>
      <c r="H30" s="3198"/>
      <c r="I30" s="3199"/>
      <c r="J30" s="135"/>
      <c r="K30" s="131"/>
      <c r="L30" s="131"/>
      <c r="M30" s="124"/>
      <c r="N30" s="210">
        <v>1</v>
      </c>
      <c r="O30" s="185"/>
      <c r="P30" s="185"/>
      <c r="Q30" s="185"/>
      <c r="R30" s="124"/>
      <c r="S30" s="185"/>
    </row>
    <row r="31" spans="1:34" s="10" customFormat="1" ht="15" hidden="1" thickBot="1">
      <c r="A31" s="1653"/>
      <c r="B31" s="190" t="str">
        <f t="shared" si="4"/>
        <v>2F.7</v>
      </c>
      <c r="C31" s="3218" t="s">
        <v>2673</v>
      </c>
      <c r="D31" s="3218"/>
      <c r="E31" s="3218"/>
      <c r="F31" s="3218"/>
      <c r="G31" s="3218"/>
      <c r="H31" s="3218"/>
      <c r="I31" s="3219"/>
      <c r="J31" s="135"/>
      <c r="K31" s="131"/>
      <c r="L31" s="131"/>
      <c r="M31" s="124"/>
      <c r="N31" s="210">
        <v>1</v>
      </c>
      <c r="O31" s="185"/>
      <c r="P31" s="185"/>
      <c r="Q31" s="185"/>
      <c r="R31" s="124"/>
      <c r="S31" s="185"/>
    </row>
    <row r="32" spans="1:34" hidden="1">
      <c r="A32" s="1649"/>
      <c r="J32" s="123"/>
      <c r="K32" s="125"/>
      <c r="L32" s="123"/>
      <c r="M32" s="129"/>
      <c r="N32" s="264"/>
      <c r="O32" s="115"/>
      <c r="P32" s="115"/>
      <c r="Q32" s="115"/>
      <c r="R32" s="129"/>
      <c r="S32" s="115"/>
      <c r="AA32" s="8"/>
      <c r="AB32" s="8"/>
      <c r="AC32" s="8"/>
      <c r="AD32" s="8"/>
      <c r="AE32" s="8"/>
      <c r="AF32" s="8"/>
      <c r="AG32" s="8"/>
      <c r="AH32" s="8"/>
    </row>
  </sheetData>
  <mergeCells count="11">
    <mergeCell ref="C27:I27"/>
    <mergeCell ref="C28:I28"/>
    <mergeCell ref="C29:I29"/>
    <mergeCell ref="C30:I30"/>
    <mergeCell ref="C31:I31"/>
    <mergeCell ref="AA3:AB3"/>
    <mergeCell ref="N3:Q3"/>
    <mergeCell ref="B13:C13"/>
    <mergeCell ref="C25:I25"/>
    <mergeCell ref="C26:I26"/>
    <mergeCell ref="B3:C3"/>
  </mergeCells>
  <conditionalFormatting sqref="K5:K10">
    <cfRule type="cellIs" dxfId="2758"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9.xml><?xml version="1.0" encoding="utf-8"?>
<worksheet xmlns="http://schemas.openxmlformats.org/spreadsheetml/2006/main" xmlns:r="http://schemas.openxmlformats.org/officeDocument/2006/relationships">
  <sheetPr codeName="Sheet16">
    <pageSetUpPr fitToPage="1"/>
  </sheetPr>
  <dimension ref="A1:AI53"/>
  <sheetViews>
    <sheetView workbookViewId="0"/>
  </sheetViews>
  <sheetFormatPr defaultColWidth="0" defaultRowHeight="14.25" zeroHeight="1"/>
  <cols>
    <col min="1" max="1" width="0.625" style="86" customWidth="1"/>
    <col min="2" max="2" width="5.125" style="8" customWidth="1"/>
    <col min="3" max="3" width="46.625" style="8" customWidth="1"/>
    <col min="4" max="4" width="2.125" style="496" hidden="1" customWidth="1"/>
    <col min="5" max="9" width="12.625" style="8" customWidth="1"/>
    <col min="10" max="10" width="2.625" style="71" customWidth="1"/>
    <col min="11" max="11" width="33.375" style="75" customWidth="1"/>
    <col min="12" max="12" width="25.875" style="71" customWidth="1"/>
    <col min="13" max="13" width="1.625" style="71" customWidth="1"/>
    <col min="14" max="14" width="1.625" style="72" hidden="1" customWidth="1"/>
    <col min="15" max="17" width="5.625" style="71" hidden="1" customWidth="1"/>
    <col min="18" max="18" width="1.625" style="72" hidden="1" customWidth="1"/>
    <col min="19" max="19" width="8.625" style="75" hidden="1" customWidth="1"/>
    <col min="20" max="20" width="1.625" style="72" hidden="1" customWidth="1"/>
    <col min="21" max="22" width="8.625" style="75" hidden="1" customWidth="1"/>
    <col min="23" max="23" width="56.125" style="75" hidden="1" customWidth="1"/>
    <col min="24" max="24" width="1.625" style="72" hidden="1" customWidth="1"/>
    <col min="25" max="25" width="8.625" style="71" hidden="1" customWidth="1"/>
    <col min="26" max="26" width="8.625" style="8" customWidth="1"/>
    <col min="27" max="27" width="5.125" style="496" customWidth="1"/>
    <col min="28" max="28" width="44" style="496" bestFit="1" customWidth="1"/>
    <col min="29" max="29" width="5.625" style="496" hidden="1" customWidth="1"/>
    <col min="30" max="34" width="12.625" style="496" customWidth="1"/>
    <col min="35" max="35" width="2.875" style="8" customWidth="1"/>
    <col min="36" max="16384" width="8.625" style="8" hidden="1"/>
  </cols>
  <sheetData>
    <row r="1" spans="1:34" s="76" customFormat="1" ht="18.75">
      <c r="A1" s="169"/>
      <c r="B1" s="67" t="s">
        <v>12583</v>
      </c>
      <c r="C1" s="67"/>
      <c r="D1" s="67"/>
      <c r="E1" s="67"/>
      <c r="F1" s="67"/>
      <c r="G1" s="67"/>
      <c r="H1" s="67"/>
      <c r="I1" s="69" t="str">
        <f>Validation!B3</f>
        <v>South West Water – South West area</v>
      </c>
      <c r="J1" s="67"/>
      <c r="K1" s="70"/>
      <c r="L1" s="70" t="s">
        <v>2394</v>
      </c>
      <c r="M1" s="71"/>
      <c r="N1" s="72"/>
      <c r="O1" s="71"/>
      <c r="P1" s="71"/>
      <c r="Q1" s="71"/>
      <c r="R1" s="72"/>
      <c r="S1" s="71"/>
      <c r="T1" s="72"/>
      <c r="U1" s="8"/>
      <c r="V1" s="8"/>
      <c r="W1" s="8"/>
      <c r="X1" s="72"/>
      <c r="Y1" s="71"/>
      <c r="AA1" s="67" t="s">
        <v>6671</v>
      </c>
      <c r="AB1" s="67"/>
      <c r="AC1" s="67"/>
      <c r="AD1" s="67"/>
      <c r="AE1" s="67"/>
      <c r="AF1" s="67"/>
      <c r="AG1" s="67"/>
      <c r="AH1" s="69"/>
    </row>
    <row r="2" spans="1:34" s="76" customFormat="1" ht="15" customHeight="1" thickBot="1">
      <c r="A2" s="169"/>
      <c r="B2" s="74" t="s">
        <v>12524</v>
      </c>
      <c r="C2" s="315"/>
      <c r="D2" s="315"/>
      <c r="E2" s="169"/>
      <c r="F2" s="169"/>
      <c r="G2" s="169"/>
      <c r="H2" s="169"/>
      <c r="I2" s="169"/>
      <c r="J2" s="71"/>
      <c r="K2" s="71"/>
      <c r="L2" s="71"/>
      <c r="M2" s="71"/>
      <c r="N2" s="72"/>
      <c r="O2" s="71"/>
      <c r="P2" s="71"/>
      <c r="Q2" s="71"/>
      <c r="R2" s="72"/>
      <c r="S2" s="71"/>
      <c r="T2" s="72"/>
      <c r="U2" s="75"/>
      <c r="V2" s="75"/>
      <c r="W2" s="75"/>
      <c r="X2" s="72"/>
      <c r="Y2" s="71"/>
      <c r="AA2" s="74" t="str">
        <f>+B2</f>
        <v>For the 12 months ended 31 March 2019</v>
      </c>
      <c r="AB2" s="315"/>
      <c r="AC2" s="315"/>
      <c r="AD2" s="169"/>
      <c r="AE2" s="169"/>
      <c r="AF2" s="169"/>
      <c r="AG2" s="169"/>
      <c r="AH2" s="169"/>
    </row>
    <row r="3" spans="1:34" s="321" customFormat="1" ht="51.75" thickBot="1">
      <c r="A3" s="75"/>
      <c r="B3" s="3277" t="s">
        <v>2395</v>
      </c>
      <c r="C3" s="3278"/>
      <c r="D3" s="1593" t="s">
        <v>6496</v>
      </c>
      <c r="E3" s="306" t="s">
        <v>2674</v>
      </c>
      <c r="F3" s="319" t="s">
        <v>2659</v>
      </c>
      <c r="G3" s="307" t="s">
        <v>2660</v>
      </c>
      <c r="H3" s="364" t="s">
        <v>3628</v>
      </c>
      <c r="I3" s="364" t="s">
        <v>3629</v>
      </c>
      <c r="J3" s="365"/>
      <c r="K3" s="193" t="s">
        <v>2577</v>
      </c>
      <c r="L3" s="195" t="s">
        <v>1361</v>
      </c>
      <c r="M3" s="71"/>
      <c r="N3" s="72"/>
      <c r="O3" s="3215" t="s">
        <v>2404</v>
      </c>
      <c r="P3" s="3286"/>
      <c r="Q3" s="3286"/>
      <c r="R3" s="72"/>
      <c r="S3" s="79" t="s">
        <v>2390</v>
      </c>
      <c r="T3" s="72"/>
      <c r="U3" s="79" t="s">
        <v>2578</v>
      </c>
      <c r="V3" s="79"/>
      <c r="W3" s="79"/>
      <c r="X3" s="72"/>
      <c r="Y3" s="71"/>
      <c r="AA3" s="3277" t="s">
        <v>2395</v>
      </c>
      <c r="AB3" s="3278"/>
      <c r="AC3" s="1593" t="s">
        <v>6496</v>
      </c>
      <c r="AD3" s="306" t="s">
        <v>2674</v>
      </c>
      <c r="AE3" s="319" t="s">
        <v>2659</v>
      </c>
      <c r="AF3" s="307" t="s">
        <v>2660</v>
      </c>
      <c r="AG3" s="364" t="s">
        <v>3628</v>
      </c>
      <c r="AH3" s="364" t="s">
        <v>3629</v>
      </c>
    </row>
    <row r="4" spans="1:34" s="321" customFormat="1" ht="15" customHeight="1" thickBot="1">
      <c r="A4" s="75"/>
      <c r="B4" s="75"/>
      <c r="C4" s="366"/>
      <c r="D4" s="366"/>
      <c r="E4" s="75"/>
      <c r="F4" s="75"/>
      <c r="G4" s="75"/>
      <c r="H4" s="75"/>
      <c r="I4" s="75"/>
      <c r="J4" s="71"/>
      <c r="K4" s="71"/>
      <c r="L4" s="71"/>
      <c r="M4" s="71"/>
      <c r="N4" s="72"/>
      <c r="R4" s="72"/>
      <c r="S4" s="320"/>
      <c r="T4" s="72"/>
      <c r="U4" s="320"/>
      <c r="V4" s="320"/>
      <c r="W4" s="320"/>
      <c r="X4" s="72"/>
      <c r="Y4" s="71"/>
      <c r="AA4" s="75"/>
      <c r="AB4" s="366"/>
      <c r="AC4" s="366"/>
      <c r="AD4" s="75"/>
      <c r="AE4" s="75"/>
      <c r="AF4" s="75"/>
      <c r="AG4" s="75"/>
      <c r="AH4" s="75"/>
    </row>
    <row r="5" spans="1:34" s="328" customFormat="1" ht="17.25" customHeight="1" thickBot="1">
      <c r="A5" s="270"/>
      <c r="B5" s="269" t="s">
        <v>2449</v>
      </c>
      <c r="C5" s="27" t="s">
        <v>2676</v>
      </c>
      <c r="D5" s="1587"/>
      <c r="E5" s="75"/>
      <c r="F5" s="75"/>
      <c r="G5" s="75"/>
      <c r="H5" s="75"/>
      <c r="I5" s="75"/>
      <c r="J5" s="71"/>
      <c r="K5" s="131"/>
      <c r="L5" s="71"/>
      <c r="M5" s="71"/>
      <c r="N5" s="72"/>
      <c r="O5" s="171" t="s">
        <v>2405</v>
      </c>
      <c r="P5" s="132"/>
      <c r="Q5" s="132"/>
      <c r="R5" s="72"/>
      <c r="S5" s="8"/>
      <c r="T5" s="72"/>
      <c r="U5" s="75"/>
      <c r="V5" s="75"/>
      <c r="W5" s="75"/>
      <c r="X5" s="72"/>
      <c r="Y5" s="71"/>
      <c r="AA5" s="269" t="s">
        <v>2449</v>
      </c>
      <c r="AB5" s="27" t="s">
        <v>2676</v>
      </c>
      <c r="AC5" s="1587"/>
      <c r="AD5" s="75"/>
      <c r="AE5" s="75"/>
      <c r="AF5" s="75"/>
      <c r="AG5" s="75"/>
      <c r="AH5" s="75"/>
    </row>
    <row r="6" spans="1:34" s="328" customFormat="1" ht="17.25" customHeight="1" thickBot="1">
      <c r="A6" s="270"/>
      <c r="B6" s="367" t="s">
        <v>11169</v>
      </c>
      <c r="C6" s="28" t="s">
        <v>2677</v>
      </c>
      <c r="D6" s="1588"/>
      <c r="E6" s="454"/>
      <c r="F6" s="455"/>
      <c r="G6" s="356">
        <f xml:space="preserve"> F6 + E6</f>
        <v>0</v>
      </c>
      <c r="H6" s="639"/>
      <c r="I6" s="634">
        <f xml:space="preserve"> IF( H6 = 0, 0, F6 / H6 * 1000 )</f>
        <v>0</v>
      </c>
      <c r="J6" s="71"/>
      <c r="K6" s="131"/>
      <c r="L6" s="24" t="str">
        <f xml:space="preserve"> IF( SUM( N6:R6 ) = 0, 0, $O$5 )</f>
        <v>Please complete all cells in row</v>
      </c>
      <c r="M6" s="71"/>
      <c r="N6" s="72"/>
      <c r="O6" s="98">
        <f>IF($C6="",0,IF(ISNUMBER(E6),0,1))</f>
        <v>1</v>
      </c>
      <c r="P6" s="98">
        <f>IF($C6="",0,IF(ISNUMBER(F6),0,1))</f>
        <v>1</v>
      </c>
      <c r="Q6" s="98">
        <f>IF($C6="",0,IF(ISNUMBER(H6),0,1))</f>
        <v>1</v>
      </c>
      <c r="R6" s="72"/>
      <c r="S6" s="8"/>
      <c r="T6" s="72"/>
      <c r="U6" s="75"/>
      <c r="V6" s="75"/>
      <c r="W6" s="75"/>
      <c r="X6" s="72"/>
      <c r="Y6" s="71"/>
      <c r="AA6" s="367">
        <v>1</v>
      </c>
      <c r="AB6" s="28" t="s">
        <v>2677</v>
      </c>
      <c r="AC6" s="1588"/>
      <c r="AD6" s="2825" t="s">
        <v>9889</v>
      </c>
      <c r="AE6" s="2826" t="s">
        <v>9890</v>
      </c>
      <c r="AF6" s="356" t="s">
        <v>9891</v>
      </c>
      <c r="AG6" s="2827" t="s">
        <v>9892</v>
      </c>
      <c r="AH6" s="634" t="s">
        <v>9893</v>
      </c>
    </row>
    <row r="7" spans="1:34" s="321" customFormat="1" ht="15" customHeight="1" thickBot="1">
      <c r="A7" s="75"/>
      <c r="B7" s="75"/>
      <c r="C7" s="374"/>
      <c r="D7" s="374"/>
      <c r="E7" s="146"/>
      <c r="F7" s="146"/>
      <c r="G7" s="146"/>
      <c r="H7" s="640"/>
      <c r="I7" s="635"/>
      <c r="J7" s="146"/>
      <c r="K7" s="131"/>
      <c r="L7" s="146"/>
      <c r="M7" s="71"/>
      <c r="N7" s="72"/>
      <c r="R7" s="72"/>
      <c r="S7" s="8"/>
      <c r="T7" s="72"/>
      <c r="U7" s="75"/>
      <c r="V7" s="75"/>
      <c r="W7" s="75"/>
      <c r="X7" s="72"/>
      <c r="Y7" s="71"/>
      <c r="AA7" s="75"/>
      <c r="AB7" s="374"/>
      <c r="AC7" s="374"/>
      <c r="AD7" s="146"/>
      <c r="AE7" s="146"/>
      <c r="AF7" s="146"/>
      <c r="AG7" s="640"/>
      <c r="AH7" s="635"/>
    </row>
    <row r="8" spans="1:34" s="321" customFormat="1" ht="15" customHeight="1" thickBot="1">
      <c r="A8" s="75"/>
      <c r="B8" s="269" t="s">
        <v>2458</v>
      </c>
      <c r="C8" s="27" t="s">
        <v>2678</v>
      </c>
      <c r="D8" s="1587"/>
      <c r="E8" s="146"/>
      <c r="F8" s="146"/>
      <c r="G8" s="146"/>
      <c r="H8" s="640"/>
      <c r="I8" s="635"/>
      <c r="J8" s="146"/>
      <c r="K8" s="131"/>
      <c r="L8" s="146"/>
      <c r="M8" s="71"/>
      <c r="N8" s="72"/>
      <c r="R8" s="72"/>
      <c r="S8" s="8"/>
      <c r="T8" s="72"/>
      <c r="U8" s="75"/>
      <c r="V8" s="75"/>
      <c r="W8" s="75"/>
      <c r="X8" s="72"/>
      <c r="Y8" s="71"/>
      <c r="AA8" s="269" t="s">
        <v>2458</v>
      </c>
      <c r="AB8" s="27" t="s">
        <v>2678</v>
      </c>
      <c r="AC8" s="1587"/>
      <c r="AD8" s="146"/>
      <c r="AE8" s="146"/>
      <c r="AF8" s="146"/>
      <c r="AG8" s="640"/>
      <c r="AH8" s="635"/>
    </row>
    <row r="9" spans="1:34" s="321" customFormat="1" ht="15" customHeight="1">
      <c r="A9" s="1802">
        <v>2</v>
      </c>
      <c r="B9" s="368" t="s">
        <v>11170</v>
      </c>
      <c r="C9" s="32" t="str">
        <f>IF($I$1="Select company","",IF(HLOOKUP((VLOOKUP($I$1,Lists!$B$4:$C$23,2,FALSE)),'Water PR16'!$A$1:$S$21,'2G'!A9+1,FALSE)=0,"",HLOOKUP((VLOOKUP($I$1,Lists!$B$4:$C$23,2,FALSE)),'Water PR16'!$A$1:$S$21,'2G'!A9+1,FALSE)))</f>
        <v>Standard Unmeasured Water</v>
      </c>
      <c r="D9" s="1594"/>
      <c r="E9" s="456"/>
      <c r="F9" s="446"/>
      <c r="G9" s="345">
        <f xml:space="preserve"> F9 + E9</f>
        <v>0</v>
      </c>
      <c r="H9" s="641"/>
      <c r="I9" s="636">
        <f t="shared" ref="I9:I27" si="0" xml:space="preserve"> IF( H9 = 0, 0, F9 / H9 * 1000 )</f>
        <v>0</v>
      </c>
      <c r="J9" s="71"/>
      <c r="K9" s="131"/>
      <c r="L9" s="24" t="str">
        <f xml:space="preserve"> IF( SUM( N9:R9 ) = 0, 0, $O$5 )</f>
        <v>Please complete all cells in row</v>
      </c>
      <c r="M9" s="71"/>
      <c r="N9" s="72"/>
      <c r="O9" s="98">
        <f t="shared" ref="O9:P27" si="1">IF($C9="",0,IF(ISNUMBER(E9),0,1))</f>
        <v>1</v>
      </c>
      <c r="P9" s="98">
        <f t="shared" si="1"/>
        <v>1</v>
      </c>
      <c r="Q9" s="98">
        <f t="shared" ref="Q9:Q27" si="2">IF($C9="",0,IF(ISNUMBER(H9),0,1))</f>
        <v>1</v>
      </c>
      <c r="R9" s="72"/>
      <c r="S9" s="8"/>
      <c r="T9" s="72"/>
      <c r="U9" s="75"/>
      <c r="V9" s="75"/>
      <c r="W9" s="75"/>
      <c r="X9" s="72"/>
      <c r="Y9" s="71"/>
      <c r="AA9" s="368">
        <v>2</v>
      </c>
      <c r="AB9" s="32" t="str">
        <f>C9</f>
        <v>Standard Unmeasured Water</v>
      </c>
      <c r="AC9" s="1594"/>
      <c r="AD9" s="2828" t="s">
        <v>9894</v>
      </c>
      <c r="AE9" s="2829" t="s">
        <v>9895</v>
      </c>
      <c r="AF9" s="345" t="s">
        <v>9896</v>
      </c>
      <c r="AG9" s="2830" t="s">
        <v>9897</v>
      </c>
      <c r="AH9" s="636" t="s">
        <v>9898</v>
      </c>
    </row>
    <row r="10" spans="1:34" s="321" customFormat="1" ht="15" customHeight="1">
      <c r="A10" s="1802">
        <v>3</v>
      </c>
      <c r="B10" s="369" t="s">
        <v>11171</v>
      </c>
      <c r="C10" s="33" t="str">
        <f>IF($I$1="Select company","",IF(HLOOKUP((VLOOKUP($I$1,Lists!$B$4:$C$23,2,FALSE)),'Water PR16'!$A$1:$S$21,'2G'!A10+1,FALSE)=0,"",HLOOKUP((VLOOKUP($I$1,Lists!$B$4:$C$23,2,FALSE)),'Water PR16'!$A$1:$S$21,'2G'!A10+1,FALSE)))</f>
        <v>n/a</v>
      </c>
      <c r="D10" s="1595"/>
      <c r="E10" s="457"/>
      <c r="F10" s="447"/>
      <c r="G10" s="346">
        <f t="shared" ref="G10:G27" si="3" xml:space="preserve"> F10 + E10</f>
        <v>0</v>
      </c>
      <c r="H10" s="642"/>
      <c r="I10" s="637">
        <f t="shared" si="0"/>
        <v>0</v>
      </c>
      <c r="J10" s="71"/>
      <c r="K10" s="131"/>
      <c r="L10" s="24" t="str">
        <f xml:space="preserve"> IF( SUM( N10:R10 ) = 0, 0, $O$5 )</f>
        <v>Please complete all cells in row</v>
      </c>
      <c r="M10" s="71"/>
      <c r="N10" s="72"/>
      <c r="O10" s="98">
        <f t="shared" si="1"/>
        <v>1</v>
      </c>
      <c r="P10" s="98">
        <f t="shared" si="1"/>
        <v>1</v>
      </c>
      <c r="Q10" s="98">
        <f t="shared" si="2"/>
        <v>1</v>
      </c>
      <c r="R10" s="72"/>
      <c r="S10" s="8"/>
      <c r="T10" s="72"/>
      <c r="U10" s="75"/>
      <c r="V10" s="75"/>
      <c r="W10" s="75"/>
      <c r="X10" s="72"/>
      <c r="Y10" s="71"/>
      <c r="AA10" s="369">
        <v>3</v>
      </c>
      <c r="AB10" s="33" t="str">
        <f t="shared" ref="AB10:AB27" si="4">C10</f>
        <v>n/a</v>
      </c>
      <c r="AC10" s="1595"/>
      <c r="AD10" s="2831" t="s">
        <v>9899</v>
      </c>
      <c r="AE10" s="2832" t="s">
        <v>9900</v>
      </c>
      <c r="AF10" s="346" t="s">
        <v>9901</v>
      </c>
      <c r="AG10" s="2833" t="s">
        <v>9902</v>
      </c>
      <c r="AH10" s="637" t="s">
        <v>9903</v>
      </c>
    </row>
    <row r="11" spans="1:34" s="321" customFormat="1" ht="15" customHeight="1">
      <c r="A11" s="1802">
        <v>4</v>
      </c>
      <c r="B11" s="369" t="s">
        <v>11172</v>
      </c>
      <c r="C11" s="33" t="str">
        <f>IF($I$1="Select company","",IF(HLOOKUP((VLOOKUP($I$1,Lists!$B$4:$C$23,2,FALSE)),'Water PR16'!$A$1:$S$21,'2G'!A11+1,FALSE)=0,"",HLOOKUP((VLOOKUP($I$1,Lists!$B$4:$C$23,2,FALSE)),'Water PR16'!$A$1:$S$21,'2G'!A11+1,FALSE)))</f>
        <v>n/a</v>
      </c>
      <c r="D11" s="1596"/>
      <c r="E11" s="457"/>
      <c r="F11" s="447"/>
      <c r="G11" s="346">
        <f t="shared" si="3"/>
        <v>0</v>
      </c>
      <c r="H11" s="642"/>
      <c r="I11" s="637">
        <f t="shared" si="0"/>
        <v>0</v>
      </c>
      <c r="J11" s="71"/>
      <c r="K11" s="131"/>
      <c r="L11" s="24" t="str">
        <f t="shared" ref="L11:L23" si="5" xml:space="preserve"> IF( SUM( N11:R11 ) = 0, 0, $O$5 )</f>
        <v>Please complete all cells in row</v>
      </c>
      <c r="M11" s="71"/>
      <c r="N11" s="72"/>
      <c r="O11" s="98">
        <f t="shared" si="1"/>
        <v>1</v>
      </c>
      <c r="P11" s="98">
        <f t="shared" si="1"/>
        <v>1</v>
      </c>
      <c r="Q11" s="98">
        <f t="shared" si="2"/>
        <v>1</v>
      </c>
      <c r="R11" s="72"/>
      <c r="S11" s="8"/>
      <c r="T11" s="72"/>
      <c r="U11" s="75"/>
      <c r="V11" s="75"/>
      <c r="W11" s="75"/>
      <c r="X11" s="72"/>
      <c r="Y11" s="71"/>
      <c r="AA11" s="369">
        <v>4</v>
      </c>
      <c r="AB11" s="33" t="str">
        <f t="shared" si="4"/>
        <v>n/a</v>
      </c>
      <c r="AC11" s="1596"/>
      <c r="AD11" s="2831" t="s">
        <v>9904</v>
      </c>
      <c r="AE11" s="2832" t="s">
        <v>9905</v>
      </c>
      <c r="AF11" s="346" t="s">
        <v>9906</v>
      </c>
      <c r="AG11" s="2833" t="s">
        <v>9907</v>
      </c>
      <c r="AH11" s="637" t="s">
        <v>9908</v>
      </c>
    </row>
    <row r="12" spans="1:34" s="328" customFormat="1" ht="15" customHeight="1">
      <c r="A12" s="1803">
        <v>5</v>
      </c>
      <c r="B12" s="369" t="s">
        <v>11173</v>
      </c>
      <c r="C12" s="33" t="str">
        <f>IF($I$1="Select company","",IF(HLOOKUP((VLOOKUP($I$1,Lists!$B$4:$C$23,2,FALSE)),'Water PR16'!$A$1:$S$21,'2G'!A12+1,FALSE)=0,"",HLOOKUP((VLOOKUP($I$1,Lists!$B$4:$C$23,2,FALSE)),'Water PR16'!$A$1:$S$21,'2G'!A12+1,FALSE)))</f>
        <v>n/a</v>
      </c>
      <c r="D12" s="1596"/>
      <c r="E12" s="457"/>
      <c r="F12" s="447"/>
      <c r="G12" s="346">
        <f t="shared" si="3"/>
        <v>0</v>
      </c>
      <c r="H12" s="642"/>
      <c r="I12" s="637">
        <f t="shared" si="0"/>
        <v>0</v>
      </c>
      <c r="J12" s="71"/>
      <c r="K12" s="131"/>
      <c r="L12" s="24" t="str">
        <f t="shared" si="5"/>
        <v>Please complete all cells in row</v>
      </c>
      <c r="M12" s="71"/>
      <c r="N12" s="72"/>
      <c r="O12" s="98">
        <f t="shared" si="1"/>
        <v>1</v>
      </c>
      <c r="P12" s="98">
        <f t="shared" si="1"/>
        <v>1</v>
      </c>
      <c r="Q12" s="98">
        <f t="shared" si="2"/>
        <v>1</v>
      </c>
      <c r="R12" s="72"/>
      <c r="S12" s="8"/>
      <c r="T12" s="72"/>
      <c r="U12" s="75"/>
      <c r="V12" s="75"/>
      <c r="W12" s="75"/>
      <c r="X12" s="72"/>
      <c r="Y12" s="71"/>
      <c r="AA12" s="369">
        <v>5</v>
      </c>
      <c r="AB12" s="33" t="str">
        <f t="shared" si="4"/>
        <v>n/a</v>
      </c>
      <c r="AC12" s="1596"/>
      <c r="AD12" s="2831" t="s">
        <v>9909</v>
      </c>
      <c r="AE12" s="2832" t="s">
        <v>9910</v>
      </c>
      <c r="AF12" s="346" t="s">
        <v>9911</v>
      </c>
      <c r="AG12" s="2833" t="s">
        <v>9912</v>
      </c>
      <c r="AH12" s="637" t="s">
        <v>9913</v>
      </c>
    </row>
    <row r="13" spans="1:34" s="328" customFormat="1" ht="15" customHeight="1">
      <c r="A13" s="1803">
        <v>6</v>
      </c>
      <c r="B13" s="369" t="s">
        <v>11174</v>
      </c>
      <c r="C13" s="33" t="str">
        <f>IF($I$1="Select company","",IF(HLOOKUP((VLOOKUP($I$1,Lists!$B$4:$C$23,2,FALSE)),'Water PR16'!$A$1:$S$21,'2G'!A13+1,FALSE)=0,"",HLOOKUP((VLOOKUP($I$1,Lists!$B$4:$C$23,2,FALSE)),'Water PR16'!$A$1:$S$21,'2G'!A13+1,FALSE)))</f>
        <v>n/a</v>
      </c>
      <c r="D13" s="1596"/>
      <c r="E13" s="457"/>
      <c r="F13" s="447"/>
      <c r="G13" s="346">
        <f t="shared" si="3"/>
        <v>0</v>
      </c>
      <c r="H13" s="642"/>
      <c r="I13" s="637">
        <f t="shared" si="0"/>
        <v>0</v>
      </c>
      <c r="J13" s="71"/>
      <c r="K13" s="131"/>
      <c r="L13" s="24" t="str">
        <f t="shared" si="5"/>
        <v>Please complete all cells in row</v>
      </c>
      <c r="M13" s="71"/>
      <c r="N13" s="72"/>
      <c r="O13" s="98">
        <f t="shared" si="1"/>
        <v>1</v>
      </c>
      <c r="P13" s="98">
        <f t="shared" si="1"/>
        <v>1</v>
      </c>
      <c r="Q13" s="98">
        <f t="shared" si="2"/>
        <v>1</v>
      </c>
      <c r="R13" s="72"/>
      <c r="S13" s="8"/>
      <c r="T13" s="72"/>
      <c r="U13" s="75"/>
      <c r="V13" s="75"/>
      <c r="W13" s="75"/>
      <c r="X13" s="72"/>
      <c r="Y13" s="71"/>
      <c r="AA13" s="369">
        <v>6</v>
      </c>
      <c r="AB13" s="33" t="str">
        <f t="shared" si="4"/>
        <v>n/a</v>
      </c>
      <c r="AC13" s="1596"/>
      <c r="AD13" s="2831" t="s">
        <v>9914</v>
      </c>
      <c r="AE13" s="2832" t="s">
        <v>9915</v>
      </c>
      <c r="AF13" s="346" t="s">
        <v>9916</v>
      </c>
      <c r="AG13" s="2833" t="s">
        <v>9917</v>
      </c>
      <c r="AH13" s="637" t="s">
        <v>9918</v>
      </c>
    </row>
    <row r="14" spans="1:34" s="328" customFormat="1" ht="15" customHeight="1">
      <c r="A14" s="1803">
        <v>7</v>
      </c>
      <c r="B14" s="369" t="s">
        <v>11175</v>
      </c>
      <c r="C14" s="33" t="str">
        <f>IF($I$1="Select company","",IF(HLOOKUP((VLOOKUP($I$1,Lists!$B$4:$C$23,2,FALSE)),'Water PR16'!$A$1:$S$21,'2G'!A14+1,FALSE)=0,"",HLOOKUP((VLOOKUP($I$1,Lists!$B$4:$C$23,2,FALSE)),'Water PR16'!$A$1:$S$21,'2G'!A14+1,FALSE)))</f>
        <v>n/a</v>
      </c>
      <c r="D14" s="1596"/>
      <c r="E14" s="457"/>
      <c r="F14" s="447"/>
      <c r="G14" s="346">
        <f t="shared" si="3"/>
        <v>0</v>
      </c>
      <c r="H14" s="642"/>
      <c r="I14" s="637">
        <f t="shared" si="0"/>
        <v>0</v>
      </c>
      <c r="J14" s="71"/>
      <c r="K14" s="131"/>
      <c r="L14" s="24" t="str">
        <f t="shared" si="5"/>
        <v>Please complete all cells in row</v>
      </c>
      <c r="M14" s="71"/>
      <c r="N14" s="72"/>
      <c r="O14" s="98">
        <f t="shared" si="1"/>
        <v>1</v>
      </c>
      <c r="P14" s="98">
        <f t="shared" si="1"/>
        <v>1</v>
      </c>
      <c r="Q14" s="98">
        <f t="shared" si="2"/>
        <v>1</v>
      </c>
      <c r="R14" s="72"/>
      <c r="S14" s="8"/>
      <c r="T14" s="72"/>
      <c r="U14" s="75"/>
      <c r="V14" s="75"/>
      <c r="W14" s="75"/>
      <c r="X14" s="72"/>
      <c r="Y14" s="71"/>
      <c r="AA14" s="369">
        <v>7</v>
      </c>
      <c r="AB14" s="33" t="str">
        <f t="shared" si="4"/>
        <v>n/a</v>
      </c>
      <c r="AC14" s="1596"/>
      <c r="AD14" s="2831" t="s">
        <v>9919</v>
      </c>
      <c r="AE14" s="2832" t="s">
        <v>9920</v>
      </c>
      <c r="AF14" s="346" t="s">
        <v>9921</v>
      </c>
      <c r="AG14" s="2833" t="s">
        <v>9922</v>
      </c>
      <c r="AH14" s="637" t="s">
        <v>9923</v>
      </c>
    </row>
    <row r="15" spans="1:34" s="328" customFormat="1" ht="15" customHeight="1">
      <c r="A15" s="1803">
        <v>8</v>
      </c>
      <c r="B15" s="369" t="s">
        <v>11176</v>
      </c>
      <c r="C15" s="33" t="str">
        <f>IF($I$1="Select company","",IF(HLOOKUP((VLOOKUP($I$1,Lists!$B$4:$C$23,2,FALSE)),'Water PR16'!$A$1:$S$21,'2G'!A15+1,FALSE)=0,"",HLOOKUP((VLOOKUP($I$1,Lists!$B$4:$C$23,2,FALSE)),'Water PR16'!$A$1:$S$21,'2G'!A15+1,FALSE)))</f>
        <v>Standard measured water &lt;5Ml</v>
      </c>
      <c r="D15" s="1596"/>
      <c r="E15" s="457"/>
      <c r="F15" s="447"/>
      <c r="G15" s="346">
        <f t="shared" si="3"/>
        <v>0</v>
      </c>
      <c r="H15" s="642"/>
      <c r="I15" s="637">
        <f t="shared" si="0"/>
        <v>0</v>
      </c>
      <c r="J15" s="71"/>
      <c r="K15" s="131"/>
      <c r="L15" s="24" t="str">
        <f t="shared" si="5"/>
        <v>Please complete all cells in row</v>
      </c>
      <c r="M15" s="71"/>
      <c r="N15" s="72"/>
      <c r="O15" s="98">
        <f t="shared" si="1"/>
        <v>1</v>
      </c>
      <c r="P15" s="98">
        <f t="shared" si="1"/>
        <v>1</v>
      </c>
      <c r="Q15" s="98">
        <f t="shared" si="2"/>
        <v>1</v>
      </c>
      <c r="R15" s="72"/>
      <c r="S15" s="8"/>
      <c r="T15" s="72"/>
      <c r="U15" s="75"/>
      <c r="V15" s="75"/>
      <c r="W15" s="75"/>
      <c r="X15" s="72"/>
      <c r="Y15" s="71"/>
      <c r="AA15" s="369">
        <v>8</v>
      </c>
      <c r="AB15" s="33" t="str">
        <f t="shared" si="4"/>
        <v>Standard measured water &lt;5Ml</v>
      </c>
      <c r="AC15" s="1596"/>
      <c r="AD15" s="2831" t="s">
        <v>9924</v>
      </c>
      <c r="AE15" s="2832" t="s">
        <v>9925</v>
      </c>
      <c r="AF15" s="346" t="s">
        <v>9926</v>
      </c>
      <c r="AG15" s="2833" t="s">
        <v>9927</v>
      </c>
      <c r="AH15" s="637" t="s">
        <v>9928</v>
      </c>
    </row>
    <row r="16" spans="1:34" s="328" customFormat="1" ht="15" customHeight="1">
      <c r="A16" s="1803">
        <v>9</v>
      </c>
      <c r="B16" s="369" t="s">
        <v>11177</v>
      </c>
      <c r="C16" s="33" t="str">
        <f>IF($I$1="Select company","",IF(HLOOKUP((VLOOKUP($I$1,Lists!$B$4:$C$23,2,FALSE)),'Water PR16'!$A$1:$S$21,'2G'!A16+1,FALSE)=0,"",HLOOKUP((VLOOKUP($I$1,Lists!$B$4:$C$23,2,FALSE)),'Water PR16'!$A$1:$S$21,'2G'!A16+1,FALSE)))</f>
        <v>Water supplies 5 to 50 MI</v>
      </c>
      <c r="D16" s="1596"/>
      <c r="E16" s="457"/>
      <c r="F16" s="447"/>
      <c r="G16" s="346">
        <f t="shared" si="3"/>
        <v>0</v>
      </c>
      <c r="H16" s="642"/>
      <c r="I16" s="637">
        <f t="shared" si="0"/>
        <v>0</v>
      </c>
      <c r="J16" s="71"/>
      <c r="K16" s="131"/>
      <c r="L16" s="24" t="str">
        <f t="shared" si="5"/>
        <v>Please complete all cells in row</v>
      </c>
      <c r="M16" s="71"/>
      <c r="N16" s="72"/>
      <c r="O16" s="98">
        <f t="shared" si="1"/>
        <v>1</v>
      </c>
      <c r="P16" s="98">
        <f t="shared" si="1"/>
        <v>1</v>
      </c>
      <c r="Q16" s="98">
        <f t="shared" si="2"/>
        <v>1</v>
      </c>
      <c r="R16" s="72"/>
      <c r="S16" s="8"/>
      <c r="T16" s="72"/>
      <c r="U16" s="75"/>
      <c r="V16" s="75"/>
      <c r="W16" s="75"/>
      <c r="X16" s="72"/>
      <c r="Y16" s="71"/>
      <c r="AA16" s="369">
        <v>9</v>
      </c>
      <c r="AB16" s="33" t="str">
        <f t="shared" si="4"/>
        <v>Water supplies 5 to 50 MI</v>
      </c>
      <c r="AC16" s="1596"/>
      <c r="AD16" s="2831" t="s">
        <v>9929</v>
      </c>
      <c r="AE16" s="2832" t="s">
        <v>9930</v>
      </c>
      <c r="AF16" s="346" t="s">
        <v>9931</v>
      </c>
      <c r="AG16" s="2833" t="s">
        <v>9932</v>
      </c>
      <c r="AH16" s="637" t="s">
        <v>9933</v>
      </c>
    </row>
    <row r="17" spans="1:34" s="328" customFormat="1" ht="15" customHeight="1">
      <c r="A17" s="1803">
        <v>10</v>
      </c>
      <c r="B17" s="369" t="s">
        <v>11178</v>
      </c>
      <c r="C17" s="33" t="str">
        <f>IF($I$1="Select company","",IF(HLOOKUP((VLOOKUP($I$1,Lists!$B$4:$C$23,2,FALSE)),'Water PR16'!$A$1:$S$21,'2G'!A17+1,FALSE)=0,"",HLOOKUP((VLOOKUP($I$1,Lists!$B$4:$C$23,2,FALSE)),'Water PR16'!$A$1:$S$21,'2G'!A17+1,FALSE)))</f>
        <v>Water supplies 50 MI and over</v>
      </c>
      <c r="D17" s="1596"/>
      <c r="E17" s="457"/>
      <c r="F17" s="447"/>
      <c r="G17" s="346">
        <f t="shared" si="3"/>
        <v>0</v>
      </c>
      <c r="H17" s="642"/>
      <c r="I17" s="637">
        <f t="shared" si="0"/>
        <v>0</v>
      </c>
      <c r="J17" s="71"/>
      <c r="K17" s="131"/>
      <c r="L17" s="24" t="str">
        <f t="shared" si="5"/>
        <v>Please complete all cells in row</v>
      </c>
      <c r="M17" s="71"/>
      <c r="N17" s="72"/>
      <c r="O17" s="98">
        <f t="shared" si="1"/>
        <v>1</v>
      </c>
      <c r="P17" s="98">
        <f t="shared" si="1"/>
        <v>1</v>
      </c>
      <c r="Q17" s="98">
        <f t="shared" si="2"/>
        <v>1</v>
      </c>
      <c r="R17" s="72"/>
      <c r="S17" s="8"/>
      <c r="T17" s="72"/>
      <c r="U17" s="75"/>
      <c r="V17" s="75"/>
      <c r="W17" s="75"/>
      <c r="X17" s="72"/>
      <c r="Y17" s="71"/>
      <c r="AA17" s="369">
        <v>10</v>
      </c>
      <c r="AB17" s="33" t="str">
        <f t="shared" si="4"/>
        <v>Water supplies 50 MI and over</v>
      </c>
      <c r="AC17" s="1596"/>
      <c r="AD17" s="2831" t="s">
        <v>9934</v>
      </c>
      <c r="AE17" s="2832" t="s">
        <v>9935</v>
      </c>
      <c r="AF17" s="346" t="s">
        <v>9936</v>
      </c>
      <c r="AG17" s="2833" t="s">
        <v>9937</v>
      </c>
      <c r="AH17" s="637" t="s">
        <v>9938</v>
      </c>
    </row>
    <row r="18" spans="1:34" s="328" customFormat="1" ht="15" customHeight="1">
      <c r="A18" s="1803">
        <v>11</v>
      </c>
      <c r="B18" s="369" t="s">
        <v>11179</v>
      </c>
      <c r="C18" s="33" t="str">
        <f>IF($I$1="Select company","",IF(HLOOKUP((VLOOKUP($I$1,Lists!$B$4:$C$23,2,FALSE)),'Water PR16'!$A$1:$S$21,'2G'!A18+1,FALSE)=0,"",HLOOKUP((VLOOKUP($I$1,Lists!$B$4:$C$23,2,FALSE)),'Water PR16'!$A$1:$S$21,'2G'!A18+1,FALSE)))</f>
        <v/>
      </c>
      <c r="D18" s="1596"/>
      <c r="E18" s="457"/>
      <c r="F18" s="447"/>
      <c r="G18" s="346">
        <f t="shared" si="3"/>
        <v>0</v>
      </c>
      <c r="H18" s="642"/>
      <c r="I18" s="637">
        <f t="shared" si="0"/>
        <v>0</v>
      </c>
      <c r="J18" s="71"/>
      <c r="K18" s="131"/>
      <c r="L18" s="24">
        <f t="shared" si="5"/>
        <v>0</v>
      </c>
      <c r="M18" s="71"/>
      <c r="N18" s="72"/>
      <c r="O18" s="98">
        <f t="shared" si="1"/>
        <v>0</v>
      </c>
      <c r="P18" s="98">
        <f t="shared" si="1"/>
        <v>0</v>
      </c>
      <c r="Q18" s="98">
        <f t="shared" si="2"/>
        <v>0</v>
      </c>
      <c r="R18" s="72"/>
      <c r="S18" s="8"/>
      <c r="T18" s="72"/>
      <c r="U18" s="75"/>
      <c r="V18" s="75"/>
      <c r="W18" s="75"/>
      <c r="X18" s="72"/>
      <c r="Y18" s="71"/>
      <c r="AA18" s="369">
        <v>11</v>
      </c>
      <c r="AB18" s="33" t="str">
        <f t="shared" si="4"/>
        <v/>
      </c>
      <c r="AC18" s="1596"/>
      <c r="AD18" s="2831" t="s">
        <v>9939</v>
      </c>
      <c r="AE18" s="2832" t="s">
        <v>9940</v>
      </c>
      <c r="AF18" s="346" t="s">
        <v>9941</v>
      </c>
      <c r="AG18" s="2833" t="s">
        <v>9942</v>
      </c>
      <c r="AH18" s="637" t="s">
        <v>9943</v>
      </c>
    </row>
    <row r="19" spans="1:34" s="328" customFormat="1" ht="15" customHeight="1">
      <c r="A19" s="1803">
        <v>12</v>
      </c>
      <c r="B19" s="369" t="s">
        <v>11180</v>
      </c>
      <c r="C19" s="33" t="str">
        <f>IF($I$1="Select company","",IF(HLOOKUP((VLOOKUP($I$1,Lists!$B$4:$C$23,2,FALSE)),'Water PR16'!$A$1:$S$21,'2G'!A19+1,FALSE)=0,"",HLOOKUP((VLOOKUP($I$1,Lists!$B$4:$C$23,2,FALSE)),'Water PR16'!$A$1:$S$21,'2G'!A19+1,FALSE)))</f>
        <v/>
      </c>
      <c r="D19" s="1596"/>
      <c r="E19" s="457"/>
      <c r="F19" s="447"/>
      <c r="G19" s="346">
        <f t="shared" si="3"/>
        <v>0</v>
      </c>
      <c r="H19" s="642"/>
      <c r="I19" s="637">
        <f t="shared" si="0"/>
        <v>0</v>
      </c>
      <c r="J19" s="71"/>
      <c r="K19" s="131"/>
      <c r="L19" s="24">
        <f t="shared" si="5"/>
        <v>0</v>
      </c>
      <c r="M19" s="71"/>
      <c r="N19" s="72"/>
      <c r="O19" s="98">
        <f t="shared" si="1"/>
        <v>0</v>
      </c>
      <c r="P19" s="98">
        <f t="shared" si="1"/>
        <v>0</v>
      </c>
      <c r="Q19" s="98">
        <f t="shared" si="2"/>
        <v>0</v>
      </c>
      <c r="R19" s="72"/>
      <c r="S19" s="8"/>
      <c r="T19" s="72"/>
      <c r="U19" s="75"/>
      <c r="V19" s="75"/>
      <c r="W19" s="75"/>
      <c r="X19" s="72"/>
      <c r="Y19" s="71"/>
      <c r="AA19" s="369">
        <v>12</v>
      </c>
      <c r="AB19" s="33" t="str">
        <f t="shared" si="4"/>
        <v/>
      </c>
      <c r="AC19" s="1596"/>
      <c r="AD19" s="2831" t="s">
        <v>9944</v>
      </c>
      <c r="AE19" s="2832" t="s">
        <v>9945</v>
      </c>
      <c r="AF19" s="346" t="s">
        <v>9946</v>
      </c>
      <c r="AG19" s="2833" t="s">
        <v>9947</v>
      </c>
      <c r="AH19" s="637" t="s">
        <v>9948</v>
      </c>
    </row>
    <row r="20" spans="1:34" s="328" customFormat="1" ht="15" customHeight="1">
      <c r="A20" s="1803">
        <v>13</v>
      </c>
      <c r="B20" s="369" t="s">
        <v>11181</v>
      </c>
      <c r="C20" s="33" t="str">
        <f>IF($I$1="Select company","",IF(HLOOKUP((VLOOKUP($I$1,Lists!$B$4:$C$23,2,FALSE)),'Water PR16'!$A$1:$S$21,'2G'!A20+1,FALSE)=0,"",HLOOKUP((VLOOKUP($I$1,Lists!$B$4:$C$23,2,FALSE)),'Water PR16'!$A$1:$S$21,'2G'!A20+1,FALSE)))</f>
        <v/>
      </c>
      <c r="D20" s="1596"/>
      <c r="E20" s="457"/>
      <c r="F20" s="447"/>
      <c r="G20" s="346">
        <f t="shared" si="3"/>
        <v>0</v>
      </c>
      <c r="H20" s="642"/>
      <c r="I20" s="637">
        <f t="shared" si="0"/>
        <v>0</v>
      </c>
      <c r="J20" s="71"/>
      <c r="K20" s="131"/>
      <c r="L20" s="24">
        <f t="shared" si="5"/>
        <v>0</v>
      </c>
      <c r="M20" s="71"/>
      <c r="N20" s="72"/>
      <c r="O20" s="98">
        <f t="shared" si="1"/>
        <v>0</v>
      </c>
      <c r="P20" s="98">
        <f t="shared" si="1"/>
        <v>0</v>
      </c>
      <c r="Q20" s="98">
        <f t="shared" si="2"/>
        <v>0</v>
      </c>
      <c r="R20" s="72"/>
      <c r="S20" s="8"/>
      <c r="T20" s="72"/>
      <c r="U20" s="75"/>
      <c r="V20" s="75"/>
      <c r="W20" s="75"/>
      <c r="X20" s="72"/>
      <c r="Y20" s="71"/>
      <c r="AA20" s="369">
        <v>13</v>
      </c>
      <c r="AB20" s="33" t="str">
        <f t="shared" si="4"/>
        <v/>
      </c>
      <c r="AC20" s="1596"/>
      <c r="AD20" s="2831" t="s">
        <v>9949</v>
      </c>
      <c r="AE20" s="2832" t="s">
        <v>9950</v>
      </c>
      <c r="AF20" s="346" t="s">
        <v>9951</v>
      </c>
      <c r="AG20" s="2833" t="s">
        <v>9952</v>
      </c>
      <c r="AH20" s="637" t="s">
        <v>9953</v>
      </c>
    </row>
    <row r="21" spans="1:34" s="328" customFormat="1" ht="15" customHeight="1">
      <c r="A21" s="1803">
        <v>14</v>
      </c>
      <c r="B21" s="369" t="s">
        <v>11182</v>
      </c>
      <c r="C21" s="33" t="str">
        <f>IF($I$1="Select company","",IF(HLOOKUP((VLOOKUP($I$1,Lists!$B$4:$C$23,2,FALSE)),'Water PR16'!$A$1:$S$21,'2G'!A21+1,FALSE)=0,"",HLOOKUP((VLOOKUP($I$1,Lists!$B$4:$C$23,2,FALSE)),'Water PR16'!$A$1:$S$21,'2G'!A21+1,FALSE)))</f>
        <v/>
      </c>
      <c r="D21" s="1596"/>
      <c r="E21" s="457"/>
      <c r="F21" s="447"/>
      <c r="G21" s="346">
        <f t="shared" si="3"/>
        <v>0</v>
      </c>
      <c r="H21" s="642"/>
      <c r="I21" s="637">
        <f t="shared" si="0"/>
        <v>0</v>
      </c>
      <c r="J21" s="71"/>
      <c r="K21" s="131"/>
      <c r="L21" s="24">
        <f t="shared" si="5"/>
        <v>0</v>
      </c>
      <c r="M21" s="71"/>
      <c r="N21" s="72"/>
      <c r="O21" s="98">
        <f t="shared" si="1"/>
        <v>0</v>
      </c>
      <c r="P21" s="98">
        <f t="shared" si="1"/>
        <v>0</v>
      </c>
      <c r="Q21" s="98">
        <f t="shared" si="2"/>
        <v>0</v>
      </c>
      <c r="R21" s="72"/>
      <c r="S21" s="8"/>
      <c r="T21" s="72"/>
      <c r="U21" s="75"/>
      <c r="V21" s="75"/>
      <c r="W21" s="75"/>
      <c r="X21" s="72"/>
      <c r="Y21" s="71"/>
      <c r="AA21" s="369">
        <v>14</v>
      </c>
      <c r="AB21" s="33" t="str">
        <f t="shared" si="4"/>
        <v/>
      </c>
      <c r="AC21" s="1596"/>
      <c r="AD21" s="2831" t="s">
        <v>9954</v>
      </c>
      <c r="AE21" s="2832" t="s">
        <v>9955</v>
      </c>
      <c r="AF21" s="346" t="s">
        <v>9956</v>
      </c>
      <c r="AG21" s="2833" t="s">
        <v>9957</v>
      </c>
      <c r="AH21" s="637" t="s">
        <v>9958</v>
      </c>
    </row>
    <row r="22" spans="1:34" s="328" customFormat="1" ht="15" customHeight="1">
      <c r="A22" s="1803">
        <v>15</v>
      </c>
      <c r="B22" s="369" t="s">
        <v>11183</v>
      </c>
      <c r="C22" s="33" t="str">
        <f>IF($I$1="Select company","",IF(HLOOKUP((VLOOKUP($I$1,Lists!$B$4:$C$23,2,FALSE)),'Water PR16'!$A$1:$S$21,'2G'!A22+1,FALSE)=0,"",HLOOKUP((VLOOKUP($I$1,Lists!$B$4:$C$23,2,FALSE)),'Water PR16'!$A$1:$S$21,'2G'!A22+1,FALSE)))</f>
        <v/>
      </c>
      <c r="D22" s="1596"/>
      <c r="E22" s="457"/>
      <c r="F22" s="447"/>
      <c r="G22" s="346">
        <f t="shared" si="3"/>
        <v>0</v>
      </c>
      <c r="H22" s="642"/>
      <c r="I22" s="637">
        <f t="shared" si="0"/>
        <v>0</v>
      </c>
      <c r="J22" s="123"/>
      <c r="K22" s="131"/>
      <c r="L22" s="24">
        <f t="shared" si="5"/>
        <v>0</v>
      </c>
      <c r="M22" s="71"/>
      <c r="N22" s="72"/>
      <c r="O22" s="98">
        <f t="shared" si="1"/>
        <v>0</v>
      </c>
      <c r="P22" s="98">
        <f t="shared" si="1"/>
        <v>0</v>
      </c>
      <c r="Q22" s="98">
        <f t="shared" si="2"/>
        <v>0</v>
      </c>
      <c r="R22" s="72"/>
      <c r="S22" s="86"/>
      <c r="T22" s="72"/>
      <c r="U22" s="75"/>
      <c r="V22" s="75"/>
      <c r="W22" s="75"/>
      <c r="X22" s="72"/>
      <c r="Y22" s="115"/>
      <c r="AA22" s="369">
        <v>15</v>
      </c>
      <c r="AB22" s="33" t="str">
        <f t="shared" si="4"/>
        <v/>
      </c>
      <c r="AC22" s="1596"/>
      <c r="AD22" s="2831" t="s">
        <v>9959</v>
      </c>
      <c r="AE22" s="2832" t="s">
        <v>9960</v>
      </c>
      <c r="AF22" s="346" t="s">
        <v>9961</v>
      </c>
      <c r="AG22" s="2833" t="s">
        <v>9962</v>
      </c>
      <c r="AH22" s="637" t="s">
        <v>9963</v>
      </c>
    </row>
    <row r="23" spans="1:34" s="328" customFormat="1" ht="15" customHeight="1">
      <c r="A23" s="1803">
        <v>16</v>
      </c>
      <c r="B23" s="369" t="s">
        <v>11184</v>
      </c>
      <c r="C23" s="33" t="str">
        <f>IF($I$1="Select company","",IF(HLOOKUP((VLOOKUP($I$1,Lists!$B$4:$C$23,2,FALSE)),'Water PR16'!$A$1:$S$21,'2G'!A23+1,FALSE)=0,"",HLOOKUP((VLOOKUP($I$1,Lists!$B$4:$C$23,2,FALSE)),'Water PR16'!$A$1:$S$21,'2G'!A23+1,FALSE)))</f>
        <v/>
      </c>
      <c r="D23" s="1596"/>
      <c r="E23" s="457"/>
      <c r="F23" s="447"/>
      <c r="G23" s="346">
        <f t="shared" si="3"/>
        <v>0</v>
      </c>
      <c r="H23" s="642"/>
      <c r="I23" s="637">
        <f t="shared" si="0"/>
        <v>0</v>
      </c>
      <c r="J23" s="131"/>
      <c r="K23" s="131"/>
      <c r="L23" s="24">
        <f t="shared" si="5"/>
        <v>0</v>
      </c>
      <c r="M23" s="71"/>
      <c r="N23" s="72"/>
      <c r="O23" s="98">
        <f t="shared" si="1"/>
        <v>0</v>
      </c>
      <c r="P23" s="98">
        <f t="shared" si="1"/>
        <v>0</v>
      </c>
      <c r="Q23" s="98">
        <f t="shared" si="2"/>
        <v>0</v>
      </c>
      <c r="R23" s="72"/>
      <c r="S23" s="132"/>
      <c r="T23" s="129"/>
      <c r="U23" s="172"/>
      <c r="V23" s="172"/>
      <c r="W23" s="75"/>
      <c r="X23" s="129"/>
      <c r="Y23" s="170"/>
      <c r="AA23" s="369">
        <v>16</v>
      </c>
      <c r="AB23" s="33" t="str">
        <f t="shared" si="4"/>
        <v/>
      </c>
      <c r="AC23" s="1596"/>
      <c r="AD23" s="2831" t="s">
        <v>9964</v>
      </c>
      <c r="AE23" s="2832" t="s">
        <v>9965</v>
      </c>
      <c r="AF23" s="346" t="s">
        <v>9966</v>
      </c>
      <c r="AG23" s="2833" t="s">
        <v>9967</v>
      </c>
      <c r="AH23" s="637" t="s">
        <v>9968</v>
      </c>
    </row>
    <row r="24" spans="1:34" s="328" customFormat="1" ht="15" customHeight="1">
      <c r="A24" s="1803">
        <v>17</v>
      </c>
      <c r="B24" s="369" t="s">
        <v>11185</v>
      </c>
      <c r="C24" s="33" t="str">
        <f>IF($I$1="Select company","",IF(HLOOKUP((VLOOKUP($I$1,Lists!$B$4:$C$23,2,FALSE)),'Water PR16'!$A$1:$S$21,'2G'!A24+1,FALSE)=0,"",HLOOKUP((VLOOKUP($I$1,Lists!$B$4:$C$23,2,FALSE)),'Water PR16'!$A$1:$S$21,'2G'!A24+1,FALSE)))</f>
        <v/>
      </c>
      <c r="D24" s="1596"/>
      <c r="E24" s="457"/>
      <c r="F24" s="447"/>
      <c r="G24" s="346">
        <f t="shared" si="3"/>
        <v>0</v>
      </c>
      <c r="H24" s="642"/>
      <c r="I24" s="637">
        <f t="shared" si="0"/>
        <v>0</v>
      </c>
      <c r="J24" s="131"/>
      <c r="K24" s="131"/>
      <c r="L24" s="24">
        <f t="shared" ref="L24:L25" si="6" xml:space="preserve"> IF( SUM( N24:R24 ) = 0, 0, $O$5 )</f>
        <v>0</v>
      </c>
      <c r="M24" s="71"/>
      <c r="N24" s="72"/>
      <c r="O24" s="98">
        <f t="shared" si="1"/>
        <v>0</v>
      </c>
      <c r="P24" s="98">
        <f t="shared" si="1"/>
        <v>0</v>
      </c>
      <c r="Q24" s="98">
        <f t="shared" si="2"/>
        <v>0</v>
      </c>
      <c r="R24" s="72"/>
      <c r="S24" s="86"/>
      <c r="T24" s="124"/>
      <c r="U24" s="75"/>
      <c r="V24" s="75"/>
      <c r="W24" s="75"/>
      <c r="X24" s="124"/>
      <c r="Y24" s="170"/>
      <c r="AA24" s="369">
        <v>17</v>
      </c>
      <c r="AB24" s="33" t="str">
        <f t="shared" si="4"/>
        <v/>
      </c>
      <c r="AC24" s="1596"/>
      <c r="AD24" s="2831" t="s">
        <v>9969</v>
      </c>
      <c r="AE24" s="2832" t="s">
        <v>9970</v>
      </c>
      <c r="AF24" s="346" t="s">
        <v>9971</v>
      </c>
      <c r="AG24" s="2833" t="s">
        <v>9972</v>
      </c>
      <c r="AH24" s="637" t="s">
        <v>9973</v>
      </c>
    </row>
    <row r="25" spans="1:34" s="328" customFormat="1" ht="15" customHeight="1">
      <c r="A25" s="1803">
        <v>18</v>
      </c>
      <c r="B25" s="369" t="s">
        <v>11186</v>
      </c>
      <c r="C25" s="33" t="str">
        <f>IF($I$1="Select company","",IF(HLOOKUP((VLOOKUP($I$1,Lists!$B$4:$C$23,2,FALSE)),'Water PR16'!$A$1:$S$21,'2G'!A25+1,FALSE)=0,"",HLOOKUP((VLOOKUP($I$1,Lists!$B$4:$C$23,2,FALSE)),'Water PR16'!$A$1:$S$21,'2G'!A25+1,FALSE)))</f>
        <v/>
      </c>
      <c r="D25" s="1595"/>
      <c r="E25" s="457"/>
      <c r="F25" s="459"/>
      <c r="G25" s="346">
        <f t="shared" si="3"/>
        <v>0</v>
      </c>
      <c r="H25" s="642"/>
      <c r="I25" s="637">
        <f t="shared" si="0"/>
        <v>0</v>
      </c>
      <c r="J25" s="131"/>
      <c r="K25" s="131"/>
      <c r="L25" s="24">
        <f t="shared" si="6"/>
        <v>0</v>
      </c>
      <c r="M25" s="71"/>
      <c r="N25" s="72"/>
      <c r="O25" s="98">
        <f t="shared" si="1"/>
        <v>0</v>
      </c>
      <c r="P25" s="98">
        <f t="shared" si="1"/>
        <v>0</v>
      </c>
      <c r="Q25" s="98">
        <f t="shared" si="2"/>
        <v>0</v>
      </c>
      <c r="R25" s="72"/>
      <c r="S25" s="86"/>
      <c r="T25" s="124"/>
      <c r="U25" s="75"/>
      <c r="V25" s="75"/>
      <c r="W25" s="75"/>
      <c r="X25" s="124"/>
      <c r="Y25" s="170"/>
      <c r="AA25" s="369">
        <v>18</v>
      </c>
      <c r="AB25" s="33" t="str">
        <f t="shared" si="4"/>
        <v/>
      </c>
      <c r="AC25" s="1595"/>
      <c r="AD25" s="2831" t="s">
        <v>9974</v>
      </c>
      <c r="AE25" s="2832" t="s">
        <v>9975</v>
      </c>
      <c r="AF25" s="346" t="s">
        <v>9976</v>
      </c>
      <c r="AG25" s="2833" t="s">
        <v>9977</v>
      </c>
      <c r="AH25" s="637" t="s">
        <v>9978</v>
      </c>
    </row>
    <row r="26" spans="1:34" s="328" customFormat="1" ht="15" customHeight="1">
      <c r="A26" s="1803">
        <v>19</v>
      </c>
      <c r="B26" s="369" t="s">
        <v>11187</v>
      </c>
      <c r="C26" s="33" t="str">
        <f>IF($I$1="Select company","",IF(HLOOKUP((VLOOKUP($I$1,Lists!$B$4:$C$23,2,FALSE)),'Water PR16'!$A$1:$S$21,'2G'!A26+1,FALSE)=0,"",HLOOKUP((VLOOKUP($I$1,Lists!$B$4:$C$23,2,FALSE)),'Water PR16'!$A$1:$S$21,'2G'!A26+1,FALSE)))</f>
        <v/>
      </c>
      <c r="D26" s="1597"/>
      <c r="E26" s="458"/>
      <c r="F26" s="459"/>
      <c r="G26" s="346">
        <f t="shared" si="3"/>
        <v>0</v>
      </c>
      <c r="H26" s="642"/>
      <c r="I26" s="637">
        <f t="shared" si="0"/>
        <v>0</v>
      </c>
      <c r="J26" s="131"/>
      <c r="K26" s="131"/>
      <c r="L26" s="24">
        <f xml:space="preserve"> IF( SUM( N26:R26 ) = 0, 0, $O$5 )</f>
        <v>0</v>
      </c>
      <c r="M26" s="71"/>
      <c r="N26" s="72"/>
      <c r="O26" s="98">
        <f t="shared" si="1"/>
        <v>0</v>
      </c>
      <c r="P26" s="98">
        <f t="shared" si="1"/>
        <v>0</v>
      </c>
      <c r="Q26" s="98">
        <f t="shared" si="2"/>
        <v>0</v>
      </c>
      <c r="R26" s="72"/>
      <c r="S26" s="86"/>
      <c r="T26" s="124"/>
      <c r="U26" s="75"/>
      <c r="V26" s="75"/>
      <c r="W26" s="75"/>
      <c r="X26" s="124"/>
      <c r="Y26" s="170"/>
      <c r="AA26" s="369">
        <v>19</v>
      </c>
      <c r="AB26" s="33" t="str">
        <f t="shared" si="4"/>
        <v/>
      </c>
      <c r="AC26" s="1597"/>
      <c r="AD26" s="2834" t="s">
        <v>9979</v>
      </c>
      <c r="AE26" s="2835" t="s">
        <v>9980</v>
      </c>
      <c r="AF26" s="346" t="s">
        <v>9981</v>
      </c>
      <c r="AG26" s="2833" t="s">
        <v>9982</v>
      </c>
      <c r="AH26" s="637" t="s">
        <v>9983</v>
      </c>
    </row>
    <row r="27" spans="1:34" s="328" customFormat="1" ht="15" customHeight="1">
      <c r="A27" s="1803">
        <v>20</v>
      </c>
      <c r="B27" s="369" t="s">
        <v>11188</v>
      </c>
      <c r="C27" s="33" t="str">
        <f>IF($I$1="Select company","",IF(HLOOKUP((VLOOKUP($I$1,Lists!$B$4:$C$23,2,FALSE)),'Water PR16'!$A$1:$S$21,'2G'!A27+1,FALSE)=0,"",HLOOKUP((VLOOKUP($I$1,Lists!$B$4:$C$23,2,FALSE)),'Water PR16'!$A$1:$S$21,'2G'!A27+1,FALSE)))</f>
        <v/>
      </c>
      <c r="D27" s="1597"/>
      <c r="E27" s="458"/>
      <c r="F27" s="459"/>
      <c r="G27" s="2110">
        <f t="shared" si="3"/>
        <v>0</v>
      </c>
      <c r="H27" s="2111"/>
      <c r="I27" s="2112">
        <f t="shared" si="0"/>
        <v>0</v>
      </c>
      <c r="J27" s="131"/>
      <c r="K27" s="131"/>
      <c r="L27" s="2113">
        <f xml:space="preserve"> IF( SUM( N27:R27 ) = 0, 0, $O$5 )</f>
        <v>0</v>
      </c>
      <c r="M27" s="71"/>
      <c r="N27" s="72"/>
      <c r="O27" s="98">
        <f t="shared" si="1"/>
        <v>0</v>
      </c>
      <c r="P27" s="98">
        <f t="shared" si="1"/>
        <v>0</v>
      </c>
      <c r="Q27" s="98">
        <f t="shared" si="2"/>
        <v>0</v>
      </c>
      <c r="R27" s="72"/>
      <c r="S27" s="86"/>
      <c r="T27" s="124"/>
      <c r="U27" s="75"/>
      <c r="V27" s="75"/>
      <c r="W27" s="75"/>
      <c r="X27" s="124"/>
      <c r="Y27" s="170"/>
      <c r="AA27" s="369">
        <v>20</v>
      </c>
      <c r="AB27" s="33" t="str">
        <f t="shared" si="4"/>
        <v/>
      </c>
      <c r="AC27" s="1597"/>
      <c r="AD27" s="2834" t="s">
        <v>12413</v>
      </c>
      <c r="AE27" s="2835" t="s">
        <v>12414</v>
      </c>
      <c r="AF27" s="346" t="s">
        <v>12415</v>
      </c>
      <c r="AG27" s="2833" t="s">
        <v>12416</v>
      </c>
      <c r="AH27" s="637" t="s">
        <v>12417</v>
      </c>
    </row>
    <row r="28" spans="1:34" s="328" customFormat="1" ht="17.25" customHeight="1" thickBot="1">
      <c r="A28" s="1803">
        <v>20</v>
      </c>
      <c r="B28" s="370" t="s">
        <v>11189</v>
      </c>
      <c r="C28" s="2114" t="s">
        <v>2679</v>
      </c>
      <c r="D28" s="1592"/>
      <c r="E28" s="347">
        <f xml:space="preserve"> SUM( E9:E27 )</f>
        <v>0</v>
      </c>
      <c r="F28" s="348">
        <f xml:space="preserve"> SUM( F9:F27 )</f>
        <v>0</v>
      </c>
      <c r="G28" s="349">
        <f xml:space="preserve"> SUM( G9:G27 )</f>
        <v>0</v>
      </c>
      <c r="H28" s="358">
        <f xml:space="preserve"> SUM( H9:H27 )</f>
        <v>0</v>
      </c>
      <c r="I28" s="484">
        <f xml:space="preserve"> IF( H28 = 0, 0, F28 / H28 * 1000 )</f>
        <v>0</v>
      </c>
      <c r="J28" s="131"/>
      <c r="K28" s="131"/>
      <c r="L28" s="2113">
        <f xml:space="preserve"> IF( SUM( N28:R28 ) = 0, 0, $O$5 )</f>
        <v>0</v>
      </c>
      <c r="M28" s="71"/>
      <c r="N28" s="72"/>
      <c r="O28" s="98">
        <f t="shared" ref="O28" si="7">IF($C28="",0,IF(ISNUMBER(E28),0,1))</f>
        <v>0</v>
      </c>
      <c r="P28" s="98">
        <f t="shared" ref="P28" si="8">IF($C28="",0,IF(ISNUMBER(F28),0,1))</f>
        <v>0</v>
      </c>
      <c r="Q28" s="98">
        <f t="shared" ref="Q28" si="9">IF($C28="",0,IF(ISNUMBER(H28),0,1))</f>
        <v>0</v>
      </c>
      <c r="R28" s="72"/>
      <c r="S28" s="86"/>
      <c r="T28" s="124"/>
      <c r="U28" s="75"/>
      <c r="V28" s="75"/>
      <c r="W28" s="75"/>
      <c r="X28" s="124"/>
      <c r="Y28" s="170"/>
      <c r="AA28" s="370">
        <v>21</v>
      </c>
      <c r="AB28" s="2114" t="s">
        <v>2679</v>
      </c>
      <c r="AC28" s="1592"/>
      <c r="AD28" s="347" t="s">
        <v>9984</v>
      </c>
      <c r="AE28" s="348" t="s">
        <v>9985</v>
      </c>
      <c r="AF28" s="349" t="s">
        <v>9986</v>
      </c>
      <c r="AG28" s="358" t="s">
        <v>9987</v>
      </c>
      <c r="AH28" s="484" t="s">
        <v>9988</v>
      </c>
    </row>
    <row r="29" spans="1:34" s="71" customFormat="1" ht="15" thickBot="1">
      <c r="A29" s="200"/>
      <c r="E29" s="83"/>
      <c r="F29" s="170"/>
      <c r="G29" s="83"/>
      <c r="H29" s="643"/>
      <c r="I29" s="638"/>
      <c r="J29" s="131"/>
      <c r="K29" s="131"/>
      <c r="L29" s="131"/>
      <c r="M29" s="131"/>
      <c r="N29" s="124"/>
      <c r="O29" s="210"/>
      <c r="P29" s="170"/>
      <c r="Q29" s="170"/>
      <c r="R29" s="124"/>
      <c r="S29" s="132"/>
      <c r="T29" s="124"/>
      <c r="U29" s="172"/>
      <c r="V29" s="172"/>
      <c r="W29" s="75"/>
      <c r="X29" s="124"/>
      <c r="Y29" s="170"/>
      <c r="AD29" s="83"/>
      <c r="AE29" s="170"/>
      <c r="AF29" s="83"/>
      <c r="AG29" s="643"/>
      <c r="AH29" s="638"/>
    </row>
    <row r="30" spans="1:34" s="328" customFormat="1" ht="32.25" customHeight="1" thickBot="1">
      <c r="A30" s="270"/>
      <c r="B30" s="367" t="s">
        <v>11190</v>
      </c>
      <c r="C30" s="28" t="s">
        <v>2554</v>
      </c>
      <c r="D30" s="1588"/>
      <c r="E30" s="354">
        <f xml:space="preserve"> E28 + E6</f>
        <v>0</v>
      </c>
      <c r="F30" s="355">
        <f xml:space="preserve"> F28 + F6</f>
        <v>0</v>
      </c>
      <c r="G30" s="356">
        <f xml:space="preserve"> G28 + G6</f>
        <v>0</v>
      </c>
      <c r="H30" s="644">
        <f xml:space="preserve"> H28 + H6</f>
        <v>0</v>
      </c>
      <c r="I30" s="634">
        <f xml:space="preserve"> IF( H30 = 0, 0, F30 / H30 * 1000 )</f>
        <v>0</v>
      </c>
      <c r="J30" s="131"/>
      <c r="K30" s="66" t="str">
        <f xml:space="preserve"> IF( SUM( R30:T30 ) = 0, 0, W30 )</f>
        <v>The total of column 1 should be equal to the sum of lines 2I.1 and 2I.2.</v>
      </c>
      <c r="L30" s="131"/>
      <c r="M30" s="131"/>
      <c r="N30" s="124"/>
      <c r="O30" s="210"/>
      <c r="P30" s="170"/>
      <c r="Q30" s="170"/>
      <c r="R30" s="124"/>
      <c r="S30" s="98">
        <f xml:space="preserve"> IF( (U30 - V30) = 0, 0, 1 )</f>
        <v>1</v>
      </c>
      <c r="T30" s="124"/>
      <c r="U30" s="172">
        <f xml:space="preserve"> ROUND(E30, 3)</f>
        <v>0</v>
      </c>
      <c r="V30" s="172">
        <f xml:space="preserve"> ROUND( SUM( '2I - SWT'!H6:H7 ), 3)</f>
        <v>56.954000000000001</v>
      </c>
      <c r="W30" s="75" t="s">
        <v>12225</v>
      </c>
      <c r="X30" s="124"/>
      <c r="Y30" s="170"/>
      <c r="AA30" s="367">
        <v>22</v>
      </c>
      <c r="AB30" s="28" t="s">
        <v>2554</v>
      </c>
      <c r="AC30" s="1588"/>
      <c r="AD30" s="354" t="s">
        <v>9989</v>
      </c>
      <c r="AE30" s="355" t="s">
        <v>9990</v>
      </c>
      <c r="AF30" s="356" t="s">
        <v>9991</v>
      </c>
      <c r="AG30" s="644" t="s">
        <v>9992</v>
      </c>
      <c r="AH30" s="634" t="s">
        <v>9993</v>
      </c>
    </row>
    <row r="31" spans="1:34" s="71" customFormat="1" ht="15" thickBot="1">
      <c r="A31" s="200"/>
      <c r="F31" s="170"/>
      <c r="H31" s="131"/>
      <c r="J31" s="135"/>
      <c r="K31" s="131"/>
      <c r="L31" s="131"/>
      <c r="M31" s="131"/>
      <c r="N31" s="124"/>
      <c r="O31" s="210"/>
      <c r="P31" s="185"/>
      <c r="Q31" s="185"/>
      <c r="R31" s="124"/>
      <c r="S31" s="8"/>
      <c r="T31" s="124"/>
      <c r="U31" s="75"/>
      <c r="V31" s="75"/>
      <c r="W31" s="75"/>
      <c r="X31" s="124"/>
      <c r="Y31" s="185"/>
      <c r="AE31" s="170"/>
      <c r="AG31" s="131"/>
    </row>
    <row r="32" spans="1:34" s="71" customFormat="1" ht="51.75" thickBot="1">
      <c r="A32" s="200"/>
      <c r="F32" s="170"/>
      <c r="H32" s="364" t="s">
        <v>3626</v>
      </c>
      <c r="I32" s="364" t="s">
        <v>2675</v>
      </c>
      <c r="J32" s="135"/>
      <c r="K32" s="131"/>
      <c r="L32" s="131"/>
      <c r="M32" s="131"/>
      <c r="N32" s="124"/>
      <c r="O32" s="210"/>
      <c r="P32" s="185"/>
      <c r="Q32" s="185"/>
      <c r="R32" s="124"/>
      <c r="S32" s="496"/>
      <c r="T32" s="124"/>
      <c r="U32" s="75"/>
      <c r="V32" s="75"/>
      <c r="W32" s="75"/>
      <c r="X32" s="124"/>
      <c r="Y32" s="185"/>
      <c r="AE32" s="170"/>
      <c r="AG32" s="364" t="s">
        <v>3626</v>
      </c>
      <c r="AH32" s="364" t="s">
        <v>2675</v>
      </c>
    </row>
    <row r="33" spans="1:34" s="321" customFormat="1" ht="15" customHeight="1" thickBot="1">
      <c r="A33" s="75"/>
      <c r="B33" s="269" t="s">
        <v>2464</v>
      </c>
      <c r="C33" s="27" t="s">
        <v>3627</v>
      </c>
      <c r="D33" s="1587"/>
      <c r="E33" s="146"/>
      <c r="F33" s="146"/>
      <c r="G33" s="146"/>
      <c r="H33" s="640"/>
      <c r="I33" s="635"/>
      <c r="J33" s="146"/>
      <c r="K33" s="131"/>
      <c r="L33" s="146"/>
      <c r="M33" s="71"/>
      <c r="N33" s="72"/>
      <c r="O33" s="185"/>
      <c r="P33" s="185"/>
      <c r="Q33" s="185"/>
      <c r="R33" s="72"/>
      <c r="S33" s="496"/>
      <c r="T33" s="72"/>
      <c r="U33" s="75"/>
      <c r="V33" s="75"/>
      <c r="W33" s="75"/>
      <c r="X33" s="72"/>
      <c r="Y33" s="71"/>
      <c r="AA33" s="269" t="s">
        <v>2464</v>
      </c>
      <c r="AB33" s="27" t="s">
        <v>3627</v>
      </c>
      <c r="AC33" s="1587"/>
      <c r="AD33" s="146"/>
      <c r="AE33" s="146"/>
      <c r="AF33" s="146"/>
      <c r="AG33" s="640"/>
      <c r="AH33" s="635"/>
    </row>
    <row r="34" spans="1:34" s="321" customFormat="1" ht="15" customHeight="1" thickBot="1">
      <c r="A34" s="75"/>
      <c r="B34" s="645" t="s">
        <v>12412</v>
      </c>
      <c r="C34" s="646" t="s">
        <v>2554</v>
      </c>
      <c r="D34" s="270"/>
      <c r="E34" s="71"/>
      <c r="F34" s="71"/>
      <c r="G34" s="71"/>
      <c r="H34" s="639"/>
      <c r="I34" s="634">
        <f xml:space="preserve"> IF( H34 = 0, 0, F30 / H34 * 1000 )</f>
        <v>0</v>
      </c>
      <c r="J34" s="71"/>
      <c r="K34" s="131"/>
      <c r="L34" s="24" t="str">
        <f xml:space="preserve"> IF( SUM( N34:R34 ) = 0, 0, $O$5 )</f>
        <v>Please complete all cells in row</v>
      </c>
      <c r="M34" s="71"/>
      <c r="N34" s="72"/>
      <c r="O34" s="132"/>
      <c r="P34" s="132"/>
      <c r="Q34" s="98">
        <f>IF( ISNUMBER( H34 ), 0, 1 )</f>
        <v>1</v>
      </c>
      <c r="R34" s="72"/>
      <c r="S34" s="496"/>
      <c r="T34" s="72"/>
      <c r="U34" s="75"/>
      <c r="V34" s="75"/>
      <c r="W34" s="75"/>
      <c r="X34" s="72"/>
      <c r="Y34" s="71"/>
      <c r="AA34" s="645">
        <f xml:space="preserve"> AA30 + 1</f>
        <v>23</v>
      </c>
      <c r="AB34" s="646" t="s">
        <v>2554</v>
      </c>
      <c r="AC34" s="270"/>
      <c r="AD34" s="71"/>
      <c r="AE34" s="71"/>
      <c r="AF34" s="71"/>
      <c r="AG34" s="2827" t="s">
        <v>9994</v>
      </c>
      <c r="AH34" s="634" t="s">
        <v>9995</v>
      </c>
    </row>
    <row r="35" spans="1:34" s="71" customFormat="1">
      <c r="A35" s="200"/>
      <c r="B35" s="75"/>
      <c r="C35" s="374"/>
      <c r="D35" s="374"/>
      <c r="F35" s="170"/>
      <c r="H35" s="131"/>
      <c r="J35" s="135"/>
      <c r="K35" s="131"/>
      <c r="L35" s="131"/>
      <c r="M35" s="131"/>
      <c r="N35" s="124"/>
      <c r="O35" s="210"/>
      <c r="P35" s="185"/>
      <c r="Q35" s="185"/>
      <c r="R35" s="124"/>
      <c r="S35" s="496"/>
      <c r="T35" s="124"/>
      <c r="U35" s="75"/>
      <c r="V35" s="75"/>
      <c r="W35" s="75"/>
      <c r="X35" s="124"/>
      <c r="Y35" s="185"/>
      <c r="AA35" s="75"/>
      <c r="AB35" s="374"/>
      <c r="AC35" s="374"/>
      <c r="AE35" s="170"/>
      <c r="AG35" s="131"/>
    </row>
    <row r="36" spans="1:34" s="170" customFormat="1">
      <c r="A36" s="331"/>
      <c r="B36" s="3220" t="s">
        <v>2420</v>
      </c>
      <c r="C36" s="3220"/>
      <c r="D36" s="1449"/>
      <c r="H36" s="131"/>
      <c r="I36" s="71"/>
      <c r="J36" s="135"/>
      <c r="K36" s="131"/>
      <c r="L36" s="131"/>
      <c r="M36" s="131"/>
      <c r="N36" s="124"/>
      <c r="O36" s="210"/>
      <c r="P36" s="185"/>
      <c r="Q36" s="185"/>
      <c r="R36" s="124"/>
      <c r="S36" s="496"/>
      <c r="T36" s="124"/>
      <c r="U36" s="75"/>
      <c r="V36" s="75"/>
      <c r="W36" s="75"/>
      <c r="X36" s="124"/>
      <c r="Y36" s="185"/>
    </row>
    <row r="37" spans="1:34" s="170" customFormat="1">
      <c r="A37" s="331"/>
      <c r="B37" s="146"/>
      <c r="C37" s="147"/>
      <c r="D37" s="147"/>
      <c r="H37" s="131"/>
      <c r="I37" s="71"/>
      <c r="J37" s="123"/>
      <c r="K37" s="131"/>
      <c r="L37" s="125"/>
      <c r="M37" s="123"/>
      <c r="N37" s="129"/>
      <c r="O37" s="264"/>
      <c r="P37" s="115"/>
      <c r="Q37" s="115"/>
      <c r="R37" s="129"/>
      <c r="S37" s="496"/>
      <c r="T37" s="124"/>
      <c r="U37" s="75"/>
      <c r="V37" s="75"/>
      <c r="W37" s="75"/>
      <c r="X37" s="124"/>
      <c r="Y37" s="115"/>
    </row>
    <row r="38" spans="1:34" s="170" customFormat="1">
      <c r="A38" s="331"/>
      <c r="B38" s="25"/>
      <c r="C38" s="148" t="s">
        <v>2421</v>
      </c>
      <c r="D38" s="148"/>
      <c r="H38" s="131"/>
      <c r="I38" s="71"/>
      <c r="J38" s="123"/>
      <c r="K38" s="131"/>
      <c r="L38" s="125"/>
      <c r="M38" s="123"/>
      <c r="N38" s="129"/>
      <c r="O38" s="264"/>
      <c r="P38" s="115"/>
      <c r="Q38" s="115"/>
      <c r="R38" s="129"/>
      <c r="S38" s="496"/>
      <c r="T38" s="129"/>
      <c r="U38" s="75"/>
      <c r="V38" s="75"/>
      <c r="W38" s="75"/>
      <c r="X38" s="129"/>
      <c r="Y38" s="115"/>
    </row>
    <row r="39" spans="1:34" s="170" customFormat="1">
      <c r="A39" s="331"/>
      <c r="B39" s="146"/>
      <c r="C39" s="147"/>
      <c r="D39" s="147"/>
      <c r="H39" s="131"/>
      <c r="I39" s="71"/>
      <c r="J39" s="360"/>
      <c r="K39" s="131"/>
      <c r="L39" s="135"/>
      <c r="M39" s="123"/>
      <c r="N39" s="129"/>
      <c r="O39" s="185"/>
      <c r="P39" s="185"/>
      <c r="Q39" s="185"/>
      <c r="R39" s="129"/>
      <c r="S39" s="8"/>
      <c r="T39" s="129"/>
      <c r="U39" s="75"/>
      <c r="V39" s="75"/>
      <c r="W39" s="75"/>
      <c r="X39" s="129"/>
      <c r="Y39" s="185"/>
    </row>
    <row r="40" spans="1:34" s="170" customFormat="1">
      <c r="A40" s="331"/>
      <c r="B40" s="149"/>
      <c r="C40" s="148" t="s">
        <v>2422</v>
      </c>
      <c r="D40" s="148"/>
      <c r="H40" s="131"/>
      <c r="I40" s="71"/>
      <c r="J40" s="362"/>
      <c r="K40" s="131"/>
      <c r="L40" s="125"/>
      <c r="M40" s="123"/>
      <c r="N40" s="129"/>
      <c r="O40" s="288"/>
      <c r="P40" s="115"/>
      <c r="Q40" s="115"/>
      <c r="R40" s="129"/>
      <c r="S40" s="8"/>
      <c r="T40" s="129"/>
      <c r="U40" s="75"/>
      <c r="V40" s="75"/>
      <c r="W40" s="75"/>
      <c r="X40" s="129"/>
      <c r="Y40" s="115"/>
    </row>
    <row r="41" spans="1:34" s="170" customFormat="1">
      <c r="A41" s="331"/>
      <c r="B41" s="150"/>
      <c r="C41" s="148"/>
      <c r="D41" s="148"/>
      <c r="H41" s="131"/>
      <c r="I41" s="123"/>
      <c r="J41" s="363"/>
      <c r="K41" s="131"/>
      <c r="L41" s="125"/>
      <c r="M41" s="123"/>
      <c r="N41" s="129"/>
      <c r="O41" s="288"/>
      <c r="P41" s="115"/>
      <c r="Q41" s="115"/>
      <c r="R41" s="129"/>
      <c r="S41" s="115"/>
      <c r="T41" s="129"/>
      <c r="U41" s="75"/>
      <c r="V41" s="75"/>
      <c r="W41" s="75"/>
      <c r="X41" s="129"/>
      <c r="Y41" s="115"/>
    </row>
    <row r="42" spans="1:34" s="185" customFormat="1" ht="15" thickBot="1">
      <c r="A42" s="371"/>
      <c r="C42" s="186"/>
      <c r="D42" s="186"/>
      <c r="H42" s="135"/>
      <c r="I42" s="131"/>
      <c r="J42" s="363"/>
      <c r="K42" s="131"/>
      <c r="L42" s="125"/>
      <c r="M42" s="123"/>
      <c r="N42" s="129"/>
      <c r="O42" s="288"/>
      <c r="P42" s="125"/>
      <c r="Q42" s="125"/>
      <c r="R42" s="129"/>
      <c r="S42" s="75"/>
      <c r="T42" s="129"/>
      <c r="U42" s="71"/>
      <c r="V42" s="71"/>
      <c r="W42" s="71"/>
      <c r="X42" s="129"/>
      <c r="Y42" s="125"/>
    </row>
    <row r="43" spans="1:34" s="185" customFormat="1" ht="15" thickBot="1">
      <c r="A43" s="371"/>
      <c r="B43" s="1433" t="s">
        <v>12572</v>
      </c>
      <c r="C43" s="152"/>
      <c r="D43" s="152"/>
      <c r="E43" s="153"/>
      <c r="F43" s="153"/>
      <c r="G43" s="153"/>
      <c r="H43" s="153"/>
      <c r="I43" s="259"/>
      <c r="J43" s="363"/>
      <c r="K43" s="131"/>
      <c r="L43" s="125"/>
      <c r="M43" s="123"/>
      <c r="N43" s="129"/>
      <c r="O43" s="288"/>
      <c r="P43" s="125"/>
      <c r="Q43" s="125"/>
      <c r="R43" s="129"/>
      <c r="S43" s="75"/>
      <c r="T43" s="129"/>
      <c r="U43" s="71"/>
      <c r="V43" s="71"/>
      <c r="W43" s="71"/>
      <c r="X43" s="129"/>
      <c r="Y43" s="125"/>
    </row>
    <row r="44" spans="1:34" s="185" customFormat="1">
      <c r="A44" s="371"/>
      <c r="C44" s="186"/>
      <c r="D44" s="186"/>
      <c r="H44" s="135"/>
      <c r="I44" s="131"/>
      <c r="J44" s="363"/>
      <c r="K44" s="131"/>
      <c r="L44" s="125"/>
      <c r="M44" s="123"/>
      <c r="N44" s="129"/>
      <c r="O44" s="288"/>
      <c r="P44" s="125"/>
      <c r="Q44" s="125"/>
      <c r="R44" s="129"/>
      <c r="S44" s="75"/>
      <c r="T44" s="129"/>
      <c r="U44" s="71"/>
      <c r="V44" s="71"/>
      <c r="W44" s="71"/>
      <c r="X44" s="129"/>
      <c r="Y44" s="125"/>
    </row>
    <row r="45" spans="1:34" s="115" customFormat="1" ht="15" hidden="1" thickBot="1">
      <c r="A45" s="1643"/>
      <c r="B45" s="151" t="str">
        <f ca="1" xml:space="preserve"> RIGHT(CELL("filename", $A$1), LEN(CELL("filename", $A$1)) - SEARCH("]", CELL("filename", $A$1)))&amp;" - Line definitions"</f>
        <v>2G - Line definitions</v>
      </c>
      <c r="C45" s="152"/>
      <c r="D45" s="152"/>
      <c r="E45" s="153"/>
      <c r="F45" s="153"/>
      <c r="G45" s="153"/>
      <c r="H45" s="153"/>
      <c r="I45" s="259"/>
      <c r="J45" s="363"/>
      <c r="K45" s="75"/>
      <c r="L45" s="125"/>
      <c r="M45" s="123"/>
      <c r="N45" s="129"/>
      <c r="O45" s="288"/>
      <c r="P45" s="125"/>
      <c r="Q45" s="125"/>
      <c r="R45" s="129"/>
      <c r="S45" s="75"/>
      <c r="T45" s="129"/>
      <c r="U45" s="170"/>
      <c r="V45" s="170"/>
      <c r="W45" s="170"/>
      <c r="X45" s="129"/>
      <c r="Y45" s="125"/>
    </row>
    <row r="46" spans="1:34" s="115" customFormat="1" ht="15" hidden="1" thickBot="1">
      <c r="A46" s="1643"/>
      <c r="B46" s="372"/>
      <c r="E46" s="75"/>
      <c r="H46" s="123"/>
      <c r="I46" s="131"/>
      <c r="J46" s="334"/>
      <c r="K46" s="75"/>
      <c r="L46" s="71"/>
      <c r="M46" s="71"/>
      <c r="N46" s="72"/>
      <c r="O46" s="90" t="s">
        <v>2425</v>
      </c>
      <c r="P46" s="71"/>
      <c r="Q46" s="71"/>
      <c r="R46" s="72"/>
      <c r="S46" s="75"/>
      <c r="T46" s="129"/>
      <c r="U46" s="170"/>
      <c r="V46" s="170"/>
      <c r="W46" s="170"/>
      <c r="X46" s="129"/>
      <c r="Y46" s="71"/>
    </row>
    <row r="47" spans="1:34" s="185" customFormat="1" ht="15" hidden="1" thickBot="1">
      <c r="A47" s="1644"/>
      <c r="B47" s="161" t="s">
        <v>2423</v>
      </c>
      <c r="C47" s="3304" t="s">
        <v>2424</v>
      </c>
      <c r="D47" s="3304"/>
      <c r="E47" s="3304"/>
      <c r="F47" s="3304"/>
      <c r="G47" s="3304"/>
      <c r="H47" s="3304"/>
      <c r="I47" s="3305"/>
      <c r="J47" s="333"/>
      <c r="K47" s="75"/>
      <c r="L47" s="71"/>
      <c r="M47" s="71"/>
      <c r="N47" s="72"/>
      <c r="O47" s="71">
        <v>1</v>
      </c>
      <c r="P47" s="71"/>
      <c r="Q47" s="71"/>
      <c r="R47" s="72"/>
      <c r="S47" s="75"/>
      <c r="T47" s="72"/>
      <c r="U47" s="170"/>
      <c r="V47" s="170"/>
      <c r="W47" s="170"/>
      <c r="X47" s="72"/>
      <c r="Y47" s="71"/>
    </row>
    <row r="48" spans="1:34" s="115" customFormat="1" ht="14.25" hidden="1" customHeight="1">
      <c r="A48" s="1643"/>
      <c r="B48" s="858">
        <v>1</v>
      </c>
      <c r="C48" s="3306" t="s">
        <v>2680</v>
      </c>
      <c r="D48" s="3306"/>
      <c r="E48" s="3306"/>
      <c r="F48" s="3306"/>
      <c r="G48" s="3306"/>
      <c r="H48" s="3306"/>
      <c r="I48" s="3307"/>
      <c r="J48" s="334"/>
      <c r="K48" s="75"/>
      <c r="L48" s="71"/>
      <c r="M48" s="71"/>
      <c r="N48" s="72"/>
      <c r="O48" s="71">
        <v>1</v>
      </c>
      <c r="P48" s="71"/>
      <c r="Q48" s="71"/>
      <c r="R48" s="72"/>
      <c r="S48" s="75"/>
      <c r="T48" s="72"/>
      <c r="U48" s="170"/>
      <c r="V48" s="170"/>
      <c r="W48" s="170"/>
      <c r="X48" s="72"/>
      <c r="Y48" s="71"/>
    </row>
    <row r="49" spans="1:34" s="115" customFormat="1" ht="14.25" hidden="1" customHeight="1">
      <c r="A49" s="1643"/>
      <c r="B49" s="902" t="s">
        <v>12914</v>
      </c>
      <c r="C49" s="3282" t="s">
        <v>3630</v>
      </c>
      <c r="D49" s="3282"/>
      <c r="E49" s="3282"/>
      <c r="F49" s="3282"/>
      <c r="G49" s="3282"/>
      <c r="H49" s="3282"/>
      <c r="I49" s="3283"/>
      <c r="J49" s="334"/>
      <c r="K49" s="75"/>
      <c r="L49" s="71"/>
      <c r="M49" s="71"/>
      <c r="N49" s="72"/>
      <c r="O49" s="71">
        <v>1</v>
      </c>
      <c r="P49" s="71"/>
      <c r="Q49" s="71"/>
      <c r="R49" s="72"/>
      <c r="S49" s="75"/>
      <c r="T49" s="72"/>
      <c r="U49" s="170"/>
      <c r="V49" s="170"/>
      <c r="W49" s="170"/>
      <c r="X49" s="72"/>
      <c r="Y49" s="71"/>
    </row>
    <row r="50" spans="1:34" s="115" customFormat="1" ht="14.25" hidden="1" customHeight="1">
      <c r="A50" s="1643"/>
      <c r="B50" s="166">
        <v>21</v>
      </c>
      <c r="C50" s="3282" t="s">
        <v>2681</v>
      </c>
      <c r="D50" s="3282"/>
      <c r="E50" s="3282"/>
      <c r="F50" s="3282"/>
      <c r="G50" s="3282"/>
      <c r="H50" s="3282"/>
      <c r="I50" s="3283"/>
      <c r="J50" s="334"/>
      <c r="K50" s="75"/>
      <c r="L50" s="71"/>
      <c r="M50" s="71"/>
      <c r="N50" s="72"/>
      <c r="O50" s="71">
        <v>1</v>
      </c>
      <c r="P50" s="71"/>
      <c r="Q50" s="71"/>
      <c r="R50" s="72"/>
      <c r="S50" s="75"/>
      <c r="T50" s="72"/>
      <c r="U50" s="170"/>
      <c r="V50" s="170"/>
      <c r="W50" s="170"/>
      <c r="X50" s="72"/>
      <c r="Y50" s="71"/>
    </row>
    <row r="51" spans="1:34" s="115" customFormat="1" ht="14.25" hidden="1" customHeight="1">
      <c r="A51" s="1643"/>
      <c r="B51" s="166">
        <v>22</v>
      </c>
      <c r="C51" s="3282" t="s">
        <v>12981</v>
      </c>
      <c r="D51" s="3282"/>
      <c r="E51" s="3282"/>
      <c r="F51" s="3282"/>
      <c r="G51" s="3282"/>
      <c r="H51" s="3282"/>
      <c r="I51" s="3283"/>
      <c r="J51" s="333"/>
      <c r="K51" s="75"/>
      <c r="L51" s="71"/>
      <c r="M51" s="71"/>
      <c r="N51" s="72"/>
      <c r="O51" s="71">
        <v>1</v>
      </c>
      <c r="P51" s="71"/>
      <c r="Q51" s="71"/>
      <c r="R51" s="72"/>
      <c r="S51" s="75"/>
      <c r="T51" s="72"/>
      <c r="U51" s="170"/>
      <c r="V51" s="170"/>
      <c r="W51" s="170"/>
      <c r="X51" s="72"/>
      <c r="Y51" s="71"/>
    </row>
    <row r="52" spans="1:34" ht="15" hidden="1" thickBot="1">
      <c r="A52" s="1649"/>
      <c r="B52" s="190">
        <v>23</v>
      </c>
      <c r="C52" s="3302" t="s">
        <v>2682</v>
      </c>
      <c r="D52" s="3302"/>
      <c r="E52" s="3302"/>
      <c r="F52" s="3302"/>
      <c r="G52" s="3302"/>
      <c r="H52" s="3302"/>
      <c r="I52" s="3303"/>
      <c r="J52" s="334"/>
      <c r="U52" s="185"/>
      <c r="V52" s="185"/>
      <c r="W52" s="185"/>
      <c r="AA52" s="8"/>
      <c r="AB52" s="8"/>
      <c r="AC52" s="8"/>
      <c r="AD52" s="8"/>
      <c r="AE52" s="8"/>
      <c r="AF52" s="8"/>
      <c r="AG52" s="8"/>
      <c r="AH52" s="8"/>
    </row>
    <row r="53" spans="1:34" hidden="1">
      <c r="A53" s="1649"/>
      <c r="U53" s="185"/>
      <c r="V53" s="185"/>
      <c r="W53" s="185"/>
      <c r="AA53" s="8"/>
      <c r="AB53" s="8"/>
      <c r="AC53" s="8"/>
      <c r="AD53" s="8"/>
      <c r="AE53" s="8"/>
      <c r="AF53" s="8"/>
      <c r="AG53" s="8"/>
      <c r="AH53" s="8"/>
    </row>
  </sheetData>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2757" priority="6" operator="equal">
      <formula>0</formula>
    </cfRule>
  </conditionalFormatting>
  <conditionalFormatting sqref="K30">
    <cfRule type="cellIs" dxfId="2756" priority="4" operator="equal">
      <formula>0</formula>
    </cfRule>
  </conditionalFormatting>
  <conditionalFormatting sqref="L34">
    <cfRule type="cellIs" dxfId="2755" priority="3" operator="equal">
      <formula>0</formula>
    </cfRule>
  </conditionalFormatting>
  <conditionalFormatting sqref="L28">
    <cfRule type="cellIs" dxfId="275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xml><?xml version="1.0" encoding="utf-8"?>
<worksheet xmlns="http://schemas.openxmlformats.org/spreadsheetml/2006/main" xmlns:r="http://schemas.openxmlformats.org/officeDocument/2006/relationships">
  <sheetPr codeName="Sheet1">
    <tabColor rgb="FF003479"/>
    <pageSetUpPr fitToPage="1"/>
  </sheetPr>
  <dimension ref="A1:C36"/>
  <sheetViews>
    <sheetView workbookViewId="0">
      <selection sqref="A1:C1"/>
    </sheetView>
  </sheetViews>
  <sheetFormatPr defaultColWidth="9" defaultRowHeight="14.25"/>
  <cols>
    <col min="1" max="1" width="2.125" style="2" customWidth="1"/>
    <col min="2" max="2" width="104" style="8" customWidth="1"/>
    <col min="3" max="3" width="2.125" style="2" customWidth="1"/>
    <col min="4" max="4" width="8.125" style="2" customWidth="1"/>
    <col min="5" max="16384" width="9" style="2"/>
  </cols>
  <sheetData>
    <row r="1" spans="1:3" ht="18.75">
      <c r="A1" s="6" t="s">
        <v>12518</v>
      </c>
      <c r="B1" s="6"/>
      <c r="C1" s="6"/>
    </row>
    <row r="2" spans="1:3" ht="21">
      <c r="A2" s="3"/>
      <c r="B2" s="2"/>
    </row>
    <row r="3" spans="1:3">
      <c r="A3" s="424" t="s">
        <v>2377</v>
      </c>
      <c r="B3" s="424"/>
      <c r="C3" s="424"/>
    </row>
    <row r="4" spans="1:3">
      <c r="A4" s="4"/>
      <c r="B4" s="2"/>
    </row>
    <row r="5" spans="1:3" ht="51">
      <c r="B5" s="425" t="s">
        <v>12519</v>
      </c>
    </row>
    <row r="6" spans="1:3">
      <c r="B6" s="425"/>
    </row>
    <row r="7" spans="1:3">
      <c r="B7" s="2717" t="s">
        <v>13569</v>
      </c>
    </row>
    <row r="8" spans="1:3">
      <c r="B8" s="425"/>
    </row>
    <row r="9" spans="1:3">
      <c r="A9" s="424" t="s">
        <v>2378</v>
      </c>
      <c r="B9" s="424"/>
      <c r="C9" s="424"/>
    </row>
    <row r="10" spans="1:3">
      <c r="B10" s="425"/>
    </row>
    <row r="11" spans="1:3">
      <c r="B11" s="425" t="s">
        <v>2379</v>
      </c>
    </row>
    <row r="12" spans="1:3">
      <c r="B12" s="425"/>
    </row>
    <row r="13" spans="1:3">
      <c r="B13" s="425" t="s">
        <v>12520</v>
      </c>
    </row>
    <row r="14" spans="1:3">
      <c r="B14" s="425"/>
    </row>
    <row r="15" spans="1:3">
      <c r="B15" s="425" t="s">
        <v>12521</v>
      </c>
    </row>
    <row r="16" spans="1:3">
      <c r="B16" s="425"/>
    </row>
    <row r="17" spans="1:3" ht="25.5">
      <c r="B17" s="425" t="s">
        <v>3728</v>
      </c>
    </row>
    <row r="18" spans="1:3">
      <c r="B18" s="425"/>
    </row>
    <row r="19" spans="1:3">
      <c r="B19" s="425" t="s">
        <v>2380</v>
      </c>
    </row>
    <row r="20" spans="1:3">
      <c r="B20" s="425"/>
    </row>
    <row r="21" spans="1:3" ht="51" customHeight="1">
      <c r="B21" s="715" t="s">
        <v>3731</v>
      </c>
    </row>
    <row r="22" spans="1:3">
      <c r="B22" s="715"/>
    </row>
    <row r="23" spans="1:3">
      <c r="B23" s="425"/>
    </row>
    <row r="24" spans="1:3">
      <c r="A24" s="424" t="s">
        <v>2381</v>
      </c>
      <c r="B24" s="424"/>
      <c r="C24" s="424"/>
    </row>
    <row r="25" spans="1:3">
      <c r="B25" s="425"/>
    </row>
    <row r="26" spans="1:3">
      <c r="B26" s="425" t="s">
        <v>2382</v>
      </c>
    </row>
    <row r="27" spans="1:3">
      <c r="B27" s="425"/>
    </row>
    <row r="28" spans="1:3" ht="25.5">
      <c r="B28" s="425" t="s">
        <v>2383</v>
      </c>
    </row>
    <row r="29" spans="1:3">
      <c r="B29" s="425"/>
    </row>
    <row r="30" spans="1:3" ht="25.5">
      <c r="B30" s="425" t="s">
        <v>12522</v>
      </c>
    </row>
    <row r="31" spans="1:3">
      <c r="B31" s="425"/>
    </row>
    <row r="32" spans="1:3" ht="25.5">
      <c r="B32" s="425" t="s">
        <v>12523</v>
      </c>
    </row>
    <row r="33" spans="1:3">
      <c r="B33" s="2080" t="s">
        <v>13570</v>
      </c>
    </row>
    <row r="34" spans="1:3">
      <c r="A34" s="4"/>
      <c r="B34" s="2"/>
    </row>
    <row r="35" spans="1:3">
      <c r="A35" s="424" t="s">
        <v>2384</v>
      </c>
      <c r="B35" s="424"/>
      <c r="C35" s="424"/>
    </row>
    <row r="36" spans="1:3">
      <c r="B36" s="2696" t="s">
        <v>13571</v>
      </c>
    </row>
  </sheetData>
  <hyperlinks>
    <hyperlink ref="B33" r:id="rId1" display="PR19@ofwat.gsi.gov.uk"/>
    <hyperlink ref="B7" r:id="rId2"/>
    <hyperlink ref="B36" r:id="rId3"/>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&amp;K8573622018-19 annual performance report tables&amp;R&amp;G</oddHeader>
    <oddFooter>&amp;L&amp;9&amp;K857362&amp;A&amp;R&amp;9&amp;K857362Printed: &amp;D &amp;T</oddFooter>
  </headerFooter>
  <legacyDrawingHF r:id="rId5"/>
</worksheet>
</file>

<file path=xl/worksheets/sheet20.xml><?xml version="1.0" encoding="utf-8"?>
<worksheet xmlns="http://schemas.openxmlformats.org/spreadsheetml/2006/main" xmlns:r="http://schemas.openxmlformats.org/officeDocument/2006/relationships">
  <sheetPr codeName="Sheet17">
    <pageSetUpPr fitToPage="1"/>
  </sheetPr>
  <dimension ref="A1:AI56"/>
  <sheetViews>
    <sheetView workbookViewId="0"/>
  </sheetViews>
  <sheetFormatPr defaultColWidth="0" defaultRowHeight="14.25" zeroHeight="1"/>
  <cols>
    <col min="1" max="1" width="0.75" style="86" customWidth="1"/>
    <col min="2" max="2" width="5.125" style="8" customWidth="1"/>
    <col min="3" max="3" width="57" style="8" customWidth="1"/>
    <col min="4" max="4" width="12.625" style="496" hidden="1" customWidth="1"/>
    <col min="5" max="9" width="12.625" style="8" customWidth="1"/>
    <col min="10" max="10" width="2.625" style="71" customWidth="1"/>
    <col min="11" max="11" width="32" style="75" customWidth="1"/>
    <col min="12" max="12" width="22.125" style="71" customWidth="1"/>
    <col min="13" max="13" width="1.625" style="71" customWidth="1"/>
    <col min="14" max="14" width="1.625" style="72" hidden="1" customWidth="1"/>
    <col min="15" max="17" width="5.625" style="71" hidden="1" customWidth="1"/>
    <col min="18" max="18" width="1.625" style="72" hidden="1" customWidth="1"/>
    <col min="19" max="19" width="8.625" style="75" hidden="1" customWidth="1"/>
    <col min="20" max="20" width="1.625" style="72" hidden="1" customWidth="1"/>
    <col min="21" max="22" width="8.625" style="75" hidden="1" customWidth="1"/>
    <col min="23" max="23" width="56.125" style="75" hidden="1" customWidth="1"/>
    <col min="24" max="24" width="1.625" style="72" hidden="1" customWidth="1"/>
    <col min="25" max="25" width="8.625" style="8" hidden="1" customWidth="1"/>
    <col min="26" max="26" width="8.625" style="8" customWidth="1"/>
    <col min="27" max="27" width="5.125" style="496" customWidth="1"/>
    <col min="28" max="28" width="44" style="496" bestFit="1" customWidth="1"/>
    <col min="29" max="29" width="5.625" style="496" hidden="1" customWidth="1"/>
    <col min="30" max="34" width="12.625" style="496" customWidth="1"/>
    <col min="35" max="35" width="8.625" style="8" customWidth="1"/>
    <col min="36" max="16384" width="8.625" style="8" hidden="1"/>
  </cols>
  <sheetData>
    <row r="1" spans="1:34" s="76" customFormat="1" ht="18.75">
      <c r="A1" s="169"/>
      <c r="B1" s="67" t="s">
        <v>12584</v>
      </c>
      <c r="C1" s="67"/>
      <c r="D1" s="67"/>
      <c r="E1" s="67"/>
      <c r="F1" s="67"/>
      <c r="G1" s="67"/>
      <c r="H1" s="67"/>
      <c r="I1" s="69" t="str">
        <f>Validation!B3</f>
        <v>South West Water – South West area</v>
      </c>
      <c r="J1" s="67"/>
      <c r="K1" s="70"/>
      <c r="L1" s="70" t="s">
        <v>2394</v>
      </c>
      <c r="M1" s="71"/>
      <c r="N1" s="72"/>
      <c r="O1" s="71"/>
      <c r="P1" s="71"/>
      <c r="Q1" s="71"/>
      <c r="R1" s="72"/>
      <c r="S1" s="71"/>
      <c r="T1" s="72"/>
      <c r="U1" s="8"/>
      <c r="V1" s="8"/>
      <c r="W1" s="8"/>
      <c r="X1" s="72"/>
      <c r="AA1" s="67" t="s">
        <v>6671</v>
      </c>
      <c r="AB1" s="67"/>
      <c r="AC1" s="67"/>
      <c r="AD1" s="67"/>
      <c r="AE1" s="67"/>
      <c r="AF1" s="67"/>
      <c r="AG1" s="67"/>
      <c r="AH1" s="69"/>
    </row>
    <row r="2" spans="1:34" s="76" customFormat="1" ht="15" customHeight="1" thickBot="1">
      <c r="A2" s="169"/>
      <c r="B2" s="74" t="s">
        <v>12524</v>
      </c>
      <c r="C2" s="315"/>
      <c r="D2" s="315"/>
      <c r="E2" s="169"/>
      <c r="F2" s="169"/>
      <c r="G2" s="169"/>
      <c r="H2" s="169"/>
      <c r="I2" s="169"/>
      <c r="J2" s="71"/>
      <c r="K2" s="71"/>
      <c r="L2" s="71"/>
      <c r="M2" s="71"/>
      <c r="N2" s="72"/>
      <c r="O2" s="71"/>
      <c r="P2" s="71"/>
      <c r="Q2" s="71"/>
      <c r="R2" s="72"/>
      <c r="S2" s="71"/>
      <c r="T2" s="72"/>
      <c r="U2" s="75"/>
      <c r="V2" s="75"/>
      <c r="W2" s="75"/>
      <c r="X2" s="72"/>
      <c r="AA2" s="74" t="str">
        <f>+B2</f>
        <v>For the 12 months ended 31 March 2019</v>
      </c>
      <c r="AB2" s="315"/>
      <c r="AC2" s="315"/>
      <c r="AD2" s="169"/>
      <c r="AE2" s="169"/>
      <c r="AF2" s="169"/>
      <c r="AG2" s="169"/>
      <c r="AH2" s="169"/>
    </row>
    <row r="3" spans="1:34" s="321" customFormat="1" ht="51.75" thickBot="1">
      <c r="A3" s="75"/>
      <c r="B3" s="3308" t="s">
        <v>2395</v>
      </c>
      <c r="C3" s="3309"/>
      <c r="D3" s="1586" t="s">
        <v>6496</v>
      </c>
      <c r="E3" s="306" t="s">
        <v>2674</v>
      </c>
      <c r="F3" s="319" t="s">
        <v>2659</v>
      </c>
      <c r="G3" s="307" t="s">
        <v>2660</v>
      </c>
      <c r="H3" s="364" t="s">
        <v>3628</v>
      </c>
      <c r="I3" s="364" t="s">
        <v>3629</v>
      </c>
      <c r="J3" s="365"/>
      <c r="K3" s="193" t="s">
        <v>2577</v>
      </c>
      <c r="L3" s="195" t="s">
        <v>1361</v>
      </c>
      <c r="M3" s="71"/>
      <c r="N3" s="72"/>
      <c r="O3" s="3215" t="s">
        <v>2404</v>
      </c>
      <c r="P3" s="3286"/>
      <c r="Q3" s="3286"/>
      <c r="R3" s="72"/>
      <c r="S3" s="79" t="s">
        <v>2390</v>
      </c>
      <c r="T3" s="72"/>
      <c r="U3" s="79" t="s">
        <v>2578</v>
      </c>
      <c r="V3" s="79"/>
      <c r="W3" s="79"/>
      <c r="X3" s="72"/>
      <c r="AA3" s="3308" t="s">
        <v>2395</v>
      </c>
      <c r="AB3" s="3309"/>
      <c r="AC3" s="1586" t="s">
        <v>6496</v>
      </c>
      <c r="AD3" s="306" t="s">
        <v>2674</v>
      </c>
      <c r="AE3" s="319" t="s">
        <v>2659</v>
      </c>
      <c r="AF3" s="307" t="s">
        <v>2660</v>
      </c>
      <c r="AG3" s="364" t="s">
        <v>3628</v>
      </c>
      <c r="AH3" s="364" t="s">
        <v>3629</v>
      </c>
    </row>
    <row r="4" spans="1:34" s="321" customFormat="1" ht="15" customHeight="1" thickBot="1">
      <c r="A4" s="75"/>
      <c r="B4" s="75"/>
      <c r="C4" s="366"/>
      <c r="D4" s="366"/>
      <c r="E4" s="75"/>
      <c r="F4" s="75"/>
      <c r="G4" s="75"/>
      <c r="H4" s="75"/>
      <c r="I4" s="75"/>
      <c r="J4" s="71"/>
      <c r="K4" s="71"/>
      <c r="L4" s="71"/>
      <c r="M4" s="71"/>
      <c r="N4" s="72"/>
      <c r="R4" s="72"/>
      <c r="S4" s="320"/>
      <c r="T4" s="72"/>
      <c r="U4" s="320"/>
      <c r="V4" s="320"/>
      <c r="W4" s="320"/>
      <c r="X4" s="72"/>
      <c r="AA4" s="75"/>
      <c r="AB4" s="366"/>
      <c r="AC4" s="366"/>
      <c r="AD4" s="75"/>
      <c r="AE4" s="75"/>
      <c r="AF4" s="75"/>
      <c r="AG4" s="75"/>
      <c r="AH4" s="75"/>
    </row>
    <row r="5" spans="1:34" s="328" customFormat="1" ht="17.25" customHeight="1" thickBot="1">
      <c r="A5" s="270"/>
      <c r="B5" s="269" t="s">
        <v>2449</v>
      </c>
      <c r="C5" s="27" t="s">
        <v>2676</v>
      </c>
      <c r="D5" s="1587"/>
      <c r="E5" s="75"/>
      <c r="F5" s="75"/>
      <c r="G5" s="75"/>
      <c r="H5" s="75"/>
      <c r="I5" s="75"/>
      <c r="J5" s="71"/>
      <c r="K5" s="75"/>
      <c r="L5" s="71"/>
      <c r="M5" s="71"/>
      <c r="N5" s="72"/>
      <c r="O5" s="171" t="s">
        <v>2405</v>
      </c>
      <c r="P5" s="132"/>
      <c r="Q5" s="132"/>
      <c r="R5" s="72"/>
      <c r="S5" s="8"/>
      <c r="T5" s="72"/>
      <c r="U5" s="75"/>
      <c r="V5" s="75"/>
      <c r="W5" s="75"/>
      <c r="X5" s="72"/>
      <c r="AA5" s="269" t="s">
        <v>2449</v>
      </c>
      <c r="AB5" s="27" t="s">
        <v>2676</v>
      </c>
      <c r="AC5" s="1587"/>
      <c r="AD5" s="75"/>
      <c r="AE5" s="75"/>
      <c r="AF5" s="75"/>
      <c r="AG5" s="75"/>
      <c r="AH5" s="75"/>
    </row>
    <row r="6" spans="1:34" s="328" customFormat="1" ht="17.25" customHeight="1" thickBot="1">
      <c r="A6" s="270"/>
      <c r="B6" s="367" t="s">
        <v>11191</v>
      </c>
      <c r="C6" s="28" t="s">
        <v>2677</v>
      </c>
      <c r="D6" s="1588"/>
      <c r="E6" s="454"/>
      <c r="F6" s="455"/>
      <c r="G6" s="356">
        <f xml:space="preserve"> F6 + E6</f>
        <v>0</v>
      </c>
      <c r="H6" s="639"/>
      <c r="I6" s="634">
        <f xml:space="preserve"> IF( H6 = 0, 0, F6 / H6 * 1000 )</f>
        <v>0</v>
      </c>
      <c r="J6" s="71"/>
      <c r="K6" s="75"/>
      <c r="L6" s="24" t="str">
        <f t="shared" ref="L6" si="0" xml:space="preserve"> IF( SUM( N6:R6 ) = 0, 0, $O$5 )</f>
        <v>Please complete all cells in row</v>
      </c>
      <c r="M6" s="71"/>
      <c r="N6" s="72"/>
      <c r="O6" s="98">
        <f>IF($C6="",0,IF(ISNUMBER(E6),0,1))</f>
        <v>1</v>
      </c>
      <c r="P6" s="98">
        <f>IF($C6="",0,IF(ISNUMBER(F6),0,1))</f>
        <v>1</v>
      </c>
      <c r="Q6" s="98">
        <f>IF($C6="",0,IF(ISNUMBER(H6),0,1))</f>
        <v>1</v>
      </c>
      <c r="R6" s="72"/>
      <c r="S6" s="8"/>
      <c r="T6" s="72"/>
      <c r="U6" s="75"/>
      <c r="V6" s="75"/>
      <c r="W6" s="75"/>
      <c r="X6" s="72"/>
      <c r="AA6" s="367">
        <v>1</v>
      </c>
      <c r="AB6" s="28" t="s">
        <v>2677</v>
      </c>
      <c r="AC6" s="1588"/>
      <c r="AD6" s="2825" t="s">
        <v>9996</v>
      </c>
      <c r="AE6" s="2826" t="s">
        <v>9997</v>
      </c>
      <c r="AF6" s="356" t="s">
        <v>9998</v>
      </c>
      <c r="AG6" s="2827" t="s">
        <v>9999</v>
      </c>
      <c r="AH6" s="634" t="s">
        <v>10000</v>
      </c>
    </row>
    <row r="7" spans="1:34" s="321" customFormat="1" ht="15" customHeight="1" thickBot="1">
      <c r="A7" s="75"/>
      <c r="B7" s="75"/>
      <c r="C7" s="366"/>
      <c r="D7" s="366"/>
      <c r="E7" s="146"/>
      <c r="F7" s="146"/>
      <c r="G7" s="146"/>
      <c r="H7" s="640"/>
      <c r="I7" s="635"/>
      <c r="J7" s="146"/>
      <c r="K7" s="75"/>
      <c r="L7" s="146"/>
      <c r="M7" s="71"/>
      <c r="N7" s="72"/>
      <c r="R7" s="72"/>
      <c r="S7" s="8"/>
      <c r="T7" s="72"/>
      <c r="U7" s="75"/>
      <c r="V7" s="75"/>
      <c r="W7" s="75"/>
      <c r="X7" s="72"/>
      <c r="AA7" s="75"/>
      <c r="AB7" s="366"/>
      <c r="AC7" s="366"/>
      <c r="AD7" s="146"/>
      <c r="AE7" s="146"/>
      <c r="AF7" s="146"/>
      <c r="AG7" s="640"/>
      <c r="AH7" s="635"/>
    </row>
    <row r="8" spans="1:34" s="321" customFormat="1" ht="15" customHeight="1" thickBot="1">
      <c r="A8" s="75"/>
      <c r="B8" s="269" t="s">
        <v>2458</v>
      </c>
      <c r="C8" s="27" t="s">
        <v>2678</v>
      </c>
      <c r="D8" s="1587"/>
      <c r="E8" s="146"/>
      <c r="F8" s="146"/>
      <c r="G8" s="146"/>
      <c r="H8" s="640"/>
      <c r="I8" s="635"/>
      <c r="J8" s="71"/>
      <c r="K8" s="75"/>
      <c r="L8" s="146"/>
      <c r="M8" s="71"/>
      <c r="N8" s="72"/>
      <c r="R8" s="72"/>
      <c r="S8" s="8"/>
      <c r="T8" s="72"/>
      <c r="U8" s="75"/>
      <c r="V8" s="75"/>
      <c r="W8" s="75"/>
      <c r="X8" s="72"/>
      <c r="AA8" s="269" t="s">
        <v>2458</v>
      </c>
      <c r="AB8" s="27" t="s">
        <v>2678</v>
      </c>
      <c r="AC8" s="1587"/>
      <c r="AD8" s="146"/>
      <c r="AE8" s="146"/>
      <c r="AF8" s="146"/>
      <c r="AG8" s="640"/>
      <c r="AH8" s="635"/>
    </row>
    <row r="9" spans="1:34" s="321" customFormat="1" ht="15" customHeight="1">
      <c r="A9" s="1802">
        <v>2</v>
      </c>
      <c r="B9" s="368" t="s">
        <v>11192</v>
      </c>
      <c r="C9" s="32" t="str">
        <f>IF($I$1="Select company","",IF(Validation!$H$3=1,"",(IF(HLOOKUP((VLOOKUP($I$1,Lists!$B$4:$C$23,2,FALSE)),'Sewerage PR16'!$A$1:$S$24,'2H'!A9+1,FALSE)=0,"",HLOOKUP((VLOOKUP($I$1,Lists!$B$4:$C$23,2,FALSE)),'Sewerage PR16'!$A$1:$S$25,'2H'!A9+1,FALSE)))))</f>
        <v>Standard Unmeasured Sewerage</v>
      </c>
      <c r="D9" s="1589"/>
      <c r="E9" s="456"/>
      <c r="F9" s="446"/>
      <c r="G9" s="345">
        <f xml:space="preserve"> F9 + E9</f>
        <v>0</v>
      </c>
      <c r="H9" s="641"/>
      <c r="I9" s="636">
        <f t="shared" ref="I9:I31" si="1" xml:space="preserve"> IF( H9 = 0, 0, F9 / H9 * 1000 )</f>
        <v>0</v>
      </c>
      <c r="J9" s="71"/>
      <c r="K9" s="75"/>
      <c r="L9" s="24" t="str">
        <f t="shared" ref="L9:L28" si="2" xml:space="preserve"> IF( SUM( N9:R9 ) = 0, 0, $O$5 )</f>
        <v>Please complete all cells in row</v>
      </c>
      <c r="M9" s="71"/>
      <c r="N9" s="72"/>
      <c r="O9" s="98">
        <f t="shared" ref="O9:P28" si="3">IF($C9="",0,IF(ISNUMBER(E9),0,1))</f>
        <v>1</v>
      </c>
      <c r="P9" s="98">
        <f t="shared" si="3"/>
        <v>1</v>
      </c>
      <c r="Q9" s="98">
        <f t="shared" ref="Q9:Q28" si="4">IF($C9="",0,IF(ISNUMBER(H9),0,1))</f>
        <v>1</v>
      </c>
      <c r="R9" s="72"/>
      <c r="S9" s="8"/>
      <c r="T9" s="72"/>
      <c r="U9" s="75"/>
      <c r="V9" s="75"/>
      <c r="W9" s="75"/>
      <c r="X9" s="72"/>
      <c r="AA9" s="368">
        <f xml:space="preserve"> AA6 + 1</f>
        <v>2</v>
      </c>
      <c r="AB9" s="32" t="str">
        <f>C9</f>
        <v>Standard Unmeasured Sewerage</v>
      </c>
      <c r="AC9" s="1589"/>
      <c r="AD9" s="2828" t="s">
        <v>10001</v>
      </c>
      <c r="AE9" s="2829" t="s">
        <v>10002</v>
      </c>
      <c r="AF9" s="345" t="s">
        <v>10003</v>
      </c>
      <c r="AG9" s="2830" t="s">
        <v>10004</v>
      </c>
      <c r="AH9" s="636" t="s">
        <v>10005</v>
      </c>
    </row>
    <row r="10" spans="1:34" s="321" customFormat="1" ht="15" customHeight="1">
      <c r="A10" s="1802">
        <v>3</v>
      </c>
      <c r="B10" s="369" t="s">
        <v>11193</v>
      </c>
      <c r="C10" s="33" t="str">
        <f>IF($I$1="Select company","",IF(Validation!$H$3=1,"",(IF(HLOOKUP((VLOOKUP($I$1,Lists!$B$4:$C$23,2,FALSE)),'Sewerage PR16'!$A$1:$S$24,'2H'!A10+1,FALSE)=0,"",HLOOKUP((VLOOKUP($I$1,Lists!$B$4:$C$23,2,FALSE)),'Sewerage PR16'!$A$1:$S$25,'2H'!A10+1,FALSE)))))</f>
        <v>n/a</v>
      </c>
      <c r="D10" s="1590"/>
      <c r="E10" s="457"/>
      <c r="F10" s="447"/>
      <c r="G10" s="346">
        <f t="shared" ref="G10:G28" si="5" xml:space="preserve"> F10 + E10</f>
        <v>0</v>
      </c>
      <c r="H10" s="642"/>
      <c r="I10" s="637">
        <f t="shared" si="1"/>
        <v>0</v>
      </c>
      <c r="J10" s="71"/>
      <c r="K10" s="75"/>
      <c r="L10" s="24" t="str">
        <f t="shared" si="2"/>
        <v>Please complete all cells in row</v>
      </c>
      <c r="M10" s="71"/>
      <c r="N10" s="72"/>
      <c r="O10" s="98">
        <f t="shared" si="3"/>
        <v>1</v>
      </c>
      <c r="P10" s="98">
        <f t="shared" si="3"/>
        <v>1</v>
      </c>
      <c r="Q10" s="98">
        <f t="shared" si="4"/>
        <v>1</v>
      </c>
      <c r="R10" s="72"/>
      <c r="S10" s="8"/>
      <c r="T10" s="72"/>
      <c r="U10" s="75"/>
      <c r="V10" s="75"/>
      <c r="W10" s="75"/>
      <c r="X10" s="72"/>
      <c r="AA10" s="369">
        <f xml:space="preserve"> AA9 + 1</f>
        <v>3</v>
      </c>
      <c r="AB10" s="33" t="str">
        <f t="shared" ref="AB10:AB30" si="6">C10</f>
        <v>n/a</v>
      </c>
      <c r="AC10" s="1590"/>
      <c r="AD10" s="2831" t="s">
        <v>10006</v>
      </c>
      <c r="AE10" s="2832" t="s">
        <v>10007</v>
      </c>
      <c r="AF10" s="346" t="s">
        <v>10008</v>
      </c>
      <c r="AG10" s="2833" t="s">
        <v>10009</v>
      </c>
      <c r="AH10" s="637" t="s">
        <v>10010</v>
      </c>
    </row>
    <row r="11" spans="1:34" s="321" customFormat="1" ht="15" customHeight="1">
      <c r="A11" s="1802">
        <v>4</v>
      </c>
      <c r="B11" s="369" t="s">
        <v>11194</v>
      </c>
      <c r="C11" s="33" t="str">
        <f>IF($I$1="Select company","",IF(Validation!$H$3=1,"",(IF(HLOOKUP((VLOOKUP($I$1,Lists!$B$4:$C$23,2,FALSE)),'Sewerage PR16'!$A$1:$S$24,'2H'!A11+1,FALSE)=0,"",HLOOKUP((VLOOKUP($I$1,Lists!$B$4:$C$23,2,FALSE)),'Sewerage PR16'!$A$1:$S$25,'2H'!A11+1,FALSE)))))</f>
        <v>n/a</v>
      </c>
      <c r="D11" s="1590"/>
      <c r="E11" s="457"/>
      <c r="F11" s="447"/>
      <c r="G11" s="346">
        <f t="shared" si="5"/>
        <v>0</v>
      </c>
      <c r="H11" s="642"/>
      <c r="I11" s="637">
        <f t="shared" si="1"/>
        <v>0</v>
      </c>
      <c r="J11" s="71"/>
      <c r="K11" s="75"/>
      <c r="L11" s="24" t="str">
        <f t="shared" si="2"/>
        <v>Please complete all cells in row</v>
      </c>
      <c r="M11" s="71"/>
      <c r="N11" s="72"/>
      <c r="O11" s="98">
        <f t="shared" si="3"/>
        <v>1</v>
      </c>
      <c r="P11" s="98">
        <f t="shared" si="3"/>
        <v>1</v>
      </c>
      <c r="Q11" s="98">
        <f t="shared" si="4"/>
        <v>1</v>
      </c>
      <c r="R11" s="72"/>
      <c r="S11" s="8"/>
      <c r="T11" s="72"/>
      <c r="U11" s="75"/>
      <c r="V11" s="75"/>
      <c r="W11" s="75"/>
      <c r="X11" s="72"/>
      <c r="AA11" s="369">
        <f t="shared" ref="AA11:AA28" si="7" xml:space="preserve"> AA10 + 1</f>
        <v>4</v>
      </c>
      <c r="AB11" s="33" t="str">
        <f t="shared" si="6"/>
        <v>n/a</v>
      </c>
      <c r="AC11" s="1590"/>
      <c r="AD11" s="2831" t="s">
        <v>10011</v>
      </c>
      <c r="AE11" s="2832" t="s">
        <v>10012</v>
      </c>
      <c r="AF11" s="346" t="s">
        <v>10013</v>
      </c>
      <c r="AG11" s="2833" t="s">
        <v>10014</v>
      </c>
      <c r="AH11" s="637" t="s">
        <v>10015</v>
      </c>
    </row>
    <row r="12" spans="1:34" s="328" customFormat="1" ht="15" customHeight="1">
      <c r="A12" s="1803">
        <v>5</v>
      </c>
      <c r="B12" s="369" t="s">
        <v>11195</v>
      </c>
      <c r="C12" s="33" t="str">
        <f>IF($I$1="Select company","",IF(Validation!$H$3=1,"",(IF(HLOOKUP((VLOOKUP($I$1,Lists!$B$4:$C$23,2,FALSE)),'Sewerage PR16'!$A$1:$S$24,'2H'!A12+1,FALSE)=0,"",HLOOKUP((VLOOKUP($I$1,Lists!$B$4:$C$23,2,FALSE)),'Sewerage PR16'!$A$1:$S$25,'2H'!A12+1,FALSE)))))</f>
        <v>n/a</v>
      </c>
      <c r="D12" s="1590"/>
      <c r="E12" s="457"/>
      <c r="F12" s="447"/>
      <c r="G12" s="346">
        <f t="shared" si="5"/>
        <v>0</v>
      </c>
      <c r="H12" s="642"/>
      <c r="I12" s="637">
        <f t="shared" si="1"/>
        <v>0</v>
      </c>
      <c r="J12" s="71"/>
      <c r="K12" s="75"/>
      <c r="L12" s="24" t="str">
        <f t="shared" si="2"/>
        <v>Please complete all cells in row</v>
      </c>
      <c r="M12" s="71"/>
      <c r="N12" s="72"/>
      <c r="O12" s="98">
        <f t="shared" si="3"/>
        <v>1</v>
      </c>
      <c r="P12" s="98">
        <f t="shared" si="3"/>
        <v>1</v>
      </c>
      <c r="Q12" s="98">
        <f t="shared" si="4"/>
        <v>1</v>
      </c>
      <c r="R12" s="72"/>
      <c r="S12" s="8"/>
      <c r="T12" s="72"/>
      <c r="U12" s="75"/>
      <c r="V12" s="75"/>
      <c r="W12" s="75"/>
      <c r="X12" s="72"/>
      <c r="AA12" s="369">
        <f t="shared" si="7"/>
        <v>5</v>
      </c>
      <c r="AB12" s="33" t="str">
        <f t="shared" si="6"/>
        <v>n/a</v>
      </c>
      <c r="AC12" s="1590"/>
      <c r="AD12" s="2831" t="s">
        <v>10016</v>
      </c>
      <c r="AE12" s="2832" t="s">
        <v>10017</v>
      </c>
      <c r="AF12" s="346" t="s">
        <v>10018</v>
      </c>
      <c r="AG12" s="2833" t="s">
        <v>10019</v>
      </c>
      <c r="AH12" s="637" t="s">
        <v>10020</v>
      </c>
    </row>
    <row r="13" spans="1:34" s="328" customFormat="1" ht="15" customHeight="1">
      <c r="A13" s="1803">
        <v>6</v>
      </c>
      <c r="B13" s="369" t="s">
        <v>11196</v>
      </c>
      <c r="C13" s="33" t="str">
        <f>IF($I$1="Select company","",IF(Validation!$H$3=1,"",(IF(HLOOKUP((VLOOKUP($I$1,Lists!$B$4:$C$23,2,FALSE)),'Sewerage PR16'!$A$1:$S$24,'2H'!A13+1,FALSE)=0,"",HLOOKUP((VLOOKUP($I$1,Lists!$B$4:$C$23,2,FALSE)),'Sewerage PR16'!$A$1:$S$25,'2H'!A13+1,FALSE)))))</f>
        <v>n/a</v>
      </c>
      <c r="D13" s="1590"/>
      <c r="E13" s="457"/>
      <c r="F13" s="447"/>
      <c r="G13" s="346">
        <f t="shared" si="5"/>
        <v>0</v>
      </c>
      <c r="H13" s="642"/>
      <c r="I13" s="637">
        <f t="shared" si="1"/>
        <v>0</v>
      </c>
      <c r="J13" s="71"/>
      <c r="K13" s="75"/>
      <c r="L13" s="24" t="str">
        <f t="shared" si="2"/>
        <v>Please complete all cells in row</v>
      </c>
      <c r="M13" s="71"/>
      <c r="N13" s="72"/>
      <c r="O13" s="98">
        <f t="shared" si="3"/>
        <v>1</v>
      </c>
      <c r="P13" s="98">
        <f t="shared" si="3"/>
        <v>1</v>
      </c>
      <c r="Q13" s="98">
        <f t="shared" si="4"/>
        <v>1</v>
      </c>
      <c r="R13" s="72"/>
      <c r="S13" s="8"/>
      <c r="T13" s="72"/>
      <c r="U13" s="75"/>
      <c r="V13" s="75"/>
      <c r="W13" s="75"/>
      <c r="X13" s="72"/>
      <c r="AA13" s="369">
        <f t="shared" si="7"/>
        <v>6</v>
      </c>
      <c r="AB13" s="33" t="str">
        <f t="shared" si="6"/>
        <v>n/a</v>
      </c>
      <c r="AC13" s="1590"/>
      <c r="AD13" s="2831" t="s">
        <v>10021</v>
      </c>
      <c r="AE13" s="2832" t="s">
        <v>10022</v>
      </c>
      <c r="AF13" s="346" t="s">
        <v>10023</v>
      </c>
      <c r="AG13" s="2833" t="s">
        <v>10024</v>
      </c>
      <c r="AH13" s="637" t="s">
        <v>10025</v>
      </c>
    </row>
    <row r="14" spans="1:34" s="328" customFormat="1" ht="15" customHeight="1">
      <c r="A14" s="1803">
        <v>7</v>
      </c>
      <c r="B14" s="369" t="s">
        <v>11197</v>
      </c>
      <c r="C14" s="33" t="str">
        <f>IF($I$1="Select company","",IF(Validation!$H$3=1,"",(IF(HLOOKUP((VLOOKUP($I$1,Lists!$B$4:$C$23,2,FALSE)),'Sewerage PR16'!$A$1:$S$24,'2H'!A14+1,FALSE)=0,"",HLOOKUP((VLOOKUP($I$1,Lists!$B$4:$C$23,2,FALSE)),'Sewerage PR16'!$A$1:$S$25,'2H'!A14+1,FALSE)))))</f>
        <v>n/a</v>
      </c>
      <c r="D14" s="1590"/>
      <c r="E14" s="457"/>
      <c r="F14" s="447"/>
      <c r="G14" s="346">
        <f t="shared" si="5"/>
        <v>0</v>
      </c>
      <c r="H14" s="642"/>
      <c r="I14" s="637">
        <f t="shared" si="1"/>
        <v>0</v>
      </c>
      <c r="J14" s="71"/>
      <c r="K14" s="75"/>
      <c r="L14" s="24" t="str">
        <f t="shared" si="2"/>
        <v>Please complete all cells in row</v>
      </c>
      <c r="M14" s="71"/>
      <c r="N14" s="72"/>
      <c r="O14" s="98">
        <f t="shared" si="3"/>
        <v>1</v>
      </c>
      <c r="P14" s="98">
        <f t="shared" si="3"/>
        <v>1</v>
      </c>
      <c r="Q14" s="98">
        <f t="shared" si="4"/>
        <v>1</v>
      </c>
      <c r="R14" s="72"/>
      <c r="S14" s="8"/>
      <c r="T14" s="72"/>
      <c r="U14" s="75"/>
      <c r="V14" s="75"/>
      <c r="W14" s="75"/>
      <c r="X14" s="72"/>
      <c r="AA14" s="369">
        <f t="shared" si="7"/>
        <v>7</v>
      </c>
      <c r="AB14" s="33" t="str">
        <f t="shared" si="6"/>
        <v>n/a</v>
      </c>
      <c r="AC14" s="1590"/>
      <c r="AD14" s="2831" t="s">
        <v>10026</v>
      </c>
      <c r="AE14" s="2832" t="s">
        <v>10027</v>
      </c>
      <c r="AF14" s="346" t="s">
        <v>10028</v>
      </c>
      <c r="AG14" s="2833" t="s">
        <v>10029</v>
      </c>
      <c r="AH14" s="637" t="s">
        <v>10030</v>
      </c>
    </row>
    <row r="15" spans="1:34" s="328" customFormat="1" ht="15" customHeight="1">
      <c r="A15" s="1803">
        <v>8</v>
      </c>
      <c r="B15" s="369" t="s">
        <v>11198</v>
      </c>
      <c r="C15" s="33" t="str">
        <f>IF($I$1="Select company","",IF(Validation!$H$3=1,"",(IF(HLOOKUP((VLOOKUP($I$1,Lists!$B$4:$C$23,2,FALSE)),'Sewerage PR16'!$A$1:$S$24,'2H'!A15+1,FALSE)=0,"",HLOOKUP((VLOOKUP($I$1,Lists!$B$4:$C$23,2,FALSE)),'Sewerage PR16'!$A$1:$S$25,'2H'!A15+1,FALSE)))))</f>
        <v>n/a</v>
      </c>
      <c r="D15" s="1590"/>
      <c r="E15" s="457"/>
      <c r="F15" s="447"/>
      <c r="G15" s="346">
        <f t="shared" si="5"/>
        <v>0</v>
      </c>
      <c r="H15" s="642"/>
      <c r="I15" s="637">
        <f t="shared" si="1"/>
        <v>0</v>
      </c>
      <c r="J15" s="71"/>
      <c r="K15" s="75"/>
      <c r="L15" s="24" t="str">
        <f t="shared" si="2"/>
        <v>Please complete all cells in row</v>
      </c>
      <c r="M15" s="71"/>
      <c r="N15" s="72"/>
      <c r="O15" s="98">
        <f t="shared" si="3"/>
        <v>1</v>
      </c>
      <c r="P15" s="98">
        <f t="shared" si="3"/>
        <v>1</v>
      </c>
      <c r="Q15" s="98">
        <f t="shared" si="4"/>
        <v>1</v>
      </c>
      <c r="R15" s="72"/>
      <c r="S15" s="8"/>
      <c r="T15" s="72"/>
      <c r="U15" s="75"/>
      <c r="V15" s="75"/>
      <c r="W15" s="75"/>
      <c r="X15" s="72"/>
      <c r="AA15" s="369">
        <f t="shared" si="7"/>
        <v>8</v>
      </c>
      <c r="AB15" s="33" t="str">
        <f t="shared" si="6"/>
        <v>n/a</v>
      </c>
      <c r="AC15" s="1590"/>
      <c r="AD15" s="2831" t="s">
        <v>10031</v>
      </c>
      <c r="AE15" s="2832" t="s">
        <v>10032</v>
      </c>
      <c r="AF15" s="346" t="s">
        <v>10033</v>
      </c>
      <c r="AG15" s="2833" t="s">
        <v>10034</v>
      </c>
      <c r="AH15" s="637" t="s">
        <v>10035</v>
      </c>
    </row>
    <row r="16" spans="1:34" s="328" customFormat="1" ht="15" customHeight="1">
      <c r="A16" s="1803">
        <v>9</v>
      </c>
      <c r="B16" s="369" t="s">
        <v>11199</v>
      </c>
      <c r="C16" s="33" t="str">
        <f>IF($I$1="Select company","",IF(Validation!$H$3=1,"",(IF(HLOOKUP((VLOOKUP($I$1,Lists!$B$4:$C$23,2,FALSE)),'Sewerage PR16'!$A$1:$S$24,'2H'!A16+1,FALSE)=0,"",HLOOKUP((VLOOKUP($I$1,Lists!$B$4:$C$23,2,FALSE)),'Sewerage PR16'!$A$1:$S$25,'2H'!A16+1,FALSE)))))</f>
        <v>Standard measured sewerage &lt;5Ml inc TE</v>
      </c>
      <c r="D16" s="1590"/>
      <c r="E16" s="457"/>
      <c r="F16" s="447"/>
      <c r="G16" s="346">
        <f t="shared" si="5"/>
        <v>0</v>
      </c>
      <c r="H16" s="642"/>
      <c r="I16" s="637">
        <f t="shared" si="1"/>
        <v>0</v>
      </c>
      <c r="J16" s="71"/>
      <c r="K16" s="75"/>
      <c r="L16" s="24" t="str">
        <f t="shared" si="2"/>
        <v>Please complete all cells in row</v>
      </c>
      <c r="M16" s="71"/>
      <c r="N16" s="72"/>
      <c r="O16" s="98">
        <f t="shared" si="3"/>
        <v>1</v>
      </c>
      <c r="P16" s="98">
        <f t="shared" si="3"/>
        <v>1</v>
      </c>
      <c r="Q16" s="98">
        <f t="shared" si="4"/>
        <v>1</v>
      </c>
      <c r="R16" s="72"/>
      <c r="S16" s="8"/>
      <c r="T16" s="72"/>
      <c r="U16" s="75"/>
      <c r="V16" s="75"/>
      <c r="W16" s="75"/>
      <c r="X16" s="72"/>
      <c r="AA16" s="369">
        <f t="shared" si="7"/>
        <v>9</v>
      </c>
      <c r="AB16" s="33" t="str">
        <f t="shared" si="6"/>
        <v>Standard measured sewerage &lt;5Ml inc TE</v>
      </c>
      <c r="AC16" s="1590"/>
      <c r="AD16" s="2831" t="s">
        <v>10036</v>
      </c>
      <c r="AE16" s="2832" t="s">
        <v>10037</v>
      </c>
      <c r="AF16" s="346" t="s">
        <v>10038</v>
      </c>
      <c r="AG16" s="2833" t="s">
        <v>10039</v>
      </c>
      <c r="AH16" s="637" t="s">
        <v>10040</v>
      </c>
    </row>
    <row r="17" spans="1:34" s="328" customFormat="1" ht="15" customHeight="1">
      <c r="A17" s="1803">
        <v>10</v>
      </c>
      <c r="B17" s="369" t="s">
        <v>11200</v>
      </c>
      <c r="C17" s="33" t="str">
        <f>IF($I$1="Select company","",IF(Validation!$H$3=1,"",(IF(HLOOKUP((VLOOKUP($I$1,Lists!$B$4:$C$23,2,FALSE)),'Sewerage PR16'!$A$1:$S$24,'2H'!A17+1,FALSE)=0,"",HLOOKUP((VLOOKUP($I$1,Lists!$B$4:$C$23,2,FALSE)),'Sewerage PR16'!$A$1:$S$25,'2H'!A17+1,FALSE)))))</f>
        <v>Wastewater services 5 to 50 MI</v>
      </c>
      <c r="D17" s="1590"/>
      <c r="E17" s="457"/>
      <c r="F17" s="447"/>
      <c r="G17" s="346">
        <f t="shared" si="5"/>
        <v>0</v>
      </c>
      <c r="H17" s="642"/>
      <c r="I17" s="637">
        <f t="shared" si="1"/>
        <v>0</v>
      </c>
      <c r="J17" s="71"/>
      <c r="K17" s="75"/>
      <c r="L17" s="24" t="str">
        <f t="shared" si="2"/>
        <v>Please complete all cells in row</v>
      </c>
      <c r="M17" s="71"/>
      <c r="N17" s="72"/>
      <c r="O17" s="98">
        <f t="shared" si="3"/>
        <v>1</v>
      </c>
      <c r="P17" s="98">
        <f t="shared" si="3"/>
        <v>1</v>
      </c>
      <c r="Q17" s="98">
        <f t="shared" si="4"/>
        <v>1</v>
      </c>
      <c r="R17" s="72"/>
      <c r="S17" s="8"/>
      <c r="T17" s="72"/>
      <c r="U17" s="75"/>
      <c r="V17" s="75"/>
      <c r="W17" s="75"/>
      <c r="X17" s="72"/>
      <c r="AA17" s="369">
        <f t="shared" si="7"/>
        <v>10</v>
      </c>
      <c r="AB17" s="33" t="str">
        <f t="shared" si="6"/>
        <v>Wastewater services 5 to 50 MI</v>
      </c>
      <c r="AC17" s="1590"/>
      <c r="AD17" s="2831" t="s">
        <v>10041</v>
      </c>
      <c r="AE17" s="2832" t="s">
        <v>10042</v>
      </c>
      <c r="AF17" s="346" t="s">
        <v>10043</v>
      </c>
      <c r="AG17" s="2833" t="s">
        <v>10044</v>
      </c>
      <c r="AH17" s="637" t="s">
        <v>10045</v>
      </c>
    </row>
    <row r="18" spans="1:34" s="328" customFormat="1" ht="15" customHeight="1">
      <c r="A18" s="1803">
        <v>11</v>
      </c>
      <c r="B18" s="369" t="s">
        <v>11201</v>
      </c>
      <c r="C18" s="33" t="str">
        <f>IF($I$1="Select company","",IF(Validation!$H$3=1,"",(IF(HLOOKUP((VLOOKUP($I$1,Lists!$B$4:$C$23,2,FALSE)),'Sewerage PR16'!$A$1:$S$24,'2H'!A18+1,FALSE)=0,"",HLOOKUP((VLOOKUP($I$1,Lists!$B$4:$C$23,2,FALSE)),'Sewerage PR16'!$A$1:$S$25,'2H'!A18+1,FALSE)))))</f>
        <v>Wastewater
services 50 MI and over</v>
      </c>
      <c r="D18" s="1590"/>
      <c r="E18" s="457"/>
      <c r="F18" s="447"/>
      <c r="G18" s="346">
        <f t="shared" si="5"/>
        <v>0</v>
      </c>
      <c r="H18" s="642"/>
      <c r="I18" s="637">
        <f t="shared" si="1"/>
        <v>0</v>
      </c>
      <c r="J18" s="71"/>
      <c r="K18" s="75"/>
      <c r="L18" s="24" t="str">
        <f t="shared" si="2"/>
        <v>Please complete all cells in row</v>
      </c>
      <c r="M18" s="71"/>
      <c r="N18" s="72"/>
      <c r="O18" s="98">
        <f t="shared" si="3"/>
        <v>1</v>
      </c>
      <c r="P18" s="98">
        <f t="shared" si="3"/>
        <v>1</v>
      </c>
      <c r="Q18" s="98">
        <f t="shared" si="4"/>
        <v>1</v>
      </c>
      <c r="R18" s="72"/>
      <c r="S18" s="8"/>
      <c r="T18" s="72"/>
      <c r="U18" s="75"/>
      <c r="V18" s="75"/>
      <c r="W18" s="75"/>
      <c r="X18" s="72"/>
      <c r="AA18" s="369">
        <f t="shared" si="7"/>
        <v>11</v>
      </c>
      <c r="AB18" s="33" t="str">
        <f t="shared" si="6"/>
        <v>Wastewater
services 50 MI and over</v>
      </c>
      <c r="AC18" s="1590"/>
      <c r="AD18" s="2831" t="s">
        <v>10046</v>
      </c>
      <c r="AE18" s="2832" t="s">
        <v>10047</v>
      </c>
      <c r="AF18" s="346" t="s">
        <v>10048</v>
      </c>
      <c r="AG18" s="2833" t="s">
        <v>10049</v>
      </c>
      <c r="AH18" s="637" t="s">
        <v>10050</v>
      </c>
    </row>
    <row r="19" spans="1:34" s="328" customFormat="1" ht="15" customHeight="1">
      <c r="A19" s="1803">
        <v>12</v>
      </c>
      <c r="B19" s="369" t="s">
        <v>11202</v>
      </c>
      <c r="C19" s="33" t="str">
        <f>IF($I$1="Select company","",IF(Validation!$H$3=1,"",(IF(HLOOKUP((VLOOKUP($I$1,Lists!$B$4:$C$23,2,FALSE)),'Sewerage PR16'!$A$1:$S$24,'2H'!A19+1,FALSE)=0,"",HLOOKUP((VLOOKUP($I$1,Lists!$B$4:$C$23,2,FALSE)),'Sewerage PR16'!$A$1:$S$25,'2H'!A19+1,FALSE)))))</f>
        <v/>
      </c>
      <c r="D19" s="1590"/>
      <c r="E19" s="457"/>
      <c r="F19" s="447"/>
      <c r="G19" s="346">
        <f t="shared" si="5"/>
        <v>0</v>
      </c>
      <c r="H19" s="642"/>
      <c r="I19" s="637">
        <f t="shared" si="1"/>
        <v>0</v>
      </c>
      <c r="J19" s="71"/>
      <c r="K19" s="75"/>
      <c r="L19" s="24">
        <f t="shared" si="2"/>
        <v>0</v>
      </c>
      <c r="M19" s="71"/>
      <c r="N19" s="72"/>
      <c r="O19" s="98">
        <f t="shared" si="3"/>
        <v>0</v>
      </c>
      <c r="P19" s="98">
        <f t="shared" si="3"/>
        <v>0</v>
      </c>
      <c r="Q19" s="98">
        <f t="shared" si="4"/>
        <v>0</v>
      </c>
      <c r="R19" s="72"/>
      <c r="S19" s="8"/>
      <c r="T19" s="72"/>
      <c r="U19" s="75"/>
      <c r="V19" s="75"/>
      <c r="W19" s="75"/>
      <c r="X19" s="72"/>
      <c r="AA19" s="369">
        <f t="shared" si="7"/>
        <v>12</v>
      </c>
      <c r="AB19" s="33" t="str">
        <f t="shared" si="6"/>
        <v/>
      </c>
      <c r="AC19" s="1590"/>
      <c r="AD19" s="2831" t="s">
        <v>10051</v>
      </c>
      <c r="AE19" s="2832" t="s">
        <v>10052</v>
      </c>
      <c r="AF19" s="346" t="s">
        <v>10053</v>
      </c>
      <c r="AG19" s="2833" t="s">
        <v>10054</v>
      </c>
      <c r="AH19" s="637" t="s">
        <v>10055</v>
      </c>
    </row>
    <row r="20" spans="1:34" s="328" customFormat="1" ht="15" customHeight="1">
      <c r="A20" s="1803">
        <v>13</v>
      </c>
      <c r="B20" s="369" t="s">
        <v>11203</v>
      </c>
      <c r="C20" s="33" t="str">
        <f>IF($I$1="Select company","",IF(Validation!$H$3=1,"",(IF(HLOOKUP((VLOOKUP($I$1,Lists!$B$4:$C$23,2,FALSE)),'Sewerage PR16'!$A$1:$S$24,'2H'!A20+1,FALSE)=0,"",HLOOKUP((VLOOKUP($I$1,Lists!$B$4:$C$23,2,FALSE)),'Sewerage PR16'!$A$1:$S$25,'2H'!A20+1,FALSE)))))</f>
        <v/>
      </c>
      <c r="D20" s="1590"/>
      <c r="E20" s="457"/>
      <c r="F20" s="447"/>
      <c r="G20" s="346">
        <f t="shared" si="5"/>
        <v>0</v>
      </c>
      <c r="H20" s="642"/>
      <c r="I20" s="637">
        <f t="shared" si="1"/>
        <v>0</v>
      </c>
      <c r="J20" s="71"/>
      <c r="K20" s="75"/>
      <c r="L20" s="24">
        <f t="shared" si="2"/>
        <v>0</v>
      </c>
      <c r="M20" s="71"/>
      <c r="N20" s="72"/>
      <c r="O20" s="98">
        <f t="shared" si="3"/>
        <v>0</v>
      </c>
      <c r="P20" s="98">
        <f t="shared" si="3"/>
        <v>0</v>
      </c>
      <c r="Q20" s="98">
        <f t="shared" si="4"/>
        <v>0</v>
      </c>
      <c r="R20" s="72"/>
      <c r="S20" s="8"/>
      <c r="T20" s="72"/>
      <c r="U20" s="75"/>
      <c r="V20" s="75"/>
      <c r="W20" s="75"/>
      <c r="X20" s="72"/>
      <c r="AA20" s="369">
        <f t="shared" si="7"/>
        <v>13</v>
      </c>
      <c r="AB20" s="33" t="str">
        <f t="shared" si="6"/>
        <v/>
      </c>
      <c r="AC20" s="1590"/>
      <c r="AD20" s="2831" t="s">
        <v>10056</v>
      </c>
      <c r="AE20" s="2832" t="s">
        <v>10057</v>
      </c>
      <c r="AF20" s="346" t="s">
        <v>10058</v>
      </c>
      <c r="AG20" s="2833" t="s">
        <v>10059</v>
      </c>
      <c r="AH20" s="637" t="s">
        <v>10060</v>
      </c>
    </row>
    <row r="21" spans="1:34" s="328" customFormat="1" ht="15" customHeight="1">
      <c r="A21" s="1803">
        <v>14</v>
      </c>
      <c r="B21" s="369" t="s">
        <v>11204</v>
      </c>
      <c r="C21" s="33" t="str">
        <f>IF($I$1="Select company","",IF(Validation!$H$3=1,"",(IF(HLOOKUP((VLOOKUP($I$1,Lists!$B$4:$C$23,2,FALSE)),'Sewerage PR16'!$A$1:$S$24,'2H'!A21+1,FALSE)=0,"",HLOOKUP((VLOOKUP($I$1,Lists!$B$4:$C$23,2,FALSE)),'Sewerage PR16'!$A$1:$S$25,'2H'!A21+1,FALSE)))))</f>
        <v/>
      </c>
      <c r="D21" s="1590"/>
      <c r="E21" s="457"/>
      <c r="F21" s="447"/>
      <c r="G21" s="346">
        <f t="shared" si="5"/>
        <v>0</v>
      </c>
      <c r="H21" s="642"/>
      <c r="I21" s="637">
        <f t="shared" si="1"/>
        <v>0</v>
      </c>
      <c r="J21" s="71"/>
      <c r="K21" s="75"/>
      <c r="L21" s="24">
        <f t="shared" si="2"/>
        <v>0</v>
      </c>
      <c r="M21" s="71"/>
      <c r="N21" s="72"/>
      <c r="O21" s="98">
        <f t="shared" si="3"/>
        <v>0</v>
      </c>
      <c r="P21" s="98">
        <f t="shared" si="3"/>
        <v>0</v>
      </c>
      <c r="Q21" s="98">
        <f t="shared" si="4"/>
        <v>0</v>
      </c>
      <c r="R21" s="72"/>
      <c r="S21" s="8"/>
      <c r="T21" s="72"/>
      <c r="U21" s="75"/>
      <c r="V21" s="75"/>
      <c r="W21" s="75"/>
      <c r="X21" s="72"/>
      <c r="AA21" s="369">
        <f t="shared" si="7"/>
        <v>14</v>
      </c>
      <c r="AB21" s="33" t="str">
        <f t="shared" si="6"/>
        <v/>
      </c>
      <c r="AC21" s="1590"/>
      <c r="AD21" s="2831" t="s">
        <v>10061</v>
      </c>
      <c r="AE21" s="2832" t="s">
        <v>10062</v>
      </c>
      <c r="AF21" s="346" t="s">
        <v>10063</v>
      </c>
      <c r="AG21" s="2833" t="s">
        <v>10064</v>
      </c>
      <c r="AH21" s="637" t="s">
        <v>10065</v>
      </c>
    </row>
    <row r="22" spans="1:34" s="328" customFormat="1" ht="15" customHeight="1">
      <c r="A22" s="1803">
        <v>15</v>
      </c>
      <c r="B22" s="369" t="s">
        <v>11205</v>
      </c>
      <c r="C22" s="33" t="str">
        <f>IF($I$1="Select company","",IF(Validation!$H$3=1,"",(IF(HLOOKUP((VLOOKUP($I$1,Lists!$B$4:$C$23,2,FALSE)),'Sewerage PR16'!$A$1:$S$24,'2H'!A22+1,FALSE)=0,"",HLOOKUP((VLOOKUP($I$1,Lists!$B$4:$C$23,2,FALSE)),'Sewerage PR16'!$A$1:$S$25,'2H'!A22+1,FALSE)))))</f>
        <v/>
      </c>
      <c r="D22" s="1590"/>
      <c r="E22" s="457"/>
      <c r="F22" s="447"/>
      <c r="G22" s="346">
        <f t="shared" si="5"/>
        <v>0</v>
      </c>
      <c r="H22" s="642"/>
      <c r="I22" s="637">
        <f t="shared" si="1"/>
        <v>0</v>
      </c>
      <c r="J22" s="123"/>
      <c r="K22" s="75"/>
      <c r="L22" s="24">
        <f t="shared" si="2"/>
        <v>0</v>
      </c>
      <c r="M22" s="71"/>
      <c r="N22" s="72"/>
      <c r="O22" s="98">
        <f t="shared" si="3"/>
        <v>0</v>
      </c>
      <c r="P22" s="98">
        <f t="shared" si="3"/>
        <v>0</v>
      </c>
      <c r="Q22" s="98">
        <f t="shared" si="4"/>
        <v>0</v>
      </c>
      <c r="R22" s="72"/>
      <c r="S22" s="86"/>
      <c r="T22" s="72"/>
      <c r="U22" s="75"/>
      <c r="V22" s="75"/>
      <c r="W22" s="75"/>
      <c r="X22" s="72"/>
      <c r="AA22" s="369">
        <f t="shared" si="7"/>
        <v>15</v>
      </c>
      <c r="AB22" s="33" t="str">
        <f t="shared" si="6"/>
        <v/>
      </c>
      <c r="AC22" s="1590"/>
      <c r="AD22" s="2831" t="s">
        <v>10066</v>
      </c>
      <c r="AE22" s="2832" t="s">
        <v>10067</v>
      </c>
      <c r="AF22" s="346" t="s">
        <v>10068</v>
      </c>
      <c r="AG22" s="2833" t="s">
        <v>10069</v>
      </c>
      <c r="AH22" s="637" t="s">
        <v>10070</v>
      </c>
    </row>
    <row r="23" spans="1:34" s="328" customFormat="1" ht="15" customHeight="1">
      <c r="A23" s="1803">
        <v>16</v>
      </c>
      <c r="B23" s="369" t="s">
        <v>11206</v>
      </c>
      <c r="C23" s="33" t="str">
        <f>IF($I$1="Select company","",IF(Validation!$H$3=1,"",(IF(HLOOKUP((VLOOKUP($I$1,Lists!$B$4:$C$23,2,FALSE)),'Sewerage PR16'!$A$1:$S$24,'2H'!A23+1,FALSE)=0,"",HLOOKUP((VLOOKUP($I$1,Lists!$B$4:$C$23,2,FALSE)),'Sewerage PR16'!$A$1:$S$25,'2H'!A23+1,FALSE)))))</f>
        <v/>
      </c>
      <c r="D23" s="1590"/>
      <c r="E23" s="457"/>
      <c r="F23" s="447"/>
      <c r="G23" s="346">
        <f t="shared" si="5"/>
        <v>0</v>
      </c>
      <c r="H23" s="642"/>
      <c r="I23" s="637">
        <f t="shared" si="1"/>
        <v>0</v>
      </c>
      <c r="J23" s="131"/>
      <c r="K23" s="75"/>
      <c r="L23" s="24">
        <f t="shared" si="2"/>
        <v>0</v>
      </c>
      <c r="M23" s="71"/>
      <c r="N23" s="72"/>
      <c r="O23" s="98">
        <f t="shared" si="3"/>
        <v>0</v>
      </c>
      <c r="P23" s="98">
        <f t="shared" si="3"/>
        <v>0</v>
      </c>
      <c r="Q23" s="98">
        <f t="shared" si="4"/>
        <v>0</v>
      </c>
      <c r="R23" s="72"/>
      <c r="S23" s="132"/>
      <c r="T23" s="129"/>
      <c r="U23" s="172"/>
      <c r="V23" s="172"/>
      <c r="W23" s="75"/>
      <c r="X23" s="129"/>
      <c r="AA23" s="369">
        <f t="shared" si="7"/>
        <v>16</v>
      </c>
      <c r="AB23" s="33" t="str">
        <f t="shared" si="6"/>
        <v/>
      </c>
      <c r="AC23" s="1590"/>
      <c r="AD23" s="2831" t="s">
        <v>10071</v>
      </c>
      <c r="AE23" s="2832" t="s">
        <v>10072</v>
      </c>
      <c r="AF23" s="346" t="s">
        <v>10073</v>
      </c>
      <c r="AG23" s="2833" t="s">
        <v>10074</v>
      </c>
      <c r="AH23" s="637" t="s">
        <v>10075</v>
      </c>
    </row>
    <row r="24" spans="1:34" s="328" customFormat="1" ht="15" customHeight="1">
      <c r="A24" s="1803">
        <v>17</v>
      </c>
      <c r="B24" s="369" t="s">
        <v>11207</v>
      </c>
      <c r="C24" s="33" t="str">
        <f>IF($I$1="Select company","",IF(Validation!$H$3=1,"",(IF(HLOOKUP((VLOOKUP($I$1,Lists!$B$4:$C$23,2,FALSE)),'Sewerage PR16'!$A$1:$S$24,'2H'!A24+1,FALSE)=0,"",HLOOKUP((VLOOKUP($I$1,Lists!$B$4:$C$23,2,FALSE)),'Sewerage PR16'!$A$1:$S$25,'2H'!A24+1,FALSE)))))</f>
        <v/>
      </c>
      <c r="D24" s="1590"/>
      <c r="E24" s="457"/>
      <c r="F24" s="459"/>
      <c r="G24" s="346">
        <f t="shared" si="5"/>
        <v>0</v>
      </c>
      <c r="H24" s="642"/>
      <c r="I24" s="637">
        <f t="shared" si="1"/>
        <v>0</v>
      </c>
      <c r="J24" s="131"/>
      <c r="K24" s="75"/>
      <c r="L24" s="24">
        <f t="shared" si="2"/>
        <v>0</v>
      </c>
      <c r="M24" s="71"/>
      <c r="N24" s="72"/>
      <c r="O24" s="98">
        <f t="shared" si="3"/>
        <v>0</v>
      </c>
      <c r="P24" s="98">
        <f t="shared" si="3"/>
        <v>0</v>
      </c>
      <c r="Q24" s="98">
        <f t="shared" si="4"/>
        <v>0</v>
      </c>
      <c r="R24" s="72"/>
      <c r="S24" s="86"/>
      <c r="T24" s="124"/>
      <c r="U24" s="75"/>
      <c r="V24" s="75"/>
      <c r="W24" s="75"/>
      <c r="X24" s="124"/>
      <c r="AA24" s="369">
        <f t="shared" si="7"/>
        <v>17</v>
      </c>
      <c r="AB24" s="33" t="str">
        <f t="shared" si="6"/>
        <v/>
      </c>
      <c r="AC24" s="1590"/>
      <c r="AD24" s="2831" t="s">
        <v>10076</v>
      </c>
      <c r="AE24" s="2832" t="s">
        <v>10077</v>
      </c>
      <c r="AF24" s="346" t="s">
        <v>10078</v>
      </c>
      <c r="AG24" s="2833" t="s">
        <v>10079</v>
      </c>
      <c r="AH24" s="637" t="s">
        <v>10080</v>
      </c>
    </row>
    <row r="25" spans="1:34" s="328" customFormat="1" ht="15" customHeight="1">
      <c r="A25" s="1803">
        <v>18</v>
      </c>
      <c r="B25" s="369" t="s">
        <v>11208</v>
      </c>
      <c r="C25" s="33" t="str">
        <f>IF($I$1="Select company","",IF(Validation!$H$3=1,"",(IF(HLOOKUP((VLOOKUP($I$1,Lists!$B$4:$C$23,2,FALSE)),'Sewerage PR16'!$A$1:$S$24,'2H'!A25+1,FALSE)=0,"",HLOOKUP((VLOOKUP($I$1,Lists!$B$4:$C$23,2,FALSE)),'Sewerage PR16'!$A$1:$S$25,'2H'!A25+1,FALSE)))))</f>
        <v/>
      </c>
      <c r="D25" s="1590"/>
      <c r="E25" s="457"/>
      <c r="F25" s="459"/>
      <c r="G25" s="346">
        <f t="shared" si="5"/>
        <v>0</v>
      </c>
      <c r="H25" s="642"/>
      <c r="I25" s="637">
        <f t="shared" si="1"/>
        <v>0</v>
      </c>
      <c r="J25" s="131"/>
      <c r="K25" s="75"/>
      <c r="L25" s="24">
        <f t="shared" si="2"/>
        <v>0</v>
      </c>
      <c r="M25" s="71"/>
      <c r="N25" s="72"/>
      <c r="O25" s="98">
        <f t="shared" si="3"/>
        <v>0</v>
      </c>
      <c r="P25" s="98">
        <f t="shared" si="3"/>
        <v>0</v>
      </c>
      <c r="Q25" s="98">
        <f t="shared" si="4"/>
        <v>0</v>
      </c>
      <c r="R25" s="72"/>
      <c r="S25" s="86"/>
      <c r="T25" s="124"/>
      <c r="U25" s="75"/>
      <c r="V25" s="75"/>
      <c r="W25" s="75"/>
      <c r="X25" s="124"/>
      <c r="AA25" s="369">
        <f t="shared" si="7"/>
        <v>18</v>
      </c>
      <c r="AB25" s="33" t="str">
        <f t="shared" si="6"/>
        <v/>
      </c>
      <c r="AC25" s="1590"/>
      <c r="AD25" s="2831" t="s">
        <v>10081</v>
      </c>
      <c r="AE25" s="2832" t="s">
        <v>10082</v>
      </c>
      <c r="AF25" s="346" t="s">
        <v>10083</v>
      </c>
      <c r="AG25" s="2833" t="s">
        <v>10084</v>
      </c>
      <c r="AH25" s="637" t="s">
        <v>10085</v>
      </c>
    </row>
    <row r="26" spans="1:34" s="328" customFormat="1" ht="15" customHeight="1">
      <c r="A26" s="1803">
        <v>19</v>
      </c>
      <c r="B26" s="369" t="s">
        <v>11209</v>
      </c>
      <c r="C26" s="33" t="str">
        <f>IF($I$1="Select company","",IF(Validation!$H$3=1,"",(IF(HLOOKUP((VLOOKUP($I$1,Lists!$B$4:$C$23,2,FALSE)),'Sewerage PR16'!$A$1:$S$24,'2H'!A26+1,FALSE)=0,"",HLOOKUP((VLOOKUP($I$1,Lists!$B$4:$C$23,2,FALSE)),'Sewerage PR16'!$A$1:$S$25,'2H'!A26+1,FALSE)))))</f>
        <v/>
      </c>
      <c r="D26" s="1591"/>
      <c r="E26" s="458"/>
      <c r="F26" s="459"/>
      <c r="G26" s="346">
        <f t="shared" si="5"/>
        <v>0</v>
      </c>
      <c r="H26" s="642"/>
      <c r="I26" s="637">
        <f t="shared" si="1"/>
        <v>0</v>
      </c>
      <c r="J26" s="131"/>
      <c r="K26" s="75"/>
      <c r="L26" s="24">
        <f t="shared" si="2"/>
        <v>0</v>
      </c>
      <c r="M26" s="71"/>
      <c r="N26" s="72"/>
      <c r="O26" s="98">
        <f t="shared" si="3"/>
        <v>0</v>
      </c>
      <c r="P26" s="98">
        <f t="shared" si="3"/>
        <v>0</v>
      </c>
      <c r="Q26" s="98">
        <f t="shared" si="4"/>
        <v>0</v>
      </c>
      <c r="R26" s="72"/>
      <c r="S26" s="86"/>
      <c r="T26" s="124"/>
      <c r="U26" s="75"/>
      <c r="V26" s="75"/>
      <c r="W26" s="75"/>
      <c r="X26" s="124"/>
      <c r="AA26" s="369">
        <f t="shared" si="7"/>
        <v>19</v>
      </c>
      <c r="AB26" s="33" t="str">
        <f t="shared" si="6"/>
        <v/>
      </c>
      <c r="AC26" s="1591"/>
      <c r="AD26" s="2834" t="s">
        <v>10086</v>
      </c>
      <c r="AE26" s="2835" t="s">
        <v>10087</v>
      </c>
      <c r="AF26" s="346" t="s">
        <v>10088</v>
      </c>
      <c r="AG26" s="2833" t="s">
        <v>10089</v>
      </c>
      <c r="AH26" s="637" t="s">
        <v>10090</v>
      </c>
    </row>
    <row r="27" spans="1:34" s="328" customFormat="1" ht="15" customHeight="1">
      <c r="A27" s="1803">
        <v>20</v>
      </c>
      <c r="B27" s="369" t="s">
        <v>11210</v>
      </c>
      <c r="C27" s="33" t="str">
        <f>IF($I$1="Select company","",IF(Validation!$H$3=1,"",(IF(HLOOKUP((VLOOKUP($I$1,Lists!$B$4:$C$23,2,FALSE)),'Sewerage PR16'!$A$1:$S$24,'2H'!A27+1,FALSE)=0,"",HLOOKUP((VLOOKUP($I$1,Lists!$B$4:$C$23,2,FALSE)),'Sewerage PR16'!$A$1:$S$25,'2H'!A27+1,FALSE)))))</f>
        <v/>
      </c>
      <c r="D27" s="1591"/>
      <c r="E27" s="458"/>
      <c r="F27" s="459"/>
      <c r="G27" s="346">
        <f t="shared" si="5"/>
        <v>0</v>
      </c>
      <c r="H27" s="642"/>
      <c r="I27" s="637">
        <f t="shared" si="1"/>
        <v>0</v>
      </c>
      <c r="J27" s="131"/>
      <c r="K27" s="75"/>
      <c r="L27" s="24">
        <f t="shared" si="2"/>
        <v>0</v>
      </c>
      <c r="M27" s="71"/>
      <c r="N27" s="72"/>
      <c r="O27" s="98">
        <f t="shared" si="3"/>
        <v>0</v>
      </c>
      <c r="P27" s="98">
        <f t="shared" si="3"/>
        <v>0</v>
      </c>
      <c r="Q27" s="98">
        <f t="shared" si="4"/>
        <v>0</v>
      </c>
      <c r="R27" s="72"/>
      <c r="S27" s="86"/>
      <c r="T27" s="124"/>
      <c r="U27" s="75"/>
      <c r="V27" s="75"/>
      <c r="W27" s="75"/>
      <c r="X27" s="124"/>
      <c r="AA27" s="369">
        <f t="shared" si="7"/>
        <v>20</v>
      </c>
      <c r="AB27" s="33" t="str">
        <f t="shared" si="6"/>
        <v/>
      </c>
      <c r="AC27" s="1591"/>
      <c r="AD27" s="2834" t="s">
        <v>10091</v>
      </c>
      <c r="AE27" s="2835" t="s">
        <v>10092</v>
      </c>
      <c r="AF27" s="346" t="s">
        <v>10093</v>
      </c>
      <c r="AG27" s="2833" t="s">
        <v>10094</v>
      </c>
      <c r="AH27" s="637" t="s">
        <v>10095</v>
      </c>
    </row>
    <row r="28" spans="1:34" s="328" customFormat="1" ht="15" customHeight="1">
      <c r="A28" s="1803">
        <v>21</v>
      </c>
      <c r="B28" s="369" t="s">
        <v>11211</v>
      </c>
      <c r="C28" s="33" t="str">
        <f>IF($I$1="Select company","",IF(Validation!$H$3=1,"",(IF(HLOOKUP((VLOOKUP($I$1,Lists!$B$4:$C$23,2,FALSE)),'Sewerage PR16'!$A$1:$S$24,'2H'!A28+1,FALSE)=0,"",HLOOKUP((VLOOKUP($I$1,Lists!$B$4:$C$23,2,FALSE)),'Sewerage PR16'!$A$1:$S$25,'2H'!A28+1,FALSE)))))</f>
        <v/>
      </c>
      <c r="D28" s="1591"/>
      <c r="E28" s="458"/>
      <c r="F28" s="459"/>
      <c r="G28" s="346">
        <f t="shared" si="5"/>
        <v>0</v>
      </c>
      <c r="H28" s="642"/>
      <c r="I28" s="637">
        <f t="shared" si="1"/>
        <v>0</v>
      </c>
      <c r="J28" s="131"/>
      <c r="K28" s="75"/>
      <c r="L28" s="24">
        <f t="shared" si="2"/>
        <v>0</v>
      </c>
      <c r="M28" s="71"/>
      <c r="N28" s="72"/>
      <c r="O28" s="98">
        <f t="shared" si="3"/>
        <v>0</v>
      </c>
      <c r="P28" s="98">
        <f t="shared" si="3"/>
        <v>0</v>
      </c>
      <c r="Q28" s="98">
        <f t="shared" si="4"/>
        <v>0</v>
      </c>
      <c r="R28" s="72"/>
      <c r="S28" s="132"/>
      <c r="T28" s="124"/>
      <c r="U28" s="172"/>
      <c r="V28" s="172"/>
      <c r="W28" s="75"/>
      <c r="X28" s="124"/>
      <c r="AA28" s="369">
        <f t="shared" si="7"/>
        <v>21</v>
      </c>
      <c r="AB28" s="33" t="str">
        <f t="shared" si="6"/>
        <v/>
      </c>
      <c r="AC28" s="1591"/>
      <c r="AD28" s="2834" t="s">
        <v>10096</v>
      </c>
      <c r="AE28" s="2835" t="s">
        <v>10097</v>
      </c>
      <c r="AF28" s="346" t="s">
        <v>10098</v>
      </c>
      <c r="AG28" s="2833" t="s">
        <v>10099</v>
      </c>
      <c r="AH28" s="637" t="s">
        <v>10100</v>
      </c>
    </row>
    <row r="29" spans="1:34" s="328" customFormat="1" ht="15" customHeight="1">
      <c r="A29" s="1803">
        <v>22</v>
      </c>
      <c r="B29" s="369" t="s">
        <v>11212</v>
      </c>
      <c r="C29" s="33" t="str">
        <f>IF($I$1="Select company","",IF(Validation!$H$3=1,"",(IF(HLOOKUP((VLOOKUP($I$1,Lists!$B$4:$C$23,2,FALSE)),'Sewerage PR16'!$A$1:$S$24,'2H'!A29+1,FALSE)=0,"",HLOOKUP((VLOOKUP($I$1,Lists!$B$4:$C$23,2,FALSE)),'Sewerage PR16'!$A$1:$S$25,'2H'!A29+1,FALSE)))))</f>
        <v/>
      </c>
      <c r="D29" s="1591"/>
      <c r="E29" s="458"/>
      <c r="F29" s="459"/>
      <c r="G29" s="346">
        <f t="shared" ref="G29:G30" si="8" xml:space="preserve"> F29 + E29</f>
        <v>0</v>
      </c>
      <c r="H29" s="642"/>
      <c r="I29" s="637">
        <f t="shared" ref="I29:I30" si="9" xml:space="preserve"> IF( H29 = 0, 0, F29 / H29 * 1000 )</f>
        <v>0</v>
      </c>
      <c r="J29" s="131"/>
      <c r="K29" s="75"/>
      <c r="L29" s="24">
        <f t="shared" ref="L29:L30" si="10" xml:space="preserve"> IF( SUM( N29:R29 ) = 0, 0, $O$5 )</f>
        <v>0</v>
      </c>
      <c r="M29" s="71"/>
      <c r="N29" s="72"/>
      <c r="O29" s="98">
        <f t="shared" ref="O29:O30" si="11">IF($C29="",0,IF(ISNUMBER(E29),0,1))</f>
        <v>0</v>
      </c>
      <c r="P29" s="98">
        <f t="shared" ref="P29:P30" si="12">IF($C29="",0,IF(ISNUMBER(F29),0,1))</f>
        <v>0</v>
      </c>
      <c r="Q29" s="98">
        <f t="shared" ref="Q29:Q30" si="13">IF($C29="",0,IF(ISNUMBER(H29),0,1))</f>
        <v>0</v>
      </c>
      <c r="R29" s="72"/>
      <c r="S29" s="132"/>
      <c r="T29" s="124"/>
      <c r="U29" s="172"/>
      <c r="V29" s="172"/>
      <c r="W29" s="75"/>
      <c r="X29" s="124"/>
      <c r="AA29" s="369">
        <v>22</v>
      </c>
      <c r="AB29" s="33" t="str">
        <f t="shared" si="6"/>
        <v/>
      </c>
      <c r="AC29" s="1591"/>
      <c r="AD29" s="2834" t="s">
        <v>12420</v>
      </c>
      <c r="AE29" s="2835" t="s">
        <v>12422</v>
      </c>
      <c r="AF29" s="346" t="s">
        <v>12424</v>
      </c>
      <c r="AG29" s="2833" t="s">
        <v>12426</v>
      </c>
      <c r="AH29" s="637" t="s">
        <v>12428</v>
      </c>
    </row>
    <row r="30" spans="1:34" s="328" customFormat="1" ht="15" customHeight="1">
      <c r="A30" s="1803">
        <v>23</v>
      </c>
      <c r="B30" s="369" t="s">
        <v>11213</v>
      </c>
      <c r="C30" s="33" t="str">
        <f>IF($I$1="Select company","",IF(Validation!$H$3=1,"",(IF(HLOOKUP((VLOOKUP($I$1,Lists!$B$4:$C$23,2,FALSE)),'Sewerage PR16'!$A$1:$S$24,'2H'!A30+1,FALSE)=0,"",HLOOKUP((VLOOKUP($I$1,Lists!$B$4:$C$23,2,FALSE)),'Sewerage PR16'!$A$1:$S$25,'2H'!A30+1,FALSE)))))</f>
        <v/>
      </c>
      <c r="D30" s="1591"/>
      <c r="E30" s="458"/>
      <c r="F30" s="459"/>
      <c r="G30" s="346">
        <f t="shared" si="8"/>
        <v>0</v>
      </c>
      <c r="H30" s="642"/>
      <c r="I30" s="637">
        <f t="shared" si="9"/>
        <v>0</v>
      </c>
      <c r="J30" s="131"/>
      <c r="K30" s="75"/>
      <c r="L30" s="24">
        <f t="shared" si="10"/>
        <v>0</v>
      </c>
      <c r="M30" s="71"/>
      <c r="N30" s="72"/>
      <c r="O30" s="98">
        <f t="shared" si="11"/>
        <v>0</v>
      </c>
      <c r="P30" s="98">
        <f t="shared" si="12"/>
        <v>0</v>
      </c>
      <c r="Q30" s="98">
        <f t="shared" si="13"/>
        <v>0</v>
      </c>
      <c r="R30" s="72"/>
      <c r="S30" s="132"/>
      <c r="T30" s="124"/>
      <c r="U30" s="172"/>
      <c r="V30" s="172"/>
      <c r="W30" s="75"/>
      <c r="X30" s="124"/>
      <c r="AA30" s="369">
        <v>23</v>
      </c>
      <c r="AB30" s="33" t="str">
        <f t="shared" si="6"/>
        <v/>
      </c>
      <c r="AC30" s="1591"/>
      <c r="AD30" s="2834" t="s">
        <v>12421</v>
      </c>
      <c r="AE30" s="2835" t="s">
        <v>12423</v>
      </c>
      <c r="AF30" s="346" t="s">
        <v>12425</v>
      </c>
      <c r="AG30" s="2833" t="s">
        <v>12427</v>
      </c>
      <c r="AH30" s="637" t="s">
        <v>12429</v>
      </c>
    </row>
    <row r="31" spans="1:34" s="328" customFormat="1" ht="17.25" customHeight="1" thickBot="1">
      <c r="A31" s="1803">
        <v>22</v>
      </c>
      <c r="B31" s="370" t="s">
        <v>11214</v>
      </c>
      <c r="C31" s="2114" t="s">
        <v>2679</v>
      </c>
      <c r="D31" s="1592"/>
      <c r="E31" s="347">
        <f xml:space="preserve"> SUM( E9:E28 )</f>
        <v>0</v>
      </c>
      <c r="F31" s="348">
        <f xml:space="preserve"> SUM( F9:F28 )</f>
        <v>0</v>
      </c>
      <c r="G31" s="349">
        <f xml:space="preserve"> SUM( G9:G28 )</f>
        <v>0</v>
      </c>
      <c r="H31" s="358">
        <f xml:space="preserve"> SUM( H9:H28 )</f>
        <v>0</v>
      </c>
      <c r="I31" s="484">
        <f t="shared" si="1"/>
        <v>0</v>
      </c>
      <c r="J31" s="131"/>
      <c r="K31" s="75"/>
      <c r="L31" s="131"/>
      <c r="M31" s="131"/>
      <c r="N31" s="124"/>
      <c r="O31" s="210"/>
      <c r="P31" s="170"/>
      <c r="Q31" s="170"/>
      <c r="R31" s="124"/>
      <c r="S31" s="132"/>
      <c r="T31" s="124"/>
      <c r="U31" s="172"/>
      <c r="V31" s="172"/>
      <c r="W31" s="75"/>
      <c r="X31" s="124"/>
      <c r="AA31" s="370">
        <v>24</v>
      </c>
      <c r="AB31" s="2114" t="s">
        <v>2679</v>
      </c>
      <c r="AC31" s="1592"/>
      <c r="AD31" s="347" t="s">
        <v>10101</v>
      </c>
      <c r="AE31" s="348" t="s">
        <v>10102</v>
      </c>
      <c r="AF31" s="349" t="s">
        <v>10103</v>
      </c>
      <c r="AG31" s="358" t="s">
        <v>10104</v>
      </c>
      <c r="AH31" s="484" t="s">
        <v>10105</v>
      </c>
    </row>
    <row r="32" spans="1:34" s="71" customFormat="1" ht="15" thickBot="1">
      <c r="A32" s="200"/>
      <c r="E32" s="83"/>
      <c r="F32" s="170"/>
      <c r="G32" s="83"/>
      <c r="H32" s="643"/>
      <c r="I32" s="638"/>
      <c r="J32" s="135"/>
      <c r="K32" s="75"/>
      <c r="L32" s="131"/>
      <c r="M32" s="131"/>
      <c r="N32" s="124"/>
      <c r="O32" s="210"/>
      <c r="P32" s="185"/>
      <c r="Q32" s="185"/>
      <c r="R32" s="124"/>
      <c r="S32" s="8"/>
      <c r="T32" s="124"/>
      <c r="U32" s="75"/>
      <c r="V32" s="75"/>
      <c r="W32" s="75"/>
      <c r="X32" s="124"/>
      <c r="AD32" s="83"/>
      <c r="AE32" s="170"/>
      <c r="AF32" s="83"/>
      <c r="AG32" s="643"/>
      <c r="AH32" s="638"/>
    </row>
    <row r="33" spans="1:34" s="328" customFormat="1" ht="26.25" customHeight="1" thickBot="1">
      <c r="A33" s="270"/>
      <c r="B33" s="367" t="s">
        <v>12418</v>
      </c>
      <c r="C33" s="28" t="s">
        <v>2554</v>
      </c>
      <c r="D33" s="1588"/>
      <c r="E33" s="354">
        <f xml:space="preserve"> E31 + E6</f>
        <v>0</v>
      </c>
      <c r="F33" s="355">
        <f xml:space="preserve"> F31 + F6</f>
        <v>0</v>
      </c>
      <c r="G33" s="356">
        <f xml:space="preserve"> G31 + G6</f>
        <v>0</v>
      </c>
      <c r="H33" s="644">
        <f xml:space="preserve"> H31 + H6</f>
        <v>0</v>
      </c>
      <c r="I33" s="634">
        <f xml:space="preserve"> IF( H33 = 0, 0, F33 / H33 * 1000 )</f>
        <v>0</v>
      </c>
      <c r="J33" s="135"/>
      <c r="K33" s="66" t="str">
        <f xml:space="preserve"> IF( SUM( R33:T33 ) = 0, 0, W33 )</f>
        <v>The total of column 1 should be equal to the sum of lines 2I.5 and 2I.6.</v>
      </c>
      <c r="L33" s="131"/>
      <c r="M33" s="131"/>
      <c r="N33" s="124"/>
      <c r="O33" s="210"/>
      <c r="P33" s="170"/>
      <c r="Q33" s="170"/>
      <c r="R33" s="124"/>
      <c r="S33" s="98">
        <f xml:space="preserve"> IF( (U33 - V33) = 0, 0, 1 )</f>
        <v>1</v>
      </c>
      <c r="T33" s="124"/>
      <c r="U33" s="172">
        <f xml:space="preserve"> ROUND(E33, 3)</f>
        <v>0</v>
      </c>
      <c r="V33" s="172">
        <f xml:space="preserve"> ROUND( SUM( '2I - SWT'!H12:H13 ), 3)</f>
        <v>61.683999999999997</v>
      </c>
      <c r="W33" s="75" t="s">
        <v>12226</v>
      </c>
      <c r="X33" s="124"/>
      <c r="AA33" s="367">
        <f xml:space="preserve"> AA31 + 1</f>
        <v>25</v>
      </c>
      <c r="AB33" s="28" t="s">
        <v>2554</v>
      </c>
      <c r="AC33" s="1588"/>
      <c r="AD33" s="354" t="s">
        <v>10106</v>
      </c>
      <c r="AE33" s="355" t="s">
        <v>10107</v>
      </c>
      <c r="AF33" s="356" t="s">
        <v>10108</v>
      </c>
      <c r="AG33" s="644" t="s">
        <v>10109</v>
      </c>
      <c r="AH33" s="634" t="s">
        <v>10110</v>
      </c>
    </row>
    <row r="34" spans="1:34" s="270" customFormat="1" ht="17.25" customHeight="1" thickBot="1">
      <c r="B34" s="278"/>
      <c r="E34" s="75"/>
      <c r="F34" s="75"/>
      <c r="G34" s="75"/>
      <c r="H34" s="75"/>
      <c r="I34" s="75"/>
      <c r="J34" s="648"/>
      <c r="K34" s="75"/>
      <c r="L34" s="247"/>
      <c r="M34" s="247"/>
      <c r="N34" s="124"/>
      <c r="O34" s="649"/>
      <c r="P34" s="331"/>
      <c r="Q34" s="331"/>
      <c r="R34" s="124"/>
      <c r="S34" s="132"/>
      <c r="T34" s="124"/>
      <c r="U34" s="231"/>
      <c r="V34" s="231"/>
      <c r="W34" s="75"/>
      <c r="X34" s="124"/>
      <c r="AA34" s="278"/>
      <c r="AD34" s="75"/>
      <c r="AE34" s="75"/>
      <c r="AF34" s="75"/>
      <c r="AG34" s="75"/>
      <c r="AH34" s="75"/>
    </row>
    <row r="35" spans="1:34" s="71" customFormat="1" ht="51.75" thickBot="1">
      <c r="A35" s="200"/>
      <c r="F35" s="170"/>
      <c r="H35" s="364" t="s">
        <v>3626</v>
      </c>
      <c r="I35" s="364" t="s">
        <v>2675</v>
      </c>
      <c r="J35" s="135"/>
      <c r="K35" s="75"/>
      <c r="L35" s="131"/>
      <c r="M35" s="131"/>
      <c r="N35" s="124"/>
      <c r="O35" s="210"/>
      <c r="P35" s="185"/>
      <c r="Q35" s="185"/>
      <c r="R35" s="124"/>
      <c r="S35" s="496"/>
      <c r="T35" s="124"/>
      <c r="U35" s="75"/>
      <c r="V35" s="75"/>
      <c r="W35" s="75"/>
      <c r="X35" s="124"/>
      <c r="Y35" s="185"/>
      <c r="AE35" s="170"/>
      <c r="AG35" s="364" t="s">
        <v>3626</v>
      </c>
      <c r="AH35" s="364" t="s">
        <v>2675</v>
      </c>
    </row>
    <row r="36" spans="1:34" s="321" customFormat="1" ht="15" customHeight="1" thickBot="1">
      <c r="A36" s="75"/>
      <c r="B36" s="269" t="s">
        <v>2464</v>
      </c>
      <c r="C36" s="27" t="s">
        <v>3627</v>
      </c>
      <c r="D36" s="1587"/>
      <c r="E36" s="146"/>
      <c r="F36" s="146"/>
      <c r="G36" s="146"/>
      <c r="H36" s="640"/>
      <c r="I36" s="635"/>
      <c r="J36" s="146"/>
      <c r="K36" s="75"/>
      <c r="L36" s="146"/>
      <c r="M36" s="71"/>
      <c r="N36" s="72"/>
      <c r="O36" s="210"/>
      <c r="P36" s="185"/>
      <c r="Q36" s="185"/>
      <c r="R36" s="72"/>
      <c r="S36" s="496"/>
      <c r="T36" s="72"/>
      <c r="U36" s="75"/>
      <c r="V36" s="75"/>
      <c r="W36" s="75"/>
      <c r="X36" s="72"/>
      <c r="Y36" s="71"/>
      <c r="AA36" s="269" t="s">
        <v>2464</v>
      </c>
      <c r="AB36" s="27" t="s">
        <v>3627</v>
      </c>
      <c r="AC36" s="1587"/>
      <c r="AD36" s="146"/>
      <c r="AE36" s="146"/>
      <c r="AF36" s="146"/>
      <c r="AG36" s="640"/>
      <c r="AH36" s="635"/>
    </row>
    <row r="37" spans="1:34" s="321" customFormat="1" ht="15" customHeight="1" thickBot="1">
      <c r="A37" s="75"/>
      <c r="B37" s="645" t="s">
        <v>12419</v>
      </c>
      <c r="C37" s="646" t="s">
        <v>2554</v>
      </c>
      <c r="D37" s="270"/>
      <c r="E37" s="71"/>
      <c r="F37" s="71"/>
      <c r="G37" s="71"/>
      <c r="H37" s="639"/>
      <c r="I37" s="634">
        <f xml:space="preserve"> IF( H37 = 0, 0, F33 / H37 * 1000 )</f>
        <v>0</v>
      </c>
      <c r="J37" s="71"/>
      <c r="K37" s="75"/>
      <c r="L37" s="24" t="str">
        <f xml:space="preserve"> IF( SUM( N37:R37 ) = 0, 0, $O$5 )</f>
        <v>Please complete all cells in row</v>
      </c>
      <c r="M37" s="71"/>
      <c r="N37" s="72"/>
      <c r="O37" s="132"/>
      <c r="P37" s="132"/>
      <c r="Q37" s="98">
        <f>IF(Validation!$H$3=1,0,IF(ISNUMBER(H37),0,1))</f>
        <v>1</v>
      </c>
      <c r="R37" s="72"/>
      <c r="S37" s="496"/>
      <c r="T37" s="72"/>
      <c r="U37" s="75"/>
      <c r="V37" s="75"/>
      <c r="W37" s="75"/>
      <c r="X37" s="72"/>
      <c r="Y37" s="71"/>
      <c r="AA37" s="645">
        <f xml:space="preserve"> AA33 + 1</f>
        <v>26</v>
      </c>
      <c r="AB37" s="646" t="s">
        <v>2554</v>
      </c>
      <c r="AC37" s="270"/>
      <c r="AD37" s="71"/>
      <c r="AE37" s="71"/>
      <c r="AF37" s="71"/>
      <c r="AG37" s="2827" t="s">
        <v>10111</v>
      </c>
      <c r="AH37" s="634" t="s">
        <v>10112</v>
      </c>
    </row>
    <row r="38" spans="1:34" s="321" customFormat="1" ht="15" customHeight="1">
      <c r="A38" s="75"/>
      <c r="B38" s="647"/>
      <c r="C38" s="270"/>
      <c r="D38" s="270"/>
      <c r="E38" s="71"/>
      <c r="F38" s="71"/>
      <c r="G38" s="71"/>
      <c r="H38" s="2039"/>
      <c r="I38" s="650"/>
      <c r="J38" s="71"/>
      <c r="K38" s="75"/>
      <c r="L38" s="75"/>
      <c r="M38" s="71"/>
      <c r="N38" s="72"/>
      <c r="O38" s="132"/>
      <c r="P38" s="132"/>
      <c r="Q38" s="132"/>
      <c r="R38" s="72"/>
      <c r="S38" s="496"/>
      <c r="T38" s="72"/>
      <c r="U38" s="75"/>
      <c r="V38" s="75"/>
      <c r="W38" s="75"/>
      <c r="X38" s="72"/>
      <c r="Y38" s="71"/>
      <c r="AA38" s="647"/>
      <c r="AB38" s="270"/>
      <c r="AC38" s="270"/>
      <c r="AD38" s="71"/>
      <c r="AE38" s="71"/>
      <c r="AF38" s="71"/>
      <c r="AG38" s="2039"/>
      <c r="AH38" s="650"/>
    </row>
    <row r="39" spans="1:34" s="170" customFormat="1">
      <c r="A39" s="331"/>
      <c r="B39" s="3220" t="s">
        <v>2420</v>
      </c>
      <c r="C39" s="3220"/>
      <c r="D39" s="1449"/>
      <c r="H39" s="131"/>
      <c r="I39" s="71"/>
      <c r="J39" s="123"/>
      <c r="K39" s="75"/>
      <c r="L39" s="75"/>
      <c r="M39" s="123"/>
      <c r="N39" s="129"/>
      <c r="O39" s="264"/>
      <c r="P39" s="115"/>
      <c r="Q39" s="115"/>
      <c r="R39" s="129"/>
      <c r="S39" s="8"/>
      <c r="T39" s="129"/>
      <c r="U39" s="75"/>
      <c r="V39" s="75"/>
      <c r="W39" s="75"/>
      <c r="X39" s="129"/>
    </row>
    <row r="40" spans="1:34" s="170" customFormat="1">
      <c r="A40" s="331"/>
      <c r="B40" s="146"/>
      <c r="C40" s="147"/>
      <c r="D40" s="147"/>
      <c r="H40" s="131"/>
      <c r="I40" s="71"/>
      <c r="J40" s="360"/>
      <c r="K40" s="75"/>
      <c r="L40" s="75"/>
      <c r="M40" s="123"/>
      <c r="N40" s="129"/>
      <c r="O40" s="185"/>
      <c r="P40" s="185"/>
      <c r="Q40" s="185"/>
      <c r="R40" s="129"/>
      <c r="S40" s="8"/>
      <c r="T40" s="129"/>
      <c r="U40" s="75"/>
      <c r="V40" s="75"/>
      <c r="W40" s="75"/>
      <c r="X40" s="129"/>
    </row>
    <row r="41" spans="1:34" s="170" customFormat="1">
      <c r="A41" s="331"/>
      <c r="B41" s="25"/>
      <c r="C41" s="148" t="s">
        <v>2421</v>
      </c>
      <c r="D41" s="148"/>
      <c r="H41" s="131"/>
      <c r="I41" s="71"/>
      <c r="J41" s="362"/>
      <c r="K41" s="75"/>
      <c r="L41" s="75"/>
      <c r="M41" s="123"/>
      <c r="N41" s="129"/>
      <c r="O41" s="288"/>
      <c r="P41" s="115"/>
      <c r="Q41" s="115"/>
      <c r="R41" s="129"/>
      <c r="S41" s="8"/>
      <c r="T41" s="129"/>
      <c r="U41" s="75"/>
      <c r="V41" s="75"/>
      <c r="W41" s="75"/>
      <c r="X41" s="129"/>
    </row>
    <row r="42" spans="1:34" s="170" customFormat="1">
      <c r="A42" s="331"/>
      <c r="B42" s="146"/>
      <c r="C42" s="147"/>
      <c r="D42" s="147"/>
      <c r="H42" s="131"/>
      <c r="I42" s="71"/>
      <c r="J42" s="363"/>
      <c r="K42" s="75"/>
      <c r="L42" s="125"/>
      <c r="M42" s="123"/>
      <c r="N42" s="129"/>
      <c r="O42" s="288"/>
      <c r="P42" s="115"/>
      <c r="Q42" s="115"/>
      <c r="R42" s="129"/>
      <c r="S42" s="115"/>
      <c r="T42" s="129"/>
      <c r="U42" s="75"/>
      <c r="V42" s="75"/>
      <c r="W42" s="75"/>
      <c r="X42" s="129"/>
    </row>
    <row r="43" spans="1:34" s="170" customFormat="1">
      <c r="A43" s="331"/>
      <c r="B43" s="149"/>
      <c r="C43" s="148" t="s">
        <v>2422</v>
      </c>
      <c r="D43" s="148"/>
      <c r="H43" s="131"/>
      <c r="I43" s="71"/>
      <c r="J43" s="362"/>
      <c r="K43" s="75"/>
      <c r="L43" s="125"/>
      <c r="M43" s="123"/>
      <c r="N43" s="129"/>
      <c r="O43" s="288"/>
      <c r="P43" s="115"/>
      <c r="Q43" s="115"/>
      <c r="R43" s="129"/>
      <c r="S43" s="75"/>
      <c r="T43" s="129"/>
      <c r="U43" s="75"/>
      <c r="V43" s="75"/>
      <c r="W43" s="75"/>
      <c r="X43" s="129"/>
    </row>
    <row r="44" spans="1:34" s="170" customFormat="1">
      <c r="A44" s="331"/>
      <c r="B44" s="150"/>
      <c r="C44" s="148"/>
      <c r="D44" s="148"/>
      <c r="H44" s="131"/>
      <c r="I44" s="123"/>
      <c r="J44" s="363"/>
      <c r="K44" s="75"/>
      <c r="L44" s="125"/>
      <c r="M44" s="123"/>
      <c r="N44" s="129"/>
      <c r="O44" s="288"/>
      <c r="P44" s="125"/>
      <c r="Q44" s="125"/>
      <c r="R44" s="129"/>
      <c r="S44" s="75"/>
      <c r="T44" s="129"/>
      <c r="U44" s="75"/>
      <c r="V44" s="75"/>
      <c r="W44" s="75"/>
      <c r="X44" s="129"/>
    </row>
    <row r="45" spans="1:34" s="185" customFormat="1" ht="15" thickBot="1">
      <c r="A45" s="371"/>
      <c r="C45" s="186"/>
      <c r="D45" s="186"/>
      <c r="H45" s="135"/>
      <c r="I45" s="131"/>
      <c r="J45" s="334"/>
      <c r="K45" s="75"/>
      <c r="L45" s="71"/>
      <c r="M45" s="71"/>
      <c r="N45" s="72"/>
      <c r="O45" s="71"/>
      <c r="P45" s="71"/>
      <c r="Q45" s="71"/>
      <c r="R45" s="72"/>
      <c r="S45" s="75"/>
      <c r="T45" s="129"/>
      <c r="U45" s="170"/>
      <c r="V45" s="170"/>
      <c r="W45" s="170"/>
      <c r="X45" s="129"/>
    </row>
    <row r="46" spans="1:34" s="185" customFormat="1" ht="15" thickBot="1">
      <c r="A46" s="371"/>
      <c r="B46" s="1433" t="s">
        <v>12572</v>
      </c>
      <c r="C46" s="152"/>
      <c r="D46" s="152"/>
      <c r="E46" s="153"/>
      <c r="F46" s="153"/>
      <c r="G46" s="153"/>
      <c r="H46" s="153"/>
      <c r="I46" s="259"/>
      <c r="J46" s="334"/>
      <c r="K46" s="75"/>
      <c r="L46" s="71"/>
      <c r="M46" s="71"/>
      <c r="N46" s="72"/>
      <c r="O46" s="71"/>
      <c r="P46" s="71"/>
      <c r="Q46" s="71"/>
      <c r="R46" s="72"/>
      <c r="S46" s="75"/>
      <c r="T46" s="129"/>
      <c r="U46" s="170"/>
      <c r="V46" s="170"/>
      <c r="W46" s="170"/>
      <c r="X46" s="129"/>
    </row>
    <row r="47" spans="1:34" s="185" customFormat="1">
      <c r="A47" s="371"/>
      <c r="C47" s="186"/>
      <c r="D47" s="186"/>
      <c r="H47" s="135"/>
      <c r="I47" s="131"/>
      <c r="J47" s="334"/>
      <c r="K47" s="75"/>
      <c r="L47" s="71"/>
      <c r="M47" s="71"/>
      <c r="N47" s="72"/>
      <c r="O47" s="71"/>
      <c r="P47" s="71"/>
      <c r="Q47" s="71"/>
      <c r="R47" s="72"/>
      <c r="S47" s="75"/>
      <c r="T47" s="129"/>
      <c r="U47" s="170"/>
      <c r="V47" s="170"/>
      <c r="W47" s="170"/>
      <c r="X47" s="129"/>
    </row>
    <row r="48" spans="1:34" s="115" customFormat="1" ht="15" hidden="1" thickBot="1">
      <c r="A48" s="1643"/>
      <c r="B48" s="151" t="str">
        <f ca="1" xml:space="preserve"> RIGHT(CELL("filename", $A$1), LEN(CELL("filename", $A$1)) - SEARCH("]", CELL("filename", $A$1)))&amp;" - Line definitions"</f>
        <v>2H - Line definitions</v>
      </c>
      <c r="C48" s="152"/>
      <c r="D48" s="152"/>
      <c r="E48" s="153"/>
      <c r="F48" s="153"/>
      <c r="G48" s="153"/>
      <c r="H48" s="153"/>
      <c r="I48" s="259"/>
      <c r="J48" s="333"/>
      <c r="K48" s="75"/>
      <c r="L48" s="71"/>
      <c r="M48" s="71"/>
      <c r="N48" s="72"/>
      <c r="O48" s="71"/>
      <c r="P48" s="71"/>
      <c r="Q48" s="71"/>
      <c r="R48" s="72"/>
      <c r="S48" s="75"/>
      <c r="T48" s="72"/>
      <c r="U48" s="170"/>
      <c r="V48" s="170"/>
      <c r="W48" s="170"/>
      <c r="X48" s="72"/>
    </row>
    <row r="49" spans="1:34" s="115" customFormat="1" ht="15" hidden="1" thickBot="1">
      <c r="A49" s="1643"/>
      <c r="B49" s="372"/>
      <c r="E49" s="75"/>
      <c r="H49" s="123"/>
      <c r="I49" s="131"/>
      <c r="J49" s="334"/>
      <c r="K49" s="75"/>
      <c r="L49" s="71"/>
      <c r="M49" s="71"/>
      <c r="N49" s="72"/>
      <c r="O49" s="90" t="s">
        <v>2425</v>
      </c>
      <c r="P49" s="71"/>
      <c r="Q49" s="71"/>
      <c r="R49" s="72"/>
      <c r="S49" s="75"/>
      <c r="T49" s="72"/>
      <c r="U49" s="170"/>
      <c r="V49" s="170"/>
      <c r="W49" s="170"/>
      <c r="X49" s="72"/>
    </row>
    <row r="50" spans="1:34" s="185" customFormat="1" hidden="1">
      <c r="A50" s="1644"/>
      <c r="B50" s="373" t="s">
        <v>2423</v>
      </c>
      <c r="C50" s="3310" t="s">
        <v>2424</v>
      </c>
      <c r="D50" s="3310"/>
      <c r="E50" s="3310"/>
      <c r="F50" s="3310"/>
      <c r="G50" s="3310"/>
      <c r="H50" s="3310"/>
      <c r="I50" s="3311"/>
      <c r="J50" s="334"/>
      <c r="K50" s="75"/>
      <c r="L50" s="71"/>
      <c r="M50" s="71"/>
      <c r="N50" s="72"/>
      <c r="O50" s="71">
        <v>1</v>
      </c>
      <c r="P50" s="71"/>
      <c r="Q50" s="71"/>
      <c r="R50" s="72"/>
      <c r="S50" s="75"/>
      <c r="T50" s="72"/>
      <c r="U50" s="170"/>
      <c r="V50" s="170"/>
      <c r="W50" s="170"/>
      <c r="X50" s="72"/>
    </row>
    <row r="51" spans="1:34" s="115" customFormat="1" ht="14.25" hidden="1" customHeight="1">
      <c r="A51" s="1643"/>
      <c r="B51" s="858">
        <v>1</v>
      </c>
      <c r="C51" s="3306" t="s">
        <v>2680</v>
      </c>
      <c r="D51" s="3306"/>
      <c r="E51" s="3306"/>
      <c r="F51" s="3306"/>
      <c r="G51" s="3306"/>
      <c r="H51" s="3306"/>
      <c r="I51" s="3307"/>
      <c r="J51" s="334"/>
      <c r="K51" s="75"/>
      <c r="L51" s="71"/>
      <c r="M51" s="71"/>
      <c r="N51" s="72"/>
      <c r="O51" s="71">
        <v>1</v>
      </c>
      <c r="P51" s="71"/>
      <c r="Q51" s="71"/>
      <c r="R51" s="72"/>
      <c r="S51" s="75"/>
      <c r="T51" s="72"/>
      <c r="U51" s="170"/>
      <c r="V51" s="170"/>
      <c r="W51" s="170"/>
      <c r="X51" s="72"/>
    </row>
    <row r="52" spans="1:34" s="115" customFormat="1" ht="14.25" hidden="1" customHeight="1">
      <c r="A52" s="1643"/>
      <c r="B52" s="902" t="s">
        <v>12915</v>
      </c>
      <c r="C52" s="3282" t="s">
        <v>3630</v>
      </c>
      <c r="D52" s="3282"/>
      <c r="E52" s="3282"/>
      <c r="F52" s="3282"/>
      <c r="G52" s="3282"/>
      <c r="H52" s="3282"/>
      <c r="I52" s="3283"/>
      <c r="J52" s="333"/>
      <c r="K52" s="75"/>
      <c r="L52" s="71"/>
      <c r="M52" s="71"/>
      <c r="N52" s="72"/>
      <c r="O52" s="71">
        <v>1</v>
      </c>
      <c r="P52" s="71"/>
      <c r="Q52" s="71"/>
      <c r="R52" s="72"/>
      <c r="S52" s="75"/>
      <c r="T52" s="72"/>
      <c r="U52" s="170"/>
      <c r="V52" s="170"/>
      <c r="W52" s="170"/>
      <c r="X52" s="72"/>
    </row>
    <row r="53" spans="1:34" s="115" customFormat="1" ht="14.25" hidden="1" customHeight="1">
      <c r="A53" s="1643"/>
      <c r="B53" s="166">
        <v>24</v>
      </c>
      <c r="C53" s="3282" t="s">
        <v>2681</v>
      </c>
      <c r="D53" s="3282"/>
      <c r="E53" s="3282"/>
      <c r="F53" s="3282"/>
      <c r="G53" s="3282"/>
      <c r="H53" s="3282"/>
      <c r="I53" s="3283"/>
      <c r="J53" s="334"/>
      <c r="K53" s="75"/>
      <c r="L53" s="71"/>
      <c r="M53" s="71"/>
      <c r="N53" s="72"/>
      <c r="O53" s="71">
        <v>1</v>
      </c>
      <c r="P53" s="71"/>
      <c r="Q53" s="71"/>
      <c r="R53" s="72"/>
      <c r="S53" s="75"/>
      <c r="T53" s="72"/>
      <c r="U53" s="185"/>
      <c r="V53" s="185"/>
      <c r="W53" s="185"/>
      <c r="X53" s="72"/>
    </row>
    <row r="54" spans="1:34" s="115" customFormat="1" hidden="1">
      <c r="A54" s="1643"/>
      <c r="B54" s="166">
        <v>25</v>
      </c>
      <c r="C54" s="3282" t="s">
        <v>12981</v>
      </c>
      <c r="D54" s="3282"/>
      <c r="E54" s="3282"/>
      <c r="F54" s="3282"/>
      <c r="G54" s="3282"/>
      <c r="H54" s="3282"/>
      <c r="I54" s="3283"/>
      <c r="J54" s="71"/>
      <c r="K54" s="75"/>
      <c r="L54" s="71"/>
      <c r="M54" s="71"/>
      <c r="N54" s="72"/>
      <c r="O54" s="71">
        <v>1</v>
      </c>
      <c r="P54" s="71"/>
      <c r="Q54" s="71"/>
      <c r="R54" s="72"/>
      <c r="S54" s="75"/>
      <c r="T54" s="72"/>
      <c r="U54" s="185"/>
      <c r="V54" s="185"/>
      <c r="W54" s="185"/>
      <c r="X54" s="72"/>
    </row>
    <row r="55" spans="1:34" ht="15" hidden="1" thickBot="1">
      <c r="A55" s="1649"/>
      <c r="B55" s="190">
        <v>26</v>
      </c>
      <c r="C55" s="3302" t="s">
        <v>2682</v>
      </c>
      <c r="D55" s="3302"/>
      <c r="E55" s="3302"/>
      <c r="F55" s="3302"/>
      <c r="G55" s="3302"/>
      <c r="H55" s="3302"/>
      <c r="I55" s="3303"/>
      <c r="U55" s="115"/>
      <c r="V55" s="115"/>
      <c r="W55" s="115"/>
      <c r="AA55" s="8"/>
      <c r="AB55" s="8"/>
      <c r="AC55" s="8"/>
      <c r="AD55" s="8"/>
      <c r="AE55" s="8"/>
      <c r="AF55" s="8"/>
      <c r="AG55" s="8"/>
      <c r="AH55" s="8"/>
    </row>
    <row r="56" spans="1:34" hidden="1">
      <c r="A56" s="1649"/>
      <c r="U56" s="115"/>
      <c r="V56" s="115"/>
      <c r="W56" s="115"/>
      <c r="AA56" s="8"/>
      <c r="AB56" s="8"/>
      <c r="AC56" s="8"/>
      <c r="AD56" s="8"/>
      <c r="AE56" s="8"/>
      <c r="AF56" s="8"/>
      <c r="AG56" s="8"/>
      <c r="AH56" s="8"/>
    </row>
  </sheetData>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2753" priority="14" operator="equal">
      <formula>0</formula>
    </cfRule>
  </conditionalFormatting>
  <conditionalFormatting sqref="K33">
    <cfRule type="cellIs" dxfId="2752" priority="10" operator="equal">
      <formula>0</formula>
    </cfRule>
  </conditionalFormatting>
  <conditionalFormatting sqref="L37">
    <cfRule type="cellIs" dxfId="2751" priority="8" operator="equal">
      <formula>0</formula>
    </cfRule>
  </conditionalFormatting>
  <conditionalFormatting sqref="L6">
    <cfRule type="cellIs" dxfId="2750"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21.xml><?xml version="1.0" encoding="utf-8"?>
<worksheet xmlns="http://schemas.openxmlformats.org/spreadsheetml/2006/main" xmlns:r="http://schemas.openxmlformats.org/officeDocument/2006/relationships">
  <sheetPr codeName="Sheet18">
    <tabColor rgb="FF00B0F0"/>
    <pageSetUpPr fitToPage="1"/>
  </sheetPr>
  <dimension ref="A1:BM95"/>
  <sheetViews>
    <sheetView workbookViewId="0">
      <selection activeCell="E12" sqref="E12"/>
    </sheetView>
  </sheetViews>
  <sheetFormatPr defaultColWidth="0" defaultRowHeight="14.25" zeroHeight="1"/>
  <cols>
    <col min="1" max="1" width="0.625" style="75" customWidth="1"/>
    <col min="2" max="2" width="6.125" style="75" customWidth="1"/>
    <col min="3" max="3" width="41.625" style="75" customWidth="1"/>
    <col min="4" max="4" width="5.625" style="75" hidden="1" customWidth="1"/>
    <col min="5" max="6" width="5.125" style="75" customWidth="1"/>
    <col min="7" max="9" width="14.625" style="75" customWidth="1"/>
    <col min="10" max="10" width="14.625" style="71" customWidth="1"/>
    <col min="11" max="11" width="39.625" style="75" customWidth="1"/>
    <col min="12" max="12" width="25.625" style="71" customWidth="1"/>
    <col min="13" max="13" width="1.625" style="71" customWidth="1"/>
    <col min="14" max="14" width="1.625" style="72" hidden="1" customWidth="1"/>
    <col min="15" max="17" width="8.625" style="71" hidden="1" customWidth="1"/>
    <col min="18" max="18" width="1.625" style="72" hidden="1" customWidth="1"/>
    <col min="19" max="21" width="8" style="75" hidden="1" customWidth="1"/>
    <col min="22" max="22" width="1.625" style="72" hidden="1" customWidth="1"/>
    <col min="23" max="28" width="8" style="75" hidden="1" customWidth="1"/>
    <col min="29" max="29" width="100.625" style="75" hidden="1" customWidth="1"/>
    <col min="30" max="30" width="1.625" style="72" hidden="1" customWidth="1"/>
    <col min="31" max="54" width="0" style="75" hidden="1" customWidth="1"/>
    <col min="55" max="55" width="8" style="75" customWidth="1"/>
    <col min="56" max="56" width="6.125" style="75" customWidth="1"/>
    <col min="57" max="57" width="41.625" style="75" customWidth="1"/>
    <col min="58" max="58" width="5.625" style="75" hidden="1" customWidth="1"/>
    <col min="59" max="60" width="5.125" style="75" customWidth="1"/>
    <col min="61" max="63" width="14.625" style="75" customWidth="1"/>
    <col min="64" max="64" width="13.625" style="75" customWidth="1"/>
    <col min="65" max="65" width="8" style="75" customWidth="1"/>
    <col min="66" max="16384" width="8" style="75" hidden="1"/>
  </cols>
  <sheetData>
    <row r="1" spans="2:64" s="8" customFormat="1" ht="18.75">
      <c r="B1" s="67" t="s">
        <v>12585</v>
      </c>
      <c r="C1" s="67"/>
      <c r="D1" s="67"/>
      <c r="E1" s="67"/>
      <c r="F1" s="67"/>
      <c r="G1" s="67"/>
      <c r="H1" s="69"/>
      <c r="I1" s="69" t="str">
        <f>Validation!B3</f>
        <v>South West Water – South West area</v>
      </c>
      <c r="J1" s="67"/>
      <c r="K1" s="70"/>
      <c r="L1" s="70" t="s">
        <v>2394</v>
      </c>
      <c r="M1" s="71"/>
      <c r="N1" s="72"/>
      <c r="O1" s="71"/>
      <c r="P1" s="71"/>
      <c r="Q1" s="71"/>
      <c r="R1" s="72"/>
      <c r="S1" s="71"/>
      <c r="T1" s="71"/>
      <c r="U1" s="71"/>
      <c r="V1" s="72"/>
      <c r="Y1" s="496"/>
      <c r="Z1" s="496"/>
      <c r="AA1" s="496"/>
      <c r="AB1" s="496"/>
      <c r="AD1" s="72"/>
      <c r="BD1" s="67" t="s">
        <v>6671</v>
      </c>
      <c r="BE1" s="67"/>
      <c r="BF1" s="67"/>
      <c r="BG1" s="67"/>
      <c r="BH1" s="67"/>
      <c r="BI1" s="67"/>
      <c r="BJ1" s="69"/>
      <c r="BK1" s="69"/>
      <c r="BL1" s="496"/>
    </row>
    <row r="2" spans="2:64" ht="15" thickBot="1">
      <c r="B2" s="74" t="s">
        <v>12524</v>
      </c>
      <c r="C2" s="265"/>
      <c r="D2" s="265"/>
      <c r="K2" s="71"/>
      <c r="S2" s="3215" t="s">
        <v>2578</v>
      </c>
      <c r="T2" s="71"/>
      <c r="U2" s="71"/>
      <c r="W2" s="3215" t="s">
        <v>2578</v>
      </c>
      <c r="BD2" s="74" t="str">
        <f>+B2</f>
        <v>For the 12 months ended 31 March 2019</v>
      </c>
      <c r="BE2" s="265"/>
      <c r="BF2" s="265"/>
    </row>
    <row r="3" spans="2:64" ht="15" customHeight="1" thickBot="1">
      <c r="B3" s="3312" t="s">
        <v>2395</v>
      </c>
      <c r="C3" s="3313"/>
      <c r="D3" s="1459" t="s">
        <v>6496</v>
      </c>
      <c r="E3" s="391" t="s">
        <v>2396</v>
      </c>
      <c r="F3" s="392" t="s">
        <v>2397</v>
      </c>
      <c r="G3" s="306" t="s">
        <v>2579</v>
      </c>
      <c r="H3" s="319" t="s">
        <v>2615</v>
      </c>
      <c r="I3" s="392" t="s">
        <v>2554</v>
      </c>
      <c r="K3" s="193" t="s">
        <v>2577</v>
      </c>
      <c r="L3" s="195" t="s">
        <v>1361</v>
      </c>
      <c r="O3" s="3215" t="s">
        <v>2404</v>
      </c>
      <c r="P3" s="3215"/>
      <c r="Q3" s="79"/>
      <c r="S3" s="3215"/>
      <c r="T3" s="71"/>
      <c r="U3" s="71"/>
      <c r="W3" s="3215"/>
      <c r="BD3" s="3312" t="s">
        <v>2395</v>
      </c>
      <c r="BE3" s="3313"/>
      <c r="BF3" s="2737" t="s">
        <v>6496</v>
      </c>
      <c r="BG3" s="391" t="s">
        <v>2396</v>
      </c>
      <c r="BH3" s="392" t="s">
        <v>2397</v>
      </c>
      <c r="BI3" s="306" t="s">
        <v>2579</v>
      </c>
      <c r="BJ3" s="319" t="s">
        <v>2615</v>
      </c>
      <c r="BK3" s="392" t="s">
        <v>2554</v>
      </c>
    </row>
    <row r="4" spans="2:64" ht="15" thickBot="1">
      <c r="C4" s="343"/>
      <c r="D4" s="343"/>
      <c r="K4" s="71"/>
      <c r="S4" s="3215"/>
      <c r="T4" s="1430"/>
      <c r="U4" s="2108"/>
      <c r="W4" s="3215"/>
      <c r="X4" s="79"/>
      <c r="Y4" s="1430"/>
      <c r="Z4" s="1430"/>
      <c r="AA4" s="2108"/>
      <c r="AB4" s="2108"/>
      <c r="AC4" s="79"/>
      <c r="BE4" s="343"/>
      <c r="BF4" s="343"/>
    </row>
    <row r="5" spans="2:64" ht="15" thickBot="1">
      <c r="B5" s="344" t="s">
        <v>2449</v>
      </c>
      <c r="C5" s="88" t="s">
        <v>2683</v>
      </c>
      <c r="D5" s="1584"/>
      <c r="E5" s="270"/>
      <c r="F5" s="270"/>
      <c r="H5" s="270"/>
      <c r="I5" s="270"/>
      <c r="O5" s="171" t="s">
        <v>2405</v>
      </c>
      <c r="P5" s="132"/>
      <c r="Q5" s="132"/>
      <c r="S5" s="8"/>
      <c r="T5" s="496"/>
      <c r="U5" s="496"/>
      <c r="BD5" s="2741" t="s">
        <v>2449</v>
      </c>
      <c r="BE5" s="88" t="s">
        <v>2683</v>
      </c>
      <c r="BF5" s="1584"/>
      <c r="BG5" s="270"/>
      <c r="BH5" s="270"/>
      <c r="BJ5" s="270"/>
      <c r="BK5" s="270"/>
    </row>
    <row r="6" spans="2:64" ht="15" customHeight="1">
      <c r="B6" s="298" t="s">
        <v>5136</v>
      </c>
      <c r="C6" s="281" t="s">
        <v>2684</v>
      </c>
      <c r="D6" s="281"/>
      <c r="E6" s="311" t="s">
        <v>750</v>
      </c>
      <c r="F6" s="283">
        <v>3</v>
      </c>
      <c r="G6" s="448">
        <v>40.063000000000002</v>
      </c>
      <c r="H6" s="449">
        <v>1.2070000000000001</v>
      </c>
      <c r="I6" s="345">
        <f>+G6+H6</f>
        <v>41.27</v>
      </c>
      <c r="J6" s="2518"/>
      <c r="K6" s="2518"/>
      <c r="L6" s="24">
        <f t="shared" ref="L6:L7" si="0" xml:space="preserve"> IF( SUM( N6:R6 ) = 0, 0, O$5 )</f>
        <v>0</v>
      </c>
      <c r="O6" s="98">
        <f xml:space="preserve"> IF( ISNUMBER( G6 ), 0, 1 )</f>
        <v>0</v>
      </c>
      <c r="P6" s="98">
        <f xml:space="preserve"> IF( ISNUMBER( H6 ), 0, 1 )</f>
        <v>0</v>
      </c>
      <c r="Q6" s="132"/>
      <c r="S6" s="8"/>
      <c r="T6" s="496"/>
      <c r="U6" s="496"/>
      <c r="BD6" s="298" t="s">
        <v>5136</v>
      </c>
      <c r="BE6" s="281" t="s">
        <v>2684</v>
      </c>
      <c r="BF6" s="281"/>
      <c r="BG6" s="311" t="s">
        <v>750</v>
      </c>
      <c r="BH6" s="283">
        <v>3</v>
      </c>
      <c r="BI6" s="2836" t="s">
        <v>10113</v>
      </c>
      <c r="BJ6" s="2837" t="s">
        <v>10114</v>
      </c>
      <c r="BK6" s="345" t="s">
        <v>10115</v>
      </c>
    </row>
    <row r="7" spans="2:64" ht="15" customHeight="1">
      <c r="B7" s="299" t="s">
        <v>5137</v>
      </c>
      <c r="C7" s="285" t="s">
        <v>2685</v>
      </c>
      <c r="D7" s="285"/>
      <c r="E7" s="312" t="s">
        <v>750</v>
      </c>
      <c r="F7" s="287">
        <v>3</v>
      </c>
      <c r="G7" s="450">
        <v>107.956</v>
      </c>
      <c r="H7" s="451">
        <v>55.747</v>
      </c>
      <c r="I7" s="346">
        <f>+G7+H7</f>
        <v>163.703</v>
      </c>
      <c r="J7" s="2518"/>
      <c r="K7" s="2518"/>
      <c r="L7" s="24">
        <f t="shared" si="0"/>
        <v>0</v>
      </c>
      <c r="O7" s="98">
        <f t="shared" ref="O7:P8" si="1" xml:space="preserve"> IF( ISNUMBER( G7 ), 0, 1 )</f>
        <v>0</v>
      </c>
      <c r="P7" s="98">
        <f t="shared" si="1"/>
        <v>0</v>
      </c>
      <c r="Q7" s="132"/>
      <c r="S7" s="8"/>
      <c r="T7" s="496"/>
      <c r="U7" s="496"/>
      <c r="BD7" s="299" t="s">
        <v>5137</v>
      </c>
      <c r="BE7" s="285" t="s">
        <v>2685</v>
      </c>
      <c r="BF7" s="285"/>
      <c r="BG7" s="312" t="s">
        <v>750</v>
      </c>
      <c r="BH7" s="287">
        <v>3</v>
      </c>
      <c r="BI7" s="2531" t="s">
        <v>10116</v>
      </c>
      <c r="BJ7" s="2838" t="s">
        <v>10117</v>
      </c>
      <c r="BK7" s="346" t="s">
        <v>10118</v>
      </c>
    </row>
    <row r="8" spans="2:64" ht="15" customHeight="1">
      <c r="B8" s="299" t="s">
        <v>5138</v>
      </c>
      <c r="C8" s="285" t="s">
        <v>2686</v>
      </c>
      <c r="D8" s="285"/>
      <c r="E8" s="312" t="s">
        <v>750</v>
      </c>
      <c r="F8" s="287">
        <v>3</v>
      </c>
      <c r="G8" s="450">
        <v>0</v>
      </c>
      <c r="H8" s="451">
        <v>0</v>
      </c>
      <c r="I8" s="346">
        <f>+G8+H8</f>
        <v>0</v>
      </c>
      <c r="J8" s="2518"/>
      <c r="K8" s="2518"/>
      <c r="L8" s="24">
        <f xml:space="preserve"> IF( SUM( N8:R8 ) = 0, 0, O$5 )</f>
        <v>0</v>
      </c>
      <c r="O8" s="98">
        <f t="shared" si="1"/>
        <v>0</v>
      </c>
      <c r="P8" s="98">
        <f t="shared" si="1"/>
        <v>0</v>
      </c>
      <c r="Q8" s="132"/>
      <c r="S8" s="8"/>
      <c r="T8" s="496"/>
      <c r="U8" s="496"/>
      <c r="BD8" s="299" t="s">
        <v>5138</v>
      </c>
      <c r="BE8" s="285" t="s">
        <v>2686</v>
      </c>
      <c r="BF8" s="285"/>
      <c r="BG8" s="312" t="s">
        <v>750</v>
      </c>
      <c r="BH8" s="287">
        <v>3</v>
      </c>
      <c r="BI8" s="2531" t="s">
        <v>10119</v>
      </c>
      <c r="BJ8" s="2838" t="s">
        <v>10120</v>
      </c>
      <c r="BK8" s="346" t="s">
        <v>10121</v>
      </c>
    </row>
    <row r="9" spans="2:64" ht="15" customHeight="1" thickBot="1">
      <c r="B9" s="300" t="s">
        <v>5139</v>
      </c>
      <c r="C9" s="290" t="s">
        <v>2554</v>
      </c>
      <c r="D9" s="290"/>
      <c r="E9" s="291" t="s">
        <v>750</v>
      </c>
      <c r="F9" s="292">
        <v>3</v>
      </c>
      <c r="G9" s="347">
        <f>SUM(G6:G8)</f>
        <v>148.01900000000001</v>
      </c>
      <c r="H9" s="348">
        <f>SUM(H6:H8)</f>
        <v>56.954000000000001</v>
      </c>
      <c r="I9" s="349">
        <f t="shared" ref="I9" si="2">SUM(I6:I8)</f>
        <v>204.97300000000001</v>
      </c>
      <c r="L9" s="114"/>
      <c r="O9" s="288"/>
      <c r="P9" s="115"/>
      <c r="Q9" s="294"/>
      <c r="S9" s="8"/>
      <c r="T9" s="496"/>
      <c r="U9" s="496"/>
      <c r="BD9" s="300" t="s">
        <v>5139</v>
      </c>
      <c r="BE9" s="290" t="s">
        <v>2554</v>
      </c>
      <c r="BF9" s="290"/>
      <c r="BG9" s="291" t="s">
        <v>750</v>
      </c>
      <c r="BH9" s="292">
        <v>3</v>
      </c>
      <c r="BI9" s="347" t="s">
        <v>10122</v>
      </c>
      <c r="BJ9" s="348" t="s">
        <v>10123</v>
      </c>
      <c r="BK9" s="349" t="s">
        <v>10124</v>
      </c>
    </row>
    <row r="10" spans="2:64" ht="15" thickBot="1">
      <c r="B10" s="350"/>
      <c r="C10" s="275"/>
      <c r="D10" s="275"/>
      <c r="E10" s="277"/>
      <c r="F10" s="277"/>
      <c r="G10" s="351"/>
      <c r="H10" s="351"/>
      <c r="I10" s="351"/>
      <c r="L10" s="114"/>
      <c r="O10" s="288"/>
      <c r="P10" s="115"/>
      <c r="Q10" s="294"/>
      <c r="S10" s="8"/>
      <c r="T10" s="496"/>
      <c r="U10" s="496"/>
      <c r="BD10" s="350"/>
      <c r="BE10" s="275"/>
      <c r="BF10" s="275"/>
      <c r="BG10" s="277"/>
      <c r="BH10" s="277"/>
      <c r="BI10" s="351"/>
      <c r="BJ10" s="351"/>
      <c r="BK10" s="351"/>
    </row>
    <row r="11" spans="2:64" ht="15" thickBot="1">
      <c r="B11" s="344" t="s">
        <v>2458</v>
      </c>
      <c r="C11" s="119" t="s">
        <v>2687</v>
      </c>
      <c r="D11" s="1584"/>
      <c r="E11" s="310"/>
      <c r="F11" s="310"/>
      <c r="G11" s="278"/>
      <c r="H11" s="278"/>
      <c r="I11" s="278"/>
      <c r="L11" s="114"/>
      <c r="O11" s="288"/>
      <c r="P11" s="115"/>
      <c r="Q11" s="294"/>
      <c r="S11" s="8"/>
      <c r="T11" s="496"/>
      <c r="U11" s="496"/>
      <c r="BD11" s="2741" t="s">
        <v>2458</v>
      </c>
      <c r="BE11" s="119" t="s">
        <v>2687</v>
      </c>
      <c r="BF11" s="1584"/>
      <c r="BG11" s="310"/>
      <c r="BH11" s="310"/>
      <c r="BI11" s="278"/>
      <c r="BJ11" s="278"/>
      <c r="BK11" s="278"/>
    </row>
    <row r="12" spans="2:64" ht="15" customHeight="1">
      <c r="B12" s="298" t="s">
        <v>5140</v>
      </c>
      <c r="C12" s="281" t="s">
        <v>2684</v>
      </c>
      <c r="D12" s="281"/>
      <c r="E12" s="311" t="s">
        <v>750</v>
      </c>
      <c r="F12" s="283">
        <v>3</v>
      </c>
      <c r="G12" s="448">
        <v>50.679000000000002</v>
      </c>
      <c r="H12" s="449">
        <v>1.98</v>
      </c>
      <c r="I12" s="345">
        <f>+G12+H12</f>
        <v>52.658999999999999</v>
      </c>
      <c r="J12" s="2518"/>
      <c r="K12" s="2518"/>
      <c r="L12" s="24">
        <f t="shared" ref="L12:L14" si="3" xml:space="preserve"> IF( SUM( N12:R12 ) = 0, 0, O$5 )</f>
        <v>0</v>
      </c>
      <c r="O12" s="98">
        <f>IF(Validation!$H$3=1,0,IF(ISNUMBER(G12),0,1))</f>
        <v>0</v>
      </c>
      <c r="P12" s="98">
        <f>IF(Validation!$H$3=1,0,IF(ISNUMBER(H12),0,1))</f>
        <v>0</v>
      </c>
      <c r="Q12" s="132"/>
      <c r="S12" s="8"/>
      <c r="T12" s="496"/>
      <c r="U12" s="496"/>
      <c r="BD12" s="298" t="s">
        <v>5140</v>
      </c>
      <c r="BE12" s="281" t="s">
        <v>2684</v>
      </c>
      <c r="BF12" s="281"/>
      <c r="BG12" s="311" t="s">
        <v>750</v>
      </c>
      <c r="BH12" s="283">
        <v>3</v>
      </c>
      <c r="BI12" s="2836" t="s">
        <v>10125</v>
      </c>
      <c r="BJ12" s="2837" t="s">
        <v>10126</v>
      </c>
      <c r="BK12" s="345" t="s">
        <v>10127</v>
      </c>
    </row>
    <row r="13" spans="2:64" ht="15" customHeight="1">
      <c r="B13" s="299" t="s">
        <v>5141</v>
      </c>
      <c r="C13" s="285" t="s">
        <v>2685</v>
      </c>
      <c r="D13" s="285"/>
      <c r="E13" s="312" t="s">
        <v>750</v>
      </c>
      <c r="F13" s="287">
        <v>3</v>
      </c>
      <c r="G13" s="450">
        <v>165.52</v>
      </c>
      <c r="H13" s="451">
        <v>59.704000000000001</v>
      </c>
      <c r="I13" s="346">
        <f>+G13+H13</f>
        <v>225.22400000000002</v>
      </c>
      <c r="J13" s="2518"/>
      <c r="K13" s="2518"/>
      <c r="L13" s="24">
        <f t="shared" si="3"/>
        <v>0</v>
      </c>
      <c r="O13" s="98">
        <f>IF(Validation!$H$3=1,0,IF(ISNUMBER(G13),0,1))</f>
        <v>0</v>
      </c>
      <c r="P13" s="98">
        <f>IF(Validation!$H$3=1,0,IF(ISNUMBER(H13),0,1))</f>
        <v>0</v>
      </c>
      <c r="Q13" s="132"/>
      <c r="S13" s="8"/>
      <c r="T13" s="496"/>
      <c r="U13" s="496"/>
      <c r="BD13" s="299" t="s">
        <v>5141</v>
      </c>
      <c r="BE13" s="285" t="s">
        <v>2685</v>
      </c>
      <c r="BF13" s="285"/>
      <c r="BG13" s="312" t="s">
        <v>750</v>
      </c>
      <c r="BH13" s="287">
        <v>3</v>
      </c>
      <c r="BI13" s="2531" t="s">
        <v>10128</v>
      </c>
      <c r="BJ13" s="2838" t="s">
        <v>10129</v>
      </c>
      <c r="BK13" s="346" t="s">
        <v>10130</v>
      </c>
    </row>
    <row r="14" spans="2:64" ht="15" customHeight="1">
      <c r="B14" s="299" t="s">
        <v>5142</v>
      </c>
      <c r="C14" s="285" t="s">
        <v>2686</v>
      </c>
      <c r="D14" s="285"/>
      <c r="E14" s="312" t="s">
        <v>750</v>
      </c>
      <c r="F14" s="287">
        <v>3</v>
      </c>
      <c r="G14" s="450">
        <v>0</v>
      </c>
      <c r="H14" s="451">
        <v>0</v>
      </c>
      <c r="I14" s="346">
        <f>+G14+H14</f>
        <v>0</v>
      </c>
      <c r="J14" s="2518"/>
      <c r="K14" s="2518"/>
      <c r="L14" s="24">
        <f t="shared" si="3"/>
        <v>0</v>
      </c>
      <c r="O14" s="98">
        <f>IF(Validation!$H$3=1,0,IF(ISNUMBER(G14),0,1))</f>
        <v>0</v>
      </c>
      <c r="P14" s="98">
        <f>IF(Validation!$H$3=1,0,IF(ISNUMBER(H14),0,1))</f>
        <v>0</v>
      </c>
      <c r="Q14" s="132"/>
      <c r="S14" s="8"/>
      <c r="T14" s="496"/>
      <c r="U14" s="496"/>
      <c r="BD14" s="299" t="s">
        <v>5142</v>
      </c>
      <c r="BE14" s="285" t="s">
        <v>2686</v>
      </c>
      <c r="BF14" s="285"/>
      <c r="BG14" s="312" t="s">
        <v>750</v>
      </c>
      <c r="BH14" s="287">
        <v>3</v>
      </c>
      <c r="BI14" s="2531" t="s">
        <v>10131</v>
      </c>
      <c r="BJ14" s="2838" t="s">
        <v>10132</v>
      </c>
      <c r="BK14" s="346" t="s">
        <v>10133</v>
      </c>
    </row>
    <row r="15" spans="2:64" ht="15" customHeight="1" thickBot="1">
      <c r="B15" s="300" t="s">
        <v>5143</v>
      </c>
      <c r="C15" s="290" t="s">
        <v>2554</v>
      </c>
      <c r="D15" s="290"/>
      <c r="E15" s="291" t="s">
        <v>750</v>
      </c>
      <c r="F15" s="292">
        <v>3</v>
      </c>
      <c r="G15" s="347">
        <f>SUM(G12:G14)</f>
        <v>216.19900000000001</v>
      </c>
      <c r="H15" s="348">
        <f>SUM(H12:H14)</f>
        <v>61.683999999999997</v>
      </c>
      <c r="I15" s="349">
        <f>SUM(I12:I14)</f>
        <v>277.88300000000004</v>
      </c>
      <c r="L15" s="114"/>
      <c r="O15" s="288"/>
      <c r="P15" s="115"/>
      <c r="Q15" s="294"/>
      <c r="S15" s="8"/>
      <c r="T15" s="496"/>
      <c r="U15" s="496"/>
      <c r="BD15" s="300" t="s">
        <v>5143</v>
      </c>
      <c r="BE15" s="290" t="s">
        <v>2554</v>
      </c>
      <c r="BF15" s="290"/>
      <c r="BG15" s="291" t="s">
        <v>750</v>
      </c>
      <c r="BH15" s="292">
        <v>3</v>
      </c>
      <c r="BI15" s="347" t="s">
        <v>10134</v>
      </c>
      <c r="BJ15" s="348" t="s">
        <v>10135</v>
      </c>
      <c r="BK15" s="349" t="s">
        <v>10136</v>
      </c>
    </row>
    <row r="16" spans="2:64" ht="15" thickBot="1">
      <c r="B16" s="350"/>
      <c r="C16" s="275"/>
      <c r="D16" s="275"/>
      <c r="E16" s="277"/>
      <c r="F16" s="277"/>
      <c r="G16" s="351"/>
      <c r="H16" s="351"/>
      <c r="I16" s="351"/>
      <c r="L16" s="114"/>
      <c r="O16" s="288"/>
      <c r="P16" s="115"/>
      <c r="Q16" s="294"/>
      <c r="S16" s="8"/>
      <c r="T16" s="496"/>
      <c r="U16" s="496"/>
      <c r="BD16" s="350"/>
      <c r="BE16" s="275"/>
      <c r="BF16" s="275"/>
      <c r="BG16" s="277"/>
      <c r="BH16" s="277"/>
      <c r="BI16" s="351"/>
      <c r="BJ16" s="351"/>
      <c r="BK16" s="351"/>
    </row>
    <row r="17" spans="2:63" ht="15" thickBot="1">
      <c r="B17" s="2062" t="s">
        <v>2458</v>
      </c>
      <c r="C17" s="119" t="s">
        <v>12213</v>
      </c>
      <c r="D17" s="1584"/>
      <c r="E17" s="310"/>
      <c r="F17" s="310"/>
      <c r="G17" s="278"/>
      <c r="H17" s="278"/>
      <c r="I17" s="278"/>
      <c r="L17" s="114"/>
      <c r="O17" s="288"/>
      <c r="P17" s="115"/>
      <c r="Q17" s="294"/>
      <c r="S17" s="496"/>
      <c r="T17" s="496"/>
      <c r="U17" s="496"/>
      <c r="BD17" s="2741" t="s">
        <v>2458</v>
      </c>
      <c r="BE17" s="119" t="s">
        <v>12213</v>
      </c>
      <c r="BF17" s="1584"/>
      <c r="BG17" s="310"/>
      <c r="BH17" s="310"/>
      <c r="BI17" s="278"/>
      <c r="BJ17" s="278"/>
      <c r="BK17" s="278"/>
    </row>
    <row r="18" spans="2:63" ht="15" customHeight="1">
      <c r="B18" s="298" t="s">
        <v>5140</v>
      </c>
      <c r="C18" s="281" t="s">
        <v>2684</v>
      </c>
      <c r="D18" s="281"/>
      <c r="E18" s="311" t="s">
        <v>750</v>
      </c>
      <c r="F18" s="283">
        <v>3</v>
      </c>
      <c r="G18" s="448"/>
      <c r="H18" s="449"/>
      <c r="I18" s="345">
        <f>+G18+H18</f>
        <v>0</v>
      </c>
      <c r="L18" s="24">
        <f t="shared" ref="L18:L20" si="4" xml:space="preserve"> IF( SUM( N18:R18 ) = 0, 0, O$5 )</f>
        <v>0</v>
      </c>
      <c r="O18" s="98">
        <f>IF( Validation!$H$3=1, 0, IF(Validation!$B$3 &lt;&gt; "Thames Water", 0, (IF(ISNUMBER(G18), 0, 1))))</f>
        <v>0</v>
      </c>
      <c r="P18" s="98">
        <f>IF( Validation!$H$3=1, 0, IF(Validation!$B$3 &lt;&gt; "Thames Water", 0, (IF(ISNUMBER(H18), 0, 1))))</f>
        <v>0</v>
      </c>
      <c r="Q18" s="132"/>
      <c r="S18" s="496"/>
      <c r="T18" s="496"/>
      <c r="U18" s="496"/>
      <c r="BD18" s="298" t="s">
        <v>5140</v>
      </c>
      <c r="BE18" s="281" t="s">
        <v>2684</v>
      </c>
      <c r="BF18" s="281"/>
      <c r="BG18" s="311" t="s">
        <v>750</v>
      </c>
      <c r="BH18" s="283">
        <v>3</v>
      </c>
      <c r="BI18" s="2836" t="s">
        <v>12359</v>
      </c>
      <c r="BJ18" s="2837" t="s">
        <v>12360</v>
      </c>
      <c r="BK18" s="345" t="s">
        <v>12361</v>
      </c>
    </row>
    <row r="19" spans="2:63" ht="15" customHeight="1">
      <c r="B19" s="299" t="s">
        <v>5141</v>
      </c>
      <c r="C19" s="285" t="s">
        <v>2685</v>
      </c>
      <c r="D19" s="285"/>
      <c r="E19" s="312" t="s">
        <v>750</v>
      </c>
      <c r="F19" s="287">
        <v>3</v>
      </c>
      <c r="G19" s="450"/>
      <c r="H19" s="451"/>
      <c r="I19" s="346">
        <f>+G19+H19</f>
        <v>0</v>
      </c>
      <c r="L19" s="24">
        <f t="shared" si="4"/>
        <v>0</v>
      </c>
      <c r="O19" s="98">
        <f>IF( Validation!$H$3=1, 0, IF(Validation!$B$3 &lt;&gt; "Thames Water", 0, (IF(ISNUMBER(G19), 0, 1))))</f>
        <v>0</v>
      </c>
      <c r="P19" s="98">
        <f>IF( Validation!$H$3=1, 0, IF(Validation!$B$3 &lt;&gt; "Thames Water", 0, (IF(ISNUMBER(H19), 0, 1))))</f>
        <v>0</v>
      </c>
      <c r="Q19" s="132"/>
      <c r="S19" s="496"/>
      <c r="T19" s="496"/>
      <c r="U19" s="496"/>
      <c r="BD19" s="299" t="s">
        <v>5141</v>
      </c>
      <c r="BE19" s="285" t="s">
        <v>2685</v>
      </c>
      <c r="BF19" s="285"/>
      <c r="BG19" s="312" t="s">
        <v>750</v>
      </c>
      <c r="BH19" s="287">
        <v>3</v>
      </c>
      <c r="BI19" s="2531" t="s">
        <v>12362</v>
      </c>
      <c r="BJ19" s="2838" t="s">
        <v>12363</v>
      </c>
      <c r="BK19" s="346" t="s">
        <v>12364</v>
      </c>
    </row>
    <row r="20" spans="2:63" ht="15" customHeight="1">
      <c r="B20" s="299" t="s">
        <v>5142</v>
      </c>
      <c r="C20" s="285" t="s">
        <v>2686</v>
      </c>
      <c r="D20" s="285"/>
      <c r="E20" s="312" t="s">
        <v>750</v>
      </c>
      <c r="F20" s="287">
        <v>3</v>
      </c>
      <c r="G20" s="450"/>
      <c r="H20" s="451"/>
      <c r="I20" s="346">
        <f>+G20+H20</f>
        <v>0</v>
      </c>
      <c r="L20" s="24">
        <f t="shared" si="4"/>
        <v>0</v>
      </c>
      <c r="O20" s="98">
        <f>IF( Validation!$H$3=1, 0, IF(Validation!$B$3 &lt;&gt; "Thames Water", 0, (IF(ISNUMBER(G20), 0, 1))))</f>
        <v>0</v>
      </c>
      <c r="P20" s="98">
        <f>IF( Validation!$H$3=1, 0, IF(Validation!$B$3 &lt;&gt; "Thames Water", 0, (IF(ISNUMBER(H20), 0, 1))))</f>
        <v>0</v>
      </c>
      <c r="Q20" s="132"/>
      <c r="S20" s="496"/>
      <c r="T20" s="496"/>
      <c r="U20" s="496"/>
      <c r="BD20" s="299" t="s">
        <v>5142</v>
      </c>
      <c r="BE20" s="285" t="s">
        <v>2686</v>
      </c>
      <c r="BF20" s="285"/>
      <c r="BG20" s="312" t="s">
        <v>750</v>
      </c>
      <c r="BH20" s="287">
        <v>3</v>
      </c>
      <c r="BI20" s="2531" t="s">
        <v>12365</v>
      </c>
      <c r="BJ20" s="2838" t="s">
        <v>12366</v>
      </c>
      <c r="BK20" s="346" t="s">
        <v>12367</v>
      </c>
    </row>
    <row r="21" spans="2:63" ht="15" customHeight="1" thickBot="1">
      <c r="B21" s="300" t="s">
        <v>5143</v>
      </c>
      <c r="C21" s="290" t="s">
        <v>2554</v>
      </c>
      <c r="D21" s="290"/>
      <c r="E21" s="291" t="s">
        <v>750</v>
      </c>
      <c r="F21" s="292">
        <v>3</v>
      </c>
      <c r="G21" s="347">
        <f>SUM(G18:G20)</f>
        <v>0</v>
      </c>
      <c r="H21" s="348">
        <f>SUM(H18:H20)</f>
        <v>0</v>
      </c>
      <c r="I21" s="349">
        <f>SUM(I18:I20)</f>
        <v>0</v>
      </c>
      <c r="L21" s="114"/>
      <c r="O21" s="288"/>
      <c r="P21" s="115"/>
      <c r="Q21" s="294"/>
      <c r="S21" s="496"/>
      <c r="T21" s="496"/>
      <c r="U21" s="496"/>
      <c r="BD21" s="300" t="s">
        <v>5143</v>
      </c>
      <c r="BE21" s="290" t="s">
        <v>2554</v>
      </c>
      <c r="BF21" s="290"/>
      <c r="BG21" s="291" t="s">
        <v>750</v>
      </c>
      <c r="BH21" s="292">
        <v>3</v>
      </c>
      <c r="BI21" s="347" t="s">
        <v>12368</v>
      </c>
      <c r="BJ21" s="348" t="s">
        <v>12369</v>
      </c>
      <c r="BK21" s="349" t="s">
        <v>12370</v>
      </c>
    </row>
    <row r="22" spans="2:63" ht="15" thickBot="1">
      <c r="B22" s="350"/>
      <c r="C22" s="275"/>
      <c r="D22" s="275"/>
      <c r="E22" s="277"/>
      <c r="F22" s="277"/>
      <c r="G22" s="351"/>
      <c r="H22" s="351"/>
      <c r="I22" s="351"/>
      <c r="L22" s="114"/>
      <c r="O22" s="288"/>
      <c r="P22" s="115"/>
      <c r="Q22" s="294"/>
      <c r="S22" s="496"/>
      <c r="T22" s="496"/>
      <c r="U22" s="496"/>
      <c r="BD22" s="350"/>
      <c r="BE22" s="275"/>
      <c r="BF22" s="275"/>
      <c r="BG22" s="277"/>
      <c r="BH22" s="277"/>
      <c r="BI22" s="351"/>
      <c r="BJ22" s="351"/>
      <c r="BK22" s="351"/>
    </row>
    <row r="23" spans="2:63" ht="15" customHeight="1" thickBot="1">
      <c r="B23" s="352" t="s">
        <v>5144</v>
      </c>
      <c r="C23" s="272" t="s">
        <v>2688</v>
      </c>
      <c r="D23" s="272"/>
      <c r="E23" s="353" t="s">
        <v>750</v>
      </c>
      <c r="F23" s="274">
        <v>3</v>
      </c>
      <c r="G23" s="354">
        <f>+G15+G9+G21</f>
        <v>364.21800000000002</v>
      </c>
      <c r="H23" s="355">
        <f t="shared" ref="H23" si="5">+H15+H9+H21</f>
        <v>118.63800000000001</v>
      </c>
      <c r="I23" s="356">
        <f>+I15+I9+I21</f>
        <v>482.85600000000005</v>
      </c>
      <c r="L23" s="114"/>
      <c r="O23" s="288"/>
      <c r="P23" s="115"/>
      <c r="Q23" s="294"/>
      <c r="S23" s="8"/>
      <c r="T23" s="496"/>
      <c r="U23" s="496"/>
      <c r="BD23" s="352" t="s">
        <v>5144</v>
      </c>
      <c r="BE23" s="272" t="s">
        <v>2688</v>
      </c>
      <c r="BF23" s="272"/>
      <c r="BG23" s="353" t="s">
        <v>750</v>
      </c>
      <c r="BH23" s="274">
        <v>3</v>
      </c>
      <c r="BI23" s="354" t="s">
        <v>10137</v>
      </c>
      <c r="BJ23" s="355" t="s">
        <v>10138</v>
      </c>
      <c r="BK23" s="356" t="s">
        <v>10139</v>
      </c>
    </row>
    <row r="24" spans="2:63" ht="15" thickBot="1">
      <c r="B24" s="146"/>
      <c r="E24" s="279"/>
      <c r="F24" s="279"/>
      <c r="G24" s="278"/>
      <c r="H24" s="278"/>
      <c r="I24" s="278"/>
      <c r="L24" s="114"/>
      <c r="O24" s="288"/>
      <c r="P24" s="115"/>
      <c r="Q24" s="294"/>
      <c r="S24" s="8"/>
      <c r="T24" s="496"/>
      <c r="U24" s="496"/>
      <c r="BD24" s="146"/>
      <c r="BG24" s="279"/>
      <c r="BH24" s="279"/>
      <c r="BI24" s="278"/>
      <c r="BJ24" s="278"/>
      <c r="BK24" s="278"/>
    </row>
    <row r="25" spans="2:63" ht="15" thickBot="1">
      <c r="B25" s="344" t="s">
        <v>2464</v>
      </c>
      <c r="C25" s="119" t="s">
        <v>2689</v>
      </c>
      <c r="D25" s="1584"/>
      <c r="E25" s="310"/>
      <c r="F25" s="310"/>
      <c r="G25" s="278"/>
      <c r="H25" s="278"/>
      <c r="I25" s="278"/>
      <c r="L25" s="114"/>
      <c r="O25" s="288"/>
      <c r="P25" s="115"/>
      <c r="Q25" s="294"/>
      <c r="S25" s="8"/>
      <c r="T25" s="496"/>
      <c r="U25" s="496"/>
      <c r="BD25" s="2741" t="s">
        <v>2464</v>
      </c>
      <c r="BE25" s="119" t="s">
        <v>2689</v>
      </c>
      <c r="BF25" s="1584"/>
      <c r="BG25" s="310"/>
      <c r="BH25" s="310"/>
      <c r="BI25" s="278"/>
      <c r="BJ25" s="278"/>
      <c r="BK25" s="278"/>
    </row>
    <row r="26" spans="2:63" ht="15" customHeight="1">
      <c r="B26" s="298" t="s">
        <v>5145</v>
      </c>
      <c r="C26" s="281" t="s">
        <v>2684</v>
      </c>
      <c r="D26" s="281"/>
      <c r="E26" s="311" t="s">
        <v>750</v>
      </c>
      <c r="F26" s="283">
        <v>3</v>
      </c>
      <c r="G26" s="448">
        <v>6.6509999999999998</v>
      </c>
      <c r="H26" s="449">
        <v>0</v>
      </c>
      <c r="I26" s="345">
        <f>+G26+H26</f>
        <v>6.6509999999999998</v>
      </c>
      <c r="J26" s="2518"/>
      <c r="K26" s="2518"/>
      <c r="L26" s="24">
        <f t="shared" ref="L26:L28" si="6" xml:space="preserve"> IF( SUM( N26:R26 ) = 0, 0, O$5 )</f>
        <v>0</v>
      </c>
      <c r="O26" s="98">
        <f t="shared" ref="O26:P28" si="7" xml:space="preserve"> IF( ISNUMBER( G26 ), 0, 1 )</f>
        <v>0</v>
      </c>
      <c r="P26" s="98">
        <f t="shared" si="7"/>
        <v>0</v>
      </c>
      <c r="Q26" s="132"/>
      <c r="S26" s="8"/>
      <c r="T26" s="496"/>
      <c r="U26" s="496"/>
      <c r="BD26" s="298" t="s">
        <v>5145</v>
      </c>
      <c r="BE26" s="281" t="s">
        <v>2684</v>
      </c>
      <c r="BF26" s="281"/>
      <c r="BG26" s="311" t="s">
        <v>750</v>
      </c>
      <c r="BH26" s="283">
        <v>3</v>
      </c>
      <c r="BI26" s="2836" t="s">
        <v>10140</v>
      </c>
      <c r="BJ26" s="2837" t="s">
        <v>10141</v>
      </c>
      <c r="BK26" s="345" t="s">
        <v>10142</v>
      </c>
    </row>
    <row r="27" spans="2:63" ht="15" customHeight="1">
      <c r="B27" s="299" t="s">
        <v>5146</v>
      </c>
      <c r="C27" s="285" t="s">
        <v>2685</v>
      </c>
      <c r="D27" s="285"/>
      <c r="E27" s="312" t="s">
        <v>750</v>
      </c>
      <c r="F27" s="287">
        <v>3</v>
      </c>
      <c r="G27" s="450">
        <v>28.338999999999999</v>
      </c>
      <c r="H27" s="451">
        <v>0</v>
      </c>
      <c r="I27" s="346">
        <f>+G27+H27</f>
        <v>28.338999999999999</v>
      </c>
      <c r="J27" s="2518"/>
      <c r="K27" s="2518"/>
      <c r="L27" s="24">
        <f t="shared" si="6"/>
        <v>0</v>
      </c>
      <c r="O27" s="98">
        <f t="shared" si="7"/>
        <v>0</v>
      </c>
      <c r="P27" s="98">
        <f t="shared" si="7"/>
        <v>0</v>
      </c>
      <c r="Q27" s="132"/>
      <c r="S27" s="8"/>
      <c r="T27" s="496"/>
      <c r="U27" s="496"/>
      <c r="BD27" s="299" t="s">
        <v>5146</v>
      </c>
      <c r="BE27" s="285" t="s">
        <v>2685</v>
      </c>
      <c r="BF27" s="285"/>
      <c r="BG27" s="312" t="s">
        <v>750</v>
      </c>
      <c r="BH27" s="287">
        <v>3</v>
      </c>
      <c r="BI27" s="2531" t="s">
        <v>10143</v>
      </c>
      <c r="BJ27" s="2838" t="s">
        <v>10144</v>
      </c>
      <c r="BK27" s="346" t="s">
        <v>10145</v>
      </c>
    </row>
    <row r="28" spans="2:63" ht="15" customHeight="1">
      <c r="B28" s="299" t="s">
        <v>5147</v>
      </c>
      <c r="C28" s="285" t="s">
        <v>2692</v>
      </c>
      <c r="D28" s="285"/>
      <c r="E28" s="312" t="s">
        <v>750</v>
      </c>
      <c r="F28" s="287">
        <v>3</v>
      </c>
      <c r="G28" s="450">
        <v>0</v>
      </c>
      <c r="H28" s="451">
        <v>0</v>
      </c>
      <c r="I28" s="346">
        <f>+G28+H28</f>
        <v>0</v>
      </c>
      <c r="J28" s="2518"/>
      <c r="K28" s="2518"/>
      <c r="L28" s="24">
        <f t="shared" si="6"/>
        <v>0</v>
      </c>
      <c r="O28" s="98">
        <f t="shared" si="7"/>
        <v>0</v>
      </c>
      <c r="P28" s="98">
        <f t="shared" si="7"/>
        <v>0</v>
      </c>
      <c r="Q28" s="132"/>
      <c r="S28" s="8"/>
      <c r="T28" s="496"/>
      <c r="U28" s="496"/>
      <c r="BD28" s="299" t="s">
        <v>5147</v>
      </c>
      <c r="BE28" s="285" t="s">
        <v>2692</v>
      </c>
      <c r="BF28" s="285"/>
      <c r="BG28" s="312" t="s">
        <v>750</v>
      </c>
      <c r="BH28" s="287">
        <v>3</v>
      </c>
      <c r="BI28" s="2531" t="s">
        <v>10146</v>
      </c>
      <c r="BJ28" s="2838" t="s">
        <v>10147</v>
      </c>
      <c r="BK28" s="346" t="s">
        <v>10148</v>
      </c>
    </row>
    <row r="29" spans="2:63" ht="21.75" customHeight="1" thickBot="1">
      <c r="B29" s="300" t="s">
        <v>5148</v>
      </c>
      <c r="C29" s="290" t="s">
        <v>2690</v>
      </c>
      <c r="D29" s="290"/>
      <c r="E29" s="291" t="s">
        <v>750</v>
      </c>
      <c r="F29" s="292">
        <v>3</v>
      </c>
      <c r="G29" s="347">
        <f>SUM(G26:G28)</f>
        <v>34.989999999999995</v>
      </c>
      <c r="H29" s="348">
        <f>SUM(H26:H28)</f>
        <v>0</v>
      </c>
      <c r="I29" s="349">
        <f>SUM(I26:I28)</f>
        <v>34.989999999999995</v>
      </c>
      <c r="J29" s="123"/>
      <c r="K29" s="66" t="str">
        <f xml:space="preserve"> IF( SUM( R29:V29 ) = 0, 0, AC29 )</f>
        <v>The total of lines 2I.9 and 2I.13 should equal line 2A.1 (Total column).</v>
      </c>
      <c r="L29" s="114"/>
      <c r="M29" s="123"/>
      <c r="N29" s="129"/>
      <c r="O29" s="288"/>
      <c r="P29" s="115"/>
      <c r="Q29" s="294"/>
      <c r="R29" s="129"/>
      <c r="S29" s="98">
        <f xml:space="preserve"> IF( (W29 - X29) = 0, 0, 1 )</f>
        <v>1</v>
      </c>
      <c r="T29" s="496"/>
      <c r="U29" s="496"/>
      <c r="V29" s="129"/>
      <c r="W29" s="172">
        <f xml:space="preserve"> ROUND( I23 + I29, 3)</f>
        <v>517.846</v>
      </c>
      <c r="X29" s="172">
        <f xml:space="preserve"> ROUND( '2A'!P6, 3)</f>
        <v>0</v>
      </c>
      <c r="Y29" s="172"/>
      <c r="Z29" s="172"/>
      <c r="AA29" s="172"/>
      <c r="AB29" s="172"/>
      <c r="AC29" s="75" t="s">
        <v>13505</v>
      </c>
      <c r="AD29" s="129"/>
      <c r="BD29" s="300" t="s">
        <v>5148</v>
      </c>
      <c r="BE29" s="290" t="s">
        <v>2690</v>
      </c>
      <c r="BF29" s="290"/>
      <c r="BG29" s="291" t="s">
        <v>750</v>
      </c>
      <c r="BH29" s="292">
        <v>3</v>
      </c>
      <c r="BI29" s="347" t="s">
        <v>10149</v>
      </c>
      <c r="BJ29" s="348" t="s">
        <v>10150</v>
      </c>
      <c r="BK29" s="349" t="s">
        <v>10151</v>
      </c>
    </row>
    <row r="30" spans="2:63" ht="15" thickBot="1">
      <c r="B30" s="350"/>
      <c r="C30" s="275"/>
      <c r="D30" s="275"/>
      <c r="E30" s="277"/>
      <c r="F30" s="277"/>
      <c r="G30" s="357"/>
      <c r="H30" s="357"/>
      <c r="I30" s="357"/>
      <c r="J30" s="131"/>
      <c r="L30" s="209"/>
      <c r="M30" s="131"/>
      <c r="N30" s="124"/>
      <c r="O30" s="211"/>
      <c r="P30" s="170"/>
      <c r="Q30" s="331"/>
      <c r="R30" s="124"/>
      <c r="S30" s="8"/>
      <c r="T30" s="496"/>
      <c r="U30" s="496"/>
      <c r="V30" s="124"/>
      <c r="AD30" s="124"/>
      <c r="BD30" s="350"/>
      <c r="BE30" s="275"/>
      <c r="BF30" s="275"/>
      <c r="BG30" s="277"/>
      <c r="BH30" s="277"/>
      <c r="BI30" s="357"/>
      <c r="BJ30" s="357"/>
      <c r="BK30" s="357"/>
    </row>
    <row r="31" spans="2:63" ht="15" thickBot="1">
      <c r="B31" s="344" t="s">
        <v>2473</v>
      </c>
      <c r="C31" s="119" t="s">
        <v>2691</v>
      </c>
      <c r="D31" s="1584"/>
      <c r="E31" s="310"/>
      <c r="F31" s="310"/>
      <c r="G31" s="357"/>
      <c r="H31" s="357"/>
      <c r="I31" s="357"/>
      <c r="J31" s="131"/>
      <c r="L31" s="209"/>
      <c r="M31" s="131"/>
      <c r="N31" s="124"/>
      <c r="O31" s="211"/>
      <c r="P31" s="170"/>
      <c r="Q31" s="170"/>
      <c r="R31" s="124"/>
      <c r="S31" s="8"/>
      <c r="T31" s="496"/>
      <c r="U31" s="496"/>
      <c r="V31" s="124"/>
      <c r="AD31" s="124"/>
      <c r="BD31" s="2741" t="s">
        <v>2473</v>
      </c>
      <c r="BE31" s="119" t="s">
        <v>2691</v>
      </c>
      <c r="BF31" s="1584"/>
      <c r="BG31" s="310"/>
      <c r="BH31" s="310"/>
      <c r="BI31" s="357"/>
      <c r="BJ31" s="357"/>
      <c r="BK31" s="357"/>
    </row>
    <row r="32" spans="2:63" ht="15" customHeight="1">
      <c r="B32" s="298" t="s">
        <v>5149</v>
      </c>
      <c r="C32" s="281" t="s">
        <v>3640</v>
      </c>
      <c r="D32" s="281"/>
      <c r="E32" s="311" t="s">
        <v>750</v>
      </c>
      <c r="F32" s="283">
        <v>3</v>
      </c>
      <c r="G32" s="357"/>
      <c r="H32" s="357"/>
      <c r="I32" s="452">
        <f>ROUND(0.059569-0.049+0.077995,3)</f>
        <v>8.8999999999999996E-2</v>
      </c>
      <c r="J32" s="131"/>
      <c r="L32" s="24">
        <f t="shared" ref="L32:L34" si="8" xml:space="preserve"> IF( SUM( N32:R32 ) = 0, 0, O$5 )</f>
        <v>0</v>
      </c>
      <c r="M32" s="131"/>
      <c r="N32" s="124"/>
      <c r="O32" s="211"/>
      <c r="P32" s="132"/>
      <c r="Q32" s="98">
        <f t="shared" ref="Q32:Q34" si="9" xml:space="preserve"> IF( ISNUMBER( I32 ), 0, 1 )</f>
        <v>0</v>
      </c>
      <c r="R32" s="124"/>
      <c r="S32" s="8"/>
      <c r="T32" s="496"/>
      <c r="U32" s="496"/>
      <c r="V32" s="124"/>
      <c r="AD32" s="124"/>
      <c r="BD32" s="298" t="s">
        <v>5149</v>
      </c>
      <c r="BE32" s="281" t="s">
        <v>3640</v>
      </c>
      <c r="BF32" s="281"/>
      <c r="BG32" s="311" t="s">
        <v>750</v>
      </c>
      <c r="BH32" s="283">
        <v>3</v>
      </c>
      <c r="BI32" s="357"/>
      <c r="BJ32" s="357"/>
      <c r="BK32" s="2593" t="s">
        <v>10152</v>
      </c>
    </row>
    <row r="33" spans="2:64" ht="15" customHeight="1">
      <c r="B33" s="299" t="s">
        <v>5150</v>
      </c>
      <c r="C33" s="285" t="s">
        <v>3641</v>
      </c>
      <c r="D33" s="285"/>
      <c r="E33" s="312" t="s">
        <v>750</v>
      </c>
      <c r="F33" s="287">
        <v>3</v>
      </c>
      <c r="G33" s="357"/>
      <c r="H33" s="357"/>
      <c r="I33" s="453">
        <v>0</v>
      </c>
      <c r="J33" s="131"/>
      <c r="L33" s="24">
        <f t="shared" si="8"/>
        <v>0</v>
      </c>
      <c r="M33" s="131"/>
      <c r="N33" s="124"/>
      <c r="O33" s="211"/>
      <c r="P33" s="132"/>
      <c r="Q33" s="98">
        <f>IF(Validation!$H$3=1,0,IF(ISNUMBER(I33),0,1))</f>
        <v>0</v>
      </c>
      <c r="R33" s="124"/>
      <c r="S33" s="8"/>
      <c r="T33" s="496"/>
      <c r="U33" s="496"/>
      <c r="V33" s="124"/>
      <c r="AD33" s="124"/>
      <c r="BD33" s="299" t="s">
        <v>5150</v>
      </c>
      <c r="BE33" s="285" t="s">
        <v>3641</v>
      </c>
      <c r="BF33" s="285"/>
      <c r="BG33" s="312" t="s">
        <v>750</v>
      </c>
      <c r="BH33" s="287">
        <v>3</v>
      </c>
      <c r="BI33" s="357"/>
      <c r="BJ33" s="357"/>
      <c r="BK33" s="2839" t="s">
        <v>10153</v>
      </c>
    </row>
    <row r="34" spans="2:64" ht="15" customHeight="1" thickBot="1">
      <c r="B34" s="300" t="s">
        <v>5151</v>
      </c>
      <c r="C34" s="290" t="s">
        <v>2692</v>
      </c>
      <c r="D34" s="290"/>
      <c r="E34" s="291" t="s">
        <v>750</v>
      </c>
      <c r="F34" s="292">
        <v>3</v>
      </c>
      <c r="G34" s="357"/>
      <c r="H34" s="357"/>
      <c r="I34" s="657">
        <v>3.9009999999999998</v>
      </c>
      <c r="J34" s="131"/>
      <c r="L34" s="24">
        <f t="shared" si="8"/>
        <v>0</v>
      </c>
      <c r="M34" s="131"/>
      <c r="N34" s="124"/>
      <c r="O34" s="211"/>
      <c r="P34" s="132"/>
      <c r="Q34" s="98">
        <f t="shared" si="9"/>
        <v>0</v>
      </c>
      <c r="R34" s="124"/>
      <c r="S34" s="132"/>
      <c r="T34" s="132"/>
      <c r="U34" s="132"/>
      <c r="V34" s="124"/>
      <c r="AD34" s="124"/>
      <c r="BD34" s="300" t="s">
        <v>5151</v>
      </c>
      <c r="BE34" s="290" t="s">
        <v>2692</v>
      </c>
      <c r="BF34" s="290"/>
      <c r="BG34" s="291" t="s">
        <v>750</v>
      </c>
      <c r="BH34" s="292">
        <v>3</v>
      </c>
      <c r="BI34" s="357"/>
      <c r="BJ34" s="357"/>
      <c r="BK34" s="2840" t="s">
        <v>10154</v>
      </c>
    </row>
    <row r="35" spans="2:64" ht="15" thickBot="1">
      <c r="B35" s="350"/>
      <c r="C35" s="275"/>
      <c r="D35" s="275"/>
      <c r="E35" s="277"/>
      <c r="F35" s="277"/>
      <c r="G35" s="357"/>
      <c r="H35" s="357"/>
      <c r="I35" s="357"/>
      <c r="J35" s="131"/>
      <c r="L35" s="209"/>
      <c r="M35" s="131"/>
      <c r="N35" s="124"/>
      <c r="O35" s="211"/>
      <c r="P35" s="170"/>
      <c r="Q35" s="331"/>
      <c r="R35" s="124"/>
      <c r="S35" s="496"/>
      <c r="T35" s="496"/>
      <c r="U35" s="496"/>
      <c r="V35" s="124"/>
      <c r="AD35" s="124"/>
      <c r="BD35" s="350"/>
      <c r="BE35" s="275"/>
      <c r="BF35" s="275"/>
      <c r="BG35" s="277"/>
      <c r="BH35" s="277"/>
      <c r="BI35" s="357"/>
      <c r="BJ35" s="357"/>
      <c r="BK35" s="357"/>
    </row>
    <row r="36" spans="2:64" ht="15" customHeight="1" thickBot="1">
      <c r="B36" s="633" t="s">
        <v>2480</v>
      </c>
      <c r="C36" s="119" t="s">
        <v>3645</v>
      </c>
      <c r="D36" s="1584"/>
      <c r="E36" s="310"/>
      <c r="F36" s="310"/>
      <c r="G36" s="357"/>
      <c r="H36" s="357"/>
      <c r="I36" s="357"/>
      <c r="J36" s="131"/>
      <c r="L36" s="24"/>
      <c r="M36" s="131"/>
      <c r="N36" s="124"/>
      <c r="O36" s="211"/>
      <c r="P36" s="132"/>
      <c r="Q36" s="132"/>
      <c r="R36" s="124"/>
      <c r="S36" s="496"/>
      <c r="T36" s="496"/>
      <c r="U36" s="496"/>
      <c r="V36" s="124"/>
      <c r="AD36" s="124"/>
      <c r="BD36" s="2741" t="s">
        <v>2480</v>
      </c>
      <c r="BE36" s="119" t="s">
        <v>3645</v>
      </c>
      <c r="BF36" s="1584"/>
      <c r="BG36" s="310"/>
      <c r="BH36" s="310"/>
      <c r="BI36" s="357"/>
      <c r="BJ36" s="357"/>
      <c r="BK36" s="357"/>
    </row>
    <row r="37" spans="2:64" ht="15" customHeight="1" thickBot="1">
      <c r="B37" s="300" t="s">
        <v>5152</v>
      </c>
      <c r="C37" s="290" t="s">
        <v>2693</v>
      </c>
      <c r="D37" s="1585"/>
      <c r="E37" s="353" t="s">
        <v>750</v>
      </c>
      <c r="F37" s="274">
        <v>3</v>
      </c>
      <c r="G37" s="357"/>
      <c r="H37" s="357"/>
      <c r="I37" s="831">
        <v>0</v>
      </c>
      <c r="J37" s="131"/>
      <c r="L37" s="24">
        <f t="shared" ref="L37" si="10" xml:space="preserve"> IF( SUM( N37:R37 ) = 0, 0, O$5 )</f>
        <v>0</v>
      </c>
      <c r="M37" s="131"/>
      <c r="N37" s="124"/>
      <c r="O37" s="211"/>
      <c r="P37" s="132"/>
      <c r="Q37" s="98">
        <f t="shared" ref="Q37" si="11" xml:space="preserve"> IF( ISNUMBER( I37 ), 0, 1 )</f>
        <v>0</v>
      </c>
      <c r="R37" s="124"/>
      <c r="S37" s="496"/>
      <c r="T37" s="496"/>
      <c r="U37" s="496"/>
      <c r="V37" s="124"/>
      <c r="AD37" s="124"/>
      <c r="BD37" s="300" t="s">
        <v>5152</v>
      </c>
      <c r="BE37" s="290" t="s">
        <v>2693</v>
      </c>
      <c r="BF37" s="1585"/>
      <c r="BG37" s="353" t="s">
        <v>750</v>
      </c>
      <c r="BH37" s="274">
        <v>3</v>
      </c>
      <c r="BI37" s="357"/>
      <c r="BJ37" s="357"/>
      <c r="BK37" s="2841" t="s">
        <v>10155</v>
      </c>
    </row>
    <row r="38" spans="2:64" ht="15" thickBot="1">
      <c r="B38" s="350"/>
      <c r="C38" s="275"/>
      <c r="D38" s="275"/>
      <c r="E38" s="277"/>
      <c r="F38" s="277"/>
      <c r="G38" s="357"/>
      <c r="H38" s="357"/>
      <c r="I38" s="357"/>
      <c r="J38" s="131"/>
      <c r="L38" s="209"/>
      <c r="M38" s="131"/>
      <c r="N38" s="124"/>
      <c r="O38" s="211"/>
      <c r="P38" s="170"/>
      <c r="Q38" s="331"/>
      <c r="R38" s="124"/>
      <c r="S38" s="496"/>
      <c r="T38" s="496"/>
      <c r="U38" s="496"/>
      <c r="V38" s="124"/>
      <c r="AD38" s="124"/>
      <c r="BD38" s="350"/>
      <c r="BE38" s="275"/>
      <c r="BF38" s="275"/>
      <c r="BG38" s="277"/>
      <c r="BH38" s="277"/>
      <c r="BI38" s="357"/>
      <c r="BJ38" s="357"/>
      <c r="BK38" s="357"/>
    </row>
    <row r="39" spans="2:64" ht="20.25" customHeight="1" thickBot="1">
      <c r="B39" s="352" t="s">
        <v>5153</v>
      </c>
      <c r="C39" s="272" t="s">
        <v>2694</v>
      </c>
      <c r="D39" s="272"/>
      <c r="E39" s="353" t="s">
        <v>750</v>
      </c>
      <c r="F39" s="274">
        <v>3</v>
      </c>
      <c r="G39" s="357"/>
      <c r="H39" s="357"/>
      <c r="I39" s="644">
        <f>+I23+I29+I32+I33+I34+I37</f>
        <v>521.83600000000001</v>
      </c>
      <c r="J39" s="131"/>
      <c r="K39" s="66" t="str">
        <f xml:space="preserve"> IF( SUM( R39:V39 ) = 0, 0, AC39 )</f>
        <v>Line 2I.18 should equal the sum of line 1A.1 (appointed business activities column).</v>
      </c>
      <c r="L39" s="75"/>
      <c r="M39" s="131"/>
      <c r="N39" s="124"/>
      <c r="O39" s="211"/>
      <c r="P39" s="170"/>
      <c r="Q39" s="170"/>
      <c r="R39" s="124"/>
      <c r="S39" s="98">
        <f xml:space="preserve"> IF( (W39 - X39) = 0, 0, 1 )</f>
        <v>1</v>
      </c>
      <c r="T39" s="496"/>
      <c r="U39" s="496"/>
      <c r="V39" s="124"/>
      <c r="W39" s="172">
        <f xml:space="preserve"> ROUND(I39, 3)</f>
        <v>521.83600000000001</v>
      </c>
      <c r="X39" s="172">
        <f xml:space="preserve"> ROUND( '1A'!K6, 3)</f>
        <v>0</v>
      </c>
      <c r="Y39" s="172"/>
      <c r="Z39" s="172"/>
      <c r="AA39" s="172"/>
      <c r="AB39" s="172"/>
      <c r="AC39" s="75" t="s">
        <v>13504</v>
      </c>
      <c r="AD39" s="124"/>
      <c r="BD39" s="352" t="s">
        <v>5153</v>
      </c>
      <c r="BE39" s="272" t="s">
        <v>2694</v>
      </c>
      <c r="BF39" s="272"/>
      <c r="BG39" s="353" t="s">
        <v>750</v>
      </c>
      <c r="BH39" s="274">
        <v>3</v>
      </c>
      <c r="BI39" s="357"/>
      <c r="BJ39" s="357"/>
      <c r="BK39" s="644" t="s">
        <v>10156</v>
      </c>
    </row>
    <row r="40" spans="2:64">
      <c r="B40" s="350"/>
      <c r="C40" s="275"/>
      <c r="D40" s="275"/>
      <c r="E40" s="277"/>
      <c r="F40" s="277"/>
      <c r="G40" s="270"/>
      <c r="H40" s="270"/>
      <c r="I40" s="270"/>
      <c r="J40" s="131"/>
      <c r="L40" s="75"/>
      <c r="M40" s="131"/>
      <c r="N40" s="124"/>
      <c r="O40" s="211"/>
      <c r="P40" s="170"/>
      <c r="Q40" s="170"/>
      <c r="R40" s="124"/>
      <c r="S40" s="8"/>
      <c r="T40" s="496"/>
      <c r="U40" s="496"/>
      <c r="V40" s="124"/>
      <c r="AD40" s="124"/>
      <c r="BD40" s="350"/>
      <c r="BE40" s="275"/>
      <c r="BF40" s="275"/>
      <c r="BG40" s="277"/>
      <c r="BH40" s="277"/>
      <c r="BI40" s="270"/>
      <c r="BJ40" s="270"/>
      <c r="BK40" s="270"/>
    </row>
    <row r="41" spans="2:64" ht="15" thickBot="1">
      <c r="B41" s="350"/>
      <c r="C41" s="275"/>
      <c r="D41" s="275"/>
      <c r="E41" s="277"/>
      <c r="F41" s="277"/>
      <c r="G41" s="270"/>
      <c r="H41" s="270"/>
      <c r="I41" s="270"/>
      <c r="J41" s="135"/>
      <c r="L41" s="75"/>
      <c r="M41" s="131"/>
      <c r="N41" s="124"/>
      <c r="O41" s="313"/>
      <c r="P41" s="185"/>
      <c r="Q41" s="185"/>
      <c r="R41" s="124"/>
      <c r="S41" s="8"/>
      <c r="T41" s="496"/>
      <c r="U41" s="496"/>
      <c r="V41" s="124"/>
      <c r="AD41" s="124"/>
      <c r="BD41" s="350"/>
      <c r="BE41" s="275"/>
      <c r="BF41" s="275"/>
      <c r="BG41" s="277"/>
      <c r="BH41" s="277"/>
      <c r="BI41" s="270"/>
      <c r="BJ41" s="270"/>
      <c r="BK41" s="270"/>
    </row>
    <row r="42" spans="2:64" ht="15" thickBot="1">
      <c r="B42" s="278"/>
      <c r="C42" s="275"/>
      <c r="D42" s="275"/>
      <c r="E42" s="277"/>
      <c r="F42" s="277"/>
      <c r="G42" s="341" t="s">
        <v>40</v>
      </c>
      <c r="H42" s="342" t="s">
        <v>214</v>
      </c>
      <c r="I42" s="342" t="s">
        <v>1800</v>
      </c>
      <c r="J42" s="359" t="s">
        <v>2554</v>
      </c>
      <c r="L42" s="75"/>
      <c r="M42" s="131"/>
      <c r="N42" s="124"/>
      <c r="O42" s="313"/>
      <c r="P42" s="185"/>
      <c r="Q42" s="185"/>
      <c r="R42" s="124"/>
      <c r="S42" s="8"/>
      <c r="T42" s="496"/>
      <c r="U42" s="496"/>
      <c r="V42" s="124"/>
      <c r="AD42" s="124"/>
      <c r="BD42" s="278"/>
      <c r="BE42" s="275"/>
      <c r="BF42" s="275"/>
      <c r="BG42" s="277"/>
      <c r="BH42" s="277"/>
      <c r="BI42" s="341" t="s">
        <v>40</v>
      </c>
      <c r="BJ42" s="342" t="s">
        <v>214</v>
      </c>
      <c r="BK42" s="342" t="s">
        <v>1800</v>
      </c>
      <c r="BL42" s="359" t="s">
        <v>2554</v>
      </c>
    </row>
    <row r="43" spans="2:64" ht="15" thickBot="1">
      <c r="B43" s="278"/>
      <c r="C43" s="275"/>
      <c r="D43" s="275"/>
      <c r="E43" s="275"/>
      <c r="F43" s="275"/>
      <c r="G43" s="275"/>
      <c r="H43" s="275"/>
      <c r="I43" s="275"/>
      <c r="J43" s="275"/>
      <c r="L43" s="75"/>
      <c r="M43" s="123"/>
      <c r="N43" s="129"/>
      <c r="O43" s="288"/>
      <c r="P43" s="115"/>
      <c r="Q43" s="115"/>
      <c r="R43" s="129"/>
      <c r="S43" s="8"/>
      <c r="T43" s="496"/>
      <c r="U43" s="496"/>
      <c r="V43" s="129"/>
      <c r="AD43" s="129"/>
      <c r="BD43" s="278"/>
      <c r="BE43" s="275"/>
      <c r="BF43" s="275"/>
      <c r="BG43" s="275"/>
      <c r="BH43" s="275"/>
      <c r="BI43" s="275"/>
      <c r="BJ43" s="275"/>
      <c r="BK43" s="275"/>
      <c r="BL43" s="275"/>
    </row>
    <row r="44" spans="2:64" ht="15" customHeight="1">
      <c r="B44" s="298" t="s">
        <v>5154</v>
      </c>
      <c r="C44" s="281" t="s">
        <v>2695</v>
      </c>
      <c r="D44" s="281"/>
      <c r="E44" s="311" t="s">
        <v>750</v>
      </c>
      <c r="F44" s="283">
        <v>3</v>
      </c>
      <c r="G44" s="782">
        <f>+I9</f>
        <v>204.97300000000001</v>
      </c>
      <c r="H44" s="711">
        <f>+I15</f>
        <v>277.88300000000004</v>
      </c>
      <c r="I44" s="711">
        <f>+I21</f>
        <v>0</v>
      </c>
      <c r="J44" s="345">
        <f>+I23</f>
        <v>482.85600000000005</v>
      </c>
      <c r="L44" s="75"/>
      <c r="M44" s="123"/>
      <c r="N44" s="129"/>
      <c r="O44" s="288"/>
      <c r="P44" s="115"/>
      <c r="Q44" s="115"/>
      <c r="R44" s="129"/>
      <c r="S44" s="8"/>
      <c r="T44" s="496"/>
      <c r="U44" s="496"/>
      <c r="V44" s="129"/>
      <c r="AD44" s="129"/>
      <c r="BD44" s="298" t="s">
        <v>5154</v>
      </c>
      <c r="BE44" s="281" t="s">
        <v>2695</v>
      </c>
      <c r="BF44" s="281"/>
      <c r="BG44" s="311" t="s">
        <v>750</v>
      </c>
      <c r="BH44" s="283">
        <v>3</v>
      </c>
      <c r="BI44" s="782" t="s">
        <v>10157</v>
      </c>
      <c r="BJ44" s="711" t="s">
        <v>10158</v>
      </c>
      <c r="BK44" s="711" t="s">
        <v>12371</v>
      </c>
      <c r="BL44" s="345" t="s">
        <v>10159</v>
      </c>
    </row>
    <row r="45" spans="2:64" ht="57" customHeight="1">
      <c r="B45" s="299" t="s">
        <v>5155</v>
      </c>
      <c r="C45" s="285" t="s">
        <v>2696</v>
      </c>
      <c r="D45" s="285"/>
      <c r="E45" s="312" t="s">
        <v>750</v>
      </c>
      <c r="F45" s="287">
        <v>3</v>
      </c>
      <c r="G45" s="450">
        <v>8.9149999999999991</v>
      </c>
      <c r="H45" s="708">
        <v>6.4569999999999999</v>
      </c>
      <c r="I45" s="708">
        <v>0</v>
      </c>
      <c r="J45" s="346">
        <f>G45+H45+I45</f>
        <v>15.372</v>
      </c>
      <c r="K45" s="1431" t="str">
        <f xml:space="preserve"> IF( SUM( R45:V45 ) = 0, 0, AC45 )</f>
        <v xml:space="preserve">Line 2I.20 should equal the sum of lines 2E.1, 2E.2, 2E.3 and 2E.4 (column 4) for water and lines 2E.9, 2E.10 and 2E.11 (column 4) for wastewater and lines 2E.9, 2E.10 and 2E.11 (column 4) for TTT. </v>
      </c>
      <c r="L45" s="24">
        <f t="shared" ref="L45" si="12" xml:space="preserve"> IF( SUM( N45:R45 ) = 0, 0, O$5 )</f>
        <v>0</v>
      </c>
      <c r="O45" s="98">
        <f xml:space="preserve"> IF( ISNUMBER( G45 ), 0, 1 )</f>
        <v>0</v>
      </c>
      <c r="P45" s="98">
        <f>IF( Validation!$H$3=1, 0, IF(Validation!$B$3 &lt;&gt; "Thames Water", 0, (IF(ISNUMBER(H45), 0, 1))))</f>
        <v>0</v>
      </c>
      <c r="Q45" s="98">
        <f>IF(Validation!$H$3=1,0,IF(ISNUMBER(I45),0,1))</f>
        <v>0</v>
      </c>
      <c r="S45" s="98">
        <f xml:space="preserve"> IF( (W45 - X45) = 0, 0, 1 )</f>
        <v>1</v>
      </c>
      <c r="T45" s="98">
        <f xml:space="preserve"> IF( (Y45 - Z45) = 0, 0, 1 )</f>
        <v>1</v>
      </c>
      <c r="U45" s="98">
        <f xml:space="preserve"> IF( (AA45 - AB45) = 0, 0, 1 )</f>
        <v>0</v>
      </c>
      <c r="V45" s="124"/>
      <c r="W45" s="172">
        <f xml:space="preserve"> ROUND(G45, 3)</f>
        <v>8.9149999999999991</v>
      </c>
      <c r="X45" s="172">
        <f>SUM('2E'!J7:J10)</f>
        <v>0</v>
      </c>
      <c r="Y45" s="172">
        <f xml:space="preserve"> ROUND(H45, 3)</f>
        <v>6.4569999999999999</v>
      </c>
      <c r="Z45" s="172">
        <f>SUM('2E'!J19:J21)</f>
        <v>0</v>
      </c>
      <c r="AA45" s="172">
        <f xml:space="preserve"> ROUND(I45, 3)</f>
        <v>0</v>
      </c>
      <c r="AB45" s="172">
        <f>SUM('2E'!J30:J32)</f>
        <v>0</v>
      </c>
      <c r="AC45" s="75" t="s">
        <v>12432</v>
      </c>
      <c r="AD45" s="129"/>
      <c r="BD45" s="299" t="s">
        <v>5155</v>
      </c>
      <c r="BE45" s="285" t="s">
        <v>2696</v>
      </c>
      <c r="BF45" s="285"/>
      <c r="BG45" s="312" t="s">
        <v>750</v>
      </c>
      <c r="BH45" s="287">
        <v>3</v>
      </c>
      <c r="BI45" s="2531" t="s">
        <v>10160</v>
      </c>
      <c r="BJ45" s="2842" t="s">
        <v>10161</v>
      </c>
      <c r="BK45" s="2842" t="s">
        <v>12372</v>
      </c>
      <c r="BL45" s="346" t="s">
        <v>10162</v>
      </c>
    </row>
    <row r="46" spans="2:64" ht="15" customHeight="1" thickBot="1">
      <c r="B46" s="300" t="s">
        <v>5156</v>
      </c>
      <c r="C46" s="290" t="s">
        <v>2697</v>
      </c>
      <c r="D46" s="290"/>
      <c r="E46" s="291" t="s">
        <v>750</v>
      </c>
      <c r="F46" s="292">
        <v>3</v>
      </c>
      <c r="G46" s="347">
        <f>+G44+G45</f>
        <v>213.88800000000001</v>
      </c>
      <c r="H46" s="709">
        <f>+H44+H45</f>
        <v>284.34000000000003</v>
      </c>
      <c r="I46" s="709">
        <f>+I44+I45</f>
        <v>0</v>
      </c>
      <c r="J46" s="349">
        <f>+J44+J45</f>
        <v>498.22800000000007</v>
      </c>
      <c r="L46" s="75"/>
      <c r="M46" s="123"/>
      <c r="N46" s="129"/>
      <c r="O46" s="288"/>
      <c r="P46" s="115"/>
      <c r="Q46" s="185"/>
      <c r="R46" s="129"/>
      <c r="S46" s="115"/>
      <c r="T46" s="115"/>
      <c r="U46" s="115"/>
      <c r="V46" s="129"/>
      <c r="AD46" s="129"/>
      <c r="BD46" s="300" t="s">
        <v>5156</v>
      </c>
      <c r="BE46" s="290" t="s">
        <v>2697</v>
      </c>
      <c r="BF46" s="290"/>
      <c r="BG46" s="291" t="s">
        <v>750</v>
      </c>
      <c r="BH46" s="292">
        <v>3</v>
      </c>
      <c r="BI46" s="347" t="s">
        <v>10163</v>
      </c>
      <c r="BJ46" s="709" t="s">
        <v>10164</v>
      </c>
      <c r="BK46" s="709" t="s">
        <v>12373</v>
      </c>
      <c r="BL46" s="349" t="s">
        <v>10165</v>
      </c>
    </row>
    <row r="47" spans="2:64" ht="15" thickBot="1">
      <c r="B47" s="278"/>
      <c r="C47" s="275"/>
      <c r="D47" s="275"/>
      <c r="E47" s="275"/>
      <c r="F47" s="275"/>
      <c r="G47" s="275"/>
      <c r="H47" s="275"/>
      <c r="I47" s="275"/>
      <c r="J47" s="275"/>
      <c r="L47" s="75"/>
      <c r="M47" s="123"/>
      <c r="N47" s="129"/>
      <c r="O47" s="288"/>
      <c r="P47" s="115"/>
      <c r="Q47" s="115"/>
      <c r="R47" s="129"/>
      <c r="S47" s="496"/>
      <c r="T47" s="496"/>
      <c r="U47" s="496"/>
      <c r="V47" s="129"/>
      <c r="AD47" s="129"/>
      <c r="BD47" s="278"/>
      <c r="BE47" s="275"/>
      <c r="BF47" s="275"/>
      <c r="BG47" s="275"/>
      <c r="BH47" s="275"/>
      <c r="BI47" s="1748"/>
      <c r="BJ47" s="1748"/>
      <c r="BK47" s="275"/>
      <c r="BL47" s="275"/>
    </row>
    <row r="48" spans="2:64" ht="15" customHeight="1">
      <c r="B48" s="298" t="s">
        <v>5161</v>
      </c>
      <c r="C48" s="281" t="s">
        <v>2698</v>
      </c>
      <c r="D48" s="281"/>
      <c r="E48" s="311" t="s">
        <v>750</v>
      </c>
      <c r="F48" s="283">
        <v>3</v>
      </c>
      <c r="G48" s="448">
        <f>212.199258-1.54</f>
        <v>210.65925799999999</v>
      </c>
      <c r="H48" s="449">
        <f>277.846506+4.52</f>
        <v>282.36650599999996</v>
      </c>
      <c r="I48" s="449">
        <v>0</v>
      </c>
      <c r="J48" s="345">
        <f>G48+H48+I48</f>
        <v>493.02576399999998</v>
      </c>
      <c r="L48" s="24">
        <f t="shared" ref="L48:L50" si="13" xml:space="preserve"> IF( SUM( N48:R48 ) = 0, 0, O$5 )</f>
        <v>0</v>
      </c>
      <c r="O48" s="98">
        <f t="shared" ref="O48" si="14" xml:space="preserve"> IF( ISNUMBER( G48 ), 0, 1 )</f>
        <v>0</v>
      </c>
      <c r="P48" s="98">
        <f>IF( Validation!$H$3=1, 0, IF(Validation!$B$3 &lt;&gt; "Thames Water", 0, (IF(ISNUMBER(H48), 0, 1))))</f>
        <v>0</v>
      </c>
      <c r="Q48" s="98">
        <f>IF(Validation!$H$3=1,0,IF(ISNUMBER(I48),0,1))</f>
        <v>0</v>
      </c>
      <c r="V48" s="129"/>
      <c r="AD48" s="129"/>
      <c r="BD48" s="298" t="s">
        <v>5161</v>
      </c>
      <c r="BE48" s="281" t="s">
        <v>2698</v>
      </c>
      <c r="BF48" s="281"/>
      <c r="BG48" s="311" t="s">
        <v>750</v>
      </c>
      <c r="BH48" s="283">
        <v>3</v>
      </c>
      <c r="BI48" s="2836" t="s">
        <v>10166</v>
      </c>
      <c r="BJ48" s="2837" t="s">
        <v>10167</v>
      </c>
      <c r="BK48" s="2837" t="s">
        <v>12374</v>
      </c>
      <c r="BL48" s="345" t="s">
        <v>10174</v>
      </c>
    </row>
    <row r="49" spans="1:64" ht="15" customHeight="1">
      <c r="B49" s="655" t="s">
        <v>5157</v>
      </c>
      <c r="C49" s="656" t="s">
        <v>3642</v>
      </c>
      <c r="D49" s="656"/>
      <c r="E49" s="312" t="s">
        <v>750</v>
      </c>
      <c r="F49" s="287">
        <v>3</v>
      </c>
      <c r="G49" s="898">
        <v>1.54</v>
      </c>
      <c r="H49" s="451">
        <v>-4.5199999999999996</v>
      </c>
      <c r="I49" s="451">
        <v>0</v>
      </c>
      <c r="J49" s="346">
        <f t="shared" ref="J49:J51" si="15">G49+H49+I49</f>
        <v>-2.9799999999999995</v>
      </c>
      <c r="L49" s="24">
        <f t="shared" si="13"/>
        <v>0</v>
      </c>
      <c r="O49" s="98">
        <f t="shared" ref="O49:O50" si="16" xml:space="preserve"> IF( ISNUMBER( G49 ), 0, 1 )</f>
        <v>0</v>
      </c>
      <c r="P49" s="98">
        <f>IF( Validation!$H$3=1, 0, IF(Validation!$B$3 &lt;&gt; "Thames Water", 0, (IF(ISNUMBER(H49), 0, 1))))</f>
        <v>0</v>
      </c>
      <c r="Q49" s="98">
        <f>IF(Validation!$H$3=1,0,IF(ISNUMBER(I49),0,1))</f>
        <v>0</v>
      </c>
      <c r="V49" s="129"/>
      <c r="AD49" s="129"/>
      <c r="BD49" s="655" t="s">
        <v>5157</v>
      </c>
      <c r="BE49" s="656" t="s">
        <v>3642</v>
      </c>
      <c r="BF49" s="656"/>
      <c r="BG49" s="312" t="s">
        <v>750</v>
      </c>
      <c r="BH49" s="287">
        <v>3</v>
      </c>
      <c r="BI49" s="2843" t="s">
        <v>10168</v>
      </c>
      <c r="BJ49" s="2838" t="s">
        <v>10169</v>
      </c>
      <c r="BK49" s="2838" t="s">
        <v>12375</v>
      </c>
      <c r="BL49" s="346" t="s">
        <v>10175</v>
      </c>
    </row>
    <row r="50" spans="1:64" ht="15" customHeight="1">
      <c r="B50" s="655" t="s">
        <v>5158</v>
      </c>
      <c r="C50" s="656" t="s">
        <v>3643</v>
      </c>
      <c r="D50" s="656"/>
      <c r="E50" s="312" t="s">
        <v>750</v>
      </c>
      <c r="F50" s="287">
        <v>3</v>
      </c>
      <c r="G50" s="898">
        <v>-7.375</v>
      </c>
      <c r="H50" s="451">
        <v>-4.3959999999999999</v>
      </c>
      <c r="I50" s="451">
        <v>0</v>
      </c>
      <c r="J50" s="346">
        <f t="shared" si="15"/>
        <v>-11.771000000000001</v>
      </c>
      <c r="L50" s="24">
        <f t="shared" si="13"/>
        <v>0</v>
      </c>
      <c r="O50" s="98">
        <f t="shared" si="16"/>
        <v>0</v>
      </c>
      <c r="P50" s="98">
        <f>IF( Validation!$H$3=1, 0, IF(Validation!$B$3 &lt;&gt; "Thames Water", 0, (IF(ISNUMBER(H50), 0, 1))))</f>
        <v>0</v>
      </c>
      <c r="Q50" s="98">
        <f>IF(Validation!$H$3=1,0,IF(ISNUMBER(I50),0,1))</f>
        <v>0</v>
      </c>
      <c r="V50" s="129"/>
      <c r="AD50" s="129"/>
      <c r="BD50" s="655" t="s">
        <v>5158</v>
      </c>
      <c r="BE50" s="656" t="s">
        <v>3643</v>
      </c>
      <c r="BF50" s="656"/>
      <c r="BG50" s="312" t="s">
        <v>750</v>
      </c>
      <c r="BH50" s="287">
        <v>3</v>
      </c>
      <c r="BI50" s="2843" t="s">
        <v>10170</v>
      </c>
      <c r="BJ50" s="2838" t="s">
        <v>10171</v>
      </c>
      <c r="BK50" s="2838" t="s">
        <v>12376</v>
      </c>
      <c r="BL50" s="346" t="s">
        <v>10176</v>
      </c>
    </row>
    <row r="51" spans="1:64" ht="15" customHeight="1" thickBot="1">
      <c r="B51" s="300" t="s">
        <v>5159</v>
      </c>
      <c r="C51" s="290" t="s">
        <v>3644</v>
      </c>
      <c r="D51" s="290"/>
      <c r="E51" s="291" t="s">
        <v>750</v>
      </c>
      <c r="F51" s="292">
        <v>3</v>
      </c>
      <c r="G51" s="347">
        <f>SUM(G48:G50)</f>
        <v>204.82425799999999</v>
      </c>
      <c r="H51" s="348">
        <f>SUM(H48:H50)</f>
        <v>273.45050599999996</v>
      </c>
      <c r="I51" s="348">
        <f>SUM(I48:I50)</f>
        <v>0</v>
      </c>
      <c r="J51" s="349">
        <f t="shared" si="15"/>
        <v>478.27476399999995</v>
      </c>
      <c r="L51" s="125"/>
      <c r="O51" s="132"/>
      <c r="P51" s="132"/>
      <c r="Q51" s="185"/>
      <c r="V51" s="129"/>
      <c r="AD51" s="129"/>
      <c r="BD51" s="300" t="s">
        <v>5159</v>
      </c>
      <c r="BE51" s="290" t="s">
        <v>3644</v>
      </c>
      <c r="BF51" s="290"/>
      <c r="BG51" s="291" t="s">
        <v>750</v>
      </c>
      <c r="BH51" s="292">
        <v>3</v>
      </c>
      <c r="BI51" s="347" t="s">
        <v>10172</v>
      </c>
      <c r="BJ51" s="348" t="s">
        <v>10173</v>
      </c>
      <c r="BK51" s="348" t="s">
        <v>12377</v>
      </c>
      <c r="BL51" s="349" t="s">
        <v>10177</v>
      </c>
    </row>
    <row r="52" spans="1:64" ht="15" thickBot="1">
      <c r="B52" s="278"/>
      <c r="C52" s="275"/>
      <c r="D52" s="275"/>
      <c r="E52" s="275"/>
      <c r="F52" s="275"/>
      <c r="G52" s="275"/>
      <c r="H52" s="275"/>
      <c r="I52" s="275"/>
      <c r="J52" s="275"/>
      <c r="L52" s="75"/>
      <c r="M52" s="123"/>
      <c r="N52" s="129"/>
      <c r="O52" s="288"/>
      <c r="P52" s="115"/>
      <c r="Q52" s="115"/>
      <c r="R52" s="129"/>
      <c r="S52" s="496"/>
      <c r="T52" s="496"/>
      <c r="U52" s="496"/>
      <c r="V52" s="129"/>
      <c r="AD52" s="129"/>
      <c r="BD52" s="278"/>
      <c r="BE52" s="275"/>
      <c r="BF52" s="275"/>
      <c r="BG52" s="275"/>
      <c r="BH52" s="275"/>
      <c r="BI52" s="1748"/>
      <c r="BJ52" s="1748"/>
      <c r="BK52" s="275"/>
      <c r="BL52" s="275"/>
    </row>
    <row r="53" spans="1:64" ht="15" customHeight="1" thickBot="1">
      <c r="B53" s="352" t="s">
        <v>5160</v>
      </c>
      <c r="C53" s="272" t="s">
        <v>2699</v>
      </c>
      <c r="D53" s="272"/>
      <c r="E53" s="353" t="s">
        <v>750</v>
      </c>
      <c r="F53" s="274">
        <v>3</v>
      </c>
      <c r="G53" s="354">
        <f>+G46-G51</f>
        <v>9.0637420000000191</v>
      </c>
      <c r="H53" s="355">
        <f>+H46-H51</f>
        <v>10.88949400000007</v>
      </c>
      <c r="I53" s="355">
        <f>+I46-I51</f>
        <v>0</v>
      </c>
      <c r="J53" s="356">
        <f>+J46-J51</f>
        <v>19.953236000000118</v>
      </c>
      <c r="L53" s="125"/>
      <c r="M53" s="123"/>
      <c r="N53" s="129"/>
      <c r="O53" s="293"/>
      <c r="P53" s="658"/>
      <c r="Q53" s="185"/>
      <c r="R53" s="129"/>
      <c r="V53" s="129"/>
      <c r="AD53" s="129"/>
      <c r="BD53" s="352" t="s">
        <v>5160</v>
      </c>
      <c r="BE53" s="272" t="s">
        <v>2699</v>
      </c>
      <c r="BF53" s="272"/>
      <c r="BG53" s="353" t="s">
        <v>750</v>
      </c>
      <c r="BH53" s="274">
        <v>3</v>
      </c>
      <c r="BI53" s="354" t="s">
        <v>10178</v>
      </c>
      <c r="BJ53" s="355" t="s">
        <v>10179</v>
      </c>
      <c r="BK53" s="355" t="s">
        <v>12378</v>
      </c>
      <c r="BL53" s="356" t="s">
        <v>10180</v>
      </c>
    </row>
    <row r="54" spans="1:64" s="71" customFormat="1">
      <c r="J54" s="363"/>
      <c r="K54" s="75"/>
      <c r="L54" s="125"/>
      <c r="M54" s="123"/>
      <c r="N54" s="129"/>
      <c r="O54" s="288"/>
      <c r="P54" s="125"/>
      <c r="Q54" s="185"/>
      <c r="R54" s="129"/>
      <c r="S54" s="75"/>
      <c r="T54" s="75"/>
      <c r="U54" s="75"/>
      <c r="V54" s="129"/>
      <c r="AD54" s="129"/>
    </row>
    <row r="55" spans="1:64" s="170" customFormat="1">
      <c r="B55" s="3220" t="s">
        <v>2420</v>
      </c>
      <c r="C55" s="3220"/>
      <c r="D55" s="1449"/>
      <c r="J55" s="363"/>
      <c r="K55" s="75"/>
      <c r="L55" s="125"/>
      <c r="M55" s="123"/>
      <c r="N55" s="129"/>
      <c r="O55" s="288"/>
      <c r="P55" s="125"/>
      <c r="Q55" s="185"/>
      <c r="R55" s="129"/>
      <c r="S55" s="75"/>
      <c r="T55" s="75"/>
      <c r="U55" s="75"/>
      <c r="V55" s="129"/>
      <c r="AD55" s="129"/>
    </row>
    <row r="56" spans="1:64" s="170" customFormat="1">
      <c r="B56" s="146"/>
      <c r="C56" s="147"/>
      <c r="D56" s="147"/>
      <c r="J56" s="363"/>
      <c r="K56" s="75"/>
      <c r="L56" s="125"/>
      <c r="M56" s="123"/>
      <c r="N56" s="129"/>
      <c r="O56" s="288"/>
      <c r="P56" s="125"/>
      <c r="Q56" s="125"/>
      <c r="R56" s="129"/>
      <c r="S56" s="75"/>
      <c r="T56" s="75"/>
      <c r="U56" s="75"/>
      <c r="V56" s="129"/>
      <c r="AD56" s="129"/>
    </row>
    <row r="57" spans="1:64" s="170" customFormat="1">
      <c r="B57" s="25"/>
      <c r="C57" s="148" t="s">
        <v>2421</v>
      </c>
      <c r="D57" s="148"/>
      <c r="J57" s="334"/>
      <c r="K57" s="75"/>
      <c r="L57" s="71"/>
      <c r="M57" s="71"/>
      <c r="N57" s="72"/>
      <c r="O57" s="71"/>
      <c r="P57" s="71"/>
      <c r="Q57" s="71"/>
      <c r="R57" s="72"/>
      <c r="S57" s="75"/>
      <c r="T57" s="75"/>
      <c r="U57" s="75"/>
      <c r="V57" s="72"/>
      <c r="AD57" s="72"/>
    </row>
    <row r="58" spans="1:64" s="170" customFormat="1">
      <c r="B58" s="146"/>
      <c r="C58" s="147"/>
      <c r="D58" s="147"/>
      <c r="J58" s="333"/>
      <c r="K58" s="75"/>
      <c r="L58" s="71"/>
      <c r="M58" s="71"/>
      <c r="N58" s="72"/>
      <c r="O58" s="71"/>
      <c r="P58" s="71"/>
      <c r="Q58" s="71"/>
      <c r="R58" s="72"/>
      <c r="S58" s="75"/>
      <c r="T58" s="75"/>
      <c r="U58" s="75"/>
      <c r="V58" s="72"/>
      <c r="AD58" s="72"/>
    </row>
    <row r="59" spans="1:64" s="170" customFormat="1">
      <c r="B59" s="149"/>
      <c r="C59" s="148" t="s">
        <v>2422</v>
      </c>
      <c r="D59" s="148"/>
      <c r="J59" s="334"/>
      <c r="K59" s="75"/>
      <c r="L59" s="71"/>
      <c r="M59" s="71"/>
      <c r="N59" s="72"/>
      <c r="O59" s="71"/>
      <c r="P59" s="71"/>
      <c r="Q59" s="71"/>
      <c r="R59" s="72"/>
      <c r="S59" s="75"/>
      <c r="T59" s="75"/>
      <c r="U59" s="75"/>
      <c r="V59" s="72"/>
      <c r="AD59" s="72"/>
    </row>
    <row r="60" spans="1:64" s="170" customFormat="1">
      <c r="B60" s="150"/>
      <c r="C60" s="148"/>
      <c r="D60" s="148"/>
      <c r="J60" s="334"/>
      <c r="K60" s="75"/>
      <c r="L60" s="71"/>
      <c r="M60" s="71"/>
      <c r="N60" s="72"/>
      <c r="O60" s="71"/>
      <c r="P60" s="71"/>
      <c r="Q60" s="71"/>
      <c r="R60" s="72"/>
      <c r="S60" s="75"/>
      <c r="T60" s="75"/>
      <c r="U60" s="75"/>
      <c r="V60" s="72"/>
      <c r="AD60" s="72"/>
    </row>
    <row r="61" spans="1:64" s="185" customFormat="1" ht="15" thickBot="1">
      <c r="C61" s="186"/>
      <c r="D61" s="186"/>
      <c r="J61" s="334"/>
      <c r="K61" s="75"/>
      <c r="L61" s="71"/>
      <c r="M61" s="71"/>
      <c r="N61" s="72"/>
      <c r="O61" s="71"/>
      <c r="P61" s="71"/>
      <c r="Q61" s="71"/>
      <c r="R61" s="72"/>
      <c r="S61" s="75"/>
      <c r="T61" s="75"/>
      <c r="U61" s="75"/>
      <c r="V61" s="72"/>
      <c r="AD61" s="72"/>
    </row>
    <row r="62" spans="1:64" s="185" customFormat="1" ht="15" thickBot="1">
      <c r="B62" s="1433" t="s">
        <v>12572</v>
      </c>
      <c r="C62" s="152"/>
      <c r="D62" s="152"/>
      <c r="E62" s="153"/>
      <c r="F62" s="153"/>
      <c r="G62" s="153"/>
      <c r="H62" s="153"/>
      <c r="I62" s="259"/>
      <c r="J62" s="334"/>
      <c r="K62" s="75"/>
      <c r="L62" s="71"/>
      <c r="M62" s="71"/>
      <c r="N62" s="72"/>
      <c r="O62" s="71"/>
      <c r="P62" s="71"/>
      <c r="Q62" s="71"/>
      <c r="R62" s="72"/>
      <c r="S62" s="75"/>
      <c r="T62" s="75"/>
      <c r="U62" s="75"/>
      <c r="V62" s="72"/>
      <c r="AD62" s="72"/>
    </row>
    <row r="63" spans="1:64" s="185" customFormat="1">
      <c r="C63" s="186"/>
      <c r="D63" s="186"/>
      <c r="J63" s="334"/>
      <c r="K63" s="75"/>
      <c r="L63" s="71"/>
      <c r="M63" s="71"/>
      <c r="N63" s="72"/>
      <c r="O63" s="71"/>
      <c r="P63" s="71"/>
      <c r="Q63" s="71"/>
      <c r="R63" s="72"/>
      <c r="S63" s="75"/>
      <c r="T63" s="75"/>
      <c r="U63" s="75"/>
      <c r="V63" s="72"/>
      <c r="AD63" s="72"/>
    </row>
    <row r="64" spans="1:64" s="115" customFormat="1" ht="15" hidden="1" thickBot="1">
      <c r="A64" s="1643"/>
      <c r="B64" s="151" t="str">
        <f ca="1" xml:space="preserve"> RIGHT(CELL("filename", $A$1), LEN(CELL("filename", $A$1)) - SEARCH("]", CELL("filename", $A$1)))&amp;" - Line definitions"</f>
        <v>2I - SWT - Line definitions</v>
      </c>
      <c r="C64" s="152"/>
      <c r="D64" s="152"/>
      <c r="E64" s="153"/>
      <c r="F64" s="153"/>
      <c r="G64" s="153"/>
      <c r="H64" s="153"/>
      <c r="I64" s="259"/>
      <c r="K64" s="75"/>
      <c r="M64" s="71"/>
      <c r="N64" s="72"/>
      <c r="O64" s="71"/>
      <c r="P64" s="71"/>
      <c r="Q64" s="71"/>
      <c r="R64" s="72"/>
      <c r="S64" s="75"/>
      <c r="T64" s="75"/>
      <c r="U64" s="75"/>
      <c r="V64" s="72"/>
      <c r="AD64" s="72"/>
    </row>
    <row r="65" spans="1:30" s="115" customFormat="1" ht="15" hidden="1" thickBot="1">
      <c r="A65" s="1643"/>
      <c r="B65" s="75"/>
      <c r="C65" s="160"/>
      <c r="D65" s="160"/>
      <c r="E65" s="75"/>
      <c r="F65" s="75"/>
      <c r="G65" s="75"/>
      <c r="K65" s="75"/>
      <c r="M65" s="71"/>
      <c r="N65" s="72"/>
      <c r="O65" s="71"/>
      <c r="P65" s="71"/>
      <c r="Q65" s="71"/>
      <c r="R65" s="72"/>
      <c r="S65" s="75"/>
      <c r="T65" s="75"/>
      <c r="U65" s="75"/>
      <c r="V65" s="72"/>
      <c r="AD65" s="72"/>
    </row>
    <row r="66" spans="1:30" s="185" customFormat="1" ht="15" hidden="1" thickBot="1">
      <c r="A66" s="1644"/>
      <c r="B66" s="295" t="s">
        <v>2423</v>
      </c>
      <c r="C66" s="3314" t="s">
        <v>2424</v>
      </c>
      <c r="D66" s="3315"/>
      <c r="E66" s="3315"/>
      <c r="F66" s="3315"/>
      <c r="G66" s="3315"/>
      <c r="H66" s="3315"/>
      <c r="I66" s="3316"/>
      <c r="J66" s="115"/>
      <c r="K66" s="75"/>
      <c r="L66" s="115"/>
      <c r="M66" s="71"/>
      <c r="N66" s="72"/>
      <c r="O66" s="90" t="s">
        <v>2425</v>
      </c>
      <c r="P66" s="71"/>
      <c r="Q66" s="71"/>
      <c r="R66" s="72"/>
      <c r="S66" s="75"/>
      <c r="T66" s="75"/>
      <c r="U66" s="75"/>
      <c r="V66" s="72"/>
      <c r="AD66" s="72"/>
    </row>
    <row r="67" spans="1:30" s="115" customFormat="1" ht="24" hidden="1" customHeight="1">
      <c r="A67" s="1643"/>
      <c r="B67" s="188" t="s">
        <v>5136</v>
      </c>
      <c r="C67" s="3271" t="s">
        <v>2700</v>
      </c>
      <c r="D67" s="3272"/>
      <c r="E67" s="3272"/>
      <c r="F67" s="3272"/>
      <c r="G67" s="3272"/>
      <c r="H67" s="3272"/>
      <c r="I67" s="3273"/>
      <c r="K67" s="75"/>
      <c r="M67" s="71"/>
      <c r="N67" s="72"/>
      <c r="O67" s="210" t="s">
        <v>2428</v>
      </c>
      <c r="P67" s="71"/>
      <c r="Q67" s="71"/>
      <c r="R67" s="72"/>
      <c r="S67" s="75"/>
      <c r="T67" s="75"/>
      <c r="U67" s="75"/>
      <c r="V67" s="72"/>
      <c r="AD67" s="72"/>
    </row>
    <row r="68" spans="1:30" s="115" customFormat="1" ht="35.25" hidden="1" customHeight="1">
      <c r="A68" s="1643"/>
      <c r="B68" s="166" t="s">
        <v>5137</v>
      </c>
      <c r="C68" s="3268" t="s">
        <v>2701</v>
      </c>
      <c r="D68" s="3269"/>
      <c r="E68" s="3269"/>
      <c r="F68" s="3269"/>
      <c r="G68" s="3269"/>
      <c r="H68" s="3269"/>
      <c r="I68" s="3270"/>
      <c r="K68" s="75"/>
      <c r="M68" s="71"/>
      <c r="N68" s="72"/>
      <c r="O68" s="210" t="s">
        <v>2426</v>
      </c>
      <c r="P68" s="71"/>
      <c r="Q68" s="71"/>
      <c r="R68" s="72"/>
      <c r="S68" s="75"/>
      <c r="T68" s="75"/>
      <c r="U68" s="75"/>
      <c r="V68" s="72"/>
      <c r="AD68" s="72"/>
    </row>
    <row r="69" spans="1:30" s="115" customFormat="1" ht="14.25" hidden="1" customHeight="1">
      <c r="A69" s="1643"/>
      <c r="B69" s="166" t="s">
        <v>5138</v>
      </c>
      <c r="C69" s="3268" t="s">
        <v>2702</v>
      </c>
      <c r="D69" s="3269"/>
      <c r="E69" s="3269"/>
      <c r="F69" s="3269"/>
      <c r="G69" s="3269"/>
      <c r="H69" s="3269"/>
      <c r="I69" s="3270"/>
      <c r="K69" s="75"/>
      <c r="M69" s="71"/>
      <c r="N69" s="72"/>
      <c r="O69" s="210">
        <v>1</v>
      </c>
      <c r="P69" s="71"/>
      <c r="Q69" s="71"/>
      <c r="R69" s="72"/>
      <c r="S69" s="75"/>
      <c r="T69" s="75"/>
      <c r="U69" s="75"/>
      <c r="V69" s="72"/>
      <c r="AD69" s="72"/>
    </row>
    <row r="70" spans="1:30" s="115" customFormat="1" ht="14.25" hidden="1" customHeight="1">
      <c r="A70" s="1643"/>
      <c r="B70" s="166" t="s">
        <v>5139</v>
      </c>
      <c r="C70" s="3268" t="s">
        <v>2703</v>
      </c>
      <c r="D70" s="3269"/>
      <c r="E70" s="3269"/>
      <c r="F70" s="3269"/>
      <c r="G70" s="3269"/>
      <c r="H70" s="3269"/>
      <c r="I70" s="3270"/>
      <c r="K70" s="75"/>
      <c r="M70" s="71"/>
      <c r="N70" s="72"/>
      <c r="O70" s="210">
        <v>1</v>
      </c>
      <c r="P70" s="71"/>
      <c r="Q70" s="71"/>
      <c r="R70" s="72"/>
      <c r="S70" s="75"/>
      <c r="T70" s="75"/>
      <c r="U70" s="75"/>
      <c r="V70" s="72"/>
      <c r="AD70" s="72"/>
    </row>
    <row r="71" spans="1:30" s="115" customFormat="1" ht="24" hidden="1" customHeight="1">
      <c r="A71" s="1643"/>
      <c r="B71" s="166" t="s">
        <v>5140</v>
      </c>
      <c r="C71" s="3268" t="s">
        <v>2704</v>
      </c>
      <c r="D71" s="3269"/>
      <c r="E71" s="3269"/>
      <c r="F71" s="3269"/>
      <c r="G71" s="3269"/>
      <c r="H71" s="3269"/>
      <c r="I71" s="3270"/>
      <c r="K71" s="75"/>
      <c r="M71" s="71"/>
      <c r="N71" s="72"/>
      <c r="O71" s="210" t="s">
        <v>2428</v>
      </c>
      <c r="P71" s="71"/>
      <c r="Q71" s="71"/>
      <c r="R71" s="72"/>
      <c r="S71" s="75"/>
      <c r="T71" s="75"/>
      <c r="U71" s="75"/>
      <c r="V71" s="72"/>
      <c r="AD71" s="72"/>
    </row>
    <row r="72" spans="1:30" s="115" customFormat="1" ht="35.25" hidden="1" customHeight="1">
      <c r="A72" s="1643"/>
      <c r="B72" s="166" t="s">
        <v>5141</v>
      </c>
      <c r="C72" s="3268" t="s">
        <v>2705</v>
      </c>
      <c r="D72" s="3269"/>
      <c r="E72" s="3269"/>
      <c r="F72" s="3269"/>
      <c r="G72" s="3269"/>
      <c r="H72" s="3269"/>
      <c r="I72" s="3270"/>
      <c r="K72" s="75"/>
      <c r="M72" s="71"/>
      <c r="N72" s="72"/>
      <c r="O72" s="210" t="s">
        <v>2426</v>
      </c>
      <c r="P72" s="71"/>
      <c r="Q72" s="71"/>
      <c r="R72" s="72"/>
      <c r="S72" s="75"/>
      <c r="T72" s="75"/>
      <c r="U72" s="75"/>
      <c r="V72" s="72"/>
      <c r="AD72" s="72"/>
    </row>
    <row r="73" spans="1:30" s="115" customFormat="1" ht="14.25" hidden="1" customHeight="1">
      <c r="A73" s="1643"/>
      <c r="B73" s="166" t="s">
        <v>5142</v>
      </c>
      <c r="C73" s="3268" t="s">
        <v>2706</v>
      </c>
      <c r="D73" s="3269"/>
      <c r="E73" s="3269"/>
      <c r="F73" s="3269"/>
      <c r="G73" s="3269"/>
      <c r="H73" s="3269"/>
      <c r="I73" s="3270"/>
      <c r="K73" s="75"/>
      <c r="M73" s="71"/>
      <c r="N73" s="72"/>
      <c r="O73" s="210">
        <v>1</v>
      </c>
      <c r="P73" s="71"/>
      <c r="Q73" s="71"/>
      <c r="R73" s="72"/>
      <c r="S73" s="75"/>
      <c r="T73" s="75"/>
      <c r="U73" s="75"/>
      <c r="V73" s="72"/>
      <c r="AD73" s="72"/>
    </row>
    <row r="74" spans="1:30" s="115" customFormat="1" ht="14.25" hidden="1" customHeight="1">
      <c r="A74" s="1643"/>
      <c r="B74" s="166" t="s">
        <v>5143</v>
      </c>
      <c r="C74" s="3268" t="s">
        <v>2707</v>
      </c>
      <c r="D74" s="3269"/>
      <c r="E74" s="3269"/>
      <c r="F74" s="3269"/>
      <c r="G74" s="3269"/>
      <c r="H74" s="3269"/>
      <c r="I74" s="3270"/>
      <c r="K74" s="75"/>
      <c r="M74" s="71"/>
      <c r="N74" s="72"/>
      <c r="O74" s="210">
        <v>1</v>
      </c>
      <c r="P74" s="71"/>
      <c r="Q74" s="71"/>
      <c r="R74" s="72"/>
      <c r="S74" s="75"/>
      <c r="T74" s="75"/>
      <c r="U74" s="75"/>
      <c r="V74" s="72"/>
      <c r="AD74" s="72"/>
    </row>
    <row r="75" spans="1:30" s="115" customFormat="1" hidden="1">
      <c r="A75" s="1643"/>
      <c r="B75" s="166" t="s">
        <v>5144</v>
      </c>
      <c r="C75" s="3268" t="s">
        <v>12435</v>
      </c>
      <c r="D75" s="3269"/>
      <c r="E75" s="3269"/>
      <c r="F75" s="3269"/>
      <c r="G75" s="3269"/>
      <c r="H75" s="3269"/>
      <c r="I75" s="3270"/>
      <c r="K75" s="75"/>
      <c r="M75" s="71"/>
      <c r="N75" s="72"/>
      <c r="O75" s="210">
        <v>1</v>
      </c>
      <c r="P75" s="71"/>
      <c r="Q75" s="71"/>
      <c r="R75" s="72"/>
      <c r="S75" s="75"/>
      <c r="T75" s="75"/>
      <c r="U75" s="75"/>
      <c r="V75" s="72"/>
      <c r="AD75" s="72"/>
    </row>
    <row r="76" spans="1:30" s="115" customFormat="1" ht="23.25" hidden="1" customHeight="1">
      <c r="A76" s="1643"/>
      <c r="B76" s="166" t="s">
        <v>5145</v>
      </c>
      <c r="C76" s="3268" t="s">
        <v>2708</v>
      </c>
      <c r="D76" s="3269"/>
      <c r="E76" s="3269"/>
      <c r="F76" s="3269"/>
      <c r="G76" s="3269"/>
      <c r="H76" s="3269"/>
      <c r="I76" s="3270"/>
      <c r="K76" s="75"/>
      <c r="M76" s="71"/>
      <c r="N76" s="72"/>
      <c r="O76" s="210" t="s">
        <v>2428</v>
      </c>
      <c r="P76" s="71"/>
      <c r="Q76" s="71"/>
      <c r="R76" s="72"/>
      <c r="S76" s="75"/>
      <c r="T76" s="75"/>
      <c r="U76" s="75"/>
      <c r="V76" s="72"/>
      <c r="AD76" s="72"/>
    </row>
    <row r="77" spans="1:30" s="115" customFormat="1" ht="23.25" hidden="1" customHeight="1">
      <c r="A77" s="1643"/>
      <c r="B77" s="166" t="s">
        <v>5146</v>
      </c>
      <c r="C77" s="3268" t="s">
        <v>2709</v>
      </c>
      <c r="D77" s="3269"/>
      <c r="E77" s="3269"/>
      <c r="F77" s="3269"/>
      <c r="G77" s="3269"/>
      <c r="H77" s="3269"/>
      <c r="I77" s="3270"/>
      <c r="K77" s="75"/>
      <c r="M77" s="71"/>
      <c r="N77" s="72"/>
      <c r="O77" s="210" t="s">
        <v>2428</v>
      </c>
      <c r="P77" s="71"/>
      <c r="Q77" s="71"/>
      <c r="R77" s="72"/>
      <c r="S77" s="75"/>
      <c r="T77" s="75"/>
      <c r="U77" s="75"/>
      <c r="V77" s="72"/>
      <c r="AD77" s="72"/>
    </row>
    <row r="78" spans="1:30" s="115" customFormat="1" hidden="1">
      <c r="A78" s="1643"/>
      <c r="B78" s="166" t="s">
        <v>5147</v>
      </c>
      <c r="C78" s="3268" t="s">
        <v>2710</v>
      </c>
      <c r="D78" s="3269"/>
      <c r="E78" s="3269"/>
      <c r="F78" s="3269"/>
      <c r="G78" s="3269"/>
      <c r="H78" s="3269"/>
      <c r="I78" s="3270"/>
      <c r="K78" s="75"/>
      <c r="M78" s="71"/>
      <c r="N78" s="72"/>
      <c r="O78" s="210">
        <v>1</v>
      </c>
      <c r="P78" s="71"/>
      <c r="Q78" s="71"/>
      <c r="R78" s="72"/>
      <c r="S78" s="75"/>
      <c r="T78" s="75"/>
      <c r="U78" s="75"/>
      <c r="V78" s="72"/>
      <c r="AD78" s="72"/>
    </row>
    <row r="79" spans="1:30" s="115" customFormat="1" ht="14.25" hidden="1" customHeight="1">
      <c r="A79" s="1643"/>
      <c r="B79" s="166" t="s">
        <v>5148</v>
      </c>
      <c r="C79" s="3268" t="s">
        <v>2711</v>
      </c>
      <c r="D79" s="3269"/>
      <c r="E79" s="3269"/>
      <c r="F79" s="3269"/>
      <c r="G79" s="3269"/>
      <c r="H79" s="3269"/>
      <c r="I79" s="3270"/>
      <c r="K79" s="75"/>
      <c r="M79" s="71"/>
      <c r="N79" s="72"/>
      <c r="O79" s="210">
        <v>1</v>
      </c>
      <c r="P79" s="71"/>
      <c r="Q79" s="71"/>
      <c r="R79" s="72"/>
      <c r="S79" s="75"/>
      <c r="T79" s="75"/>
      <c r="U79" s="75"/>
      <c r="V79" s="72"/>
      <c r="AD79" s="72"/>
    </row>
    <row r="80" spans="1:30" s="115" customFormat="1" ht="13.5" hidden="1" customHeight="1">
      <c r="A80" s="1643"/>
      <c r="B80" s="166" t="s">
        <v>5149</v>
      </c>
      <c r="C80" s="3268" t="s">
        <v>13163</v>
      </c>
      <c r="D80" s="3269"/>
      <c r="E80" s="3269"/>
      <c r="F80" s="3269"/>
      <c r="G80" s="3269"/>
      <c r="H80" s="3269"/>
      <c r="I80" s="3270"/>
      <c r="K80" s="75"/>
      <c r="M80" s="71"/>
      <c r="N80" s="72"/>
      <c r="O80" s="210">
        <v>1</v>
      </c>
      <c r="P80" s="71"/>
      <c r="Q80" s="71"/>
      <c r="R80" s="72"/>
      <c r="S80" s="75"/>
      <c r="T80" s="75"/>
      <c r="U80" s="75"/>
      <c r="V80" s="72"/>
      <c r="AD80" s="72"/>
    </row>
    <row r="81" spans="1:30" s="115" customFormat="1" ht="13.5" hidden="1" customHeight="1">
      <c r="A81" s="1643"/>
      <c r="B81" s="166" t="s">
        <v>5150</v>
      </c>
      <c r="C81" s="3268" t="s">
        <v>13164</v>
      </c>
      <c r="D81" s="3269"/>
      <c r="E81" s="3269"/>
      <c r="F81" s="3269"/>
      <c r="G81" s="3269"/>
      <c r="H81" s="3269"/>
      <c r="I81" s="3270"/>
      <c r="K81" s="75"/>
      <c r="M81" s="71"/>
      <c r="N81" s="72"/>
      <c r="O81" s="210">
        <v>1</v>
      </c>
      <c r="P81" s="71"/>
      <c r="Q81" s="71"/>
      <c r="R81" s="72"/>
      <c r="S81" s="75"/>
      <c r="T81" s="75"/>
      <c r="U81" s="75"/>
      <c r="V81" s="72"/>
      <c r="AD81" s="72"/>
    </row>
    <row r="82" spans="1:30" s="115" customFormat="1" ht="24" hidden="1" customHeight="1">
      <c r="A82" s="1643"/>
      <c r="B82" s="166" t="s">
        <v>5151</v>
      </c>
      <c r="C82" s="3268" t="s">
        <v>2712</v>
      </c>
      <c r="D82" s="3269"/>
      <c r="E82" s="3269"/>
      <c r="F82" s="3269"/>
      <c r="G82" s="3269"/>
      <c r="H82" s="3269"/>
      <c r="I82" s="3270"/>
      <c r="K82" s="75"/>
      <c r="M82" s="71"/>
      <c r="N82" s="72"/>
      <c r="O82" s="210" t="s">
        <v>2428</v>
      </c>
      <c r="P82" s="71"/>
      <c r="Q82" s="71"/>
      <c r="R82" s="72"/>
      <c r="S82" s="75"/>
      <c r="T82" s="75"/>
      <c r="U82" s="75"/>
      <c r="V82" s="72"/>
      <c r="AD82" s="72"/>
    </row>
    <row r="83" spans="1:30" s="115" customFormat="1" ht="23.25" hidden="1" customHeight="1">
      <c r="A83" s="1643"/>
      <c r="B83" s="166" t="s">
        <v>5152</v>
      </c>
      <c r="C83" s="3268" t="s">
        <v>2713</v>
      </c>
      <c r="D83" s="3269"/>
      <c r="E83" s="3269"/>
      <c r="F83" s="3269"/>
      <c r="G83" s="3269"/>
      <c r="H83" s="3269"/>
      <c r="I83" s="3270"/>
      <c r="K83" s="75"/>
      <c r="M83" s="71"/>
      <c r="N83" s="72"/>
      <c r="O83" s="210" t="s">
        <v>2428</v>
      </c>
      <c r="P83" s="71"/>
      <c r="Q83" s="71"/>
      <c r="R83" s="72"/>
      <c r="S83" s="75"/>
      <c r="T83" s="75"/>
      <c r="U83" s="75"/>
      <c r="V83" s="72"/>
      <c r="AD83" s="72"/>
    </row>
    <row r="84" spans="1:30" s="115" customFormat="1" ht="14.25" hidden="1" customHeight="1">
      <c r="A84" s="1643"/>
      <c r="B84" s="166" t="s">
        <v>5153</v>
      </c>
      <c r="C84" s="3268" t="s">
        <v>3860</v>
      </c>
      <c r="D84" s="3269"/>
      <c r="E84" s="3269"/>
      <c r="F84" s="3269"/>
      <c r="G84" s="3269"/>
      <c r="H84" s="3269"/>
      <c r="I84" s="3270"/>
      <c r="K84" s="75"/>
      <c r="M84" s="71"/>
      <c r="N84" s="72"/>
      <c r="O84" s="210">
        <v>1</v>
      </c>
      <c r="P84" s="71"/>
      <c r="Q84" s="71"/>
      <c r="R84" s="72"/>
      <c r="S84" s="75"/>
      <c r="T84" s="75"/>
      <c r="U84" s="75"/>
      <c r="V84" s="72"/>
      <c r="AD84" s="72"/>
    </row>
    <row r="85" spans="1:30" s="115" customFormat="1" ht="14.25" hidden="1" customHeight="1">
      <c r="A85" s="1643"/>
      <c r="B85" s="166" t="s">
        <v>5154</v>
      </c>
      <c r="C85" s="3268" t="s">
        <v>2714</v>
      </c>
      <c r="D85" s="3269"/>
      <c r="E85" s="3269"/>
      <c r="F85" s="3269"/>
      <c r="G85" s="3269"/>
      <c r="H85" s="3269"/>
      <c r="I85" s="3270"/>
      <c r="K85" s="75"/>
      <c r="M85" s="71"/>
      <c r="N85" s="72"/>
      <c r="O85" s="210">
        <v>1</v>
      </c>
      <c r="P85" s="71"/>
      <c r="Q85" s="71"/>
      <c r="R85" s="72"/>
      <c r="S85" s="75"/>
      <c r="T85" s="75"/>
      <c r="U85" s="75"/>
      <c r="V85" s="72"/>
      <c r="AD85" s="72"/>
    </row>
    <row r="86" spans="1:30" s="115" customFormat="1" ht="46.5" hidden="1" customHeight="1">
      <c r="A86" s="1643"/>
      <c r="B86" s="166" t="s">
        <v>5155</v>
      </c>
      <c r="C86" s="3268" t="s">
        <v>3861</v>
      </c>
      <c r="D86" s="3269"/>
      <c r="E86" s="3269"/>
      <c r="F86" s="3269"/>
      <c r="G86" s="3269"/>
      <c r="H86" s="3269"/>
      <c r="I86" s="3270"/>
      <c r="K86" s="75"/>
      <c r="M86" s="71"/>
      <c r="N86" s="72"/>
      <c r="O86" s="210" t="s">
        <v>2432</v>
      </c>
      <c r="P86" s="71"/>
      <c r="Q86" s="71"/>
      <c r="R86" s="72"/>
      <c r="S86" s="75"/>
      <c r="T86" s="75"/>
      <c r="U86" s="75"/>
      <c r="V86" s="72"/>
      <c r="AD86" s="72"/>
    </row>
    <row r="87" spans="1:30" s="115" customFormat="1" ht="14.25" hidden="1" customHeight="1">
      <c r="A87" s="1643"/>
      <c r="B87" s="166" t="s">
        <v>5156</v>
      </c>
      <c r="C87" s="3268" t="s">
        <v>3646</v>
      </c>
      <c r="D87" s="3269"/>
      <c r="E87" s="3269"/>
      <c r="F87" s="3269"/>
      <c r="G87" s="3269"/>
      <c r="H87" s="3269"/>
      <c r="I87" s="3270"/>
      <c r="K87" s="75"/>
      <c r="M87" s="71"/>
      <c r="N87" s="72"/>
      <c r="O87" s="210">
        <v>1</v>
      </c>
      <c r="P87" s="71"/>
      <c r="Q87" s="71"/>
      <c r="R87" s="72"/>
      <c r="S87" s="75"/>
      <c r="T87" s="75"/>
      <c r="U87" s="75"/>
      <c r="V87" s="72"/>
      <c r="AD87" s="72"/>
    </row>
    <row r="88" spans="1:30" s="115" customFormat="1" ht="14.25" hidden="1" customHeight="1">
      <c r="A88" s="1643"/>
      <c r="B88" s="166" t="s">
        <v>5161</v>
      </c>
      <c r="C88" s="3268" t="s">
        <v>2715</v>
      </c>
      <c r="D88" s="3269"/>
      <c r="E88" s="3269"/>
      <c r="F88" s="3269"/>
      <c r="G88" s="3269"/>
      <c r="H88" s="3269"/>
      <c r="I88" s="3270"/>
      <c r="K88" s="75"/>
      <c r="M88" s="71"/>
      <c r="N88" s="72"/>
      <c r="O88" s="210">
        <v>1</v>
      </c>
      <c r="P88" s="71"/>
      <c r="Q88" s="71"/>
      <c r="R88" s="72"/>
      <c r="S88" s="75"/>
      <c r="T88" s="75"/>
      <c r="U88" s="75"/>
      <c r="V88" s="72"/>
      <c r="AD88" s="72"/>
    </row>
    <row r="89" spans="1:30" s="115" customFormat="1" ht="15" hidden="1" customHeight="1">
      <c r="A89" s="1643"/>
      <c r="B89" s="166" t="s">
        <v>5157</v>
      </c>
      <c r="C89" s="3268" t="s">
        <v>13502</v>
      </c>
      <c r="D89" s="3269"/>
      <c r="E89" s="3269"/>
      <c r="F89" s="3269"/>
      <c r="G89" s="3269"/>
      <c r="H89" s="3269"/>
      <c r="I89" s="3270"/>
      <c r="K89" s="75"/>
      <c r="M89" s="71"/>
      <c r="N89" s="72"/>
      <c r="O89" s="210">
        <v>1</v>
      </c>
      <c r="P89" s="71"/>
      <c r="Q89" s="71"/>
      <c r="R89" s="72"/>
      <c r="S89" s="75"/>
      <c r="T89" s="75"/>
      <c r="U89" s="75"/>
      <c r="V89" s="72"/>
      <c r="AD89" s="72"/>
    </row>
    <row r="90" spans="1:30" hidden="1">
      <c r="A90" s="1647"/>
      <c r="B90" s="166" t="s">
        <v>5158</v>
      </c>
      <c r="C90" s="3268" t="s">
        <v>13503</v>
      </c>
      <c r="D90" s="3269"/>
      <c r="E90" s="3269"/>
      <c r="F90" s="3269"/>
      <c r="G90" s="3269"/>
      <c r="H90" s="3269"/>
      <c r="I90" s="3270"/>
      <c r="O90" s="210">
        <v>1</v>
      </c>
    </row>
    <row r="91" spans="1:30" ht="23.25" hidden="1" customHeight="1">
      <c r="A91" s="1647"/>
      <c r="B91" s="166" t="s">
        <v>5159</v>
      </c>
      <c r="C91" s="3268" t="s">
        <v>3647</v>
      </c>
      <c r="D91" s="3269"/>
      <c r="E91" s="3269"/>
      <c r="F91" s="3269"/>
      <c r="G91" s="3269"/>
      <c r="H91" s="3269"/>
      <c r="I91" s="3270"/>
      <c r="O91" s="210" t="s">
        <v>2428</v>
      </c>
    </row>
    <row r="92" spans="1:30" ht="15" hidden="1" customHeight="1" thickBot="1">
      <c r="A92" s="1647"/>
      <c r="B92" s="190" t="s">
        <v>5160</v>
      </c>
      <c r="C92" s="3274" t="s">
        <v>3648</v>
      </c>
      <c r="D92" s="3275"/>
      <c r="E92" s="3275"/>
      <c r="F92" s="3275"/>
      <c r="G92" s="3275"/>
      <c r="H92" s="3275"/>
      <c r="I92" s="3276"/>
      <c r="O92" s="210">
        <v>1</v>
      </c>
    </row>
    <row r="93" spans="1:30" hidden="1">
      <c r="A93" s="1647"/>
    </row>
    <row r="94" spans="1:30" hidden="1">
      <c r="A94" s="1647"/>
    </row>
    <row r="95" spans="1:30" hidden="1">
      <c r="A95" s="1647"/>
    </row>
  </sheetData>
  <mergeCells count="33">
    <mergeCell ref="C92:I92"/>
    <mergeCell ref="C82:I82"/>
    <mergeCell ref="C83:I83"/>
    <mergeCell ref="C84:I84"/>
    <mergeCell ref="C85:I85"/>
    <mergeCell ref="C86:I86"/>
    <mergeCell ref="C87:I87"/>
    <mergeCell ref="C90:I90"/>
    <mergeCell ref="C91:I91"/>
    <mergeCell ref="C89:I89"/>
    <mergeCell ref="C66:I66"/>
    <mergeCell ref="C67:I67"/>
    <mergeCell ref="S2:S4"/>
    <mergeCell ref="C79:I79"/>
    <mergeCell ref="C88:I88"/>
    <mergeCell ref="C81:I81"/>
    <mergeCell ref="C80:I80"/>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s>
  <conditionalFormatting sqref="L10:L16 L6:L8 L22:L28">
    <cfRule type="cellIs" dxfId="2749" priority="26" operator="equal">
      <formula>0</formula>
    </cfRule>
  </conditionalFormatting>
  <conditionalFormatting sqref="L9:L11">
    <cfRule type="cellIs" dxfId="2748" priority="25" operator="equal">
      <formula>0</formula>
    </cfRule>
  </conditionalFormatting>
  <conditionalFormatting sqref="L32:L33">
    <cfRule type="cellIs" dxfId="2747" priority="24" operator="equal">
      <formula>0</formula>
    </cfRule>
  </conditionalFormatting>
  <conditionalFormatting sqref="L48:L50">
    <cfRule type="cellIs" dxfId="2746" priority="23" operator="equal">
      <formula>0</formula>
    </cfRule>
  </conditionalFormatting>
  <conditionalFormatting sqref="K29 K39">
    <cfRule type="cellIs" dxfId="2745" priority="22" operator="equal">
      <formula>0</formula>
    </cfRule>
  </conditionalFormatting>
  <conditionalFormatting sqref="L34 L36:L37">
    <cfRule type="cellIs" dxfId="2744" priority="20" operator="equal">
      <formula>0</formula>
    </cfRule>
  </conditionalFormatting>
  <conditionalFormatting sqref="L45">
    <cfRule type="cellIs" dxfId="2743" priority="13" operator="equal">
      <formula>0</formula>
    </cfRule>
  </conditionalFormatting>
  <conditionalFormatting sqref="K45">
    <cfRule type="cellIs" dxfId="2742" priority="12" operator="equal">
      <formula>0</formula>
    </cfRule>
  </conditionalFormatting>
  <conditionalFormatting sqref="L17:L21">
    <cfRule type="cellIs" dxfId="2741" priority="8" operator="equal">
      <formula>0</formula>
    </cfRule>
  </conditionalFormatting>
  <conditionalFormatting sqref="L17">
    <cfRule type="cellIs" dxfId="2740" priority="7" operator="equal">
      <formula>0</formula>
    </cfRule>
  </conditionalFormatting>
  <conditionalFormatting sqref="I44:I46 I48:I51 I53">
    <cfRule type="expression" dxfId="2739" priority="2">
      <formula>$I$1 &lt;&gt; "Thames Water"</formula>
    </cfRule>
  </conditionalFormatting>
  <conditionalFormatting sqref="G18:I21">
    <cfRule type="expression" dxfId="2738"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2.xml><?xml version="1.0" encoding="utf-8"?>
<worksheet xmlns="http://schemas.openxmlformats.org/spreadsheetml/2006/main" xmlns:r="http://schemas.openxmlformats.org/officeDocument/2006/relationships">
  <sheetPr codeName="Sheet19">
    <pageSetUpPr fitToPage="1"/>
  </sheetPr>
  <dimension ref="A1:AH39"/>
  <sheetViews>
    <sheetView workbookViewId="0"/>
  </sheetViews>
  <sheetFormatPr defaultColWidth="0" defaultRowHeight="14.25" zeroHeight="1"/>
  <cols>
    <col min="1" max="1" width="0.625" style="75" customWidth="1"/>
    <col min="2" max="2" width="4.125" style="75" customWidth="1"/>
    <col min="3" max="3" width="55.125" style="75" customWidth="1"/>
    <col min="4" max="4" width="5.625" style="75" hidden="1" customWidth="1"/>
    <col min="5" max="6" width="5.125" style="75" customWidth="1"/>
    <col min="7" max="8" width="16.625" style="75" customWidth="1"/>
    <col min="9" max="9" width="2.625" style="71" customWidth="1"/>
    <col min="10" max="10" width="32.625" style="71" customWidth="1"/>
    <col min="11" max="11" width="27.25" style="71" customWidth="1"/>
    <col min="12" max="12" width="1.625" style="71" customWidth="1"/>
    <col min="13" max="13" width="1.625" style="72" hidden="1" customWidth="1"/>
    <col min="14" max="15" width="11.625" style="71" hidden="1" customWidth="1"/>
    <col min="16" max="16" width="1.625" style="72" hidden="1" customWidth="1"/>
    <col min="17" max="17" width="8.625" style="75" hidden="1" customWidth="1"/>
    <col min="18" max="18" width="1.625" style="72" hidden="1" customWidth="1"/>
    <col min="19" max="20" width="8.625" style="75" hidden="1" customWidth="1"/>
    <col min="21" max="21" width="81.625" style="75" hidden="1" customWidth="1"/>
    <col min="22" max="22" width="1.625" style="72" hidden="1" customWidth="1"/>
    <col min="23" max="25" width="0" style="75" hidden="1" customWidth="1"/>
    <col min="26" max="26" width="8" style="75" customWidth="1"/>
    <col min="27" max="27" width="4.125" style="75" customWidth="1"/>
    <col min="28" max="28" width="55.125" style="75" customWidth="1"/>
    <col min="29" max="29" width="5.625" style="75" hidden="1" customWidth="1"/>
    <col min="30" max="31" width="5.125" style="75" customWidth="1"/>
    <col min="32" max="33" width="16.625" style="75" customWidth="1"/>
    <col min="34" max="34" width="2.375" style="75" customWidth="1"/>
    <col min="35" max="16384" width="8" style="75" hidden="1"/>
  </cols>
  <sheetData>
    <row r="1" spans="2:33" s="496" customFormat="1" ht="18.75">
      <c r="B1" s="67" t="s">
        <v>4021</v>
      </c>
      <c r="C1" s="67"/>
      <c r="D1" s="67"/>
      <c r="E1" s="67"/>
      <c r="F1" s="67"/>
      <c r="G1" s="67"/>
      <c r="H1" s="69" t="str">
        <f>Validation!B3</f>
        <v>South West Water – South West area</v>
      </c>
      <c r="I1" s="67"/>
      <c r="J1" s="67"/>
      <c r="K1" s="70" t="s">
        <v>2394</v>
      </c>
      <c r="L1" s="71"/>
      <c r="M1" s="72"/>
      <c r="N1" s="71"/>
      <c r="O1" s="71"/>
      <c r="P1" s="72"/>
      <c r="Q1" s="71"/>
      <c r="R1" s="72"/>
      <c r="V1" s="72"/>
      <c r="AA1" s="67" t="s">
        <v>6671</v>
      </c>
      <c r="AB1" s="67"/>
      <c r="AC1" s="67"/>
      <c r="AD1" s="67"/>
      <c r="AE1" s="67"/>
      <c r="AF1" s="67"/>
      <c r="AG1" s="69"/>
    </row>
    <row r="2" spans="2:33" ht="15" customHeight="1" thickBot="1">
      <c r="B2" s="74" t="s">
        <v>12524</v>
      </c>
      <c r="C2" s="265"/>
      <c r="D2" s="265"/>
      <c r="Q2" s="71"/>
      <c r="AA2" s="74" t="str">
        <f>+B2</f>
        <v>For the 12 months ended 31 March 2019</v>
      </c>
      <c r="AB2" s="265"/>
      <c r="AC2" s="265"/>
    </row>
    <row r="3" spans="2:33" ht="36.75" thickBot="1">
      <c r="B3" s="3312" t="s">
        <v>2395</v>
      </c>
      <c r="C3" s="3313"/>
      <c r="D3" s="1459" t="s">
        <v>6496</v>
      </c>
      <c r="E3" s="391" t="s">
        <v>2396</v>
      </c>
      <c r="F3" s="392" t="s">
        <v>2397</v>
      </c>
      <c r="G3" s="306" t="s">
        <v>4022</v>
      </c>
      <c r="H3" s="319" t="s">
        <v>4023</v>
      </c>
      <c r="J3" s="193" t="s">
        <v>2577</v>
      </c>
      <c r="K3" s="195" t="s">
        <v>1361</v>
      </c>
      <c r="N3" s="3215" t="s">
        <v>2404</v>
      </c>
      <c r="O3" s="3215"/>
      <c r="Q3" s="1634" t="s">
        <v>2390</v>
      </c>
      <c r="S3" s="1634" t="s">
        <v>2578</v>
      </c>
      <c r="T3" s="1634"/>
      <c r="U3" s="1634"/>
      <c r="AA3" s="3312" t="s">
        <v>2395</v>
      </c>
      <c r="AB3" s="3313"/>
      <c r="AC3" s="2737" t="s">
        <v>6496</v>
      </c>
      <c r="AD3" s="391" t="s">
        <v>2396</v>
      </c>
      <c r="AE3" s="392" t="s">
        <v>2397</v>
      </c>
      <c r="AF3" s="306" t="s">
        <v>4022</v>
      </c>
      <c r="AG3" s="319" t="s">
        <v>4023</v>
      </c>
    </row>
    <row r="4" spans="2:33" ht="15" thickBot="1">
      <c r="C4" s="343"/>
      <c r="D4" s="343"/>
      <c r="Q4" s="320"/>
      <c r="S4" s="320"/>
      <c r="T4" s="320"/>
      <c r="U4" s="320"/>
      <c r="AB4" s="343"/>
      <c r="AC4" s="343"/>
    </row>
    <row r="5" spans="2:33" ht="15" thickBot="1">
      <c r="B5" s="860" t="s">
        <v>2449</v>
      </c>
      <c r="C5" s="88" t="s">
        <v>4024</v>
      </c>
      <c r="D5" s="1584"/>
      <c r="E5" s="270"/>
      <c r="F5" s="270"/>
      <c r="H5" s="270"/>
      <c r="N5" s="171" t="s">
        <v>2405</v>
      </c>
      <c r="O5" s="132"/>
      <c r="Q5" s="496"/>
      <c r="AA5" s="2741" t="s">
        <v>2449</v>
      </c>
      <c r="AB5" s="88" t="s">
        <v>4024</v>
      </c>
      <c r="AC5" s="1584"/>
      <c r="AD5" s="270"/>
      <c r="AE5" s="270"/>
      <c r="AG5" s="270"/>
    </row>
    <row r="6" spans="2:33" ht="15" customHeight="1">
      <c r="B6" s="298" t="s">
        <v>5162</v>
      </c>
      <c r="C6" s="281" t="s">
        <v>4025</v>
      </c>
      <c r="D6" s="281"/>
      <c r="E6" s="311" t="s">
        <v>750</v>
      </c>
      <c r="F6" s="283">
        <v>3</v>
      </c>
      <c r="G6" s="448"/>
      <c r="H6" s="896"/>
      <c r="K6" s="24" t="str">
        <f xml:space="preserve"> IF( SUM( M6:P6 ) = 0, 0, N$5 )</f>
        <v>Please complete all cells in row</v>
      </c>
      <c r="N6" s="98">
        <f t="shared" ref="N6:O8" si="0" xml:space="preserve"> IF( ISNUMBER( G6 ), 0, 1 )</f>
        <v>1</v>
      </c>
      <c r="O6" s="98">
        <f t="shared" si="0"/>
        <v>1</v>
      </c>
      <c r="Q6" s="496"/>
      <c r="AA6" s="298" t="s">
        <v>5162</v>
      </c>
      <c r="AB6" s="281" t="s">
        <v>4025</v>
      </c>
      <c r="AC6" s="281"/>
      <c r="AD6" s="311" t="s">
        <v>750</v>
      </c>
      <c r="AE6" s="283">
        <v>3</v>
      </c>
      <c r="AF6" s="2836" t="s">
        <v>11151</v>
      </c>
      <c r="AG6" s="2844" t="s">
        <v>11152</v>
      </c>
    </row>
    <row r="7" spans="2:33" ht="15" customHeight="1">
      <c r="B7" s="299" t="s">
        <v>5163</v>
      </c>
      <c r="C7" s="285" t="s">
        <v>4026</v>
      </c>
      <c r="D7" s="285"/>
      <c r="E7" s="312" t="s">
        <v>750</v>
      </c>
      <c r="F7" s="287">
        <v>3</v>
      </c>
      <c r="G7" s="450"/>
      <c r="H7" s="897"/>
      <c r="K7" s="24" t="str">
        <f xml:space="preserve"> IF( SUM( M7:P7 ) = 0, 0, N$5 )</f>
        <v>Please complete all cells in row</v>
      </c>
      <c r="N7" s="98">
        <f t="shared" si="0"/>
        <v>1</v>
      </c>
      <c r="O7" s="98">
        <f t="shared" si="0"/>
        <v>1</v>
      </c>
      <c r="Q7" s="496"/>
      <c r="AA7" s="299" t="s">
        <v>5163</v>
      </c>
      <c r="AB7" s="285" t="s">
        <v>4026</v>
      </c>
      <c r="AC7" s="285"/>
      <c r="AD7" s="312" t="s">
        <v>750</v>
      </c>
      <c r="AE7" s="287">
        <v>3</v>
      </c>
      <c r="AF7" s="2531" t="s">
        <v>11153</v>
      </c>
      <c r="AG7" s="2592" t="s">
        <v>11154</v>
      </c>
    </row>
    <row r="8" spans="2:33" ht="15" customHeight="1">
      <c r="B8" s="299" t="s">
        <v>5164</v>
      </c>
      <c r="C8" s="285" t="s">
        <v>2525</v>
      </c>
      <c r="D8" s="285"/>
      <c r="E8" s="312" t="s">
        <v>750</v>
      </c>
      <c r="F8" s="287">
        <v>3</v>
      </c>
      <c r="G8" s="450"/>
      <c r="H8" s="897"/>
      <c r="K8" s="24" t="str">
        <f xml:space="preserve"> IF( SUM( M8:P8 ) = 0, 0, N$5 )</f>
        <v>Please complete all cells in row</v>
      </c>
      <c r="N8" s="98">
        <f t="shared" si="0"/>
        <v>1</v>
      </c>
      <c r="O8" s="98">
        <f t="shared" si="0"/>
        <v>1</v>
      </c>
      <c r="Q8" s="496"/>
      <c r="AA8" s="299" t="s">
        <v>5164</v>
      </c>
      <c r="AB8" s="285" t="s">
        <v>2525</v>
      </c>
      <c r="AC8" s="285"/>
      <c r="AD8" s="312" t="s">
        <v>750</v>
      </c>
      <c r="AE8" s="287">
        <v>3</v>
      </c>
      <c r="AF8" s="2531" t="s">
        <v>11155</v>
      </c>
      <c r="AG8" s="2592" t="s">
        <v>11156</v>
      </c>
    </row>
    <row r="9" spans="2:33" ht="29.25" customHeight="1" thickBot="1">
      <c r="B9" s="300" t="s">
        <v>5165</v>
      </c>
      <c r="C9" s="290" t="s">
        <v>2554</v>
      </c>
      <c r="D9" s="290"/>
      <c r="E9" s="291" t="s">
        <v>750</v>
      </c>
      <c r="F9" s="292">
        <v>3</v>
      </c>
      <c r="G9" s="347">
        <f>SUM(G6:G8)</f>
        <v>0</v>
      </c>
      <c r="H9" s="349">
        <f t="shared" ref="H9" si="1">SUM(H6:H8)</f>
        <v>0</v>
      </c>
      <c r="J9" s="1431">
        <f xml:space="preserve"> IF( SUM( P9:R9 ) = 0, 0, U9 )</f>
        <v>0</v>
      </c>
      <c r="K9" s="114"/>
      <c r="N9" s="288"/>
      <c r="O9" s="115"/>
      <c r="Q9" s="98">
        <f xml:space="preserve"> IF( (S9 - T9) = 0, 0, 1 )</f>
        <v>0</v>
      </c>
      <c r="R9" s="124"/>
      <c r="S9" s="172">
        <f xml:space="preserve"> G9</f>
        <v>0</v>
      </c>
      <c r="T9" s="172">
        <f>'4D'!L25</f>
        <v>0</v>
      </c>
      <c r="U9" s="1635" t="s">
        <v>12227</v>
      </c>
      <c r="AA9" s="300" t="s">
        <v>5165</v>
      </c>
      <c r="AB9" s="290" t="s">
        <v>2554</v>
      </c>
      <c r="AC9" s="290"/>
      <c r="AD9" s="291" t="s">
        <v>750</v>
      </c>
      <c r="AE9" s="292">
        <v>3</v>
      </c>
      <c r="AF9" s="347" t="s">
        <v>11150</v>
      </c>
      <c r="AG9" s="349" t="s">
        <v>11157</v>
      </c>
    </row>
    <row r="10" spans="2:33" ht="15" thickBot="1">
      <c r="B10" s="350"/>
      <c r="C10" s="275"/>
      <c r="D10" s="275"/>
      <c r="E10" s="277"/>
      <c r="F10" s="277"/>
      <c r="G10" s="351"/>
      <c r="H10" s="351"/>
      <c r="K10" s="114"/>
      <c r="N10" s="288"/>
      <c r="O10" s="115"/>
      <c r="Q10" s="496"/>
      <c r="AA10" s="350"/>
      <c r="AB10" s="275"/>
      <c r="AC10" s="275"/>
      <c r="AD10" s="277"/>
      <c r="AE10" s="277"/>
      <c r="AF10" s="351"/>
      <c r="AG10" s="351"/>
    </row>
    <row r="11" spans="2:33" ht="15" thickBot="1">
      <c r="B11" s="860" t="s">
        <v>2458</v>
      </c>
      <c r="C11" s="119" t="s">
        <v>4027</v>
      </c>
      <c r="D11" s="1584"/>
      <c r="E11" s="310"/>
      <c r="F11" s="310"/>
      <c r="G11" s="278"/>
      <c r="H11" s="278"/>
      <c r="K11" s="114"/>
      <c r="N11" s="288"/>
      <c r="O11" s="115"/>
      <c r="Q11" s="496"/>
      <c r="AA11" s="2741" t="s">
        <v>2458</v>
      </c>
      <c r="AB11" s="119" t="s">
        <v>4027</v>
      </c>
      <c r="AC11" s="1584"/>
      <c r="AD11" s="310"/>
      <c r="AE11" s="310"/>
      <c r="AF11" s="278"/>
      <c r="AG11" s="278"/>
    </row>
    <row r="12" spans="2:33" ht="15" customHeight="1">
      <c r="B12" s="298" t="s">
        <v>5166</v>
      </c>
      <c r="C12" s="281" t="s">
        <v>4028</v>
      </c>
      <c r="D12" s="281"/>
      <c r="E12" s="311" t="s">
        <v>750</v>
      </c>
      <c r="F12" s="283">
        <v>3</v>
      </c>
      <c r="G12" s="448"/>
      <c r="H12" s="896"/>
      <c r="K12" s="24" t="str">
        <f xml:space="preserve"> IF( SUM( M12:P12 ) = 0, 0, N$5 )</f>
        <v>Please complete all cells in row</v>
      </c>
      <c r="N12" s="98">
        <f>IF(Validation!$H$3=1,0,IF(ISNUMBER(G12),0,1))</f>
        <v>1</v>
      </c>
      <c r="O12" s="98">
        <f>IF(Validation!$H$3=1,0,IF(ISNUMBER(H12),0,1))</f>
        <v>1</v>
      </c>
      <c r="Q12" s="496"/>
      <c r="AA12" s="298" t="s">
        <v>5166</v>
      </c>
      <c r="AB12" s="281" t="s">
        <v>4028</v>
      </c>
      <c r="AC12" s="281"/>
      <c r="AD12" s="311" t="s">
        <v>750</v>
      </c>
      <c r="AE12" s="283">
        <v>3</v>
      </c>
      <c r="AF12" s="2836" t="s">
        <v>11158</v>
      </c>
      <c r="AG12" s="2844" t="s">
        <v>11163</v>
      </c>
    </row>
    <row r="13" spans="2:33" ht="15" customHeight="1">
      <c r="B13" s="299" t="s">
        <v>5168</v>
      </c>
      <c r="C13" s="285" t="s">
        <v>4029</v>
      </c>
      <c r="D13" s="285"/>
      <c r="E13" s="312" t="s">
        <v>750</v>
      </c>
      <c r="F13" s="287">
        <v>3</v>
      </c>
      <c r="G13" s="450"/>
      <c r="H13" s="897"/>
      <c r="K13" s="24" t="str">
        <f xml:space="preserve"> IF( SUM( M13:P13 ) = 0, 0, N$5 )</f>
        <v>Please complete all cells in row</v>
      </c>
      <c r="N13" s="98">
        <f>IF(Validation!$H$3=1,0,IF(ISNUMBER(G13),0,1))</f>
        <v>1</v>
      </c>
      <c r="O13" s="98">
        <f>IF(Validation!$H$3=1,0,IF(ISNUMBER(H13),0,1))</f>
        <v>1</v>
      </c>
      <c r="Q13" s="496"/>
      <c r="AA13" s="299" t="s">
        <v>5168</v>
      </c>
      <c r="AB13" s="285" t="s">
        <v>4029</v>
      </c>
      <c r="AC13" s="285"/>
      <c r="AD13" s="312" t="s">
        <v>750</v>
      </c>
      <c r="AE13" s="287">
        <v>3</v>
      </c>
      <c r="AF13" s="2531" t="s">
        <v>11159</v>
      </c>
      <c r="AG13" s="2592" t="s">
        <v>11164</v>
      </c>
    </row>
    <row r="14" spans="2:33" ht="15" customHeight="1">
      <c r="B14" s="299" t="s">
        <v>5169</v>
      </c>
      <c r="C14" s="285" t="s">
        <v>4026</v>
      </c>
      <c r="D14" s="285"/>
      <c r="E14" s="312" t="s">
        <v>750</v>
      </c>
      <c r="F14" s="287">
        <v>3</v>
      </c>
      <c r="G14" s="450"/>
      <c r="H14" s="897"/>
      <c r="K14" s="24" t="str">
        <f xml:space="preserve"> IF( SUM( M14:P14 ) = 0, 0, N$5 )</f>
        <v>Please complete all cells in row</v>
      </c>
      <c r="N14" s="98">
        <f>IF(Validation!$H$3=1,0,IF(ISNUMBER(G14),0,1))</f>
        <v>1</v>
      </c>
      <c r="O14" s="98">
        <f>IF(Validation!$H$3=1,0,IF(ISNUMBER(H14),0,1))</f>
        <v>1</v>
      </c>
      <c r="Q14" s="496"/>
      <c r="AA14" s="299" t="s">
        <v>5169</v>
      </c>
      <c r="AB14" s="285" t="s">
        <v>4026</v>
      </c>
      <c r="AC14" s="285"/>
      <c r="AD14" s="312" t="s">
        <v>750</v>
      </c>
      <c r="AE14" s="287">
        <v>3</v>
      </c>
      <c r="AF14" s="2531" t="s">
        <v>11160</v>
      </c>
      <c r="AG14" s="2592" t="s">
        <v>11165</v>
      </c>
    </row>
    <row r="15" spans="2:33" ht="15" customHeight="1">
      <c r="B15" s="655" t="s">
        <v>5167</v>
      </c>
      <c r="C15" s="285" t="s">
        <v>2525</v>
      </c>
      <c r="D15" s="285"/>
      <c r="E15" s="312" t="s">
        <v>750</v>
      </c>
      <c r="F15" s="287">
        <v>3</v>
      </c>
      <c r="G15" s="898"/>
      <c r="H15" s="899"/>
      <c r="K15" s="24" t="str">
        <f xml:space="preserve"> IF( SUM( M15:P15 ) = 0, 0, N$5 )</f>
        <v>Please complete all cells in row</v>
      </c>
      <c r="N15" s="98">
        <f>IF(Validation!$H$3=1,0,IF(ISNUMBER(G15),0,1))</f>
        <v>1</v>
      </c>
      <c r="O15" s="98">
        <f>IF(Validation!$H$3=1,0,IF(ISNUMBER(H15),0,1))</f>
        <v>1</v>
      </c>
      <c r="AA15" s="655" t="s">
        <v>5167</v>
      </c>
      <c r="AB15" s="285" t="s">
        <v>2525</v>
      </c>
      <c r="AC15" s="285"/>
      <c r="AD15" s="312" t="s">
        <v>750</v>
      </c>
      <c r="AE15" s="287">
        <v>3</v>
      </c>
      <c r="AF15" s="2843" t="s">
        <v>11161</v>
      </c>
      <c r="AG15" s="2845" t="s">
        <v>11166</v>
      </c>
    </row>
    <row r="16" spans="2:33" ht="29.25" customHeight="1" thickBot="1">
      <c r="B16" s="300" t="s">
        <v>5170</v>
      </c>
      <c r="C16" s="290" t="s">
        <v>2554</v>
      </c>
      <c r="D16" s="290"/>
      <c r="E16" s="291" t="s">
        <v>750</v>
      </c>
      <c r="F16" s="292">
        <v>3</v>
      </c>
      <c r="G16" s="347">
        <f xml:space="preserve"> SUM(G12:G15)</f>
        <v>0</v>
      </c>
      <c r="H16" s="349">
        <f xml:space="preserve"> SUM(H12:H15)</f>
        <v>0</v>
      </c>
      <c r="J16" s="1431">
        <f xml:space="preserve"> IF( SUM( P16:R16 ) = 0, 0, U16 )</f>
        <v>0</v>
      </c>
      <c r="K16" s="125"/>
      <c r="N16" s="288"/>
      <c r="O16" s="115"/>
      <c r="Q16" s="98">
        <f xml:space="preserve"> IF( (S16 - T16) = 0, 0, 1 )</f>
        <v>0</v>
      </c>
      <c r="R16" s="124"/>
      <c r="S16" s="172">
        <f xml:space="preserve"> G16</f>
        <v>0</v>
      </c>
      <c r="T16" s="172">
        <f>SUM('4E'!G25:I25)</f>
        <v>0</v>
      </c>
      <c r="U16" s="1635" t="s">
        <v>12228</v>
      </c>
      <c r="AA16" s="300" t="s">
        <v>5170</v>
      </c>
      <c r="AB16" s="290" t="s">
        <v>2554</v>
      </c>
      <c r="AC16" s="290"/>
      <c r="AD16" s="291" t="s">
        <v>750</v>
      </c>
      <c r="AE16" s="292">
        <v>3</v>
      </c>
      <c r="AF16" s="347" t="s">
        <v>11162</v>
      </c>
      <c r="AG16" s="349" t="s">
        <v>11167</v>
      </c>
    </row>
    <row r="17" spans="1:33">
      <c r="B17" s="350"/>
      <c r="C17" s="275"/>
      <c r="D17" s="275"/>
      <c r="E17" s="277"/>
      <c r="F17" s="277"/>
      <c r="G17" s="351"/>
      <c r="H17" s="351"/>
      <c r="K17" s="125"/>
      <c r="N17" s="288"/>
      <c r="O17" s="115"/>
      <c r="Q17" s="496"/>
      <c r="AA17" s="350"/>
      <c r="AB17" s="275"/>
      <c r="AC17" s="275"/>
      <c r="AD17" s="277"/>
      <c r="AE17" s="277"/>
      <c r="AF17" s="351"/>
      <c r="AG17" s="351"/>
    </row>
    <row r="18" spans="1:33" s="170" customFormat="1">
      <c r="B18" s="3220" t="s">
        <v>2420</v>
      </c>
      <c r="C18" s="3220"/>
      <c r="D18" s="1449"/>
      <c r="I18" s="363"/>
      <c r="J18" s="363"/>
      <c r="K18" s="125"/>
      <c r="L18" s="123"/>
      <c r="M18" s="129"/>
      <c r="N18" s="288"/>
      <c r="O18" s="125"/>
      <c r="P18" s="129"/>
      <c r="Q18" s="496"/>
      <c r="R18" s="72"/>
      <c r="S18" s="75"/>
      <c r="T18" s="75"/>
      <c r="U18" s="75"/>
      <c r="V18" s="72"/>
    </row>
    <row r="19" spans="1:33" s="170" customFormat="1">
      <c r="B19" s="146"/>
      <c r="C19" s="147"/>
      <c r="D19" s="147"/>
      <c r="I19" s="363"/>
      <c r="J19" s="363"/>
      <c r="K19" s="125"/>
      <c r="L19" s="123"/>
      <c r="M19" s="129"/>
      <c r="N19" s="288"/>
      <c r="O19" s="125"/>
      <c r="P19" s="129"/>
      <c r="Q19" s="496"/>
      <c r="R19" s="72"/>
      <c r="S19" s="75"/>
      <c r="T19" s="75"/>
      <c r="U19" s="75"/>
      <c r="V19" s="72"/>
    </row>
    <row r="20" spans="1:33" s="170" customFormat="1">
      <c r="B20" s="25"/>
      <c r="C20" s="148" t="s">
        <v>2421</v>
      </c>
      <c r="D20" s="148"/>
      <c r="I20" s="334"/>
      <c r="J20" s="334"/>
      <c r="K20" s="71"/>
      <c r="L20" s="71"/>
      <c r="M20" s="72"/>
      <c r="N20" s="71"/>
      <c r="O20" s="71"/>
      <c r="P20" s="72"/>
      <c r="Q20" s="496"/>
      <c r="R20" s="72"/>
      <c r="S20" s="75"/>
      <c r="T20" s="75"/>
      <c r="U20" s="75"/>
      <c r="V20" s="72"/>
    </row>
    <row r="21" spans="1:33" s="170" customFormat="1">
      <c r="B21" s="146"/>
      <c r="C21" s="147"/>
      <c r="D21" s="147"/>
      <c r="I21" s="333"/>
      <c r="J21" s="333"/>
      <c r="K21" s="71"/>
      <c r="L21" s="71"/>
      <c r="M21" s="72"/>
      <c r="N21" s="71"/>
      <c r="O21" s="71"/>
      <c r="P21" s="72"/>
      <c r="Q21" s="86"/>
      <c r="R21" s="72"/>
      <c r="S21" s="75"/>
      <c r="T21" s="75"/>
      <c r="U21" s="75"/>
      <c r="V21" s="72"/>
    </row>
    <row r="22" spans="1:33" s="170" customFormat="1">
      <c r="B22" s="149"/>
      <c r="C22" s="148" t="s">
        <v>2422</v>
      </c>
      <c r="D22" s="148"/>
      <c r="I22" s="334"/>
      <c r="J22" s="334"/>
      <c r="K22" s="71"/>
      <c r="L22" s="71"/>
      <c r="M22" s="72"/>
      <c r="N22" s="71"/>
      <c r="O22" s="71"/>
      <c r="P22" s="72"/>
      <c r="Q22" s="132"/>
      <c r="R22" s="129"/>
      <c r="S22" s="172"/>
      <c r="T22" s="172"/>
      <c r="U22" s="75"/>
      <c r="V22" s="129"/>
    </row>
    <row r="23" spans="1:33" s="170" customFormat="1">
      <c r="B23" s="150"/>
      <c r="C23" s="148"/>
      <c r="D23" s="148"/>
      <c r="I23" s="334"/>
      <c r="J23" s="334"/>
      <c r="K23" s="71"/>
      <c r="L23" s="71"/>
      <c r="M23" s="72"/>
      <c r="N23" s="71"/>
      <c r="O23" s="71"/>
      <c r="P23" s="72"/>
      <c r="Q23" s="86"/>
      <c r="R23" s="124"/>
      <c r="S23" s="75"/>
      <c r="T23" s="75"/>
      <c r="U23" s="75"/>
      <c r="V23" s="124"/>
    </row>
    <row r="24" spans="1:33" s="185" customFormat="1" ht="15" thickBot="1">
      <c r="C24" s="186"/>
      <c r="D24" s="186"/>
      <c r="I24" s="334"/>
      <c r="J24" s="334"/>
      <c r="K24" s="71"/>
      <c r="L24" s="71"/>
      <c r="M24" s="72"/>
      <c r="N24" s="71"/>
      <c r="O24" s="71"/>
      <c r="P24" s="72"/>
      <c r="Q24" s="86"/>
      <c r="R24" s="124"/>
      <c r="S24" s="75"/>
      <c r="T24" s="75"/>
      <c r="U24" s="75"/>
      <c r="V24" s="124"/>
    </row>
    <row r="25" spans="1:33" s="185" customFormat="1" ht="15" thickBot="1">
      <c r="B25" s="1433" t="s">
        <v>12572</v>
      </c>
      <c r="C25" s="152"/>
      <c r="D25" s="152"/>
      <c r="E25" s="153"/>
      <c r="F25" s="153"/>
      <c r="G25" s="153"/>
      <c r="H25" s="259"/>
      <c r="I25" s="334"/>
      <c r="J25" s="334"/>
      <c r="K25" s="71"/>
      <c r="L25" s="71"/>
      <c r="M25" s="72"/>
      <c r="N25" s="71"/>
      <c r="O25" s="71"/>
      <c r="P25" s="72"/>
      <c r="Q25" s="86"/>
      <c r="R25" s="124"/>
      <c r="S25" s="75"/>
      <c r="T25" s="75"/>
      <c r="U25" s="75"/>
      <c r="V25" s="124"/>
    </row>
    <row r="26" spans="1:33" s="185" customFormat="1">
      <c r="C26" s="186"/>
      <c r="D26" s="186"/>
      <c r="I26" s="334"/>
      <c r="J26" s="334"/>
      <c r="K26" s="71"/>
      <c r="L26" s="71"/>
      <c r="M26" s="72"/>
      <c r="N26" s="71"/>
      <c r="O26" s="71"/>
      <c r="P26" s="72"/>
      <c r="Q26" s="86"/>
      <c r="R26" s="124"/>
      <c r="S26" s="75"/>
      <c r="T26" s="75"/>
      <c r="U26" s="75"/>
      <c r="V26" s="124"/>
    </row>
    <row r="27" spans="1:33" s="115" customFormat="1" ht="15" hidden="1" thickBot="1">
      <c r="A27" s="1643"/>
      <c r="B27" s="151" t="str">
        <f ca="1" xml:space="preserve"> RIGHT(CELL("filename", $A$1), LEN(CELL("filename", $A$1)) - SEARCH("]", CELL("filename", $A$1)))&amp;" - Line definitions"</f>
        <v>2J - Line definitions</v>
      </c>
      <c r="C27" s="152"/>
      <c r="D27" s="152"/>
      <c r="E27" s="153"/>
      <c r="F27" s="153"/>
      <c r="G27" s="153"/>
      <c r="H27" s="259"/>
      <c r="L27" s="71"/>
      <c r="M27" s="72"/>
      <c r="N27" s="71"/>
      <c r="O27" s="71"/>
      <c r="P27" s="72"/>
      <c r="Q27" s="132"/>
      <c r="R27" s="124"/>
      <c r="S27" s="172"/>
      <c r="T27" s="172"/>
      <c r="U27" s="75"/>
      <c r="V27" s="124"/>
    </row>
    <row r="28" spans="1:33" s="115" customFormat="1" ht="15" hidden="1" thickBot="1">
      <c r="A28" s="1643"/>
      <c r="B28" s="75"/>
      <c r="C28" s="160"/>
      <c r="D28" s="160"/>
      <c r="E28" s="75"/>
      <c r="F28" s="75"/>
      <c r="G28" s="75"/>
      <c r="L28" s="71"/>
      <c r="M28" s="72"/>
      <c r="N28" s="71"/>
      <c r="O28" s="71"/>
      <c r="P28" s="72"/>
      <c r="Q28" s="132"/>
      <c r="R28" s="124"/>
      <c r="S28" s="172"/>
      <c r="T28" s="172"/>
      <c r="U28" s="75"/>
      <c r="V28" s="124"/>
    </row>
    <row r="29" spans="1:33" s="185" customFormat="1" ht="15" hidden="1" thickBot="1">
      <c r="A29" s="1644"/>
      <c r="B29" s="295" t="s">
        <v>2423</v>
      </c>
      <c r="C29" s="3314" t="s">
        <v>2424</v>
      </c>
      <c r="D29" s="3315"/>
      <c r="E29" s="3315"/>
      <c r="F29" s="3315"/>
      <c r="G29" s="3315"/>
      <c r="H29" s="3316"/>
      <c r="I29" s="115"/>
      <c r="J29" s="115"/>
      <c r="K29" s="115"/>
      <c r="L29" s="71"/>
      <c r="M29" s="72"/>
      <c r="N29" s="90" t="s">
        <v>2425</v>
      </c>
      <c r="O29" s="71"/>
      <c r="P29" s="72"/>
      <c r="Q29" s="496"/>
      <c r="R29" s="124"/>
      <c r="S29" s="75"/>
      <c r="T29" s="75"/>
      <c r="U29" s="75"/>
      <c r="V29" s="124"/>
    </row>
    <row r="30" spans="1:33" s="115" customFormat="1" ht="13.5" hidden="1" customHeight="1">
      <c r="A30" s="1643"/>
      <c r="B30" s="188" t="s">
        <v>5162</v>
      </c>
      <c r="C30" s="3271" t="s">
        <v>4036</v>
      </c>
      <c r="D30" s="3272"/>
      <c r="E30" s="3272"/>
      <c r="F30" s="3272"/>
      <c r="G30" s="3272"/>
      <c r="H30" s="3273"/>
      <c r="L30" s="71"/>
      <c r="M30" s="72"/>
      <c r="N30" s="210">
        <v>1</v>
      </c>
      <c r="O30" s="71"/>
      <c r="P30" s="72"/>
      <c r="R30" s="72"/>
      <c r="V30" s="124"/>
    </row>
    <row r="31" spans="1:33" s="115" customFormat="1" ht="23.25" hidden="1" customHeight="1">
      <c r="A31" s="1643"/>
      <c r="B31" s="166" t="s">
        <v>5163</v>
      </c>
      <c r="C31" s="3268" t="s">
        <v>4035</v>
      </c>
      <c r="D31" s="3269"/>
      <c r="E31" s="3269"/>
      <c r="F31" s="3269"/>
      <c r="G31" s="3269"/>
      <c r="H31" s="3270"/>
      <c r="L31" s="71"/>
      <c r="M31" s="72"/>
      <c r="N31" s="210" t="s">
        <v>2428</v>
      </c>
      <c r="O31" s="71"/>
      <c r="P31" s="72"/>
      <c r="Q31" s="132"/>
      <c r="R31" s="124"/>
      <c r="S31" s="231"/>
      <c r="T31" s="231"/>
      <c r="U31" s="75"/>
      <c r="V31" s="124"/>
    </row>
    <row r="32" spans="1:33" s="115" customFormat="1" ht="14.25" hidden="1" customHeight="1">
      <c r="A32" s="1643"/>
      <c r="B32" s="166" t="s">
        <v>5164</v>
      </c>
      <c r="C32" s="3268" t="s">
        <v>4031</v>
      </c>
      <c r="D32" s="3269"/>
      <c r="E32" s="3269"/>
      <c r="F32" s="3269"/>
      <c r="G32" s="3269"/>
      <c r="H32" s="3270"/>
      <c r="L32" s="71"/>
      <c r="M32" s="72"/>
      <c r="N32" s="210">
        <v>1</v>
      </c>
      <c r="O32" s="71"/>
      <c r="P32" s="72"/>
      <c r="Q32" s="496"/>
      <c r="R32" s="124"/>
      <c r="S32" s="75"/>
      <c r="T32" s="75"/>
      <c r="U32" s="75"/>
      <c r="V32" s="124"/>
    </row>
    <row r="33" spans="1:22" s="115" customFormat="1" ht="14.25" hidden="1" customHeight="1">
      <c r="A33" s="1643"/>
      <c r="B33" s="166" t="s">
        <v>5165</v>
      </c>
      <c r="C33" s="3268" t="s">
        <v>4032</v>
      </c>
      <c r="D33" s="3269"/>
      <c r="E33" s="3269"/>
      <c r="F33" s="3269"/>
      <c r="G33" s="3269"/>
      <c r="H33" s="3270"/>
      <c r="L33" s="71"/>
      <c r="M33" s="72"/>
      <c r="N33" s="210">
        <v>1</v>
      </c>
      <c r="O33" s="71"/>
      <c r="P33" s="72"/>
      <c r="Q33" s="496"/>
      <c r="R33" s="72"/>
      <c r="S33" s="75"/>
      <c r="T33" s="75"/>
      <c r="U33" s="75"/>
      <c r="V33" s="72"/>
    </row>
    <row r="34" spans="1:22" s="115" customFormat="1" ht="13.5" hidden="1" customHeight="1">
      <c r="A34" s="1643"/>
      <c r="B34" s="166" t="s">
        <v>5166</v>
      </c>
      <c r="C34" s="3268" t="s">
        <v>4034</v>
      </c>
      <c r="D34" s="3269"/>
      <c r="E34" s="3269"/>
      <c r="F34" s="3269"/>
      <c r="G34" s="3269"/>
      <c r="H34" s="3270"/>
      <c r="L34" s="71"/>
      <c r="M34" s="72"/>
      <c r="N34" s="210">
        <v>1</v>
      </c>
      <c r="O34" s="71"/>
      <c r="P34" s="72"/>
      <c r="Q34" s="496"/>
      <c r="R34" s="72"/>
      <c r="S34" s="75"/>
      <c r="T34" s="75"/>
      <c r="U34" s="75"/>
      <c r="V34" s="72"/>
    </row>
    <row r="35" spans="1:22" s="115" customFormat="1" ht="13.5" hidden="1" customHeight="1">
      <c r="A35" s="1643"/>
      <c r="B35" s="166" t="s">
        <v>5168</v>
      </c>
      <c r="C35" s="3268" t="s">
        <v>4033</v>
      </c>
      <c r="D35" s="3269"/>
      <c r="E35" s="3269"/>
      <c r="F35" s="3269"/>
      <c r="G35" s="3269"/>
      <c r="H35" s="3270"/>
      <c r="L35" s="71"/>
      <c r="M35" s="72"/>
      <c r="N35" s="210">
        <v>1</v>
      </c>
      <c r="O35" s="71"/>
      <c r="P35" s="72"/>
      <c r="Q35" s="496"/>
      <c r="R35" s="72"/>
      <c r="S35" s="75"/>
      <c r="T35" s="75"/>
      <c r="U35" s="75"/>
      <c r="V35" s="72"/>
    </row>
    <row r="36" spans="1:22" s="115" customFormat="1" ht="23.25" hidden="1" customHeight="1">
      <c r="A36" s="1643"/>
      <c r="B36" s="166" t="s">
        <v>5169</v>
      </c>
      <c r="C36" s="3268" t="s">
        <v>4037</v>
      </c>
      <c r="D36" s="3269"/>
      <c r="E36" s="3269"/>
      <c r="F36" s="3269"/>
      <c r="G36" s="3269"/>
      <c r="H36" s="3270"/>
      <c r="L36" s="71"/>
      <c r="M36" s="72"/>
      <c r="N36" s="210" t="s">
        <v>2428</v>
      </c>
      <c r="O36" s="71"/>
      <c r="P36" s="72"/>
      <c r="Q36" s="496"/>
      <c r="R36" s="129"/>
      <c r="S36" s="75"/>
      <c r="T36" s="75"/>
      <c r="U36" s="75"/>
      <c r="V36" s="129"/>
    </row>
    <row r="37" spans="1:22" s="115" customFormat="1" ht="14.25" hidden="1" customHeight="1">
      <c r="A37" s="1643"/>
      <c r="B37" s="166" t="s">
        <v>5167</v>
      </c>
      <c r="C37" s="3268" t="s">
        <v>4038</v>
      </c>
      <c r="D37" s="3269"/>
      <c r="E37" s="3269"/>
      <c r="F37" s="3269"/>
      <c r="G37" s="3269"/>
      <c r="H37" s="3270"/>
      <c r="L37" s="71"/>
      <c r="M37" s="72"/>
      <c r="N37" s="210">
        <v>1</v>
      </c>
      <c r="O37" s="71"/>
      <c r="P37" s="72"/>
      <c r="Q37" s="496"/>
      <c r="R37" s="129"/>
      <c r="S37" s="75"/>
      <c r="T37" s="75"/>
      <c r="U37" s="75"/>
      <c r="V37" s="129"/>
    </row>
    <row r="38" spans="1:22" ht="15" hidden="1" customHeight="1" thickBot="1">
      <c r="A38" s="1647"/>
      <c r="B38" s="190" t="s">
        <v>5170</v>
      </c>
      <c r="C38" s="3274" t="s">
        <v>4039</v>
      </c>
      <c r="D38" s="3275"/>
      <c r="E38" s="3275"/>
      <c r="F38" s="3275"/>
      <c r="G38" s="3275"/>
      <c r="H38" s="3276"/>
      <c r="N38" s="210">
        <v>1</v>
      </c>
      <c r="Q38" s="496"/>
      <c r="R38" s="129"/>
      <c r="V38" s="129"/>
    </row>
    <row r="39" spans="1:22" hidden="1">
      <c r="A39" s="1647"/>
      <c r="Q39" s="115"/>
      <c r="R39" s="129"/>
      <c r="V39" s="129"/>
    </row>
  </sheetData>
  <mergeCells count="14">
    <mergeCell ref="C38:H38"/>
    <mergeCell ref="C36:H36"/>
    <mergeCell ref="C37:H37"/>
    <mergeCell ref="C30:H30"/>
    <mergeCell ref="C31:H31"/>
    <mergeCell ref="C32:H32"/>
    <mergeCell ref="C33:H33"/>
    <mergeCell ref="C34:H34"/>
    <mergeCell ref="C35:H35"/>
    <mergeCell ref="AA3:AB3"/>
    <mergeCell ref="B3:C3"/>
    <mergeCell ref="N3:O3"/>
    <mergeCell ref="B18:C18"/>
    <mergeCell ref="C29:H29"/>
  </mergeCells>
  <conditionalFormatting sqref="K6:K8 K10:K14 K16:K17">
    <cfRule type="cellIs" dxfId="2737" priority="15" operator="equal">
      <formula>0</formula>
    </cfRule>
  </conditionalFormatting>
  <conditionalFormatting sqref="K9:K11">
    <cfRule type="cellIs" dxfId="2736" priority="14" operator="equal">
      <formula>0</formula>
    </cfRule>
  </conditionalFormatting>
  <conditionalFormatting sqref="K15">
    <cfRule type="cellIs" dxfId="2735" priority="5" operator="equal">
      <formula>0</formula>
    </cfRule>
  </conditionalFormatting>
  <conditionalFormatting sqref="J9">
    <cfRule type="cellIs" dxfId="2734" priority="4" operator="equal">
      <formula>0</formula>
    </cfRule>
  </conditionalFormatting>
  <conditionalFormatting sqref="J16">
    <cfRule type="cellIs" dxfId="273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3.xml><?xml version="1.0" encoding="utf-8"?>
<worksheet xmlns="http://schemas.openxmlformats.org/spreadsheetml/2006/main" xmlns:r="http://schemas.openxmlformats.org/officeDocument/2006/relationships">
  <sheetPr codeName="Sheet60">
    <pageSetUpPr fitToPage="1"/>
  </sheetPr>
  <dimension ref="A1:AC36"/>
  <sheetViews>
    <sheetView workbookViewId="0"/>
  </sheetViews>
  <sheetFormatPr defaultColWidth="0" defaultRowHeight="14.25" zeroHeight="1"/>
  <cols>
    <col min="1" max="1" width="0.625" style="75" customWidth="1"/>
    <col min="2" max="2" width="4.125" style="75" customWidth="1"/>
    <col min="3" max="3" width="55.125" style="75" customWidth="1"/>
    <col min="4" max="4" width="5.625" style="75" hidden="1" customWidth="1"/>
    <col min="5" max="6" width="5.125" style="75" customWidth="1"/>
    <col min="7" max="9" width="16.625" style="75" customWidth="1"/>
    <col min="10" max="10" width="1.5" style="71" customWidth="1"/>
    <col min="11" max="11" width="20.625" style="71" customWidth="1"/>
    <col min="12" max="12" width="1.625" style="71" customWidth="1"/>
    <col min="13" max="13" width="1.625" style="72" hidden="1" customWidth="1"/>
    <col min="14" max="15" width="11.625" style="71" hidden="1" customWidth="1"/>
    <col min="16" max="16" width="1.625" style="72" hidden="1" customWidth="1"/>
    <col min="17" max="19" width="0" style="75" hidden="1" customWidth="1"/>
    <col min="20" max="20" width="8" style="75" customWidth="1"/>
    <col min="21" max="21" width="4.125" style="75" customWidth="1"/>
    <col min="22" max="22" width="55.125" style="75" customWidth="1"/>
    <col min="23" max="23" width="5.625" style="75" hidden="1" customWidth="1"/>
    <col min="24" max="25" width="5.125" style="75" customWidth="1"/>
    <col min="26" max="27" width="16.625" style="75" customWidth="1"/>
    <col min="28" max="28" width="17.125" style="75" customWidth="1"/>
    <col min="29" max="29" width="2.25" style="75" customWidth="1"/>
    <col min="30" max="16384" width="8" style="75" hidden="1"/>
  </cols>
  <sheetData>
    <row r="1" spans="2:28" s="496" customFormat="1" ht="18.75">
      <c r="B1" s="67" t="s">
        <v>13500</v>
      </c>
      <c r="C1" s="67"/>
      <c r="D1" s="67"/>
      <c r="E1" s="67"/>
      <c r="F1" s="67"/>
      <c r="G1" s="67"/>
      <c r="H1" s="67"/>
      <c r="I1" s="69" t="str">
        <f>Validation!B3</f>
        <v>South West Water – South West area</v>
      </c>
      <c r="J1" s="67"/>
      <c r="K1" s="70" t="s">
        <v>2394</v>
      </c>
      <c r="L1" s="71"/>
      <c r="M1" s="72"/>
      <c r="N1" s="71"/>
      <c r="O1" s="71"/>
      <c r="P1" s="72"/>
      <c r="U1" s="67" t="s">
        <v>6671</v>
      </c>
      <c r="V1" s="67"/>
      <c r="W1" s="67"/>
      <c r="X1" s="67"/>
      <c r="Y1" s="67"/>
      <c r="Z1" s="67"/>
      <c r="AA1" s="69"/>
      <c r="AB1" s="69"/>
    </row>
    <row r="2" spans="2:28" ht="15" customHeight="1" thickBot="1">
      <c r="B2" s="74" t="s">
        <v>12524</v>
      </c>
      <c r="C2" s="265"/>
      <c r="D2" s="265"/>
      <c r="U2" s="74" t="str">
        <f>+B2</f>
        <v>For the 12 months ended 31 March 2019</v>
      </c>
      <c r="V2" s="265"/>
      <c r="W2" s="265"/>
    </row>
    <row r="3" spans="2:28" ht="15" thickBot="1">
      <c r="B3" s="3312" t="s">
        <v>2395</v>
      </c>
      <c r="C3" s="3313"/>
      <c r="D3" s="2512" t="s">
        <v>6496</v>
      </c>
      <c r="E3" s="391" t="s">
        <v>2396</v>
      </c>
      <c r="F3" s="392" t="s">
        <v>2397</v>
      </c>
      <c r="G3" s="306" t="s">
        <v>40</v>
      </c>
      <c r="H3" s="318" t="s">
        <v>214</v>
      </c>
      <c r="I3" s="319" t="s">
        <v>2554</v>
      </c>
      <c r="K3" s="2511" t="s">
        <v>1361</v>
      </c>
      <c r="N3" s="3215" t="s">
        <v>2404</v>
      </c>
      <c r="O3" s="3215"/>
      <c r="U3" s="3312" t="s">
        <v>2395</v>
      </c>
      <c r="V3" s="3313"/>
      <c r="W3" s="2737" t="s">
        <v>6496</v>
      </c>
      <c r="X3" s="391" t="s">
        <v>2396</v>
      </c>
      <c r="Y3" s="392" t="s">
        <v>2397</v>
      </c>
      <c r="Z3" s="306" t="s">
        <v>40</v>
      </c>
      <c r="AA3" s="318" t="s">
        <v>214</v>
      </c>
      <c r="AB3" s="318" t="s">
        <v>2554</v>
      </c>
    </row>
    <row r="4" spans="2:28" ht="15" thickBot="1">
      <c r="C4" s="343"/>
      <c r="D4" s="343"/>
      <c r="V4" s="343"/>
      <c r="W4" s="343"/>
    </row>
    <row r="5" spans="2:28" ht="15" thickBot="1">
      <c r="B5" s="2513" t="s">
        <v>2449</v>
      </c>
      <c r="C5" s="88" t="s">
        <v>12586</v>
      </c>
      <c r="D5" s="1584"/>
      <c r="E5" s="270"/>
      <c r="F5" s="270"/>
      <c r="I5" s="270"/>
      <c r="N5" s="171" t="s">
        <v>2405</v>
      </c>
      <c r="O5" s="132"/>
      <c r="U5" s="2741" t="s">
        <v>2449</v>
      </c>
      <c r="V5" s="88" t="s">
        <v>12586</v>
      </c>
      <c r="W5" s="1584"/>
      <c r="X5" s="270"/>
      <c r="Y5" s="270"/>
      <c r="AA5" s="270"/>
    </row>
    <row r="6" spans="2:28" ht="15" customHeight="1">
      <c r="B6" s="298" t="s">
        <v>12591</v>
      </c>
      <c r="C6" s="281" t="s">
        <v>12587</v>
      </c>
      <c r="D6" s="281"/>
      <c r="E6" s="311" t="s">
        <v>750</v>
      </c>
      <c r="F6" s="283">
        <v>3</v>
      </c>
      <c r="G6" s="2524">
        <f>'2E'!J8</f>
        <v>0</v>
      </c>
      <c r="H6" s="2525">
        <f>'2E'!J19</f>
        <v>0</v>
      </c>
      <c r="I6" s="345">
        <f>H6+G6</f>
        <v>0</v>
      </c>
      <c r="K6" s="24"/>
      <c r="N6" s="288"/>
      <c r="O6" s="115"/>
      <c r="U6" s="298" t="s">
        <v>12591</v>
      </c>
      <c r="V6" s="281" t="s">
        <v>12587</v>
      </c>
      <c r="W6" s="281"/>
      <c r="X6" s="311" t="s">
        <v>750</v>
      </c>
      <c r="Y6" s="283">
        <v>3</v>
      </c>
      <c r="Z6" s="2524" t="str">
        <f>'2E'!AI8</f>
        <v>BC11270</v>
      </c>
      <c r="AA6" s="2526" t="str">
        <f>'2E'!$AI$19</f>
        <v>BC11370</v>
      </c>
      <c r="AB6" s="345" t="s">
        <v>13155</v>
      </c>
    </row>
    <row r="7" spans="2:28" ht="15" customHeight="1">
      <c r="B7" s="299" t="s">
        <v>12592</v>
      </c>
      <c r="C7" s="285" t="s">
        <v>12588</v>
      </c>
      <c r="D7" s="285"/>
      <c r="E7" s="312" t="s">
        <v>750</v>
      </c>
      <c r="F7" s="287">
        <v>3</v>
      </c>
      <c r="G7" s="450"/>
      <c r="H7" s="2083"/>
      <c r="I7" s="346">
        <f t="shared" ref="I7:I8" si="0">H7+G7</f>
        <v>0</v>
      </c>
      <c r="K7" s="24" t="str">
        <f xml:space="preserve"> IF( SUM( M7:P7 ) = 0, 0, N$5 )</f>
        <v>Please complete all cells in row</v>
      </c>
      <c r="N7" s="98">
        <f xml:space="preserve"> IF( ISNUMBER( G7 ), 0, 1 )</f>
        <v>1</v>
      </c>
      <c r="O7" s="98">
        <f xml:space="preserve"> IF( ISNUMBER( H7 ), 0, 1 )</f>
        <v>1</v>
      </c>
      <c r="U7" s="299" t="s">
        <v>12592</v>
      </c>
      <c r="V7" s="285" t="s">
        <v>12588</v>
      </c>
      <c r="W7" s="285"/>
      <c r="X7" s="312" t="s">
        <v>750</v>
      </c>
      <c r="Y7" s="287">
        <v>3</v>
      </c>
      <c r="Z7" s="2531" t="s">
        <v>13034</v>
      </c>
      <c r="AA7" s="2592" t="s">
        <v>13035</v>
      </c>
      <c r="AB7" s="346" t="s">
        <v>13156</v>
      </c>
    </row>
    <row r="8" spans="2:28" ht="15" thickBot="1">
      <c r="B8" s="300" t="s">
        <v>12593</v>
      </c>
      <c r="C8" s="290" t="s">
        <v>12589</v>
      </c>
      <c r="D8" s="290"/>
      <c r="E8" s="291" t="s">
        <v>750</v>
      </c>
      <c r="F8" s="292">
        <v>3</v>
      </c>
      <c r="G8" s="2169">
        <f>SUM(G6:G7)</f>
        <v>0</v>
      </c>
      <c r="H8" s="348">
        <f>SUM(H6:H7)</f>
        <v>0</v>
      </c>
      <c r="I8" s="349">
        <f t="shared" si="0"/>
        <v>0</v>
      </c>
      <c r="K8" s="114"/>
      <c r="N8" s="288"/>
      <c r="O8" s="115"/>
      <c r="U8" s="300" t="s">
        <v>12593</v>
      </c>
      <c r="V8" s="290" t="s">
        <v>12589</v>
      </c>
      <c r="W8" s="290"/>
      <c r="X8" s="291" t="s">
        <v>750</v>
      </c>
      <c r="Y8" s="292">
        <v>3</v>
      </c>
      <c r="Z8" s="347" t="s">
        <v>13036</v>
      </c>
      <c r="AA8" s="349" t="s">
        <v>13037</v>
      </c>
      <c r="AB8" s="349" t="s">
        <v>13157</v>
      </c>
    </row>
    <row r="9" spans="2:28" ht="15" thickBot="1">
      <c r="B9" s="350"/>
      <c r="C9" s="275"/>
      <c r="D9" s="275"/>
      <c r="E9" s="277"/>
      <c r="F9" s="277"/>
      <c r="G9" s="351"/>
      <c r="H9" s="351"/>
      <c r="I9" s="351"/>
      <c r="K9" s="114"/>
      <c r="N9" s="288"/>
      <c r="O9" s="115"/>
      <c r="U9" s="350"/>
      <c r="V9" s="275"/>
      <c r="W9" s="275"/>
      <c r="X9" s="277"/>
      <c r="Y9" s="277"/>
      <c r="Z9" s="351"/>
      <c r="AA9" s="351"/>
      <c r="AB9" s="351"/>
    </row>
    <row r="10" spans="2:28" ht="15" thickBot="1">
      <c r="B10" s="2513" t="s">
        <v>2458</v>
      </c>
      <c r="C10" s="119" t="s">
        <v>12590</v>
      </c>
      <c r="D10" s="1584"/>
      <c r="E10" s="310"/>
      <c r="F10" s="310"/>
      <c r="G10" s="278"/>
      <c r="H10" s="278"/>
      <c r="I10" s="278"/>
      <c r="K10" s="114"/>
      <c r="N10" s="288"/>
      <c r="O10" s="115"/>
      <c r="U10" s="2741" t="s">
        <v>2458</v>
      </c>
      <c r="V10" s="119" t="s">
        <v>12590</v>
      </c>
      <c r="W10" s="1584"/>
      <c r="X10" s="310"/>
      <c r="Y10" s="310"/>
      <c r="Z10" s="278"/>
      <c r="AA10" s="278"/>
      <c r="AB10" s="278"/>
    </row>
    <row r="11" spans="2:28" ht="15" customHeight="1" thickBot="1">
      <c r="B11" s="298" t="s">
        <v>12594</v>
      </c>
      <c r="C11" s="281" t="s">
        <v>12598</v>
      </c>
      <c r="D11" s="281"/>
      <c r="E11" s="311" t="s">
        <v>750</v>
      </c>
      <c r="F11" s="283">
        <v>3</v>
      </c>
      <c r="G11" s="278"/>
      <c r="H11" s="278"/>
      <c r="I11" s="452">
        <v>0</v>
      </c>
      <c r="K11" s="24">
        <f xml:space="preserve"> IF( SUM( M11:P11 ) = 0, 0, N$5 )</f>
        <v>0</v>
      </c>
      <c r="N11" s="288"/>
      <c r="O11" s="98">
        <f xml:space="preserve"> IF( ISNUMBER( I11 ), 0, 1 )</f>
        <v>0</v>
      </c>
      <c r="U11" s="298" t="s">
        <v>12594</v>
      </c>
      <c r="V11" s="281" t="s">
        <v>12598</v>
      </c>
      <c r="W11" s="281"/>
      <c r="X11" s="311" t="s">
        <v>750</v>
      </c>
      <c r="Y11" s="283">
        <v>3</v>
      </c>
      <c r="Z11" s="278"/>
      <c r="AA11" s="278"/>
      <c r="AB11" s="2593" t="s">
        <v>13158</v>
      </c>
    </row>
    <row r="12" spans="2:28">
      <c r="B12" s="299" t="s">
        <v>12595</v>
      </c>
      <c r="C12" s="285" t="s">
        <v>2406</v>
      </c>
      <c r="D12" s="285"/>
      <c r="E12" s="312" t="s">
        <v>750</v>
      </c>
      <c r="F12" s="287">
        <v>3</v>
      </c>
      <c r="G12" s="2524">
        <f>G8</f>
        <v>0</v>
      </c>
      <c r="H12" s="2525">
        <f>H8</f>
        <v>0</v>
      </c>
      <c r="I12" s="346">
        <f t="shared" ref="I12:I14" si="1">H12+G12</f>
        <v>0</v>
      </c>
      <c r="K12" s="24"/>
      <c r="N12" s="288"/>
      <c r="O12" s="115"/>
      <c r="U12" s="299" t="s">
        <v>12595</v>
      </c>
      <c r="V12" s="285" t="s">
        <v>2406</v>
      </c>
      <c r="W12" s="285"/>
      <c r="X12" s="312" t="s">
        <v>750</v>
      </c>
      <c r="Y12" s="287">
        <v>3</v>
      </c>
      <c r="Z12" s="2524" t="str">
        <f>Z8</f>
        <v>BC11270GROSS</v>
      </c>
      <c r="AA12" s="2526" t="str">
        <f>AA8</f>
        <v>BC11370GROSS</v>
      </c>
      <c r="AB12" s="346" t="str">
        <f>+AB8</f>
        <v>BC11470GROSS</v>
      </c>
    </row>
    <row r="13" spans="2:28">
      <c r="B13" s="299" t="s">
        <v>12596</v>
      </c>
      <c r="C13" s="285" t="s">
        <v>12599</v>
      </c>
      <c r="D13" s="285"/>
      <c r="E13" s="312" t="s">
        <v>750</v>
      </c>
      <c r="F13" s="287">
        <v>3</v>
      </c>
      <c r="G13" s="361">
        <f>-'2J'!G9</f>
        <v>0</v>
      </c>
      <c r="H13" s="2532">
        <f>-'2J'!G16</f>
        <v>0</v>
      </c>
      <c r="I13" s="346">
        <f t="shared" si="1"/>
        <v>0</v>
      </c>
      <c r="K13" s="24"/>
      <c r="N13" s="288"/>
      <c r="O13" s="115"/>
      <c r="U13" s="299" t="s">
        <v>12596</v>
      </c>
      <c r="V13" s="285" t="s">
        <v>12599</v>
      </c>
      <c r="W13" s="285"/>
      <c r="X13" s="312" t="s">
        <v>750</v>
      </c>
      <c r="Y13" s="287">
        <v>3</v>
      </c>
      <c r="Z13" s="361" t="s">
        <v>13525</v>
      </c>
      <c r="AA13" s="346" t="s">
        <v>13526</v>
      </c>
      <c r="AB13" s="346" t="s">
        <v>13160</v>
      </c>
    </row>
    <row r="14" spans="2:28" ht="15" thickBot="1">
      <c r="B14" s="300" t="s">
        <v>12597</v>
      </c>
      <c r="C14" s="290" t="s">
        <v>12600</v>
      </c>
      <c r="D14" s="290"/>
      <c r="E14" s="291" t="s">
        <v>750</v>
      </c>
      <c r="F14" s="292">
        <v>3</v>
      </c>
      <c r="G14" s="2169">
        <f xml:space="preserve"> SUM(G11:G13)</f>
        <v>0</v>
      </c>
      <c r="H14" s="348">
        <f xml:space="preserve"> SUM(H11:H13)</f>
        <v>0</v>
      </c>
      <c r="I14" s="349">
        <f t="shared" si="1"/>
        <v>0</v>
      </c>
      <c r="K14" s="125"/>
      <c r="N14" s="288"/>
      <c r="O14" s="115"/>
      <c r="U14" s="300" t="s">
        <v>12597</v>
      </c>
      <c r="V14" s="290" t="s">
        <v>12600</v>
      </c>
      <c r="W14" s="290"/>
      <c r="X14" s="291" t="s">
        <v>750</v>
      </c>
      <c r="Y14" s="292">
        <v>3</v>
      </c>
      <c r="Z14" s="347" t="s">
        <v>13038</v>
      </c>
      <c r="AA14" s="349" t="s">
        <v>13039</v>
      </c>
      <c r="AB14" s="349" t="s">
        <v>13159</v>
      </c>
    </row>
    <row r="15" spans="2:28">
      <c r="B15" s="350"/>
      <c r="C15" s="350"/>
      <c r="D15" s="275"/>
      <c r="E15" s="277"/>
      <c r="F15" s="277"/>
      <c r="G15" s="351"/>
      <c r="H15" s="351"/>
      <c r="I15" s="351"/>
      <c r="K15" s="125"/>
      <c r="N15" s="288"/>
      <c r="O15" s="115"/>
      <c r="U15" s="350"/>
      <c r="V15" s="275"/>
      <c r="W15" s="275"/>
      <c r="X15" s="277"/>
      <c r="Y15" s="277"/>
      <c r="Z15" s="351"/>
      <c r="AA15" s="351"/>
    </row>
    <row r="16" spans="2:28" s="170" customFormat="1">
      <c r="B16" s="3220" t="s">
        <v>2420</v>
      </c>
      <c r="C16" s="3220"/>
      <c r="D16" s="2510"/>
      <c r="J16" s="363"/>
      <c r="K16" s="125"/>
      <c r="L16" s="123"/>
      <c r="M16" s="129"/>
      <c r="N16" s="288"/>
      <c r="O16" s="125"/>
      <c r="P16" s="129"/>
    </row>
    <row r="17" spans="1:16" s="170" customFormat="1">
      <c r="B17" s="146"/>
      <c r="C17" s="147"/>
      <c r="D17" s="147"/>
      <c r="J17" s="363"/>
      <c r="K17" s="125"/>
      <c r="L17" s="123"/>
      <c r="M17" s="129"/>
      <c r="N17" s="288"/>
      <c r="O17" s="125"/>
      <c r="P17" s="129"/>
    </row>
    <row r="18" spans="1:16" s="170" customFormat="1">
      <c r="B18" s="1970"/>
      <c r="C18" s="148" t="s">
        <v>2421</v>
      </c>
      <c r="D18" s="148"/>
      <c r="J18" s="334"/>
      <c r="K18" s="71"/>
      <c r="L18" s="71"/>
      <c r="M18" s="72"/>
      <c r="N18" s="71"/>
      <c r="O18" s="71"/>
      <c r="P18" s="72"/>
    </row>
    <row r="19" spans="1:16" s="170" customFormat="1">
      <c r="B19" s="146"/>
      <c r="C19" s="147"/>
      <c r="D19" s="147"/>
      <c r="J19" s="333"/>
      <c r="K19" s="71"/>
      <c r="L19" s="71"/>
      <c r="M19" s="72"/>
      <c r="N19" s="71"/>
      <c r="O19" s="71"/>
      <c r="P19" s="72"/>
    </row>
    <row r="20" spans="1:16" s="170" customFormat="1">
      <c r="B20" s="149"/>
      <c r="C20" s="148" t="s">
        <v>2422</v>
      </c>
      <c r="D20" s="148"/>
      <c r="J20" s="334"/>
      <c r="K20" s="71"/>
      <c r="L20" s="71"/>
      <c r="M20" s="72"/>
      <c r="N20" s="71"/>
      <c r="O20" s="71"/>
      <c r="P20" s="72"/>
    </row>
    <row r="21" spans="1:16" s="170" customFormat="1">
      <c r="B21" s="150"/>
      <c r="C21" s="148"/>
      <c r="D21" s="148"/>
      <c r="J21" s="334"/>
      <c r="K21" s="71"/>
      <c r="L21" s="71"/>
      <c r="M21" s="72"/>
      <c r="N21" s="71"/>
      <c r="O21" s="71"/>
      <c r="P21" s="72"/>
    </row>
    <row r="22" spans="1:16" s="170" customFormat="1">
      <c r="B22" s="2527"/>
      <c r="C22" s="186" t="s">
        <v>13522</v>
      </c>
      <c r="D22" s="148"/>
      <c r="J22" s="334"/>
      <c r="K22" s="71"/>
      <c r="L22" s="71"/>
      <c r="M22" s="72"/>
      <c r="N22" s="71"/>
      <c r="O22" s="71"/>
      <c r="P22" s="72"/>
    </row>
    <row r="23" spans="1:16" s="185" customFormat="1" ht="15" thickBot="1">
      <c r="C23" s="186"/>
      <c r="D23" s="186"/>
      <c r="J23" s="334"/>
      <c r="K23" s="71"/>
      <c r="L23" s="71"/>
      <c r="M23" s="72"/>
      <c r="N23" s="71"/>
      <c r="O23" s="71"/>
      <c r="P23" s="72"/>
    </row>
    <row r="24" spans="1:16" s="185" customFormat="1" ht="15" thickBot="1">
      <c r="B24" s="2514" t="s">
        <v>12572</v>
      </c>
      <c r="C24" s="152"/>
      <c r="D24" s="152"/>
      <c r="E24" s="153"/>
      <c r="F24" s="153"/>
      <c r="G24" s="153"/>
      <c r="H24" s="153"/>
      <c r="I24" s="259"/>
      <c r="J24" s="334"/>
      <c r="K24" s="71"/>
      <c r="L24" s="71"/>
      <c r="M24" s="72"/>
      <c r="N24" s="71"/>
      <c r="O24" s="71"/>
      <c r="P24" s="72"/>
    </row>
    <row r="25" spans="1:16" s="185" customFormat="1">
      <c r="C25" s="186"/>
      <c r="D25" s="186"/>
      <c r="J25" s="334"/>
      <c r="K25" s="71"/>
      <c r="L25" s="71"/>
      <c r="M25" s="72"/>
      <c r="N25" s="71"/>
      <c r="O25" s="71"/>
      <c r="P25" s="72"/>
    </row>
    <row r="26" spans="1:16" s="115" customFormat="1" ht="15" hidden="1" thickBot="1">
      <c r="A26" s="1643"/>
      <c r="B26" s="151" t="str">
        <f ca="1" xml:space="preserve"> RIGHT(CELL("filename", $A$1), LEN(CELL("filename", $A$1)) - SEARCH("]", CELL("filename", $A$1)))&amp;" - Line definitions"</f>
        <v>2K - Line definitions</v>
      </c>
      <c r="C26" s="152"/>
      <c r="D26" s="152"/>
      <c r="E26" s="153"/>
      <c r="F26" s="153"/>
      <c r="G26" s="153"/>
      <c r="H26" s="153"/>
      <c r="I26" s="259"/>
      <c r="L26" s="71"/>
      <c r="M26" s="72"/>
      <c r="N26" s="71"/>
      <c r="O26" s="71"/>
      <c r="P26" s="72"/>
    </row>
    <row r="27" spans="1:16" s="115" customFormat="1" ht="15" hidden="1" thickBot="1">
      <c r="A27" s="1643"/>
      <c r="B27" s="75"/>
      <c r="C27" s="160"/>
      <c r="D27" s="160"/>
      <c r="E27" s="75"/>
      <c r="F27" s="75"/>
      <c r="G27" s="75"/>
      <c r="H27" s="75"/>
      <c r="L27" s="71"/>
      <c r="M27" s="72"/>
      <c r="N27" s="71"/>
      <c r="O27" s="71"/>
      <c r="P27" s="72"/>
    </row>
    <row r="28" spans="1:16" s="185" customFormat="1" ht="15" hidden="1" thickBot="1">
      <c r="A28" s="1644"/>
      <c r="B28" s="295" t="s">
        <v>2423</v>
      </c>
      <c r="C28" s="3314" t="s">
        <v>2424</v>
      </c>
      <c r="D28" s="3315"/>
      <c r="E28" s="3315"/>
      <c r="F28" s="3315"/>
      <c r="G28" s="3315"/>
      <c r="H28" s="3315"/>
      <c r="I28" s="3316"/>
      <c r="J28" s="115"/>
      <c r="K28" s="115"/>
      <c r="L28" s="71"/>
      <c r="M28" s="72"/>
      <c r="N28" s="90" t="s">
        <v>2425</v>
      </c>
      <c r="O28" s="71"/>
      <c r="P28" s="72"/>
    </row>
    <row r="29" spans="1:16" s="115" customFormat="1" ht="13.5" hidden="1" customHeight="1">
      <c r="A29" s="1643"/>
      <c r="B29" s="188" t="s">
        <v>12591</v>
      </c>
      <c r="C29" s="3271" t="s">
        <v>12982</v>
      </c>
      <c r="D29" s="3272"/>
      <c r="E29" s="3272"/>
      <c r="F29" s="3272"/>
      <c r="G29" s="3272"/>
      <c r="H29" s="3272"/>
      <c r="I29" s="3273"/>
      <c r="L29" s="71"/>
      <c r="M29" s="72"/>
      <c r="N29" s="210">
        <v>1</v>
      </c>
      <c r="O29" s="71"/>
      <c r="P29" s="72"/>
    </row>
    <row r="30" spans="1:16" s="115" customFormat="1" ht="15" hidden="1" customHeight="1">
      <c r="A30" s="1643"/>
      <c r="B30" s="166" t="s">
        <v>12592</v>
      </c>
      <c r="C30" s="3268" t="s">
        <v>12916</v>
      </c>
      <c r="D30" s="3269"/>
      <c r="E30" s="3269"/>
      <c r="F30" s="3269"/>
      <c r="G30" s="3269"/>
      <c r="H30" s="3269"/>
      <c r="I30" s="3270"/>
      <c r="L30" s="71"/>
      <c r="M30" s="72"/>
      <c r="N30" s="210" t="s">
        <v>2428</v>
      </c>
      <c r="O30" s="71"/>
      <c r="P30" s="72"/>
    </row>
    <row r="31" spans="1:16" s="115" customFormat="1" ht="14.25" hidden="1" customHeight="1">
      <c r="A31" s="1643"/>
      <c r="B31" s="166" t="s">
        <v>12593</v>
      </c>
      <c r="C31" s="3268" t="s">
        <v>12917</v>
      </c>
      <c r="D31" s="3269"/>
      <c r="E31" s="3269"/>
      <c r="F31" s="3269"/>
      <c r="G31" s="3269"/>
      <c r="H31" s="3269"/>
      <c r="I31" s="3270"/>
      <c r="L31" s="71"/>
      <c r="M31" s="72"/>
      <c r="N31" s="210">
        <v>1</v>
      </c>
      <c r="O31" s="71"/>
      <c r="P31" s="72"/>
    </row>
    <row r="32" spans="1:16" s="115" customFormat="1" ht="14.25" hidden="1" customHeight="1">
      <c r="A32" s="1643"/>
      <c r="B32" s="166" t="s">
        <v>12594</v>
      </c>
      <c r="C32" s="3268" t="s">
        <v>13501</v>
      </c>
      <c r="D32" s="3269"/>
      <c r="E32" s="3269"/>
      <c r="F32" s="3269"/>
      <c r="G32" s="3269"/>
      <c r="H32" s="3269"/>
      <c r="I32" s="3270"/>
      <c r="L32" s="71"/>
      <c r="M32" s="72"/>
      <c r="N32" s="210">
        <v>1</v>
      </c>
      <c r="O32" s="71"/>
      <c r="P32" s="72"/>
    </row>
    <row r="33" spans="1:16" s="115" customFormat="1" ht="27" hidden="1" customHeight="1">
      <c r="A33" s="1643"/>
      <c r="B33" s="166" t="s">
        <v>12595</v>
      </c>
      <c r="C33" s="3268" t="s">
        <v>12983</v>
      </c>
      <c r="D33" s="3269"/>
      <c r="E33" s="3269"/>
      <c r="F33" s="3269"/>
      <c r="G33" s="3269"/>
      <c r="H33" s="3269"/>
      <c r="I33" s="3270"/>
      <c r="L33" s="71"/>
      <c r="M33" s="72"/>
      <c r="N33" s="210">
        <v>1</v>
      </c>
      <c r="O33" s="71"/>
      <c r="P33" s="72"/>
    </row>
    <row r="34" spans="1:16" s="115" customFormat="1" ht="25.5" hidden="1" customHeight="1">
      <c r="A34" s="1643"/>
      <c r="B34" s="166" t="s">
        <v>12596</v>
      </c>
      <c r="C34" s="3268" t="s">
        <v>13527</v>
      </c>
      <c r="D34" s="3269"/>
      <c r="E34" s="3269"/>
      <c r="F34" s="3269"/>
      <c r="G34" s="3269"/>
      <c r="H34" s="3269"/>
      <c r="I34" s="3270"/>
      <c r="L34" s="71"/>
      <c r="M34" s="72"/>
      <c r="N34" s="210">
        <v>1</v>
      </c>
      <c r="O34" s="71"/>
      <c r="P34" s="72"/>
    </row>
    <row r="35" spans="1:16" ht="15" hidden="1" customHeight="1" thickBot="1">
      <c r="A35" s="1647"/>
      <c r="B35" s="190" t="s">
        <v>12597</v>
      </c>
      <c r="C35" s="3274" t="s">
        <v>12984</v>
      </c>
      <c r="D35" s="3275"/>
      <c r="E35" s="3275"/>
      <c r="F35" s="3275"/>
      <c r="G35" s="3275"/>
      <c r="H35" s="3275"/>
      <c r="I35" s="3276"/>
      <c r="N35" s="210">
        <v>1</v>
      </c>
    </row>
    <row r="36" spans="1:16" hidden="1">
      <c r="A36" s="1647"/>
    </row>
  </sheetData>
  <mergeCells count="12">
    <mergeCell ref="C29:I29"/>
    <mergeCell ref="B3:C3"/>
    <mergeCell ref="N3:O3"/>
    <mergeCell ref="U3:V3"/>
    <mergeCell ref="B16:C16"/>
    <mergeCell ref="C28:I28"/>
    <mergeCell ref="C35:I35"/>
    <mergeCell ref="C30:I30"/>
    <mergeCell ref="C31:I31"/>
    <mergeCell ref="C32:I32"/>
    <mergeCell ref="C33:I33"/>
    <mergeCell ref="C34:I34"/>
  </mergeCells>
  <conditionalFormatting sqref="K6:K7 K9:K15">
    <cfRule type="cellIs" dxfId="2732" priority="6" operator="equal">
      <formula>0</formula>
    </cfRule>
  </conditionalFormatting>
  <conditionalFormatting sqref="K8:K10">
    <cfRule type="cellIs" dxfId="2731"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4.xml><?xml version="1.0" encoding="utf-8"?>
<worksheet xmlns="http://schemas.openxmlformats.org/spreadsheetml/2006/main" xmlns:r="http://schemas.openxmlformats.org/officeDocument/2006/relationships">
  <sheetPr codeName="Sheet20">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8">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5.xml><?xml version="1.0" encoding="utf-8"?>
<worksheet xmlns="http://schemas.openxmlformats.org/spreadsheetml/2006/main" xmlns:r="http://schemas.openxmlformats.org/officeDocument/2006/relationships">
  <sheetPr codeName="Sheet21">
    <tabColor rgb="FF00B0F0"/>
    <pageSetUpPr fitToPage="1"/>
  </sheetPr>
  <dimension ref="A1:AJ98"/>
  <sheetViews>
    <sheetView topLeftCell="A16" zoomScale="70" zoomScaleNormal="70" workbookViewId="0">
      <selection activeCell="D40" sqref="D40"/>
    </sheetView>
  </sheetViews>
  <sheetFormatPr defaultColWidth="0" defaultRowHeight="14.25" zeroHeight="1"/>
  <cols>
    <col min="1" max="1" width="0.625" style="86" customWidth="1"/>
    <col min="2" max="2" width="12.875" style="8" customWidth="1"/>
    <col min="3" max="3" width="19.5" style="8" customWidth="1"/>
    <col min="4" max="4" width="71.5" style="8" customWidth="1"/>
    <col min="5" max="5" width="8.625" style="8" customWidth="1"/>
    <col min="6" max="6" width="36.625" style="496" customWidth="1"/>
    <col min="7" max="7" width="8.625" style="496" customWidth="1"/>
    <col min="8" max="8" width="15.625" style="496" customWidth="1"/>
    <col min="9" max="9" width="15.625" style="751" customWidth="1"/>
    <col min="10" max="10" width="15.625" style="8" customWidth="1"/>
    <col min="11" max="11" width="27.5" style="8" customWidth="1"/>
    <col min="12" max="12" width="17.5" style="8" customWidth="1"/>
    <col min="13" max="13" width="27.5" style="8" customWidth="1"/>
    <col min="14" max="14" width="17.5" style="8" customWidth="1"/>
    <col min="15" max="15" width="28.125" style="8" customWidth="1"/>
    <col min="16" max="16" width="23.125" style="8" customWidth="1"/>
    <col min="17" max="17" width="2.625" style="71" customWidth="1"/>
    <col min="18" max="18" width="21.625" style="71" customWidth="1"/>
    <col min="19" max="19" width="19.625" style="71" customWidth="1"/>
    <col min="20" max="20" width="1.625" style="71" customWidth="1"/>
    <col min="21" max="21" width="1.625" style="72" hidden="1" customWidth="1"/>
    <col min="22" max="30" width="3.625" style="71" hidden="1" customWidth="1"/>
    <col min="31" max="31" width="1.625" style="72" hidden="1" customWidth="1"/>
    <col min="32" max="33" width="12.5" style="8" hidden="1" customWidth="1"/>
    <col min="34" max="34" width="1.625" style="529" hidden="1" customWidth="1"/>
    <col min="35" max="35" width="12.625" style="8" hidden="1" customWidth="1"/>
    <col min="36" max="36" width="25.75" style="2420" hidden="1" customWidth="1"/>
    <col min="37" max="16384" width="8.625" style="8" hidden="1"/>
  </cols>
  <sheetData>
    <row r="1" spans="1:36" s="76" customFormat="1" ht="22.5" customHeight="1">
      <c r="A1" s="169"/>
      <c r="B1" s="67" t="s">
        <v>2716</v>
      </c>
      <c r="C1" s="67"/>
      <c r="D1" s="67"/>
      <c r="E1" s="67"/>
      <c r="F1" s="69" t="str">
        <f>Validation!B3</f>
        <v>South West Water – South West area</v>
      </c>
      <c r="G1" s="67"/>
      <c r="H1" s="67"/>
      <c r="I1" s="747"/>
      <c r="J1" s="67"/>
      <c r="K1" s="67"/>
      <c r="L1" s="67"/>
      <c r="M1" s="67"/>
      <c r="N1" s="67"/>
      <c r="O1" s="69"/>
      <c r="P1" s="69" t="str">
        <f>Validation!B3</f>
        <v>South West Water – South West area</v>
      </c>
      <c r="Q1" s="67"/>
      <c r="R1" s="70"/>
      <c r="S1" s="70" t="s">
        <v>2394</v>
      </c>
      <c r="T1" s="71"/>
      <c r="U1" s="72"/>
      <c r="V1" s="314"/>
      <c r="W1" s="71"/>
      <c r="X1" s="71"/>
      <c r="Y1" s="71"/>
      <c r="Z1" s="71"/>
      <c r="AA1" s="71"/>
      <c r="AB1" s="71"/>
      <c r="AC1" s="71"/>
      <c r="AD1" s="71"/>
      <c r="AE1" s="72"/>
      <c r="AH1" s="524"/>
      <c r="AJ1" s="2415"/>
    </row>
    <row r="2" spans="1:36" s="76" customFormat="1" ht="16.5" customHeight="1" thickBot="1">
      <c r="A2" s="169"/>
      <c r="B2" s="74" t="s">
        <v>12524</v>
      </c>
      <c r="C2" s="315"/>
      <c r="D2" s="169"/>
      <c r="E2" s="169"/>
      <c r="F2" s="169"/>
      <c r="G2" s="169"/>
      <c r="H2" s="169"/>
      <c r="I2" s="748"/>
      <c r="J2" s="169"/>
      <c r="K2" s="169"/>
      <c r="L2" s="169"/>
      <c r="M2" s="169"/>
      <c r="N2" s="169"/>
      <c r="O2" s="169"/>
      <c r="P2" s="169"/>
      <c r="Q2" s="169"/>
      <c r="R2" s="169"/>
      <c r="S2" s="71"/>
      <c r="T2" s="71"/>
      <c r="U2" s="72"/>
      <c r="V2" s="77" t="s">
        <v>2404</v>
      </c>
      <c r="W2" s="79"/>
      <c r="X2" s="79"/>
      <c r="Y2" s="79"/>
      <c r="Z2" s="79"/>
      <c r="AA2" s="79"/>
      <c r="AB2" s="79"/>
      <c r="AC2" s="79"/>
      <c r="AD2" s="79"/>
      <c r="AE2" s="72"/>
      <c r="AF2" s="522" t="s">
        <v>3555</v>
      </c>
      <c r="AG2" s="522"/>
      <c r="AH2" s="524"/>
      <c r="AJ2" s="2415"/>
    </row>
    <row r="3" spans="1:36" s="321" customFormat="1" ht="108.75" customHeight="1" thickBot="1">
      <c r="A3" s="75"/>
      <c r="B3" s="306" t="s">
        <v>2717</v>
      </c>
      <c r="C3" s="316" t="s">
        <v>2</v>
      </c>
      <c r="D3" s="317" t="s">
        <v>9</v>
      </c>
      <c r="E3" s="318" t="s">
        <v>3346</v>
      </c>
      <c r="F3" s="318" t="s">
        <v>3734</v>
      </c>
      <c r="G3" s="318" t="s">
        <v>16</v>
      </c>
      <c r="H3" s="318" t="s">
        <v>12601</v>
      </c>
      <c r="I3" s="318" t="s">
        <v>12602</v>
      </c>
      <c r="J3" s="318" t="s">
        <v>13499</v>
      </c>
      <c r="K3" s="319" t="s">
        <v>13173</v>
      </c>
      <c r="L3" s="319" t="s">
        <v>13178</v>
      </c>
      <c r="M3" s="319" t="s">
        <v>13180</v>
      </c>
      <c r="N3" s="319" t="s">
        <v>13183</v>
      </c>
      <c r="O3" s="319" t="s">
        <v>13169</v>
      </c>
      <c r="P3" s="307" t="s">
        <v>13172</v>
      </c>
      <c r="Q3" s="71"/>
      <c r="R3" s="193" t="s">
        <v>3575</v>
      </c>
      <c r="S3" s="194" t="s">
        <v>1361</v>
      </c>
      <c r="T3" s="71"/>
      <c r="U3" s="72"/>
      <c r="V3" s="1440" t="s">
        <v>2405</v>
      </c>
      <c r="W3" s="1441"/>
      <c r="X3" s="1441"/>
      <c r="Y3" s="1441"/>
      <c r="Z3" s="1441"/>
      <c r="AA3" s="1441"/>
      <c r="AB3" s="1441"/>
      <c r="AC3" s="1441"/>
      <c r="AD3" s="1441"/>
      <c r="AE3" s="72"/>
      <c r="AF3" s="531" t="s">
        <v>6142</v>
      </c>
      <c r="AG3" s="531" t="s">
        <v>13185</v>
      </c>
      <c r="AH3" s="525"/>
      <c r="AJ3" s="2416"/>
    </row>
    <row r="4" spans="1:36" s="321" customFormat="1" ht="15" customHeight="1" thickBot="1">
      <c r="A4" s="75"/>
      <c r="B4" s="75"/>
      <c r="C4" s="75"/>
      <c r="D4" s="75"/>
      <c r="E4" s="75"/>
      <c r="F4" s="75"/>
      <c r="G4" s="75"/>
      <c r="H4" s="75"/>
      <c r="I4" s="173"/>
      <c r="J4" s="75"/>
      <c r="K4" s="75"/>
      <c r="L4" s="75"/>
      <c r="M4" s="75"/>
      <c r="N4" s="75"/>
      <c r="O4" s="75"/>
      <c r="P4" s="75"/>
      <c r="Q4" s="75"/>
      <c r="R4" s="75"/>
      <c r="S4" s="75"/>
      <c r="T4" s="71"/>
      <c r="U4" s="72"/>
      <c r="V4" s="322" t="s">
        <v>2718</v>
      </c>
      <c r="W4" s="323" t="s">
        <v>2719</v>
      </c>
      <c r="X4" s="323" t="s">
        <v>2720</v>
      </c>
      <c r="Y4" s="323" t="s">
        <v>2721</v>
      </c>
      <c r="Z4" s="323" t="s">
        <v>2722</v>
      </c>
      <c r="AA4" s="323" t="s">
        <v>2723</v>
      </c>
      <c r="AB4" s="323" t="s">
        <v>2724</v>
      </c>
      <c r="AC4" s="323" t="s">
        <v>2725</v>
      </c>
      <c r="AD4" s="323" t="s">
        <v>2726</v>
      </c>
      <c r="AE4" s="72"/>
      <c r="AH4" s="525"/>
      <c r="AJ4" s="2416"/>
    </row>
    <row r="5" spans="1:36" s="321" customFormat="1" ht="30" customHeight="1">
      <c r="A5" s="75"/>
      <c r="B5" s="298">
        <v>1</v>
      </c>
      <c r="C5" s="324" t="str">
        <f>IF($P$1="Select company","",IF((HLOOKUP((VLOOKUP($P$1,Lists!$B$4:$C$26,2,FALSE)),'PC list edited'!$A$2:$EJ$65,(B5+1),FALSE))=0,"",HLOOKUP((VLOOKUP($P$1,Lists!$B$4:$C$26,2,FALSE)),'PC list edited'!$A$2:$EJ$65,(B5+1),FALSE)))</f>
        <v>PR14SWTWSW_W-A1</v>
      </c>
      <c r="D5" s="325" t="str">
        <f>IF($P$1="Select company","",IF(C5 ="","",HLOOKUP(((VLOOKUP($P$1,Lists!$B$4:$C$26,2,FALSE))&amp;"PC"),'PC list edited'!$A$2:$EJ$65,(B5+1),FALSE)))</f>
        <v>W-A1: Compliance with water quality standard</v>
      </c>
      <c r="E5" s="326" t="str">
        <f>IF($P$1="Select company","",IF(C5 ="","",HLOOKUP(((VLOOKUP($P$1,Lists!$B$4:$C$26,2,FALSE))&amp;"unit"),'PC list edited'!$A$2:$EJ$65,(B5+1),FALSE)))</f>
        <v>%</v>
      </c>
      <c r="F5" s="326" t="str">
        <f>IF($P$1="Select company","",IF(C5 ="","",HLOOKUP(((VLOOKUP($P$1,Lists!$B$4:$C$26,2,FALSE))&amp;"UnitDes"),'PC list edited'!$A$2:$EJ$65,(B5+1),FALSE)))</f>
        <v>Mean zonal compliance (%)</v>
      </c>
      <c r="G5" s="532">
        <f>IF($P$1="Select company","",IF(C5="","",HLOOKUP(((VLOOKUP($P$1,Lists!$B$4:$C$26,2,FALSE))&amp;"DP"),'PC list edited'!$A$2:$EJ$65,(B5+1),FALSE)))</f>
        <v>2</v>
      </c>
      <c r="H5" s="532">
        <f>IF($P$1="Select company","",IF(C5 = "","",HLOOKUP(((VLOOKUP($P$1,Lists!$B$4:$C$26,2,FALSE))&amp;"201718Actual"),'PC list edited'!$A$2:$EJ$65,(B5+1),FALSE)))</f>
        <v>99.96</v>
      </c>
      <c r="I5" s="569">
        <f>'[1]3A'!J5</f>
        <v>99.99</v>
      </c>
      <c r="J5" s="569" t="str">
        <f>'[1]3A'!K5</f>
        <v>Yes</v>
      </c>
      <c r="K5" s="569" t="s">
        <v>497</v>
      </c>
      <c r="L5" s="569" t="s">
        <v>497</v>
      </c>
      <c r="M5" s="569" t="s">
        <v>497</v>
      </c>
      <c r="N5" s="569" t="s">
        <v>497</v>
      </c>
      <c r="O5" s="569" t="s">
        <v>497</v>
      </c>
      <c r="P5" s="3178" t="s">
        <v>497</v>
      </c>
      <c r="Q5" s="71"/>
      <c r="R5" s="521">
        <f>IF(AF5=1, $AF$3, IF(AG5=1, $AG$3, 0))</f>
        <v>0</v>
      </c>
      <c r="S5" s="24" t="str">
        <f xml:space="preserve"> IF( SUM( U5:AE5 ) = 0, 0, $V$3 )</f>
        <v>Please complete all cells in row</v>
      </c>
      <c r="T5" s="71"/>
      <c r="U5" s="72"/>
      <c r="V5" s="98">
        <f>IF($C5="",0,IF(ISBLANK(I5)=FALSE,0,1))</f>
        <v>0</v>
      </c>
      <c r="W5" s="98">
        <f>IF($C5="",0,IF(ISBLANK(#REF!)=FALSE,0,1))</f>
        <v>0</v>
      </c>
      <c r="X5" s="98">
        <f t="shared" ref="X5:X49" si="0">IF($C5="",0,IF(ISBLANK(J5)=FALSE,0,1))</f>
        <v>0</v>
      </c>
      <c r="Y5" s="98">
        <f>IF(OR(ISBLANK(L5), L5=0), 0, IF(OR(K5=Lists!$F$11, K5=Lists!$F$13), 0, 1))</f>
        <v>1</v>
      </c>
      <c r="Z5" s="98">
        <f>IF(OR($C5="", AND(NOT(K5=Lists!$F$11), NOT(K5=Lists!$F$13))),0,IF(ISBLANK(L5)=FALSE,0,1))</f>
        <v>0</v>
      </c>
      <c r="AA5" s="98">
        <f>IF(OR(ISBLANK(N5), N5=0), 0, IF(OR(M5=Lists!$F$11, M5=Lists!$F$13), 0, 1))</f>
        <v>1</v>
      </c>
      <c r="AB5" s="98">
        <f>IF(OR($C5="", AND(NOT(M5=Lists!$F$11), NOT(M5=Lists!$F$13))),0,IF(ISBLANK(N5)=FALSE,0,1))</f>
        <v>0</v>
      </c>
      <c r="AC5" s="98">
        <f>IF(OR(ISBLANK(P5), P5=0), 0, IF(OR(O5=Lists!$F$11, O5=Lists!$F$13), 0, 1))</f>
        <v>1</v>
      </c>
      <c r="AD5" s="98">
        <f>IF(OR($C5="", AND(NOT(O5=Lists!$F$11), NOT(O5=Lists!$F$13))),0,IF(ISBLANK(P5)=FALSE,0,1))</f>
        <v>0</v>
      </c>
      <c r="AE5" s="72"/>
      <c r="AF5" s="523">
        <f xml:space="preserve"> IF(OR( AND( K5 = Lists!$F$11, '3A - SWT'!L5 &lt; 0), AND( '3A - SWT'!M5 = Lists!$F$11, '3A - SWT'!N5 &lt; 0), AND( '3A - SWT'!O5 = Lists!$F$11, '3A - SWT'!P5 &lt; 0)), 1, 0)</f>
        <v>0</v>
      </c>
      <c r="AG5" s="523">
        <f xml:space="preserve"> IF( OR( AND( K5 = Lists!$F$13, '3A - SWT'!L5 &gt; 0), AND( M5 = Lists!$F$13, '3A - SWT'!N5 &gt; 0), AND( O5 = Lists!$F$13, '3A - SWT'!P5 &gt; 0 )), 1, 0)</f>
        <v>0</v>
      </c>
      <c r="AH5" s="525"/>
      <c r="AI5" s="701" t="str">
        <f>IF($P$1="Select company","",IF((HLOOKUP(((VLOOKUP($P$1,Lists!$B$4:$C$26,2,FALSE))&amp;'PC LIST'!$J$2),'PC list edited'!$A$2:$EJ$65,(B5+1),FALSE))=0,"",HLOOKUP(((VLOOKUP($P$1,Lists!$B$4:$C$26,2,FALSE))&amp; 'PC LIST'!$J$2),'PC list edited'!$A$2:$EJ$65,(B5+1),FALSE)))</f>
        <v>Under</v>
      </c>
      <c r="AJ5" s="2417" t="str">
        <f>IFERROR(INDEX('PC LIST'!N$3:N$631, MATCH($C5, 'PC LIST'!$B$3:$B$631, 0)),"")</f>
        <v>Water quality compliance</v>
      </c>
    </row>
    <row r="6" spans="1:36" s="321" customFormat="1" ht="30" customHeight="1">
      <c r="A6" s="75"/>
      <c r="B6" s="299">
        <f xml:space="preserve"> B5 + 1</f>
        <v>2</v>
      </c>
      <c r="C6" s="514" t="str">
        <f>IF($P$1="Select company","",IF((HLOOKUP((VLOOKUP($P$1,Lists!$B$4:$C$26,2,FALSE)),'PC list edited'!$A$2:$EJ$65,(B6+1),FALSE))=0,"",HLOOKUP((VLOOKUP($P$1,Lists!$B$4:$C$26,2,FALSE)),'PC list edited'!$A$2:$EJ$65,(B6+1),FALSE)))</f>
        <v>PR14SWTWSW_W-A2</v>
      </c>
      <c r="D6" s="513" t="str">
        <f>IF($P$1="Select company","",IF(C6 ="","",HLOOKUP(((VLOOKUP($P$1,Lists!$B$4:$C$26,2,FALSE))&amp;"PC"),'PC list edited'!$A$2:$EJ$65,(B6+1),FALSE)))</f>
        <v>W-A2: Taste, smell and colour contacts</v>
      </c>
      <c r="E6" s="327" t="str">
        <f>IF($P$1="Select company","",IF(C6 ="","",HLOOKUP(((VLOOKUP($P$1,Lists!$B$4:$C$26,2,FALSE))&amp;"unit"),'PC list edited'!$A$2:$EJ$65,(B6+1),FALSE)))</f>
        <v>nr</v>
      </c>
      <c r="F6" s="327" t="str">
        <f>IF($P$1="Select company","",IF(C6 ="","",HLOOKUP(((VLOOKUP($P$1,Lists!$B$4:$C$26,2,FALSE))&amp;"UnitDes"),'PC list edited'!$A$2:$EJ$65,(B6+1),FALSE)))</f>
        <v>No. of contacts per 1,000 population</v>
      </c>
      <c r="G6" s="533">
        <f>IF($P$1="Select company","",IF(C6="","",HLOOKUP(((VLOOKUP($P$1,Lists!$B$4:$C$26,2,FALSE))&amp;"DP"),'PC list edited'!$A$2:$EJ$65,(B6+1),FALSE)))</f>
        <v>2</v>
      </c>
      <c r="H6" s="533">
        <f>IF($P$1="Select company","",IF(C6 = "","",HLOOKUP(((VLOOKUP($P$1,Lists!$B$4:$C$26,2,FALSE))&amp;"201718Actual"),'PC list edited'!$A$2:$EJ$65,(B6+1),FALSE)))</f>
        <v>2.2000000000000002</v>
      </c>
      <c r="I6" s="570">
        <f>'[1]3A'!J6</f>
        <v>2.13</v>
      </c>
      <c r="J6" s="570" t="str">
        <f>'[1]3A'!K6</f>
        <v>Yes</v>
      </c>
      <c r="K6" s="570" t="str">
        <f>'[1]3A'!L6</f>
        <v>Outperformance Deadband</v>
      </c>
      <c r="L6" s="570" t="s">
        <v>497</v>
      </c>
      <c r="M6" s="570" t="s">
        <v>497</v>
      </c>
      <c r="N6" s="570" t="s">
        <v>497</v>
      </c>
      <c r="O6" s="570" t="s">
        <v>497</v>
      </c>
      <c r="P6" s="3179" t="s">
        <v>497</v>
      </c>
      <c r="Q6" s="71"/>
      <c r="R6" s="521">
        <f>IF(AF6=1, $AF$3, IF(AG6=1, $AG$3, 0))</f>
        <v>0</v>
      </c>
      <c r="S6" s="24" t="str">
        <f t="shared" ref="S6:S36" si="1" xml:space="preserve"> IF( SUM( U6:AE6 ) = 0, 0, $V$3 )</f>
        <v>Please complete all cells in row</v>
      </c>
      <c r="T6" s="71"/>
      <c r="U6" s="72"/>
      <c r="V6" s="98">
        <f t="shared" ref="V6:V36" si="2">IF($C6="",0,IF(ISBLANK(I6)=FALSE,0,1))</f>
        <v>0</v>
      </c>
      <c r="W6" s="98">
        <f>IF($C6="",0,IF(ISBLANK(#REF!)=FALSE,0,1))</f>
        <v>0</v>
      </c>
      <c r="X6" s="98">
        <f t="shared" si="0"/>
        <v>0</v>
      </c>
      <c r="Y6" s="98">
        <f>IF(OR(ISBLANK(L6), L6=0), 0, IF(OR(K6=Lists!$F$11, K6=Lists!$F$13), 0, 1))</f>
        <v>1</v>
      </c>
      <c r="Z6" s="98">
        <f>IF(OR($C6="", AND(NOT(K6=Lists!$F$11), NOT(K6=Lists!$F$13))),0,IF(ISBLANK(L6)=FALSE,0,1))</f>
        <v>0</v>
      </c>
      <c r="AA6" s="98">
        <f>IF(OR(ISBLANK(N6), N6=0), 0, IF(OR(M6=Lists!$F$11, M6=Lists!$F$13), 0, 1))</f>
        <v>1</v>
      </c>
      <c r="AB6" s="98">
        <f>IF(OR($C6="", AND(NOT(M6=Lists!$F$11), NOT(M6=Lists!$F$13))),0,IF(ISBLANK(N6)=FALSE,0,1))</f>
        <v>0</v>
      </c>
      <c r="AC6" s="98">
        <f>IF(OR(ISBLANK(P6), P6=0), 0, IF(OR(O6=Lists!$F$11, O6=Lists!$F$13), 0, 1))</f>
        <v>1</v>
      </c>
      <c r="AD6" s="98">
        <f>IF(OR($C6="", AND(NOT(O6=Lists!$F$11), NOT(O6=Lists!$F$13))),0,IF(ISBLANK(P6)=FALSE,0,1))</f>
        <v>0</v>
      </c>
      <c r="AE6" s="72"/>
      <c r="AF6" s="523">
        <f xml:space="preserve"> IF(OR( AND( K6 = Lists!$F$11, '3A - SWT'!L6 &lt; 0), AND( '3A - SWT'!M6 = Lists!$F$11, '3A - SWT'!N6 &lt; 0), AND( '3A - SWT'!O6 = Lists!$F$11, '3A - SWT'!P6 &lt; 0)), 1, 0)</f>
        <v>0</v>
      </c>
      <c r="AG6" s="523">
        <f xml:space="preserve"> IF( OR( AND( K6 = Lists!$F$13, '3A - SWT'!L6 &gt; 0), AND( M6 = Lists!$F$13, '3A - SWT'!N6 &gt; 0), AND( O6 = Lists!$F$13, '3A - SWT'!P6 &gt; 0 )), 1, 0)</f>
        <v>0</v>
      </c>
      <c r="AH6" s="525"/>
      <c r="AI6" s="701" t="str">
        <f>IF($P$1="Select company","",IF((HLOOKUP(((VLOOKUP($P$1,Lists!$B$4:$C$26,2,FALSE))&amp;'PC LIST'!$J$2),'PC list edited'!$A$2:$EJ$65,(B6+1),FALSE))=0,"",HLOOKUP(((VLOOKUP($P$1,Lists!$B$4:$C$26,2,FALSE))&amp; 'PC LIST'!$J$2),'PC list edited'!$A$2:$EJ$65,(B6+1),FALSE)))</f>
        <v>Out &amp; under</v>
      </c>
      <c r="AJ6" s="2417" t="str">
        <f>IFERROR(INDEX('PC LIST'!N$3:N$631, MATCH($C6, 'PC LIST'!$B$3:$B$631, 0)),"")</f>
        <v>Water quality contacts</v>
      </c>
    </row>
    <row r="7" spans="1:36" s="321" customFormat="1" ht="30" customHeight="1">
      <c r="A7" s="75"/>
      <c r="B7" s="299">
        <f t="shared" ref="B7:B60" si="3" xml:space="preserve"> B6 + 1</f>
        <v>3</v>
      </c>
      <c r="C7" s="514" t="str">
        <f>IF($P$1="Select company","",IF((HLOOKUP((VLOOKUP($P$1,Lists!$B$4:$C$26,2,FALSE)),'PC list edited'!$A$2:$EJ$65,(B7+1),FALSE))=0,"",HLOOKUP((VLOOKUP($P$1,Lists!$B$4:$C$26,2,FALSE)),'PC list edited'!$A$2:$EJ$65,(B7+1),FALSE)))</f>
        <v>PR14SWTWSW_W-A3</v>
      </c>
      <c r="D7" s="513" t="str">
        <f>IF($P$1="Select company","",IF(C7 ="","",HLOOKUP(((VLOOKUP($P$1,Lists!$B$4:$C$26,2,FALSE))&amp;"PC"),'PC list edited'!$A$2:$EJ$65,(B7+1),FALSE)))</f>
        <v>W-A3: Asset reliability (pipes)</v>
      </c>
      <c r="E7" s="327" t="str">
        <f>IF($P$1="Select company","",IF(C7 ="","",HLOOKUP(((VLOOKUP($P$1,Lists!$B$4:$C$26,2,FALSE))&amp;"unit"),'PC list edited'!$A$2:$EJ$65,(B7+1),FALSE)))</f>
        <v>category</v>
      </c>
      <c r="F7" s="327" t="str">
        <f>IF($P$1="Select company","",IF(C7 ="","",HLOOKUP(((VLOOKUP($P$1,Lists!$B$4:$C$26,2,FALSE))&amp;"UnitDes"),'PC list edited'!$A$2:$EJ$65,(B7+1),FALSE)))</f>
        <v>Asset health indicator</v>
      </c>
      <c r="G7" s="533" t="str">
        <f>IF($P$1="Select company","",IF(C7="","",HLOOKUP(((VLOOKUP($P$1,Lists!$B$4:$C$26,2,FALSE))&amp;"DP"),'PC list edited'!$A$2:$EJ$65,(B7+1),FALSE)))</f>
        <v>na</v>
      </c>
      <c r="H7" s="533" t="str">
        <f>IF($P$1="Select company","",IF(C7 = "","",HLOOKUP(((VLOOKUP($P$1,Lists!$B$4:$C$26,2,FALSE))&amp;"201718Actual"),'PC list edited'!$A$2:$EJ$65,(B7+1),FALSE)))</f>
        <v>Stable</v>
      </c>
      <c r="I7" s="570" t="str">
        <f>'[1]3A'!J7</f>
        <v>Stable</v>
      </c>
      <c r="J7" s="570" t="str">
        <f>'[1]3A'!K7</f>
        <v>Yes</v>
      </c>
      <c r="K7" s="570" t="s">
        <v>497</v>
      </c>
      <c r="L7" s="3180" t="s">
        <v>497</v>
      </c>
      <c r="M7" s="570" t="s">
        <v>497</v>
      </c>
      <c r="N7" s="3180" t="s">
        <v>497</v>
      </c>
      <c r="O7" s="570" t="s">
        <v>497</v>
      </c>
      <c r="P7" s="3181" t="s">
        <v>497</v>
      </c>
      <c r="Q7" s="71"/>
      <c r="R7" s="521">
        <f t="shared" ref="R7:R60" si="4">IF(AF7=1, $AF$3, IF(AG7=1, $AG$3, 0))</f>
        <v>0</v>
      </c>
      <c r="S7" s="24" t="str">
        <f t="shared" si="1"/>
        <v>Please complete all cells in row</v>
      </c>
      <c r="T7" s="71"/>
      <c r="U7" s="72"/>
      <c r="V7" s="98">
        <f t="shared" si="2"/>
        <v>0</v>
      </c>
      <c r="W7" s="98">
        <f>IF($C7="",0,IF(ISBLANK(#REF!)=FALSE,0,1))</f>
        <v>0</v>
      </c>
      <c r="X7" s="98">
        <f t="shared" si="0"/>
        <v>0</v>
      </c>
      <c r="Y7" s="98">
        <f>IF(OR(ISBLANK(L7), L7=0), 0, IF(OR(K7=Lists!$F$11, K7=Lists!$F$13), 0, 1))</f>
        <v>1</v>
      </c>
      <c r="Z7" s="98">
        <f>IF(OR($C7="", AND(NOT(K7=Lists!$F$11), NOT(K7=Lists!$F$13))),0,IF(ISBLANK(L7)=FALSE,0,1))</f>
        <v>0</v>
      </c>
      <c r="AA7" s="98">
        <f>IF(OR(ISBLANK(N7), N7=0), 0, IF(OR(M7=Lists!$F$11, M7=Lists!$F$13), 0, 1))</f>
        <v>1</v>
      </c>
      <c r="AB7" s="98">
        <f>IF(OR($C7="", AND(NOT(M7=Lists!$F$11), NOT(M7=Lists!$F$13))),0,IF(ISBLANK(N7)=FALSE,0,1))</f>
        <v>0</v>
      </c>
      <c r="AC7" s="98">
        <f>IF(OR(ISBLANK(P7), P7=0), 0, IF(OR(O7=Lists!$F$11, O7=Lists!$F$13), 0, 1))</f>
        <v>1</v>
      </c>
      <c r="AD7" s="98">
        <f>IF(OR($C7="", AND(NOT(O7=Lists!$F$11), NOT(O7=Lists!$F$13))),0,IF(ISBLANK(P7)=FALSE,0,1))</f>
        <v>0</v>
      </c>
      <c r="AE7" s="72"/>
      <c r="AF7" s="523">
        <f xml:space="preserve"> IF(OR( AND( K7 = Lists!$F$11, '3A - SWT'!L7 &lt; 0), AND( '3A - SWT'!M7 = Lists!$F$11, '3A - SWT'!N7 &lt; 0), AND( '3A - SWT'!O7 = Lists!$F$11, '3A - SWT'!P7 &lt; 0)), 1, 0)</f>
        <v>0</v>
      </c>
      <c r="AG7" s="523">
        <f xml:space="preserve"> IF( OR( AND( K7 = Lists!$F$13, '3A - SWT'!L7 &gt; 0), AND( M7 = Lists!$F$13, '3A - SWT'!N7 &gt; 0), AND( O7 = Lists!$F$13, '3A - SWT'!P7 &gt; 0 )), 1, 0)</f>
        <v>0</v>
      </c>
      <c r="AH7" s="525"/>
      <c r="AI7" s="701" t="str">
        <f>IF($P$1="Select company","",IF((HLOOKUP(((VLOOKUP($P$1,Lists!$B$4:$C$26,2,FALSE))&amp;'PC LIST'!$J$2),'PC list edited'!$A$2:$EJ$65,(B7+1),FALSE))=0,"",HLOOKUP(((VLOOKUP($P$1,Lists!$B$4:$C$26,2,FALSE))&amp; 'PC LIST'!$J$2),'PC list edited'!$A$2:$EJ$65,(B7+1),FALSE)))</f>
        <v>Under</v>
      </c>
      <c r="AJ7" s="2417" t="str">
        <f>IFERROR(INDEX('PC LIST'!N$3:N$631, MATCH($C7, 'PC LIST'!$B$3:$B$631, 0)),"")</f>
        <v>Asset health - water</v>
      </c>
    </row>
    <row r="8" spans="1:36" s="321" customFormat="1" ht="30" customHeight="1">
      <c r="A8" s="75"/>
      <c r="B8" s="299">
        <f t="shared" si="3"/>
        <v>4</v>
      </c>
      <c r="C8" s="514" t="str">
        <f>IF($P$1="Select company","",IF((HLOOKUP((VLOOKUP($P$1,Lists!$B$4:$C$26,2,FALSE)),'PC list edited'!$A$2:$EJ$65,(B8+1),FALSE))=0,"",HLOOKUP((VLOOKUP($P$1,Lists!$B$4:$C$26,2,FALSE)),'PC list edited'!$A$2:$EJ$65,(B8+1),FALSE)))</f>
        <v>PR14SWTWSW_W-A4</v>
      </c>
      <c r="D8" s="513" t="str">
        <f>IF($P$1="Select company","",IF(C8 ="","",HLOOKUP(((VLOOKUP($P$1,Lists!$B$4:$C$26,2,FALSE))&amp;"PC"),'PC list edited'!$A$2:$EJ$65,(B8+1),FALSE)))</f>
        <v>W-A4: Asset reliability (process)</v>
      </c>
      <c r="E8" s="327" t="str">
        <f>IF($P$1="Select company","",IF(C8 ="","",HLOOKUP(((VLOOKUP($P$1,Lists!$B$4:$C$26,2,FALSE))&amp;"unit"),'PC list edited'!$A$2:$EJ$65,(B8+1),FALSE)))</f>
        <v>category</v>
      </c>
      <c r="F8" s="327" t="str">
        <f>IF($P$1="Select company","",IF(C8 ="","",HLOOKUP(((VLOOKUP($P$1,Lists!$B$4:$C$26,2,FALSE))&amp;"UnitDes"),'PC list edited'!$A$2:$EJ$65,(B8+1),FALSE)))</f>
        <v>Asset health indicator</v>
      </c>
      <c r="G8" s="533" t="str">
        <f>IF($P$1="Select company","",IF(C8="","",HLOOKUP(((VLOOKUP($P$1,Lists!$B$4:$C$26,2,FALSE))&amp;"DP"),'PC list edited'!$A$2:$EJ$65,(B8+1),FALSE)))</f>
        <v>na</v>
      </c>
      <c r="H8" s="533" t="str">
        <f>IF($P$1="Select company","",IF(C8 = "","",HLOOKUP(((VLOOKUP($P$1,Lists!$B$4:$C$26,2,FALSE))&amp;"201718Actual"),'PC list edited'!$A$2:$EJ$65,(B8+1),FALSE)))</f>
        <v>Stable</v>
      </c>
      <c r="I8" s="570" t="str">
        <f>'[1]3A'!J8</f>
        <v>Stable</v>
      </c>
      <c r="J8" s="570" t="str">
        <f>'[1]3A'!K8</f>
        <v>Yes</v>
      </c>
      <c r="K8" s="570" t="s">
        <v>497</v>
      </c>
      <c r="L8" s="3180" t="s">
        <v>497</v>
      </c>
      <c r="M8" s="570" t="s">
        <v>497</v>
      </c>
      <c r="N8" s="3180" t="s">
        <v>497</v>
      </c>
      <c r="O8" s="570" t="s">
        <v>497</v>
      </c>
      <c r="P8" s="3181" t="s">
        <v>497</v>
      </c>
      <c r="Q8" s="71"/>
      <c r="R8" s="521">
        <f t="shared" si="4"/>
        <v>0</v>
      </c>
      <c r="S8" s="24" t="str">
        <f t="shared" si="1"/>
        <v>Please complete all cells in row</v>
      </c>
      <c r="T8" s="71"/>
      <c r="U8" s="72"/>
      <c r="V8" s="98">
        <f t="shared" si="2"/>
        <v>0</v>
      </c>
      <c r="W8" s="98">
        <f>IF($C8="",0,IF(ISBLANK(#REF!)=FALSE,0,1))</f>
        <v>0</v>
      </c>
      <c r="X8" s="98">
        <f t="shared" si="0"/>
        <v>0</v>
      </c>
      <c r="Y8" s="98">
        <f>IF(OR(ISBLANK(L8), L8=0), 0, IF(OR(K8=Lists!$F$11, K8=Lists!$F$13), 0, 1))</f>
        <v>1</v>
      </c>
      <c r="Z8" s="98">
        <f>IF(OR($C8="", AND(NOT(K8=Lists!$F$11), NOT(K8=Lists!$F$13))),0,IF(ISBLANK(L8)=FALSE,0,1))</f>
        <v>0</v>
      </c>
      <c r="AA8" s="98">
        <f>IF(OR(ISBLANK(N8), N8=0), 0, IF(OR(M8=Lists!$F$11, M8=Lists!$F$13), 0, 1))</f>
        <v>1</v>
      </c>
      <c r="AB8" s="98">
        <f>IF(OR($C8="", AND(NOT(M8=Lists!$F$11), NOT(M8=Lists!$F$13))),0,IF(ISBLANK(N8)=FALSE,0,1))</f>
        <v>0</v>
      </c>
      <c r="AC8" s="98">
        <f>IF(OR(ISBLANK(P8), P8=0), 0, IF(OR(O8=Lists!$F$11, O8=Lists!$F$13), 0, 1))</f>
        <v>1</v>
      </c>
      <c r="AD8" s="98">
        <f>IF(OR($C8="", AND(NOT(O8=Lists!$F$11), NOT(O8=Lists!$F$13))),0,IF(ISBLANK(P8)=FALSE,0,1))</f>
        <v>0</v>
      </c>
      <c r="AE8" s="72"/>
      <c r="AF8" s="523">
        <f xml:space="preserve"> IF(OR( AND( K8 = Lists!$F$11, '3A - SWT'!L8 &lt; 0), AND( '3A - SWT'!M8 = Lists!$F$11, '3A - SWT'!N8 &lt; 0), AND( '3A - SWT'!O8 = Lists!$F$11, '3A - SWT'!P8 &lt; 0)), 1, 0)</f>
        <v>0</v>
      </c>
      <c r="AG8" s="523">
        <f xml:space="preserve"> IF( OR( AND( K8 = Lists!$F$13, '3A - SWT'!L8 &gt; 0), AND( M8 = Lists!$F$13, '3A - SWT'!N8 &gt; 0), AND( O8 = Lists!$F$13, '3A - SWT'!P8 &gt; 0 )), 1, 0)</f>
        <v>0</v>
      </c>
      <c r="AH8" s="525"/>
      <c r="AI8" s="701" t="str">
        <f>IF($P$1="Select company","",IF((HLOOKUP(((VLOOKUP($P$1,Lists!$B$4:$C$26,2,FALSE))&amp;'PC LIST'!$J$2),'PC list edited'!$A$2:$EJ$65,(B8+1),FALSE))=0,"",HLOOKUP(((VLOOKUP($P$1,Lists!$B$4:$C$26,2,FALSE))&amp; 'PC LIST'!$J$2),'PC list edited'!$A$2:$EJ$65,(B8+1),FALSE)))</f>
        <v>Under</v>
      </c>
      <c r="AJ8" s="2417" t="str">
        <f>IFERROR(INDEX('PC LIST'!N$3:N$631, MATCH($C8, 'PC LIST'!$B$3:$B$631, 0)),"")</f>
        <v>Asset health - water</v>
      </c>
    </row>
    <row r="9" spans="1:36" s="321" customFormat="1" ht="30" customHeight="1">
      <c r="A9" s="75"/>
      <c r="B9" s="299">
        <f t="shared" si="3"/>
        <v>5</v>
      </c>
      <c r="C9" s="514" t="str">
        <f>IF($P$1="Select company","",IF((HLOOKUP((VLOOKUP($P$1,Lists!$B$4:$C$26,2,FALSE)),'PC list edited'!$A$2:$EJ$65,(B9+1),FALSE))=0,"",HLOOKUP((VLOOKUP($P$1,Lists!$B$4:$C$26,2,FALSE)),'PC list edited'!$A$2:$EJ$65,(B9+1),FALSE)))</f>
        <v>PR14SWTWSW_W-A5</v>
      </c>
      <c r="D9" s="513" t="str">
        <f>IF($P$1="Select company","",IF(C9 ="","",HLOOKUP(((VLOOKUP($P$1,Lists!$B$4:$C$26,2,FALSE))&amp;"PC"),'PC list edited'!$A$2:$EJ$65,(B9+1),FALSE)))</f>
        <v>W-A5: Duration of interruptions in supply (hours/property)</v>
      </c>
      <c r="E9" s="327" t="str">
        <f>IF($P$1="Select company","",IF(C9 ="","",HLOOKUP(((VLOOKUP($P$1,Lists!$B$4:$C$26,2,FALSE))&amp;"unit"),'PC list edited'!$A$2:$EJ$65,(B9+1),FALSE)))</f>
        <v>time</v>
      </c>
      <c r="F9" s="327" t="str">
        <f>IF($P$1="Select company","",IF(C9 ="","",HLOOKUP(((VLOOKUP($P$1,Lists!$B$4:$C$26,2,FALSE))&amp;"UnitDes"),'PC list edited'!$A$2:$EJ$65,(B9+1),FALSE)))</f>
        <v>Hours / property / year</v>
      </c>
      <c r="G9" s="533">
        <f>IF($P$1="Select company","",IF(C9="","",HLOOKUP(((VLOOKUP($P$1,Lists!$B$4:$C$26,2,FALSE))&amp;"DP"),'PC list edited'!$A$2:$EJ$65,(B9+1),FALSE)))</f>
        <v>3</v>
      </c>
      <c r="H9" s="533">
        <f>IF($P$1="Select company","",IF(C9 = "","",HLOOKUP(((VLOOKUP($P$1,Lists!$B$4:$C$26,2,FALSE))&amp;"201718Actual"),'PC list edited'!$A$2:$EJ$65,(B9+1),FALSE)))</f>
        <v>0.54400000000000004</v>
      </c>
      <c r="I9" s="570">
        <f>'[1]3A'!J9</f>
        <v>0.161</v>
      </c>
      <c r="J9" s="570" t="str">
        <f>'[1]3A'!K9</f>
        <v>Yes</v>
      </c>
      <c r="K9" s="570" t="s">
        <v>497</v>
      </c>
      <c r="L9" s="570" t="s">
        <v>497</v>
      </c>
      <c r="M9" s="570" t="str">
        <f>'[1]3A'!N9</f>
        <v>Outperformance Payment</v>
      </c>
      <c r="N9" s="3182">
        <f>'[1]3A'!O9</f>
        <v>0.34470000000000001</v>
      </c>
      <c r="O9" s="570" t="str">
        <f>'[1]3A'!P9</f>
        <v>Underperformance Payment</v>
      </c>
      <c r="P9" s="3179">
        <f>'[1]3A'!Q9</f>
        <v>-2.3285999999999998</v>
      </c>
      <c r="Q9" s="71"/>
      <c r="R9" s="521">
        <f t="shared" si="4"/>
        <v>0</v>
      </c>
      <c r="S9" s="24" t="str">
        <f t="shared" si="1"/>
        <v>Please complete all cells in row</v>
      </c>
      <c r="T9" s="71"/>
      <c r="U9" s="72"/>
      <c r="V9" s="98">
        <f t="shared" si="2"/>
        <v>0</v>
      </c>
      <c r="W9" s="98">
        <f>IF($C9="",0,IF(ISBLANK(#REF!)=FALSE,0,1))</f>
        <v>0</v>
      </c>
      <c r="X9" s="98">
        <f t="shared" si="0"/>
        <v>0</v>
      </c>
      <c r="Y9" s="98">
        <f>IF(OR(ISBLANK(L9), L9=0), 0, IF(OR(K9=Lists!$F$11, K9=Lists!$F$13), 0, 1))</f>
        <v>1</v>
      </c>
      <c r="Z9" s="98">
        <f>IF(OR($C9="", AND(NOT(K9=Lists!$F$11), NOT(K9=Lists!$F$13))),0,IF(ISBLANK(L9)=FALSE,0,1))</f>
        <v>0</v>
      </c>
      <c r="AA9" s="98">
        <f>IF(OR(ISBLANK(N9), N9=0), 0, IF(OR(M9=Lists!$F$11, M9=Lists!$F$13), 0, 1))</f>
        <v>0</v>
      </c>
      <c r="AB9" s="98">
        <f>IF(OR($C9="", AND(NOT(M9=Lists!$F$11), NOT(M9=Lists!$F$13))),0,IF(ISBLANK(N9)=FALSE,0,1))</f>
        <v>0</v>
      </c>
      <c r="AC9" s="98">
        <f>IF(OR(ISBLANK(P9), P9=0), 0, IF(OR(O9=Lists!$F$11, O9=Lists!$F$13), 0, 1))</f>
        <v>0</v>
      </c>
      <c r="AD9" s="98">
        <f>IF(OR($C9="", AND(NOT(O9=Lists!$F$11), NOT(O9=Lists!$F$13))),0,IF(ISBLANK(P9)=FALSE,0,1))</f>
        <v>0</v>
      </c>
      <c r="AE9" s="72"/>
      <c r="AF9" s="523">
        <f xml:space="preserve"> IF(OR( AND( K9 = Lists!$F$11, '3A - SWT'!L9 &lt; 0), AND( '3A - SWT'!M9 = Lists!$F$11, '3A - SWT'!N9 &lt; 0), AND( '3A - SWT'!O9 = Lists!$F$11, '3A - SWT'!P9 &lt; 0)), 1, 0)</f>
        <v>0</v>
      </c>
      <c r="AG9" s="523">
        <f xml:space="preserve"> IF( OR( AND( K9 = Lists!$F$13, '3A - SWT'!L9 &gt; 0), AND( M9 = Lists!$F$13, '3A - SWT'!N9 &gt; 0), AND( O9 = Lists!$F$13, '3A - SWT'!P9 &gt; 0 )), 1, 0)</f>
        <v>0</v>
      </c>
      <c r="AH9" s="525"/>
      <c r="AI9" s="701" t="str">
        <f>IF($P$1="Select company","",IF((HLOOKUP(((VLOOKUP($P$1,Lists!$B$4:$C$26,2,FALSE))&amp;'PC LIST'!$J$2),'PC list edited'!$A$2:$EJ$65,(B9+1),FALSE))=0,"",HLOOKUP(((VLOOKUP($P$1,Lists!$B$4:$C$26,2,FALSE))&amp; 'PC LIST'!$J$2),'PC list edited'!$A$2:$EJ$65,(B9+1),FALSE)))</f>
        <v>Out &amp; under</v>
      </c>
      <c r="AJ9" s="2417" t="str">
        <f>IFERROR(INDEX('PC LIST'!N$3:N$631, MATCH($C9, 'PC LIST'!$B$3:$B$631, 0)),"")</f>
        <v>Supply interruptions</v>
      </c>
    </row>
    <row r="10" spans="1:36" s="321" customFormat="1" ht="30" customHeight="1">
      <c r="A10" s="75"/>
      <c r="B10" s="299">
        <f t="shared" si="3"/>
        <v>6</v>
      </c>
      <c r="C10" s="514" t="str">
        <f>IF($P$1="Select company","",IF((HLOOKUP((VLOOKUP($P$1,Lists!$B$4:$C$26,2,FALSE)),'PC list edited'!$A$2:$EJ$65,(B10+1),FALSE))=0,"",HLOOKUP((VLOOKUP($P$1,Lists!$B$4:$C$26,2,FALSE)),'PC list edited'!$A$2:$EJ$65,(B10+1),FALSE)))</f>
        <v>PR14SWTWSW_W-B1</v>
      </c>
      <c r="D10" s="513" t="str">
        <f>IF($P$1="Select company","",IF(C10 ="","",HLOOKUP(((VLOOKUP($P$1,Lists!$B$4:$C$26,2,FALSE))&amp;"PC"),'PC list edited'!$A$2:$EJ$65,(B10+1),FALSE)))</f>
        <v>W-B1: Water restrictions placed on customers (number)</v>
      </c>
      <c r="E10" s="327" t="str">
        <f>IF($P$1="Select company","",IF(C10 ="","",HLOOKUP(((VLOOKUP($P$1,Lists!$B$4:$C$26,2,FALSE))&amp;"unit"),'PC list edited'!$A$2:$EJ$65,(B10+1),FALSE)))</f>
        <v>nr</v>
      </c>
      <c r="F10" s="327" t="str">
        <f>IF($P$1="Select company","",IF(C10 ="","",HLOOKUP(((VLOOKUP($P$1,Lists!$B$4:$C$26,2,FALSE))&amp;"UnitDes"),'PC list edited'!$A$2:$EJ$65,(B10+1),FALSE)))</f>
        <v>No. of water restrictions</v>
      </c>
      <c r="G10" s="533">
        <f>IF($P$1="Select company","",IF(C10="","",HLOOKUP(((VLOOKUP($P$1,Lists!$B$4:$C$26,2,FALSE))&amp;"DP"),'PC list edited'!$A$2:$EJ$65,(B10+1),FALSE)))</f>
        <v>0</v>
      </c>
      <c r="H10" s="533">
        <f>IF($P$1="Select company","",IF(C10 = "","",HLOOKUP(((VLOOKUP($P$1,Lists!$B$4:$C$26,2,FALSE))&amp;"201718Actual"),'PC list edited'!$A$2:$EJ$65,(B10+1),FALSE)))</f>
        <v>0</v>
      </c>
      <c r="I10" s="570">
        <f>'[1]3A'!J10</f>
        <v>0</v>
      </c>
      <c r="J10" s="570" t="str">
        <f>'[1]3A'!K10</f>
        <v>Yes</v>
      </c>
      <c r="K10" s="570" t="s">
        <v>497</v>
      </c>
      <c r="L10" s="570" t="s">
        <v>497</v>
      </c>
      <c r="M10" s="570" t="str">
        <f>'[1]3A'!N10</f>
        <v>Outperformance Payment</v>
      </c>
      <c r="N10" s="3182">
        <f>'[1]3A'!O10</f>
        <v>1.6240000000000001</v>
      </c>
      <c r="O10" s="570" t="str">
        <f>'[1]3A'!P10</f>
        <v>Outperformance Payment</v>
      </c>
      <c r="P10" s="3179">
        <f>'[1]3A'!Q10</f>
        <v>6.4960000000000004</v>
      </c>
      <c r="Q10" s="71"/>
      <c r="R10" s="521">
        <f t="shared" si="4"/>
        <v>0</v>
      </c>
      <c r="S10" s="24" t="str">
        <f t="shared" si="1"/>
        <v>Please complete all cells in row</v>
      </c>
      <c r="T10" s="71"/>
      <c r="U10" s="72"/>
      <c r="V10" s="98">
        <f t="shared" si="2"/>
        <v>0</v>
      </c>
      <c r="W10" s="98">
        <f>IF($C10="",0,IF(ISBLANK(#REF!)=FALSE,0,1))</f>
        <v>0</v>
      </c>
      <c r="X10" s="98">
        <f t="shared" si="0"/>
        <v>0</v>
      </c>
      <c r="Y10" s="98">
        <f>IF(OR(ISBLANK(L10), L10=0), 0, IF(OR(K10=Lists!$F$11, K10=Lists!$F$13), 0, 1))</f>
        <v>1</v>
      </c>
      <c r="Z10" s="98">
        <f>IF(OR($C10="", AND(NOT(K10=Lists!$F$11), NOT(K10=Lists!$F$13))),0,IF(ISBLANK(L10)=FALSE,0,1))</f>
        <v>0</v>
      </c>
      <c r="AA10" s="98">
        <f>IF(OR(ISBLANK(N10), N10=0), 0, IF(OR(M10=Lists!$F$11, M10=Lists!$F$13), 0, 1))</f>
        <v>0</v>
      </c>
      <c r="AB10" s="98">
        <f>IF(OR($C10="", AND(NOT(M10=Lists!$F$11), NOT(M10=Lists!$F$13))),0,IF(ISBLANK(N10)=FALSE,0,1))</f>
        <v>0</v>
      </c>
      <c r="AC10" s="98">
        <f>IF(OR(ISBLANK(P10), P10=0), 0, IF(OR(O10=Lists!$F$11, O10=Lists!$F$13), 0, 1))</f>
        <v>0</v>
      </c>
      <c r="AD10" s="98">
        <f>IF(OR($C10="", AND(NOT(O10=Lists!$F$11), NOT(O10=Lists!$F$13))),0,IF(ISBLANK(P10)=FALSE,0,1))</f>
        <v>0</v>
      </c>
      <c r="AE10" s="72"/>
      <c r="AF10" s="523">
        <f xml:space="preserve"> IF(OR( AND( K10 = Lists!$F$11, '3A - SWT'!L10 &lt; 0), AND( '3A - SWT'!M10 = Lists!$F$11, '3A - SWT'!N10 &lt; 0), AND( '3A - SWT'!O10 = Lists!$F$11, '3A - SWT'!P10 &lt; 0)), 1, 0)</f>
        <v>0</v>
      </c>
      <c r="AG10" s="523">
        <f xml:space="preserve"> IF( OR( AND( K10 = Lists!$F$13, '3A - SWT'!L10 &gt; 0), AND( M10 = Lists!$F$13, '3A - SWT'!N10 &gt; 0), AND( O10 = Lists!$F$13, '3A - SWT'!P10 &gt; 0 )), 1, 0)</f>
        <v>0</v>
      </c>
      <c r="AH10" s="525"/>
      <c r="AI10" s="701" t="str">
        <f>IF($P$1="Select company","",IF((HLOOKUP(((VLOOKUP($P$1,Lists!$B$4:$C$26,2,FALSE))&amp;'PC LIST'!$J$2),'PC list edited'!$A$2:$EJ$65,(B10+1),FALSE))=0,"",HLOOKUP(((VLOOKUP($P$1,Lists!$B$4:$C$26,2,FALSE))&amp; 'PC LIST'!$J$2),'PC list edited'!$A$2:$EJ$65,(B10+1),FALSE)))</f>
        <v>Out &amp; under</v>
      </c>
      <c r="AJ10" s="2417" t="str">
        <f>IFERROR(INDEX('PC LIST'!N$3:N$631, MATCH($C10, 'PC LIST'!$B$3:$B$631, 0)),"")</f>
        <v>Supply restrictions</v>
      </c>
    </row>
    <row r="11" spans="1:36" s="321" customFormat="1" ht="30" customHeight="1">
      <c r="A11" s="75"/>
      <c r="B11" s="299">
        <f t="shared" si="3"/>
        <v>7</v>
      </c>
      <c r="C11" s="514" t="str">
        <f>IF($P$1="Select company","",IF((HLOOKUP((VLOOKUP($P$1,Lists!$B$4:$C$26,2,FALSE)),'PC list edited'!$A$2:$EJ$65,(B11+1),FALSE))=0,"",HLOOKUP((VLOOKUP($P$1,Lists!$B$4:$C$26,2,FALSE)),'PC list edited'!$A$2:$EJ$65,(B11+1),FALSE)))</f>
        <v>PR14SWTWSW_W-B2</v>
      </c>
      <c r="D11" s="513" t="str">
        <f>IF($P$1="Select company","",IF(C11 ="","",HLOOKUP(((VLOOKUP($P$1,Lists!$B$4:$C$26,2,FALSE))&amp;"PC"),'PC list edited'!$A$2:$EJ$65,(B11+1),FALSE)))</f>
        <v>W-B2: Ability to move water around the network</v>
      </c>
      <c r="E11" s="327" t="str">
        <f>IF($P$1="Select company","",IF(C11 ="","",HLOOKUP(((VLOOKUP($P$1,Lists!$B$4:$C$26,2,FALSE))&amp;"unit"),'PC list edited'!$A$2:$EJ$65,(B11+1),FALSE)))</f>
        <v>text</v>
      </c>
      <c r="F11" s="327" t="str">
        <f>IF($P$1="Select company","",IF(C11 ="","",HLOOKUP(((VLOOKUP($P$1,Lists!$B$4:$C$26,2,FALSE))&amp;"UnitDes"),'PC list edited'!$A$2:$EJ$65,(B11+1),FALSE)))</f>
        <v>Limited / partial / increased / substantial</v>
      </c>
      <c r="G11" s="533" t="str">
        <f>IF($P$1="Select company","",IF(C11="","",HLOOKUP(((VLOOKUP($P$1,Lists!$B$4:$C$26,2,FALSE))&amp;"DP"),'PC list edited'!$A$2:$EJ$65,(B11+1),FALSE)))</f>
        <v>na</v>
      </c>
      <c r="H11" s="533" t="str">
        <f>IF($P$1="Select company","",IF(C11 = "","",HLOOKUP(((VLOOKUP($P$1,Lists!$B$4:$C$26,2,FALSE))&amp;"201718Actual"),'PC list edited'!$A$2:$EJ$65,(B11+1),FALSE)))</f>
        <v>Partial</v>
      </c>
      <c r="I11" s="570" t="str">
        <f>'[1]3A'!J11</f>
        <v>Partial</v>
      </c>
      <c r="J11" s="570" t="str">
        <f>'[1]3A'!K11</f>
        <v>N/A</v>
      </c>
      <c r="K11" s="570" t="s">
        <v>497</v>
      </c>
      <c r="L11" s="3180" t="s">
        <v>497</v>
      </c>
      <c r="M11" s="3180" t="s">
        <v>497</v>
      </c>
      <c r="N11" s="3180" t="s">
        <v>497</v>
      </c>
      <c r="O11" s="3180" t="s">
        <v>497</v>
      </c>
      <c r="P11" s="3181" t="s">
        <v>497</v>
      </c>
      <c r="Q11" s="71"/>
      <c r="R11" s="521">
        <f t="shared" si="4"/>
        <v>0</v>
      </c>
      <c r="S11" s="24" t="str">
        <f t="shared" si="1"/>
        <v>Please complete all cells in row</v>
      </c>
      <c r="T11" s="71"/>
      <c r="U11" s="72"/>
      <c r="V11" s="98">
        <f t="shared" si="2"/>
        <v>0</v>
      </c>
      <c r="W11" s="98">
        <f>IF($C11="",0,IF(ISBLANK(#REF!)=FALSE,0,1))</f>
        <v>0</v>
      </c>
      <c r="X11" s="98">
        <f t="shared" si="0"/>
        <v>0</v>
      </c>
      <c r="Y11" s="98">
        <f>IF(OR(ISBLANK(L11), L11=0), 0, IF(OR(K11=Lists!$F$11, K11=Lists!$F$13), 0, 1))</f>
        <v>1</v>
      </c>
      <c r="Z11" s="98">
        <f>IF(OR($C11="", AND(NOT(K11=Lists!$F$11), NOT(K11=Lists!$F$13))),0,IF(ISBLANK(L11)=FALSE,0,1))</f>
        <v>0</v>
      </c>
      <c r="AA11" s="98">
        <f>IF(OR(ISBLANK(N11), N11=0), 0, IF(OR(M11=Lists!$F$11, M11=Lists!$F$13), 0, 1))</f>
        <v>1</v>
      </c>
      <c r="AB11" s="98">
        <f>IF(OR($C11="", AND(NOT(M11=Lists!$F$11), NOT(M11=Lists!$F$13))),0,IF(ISBLANK(N11)=FALSE,0,1))</f>
        <v>0</v>
      </c>
      <c r="AC11" s="98">
        <f>IF(OR(ISBLANK(P11), P11=0), 0, IF(OR(O11=Lists!$F$11, O11=Lists!$F$13), 0, 1))</f>
        <v>1</v>
      </c>
      <c r="AD11" s="98">
        <f>IF(OR($C11="", AND(NOT(O11=Lists!$F$11), NOT(O11=Lists!$F$13))),0,IF(ISBLANK(P11)=FALSE,0,1))</f>
        <v>0</v>
      </c>
      <c r="AE11" s="72"/>
      <c r="AF11" s="523">
        <f xml:space="preserve"> IF(OR( AND( K11 = Lists!$F$11, '3A - SWT'!L11 &lt; 0), AND( '3A - SWT'!M11 = Lists!$F$11, '3A - SWT'!N11 &lt; 0), AND( '3A - SWT'!O11 = Lists!$F$11, '3A - SWT'!P11 &lt; 0)), 1, 0)</f>
        <v>0</v>
      </c>
      <c r="AG11" s="523">
        <f xml:space="preserve"> IF( OR( AND( K11 = Lists!$F$13, '3A - SWT'!L11 &gt; 0), AND( M11 = Lists!$F$13, '3A - SWT'!N11 &gt; 0), AND( O11 = Lists!$F$13, '3A - SWT'!P11 &gt; 0 )), 1, 0)</f>
        <v>0</v>
      </c>
      <c r="AH11" s="525"/>
      <c r="AI11" s="701" t="str">
        <f>IF($P$1="Select company","",IF((HLOOKUP(((VLOOKUP($P$1,Lists!$B$4:$C$26,2,FALSE))&amp;'PC LIST'!$J$2),'PC list edited'!$A$2:$EJ$65,(B11+1),FALSE))=0,"",HLOOKUP(((VLOOKUP($P$1,Lists!$B$4:$C$26,2,FALSE))&amp; 'PC LIST'!$J$2),'PC list edited'!$A$2:$EJ$65,(B11+1),FALSE)))</f>
        <v>NFI</v>
      </c>
      <c r="AJ11" s="2417" t="str">
        <f>IFERROR(INDEX('PC LIST'!N$3:N$631, MATCH($C11, 'PC LIST'!$B$3:$B$631, 0)),"")</f>
        <v>Resilience</v>
      </c>
    </row>
    <row r="12" spans="1:36" s="321" customFormat="1" ht="30" customHeight="1">
      <c r="A12" s="75"/>
      <c r="B12" s="299">
        <f t="shared" si="3"/>
        <v>8</v>
      </c>
      <c r="C12" s="514" t="str">
        <f>IF($P$1="Select company","",IF((HLOOKUP((VLOOKUP($P$1,Lists!$B$4:$C$26,2,FALSE)),'PC list edited'!$A$2:$EJ$65,(B12+1),FALSE))=0,"",HLOOKUP((VLOOKUP($P$1,Lists!$B$4:$C$26,2,FALSE)),'PC list edited'!$A$2:$EJ$65,(B12+1),FALSE)))</f>
        <v>PR14SWTWSW_W-B3</v>
      </c>
      <c r="D12" s="513" t="str">
        <f>IF($P$1="Select company","",IF(C12 ="","",HLOOKUP(((VLOOKUP($P$1,Lists!$B$4:$C$26,2,FALSE))&amp;"PC"),'PC list edited'!$A$2:$EJ$65,(B12+1),FALSE)))</f>
        <v>W-B3: Leakage levels (megalitres a day, Ml/d)</v>
      </c>
      <c r="E12" s="327" t="str">
        <f>IF($P$1="Select company","",IF(C12 ="","",HLOOKUP(((VLOOKUP($P$1,Lists!$B$4:$C$26,2,FALSE))&amp;"unit"),'PC list edited'!$A$2:$EJ$65,(B12+1),FALSE)))</f>
        <v>nr</v>
      </c>
      <c r="F12" s="327" t="str">
        <f>IF($P$1="Select company","",IF(C12 ="","",HLOOKUP(((VLOOKUP($P$1,Lists!$B$4:$C$26,2,FALSE))&amp;"UnitDes"),'PC list edited'!$A$2:$EJ$65,(B12+1),FALSE)))</f>
        <v>Megalitres per day (Ml/d)</v>
      </c>
      <c r="G12" s="533">
        <f>IF($P$1="Select company","",IF(C12="","",HLOOKUP(((VLOOKUP($P$1,Lists!$B$4:$C$26,2,FALSE))&amp;"DP"),'PC list edited'!$A$2:$EJ$65,(B12+1),FALSE)))</f>
        <v>0</v>
      </c>
      <c r="H12" s="533">
        <f>IF($P$1="Select company","",IF(C12 = "","",HLOOKUP(((VLOOKUP($P$1,Lists!$B$4:$C$26,2,FALSE))&amp;"201718Actual"),'PC list edited'!$A$2:$EJ$65,(B12+1),FALSE)))</f>
        <v>83</v>
      </c>
      <c r="I12" s="570">
        <f>'[1]3A'!J12</f>
        <v>84.49</v>
      </c>
      <c r="J12" s="570" t="str">
        <f>'[1]3A'!K12</f>
        <v>Yes</v>
      </c>
      <c r="K12" s="570" t="s">
        <v>497</v>
      </c>
      <c r="L12" s="570" t="s">
        <v>497</v>
      </c>
      <c r="M12" s="570" t="s">
        <v>497</v>
      </c>
      <c r="N12" s="570" t="s">
        <v>497</v>
      </c>
      <c r="O12" s="570" t="str">
        <f>'[1]3A'!P12</f>
        <v>Outperformance Payment</v>
      </c>
      <c r="P12" s="3179">
        <f>'[1]3A'!Q12</f>
        <v>1.2090000000000001</v>
      </c>
      <c r="Q12" s="71"/>
      <c r="R12" s="521">
        <f t="shared" si="4"/>
        <v>0</v>
      </c>
      <c r="S12" s="24" t="str">
        <f t="shared" si="1"/>
        <v>Please complete all cells in row</v>
      </c>
      <c r="T12" s="71"/>
      <c r="U12" s="72"/>
      <c r="V12" s="98">
        <f t="shared" si="2"/>
        <v>0</v>
      </c>
      <c r="W12" s="98">
        <f>IF($C12="",0,IF(ISBLANK(#REF!)=FALSE,0,1))</f>
        <v>0</v>
      </c>
      <c r="X12" s="98">
        <f t="shared" si="0"/>
        <v>0</v>
      </c>
      <c r="Y12" s="98">
        <f>IF(OR(ISBLANK(L12), L12=0), 0, IF(OR(K12=Lists!$F$11, K12=Lists!$F$13), 0, 1))</f>
        <v>1</v>
      </c>
      <c r="Z12" s="98">
        <f>IF(OR($C12="", AND(NOT(K12=Lists!$F$11), NOT(K12=Lists!$F$13))),0,IF(ISBLANK(L12)=FALSE,0,1))</f>
        <v>0</v>
      </c>
      <c r="AA12" s="98">
        <f>IF(OR(ISBLANK(N12), N12=0), 0, IF(OR(M12=Lists!$F$11, M12=Lists!$F$13), 0, 1))</f>
        <v>1</v>
      </c>
      <c r="AB12" s="98">
        <f>IF(OR($C12="", AND(NOT(M12=Lists!$F$11), NOT(M12=Lists!$F$13))),0,IF(ISBLANK(N12)=FALSE,0,1))</f>
        <v>0</v>
      </c>
      <c r="AC12" s="98">
        <f>IF(OR(ISBLANK(P12), P12=0), 0, IF(OR(O12=Lists!$F$11, O12=Lists!$F$13), 0, 1))</f>
        <v>0</v>
      </c>
      <c r="AD12" s="98">
        <f>IF(OR($C12="", AND(NOT(O12=Lists!$F$11), NOT(O12=Lists!$F$13))),0,IF(ISBLANK(P12)=FALSE,0,1))</f>
        <v>0</v>
      </c>
      <c r="AE12" s="72"/>
      <c r="AF12" s="523">
        <f xml:space="preserve"> IF(OR( AND( K12 = Lists!$F$11, '3A - SWT'!L12 &lt; 0), AND( '3A - SWT'!M12 = Lists!$F$11, '3A - SWT'!N12 &lt; 0), AND( '3A - SWT'!O12 = Lists!$F$11, '3A - SWT'!P12 &lt; 0)), 1, 0)</f>
        <v>0</v>
      </c>
      <c r="AG12" s="523">
        <f xml:space="preserve"> IF( OR( AND( K12 = Lists!$F$13, '3A - SWT'!L12 &gt; 0), AND( M12 = Lists!$F$13, '3A - SWT'!N12 &gt; 0), AND( O12 = Lists!$F$13, '3A - SWT'!P12 &gt; 0 )), 1, 0)</f>
        <v>0</v>
      </c>
      <c r="AH12" s="525"/>
      <c r="AI12" s="701" t="str">
        <f>IF($P$1="Select company","",IF((HLOOKUP(((VLOOKUP($P$1,Lists!$B$4:$C$26,2,FALSE))&amp;'PC LIST'!$J$2),'PC list edited'!$A$2:$EJ$65,(B12+1),FALSE))=0,"",HLOOKUP(((VLOOKUP($P$1,Lists!$B$4:$C$26,2,FALSE))&amp; 'PC LIST'!$J$2),'PC list edited'!$A$2:$EJ$65,(B12+1),FALSE)))</f>
        <v>Out &amp; under</v>
      </c>
      <c r="AJ12" s="2417" t="str">
        <f>IFERROR(INDEX('PC LIST'!N$3:N$631, MATCH($C12, 'PC LIST'!$B$3:$B$631, 0)),"")</f>
        <v>Leakage</v>
      </c>
    </row>
    <row r="13" spans="1:36" s="321" customFormat="1" ht="30" customHeight="1">
      <c r="A13" s="75"/>
      <c r="B13" s="299">
        <f t="shared" si="3"/>
        <v>9</v>
      </c>
      <c r="C13" s="514" t="str">
        <f>IF($P$1="Select company","",IF((HLOOKUP((VLOOKUP($P$1,Lists!$B$4:$C$26,2,FALSE)),'PC list edited'!$A$2:$EJ$65,(B13+1),FALSE))=0,"",HLOOKUP((VLOOKUP($P$1,Lists!$B$4:$C$26,2,FALSE)),'PC list edited'!$A$2:$EJ$65,(B13+1),FALSE)))</f>
        <v>PR14SWTWSW_W-B4</v>
      </c>
      <c r="D13" s="513" t="str">
        <f>IF($P$1="Select company","",IF(C13 ="","",HLOOKUP(((VLOOKUP($P$1,Lists!$B$4:$C$26,2,FALSE))&amp;"PC"),'PC list edited'!$A$2:$EJ$65,(B13+1),FALSE)))</f>
        <v>W-B4: Time taken to fix significant leaks (days)</v>
      </c>
      <c r="E13" s="327" t="str">
        <f>IF($P$1="Select company","",IF(C13 ="","",HLOOKUP(((VLOOKUP($P$1,Lists!$B$4:$C$26,2,FALSE))&amp;"unit"),'PC list edited'!$A$2:$EJ$65,(B13+1),FALSE)))</f>
        <v>nr</v>
      </c>
      <c r="F13" s="327" t="str">
        <f>IF($P$1="Select company","",IF(C13 ="","",HLOOKUP(((VLOOKUP($P$1,Lists!$B$4:$C$26,2,FALSE))&amp;"UnitDes"),'PC list edited'!$A$2:$EJ$65,(B13+1),FALSE)))</f>
        <v>No. of days taken to fix significant leaks</v>
      </c>
      <c r="G13" s="533">
        <f>IF($P$1="Select company","",IF(C13="","",HLOOKUP(((VLOOKUP($P$1,Lists!$B$4:$C$26,2,FALSE))&amp;"DP"),'PC list edited'!$A$2:$EJ$65,(B13+1),FALSE)))</f>
        <v>0</v>
      </c>
      <c r="H13" s="533">
        <f>IF($P$1="Select company","",IF(C13 = "","",HLOOKUP(((VLOOKUP($P$1,Lists!$B$4:$C$26,2,FALSE))&amp;"201718Actual"),'PC list edited'!$A$2:$EJ$65,(B13+1),FALSE)))</f>
        <v>2.93</v>
      </c>
      <c r="I13" s="570">
        <f>'[1]3A'!J13</f>
        <v>2.89</v>
      </c>
      <c r="J13" s="570" t="str">
        <f>'[1]3A'!K13</f>
        <v>N/A</v>
      </c>
      <c r="K13" s="570" t="s">
        <v>497</v>
      </c>
      <c r="L13" s="570" t="s">
        <v>497</v>
      </c>
      <c r="M13" s="570" t="s">
        <v>497</v>
      </c>
      <c r="N13" s="570" t="s">
        <v>497</v>
      </c>
      <c r="O13" s="570" t="s">
        <v>497</v>
      </c>
      <c r="P13" s="3179" t="s">
        <v>497</v>
      </c>
      <c r="Q13" s="71"/>
      <c r="R13" s="521">
        <f t="shared" si="4"/>
        <v>0</v>
      </c>
      <c r="S13" s="24" t="str">
        <f t="shared" si="1"/>
        <v>Please complete all cells in row</v>
      </c>
      <c r="T13" s="71"/>
      <c r="U13" s="72"/>
      <c r="V13" s="98">
        <f t="shared" si="2"/>
        <v>0</v>
      </c>
      <c r="W13" s="98">
        <f>IF($C13="",0,IF(ISBLANK(#REF!)=FALSE,0,1))</f>
        <v>0</v>
      </c>
      <c r="X13" s="98">
        <f t="shared" si="0"/>
        <v>0</v>
      </c>
      <c r="Y13" s="98">
        <f>IF(OR(ISBLANK(L13), L13=0), 0, IF(OR(K13=Lists!$F$11, K13=Lists!$F$13), 0, 1))</f>
        <v>1</v>
      </c>
      <c r="Z13" s="98">
        <f>IF(OR($C13="", AND(NOT(K13=Lists!$F$11), NOT(K13=Lists!$F$13))),0,IF(ISBLANK(L13)=FALSE,0,1))</f>
        <v>0</v>
      </c>
      <c r="AA13" s="98">
        <f>IF(OR(ISBLANK(N13), N13=0), 0, IF(OR(M13=Lists!$F$11, M13=Lists!$F$13), 0, 1))</f>
        <v>1</v>
      </c>
      <c r="AB13" s="98">
        <f>IF(OR($C13="", AND(NOT(M13=Lists!$F$11), NOT(M13=Lists!$F$13))),0,IF(ISBLANK(N13)=FALSE,0,1))</f>
        <v>0</v>
      </c>
      <c r="AC13" s="98">
        <f>IF(OR(ISBLANK(P13), P13=0), 0, IF(OR(O13=Lists!$F$11, O13=Lists!$F$13), 0, 1))</f>
        <v>1</v>
      </c>
      <c r="AD13" s="98">
        <f>IF(OR($C13="", AND(NOT(O13=Lists!$F$11), NOT(O13=Lists!$F$13))),0,IF(ISBLANK(P13)=FALSE,0,1))</f>
        <v>0</v>
      </c>
      <c r="AE13" s="72"/>
      <c r="AF13" s="523">
        <f xml:space="preserve"> IF(OR( AND( K13 = Lists!$F$11, '3A - SWT'!L13 &lt; 0), AND( '3A - SWT'!M13 = Lists!$F$11, '3A - SWT'!N13 &lt; 0), AND( '3A - SWT'!O13 = Lists!$F$11, '3A - SWT'!P13 &lt; 0)), 1, 0)</f>
        <v>0</v>
      </c>
      <c r="AG13" s="523">
        <f xml:space="preserve"> IF( OR( AND( K13 = Lists!$F$13, '3A - SWT'!L13 &gt; 0), AND( M13 = Lists!$F$13, '3A - SWT'!N13 &gt; 0), AND( O13 = Lists!$F$13, '3A - SWT'!P13 &gt; 0 )), 1, 0)</f>
        <v>0</v>
      </c>
      <c r="AH13" s="525"/>
      <c r="AI13" s="701" t="str">
        <f>IF($P$1="Select company","",IF((HLOOKUP(((VLOOKUP($P$1,Lists!$B$4:$C$26,2,FALSE))&amp;'PC LIST'!$J$2),'PC list edited'!$A$2:$EJ$65,(B13+1),FALSE))=0,"",HLOOKUP(((VLOOKUP($P$1,Lists!$B$4:$C$26,2,FALSE))&amp; 'PC LIST'!$J$2),'PC list edited'!$A$2:$EJ$65,(B13+1),FALSE)))</f>
        <v>NFI</v>
      </c>
      <c r="AJ13" s="2417" t="str">
        <f>IFERROR(INDEX('PC LIST'!N$3:N$631, MATCH($C13, 'PC LIST'!$B$3:$B$631, 0)),"")</f>
        <v>Leakage</v>
      </c>
    </row>
    <row r="14" spans="1:36" s="321" customFormat="1" ht="30" customHeight="1">
      <c r="A14" s="75"/>
      <c r="B14" s="299">
        <f t="shared" si="3"/>
        <v>10</v>
      </c>
      <c r="C14" s="514" t="str">
        <f>IF($P$1="Select company","",IF((HLOOKUP((VLOOKUP($P$1,Lists!$B$4:$C$26,2,FALSE)),'PC list edited'!$A$2:$EJ$65,(B14+1),FALSE))=0,"",HLOOKUP((VLOOKUP($P$1,Lists!$B$4:$C$26,2,FALSE)),'PC list edited'!$A$2:$EJ$65,(B14+1),FALSE)))</f>
        <v>PR14SWTWSW_W-B5</v>
      </c>
      <c r="D14" s="513" t="str">
        <f>IF($P$1="Select company","",IF(C14 ="","",HLOOKUP(((VLOOKUP($P$1,Lists!$B$4:$C$26,2,FALSE))&amp;"PC"),'PC list edited'!$A$2:$EJ$65,(B14+1),FALSE)))</f>
        <v>W-B5: Security of supply index (SoSI)</v>
      </c>
      <c r="E14" s="327" t="str">
        <f>IF($P$1="Select company","",IF(C14 ="","",HLOOKUP(((VLOOKUP($P$1,Lists!$B$4:$C$26,2,FALSE))&amp;"unit"),'PC list edited'!$A$2:$EJ$65,(B14+1),FALSE)))</f>
        <v>score</v>
      </c>
      <c r="F14" s="327" t="str">
        <f>IF($P$1="Select company","",IF(C14 ="","",HLOOKUP(((VLOOKUP($P$1,Lists!$B$4:$C$26,2,FALSE))&amp;"UnitDes"),'PC list edited'!$A$2:$EJ$65,(B14+1),FALSE)))</f>
        <v>Security of Supply Index (SOSI)</v>
      </c>
      <c r="G14" s="533">
        <f>IF($P$1="Select company","",IF(C14="","",HLOOKUP(((VLOOKUP($P$1,Lists!$B$4:$C$26,2,FALSE))&amp;"DP"),'PC list edited'!$A$2:$EJ$65,(B14+1),FALSE)))</f>
        <v>0</v>
      </c>
      <c r="H14" s="533">
        <f>IF($P$1="Select company","",IF(C14 = "","",HLOOKUP(((VLOOKUP($P$1,Lists!$B$4:$C$26,2,FALSE))&amp;"201718Actual"),'PC list edited'!$A$2:$EJ$65,(B14+1),FALSE)))</f>
        <v>100</v>
      </c>
      <c r="I14" s="570">
        <f>'[1]3A'!J14</f>
        <v>100</v>
      </c>
      <c r="J14" s="570" t="str">
        <f>'[1]3A'!K14</f>
        <v>N/A</v>
      </c>
      <c r="K14" s="570" t="s">
        <v>497</v>
      </c>
      <c r="L14" s="570" t="s">
        <v>497</v>
      </c>
      <c r="M14" s="570" t="s">
        <v>497</v>
      </c>
      <c r="N14" s="570" t="s">
        <v>497</v>
      </c>
      <c r="O14" s="570" t="s">
        <v>497</v>
      </c>
      <c r="P14" s="3179" t="s">
        <v>497</v>
      </c>
      <c r="Q14" s="71"/>
      <c r="R14" s="521">
        <f t="shared" si="4"/>
        <v>0</v>
      </c>
      <c r="S14" s="24" t="str">
        <f t="shared" si="1"/>
        <v>Please complete all cells in row</v>
      </c>
      <c r="T14" s="71"/>
      <c r="U14" s="72"/>
      <c r="V14" s="98">
        <f t="shared" si="2"/>
        <v>0</v>
      </c>
      <c r="W14" s="98">
        <f>IF($C14="",0,IF(ISBLANK(#REF!)=FALSE,0,1))</f>
        <v>0</v>
      </c>
      <c r="X14" s="98">
        <f t="shared" si="0"/>
        <v>0</v>
      </c>
      <c r="Y14" s="98">
        <f>IF(OR(ISBLANK(L14), L14=0), 0, IF(OR(K14=Lists!$F$11, K14=Lists!$F$13), 0, 1))</f>
        <v>1</v>
      </c>
      <c r="Z14" s="98">
        <f>IF(OR($C14="", AND(NOT(K14=Lists!$F$11), NOT(K14=Lists!$F$13))),0,IF(ISBLANK(L14)=FALSE,0,1))</f>
        <v>0</v>
      </c>
      <c r="AA14" s="98">
        <f>IF(OR(ISBLANK(N14), N14=0), 0, IF(OR(M14=Lists!$F$11, M14=Lists!$F$13), 0, 1))</f>
        <v>1</v>
      </c>
      <c r="AB14" s="98">
        <f>IF(OR($C14="", AND(NOT(M14=Lists!$F$11), NOT(M14=Lists!$F$13))),0,IF(ISBLANK(N14)=FALSE,0,1))</f>
        <v>0</v>
      </c>
      <c r="AC14" s="98">
        <f>IF(OR(ISBLANK(P14), P14=0), 0, IF(OR(O14=Lists!$F$11, O14=Lists!$F$13), 0, 1))</f>
        <v>1</v>
      </c>
      <c r="AD14" s="98">
        <f>IF(OR($C14="", AND(NOT(O14=Lists!$F$11), NOT(O14=Lists!$F$13))),0,IF(ISBLANK(P14)=FALSE,0,1))</f>
        <v>0</v>
      </c>
      <c r="AE14" s="72"/>
      <c r="AF14" s="523">
        <f xml:space="preserve"> IF(OR( AND( K14 = Lists!$F$11, '3A - SWT'!L14 &lt; 0), AND( '3A - SWT'!M14 = Lists!$F$11, '3A - SWT'!N14 &lt; 0), AND( '3A - SWT'!O14 = Lists!$F$11, '3A - SWT'!P14 &lt; 0)), 1, 0)</f>
        <v>0</v>
      </c>
      <c r="AG14" s="523">
        <f xml:space="preserve"> IF( OR( AND( K14 = Lists!$F$13, '3A - SWT'!L14 &gt; 0), AND( M14 = Lists!$F$13, '3A - SWT'!N14 &gt; 0), AND( O14 = Lists!$F$13, '3A - SWT'!P14 &gt; 0 )), 1, 0)</f>
        <v>0</v>
      </c>
      <c r="AH14" s="525"/>
      <c r="AI14" s="701" t="str">
        <f>IF($P$1="Select company","",IF((HLOOKUP(((VLOOKUP($P$1,Lists!$B$4:$C$26,2,FALSE))&amp;'PC LIST'!$J$2),'PC list edited'!$A$2:$EJ$65,(B14+1),FALSE))=0,"",HLOOKUP(((VLOOKUP($P$1,Lists!$B$4:$C$26,2,FALSE))&amp; 'PC LIST'!$J$2),'PC list edited'!$A$2:$EJ$65,(B14+1),FALSE)))</f>
        <v>NFI</v>
      </c>
      <c r="AJ14" s="2417" t="str">
        <f>IFERROR(INDEX('PC LIST'!N$3:N$631, MATCH($C14, 'PC LIST'!$B$3:$B$631, 0)),"")</f>
        <v>Security of supply</v>
      </c>
    </row>
    <row r="15" spans="1:36" s="321" customFormat="1" ht="30" customHeight="1">
      <c r="A15" s="75"/>
      <c r="B15" s="299">
        <f t="shared" si="3"/>
        <v>11</v>
      </c>
      <c r="C15" s="514" t="str">
        <f>IF($P$1="Select company","",IF((HLOOKUP((VLOOKUP($P$1,Lists!$B$4:$C$26,2,FALSE)),'PC list edited'!$A$2:$EJ$65,(B15+1),FALSE))=0,"",HLOOKUP((VLOOKUP($P$1,Lists!$B$4:$C$26,2,FALSE)),'PC list edited'!$A$2:$EJ$65,(B15+1),FALSE)))</f>
        <v>PR14SWTWSW_W-C1</v>
      </c>
      <c r="D15" s="513" t="str">
        <f>IF($P$1="Select company","",IF(C15 ="","",HLOOKUP(((VLOOKUP($P$1,Lists!$B$4:$C$26,2,FALSE))&amp;"PC"),'PC list edited'!$A$2:$EJ$65,(B15+1),FALSE)))</f>
        <v>W-C1: Supplies interrupted due to flooded South West Water sites</v>
      </c>
      <c r="E15" s="327" t="str">
        <f>IF($P$1="Select company","",IF(C15 ="","",HLOOKUP(((VLOOKUP($P$1,Lists!$B$4:$C$26,2,FALSE))&amp;"unit"),'PC list edited'!$A$2:$EJ$65,(B15+1),FALSE)))</f>
        <v>nr</v>
      </c>
      <c r="F15" s="327" t="str">
        <f>IF($P$1="Select company","",IF(C15 ="","",HLOOKUP(((VLOOKUP($P$1,Lists!$B$4:$C$26,2,FALSE))&amp;"UnitDes"),'PC list edited'!$A$2:$EJ$65,(B15+1),FALSE)))</f>
        <v>No. of events over AMP6</v>
      </c>
      <c r="G15" s="533">
        <f>IF($P$1="Select company","",IF(C15="","",HLOOKUP(((VLOOKUP($P$1,Lists!$B$4:$C$26,2,FALSE))&amp;"DP"),'PC list edited'!$A$2:$EJ$65,(B15+1),FALSE)))</f>
        <v>0</v>
      </c>
      <c r="H15" s="533">
        <f>IF($P$1="Select company","",IF(C15 = "","",HLOOKUP(((VLOOKUP($P$1,Lists!$B$4:$C$26,2,FALSE))&amp;"201718Actual"),'PC list edited'!$A$2:$EJ$65,(B15+1),FALSE)))</f>
        <v>0</v>
      </c>
      <c r="I15" s="570">
        <f>'[1]3A'!J15</f>
        <v>0</v>
      </c>
      <c r="J15" s="570" t="str">
        <f>'[1]3A'!K15</f>
        <v>N/A</v>
      </c>
      <c r="K15" s="570" t="s">
        <v>497</v>
      </c>
      <c r="L15" s="570" t="s">
        <v>497</v>
      </c>
      <c r="M15" s="570" t="s">
        <v>497</v>
      </c>
      <c r="N15" s="570" t="s">
        <v>497</v>
      </c>
      <c r="O15" s="570" t="s">
        <v>497</v>
      </c>
      <c r="P15" s="3179" t="s">
        <v>497</v>
      </c>
      <c r="Q15" s="71"/>
      <c r="R15" s="521">
        <f t="shared" si="4"/>
        <v>0</v>
      </c>
      <c r="S15" s="24" t="str">
        <f t="shared" si="1"/>
        <v>Please complete all cells in row</v>
      </c>
      <c r="T15" s="71"/>
      <c r="U15" s="72"/>
      <c r="V15" s="98">
        <f t="shared" si="2"/>
        <v>0</v>
      </c>
      <c r="W15" s="98">
        <f>IF($C15="",0,IF(ISBLANK(#REF!)=FALSE,0,1))</f>
        <v>0</v>
      </c>
      <c r="X15" s="98">
        <f t="shared" si="0"/>
        <v>0</v>
      </c>
      <c r="Y15" s="98">
        <f>IF(OR(ISBLANK(L15), L15=0), 0, IF(OR(K15=Lists!$F$11, K15=Lists!$F$13), 0, 1))</f>
        <v>1</v>
      </c>
      <c r="Z15" s="98">
        <f>IF(OR($C15="", AND(NOT(K15=Lists!$F$11), NOT(K15=Lists!$F$13))),0,IF(ISBLANK(L15)=FALSE,0,1))</f>
        <v>0</v>
      </c>
      <c r="AA15" s="98">
        <f>IF(OR(ISBLANK(N15), N15=0), 0, IF(OR(M15=Lists!$F$11, M15=Lists!$F$13), 0, 1))</f>
        <v>1</v>
      </c>
      <c r="AB15" s="98">
        <f>IF(OR($C15="", AND(NOT(M15=Lists!$F$11), NOT(M15=Lists!$F$13))),0,IF(ISBLANK(N15)=FALSE,0,1))</f>
        <v>0</v>
      </c>
      <c r="AC15" s="98">
        <f>IF(OR(ISBLANK(P15), P15=0), 0, IF(OR(O15=Lists!$F$11, O15=Lists!$F$13), 0, 1))</f>
        <v>1</v>
      </c>
      <c r="AD15" s="98">
        <f>IF(OR($C15="", AND(NOT(O15=Lists!$F$11), NOT(O15=Lists!$F$13))),0,IF(ISBLANK(P15)=FALSE,0,1))</f>
        <v>0</v>
      </c>
      <c r="AE15" s="72"/>
      <c r="AF15" s="523">
        <f xml:space="preserve"> IF(OR( AND( K15 = Lists!$F$11, '3A - SWT'!L15 &lt; 0), AND( '3A - SWT'!M15 = Lists!$F$11, '3A - SWT'!N15 &lt; 0), AND( '3A - SWT'!O15 = Lists!$F$11, '3A - SWT'!P15 &lt; 0)), 1, 0)</f>
        <v>0</v>
      </c>
      <c r="AG15" s="523">
        <f xml:space="preserve"> IF( OR( AND( K15 = Lists!$F$13, '3A - SWT'!L15 &gt; 0), AND( M15 = Lists!$F$13, '3A - SWT'!N15 &gt; 0), AND( O15 = Lists!$F$13, '3A - SWT'!P15 &gt; 0 )), 1, 0)</f>
        <v>0</v>
      </c>
      <c r="AH15" s="525"/>
      <c r="AI15" s="701" t="str">
        <f>IF($P$1="Select company","",IF((HLOOKUP(((VLOOKUP($P$1,Lists!$B$4:$C$26,2,FALSE))&amp;'PC LIST'!$J$2),'PC list edited'!$A$2:$EJ$65,(B15+1),FALSE))=0,"",HLOOKUP(((VLOOKUP($P$1,Lists!$B$4:$C$26,2,FALSE))&amp; 'PC LIST'!$J$2),'PC list edited'!$A$2:$EJ$65,(B15+1),FALSE)))</f>
        <v>Out &amp; under</v>
      </c>
      <c r="AJ15" s="2417" t="str">
        <f>IFERROR(INDEX('PC LIST'!N$3:N$631, MATCH($C15, 'PC LIST'!$B$3:$B$631, 0)),"")</f>
        <v>Resilience</v>
      </c>
    </row>
    <row r="16" spans="1:36" s="321" customFormat="1" ht="30" customHeight="1">
      <c r="A16" s="75"/>
      <c r="B16" s="299">
        <f t="shared" si="3"/>
        <v>12</v>
      </c>
      <c r="C16" s="514" t="str">
        <f>IF($P$1="Select company","",IF((HLOOKUP((VLOOKUP($P$1,Lists!$B$4:$C$26,2,FALSE)),'PC list edited'!$A$2:$EJ$65,(B16+1),FALSE))=0,"",HLOOKUP((VLOOKUP($P$1,Lists!$B$4:$C$26,2,FALSE)),'PC list edited'!$A$2:$EJ$65,(B16+1),FALSE)))</f>
        <v>PR14SWTWSW_W-D1</v>
      </c>
      <c r="D16" s="513" t="str">
        <f>IF($P$1="Select company","",IF(C16 ="","",HLOOKUP(((VLOOKUP($P$1,Lists!$B$4:$C$26,2,FALSE))&amp;"PC"),'PC list edited'!$A$2:$EJ$65,(B16+1),FALSE)))</f>
        <v>W-D1: Operational customer contacts resolved first time (%)</v>
      </c>
      <c r="E16" s="327" t="str">
        <f>IF($P$1="Select company","",IF(C16 ="","",HLOOKUP(((VLOOKUP($P$1,Lists!$B$4:$C$26,2,FALSE))&amp;"unit"),'PC list edited'!$A$2:$EJ$65,(B16+1),FALSE)))</f>
        <v>%</v>
      </c>
      <c r="F16" s="327" t="str">
        <f>IF($P$1="Select company","",IF(C16 ="","",HLOOKUP(((VLOOKUP($P$1,Lists!$B$4:$C$26,2,FALSE))&amp;"UnitDes"),'PC list edited'!$A$2:$EJ$65,(B16+1),FALSE)))</f>
        <v>% customer contacts resolved 1st time</v>
      </c>
      <c r="G16" s="533">
        <f>IF($P$1="Select company","",IF(C16="","",HLOOKUP(((VLOOKUP($P$1,Lists!$B$4:$C$26,2,FALSE))&amp;"DP"),'PC list edited'!$A$2:$EJ$65,(B16+1),FALSE)))</f>
        <v>1</v>
      </c>
      <c r="H16" s="533">
        <f>IF($P$1="Select company","",IF(C16 = "","",HLOOKUP(((VLOOKUP($P$1,Lists!$B$4:$C$26,2,FALSE))&amp;"201718Actual"),'PC list edited'!$A$2:$EJ$65,(B16+1),FALSE)))</f>
        <v>96.1</v>
      </c>
      <c r="I16" s="570">
        <f>'[1]3A'!J16</f>
        <v>95.4</v>
      </c>
      <c r="J16" s="570" t="str">
        <f>'[1]3A'!K16</f>
        <v>Yes</v>
      </c>
      <c r="K16" s="570" t="str">
        <f>'[1]3A'!L16</f>
        <v>Outperformance Payment</v>
      </c>
      <c r="L16" s="3182">
        <f>'[1]3A'!$M$16</f>
        <v>6.0199999999999997E-2</v>
      </c>
      <c r="M16" s="570" t="s">
        <v>497</v>
      </c>
      <c r="N16" s="570" t="s">
        <v>497</v>
      </c>
      <c r="O16" s="570" t="str">
        <f>'[1]3A'!P16</f>
        <v>Outperformance Payment</v>
      </c>
      <c r="P16" s="3179">
        <f>'[1]3A'!Q16</f>
        <v>0.50700000000000001</v>
      </c>
      <c r="Q16" s="71"/>
      <c r="R16" s="521">
        <f t="shared" si="4"/>
        <v>0</v>
      </c>
      <c r="S16" s="24" t="str">
        <f t="shared" si="1"/>
        <v>Please complete all cells in row</v>
      </c>
      <c r="T16" s="71"/>
      <c r="U16" s="72"/>
      <c r="V16" s="98">
        <f t="shared" si="2"/>
        <v>0</v>
      </c>
      <c r="W16" s="98">
        <f>IF($C16="",0,IF(ISBLANK(#REF!)=FALSE,0,1))</f>
        <v>0</v>
      </c>
      <c r="X16" s="98">
        <f t="shared" si="0"/>
        <v>0</v>
      </c>
      <c r="Y16" s="98">
        <f>IF(OR(ISBLANK(L16), L16=0), 0, IF(OR(K16=Lists!$F$11, K16=Lists!$F$13), 0, 1))</f>
        <v>0</v>
      </c>
      <c r="Z16" s="98">
        <f>IF(OR($C16="", AND(NOT(K16=Lists!$F$11), NOT(K16=Lists!$F$13))),0,IF(ISBLANK(L16)=FALSE,0,1))</f>
        <v>0</v>
      </c>
      <c r="AA16" s="98">
        <f>IF(OR(ISBLANK(N16), N16=0), 0, IF(OR(M16=Lists!$F$11, M16=Lists!$F$13), 0, 1))</f>
        <v>1</v>
      </c>
      <c r="AB16" s="98">
        <f>IF(OR($C16="", AND(NOT(M16=Lists!$F$11), NOT(M16=Lists!$F$13))),0,IF(ISBLANK(N16)=FALSE,0,1))</f>
        <v>0</v>
      </c>
      <c r="AC16" s="98">
        <f>IF(OR(ISBLANK(P16), P16=0), 0, IF(OR(O16=Lists!$F$11, O16=Lists!$F$13), 0, 1))</f>
        <v>0</v>
      </c>
      <c r="AD16" s="98">
        <f>IF(OR($C16="", AND(NOT(O16=Lists!$F$11), NOT(O16=Lists!$F$13))),0,IF(ISBLANK(P16)=FALSE,0,1))</f>
        <v>0</v>
      </c>
      <c r="AE16" s="72"/>
      <c r="AF16" s="523">
        <f xml:space="preserve"> IF(OR( AND( K16 = Lists!$F$11, '3A - SWT'!L16 &lt; 0), AND( '3A - SWT'!M16 = Lists!$F$11, '3A - SWT'!N16 &lt; 0), AND( '3A - SWT'!O16 = Lists!$F$11, '3A - SWT'!P16 &lt; 0)), 1, 0)</f>
        <v>0</v>
      </c>
      <c r="AG16" s="523">
        <f xml:space="preserve"> IF( OR( AND( K16 = Lists!$F$13, '3A - SWT'!L16 &gt; 0), AND( M16 = Lists!$F$13, '3A - SWT'!N16 &gt; 0), AND( O16 = Lists!$F$13, '3A - SWT'!P16 &gt; 0 )), 1, 0)</f>
        <v>0</v>
      </c>
      <c r="AH16" s="525"/>
      <c r="AI16" s="701" t="str">
        <f>IF($P$1="Select company","",IF((HLOOKUP(((VLOOKUP($P$1,Lists!$B$4:$C$26,2,FALSE))&amp;'PC LIST'!$J$2),'PC list edited'!$A$2:$EJ$65,(B16+1),FALSE))=0,"",HLOOKUP(((VLOOKUP($P$1,Lists!$B$4:$C$26,2,FALSE))&amp; 'PC LIST'!$J$2),'PC list edited'!$A$2:$EJ$65,(B16+1),FALSE)))</f>
        <v>Out &amp; under</v>
      </c>
      <c r="AJ16" s="2417" t="str">
        <f>IFERROR(INDEX('PC LIST'!N$3:N$631, MATCH($C16, 'PC LIST'!$B$3:$B$631, 0)),"")</f>
        <v>Customer satisfaction (exc. bills)</v>
      </c>
    </row>
    <row r="17" spans="1:36" s="321" customFormat="1" ht="30" customHeight="1">
      <c r="A17" s="75"/>
      <c r="B17" s="299">
        <f t="shared" si="3"/>
        <v>13</v>
      </c>
      <c r="C17" s="514" t="str">
        <f>IF($P$1="Select company","",IF((HLOOKUP((VLOOKUP($P$1,Lists!$B$4:$C$26,2,FALSE)),'PC list edited'!$A$2:$EJ$65,(B17+1),FALSE))=0,"",HLOOKUP((VLOOKUP($P$1,Lists!$B$4:$C$26,2,FALSE)),'PC list edited'!$A$2:$EJ$65,(B17+1),FALSE)))</f>
        <v>PR14SWTWSW_W-E1</v>
      </c>
      <c r="D17" s="513" t="str">
        <f>IF($P$1="Select company","",IF(C17 ="","",HLOOKUP(((VLOOKUP($P$1,Lists!$B$4:$C$26,2,FALSE))&amp;"PC"),'PC list edited'!$A$2:$EJ$65,(B17+1),FALSE)))</f>
        <v>W-E1: Sustainable abstractions (EA/WFD classification)</v>
      </c>
      <c r="E17" s="327" t="str">
        <f>IF($P$1="Select company","",IF(C17 ="","",HLOOKUP(((VLOOKUP($P$1,Lists!$B$4:$C$26,2,FALSE))&amp;"unit"),'PC list edited'!$A$2:$EJ$65,(B17+1),FALSE)))</f>
        <v>nr</v>
      </c>
      <c r="F17" s="327" t="str">
        <f>IF($P$1="Select company","",IF(C17 ="","",HLOOKUP(((VLOOKUP($P$1,Lists!$B$4:$C$26,2,FALSE))&amp;"UnitDes"),'PC list edited'!$A$2:$EJ$65,(B17+1),FALSE)))</f>
        <v>No. sites where improvement required</v>
      </c>
      <c r="G17" s="533">
        <f>IF($P$1="Select company","",IF(C17="","",HLOOKUP(((VLOOKUP($P$1,Lists!$B$4:$C$26,2,FALSE))&amp;"DP"),'PC list edited'!$A$2:$EJ$65,(B17+1),FALSE)))</f>
        <v>0</v>
      </c>
      <c r="H17" s="533">
        <f>IF($P$1="Select company","",IF(C17 = "","",HLOOKUP(((VLOOKUP($P$1,Lists!$B$4:$C$26,2,FALSE))&amp;"201718Actual"),'PC list edited'!$A$2:$EJ$65,(B17+1),FALSE)))</f>
        <v>0</v>
      </c>
      <c r="I17" s="570">
        <f>'[1]3A'!J17</f>
        <v>0</v>
      </c>
      <c r="J17" s="570" t="str">
        <f>'[1]3A'!K17</f>
        <v>N/A</v>
      </c>
      <c r="K17" s="570" t="s">
        <v>497</v>
      </c>
      <c r="L17" s="570" t="s">
        <v>497</v>
      </c>
      <c r="M17" s="570" t="s">
        <v>497</v>
      </c>
      <c r="N17" s="570" t="s">
        <v>497</v>
      </c>
      <c r="O17" s="570" t="s">
        <v>497</v>
      </c>
      <c r="P17" s="3179" t="s">
        <v>497</v>
      </c>
      <c r="Q17" s="71"/>
      <c r="R17" s="521">
        <f t="shared" si="4"/>
        <v>0</v>
      </c>
      <c r="S17" s="24" t="str">
        <f t="shared" si="1"/>
        <v>Please complete all cells in row</v>
      </c>
      <c r="T17" s="71"/>
      <c r="U17" s="72"/>
      <c r="V17" s="98">
        <f t="shared" si="2"/>
        <v>0</v>
      </c>
      <c r="W17" s="98">
        <f>IF($C17="",0,IF(ISBLANK(#REF!)=FALSE,0,1))</f>
        <v>0</v>
      </c>
      <c r="X17" s="98">
        <f t="shared" si="0"/>
        <v>0</v>
      </c>
      <c r="Y17" s="98">
        <f>IF(OR(ISBLANK(L17), L17=0), 0, IF(OR(K17=Lists!$F$11, K17=Lists!$F$13), 0, 1))</f>
        <v>1</v>
      </c>
      <c r="Z17" s="98">
        <f>IF(OR($C17="", AND(NOT(K17=Lists!$F$11), NOT(K17=Lists!$F$13))),0,IF(ISBLANK(L17)=FALSE,0,1))</f>
        <v>0</v>
      </c>
      <c r="AA17" s="98">
        <f>IF(OR(ISBLANK(N17), N17=0), 0, IF(OR(M17=Lists!$F$11, M17=Lists!$F$13), 0, 1))</f>
        <v>1</v>
      </c>
      <c r="AB17" s="98">
        <f>IF(OR($C17="", AND(NOT(M17=Lists!$F$11), NOT(M17=Lists!$F$13))),0,IF(ISBLANK(N17)=FALSE,0,1))</f>
        <v>0</v>
      </c>
      <c r="AC17" s="98">
        <f>IF(OR(ISBLANK(P17), P17=0), 0, IF(OR(O17=Lists!$F$11, O17=Lists!$F$13), 0, 1))</f>
        <v>1</v>
      </c>
      <c r="AD17" s="98">
        <f>IF(OR($C17="", AND(NOT(O17=Lists!$F$11), NOT(O17=Lists!$F$13))),0,IF(ISBLANK(P17)=FALSE,0,1))</f>
        <v>0</v>
      </c>
      <c r="AE17" s="72"/>
      <c r="AF17" s="523">
        <f xml:space="preserve"> IF(OR( AND( K17 = Lists!$F$11, '3A - SWT'!L17 &lt; 0), AND( '3A - SWT'!M17 = Lists!$F$11, '3A - SWT'!N17 &lt; 0), AND( '3A - SWT'!O17 = Lists!$F$11, '3A - SWT'!P17 &lt; 0)), 1, 0)</f>
        <v>0</v>
      </c>
      <c r="AG17" s="523">
        <f xml:space="preserve"> IF( OR( AND( K17 = Lists!$F$13, '3A - SWT'!L17 &gt; 0), AND( M17 = Lists!$F$13, '3A - SWT'!N17 &gt; 0), AND( O17 = Lists!$F$13, '3A - SWT'!P17 &gt; 0 )), 1, 0)</f>
        <v>0</v>
      </c>
      <c r="AH17" s="525"/>
      <c r="AI17" s="701" t="str">
        <f>IF($P$1="Select company","",IF((HLOOKUP(((VLOOKUP($P$1,Lists!$B$4:$C$26,2,FALSE))&amp;'PC LIST'!$J$2),'PC list edited'!$A$2:$EJ$65,(B17+1),FALSE))=0,"",HLOOKUP(((VLOOKUP($P$1,Lists!$B$4:$C$26,2,FALSE))&amp; 'PC LIST'!$J$2),'PC list edited'!$A$2:$EJ$65,(B17+1),FALSE)))</f>
        <v>NFI</v>
      </c>
      <c r="AJ17" s="2417" t="str">
        <f>IFERROR(INDEX('PC LIST'!N$3:N$631, MATCH($C17, 'PC LIST'!$B$3:$B$631, 0)),"")</f>
        <v>Water resources/ abstraction</v>
      </c>
    </row>
    <row r="18" spans="1:36" s="321" customFormat="1" ht="30" customHeight="1">
      <c r="A18" s="75"/>
      <c r="B18" s="299">
        <f t="shared" si="3"/>
        <v>14</v>
      </c>
      <c r="C18" s="514" t="str">
        <f>IF($P$1="Select company","",IF((HLOOKUP((VLOOKUP($P$1,Lists!$B$4:$C$26,2,FALSE)),'PC list edited'!$A$2:$EJ$65,(B18+1),FALSE))=0,"",HLOOKUP((VLOOKUP($P$1,Lists!$B$4:$C$26,2,FALSE)),'PC list edited'!$A$2:$EJ$65,(B18+1),FALSE)))</f>
        <v>PR14SWTWSW_W-E2</v>
      </c>
      <c r="D18" s="513" t="str">
        <f>IF($P$1="Select company","",IF(C18 ="","",HLOOKUP(((VLOOKUP($P$1,Lists!$B$4:$C$26,2,FALSE))&amp;"PC"),'PC list edited'!$A$2:$EJ$65,(B18+1),FALSE)))</f>
        <v>W-E2: Sustainable abstractions (Environment Agency water stress status)</v>
      </c>
      <c r="E18" s="327" t="str">
        <f>IF($P$1="Select company","",IF(C18 ="","",HLOOKUP(((VLOOKUP($P$1,Lists!$B$4:$C$26,2,FALSE))&amp;"unit"),'PC list edited'!$A$2:$EJ$65,(B18+1),FALSE)))</f>
        <v>category</v>
      </c>
      <c r="F18" s="327" t="str">
        <f>IF($P$1="Select company","",IF(C18 ="","",HLOOKUP(((VLOOKUP($P$1,Lists!$B$4:$C$26,2,FALSE))&amp;"UnitDes"),'PC list edited'!$A$2:$EJ$65,(B18+1),FALSE)))</f>
        <v>Water scarcity status (defined by EA)</v>
      </c>
      <c r="G18" s="533" t="str">
        <f>IF($P$1="Select company","",IF(C18="","",HLOOKUP(((VLOOKUP($P$1,Lists!$B$4:$C$26,2,FALSE))&amp;"DP"),'PC list edited'!$A$2:$EJ$65,(B18+1),FALSE)))</f>
        <v>na</v>
      </c>
      <c r="H18" s="533" t="str">
        <f>IF($P$1="Select company","",IF(C18 = "","",HLOOKUP(((VLOOKUP($P$1,Lists!$B$4:$C$26,2,FALSE))&amp;"201718Actual"),'PC list edited'!$A$2:$EJ$65,(B18+1),FALSE)))</f>
        <v>Moderate</v>
      </c>
      <c r="I18" s="570" t="str">
        <f>'[1]3A'!J18</f>
        <v>Moderate</v>
      </c>
      <c r="J18" s="570" t="str">
        <f>'[1]3A'!K18</f>
        <v>Yes</v>
      </c>
      <c r="K18" s="570" t="s">
        <v>497</v>
      </c>
      <c r="L18" s="3180" t="s">
        <v>497</v>
      </c>
      <c r="M18" s="570" t="s">
        <v>497</v>
      </c>
      <c r="N18" s="3180" t="s">
        <v>497</v>
      </c>
      <c r="O18" s="570" t="str">
        <f>'[1]3A'!P18</f>
        <v>N/A</v>
      </c>
      <c r="P18" s="3181" t="s">
        <v>497</v>
      </c>
      <c r="Q18" s="71"/>
      <c r="R18" s="521">
        <f t="shared" si="4"/>
        <v>0</v>
      </c>
      <c r="S18" s="24" t="str">
        <f t="shared" si="1"/>
        <v>Please complete all cells in row</v>
      </c>
      <c r="T18" s="71"/>
      <c r="U18" s="72"/>
      <c r="V18" s="98">
        <f t="shared" si="2"/>
        <v>0</v>
      </c>
      <c r="W18" s="98">
        <f>IF($C18="",0,IF(ISBLANK(#REF!)=FALSE,0,1))</f>
        <v>0</v>
      </c>
      <c r="X18" s="98">
        <f t="shared" si="0"/>
        <v>0</v>
      </c>
      <c r="Y18" s="98">
        <f>IF(OR(ISBLANK(L18), L18=0), 0, IF(OR(K18=Lists!$F$11, K18=Lists!$F$13), 0, 1))</f>
        <v>1</v>
      </c>
      <c r="Z18" s="98">
        <f>IF(OR($C18="", AND(NOT(K18=Lists!$F$11), NOT(K18=Lists!$F$13))),0,IF(ISBLANK(L18)=FALSE,0,1))</f>
        <v>0</v>
      </c>
      <c r="AA18" s="98">
        <f>IF(OR(ISBLANK(N18), N18=0), 0, IF(OR(M18=Lists!$F$11, M18=Lists!$F$13), 0, 1))</f>
        <v>1</v>
      </c>
      <c r="AB18" s="98">
        <f>IF(OR($C18="", AND(NOT(M18=Lists!$F$11), NOT(M18=Lists!$F$13))),0,IF(ISBLANK(N18)=FALSE,0,1))</f>
        <v>0</v>
      </c>
      <c r="AC18" s="98">
        <f>IF(OR(ISBLANK(P18), P18=0), 0, IF(OR(O18=Lists!$F$11, O18=Lists!$F$13), 0, 1))</f>
        <v>1</v>
      </c>
      <c r="AD18" s="98">
        <f>IF(OR($C18="", AND(NOT(O18=Lists!$F$11), NOT(O18=Lists!$F$13))),0,IF(ISBLANK(P18)=FALSE,0,1))</f>
        <v>0</v>
      </c>
      <c r="AE18" s="72"/>
      <c r="AF18" s="523">
        <f xml:space="preserve"> IF(OR( AND( K18 = Lists!$F$11, '3A - SWT'!L18 &lt; 0), AND( '3A - SWT'!M18 = Lists!$F$11, '3A - SWT'!N18 &lt; 0), AND( '3A - SWT'!O18 = Lists!$F$11, '3A - SWT'!P18 &lt; 0)), 1, 0)</f>
        <v>0</v>
      </c>
      <c r="AG18" s="523">
        <f xml:space="preserve"> IF( OR( AND( K18 = Lists!$F$13, '3A - SWT'!L18 &gt; 0), AND( M18 = Lists!$F$13, '3A - SWT'!N18 &gt; 0), AND( O18 = Lists!$F$13, '3A - SWT'!P18 &gt; 0 )), 1, 0)</f>
        <v>0</v>
      </c>
      <c r="AH18" s="525"/>
      <c r="AI18" s="701" t="str">
        <f>IF($P$1="Select company","",IF((HLOOKUP(((VLOOKUP($P$1,Lists!$B$4:$C$26,2,FALSE))&amp;'PC LIST'!$J$2),'PC list edited'!$A$2:$EJ$65,(B18+1),FALSE))=0,"",HLOOKUP(((VLOOKUP($P$1,Lists!$B$4:$C$26,2,FALSE))&amp; 'PC LIST'!$J$2),'PC list edited'!$A$2:$EJ$65,(B18+1),FALSE)))</f>
        <v>Under</v>
      </c>
      <c r="AJ18" s="2417" t="str">
        <f>IFERROR(INDEX('PC LIST'!N$3:N$631, MATCH($C18, 'PC LIST'!$B$3:$B$631, 0)),"")</f>
        <v>Water resources/ abstraction</v>
      </c>
    </row>
    <row r="19" spans="1:36" s="321" customFormat="1" ht="30" customHeight="1">
      <c r="A19" s="75"/>
      <c r="B19" s="299">
        <f t="shared" si="3"/>
        <v>15</v>
      </c>
      <c r="C19" s="514" t="str">
        <f>IF($P$1="Select company","",IF((HLOOKUP((VLOOKUP($P$1,Lists!$B$4:$C$26,2,FALSE)),'PC list edited'!$A$2:$EJ$65,(B19+1),FALSE))=0,"",HLOOKUP((VLOOKUP($P$1,Lists!$B$4:$C$26,2,FALSE)),'PC list edited'!$A$2:$EJ$65,(B19+1),FALSE)))</f>
        <v>PR14SWTWSW_W-E3a</v>
      </c>
      <c r="D19" s="513" t="str">
        <f>IF($P$1="Select company","",IF(C19 ="","",HLOOKUP(((VLOOKUP($P$1,Lists!$B$4:$C$26,2,FALSE))&amp;"PC"),'PC list edited'!$A$2:$EJ$65,(B19+1),FALSE)))</f>
        <v>W-E3a: Catchment management (number of acres)</v>
      </c>
      <c r="E19" s="327" t="str">
        <f>IF($P$1="Select company","",IF(C19 ="","",HLOOKUP(((VLOOKUP($P$1,Lists!$B$4:$C$26,2,FALSE))&amp;"unit"),'PC list edited'!$A$2:$EJ$65,(B19+1),FALSE)))</f>
        <v>nr</v>
      </c>
      <c r="F19" s="327" t="str">
        <f>IF($P$1="Select company","",IF(C19 ="","",HLOOKUP(((VLOOKUP($P$1,Lists!$B$4:$C$26,2,FALSE))&amp;"UnitDes"),'PC list edited'!$A$2:$EJ$65,(B19+1),FALSE)))</f>
        <v>No. of acres (cumulative)</v>
      </c>
      <c r="G19" s="533">
        <f>IF($P$1="Select company","",IF(C19="","",HLOOKUP(((VLOOKUP($P$1,Lists!$B$4:$C$26,2,FALSE))&amp;"DP"),'PC list edited'!$A$2:$EJ$65,(B19+1),FALSE)))</f>
        <v>0</v>
      </c>
      <c r="H19" s="533">
        <f>IF($P$1="Select company","",IF(C19 = "","",HLOOKUP(((VLOOKUP($P$1,Lists!$B$4:$C$26,2,FALSE))&amp;"201718Actual"),'PC list edited'!$A$2:$EJ$65,(B19+1),FALSE)))</f>
        <v>7997</v>
      </c>
      <c r="I19" s="570">
        <f>'[1]3A'!J19</f>
        <v>10192</v>
      </c>
      <c r="J19" s="570" t="str">
        <f>'[1]3A'!K19</f>
        <v>N/A</v>
      </c>
      <c r="K19" s="570" t="s">
        <v>497</v>
      </c>
      <c r="L19" s="570" t="s">
        <v>497</v>
      </c>
      <c r="M19" s="570" t="s">
        <v>497</v>
      </c>
      <c r="N19" s="570" t="s">
        <v>497</v>
      </c>
      <c r="O19" s="570" t="s">
        <v>497</v>
      </c>
      <c r="P19" s="3179" t="s">
        <v>497</v>
      </c>
      <c r="Q19" s="71"/>
      <c r="R19" s="521">
        <f t="shared" si="4"/>
        <v>0</v>
      </c>
      <c r="S19" s="24" t="str">
        <f t="shared" si="1"/>
        <v>Please complete all cells in row</v>
      </c>
      <c r="T19" s="71"/>
      <c r="U19" s="72"/>
      <c r="V19" s="98">
        <f t="shared" si="2"/>
        <v>0</v>
      </c>
      <c r="W19" s="98">
        <f>IF($C19="",0,IF(ISBLANK(#REF!)=FALSE,0,1))</f>
        <v>0</v>
      </c>
      <c r="X19" s="98">
        <f t="shared" si="0"/>
        <v>0</v>
      </c>
      <c r="Y19" s="98">
        <f>IF(OR(ISBLANK(L19), L19=0), 0, IF(OR(K19=Lists!$F$11, K19=Lists!$F$13), 0, 1))</f>
        <v>1</v>
      </c>
      <c r="Z19" s="98">
        <f>IF(OR($C19="", AND(NOT(K19=Lists!$F$11), NOT(K19=Lists!$F$13))),0,IF(ISBLANK(L19)=FALSE,0,1))</f>
        <v>0</v>
      </c>
      <c r="AA19" s="98">
        <f>IF(OR(ISBLANK(N19), N19=0), 0, IF(OR(M19=Lists!$F$11, M19=Lists!$F$13), 0, 1))</f>
        <v>1</v>
      </c>
      <c r="AB19" s="98">
        <f>IF(OR($C19="", AND(NOT(M19=Lists!$F$11), NOT(M19=Lists!$F$13))),0,IF(ISBLANK(N19)=FALSE,0,1))</f>
        <v>0</v>
      </c>
      <c r="AC19" s="98">
        <f>IF(OR(ISBLANK(P19), P19=0), 0, IF(OR(O19=Lists!$F$11, O19=Lists!$F$13), 0, 1))</f>
        <v>1</v>
      </c>
      <c r="AD19" s="98">
        <f>IF(OR($C19="", AND(NOT(O19=Lists!$F$11), NOT(O19=Lists!$F$13))),0,IF(ISBLANK(P19)=FALSE,0,1))</f>
        <v>0</v>
      </c>
      <c r="AE19" s="72"/>
      <c r="AF19" s="523">
        <f xml:space="preserve"> IF(OR( AND( K19 = Lists!$F$11, '3A - SWT'!L19 &lt; 0), AND( '3A - SWT'!M19 = Lists!$F$11, '3A - SWT'!N19 &lt; 0), AND( '3A - SWT'!O19 = Lists!$F$11, '3A - SWT'!P19 &lt; 0)), 1, 0)</f>
        <v>0</v>
      </c>
      <c r="AG19" s="523">
        <f xml:space="preserve"> IF( OR( AND( K19 = Lists!$F$13, '3A - SWT'!L19 &gt; 0), AND( M19 = Lists!$F$13, '3A - SWT'!N19 &gt; 0), AND( O19 = Lists!$F$13, '3A - SWT'!P19 &gt; 0 )), 1, 0)</f>
        <v>0</v>
      </c>
      <c r="AH19" s="525"/>
      <c r="AI19" s="701" t="str">
        <f>IF($P$1="Select company","",IF((HLOOKUP(((VLOOKUP($P$1,Lists!$B$4:$C$26,2,FALSE))&amp;'PC LIST'!$J$2),'PC list edited'!$A$2:$EJ$65,(B19+1),FALSE))=0,"",HLOOKUP(((VLOOKUP($P$1,Lists!$B$4:$C$26,2,FALSE))&amp; 'PC LIST'!$J$2),'PC list edited'!$A$2:$EJ$65,(B19+1),FALSE)))</f>
        <v>NFI</v>
      </c>
      <c r="AJ19" s="2417" t="str">
        <f>IFERROR(INDEX('PC LIST'!N$3:N$631, MATCH($C19, 'PC LIST'!$B$3:$B$631, 0)),"")</f>
        <v>Catchment management</v>
      </c>
    </row>
    <row r="20" spans="1:36" s="321" customFormat="1" ht="30" customHeight="1">
      <c r="A20" s="75"/>
      <c r="B20" s="299">
        <f t="shared" si="3"/>
        <v>16</v>
      </c>
      <c r="C20" s="514" t="str">
        <f>IF($P$1="Select company","",IF((HLOOKUP((VLOOKUP($P$1,Lists!$B$4:$C$26,2,FALSE)),'PC list edited'!$A$2:$EJ$65,(B20+1),FALSE))=0,"",HLOOKUP((VLOOKUP($P$1,Lists!$B$4:$C$26,2,FALSE)),'PC list edited'!$A$2:$EJ$65,(B20+1),FALSE)))</f>
        <v>PR14SWTWSW_W-E3b</v>
      </c>
      <c r="D20" s="513" t="str">
        <f>IF($P$1="Select company","",IF(C20 ="","",HLOOKUP(((VLOOKUP($P$1,Lists!$B$4:$C$26,2,FALSE))&amp;"PC"),'PC list edited'!$A$2:$EJ$65,(B20+1),FALSE)))</f>
        <v>W-E3b: Catchment management (number of farms)</v>
      </c>
      <c r="E20" s="327" t="str">
        <f>IF($P$1="Select company","",IF(C20 ="","",HLOOKUP(((VLOOKUP($P$1,Lists!$B$4:$C$26,2,FALSE))&amp;"unit"),'PC list edited'!$A$2:$EJ$65,(B20+1),FALSE)))</f>
        <v>nr</v>
      </c>
      <c r="F20" s="327" t="str">
        <f>IF($P$1="Select company","",IF(C20 ="","",HLOOKUP(((VLOOKUP($P$1,Lists!$B$4:$C$26,2,FALSE))&amp;"UnitDes"),'PC list edited'!$A$2:$EJ$65,(B20+1),FALSE)))</f>
        <v>No. of farms (cumulative)</v>
      </c>
      <c r="G20" s="533">
        <f>IF($P$1="Select company","",IF(C20="","",HLOOKUP(((VLOOKUP($P$1,Lists!$B$4:$C$26,2,FALSE))&amp;"DP"),'PC list edited'!$A$2:$EJ$65,(B20+1),FALSE)))</f>
        <v>0</v>
      </c>
      <c r="H20" s="533">
        <f>IF($P$1="Select company","",IF(C20 = "","",HLOOKUP(((VLOOKUP($P$1,Lists!$B$4:$C$26,2,FALSE))&amp;"201718Actual"),'PC list edited'!$A$2:$EJ$65,(B20+1),FALSE)))</f>
        <v>1290</v>
      </c>
      <c r="I20" s="570">
        <f>'[1]3A'!J20</f>
        <v>1537</v>
      </c>
      <c r="J20" s="570" t="str">
        <f>'[1]3A'!K20</f>
        <v>N/A</v>
      </c>
      <c r="K20" s="570" t="s">
        <v>497</v>
      </c>
      <c r="L20" s="570" t="s">
        <v>497</v>
      </c>
      <c r="M20" s="570" t="s">
        <v>497</v>
      </c>
      <c r="N20" s="570" t="s">
        <v>497</v>
      </c>
      <c r="O20" s="570" t="s">
        <v>497</v>
      </c>
      <c r="P20" s="3179" t="s">
        <v>497</v>
      </c>
      <c r="Q20" s="71"/>
      <c r="R20" s="521">
        <f t="shared" si="4"/>
        <v>0</v>
      </c>
      <c r="S20" s="24" t="str">
        <f t="shared" si="1"/>
        <v>Please complete all cells in row</v>
      </c>
      <c r="T20" s="71"/>
      <c r="U20" s="72"/>
      <c r="V20" s="98">
        <f t="shared" si="2"/>
        <v>0</v>
      </c>
      <c r="W20" s="98">
        <f>IF($C20="",0,IF(ISBLANK(#REF!)=FALSE,0,1))</f>
        <v>0</v>
      </c>
      <c r="X20" s="98">
        <f t="shared" si="0"/>
        <v>0</v>
      </c>
      <c r="Y20" s="98">
        <f>IF(OR(ISBLANK(L20), L20=0), 0, IF(OR(K20=Lists!$F$11, K20=Lists!$F$13), 0, 1))</f>
        <v>1</v>
      </c>
      <c r="Z20" s="98">
        <f>IF(OR($C20="", AND(NOT(K20=Lists!$F$11), NOT(K20=Lists!$F$13))),0,IF(ISBLANK(L20)=FALSE,0,1))</f>
        <v>0</v>
      </c>
      <c r="AA20" s="98">
        <f>IF(OR(ISBLANK(N20), N20=0), 0, IF(OR(M20=Lists!$F$11, M20=Lists!$F$13), 0, 1))</f>
        <v>1</v>
      </c>
      <c r="AB20" s="98">
        <f>IF(OR($C20="", AND(NOT(M20=Lists!$F$11), NOT(M20=Lists!$F$13))),0,IF(ISBLANK(N20)=FALSE,0,1))</f>
        <v>0</v>
      </c>
      <c r="AC20" s="98">
        <f>IF(OR(ISBLANK(P20), P20=0), 0, IF(OR(O20=Lists!$F$11, O20=Lists!$F$13), 0, 1))</f>
        <v>1</v>
      </c>
      <c r="AD20" s="98">
        <f>IF(OR($C20="", AND(NOT(O20=Lists!$F$11), NOT(O20=Lists!$F$13))),0,IF(ISBLANK(P20)=FALSE,0,1))</f>
        <v>0</v>
      </c>
      <c r="AE20" s="72"/>
      <c r="AF20" s="523">
        <f xml:space="preserve"> IF(OR( AND( K20 = Lists!$F$11, '3A - SWT'!L20 &lt; 0), AND( '3A - SWT'!M20 = Lists!$F$11, '3A - SWT'!N20 &lt; 0), AND( '3A - SWT'!O20 = Lists!$F$11, '3A - SWT'!P20 &lt; 0)), 1, 0)</f>
        <v>0</v>
      </c>
      <c r="AG20" s="523">
        <f xml:space="preserve"> IF( OR( AND( K20 = Lists!$F$13, '3A - SWT'!L20 &gt; 0), AND( M20 = Lists!$F$13, '3A - SWT'!N20 &gt; 0), AND( O20 = Lists!$F$13, '3A - SWT'!P20 &gt; 0 )), 1, 0)</f>
        <v>0</v>
      </c>
      <c r="AH20" s="525"/>
      <c r="AI20" s="701" t="str">
        <f>IF($P$1="Select company","",IF((HLOOKUP(((VLOOKUP($P$1,Lists!$B$4:$C$26,2,FALSE))&amp;'PC LIST'!$J$2),'PC list edited'!$A$2:$EJ$65,(B20+1),FALSE))=0,"",HLOOKUP(((VLOOKUP($P$1,Lists!$B$4:$C$26,2,FALSE))&amp; 'PC LIST'!$J$2),'PC list edited'!$A$2:$EJ$65,(B20+1),FALSE)))</f>
        <v>NFI</v>
      </c>
      <c r="AJ20" s="2417" t="str">
        <f>IFERROR(INDEX('PC LIST'!N$3:N$631, MATCH($C20, 'PC LIST'!$B$3:$B$631, 0)),"")</f>
        <v>Catchment management</v>
      </c>
    </row>
    <row r="21" spans="1:36" s="321" customFormat="1" ht="30" customHeight="1">
      <c r="A21" s="75"/>
      <c r="B21" s="299">
        <f t="shared" si="3"/>
        <v>17</v>
      </c>
      <c r="C21" s="514" t="str">
        <f>IF($P$1="Select company","",IF((HLOOKUP((VLOOKUP($P$1,Lists!$B$4:$C$26,2,FALSE)),'PC list edited'!$A$2:$EJ$65,(B21+1),FALSE))=0,"",HLOOKUP((VLOOKUP($P$1,Lists!$B$4:$C$26,2,FALSE)),'PC list edited'!$A$2:$EJ$65,(B21+1),FALSE)))</f>
        <v>PR14SWTWSW_W-E4</v>
      </c>
      <c r="D21" s="513" t="str">
        <f>IF($P$1="Select company","",IF(C21 ="","",HLOOKUP(((VLOOKUP($P$1,Lists!$B$4:$C$26,2,FALSE))&amp;"PC"),'PC list edited'!$A$2:$EJ$65,(B21+1),FALSE)))</f>
        <v>W-E4: Pollution incidents (category 1 and 2)</v>
      </c>
      <c r="E21" s="327" t="str">
        <f>IF($P$1="Select company","",IF(C21 ="","",HLOOKUP(((VLOOKUP($P$1,Lists!$B$4:$C$26,2,FALSE))&amp;"unit"),'PC list edited'!$A$2:$EJ$65,(B21+1),FALSE)))</f>
        <v>nr</v>
      </c>
      <c r="F21" s="327" t="str">
        <f>IF($P$1="Select company","",IF(C21 ="","",HLOOKUP(((VLOOKUP($P$1,Lists!$B$4:$C$26,2,FALSE))&amp;"UnitDes"),'PC list edited'!$A$2:$EJ$65,(B21+1),FALSE)))</f>
        <v>No. of pollution incidents (cats 1 and 2)</v>
      </c>
      <c r="G21" s="533">
        <f>IF($P$1="Select company","",IF(C21="","",HLOOKUP(((VLOOKUP($P$1,Lists!$B$4:$C$26,2,FALSE))&amp;"DP"),'PC list edited'!$A$2:$EJ$65,(B21+1),FALSE)))</f>
        <v>0</v>
      </c>
      <c r="H21" s="533">
        <f>IF($P$1="Select company","",IF(C21 = "","",HLOOKUP(((VLOOKUP($P$1,Lists!$B$4:$C$26,2,FALSE))&amp;"201718Actual"),'PC list edited'!$A$2:$EJ$65,(B21+1),FALSE)))</f>
        <v>0</v>
      </c>
      <c r="I21" s="570">
        <f>'[1]3A'!J21</f>
        <v>0</v>
      </c>
      <c r="J21" s="570" t="str">
        <f>'[1]3A'!K21</f>
        <v>Yes</v>
      </c>
      <c r="K21" s="570" t="s">
        <v>497</v>
      </c>
      <c r="L21" s="570" t="s">
        <v>497</v>
      </c>
      <c r="M21" s="570" t="s">
        <v>497</v>
      </c>
      <c r="N21" s="570" t="s">
        <v>497</v>
      </c>
      <c r="O21" s="570" t="s">
        <v>497</v>
      </c>
      <c r="P21" s="3179" t="s">
        <v>497</v>
      </c>
      <c r="Q21" s="71"/>
      <c r="R21" s="521">
        <f t="shared" si="4"/>
        <v>0</v>
      </c>
      <c r="S21" s="24" t="str">
        <f t="shared" si="1"/>
        <v>Please complete all cells in row</v>
      </c>
      <c r="T21" s="71"/>
      <c r="U21" s="72"/>
      <c r="V21" s="98">
        <f t="shared" si="2"/>
        <v>0</v>
      </c>
      <c r="W21" s="98">
        <f>IF($C21="",0,IF(ISBLANK(#REF!)=FALSE,0,1))</f>
        <v>0</v>
      </c>
      <c r="X21" s="98">
        <f t="shared" si="0"/>
        <v>0</v>
      </c>
      <c r="Y21" s="98">
        <f>IF(OR(ISBLANK(L21), L21=0), 0, IF(OR(K21=Lists!$F$11, K21=Lists!$F$13), 0, 1))</f>
        <v>1</v>
      </c>
      <c r="Z21" s="98">
        <f>IF(OR($C21="", AND(NOT(K21=Lists!$F$11), NOT(K21=Lists!$F$13))),0,IF(ISBLANK(L21)=FALSE,0,1))</f>
        <v>0</v>
      </c>
      <c r="AA21" s="98">
        <f>IF(OR(ISBLANK(N21), N21=0), 0, IF(OR(M21=Lists!$F$11, M21=Lists!$F$13), 0, 1))</f>
        <v>1</v>
      </c>
      <c r="AB21" s="98">
        <f>IF(OR($C21="", AND(NOT(M21=Lists!$F$11), NOT(M21=Lists!$F$13))),0,IF(ISBLANK(N21)=FALSE,0,1))</f>
        <v>0</v>
      </c>
      <c r="AC21" s="98">
        <f>IF(OR(ISBLANK(P21), P21=0), 0, IF(OR(O21=Lists!$F$11, O21=Lists!$F$13), 0, 1))</f>
        <v>1</v>
      </c>
      <c r="AD21" s="98">
        <f>IF(OR($C21="", AND(NOT(O21=Lists!$F$11), NOT(O21=Lists!$F$13))),0,IF(ISBLANK(P21)=FALSE,0,1))</f>
        <v>0</v>
      </c>
      <c r="AE21" s="72"/>
      <c r="AF21" s="523">
        <f xml:space="preserve"> IF(OR( AND( K21 = Lists!$F$11, '3A - SWT'!L21 &lt; 0), AND( '3A - SWT'!M21 = Lists!$F$11, '3A - SWT'!N21 &lt; 0), AND( '3A - SWT'!O21 = Lists!$F$11, '3A - SWT'!P21 &lt; 0)), 1, 0)</f>
        <v>0</v>
      </c>
      <c r="AG21" s="523">
        <f xml:space="preserve"> IF( OR( AND( K21 = Lists!$F$13, '3A - SWT'!L21 &gt; 0), AND( M21 = Lists!$F$13, '3A - SWT'!N21 &gt; 0), AND( O21 = Lists!$F$13, '3A - SWT'!P21 &gt; 0 )), 1, 0)</f>
        <v>0</v>
      </c>
      <c r="AH21" s="525"/>
      <c r="AI21" s="701" t="str">
        <f>IF($P$1="Select company","",IF((HLOOKUP(((VLOOKUP($P$1,Lists!$B$4:$C$26,2,FALSE))&amp;'PC LIST'!$J$2),'PC list edited'!$A$2:$EJ$65,(B21+1),FALSE))=0,"",HLOOKUP(((VLOOKUP($P$1,Lists!$B$4:$C$26,2,FALSE))&amp; 'PC LIST'!$J$2),'PC list edited'!$A$2:$EJ$65,(B21+1),FALSE)))</f>
        <v>Under</v>
      </c>
      <c r="AJ21" s="2417" t="str">
        <f>IFERROR(INDEX('PC LIST'!N$3:N$631, MATCH($C21, 'PC LIST'!$B$3:$B$631, 0)),"")</f>
        <v>Pollution incidents</v>
      </c>
    </row>
    <row r="22" spans="1:36" s="321" customFormat="1" ht="30" customHeight="1">
      <c r="A22" s="75"/>
      <c r="B22" s="299">
        <f t="shared" si="3"/>
        <v>18</v>
      </c>
      <c r="C22" s="514" t="str">
        <f>IF($P$1="Select company","",IF((HLOOKUP((VLOOKUP($P$1,Lists!$B$4:$C$26,2,FALSE)),'PC list edited'!$A$2:$EJ$65,(B22+1),FALSE))=0,"",HLOOKUP((VLOOKUP($P$1,Lists!$B$4:$C$26,2,FALSE)),'PC list edited'!$A$2:$EJ$65,(B22+1),FALSE)))</f>
        <v>PR14SWTWSW_W-E5</v>
      </c>
      <c r="D22" s="513" t="str">
        <f>IF($P$1="Select company","",IF(C22 ="","",HLOOKUP(((VLOOKUP($P$1,Lists!$B$4:$C$26,2,FALSE))&amp;"PC"),'PC list edited'!$A$2:$EJ$65,(B22+1),FALSE)))</f>
        <v>W-E5: Pollution incidents (category 3 and 4)</v>
      </c>
      <c r="E22" s="327" t="str">
        <f>IF($P$1="Select company","",IF(C22 ="","",HLOOKUP(((VLOOKUP($P$1,Lists!$B$4:$C$26,2,FALSE))&amp;"unit"),'PC list edited'!$A$2:$EJ$65,(B22+1),FALSE)))</f>
        <v>nr</v>
      </c>
      <c r="F22" s="327" t="str">
        <f>IF($P$1="Select company","",IF(C22 ="","",HLOOKUP(((VLOOKUP($P$1,Lists!$B$4:$C$26,2,FALSE))&amp;"UnitDes"),'PC list edited'!$A$2:$EJ$65,(B22+1),FALSE)))</f>
        <v>No. of pollution incidents (cats 3 and 4)</v>
      </c>
      <c r="G22" s="533">
        <f>IF($P$1="Select company","",IF(C22="","",HLOOKUP(((VLOOKUP($P$1,Lists!$B$4:$C$26,2,FALSE))&amp;"DP"),'PC list edited'!$A$2:$EJ$65,(B22+1),FALSE)))</f>
        <v>0</v>
      </c>
      <c r="H22" s="533">
        <f>IF($P$1="Select company","",IF(C22 = "","",HLOOKUP(((VLOOKUP($P$1,Lists!$B$4:$C$26,2,FALSE))&amp;"201718Actual"),'PC list edited'!$A$2:$EJ$65,(B22+1),FALSE)))</f>
        <v>18</v>
      </c>
      <c r="I22" s="570">
        <f>'[1]3A'!J22</f>
        <v>12</v>
      </c>
      <c r="J22" s="570" t="str">
        <f>'[1]3A'!K22</f>
        <v>No</v>
      </c>
      <c r="K22" s="570" t="str">
        <f>'[1]3A'!L22</f>
        <v>Underperformance Payment</v>
      </c>
      <c r="L22" s="3182">
        <f>'[1]3A'!M22</f>
        <v>-2.1999999999999999E-2</v>
      </c>
      <c r="M22" s="570" t="s">
        <v>497</v>
      </c>
      <c r="N22" s="570" t="s">
        <v>497</v>
      </c>
      <c r="O22" s="570" t="str">
        <f>'[1]3A'!P22</f>
        <v>Underperformance Payment</v>
      </c>
      <c r="P22" s="3179">
        <f>'[1]3A'!Q22</f>
        <v>-8.7999999999999995E-2</v>
      </c>
      <c r="Q22" s="71"/>
      <c r="R22" s="521">
        <f t="shared" si="4"/>
        <v>0</v>
      </c>
      <c r="S22" s="24" t="str">
        <f t="shared" si="1"/>
        <v>Please complete all cells in row</v>
      </c>
      <c r="T22" s="71"/>
      <c r="U22" s="72"/>
      <c r="V22" s="98">
        <f t="shared" si="2"/>
        <v>0</v>
      </c>
      <c r="W22" s="98">
        <f>IF($C22="",0,IF(ISBLANK(#REF!)=FALSE,0,1))</f>
        <v>0</v>
      </c>
      <c r="X22" s="98">
        <f t="shared" si="0"/>
        <v>0</v>
      </c>
      <c r="Y22" s="98">
        <f>IF(OR(ISBLANK(L22), L22=0), 0, IF(OR(K22=Lists!$F$11, K22=Lists!$F$13), 0, 1))</f>
        <v>0</v>
      </c>
      <c r="Z22" s="98">
        <f>IF(OR($C22="", AND(NOT(K22=Lists!$F$11), NOT(K22=Lists!$F$13))),0,IF(ISBLANK(L22)=FALSE,0,1))</f>
        <v>0</v>
      </c>
      <c r="AA22" s="98">
        <f>IF(OR(ISBLANK(N22), N22=0), 0, IF(OR(M22=Lists!$F$11, M22=Lists!$F$13), 0, 1))</f>
        <v>1</v>
      </c>
      <c r="AB22" s="98">
        <f>IF(OR($C22="", AND(NOT(M22=Lists!$F$11), NOT(M22=Lists!$F$13))),0,IF(ISBLANK(N22)=FALSE,0,1))</f>
        <v>0</v>
      </c>
      <c r="AC22" s="98">
        <f>IF(OR(ISBLANK(P22), P22=0), 0, IF(OR(O22=Lists!$F$11, O22=Lists!$F$13), 0, 1))</f>
        <v>0</v>
      </c>
      <c r="AD22" s="98">
        <f>IF(OR($C22="", AND(NOT(O22=Lists!$F$11), NOT(O22=Lists!$F$13))),0,IF(ISBLANK(P22)=FALSE,0,1))</f>
        <v>0</v>
      </c>
      <c r="AE22" s="72"/>
      <c r="AF22" s="523">
        <f xml:space="preserve"> IF(OR( AND( K22 = Lists!$F$11, '3A - SWT'!L22 &lt; 0), AND( '3A - SWT'!M22 = Lists!$F$11, '3A - SWT'!N22 &lt; 0), AND( '3A - SWT'!O22 = Lists!$F$11, '3A - SWT'!P22 &lt; 0)), 1, 0)</f>
        <v>0</v>
      </c>
      <c r="AG22" s="523">
        <f xml:space="preserve"> IF( OR( AND( K22 = Lists!$F$13, '3A - SWT'!L22 &gt; 0), AND( M22 = Lists!$F$13, '3A - SWT'!N22 &gt; 0), AND( O22 = Lists!$F$13, '3A - SWT'!P22 &gt; 0 )), 1, 0)</f>
        <v>0</v>
      </c>
      <c r="AH22" s="525"/>
      <c r="AI22" s="701" t="str">
        <f>IF($P$1="Select company","",IF((HLOOKUP(((VLOOKUP($P$1,Lists!$B$4:$C$26,2,FALSE))&amp;'PC LIST'!$J$2),'PC list edited'!$A$2:$EJ$65,(B22+1),FALSE))=0,"",HLOOKUP(((VLOOKUP($P$1,Lists!$B$4:$C$26,2,FALSE))&amp; 'PC LIST'!$J$2),'PC list edited'!$A$2:$EJ$65,(B22+1),FALSE)))</f>
        <v>Under</v>
      </c>
      <c r="AJ22" s="2417" t="str">
        <f>IFERROR(INDEX('PC LIST'!N$3:N$631, MATCH($C22, 'PC LIST'!$B$3:$B$631, 0)),"")</f>
        <v>Pollution incidents</v>
      </c>
    </row>
    <row r="23" spans="1:36" s="321" customFormat="1" ht="30" customHeight="1">
      <c r="A23" s="75"/>
      <c r="B23" s="299">
        <f t="shared" si="3"/>
        <v>19</v>
      </c>
      <c r="C23" s="514" t="str">
        <f>IF($P$1="Select company","",IF((HLOOKUP((VLOOKUP($P$1,Lists!$B$4:$C$26,2,FALSE)),'PC list edited'!$A$2:$EJ$65,(B23+1),FALSE))=0,"",HLOOKUP((VLOOKUP($P$1,Lists!$B$4:$C$26,2,FALSE)),'PC list edited'!$A$2:$EJ$65,(B23+1),FALSE)))</f>
        <v>PR14SWTWSW_W-E6</v>
      </c>
      <c r="D23" s="513" t="str">
        <f>IF($P$1="Select company","",IF(C23 ="","",HLOOKUP(((VLOOKUP($P$1,Lists!$B$4:$C$26,2,FALSE))&amp;"PC"),'PC list edited'!$A$2:$EJ$65,(B23+1),FALSE)))</f>
        <v>W-E6: Operational carbon emissions (ktCO2e)</v>
      </c>
      <c r="E23" s="327" t="str">
        <f>IF($P$1="Select company","",IF(C23 ="","",HLOOKUP(((VLOOKUP($P$1,Lists!$B$4:$C$26,2,FALSE))&amp;"unit"),'PC list edited'!$A$2:$EJ$65,(B23+1),FALSE)))</f>
        <v>nr</v>
      </c>
      <c r="F23" s="327" t="str">
        <f>IF($P$1="Select company","",IF(C23 ="","",HLOOKUP(((VLOOKUP($P$1,Lists!$B$4:$C$26,2,FALSE))&amp;"UnitDes"),'PC list edited'!$A$2:$EJ$65,(B23+1),FALSE)))</f>
        <v>ktCO2e</v>
      </c>
      <c r="G23" s="533">
        <f>IF($P$1="Select company","",IF(C23="","",HLOOKUP(((VLOOKUP($P$1,Lists!$B$4:$C$26,2,FALSE))&amp;"DP"),'PC list edited'!$A$2:$EJ$65,(B23+1),FALSE)))</f>
        <v>1</v>
      </c>
      <c r="H23" s="533">
        <f>IF($P$1="Select company","",IF(C23 = "","",HLOOKUP(((VLOOKUP($P$1,Lists!$B$4:$C$26,2,FALSE))&amp;"201718Actual"),'PC list edited'!$A$2:$EJ$65,(B23+1),FALSE)))</f>
        <v>57</v>
      </c>
      <c r="I23" s="570">
        <f>'[1]3A'!J23</f>
        <v>56.646525515988195</v>
      </c>
      <c r="J23" s="570" t="str">
        <f>'[1]3A'!K23</f>
        <v>N/A</v>
      </c>
      <c r="K23" s="570" t="s">
        <v>497</v>
      </c>
      <c r="L23" s="570" t="s">
        <v>497</v>
      </c>
      <c r="M23" s="570" t="s">
        <v>497</v>
      </c>
      <c r="N23" s="570" t="s">
        <v>497</v>
      </c>
      <c r="O23" s="570" t="s">
        <v>497</v>
      </c>
      <c r="P23" s="3179" t="s">
        <v>497</v>
      </c>
      <c r="Q23" s="123"/>
      <c r="R23" s="521">
        <f t="shared" si="4"/>
        <v>0</v>
      </c>
      <c r="S23" s="24" t="str">
        <f t="shared" si="1"/>
        <v>Please complete all cells in row</v>
      </c>
      <c r="T23" s="123"/>
      <c r="U23" s="129"/>
      <c r="V23" s="98">
        <f t="shared" si="2"/>
        <v>0</v>
      </c>
      <c r="W23" s="98">
        <f>IF($C23="",0,IF(ISBLANK(#REF!)=FALSE,0,1))</f>
        <v>0</v>
      </c>
      <c r="X23" s="98">
        <f t="shared" si="0"/>
        <v>0</v>
      </c>
      <c r="Y23" s="98">
        <f>IF(OR(ISBLANK(L23), L23=0), 0, IF(OR(K23=Lists!$F$11, K23=Lists!$F$13), 0, 1))</f>
        <v>1</v>
      </c>
      <c r="Z23" s="98">
        <f>IF(OR($C23="", AND(NOT(K23=Lists!$F$11), NOT(K23=Lists!$F$13))),0,IF(ISBLANK(L23)=FALSE,0,1))</f>
        <v>0</v>
      </c>
      <c r="AA23" s="98">
        <f>IF(OR(ISBLANK(N23), N23=0), 0, IF(OR(M23=Lists!$F$11, M23=Lists!$F$13), 0, 1))</f>
        <v>1</v>
      </c>
      <c r="AB23" s="98">
        <f>IF(OR($C23="", AND(NOT(M23=Lists!$F$11), NOT(M23=Lists!$F$13))),0,IF(ISBLANK(N23)=FALSE,0,1))</f>
        <v>0</v>
      </c>
      <c r="AC23" s="98">
        <f>IF(OR(ISBLANK(P23), P23=0), 0, IF(OR(O23=Lists!$F$11, O23=Lists!$F$13), 0, 1))</f>
        <v>1</v>
      </c>
      <c r="AD23" s="98">
        <f>IF(OR($C23="", AND(NOT(O23=Lists!$F$11), NOT(O23=Lists!$F$13))),0,IF(ISBLANK(P23)=FALSE,0,1))</f>
        <v>0</v>
      </c>
      <c r="AE23" s="129"/>
      <c r="AF23" s="523">
        <f xml:space="preserve"> IF(OR( AND( K23 = Lists!$F$11, '3A - SWT'!L23 &lt; 0), AND( '3A - SWT'!M23 = Lists!$F$11, '3A - SWT'!N23 &lt; 0), AND( '3A - SWT'!O23 = Lists!$F$11, '3A - SWT'!P23 &lt; 0)), 1, 0)</f>
        <v>0</v>
      </c>
      <c r="AG23" s="523">
        <f xml:space="preserve"> IF( OR( AND( K23 = Lists!$F$13, '3A - SWT'!L23 &gt; 0), AND( M23 = Lists!$F$13, '3A - SWT'!N23 &gt; 0), AND( O23 = Lists!$F$13, '3A - SWT'!P23 &gt; 0 )), 1, 0)</f>
        <v>0</v>
      </c>
      <c r="AH23" s="525"/>
      <c r="AI23" s="701" t="str">
        <f>IF($P$1="Select company","",IF((HLOOKUP(((VLOOKUP($P$1,Lists!$B$4:$C$26,2,FALSE))&amp;'PC LIST'!$J$2),'PC list edited'!$A$2:$EJ$65,(B23+1),FALSE))=0,"",HLOOKUP(((VLOOKUP($P$1,Lists!$B$4:$C$26,2,FALSE))&amp; 'PC LIST'!$J$2),'PC list edited'!$A$2:$EJ$65,(B23+1),FALSE)))</f>
        <v>NFI</v>
      </c>
      <c r="AJ23" s="2417" t="str">
        <f>IFERROR(INDEX('PC LIST'!N$3:N$631, MATCH($C23, 'PC LIST'!$B$3:$B$631, 0)),"")</f>
        <v>Energy/emissions</v>
      </c>
    </row>
    <row r="24" spans="1:36" s="321" customFormat="1" ht="30" customHeight="1">
      <c r="A24" s="75"/>
      <c r="B24" s="299">
        <f t="shared" si="3"/>
        <v>20</v>
      </c>
      <c r="C24" s="514" t="str">
        <f>IF($P$1="Select company","",IF((HLOOKUP((VLOOKUP($P$1,Lists!$B$4:$C$26,2,FALSE)),'PC list edited'!$A$2:$EJ$65,(B24+1),FALSE))=0,"",HLOOKUP((VLOOKUP($P$1,Lists!$B$4:$C$26,2,FALSE)),'PC list edited'!$A$2:$EJ$65,(B24+1),FALSE)))</f>
        <v>PR14SWTWSW_W-E7</v>
      </c>
      <c r="D24" s="513" t="str">
        <f>IF($P$1="Select company","",IF(C24 ="","",HLOOKUP(((VLOOKUP($P$1,Lists!$B$4:$C$26,2,FALSE))&amp;"PC"),'PC list edited'!$A$2:$EJ$65,(B24+1),FALSE)))</f>
        <v>W-E7: Energy from renewable sources (%)</v>
      </c>
      <c r="E24" s="327" t="str">
        <f>IF($P$1="Select company","",IF(C24 ="","",HLOOKUP(((VLOOKUP($P$1,Lists!$B$4:$C$26,2,FALSE))&amp;"unit"),'PC list edited'!$A$2:$EJ$65,(B24+1),FALSE)))</f>
        <v>%</v>
      </c>
      <c r="F24" s="327" t="str">
        <f>IF($P$1="Select company","",IF(C24 ="","",HLOOKUP(((VLOOKUP($P$1,Lists!$B$4:$C$26,2,FALSE))&amp;"UnitDes"),'PC list edited'!$A$2:$EJ$65,(B24+1),FALSE)))</f>
        <v>% energy from renewable sources</v>
      </c>
      <c r="G24" s="533">
        <f>IF($P$1="Select company","",IF(C24="","",HLOOKUP(((VLOOKUP($P$1,Lists!$B$4:$C$26,2,FALSE))&amp;"DP"),'PC list edited'!$A$2:$EJ$65,(B24+1),FALSE)))</f>
        <v>2</v>
      </c>
      <c r="H24" s="533">
        <f>IF($P$1="Select company","",IF(C24 = "","",HLOOKUP(((VLOOKUP($P$1,Lists!$B$4:$C$26,2,FALSE))&amp;"201718Actual"),'PC list edited'!$A$2:$EJ$65,(B24+1),FALSE)))</f>
        <v>8.9700000000000006</v>
      </c>
      <c r="I24" s="570">
        <f>'[1]3A'!J24</f>
        <v>9.476146685660094</v>
      </c>
      <c r="J24" s="570" t="str">
        <f>'[1]3A'!K24</f>
        <v>N/A</v>
      </c>
      <c r="K24" s="570" t="s">
        <v>497</v>
      </c>
      <c r="L24" s="570" t="s">
        <v>497</v>
      </c>
      <c r="M24" s="570" t="s">
        <v>497</v>
      </c>
      <c r="N24" s="570" t="s">
        <v>497</v>
      </c>
      <c r="O24" s="570" t="s">
        <v>497</v>
      </c>
      <c r="P24" s="3179" t="s">
        <v>497</v>
      </c>
      <c r="Q24" s="131"/>
      <c r="R24" s="521">
        <f t="shared" si="4"/>
        <v>0</v>
      </c>
      <c r="S24" s="24" t="str">
        <f t="shared" si="1"/>
        <v>Please complete all cells in row</v>
      </c>
      <c r="T24" s="131"/>
      <c r="U24" s="124"/>
      <c r="V24" s="98">
        <f t="shared" si="2"/>
        <v>0</v>
      </c>
      <c r="W24" s="98">
        <f>IF($C24="",0,IF(ISBLANK(#REF!)=FALSE,0,1))</f>
        <v>0</v>
      </c>
      <c r="X24" s="98">
        <f t="shared" si="0"/>
        <v>0</v>
      </c>
      <c r="Y24" s="98">
        <f>IF(OR(ISBLANK(L24), L24=0), 0, IF(OR(K24=Lists!$F$11, K24=Lists!$F$13), 0, 1))</f>
        <v>1</v>
      </c>
      <c r="Z24" s="98">
        <f>IF(OR($C24="", AND(NOT(K24=Lists!$F$11), NOT(K24=Lists!$F$13))),0,IF(ISBLANK(L24)=FALSE,0,1))</f>
        <v>0</v>
      </c>
      <c r="AA24" s="98">
        <f>IF(OR(ISBLANK(N24), N24=0), 0, IF(OR(M24=Lists!$F$11, M24=Lists!$F$13), 0, 1))</f>
        <v>1</v>
      </c>
      <c r="AB24" s="98">
        <f>IF(OR($C24="", AND(NOT(M24=Lists!$F$11), NOT(M24=Lists!$F$13))),0,IF(ISBLANK(N24)=FALSE,0,1))</f>
        <v>0</v>
      </c>
      <c r="AC24" s="98">
        <f>IF(OR(ISBLANK(P24), P24=0), 0, IF(OR(O24=Lists!$F$11, O24=Lists!$F$13), 0, 1))</f>
        <v>1</v>
      </c>
      <c r="AD24" s="98">
        <f>IF(OR($C24="", AND(NOT(O24=Lists!$F$11), NOT(O24=Lists!$F$13))),0,IF(ISBLANK(P24)=FALSE,0,1))</f>
        <v>0</v>
      </c>
      <c r="AE24" s="124"/>
      <c r="AF24" s="523">
        <f xml:space="preserve"> IF(OR( AND( K24 = Lists!$F$11, '3A - SWT'!L24 &lt; 0), AND( '3A - SWT'!M24 = Lists!$F$11, '3A - SWT'!N24 &lt; 0), AND( '3A - SWT'!O24 = Lists!$F$11, '3A - SWT'!P24 &lt; 0)), 1, 0)</f>
        <v>0</v>
      </c>
      <c r="AG24" s="523">
        <f xml:space="preserve"> IF( OR( AND( K24 = Lists!$F$13, '3A - SWT'!L24 &gt; 0), AND( M24 = Lists!$F$13, '3A - SWT'!N24 &gt; 0), AND( O24 = Lists!$F$13, '3A - SWT'!P24 &gt; 0 )), 1, 0)</f>
        <v>0</v>
      </c>
      <c r="AH24" s="525"/>
      <c r="AI24" s="701" t="str">
        <f>IF($P$1="Select company","",IF((HLOOKUP(((VLOOKUP($P$1,Lists!$B$4:$C$26,2,FALSE))&amp;'PC LIST'!$J$2),'PC list edited'!$A$2:$EJ$65,(B24+1),FALSE))=0,"",HLOOKUP(((VLOOKUP($P$1,Lists!$B$4:$C$26,2,FALSE))&amp; 'PC LIST'!$J$2),'PC list edited'!$A$2:$EJ$65,(B24+1),FALSE)))</f>
        <v>NFI</v>
      </c>
      <c r="AJ24" s="2417" t="str">
        <f>IFERROR(INDEX('PC LIST'!N$3:N$631, MATCH($C24, 'PC LIST'!$B$3:$B$631, 0)),"")</f>
        <v>Energy/emissions</v>
      </c>
    </row>
    <row r="25" spans="1:36" s="321" customFormat="1" ht="30" customHeight="1">
      <c r="A25" s="75"/>
      <c r="B25" s="299">
        <f t="shared" si="3"/>
        <v>21</v>
      </c>
      <c r="C25" s="514" t="str">
        <f>IF($P$1="Select company","",IF((HLOOKUP((VLOOKUP($P$1,Lists!$B$4:$C$26,2,FALSE)),'PC list edited'!$A$2:$EJ$65,(B25+1),FALSE))=0,"",HLOOKUP((VLOOKUP($P$1,Lists!$B$4:$C$26,2,FALSE)),'PC list edited'!$A$2:$EJ$65,(B25+1),FALSE)))</f>
        <v>PR14SWTWSW_W-F1</v>
      </c>
      <c r="D25" s="513" t="str">
        <f>IF($P$1="Select company","",IF(C25 ="","",HLOOKUP(((VLOOKUP($P$1,Lists!$B$4:$C$26,2,FALSE))&amp;"PC"),'PC list edited'!$A$2:$EJ$65,(B25+1),FALSE)))</f>
        <v>W-F1: Customers paying a metered bill</v>
      </c>
      <c r="E25" s="327" t="str">
        <f>IF($P$1="Select company","",IF(C25 ="","",HLOOKUP(((VLOOKUP($P$1,Lists!$B$4:$C$26,2,FALSE))&amp;"unit"),'PC list edited'!$A$2:$EJ$65,(B25+1),FALSE)))</f>
        <v>%</v>
      </c>
      <c r="F25" s="327" t="str">
        <f>IF($P$1="Select company","",IF(C25 ="","",HLOOKUP(((VLOOKUP($P$1,Lists!$B$4:$C$26,2,FALSE))&amp;"UnitDes"),'PC list edited'!$A$2:$EJ$65,(B25+1),FALSE)))</f>
        <v>% domestic customers with metered bill</v>
      </c>
      <c r="G25" s="533">
        <f>IF($P$1="Select company","",IF(C25="","",HLOOKUP(((VLOOKUP($P$1,Lists!$B$4:$C$26,2,FALSE))&amp;"DP"),'PC list edited'!$A$2:$EJ$65,(B25+1),FALSE)))</f>
        <v>1</v>
      </c>
      <c r="H25" s="533">
        <f>IF($P$1="Select company","",IF(C25 = "","",HLOOKUP(((VLOOKUP($P$1,Lists!$B$4:$C$26,2,FALSE))&amp;"201718Actual"),'PC list edited'!$A$2:$EJ$65,(B25+1),FALSE)))</f>
        <v>81.8</v>
      </c>
      <c r="I25" s="570">
        <f>'[1]3A'!J25</f>
        <v>82.763504392661929</v>
      </c>
      <c r="J25" s="570" t="str">
        <f>'[1]3A'!K25</f>
        <v>No</v>
      </c>
      <c r="K25" s="570" t="s">
        <v>497</v>
      </c>
      <c r="L25" s="570" t="s">
        <v>497</v>
      </c>
      <c r="M25" s="570" t="str">
        <f>'[1]3A'!N25</f>
        <v>Underperformance Deadband</v>
      </c>
      <c r="N25" s="570" t="s">
        <v>497</v>
      </c>
      <c r="O25" s="570" t="str">
        <f>'[1]3A'!P25</f>
        <v>Underperformance Payment</v>
      </c>
      <c r="P25" s="3179">
        <f>'[1]3A'!Q25</f>
        <v>-0.214</v>
      </c>
      <c r="Q25" s="131"/>
      <c r="R25" s="521">
        <f t="shared" si="4"/>
        <v>0</v>
      </c>
      <c r="S25" s="24" t="str">
        <f t="shared" si="1"/>
        <v>Please complete all cells in row</v>
      </c>
      <c r="T25" s="131"/>
      <c r="U25" s="124"/>
      <c r="V25" s="98">
        <f t="shared" si="2"/>
        <v>0</v>
      </c>
      <c r="W25" s="98">
        <f>IF($C25="",0,IF(ISBLANK(#REF!)=FALSE,0,1))</f>
        <v>0</v>
      </c>
      <c r="X25" s="98">
        <f t="shared" si="0"/>
        <v>0</v>
      </c>
      <c r="Y25" s="98">
        <f>IF(OR(ISBLANK(L25), L25=0), 0, IF(OR(K25=Lists!$F$11, K25=Lists!$F$13), 0, 1))</f>
        <v>1</v>
      </c>
      <c r="Z25" s="98">
        <f>IF(OR($C25="", AND(NOT(K25=Lists!$F$11), NOT(K25=Lists!$F$13))),0,IF(ISBLANK(L25)=FALSE,0,1))</f>
        <v>0</v>
      </c>
      <c r="AA25" s="98">
        <f>IF(OR(ISBLANK(N25), N25=0), 0, IF(OR(M25=Lists!$F$11, M25=Lists!$F$13), 0, 1))</f>
        <v>1</v>
      </c>
      <c r="AB25" s="98">
        <f>IF(OR($C25="", AND(NOT(M25=Lists!$F$11), NOT(M25=Lists!$F$13))),0,IF(ISBLANK(N25)=FALSE,0,1))</f>
        <v>0</v>
      </c>
      <c r="AC25" s="98">
        <f>IF(OR(ISBLANK(P25), P25=0), 0, IF(OR(O25=Lists!$F$11, O25=Lists!$F$13), 0, 1))</f>
        <v>0</v>
      </c>
      <c r="AD25" s="98">
        <f>IF(OR($C25="", AND(NOT(O25=Lists!$F$11), NOT(O25=Lists!$F$13))),0,IF(ISBLANK(P25)=FALSE,0,1))</f>
        <v>0</v>
      </c>
      <c r="AE25" s="124"/>
      <c r="AF25" s="523">
        <f xml:space="preserve"> IF(OR( AND( K25 = Lists!$F$11, '3A - SWT'!L25 &lt; 0), AND( '3A - SWT'!M25 = Lists!$F$11, '3A - SWT'!N25 &lt; 0), AND( '3A - SWT'!O25 = Lists!$F$11, '3A - SWT'!P25 &lt; 0)), 1, 0)</f>
        <v>0</v>
      </c>
      <c r="AG25" s="523">
        <f xml:space="preserve"> IF( OR( AND( K25 = Lists!$F$13, '3A - SWT'!L25 &gt; 0), AND( M25 = Lists!$F$13, '3A - SWT'!N25 &gt; 0), AND( O25 = Lists!$F$13, '3A - SWT'!P25 &gt; 0 )), 1, 0)</f>
        <v>0</v>
      </c>
      <c r="AH25" s="525"/>
      <c r="AI25" s="701" t="str">
        <f>IF($P$1="Select company","",IF((HLOOKUP(((VLOOKUP($P$1,Lists!$B$4:$C$26,2,FALSE))&amp;'PC LIST'!$J$2),'PC list edited'!$A$2:$EJ$65,(B25+1),FALSE))=0,"",HLOOKUP(((VLOOKUP($P$1,Lists!$B$4:$C$26,2,FALSE))&amp; 'PC LIST'!$J$2),'PC list edited'!$A$2:$EJ$65,(B25+1),FALSE)))</f>
        <v>Under</v>
      </c>
      <c r="AJ25" s="2417" t="str">
        <f>IFERROR(INDEX('PC LIST'!N$3:N$631, MATCH($C25, 'PC LIST'!$B$3:$B$631, 0)),"")</f>
        <v>Metering</v>
      </c>
    </row>
    <row r="26" spans="1:36" s="321" customFormat="1" ht="30" customHeight="1">
      <c r="A26" s="75"/>
      <c r="B26" s="299">
        <f t="shared" si="3"/>
        <v>22</v>
      </c>
      <c r="C26" s="514" t="str">
        <f>IF($P$1="Select company","",IF((HLOOKUP((VLOOKUP($P$1,Lists!$B$4:$C$26,2,FALSE)),'PC list edited'!$A$2:$EJ$65,(B26+1),FALSE))=0,"",HLOOKUP((VLOOKUP($P$1,Lists!$B$4:$C$26,2,FALSE)),'PC list edited'!$A$2:$EJ$65,(B26+1),FALSE)))</f>
        <v>PR14SWTWSWW_S-A1</v>
      </c>
      <c r="D26" s="513" t="str">
        <f>IF($P$1="Select company","",IF(C26 ="","",HLOOKUP(((VLOOKUP($P$1,Lists!$B$4:$C$26,2,FALSE))&amp;"PC"),'PC list edited'!$A$2:$EJ$65,(B26+1),FALSE)))</f>
        <v>S-A1: Internal sewer flooding incidents</v>
      </c>
      <c r="E26" s="327" t="str">
        <f>IF($P$1="Select company","",IF(C26 ="","",HLOOKUP(((VLOOKUP($P$1,Lists!$B$4:$C$26,2,FALSE))&amp;"unit"),'PC list edited'!$A$2:$EJ$65,(B26+1),FALSE)))</f>
        <v>nr</v>
      </c>
      <c r="F26" s="327" t="str">
        <f>IF($P$1="Select company","",IF(C26 ="","",HLOOKUP(((VLOOKUP($P$1,Lists!$B$4:$C$26,2,FALSE))&amp;"UnitDes"),'PC list edited'!$A$2:$EJ$65,(B26+1),FALSE)))</f>
        <v>No. of internal sewer flooding incidents</v>
      </c>
      <c r="G26" s="533">
        <f>IF($P$1="Select company","",IF(C26="","",HLOOKUP(((VLOOKUP($P$1,Lists!$B$4:$C$26,2,FALSE))&amp;"DP"),'PC list edited'!$A$2:$EJ$65,(B26+1),FALSE)))</f>
        <v>0</v>
      </c>
      <c r="H26" s="533">
        <f>IF($P$1="Select company","",IF(C26 = "","",HLOOKUP(((VLOOKUP($P$1,Lists!$B$4:$C$26,2,FALSE))&amp;"201718Actual"),'PC list edited'!$A$2:$EJ$65,(B26+1),FALSE)))</f>
        <v>141</v>
      </c>
      <c r="I26" s="570">
        <f>'[1]3A'!J26</f>
        <v>93</v>
      </c>
      <c r="J26" s="570" t="str">
        <f>'[1]3A'!K26</f>
        <v>Yes</v>
      </c>
      <c r="K26" s="570" t="s">
        <v>497</v>
      </c>
      <c r="L26" s="570" t="s">
        <v>497</v>
      </c>
      <c r="M26" s="570" t="str">
        <f>'[1]3A'!N26</f>
        <v>Outperformance Payment</v>
      </c>
      <c r="N26" s="3182">
        <f>'[1]3A'!O26</f>
        <v>2.1760000000000002</v>
      </c>
      <c r="O26" s="570" t="str">
        <f>'[1]3A'!P26</f>
        <v>Outperformance Payment</v>
      </c>
      <c r="P26" s="3179">
        <f>'[1]3A'!Q26</f>
        <v>2.38</v>
      </c>
      <c r="Q26" s="131"/>
      <c r="R26" s="521">
        <f t="shared" si="4"/>
        <v>0</v>
      </c>
      <c r="S26" s="24" t="str">
        <f t="shared" si="1"/>
        <v>Please complete all cells in row</v>
      </c>
      <c r="T26" s="131"/>
      <c r="U26" s="124"/>
      <c r="V26" s="98">
        <f t="shared" si="2"/>
        <v>0</v>
      </c>
      <c r="W26" s="98">
        <f>IF($C26="",0,IF(ISBLANK(#REF!)=FALSE,0,1))</f>
        <v>0</v>
      </c>
      <c r="X26" s="98">
        <f t="shared" si="0"/>
        <v>0</v>
      </c>
      <c r="Y26" s="98">
        <f>IF(OR(ISBLANK(L26), L26=0), 0, IF(OR(K26=Lists!$F$11, K26=Lists!$F$13), 0, 1))</f>
        <v>1</v>
      </c>
      <c r="Z26" s="98">
        <f>IF(OR($C26="", AND(NOT(K26=Lists!$F$11), NOT(K26=Lists!$F$13))),0,IF(ISBLANK(L26)=FALSE,0,1))</f>
        <v>0</v>
      </c>
      <c r="AA26" s="98">
        <f>IF(OR(ISBLANK(N26), N26=0), 0, IF(OR(M26=Lists!$F$11, M26=Lists!$F$13), 0, 1))</f>
        <v>0</v>
      </c>
      <c r="AB26" s="98">
        <f>IF(OR($C26="", AND(NOT(M26=Lists!$F$11), NOT(M26=Lists!$F$13))),0,IF(ISBLANK(N26)=FALSE,0,1))</f>
        <v>0</v>
      </c>
      <c r="AC26" s="98">
        <f>IF(OR(ISBLANK(P26), P26=0), 0, IF(OR(O26=Lists!$F$11, O26=Lists!$F$13), 0, 1))</f>
        <v>0</v>
      </c>
      <c r="AD26" s="98">
        <f>IF(OR($C26="", AND(NOT(O26=Lists!$F$11), NOT(O26=Lists!$F$13))),0,IF(ISBLANK(P26)=FALSE,0,1))</f>
        <v>0</v>
      </c>
      <c r="AE26" s="124"/>
      <c r="AF26" s="523">
        <f xml:space="preserve"> IF(OR( AND( K26 = Lists!$F$11, '3A - SWT'!L26 &lt; 0), AND( '3A - SWT'!M26 = Lists!$F$11, '3A - SWT'!N26 &lt; 0), AND( '3A - SWT'!O26 = Lists!$F$11, '3A - SWT'!P26 &lt; 0)), 1, 0)</f>
        <v>0</v>
      </c>
      <c r="AG26" s="523">
        <f xml:space="preserve"> IF( OR( AND( K26 = Lists!$F$13, '3A - SWT'!L26 &gt; 0), AND( M26 = Lists!$F$13, '3A - SWT'!N26 &gt; 0), AND( O26 = Lists!$F$13, '3A - SWT'!P26 &gt; 0 )), 1, 0)</f>
        <v>0</v>
      </c>
      <c r="AH26" s="525"/>
      <c r="AI26" s="701" t="str">
        <f>IF($P$1="Select company","",IF((HLOOKUP(((VLOOKUP($P$1,Lists!$B$4:$C$26,2,FALSE))&amp;'PC LIST'!$J$2),'PC list edited'!$A$2:$EJ$65,(B26+1),FALSE))=0,"",HLOOKUP(((VLOOKUP($P$1,Lists!$B$4:$C$26,2,FALSE))&amp; 'PC LIST'!$J$2),'PC list edited'!$A$2:$EJ$65,(B26+1),FALSE)))</f>
        <v>Out &amp; under</v>
      </c>
      <c r="AJ26" s="2417" t="str">
        <f>IFERROR(INDEX('PC LIST'!N$3:N$631, MATCH($C26, 'PC LIST'!$B$3:$B$631, 0)),"")</f>
        <v>Sewer flooding/collapses etc</v>
      </c>
    </row>
    <row r="27" spans="1:36" s="321" customFormat="1" ht="30" customHeight="1">
      <c r="A27" s="75"/>
      <c r="B27" s="299">
        <f t="shared" si="3"/>
        <v>23</v>
      </c>
      <c r="C27" s="514" t="str">
        <f>IF($P$1="Select company","",IF((HLOOKUP((VLOOKUP($P$1,Lists!$B$4:$C$26,2,FALSE)),'PC list edited'!$A$2:$EJ$65,(B27+1),FALSE))=0,"",HLOOKUP((VLOOKUP($P$1,Lists!$B$4:$C$26,2,FALSE)),'PC list edited'!$A$2:$EJ$65,(B27+1),FALSE)))</f>
        <v>PR14SWTWSWW_S-A2</v>
      </c>
      <c r="D27" s="513" t="str">
        <f>IF($P$1="Select company","",IF(C27 ="","",HLOOKUP(((VLOOKUP($P$1,Lists!$B$4:$C$26,2,FALSE))&amp;"PC"),'PC list edited'!$A$2:$EJ$65,(B27+1),FALSE)))</f>
        <v>S-A2: External sewer flooding incidents</v>
      </c>
      <c r="E27" s="327" t="str">
        <f>IF($P$1="Select company","",IF(C27 ="","",HLOOKUP(((VLOOKUP($P$1,Lists!$B$4:$C$26,2,FALSE))&amp;"unit"),'PC list edited'!$A$2:$EJ$65,(B27+1),FALSE)))</f>
        <v>nr</v>
      </c>
      <c r="F27" s="327" t="str">
        <f>IF($P$1="Select company","",IF(C27 ="","",HLOOKUP(((VLOOKUP($P$1,Lists!$B$4:$C$26,2,FALSE))&amp;"UnitDes"),'PC list edited'!$A$2:$EJ$65,(B27+1),FALSE)))</f>
        <v>No. of external sewer flooding incidents</v>
      </c>
      <c r="G27" s="533">
        <f>IF($P$1="Select company","",IF(C27="","",HLOOKUP(((VLOOKUP($P$1,Lists!$B$4:$C$26,2,FALSE))&amp;"DP"),'PC list edited'!$A$2:$EJ$65,(B27+1),FALSE)))</f>
        <v>0</v>
      </c>
      <c r="H27" s="533">
        <f>IF($P$1="Select company","",IF(C27 = "","",HLOOKUP(((VLOOKUP($P$1,Lists!$B$4:$C$26,2,FALSE))&amp;"201718Actual"),'PC list edited'!$A$2:$EJ$65,(B27+1),FALSE)))</f>
        <v>2924</v>
      </c>
      <c r="I27" s="570">
        <f>'[1]3A'!J27</f>
        <v>2938</v>
      </c>
      <c r="J27" s="570" t="str">
        <f>'[1]3A'!K27</f>
        <v>Yes</v>
      </c>
      <c r="K27" s="570" t="s">
        <v>497</v>
      </c>
      <c r="L27" s="570" t="s">
        <v>497</v>
      </c>
      <c r="M27" s="570" t="str">
        <f>'[1]3A'!N27</f>
        <v>Outperformance Payment</v>
      </c>
      <c r="N27" s="3182">
        <f>'[1]3A'!O27</f>
        <v>0.13800000000000001</v>
      </c>
      <c r="O27" s="570" t="str">
        <f>'[1]3A'!P27</f>
        <v>Underperformance Payment</v>
      </c>
      <c r="P27" s="3179">
        <f>'[1]3A'!Q27</f>
        <v>-0.112</v>
      </c>
      <c r="Q27" s="131"/>
      <c r="R27" s="521">
        <f t="shared" si="4"/>
        <v>0</v>
      </c>
      <c r="S27" s="24" t="str">
        <f t="shared" si="1"/>
        <v>Please complete all cells in row</v>
      </c>
      <c r="T27" s="131"/>
      <c r="U27" s="124"/>
      <c r="V27" s="98">
        <f t="shared" si="2"/>
        <v>0</v>
      </c>
      <c r="W27" s="98">
        <f>IF($C27="",0,IF(ISBLANK(#REF!)=FALSE,0,1))</f>
        <v>0</v>
      </c>
      <c r="X27" s="98">
        <f t="shared" si="0"/>
        <v>0</v>
      </c>
      <c r="Y27" s="98">
        <f>IF(OR(ISBLANK(L27), L27=0), 0, IF(OR(K27=Lists!$F$11, K27=Lists!$F$13), 0, 1))</f>
        <v>1</v>
      </c>
      <c r="Z27" s="98">
        <f>IF(OR($C27="", AND(NOT(K27=Lists!$F$11), NOT(K27=Lists!$F$13))),0,IF(ISBLANK(L27)=FALSE,0,1))</f>
        <v>0</v>
      </c>
      <c r="AA27" s="98">
        <f>IF(OR(ISBLANK(N27), N27=0), 0, IF(OR(M27=Lists!$F$11, M27=Lists!$F$13), 0, 1))</f>
        <v>0</v>
      </c>
      <c r="AB27" s="98">
        <f>IF(OR($C27="", AND(NOT(M27=Lists!$F$11), NOT(M27=Lists!$F$13))),0,IF(ISBLANK(N27)=FALSE,0,1))</f>
        <v>0</v>
      </c>
      <c r="AC27" s="98">
        <f>IF(OR(ISBLANK(P27), P27=0), 0, IF(OR(O27=Lists!$F$11, O27=Lists!$F$13), 0, 1))</f>
        <v>0</v>
      </c>
      <c r="AD27" s="98">
        <f>IF(OR($C27="", AND(NOT(O27=Lists!$F$11), NOT(O27=Lists!$F$13))),0,IF(ISBLANK(P27)=FALSE,0,1))</f>
        <v>0</v>
      </c>
      <c r="AE27" s="124"/>
      <c r="AF27" s="523">
        <f xml:space="preserve"> IF(OR( AND( K27 = Lists!$F$11, '3A - SWT'!L27 &lt; 0), AND( '3A - SWT'!M27 = Lists!$F$11, '3A - SWT'!N27 &lt; 0), AND( '3A - SWT'!O27 = Lists!$F$11, '3A - SWT'!P27 &lt; 0)), 1, 0)</f>
        <v>0</v>
      </c>
      <c r="AG27" s="523">
        <f xml:space="preserve"> IF( OR( AND( K27 = Lists!$F$13, '3A - SWT'!L27 &gt; 0), AND( M27 = Lists!$F$13, '3A - SWT'!N27 &gt; 0), AND( O27 = Lists!$F$13, '3A - SWT'!P27 &gt; 0 )), 1, 0)</f>
        <v>0</v>
      </c>
      <c r="AH27" s="525"/>
      <c r="AI27" s="701" t="str">
        <f>IF($P$1="Select company","",IF((HLOOKUP(((VLOOKUP($P$1,Lists!$B$4:$C$26,2,FALSE))&amp;'PC LIST'!$J$2),'PC list edited'!$A$2:$EJ$65,(B27+1),FALSE))=0,"",HLOOKUP(((VLOOKUP($P$1,Lists!$B$4:$C$26,2,FALSE))&amp; 'PC LIST'!$J$2),'PC list edited'!$A$2:$EJ$65,(B27+1),FALSE)))</f>
        <v>Out &amp; under</v>
      </c>
      <c r="AJ27" s="2417" t="str">
        <f>IFERROR(INDEX('PC LIST'!N$3:N$631, MATCH($C27, 'PC LIST'!$B$3:$B$631, 0)),"")</f>
        <v>Sewer flooding/collapses etc</v>
      </c>
    </row>
    <row r="28" spans="1:36" s="321" customFormat="1" ht="30" customHeight="1">
      <c r="A28" s="75"/>
      <c r="B28" s="299">
        <f t="shared" si="3"/>
        <v>24</v>
      </c>
      <c r="C28" s="514" t="str">
        <f>IF($P$1="Select company","",IF((HLOOKUP((VLOOKUP($P$1,Lists!$B$4:$C$26,2,FALSE)),'PC list edited'!$A$2:$EJ$65,(B28+1),FALSE))=0,"",HLOOKUP((VLOOKUP($P$1,Lists!$B$4:$C$26,2,FALSE)),'PC list edited'!$A$2:$EJ$65,(B28+1),FALSE)))</f>
        <v>PR14SWTWSWW_S-A3</v>
      </c>
      <c r="D28" s="513" t="str">
        <f>IF($P$1="Select company","",IF(C28 ="","",HLOOKUP(((VLOOKUP($P$1,Lists!$B$4:$C$26,2,FALSE))&amp;"PC"),'PC list edited'!$A$2:$EJ$65,(B28+1),FALSE)))</f>
        <v>S-A3: Odour contacts (wastewater treatment works)</v>
      </c>
      <c r="E28" s="327" t="str">
        <f>IF($P$1="Select company","",IF(C28 ="","",HLOOKUP(((VLOOKUP($P$1,Lists!$B$4:$C$26,2,FALSE))&amp;"unit"),'PC list edited'!$A$2:$EJ$65,(B28+1),FALSE)))</f>
        <v>nr</v>
      </c>
      <c r="F28" s="327" t="str">
        <f>IF($P$1="Select company","",IF(C28 ="","",HLOOKUP(((VLOOKUP($P$1,Lists!$B$4:$C$26,2,FALSE))&amp;"UnitDes"),'PC list edited'!$A$2:$EJ$65,(B28+1),FALSE)))</f>
        <v>No. of odour contacts (WwTWs)</v>
      </c>
      <c r="G28" s="533">
        <f>IF($P$1="Select company","",IF(C28="","",HLOOKUP(((VLOOKUP($P$1,Lists!$B$4:$C$26,2,FALSE))&amp;"DP"),'PC list edited'!$A$2:$EJ$65,(B28+1),FALSE)))</f>
        <v>0</v>
      </c>
      <c r="H28" s="533">
        <f>IF($P$1="Select company","",IF(C28 = "","",HLOOKUP(((VLOOKUP($P$1,Lists!$B$4:$C$26,2,FALSE))&amp;"201718Actual"),'PC list edited'!$A$2:$EJ$65,(B28+1),FALSE)))</f>
        <v>242</v>
      </c>
      <c r="I28" s="570">
        <f>'[1]3A'!J28</f>
        <v>335</v>
      </c>
      <c r="J28" s="570" t="str">
        <f>'[1]3A'!K28</f>
        <v>No</v>
      </c>
      <c r="K28" s="570" t="s">
        <v>497</v>
      </c>
      <c r="L28" s="570" t="s">
        <v>497</v>
      </c>
      <c r="M28" s="570" t="str">
        <f>'[1]3A'!N28</f>
        <v>Underperformance Payment</v>
      </c>
      <c r="N28" s="3182">
        <f>'[1]3A'!O28</f>
        <v>-4.6800000000000001E-2</v>
      </c>
      <c r="O28" s="570" t="str">
        <f>'[1]3A'!P28</f>
        <v>Outperformance Payment</v>
      </c>
      <c r="P28" s="3179">
        <f>'[1]3A'!Q28</f>
        <v>0.71919999999999995</v>
      </c>
      <c r="Q28" s="131"/>
      <c r="R28" s="521">
        <f t="shared" si="4"/>
        <v>0</v>
      </c>
      <c r="S28" s="24" t="str">
        <f t="shared" si="1"/>
        <v>Please complete all cells in row</v>
      </c>
      <c r="T28" s="131"/>
      <c r="U28" s="124"/>
      <c r="V28" s="98">
        <f t="shared" si="2"/>
        <v>0</v>
      </c>
      <c r="W28" s="98">
        <f>IF($C28="",0,IF(ISBLANK(#REF!)=FALSE,0,1))</f>
        <v>0</v>
      </c>
      <c r="X28" s="98">
        <f t="shared" si="0"/>
        <v>0</v>
      </c>
      <c r="Y28" s="98">
        <f>IF(OR(ISBLANK(L28), L28=0), 0, IF(OR(K28=Lists!$F$11, K28=Lists!$F$13), 0, 1))</f>
        <v>1</v>
      </c>
      <c r="Z28" s="98">
        <f>IF(OR($C28="", AND(NOT(K28=Lists!$F$11), NOT(K28=Lists!$F$13))),0,IF(ISBLANK(L28)=FALSE,0,1))</f>
        <v>0</v>
      </c>
      <c r="AA28" s="98">
        <f>IF(OR(ISBLANK(N28), N28=0), 0, IF(OR(M28=Lists!$F$11, M28=Lists!$F$13), 0, 1))</f>
        <v>0</v>
      </c>
      <c r="AB28" s="98">
        <f>IF(OR($C28="", AND(NOT(M28=Lists!$F$11), NOT(M28=Lists!$F$13))),0,IF(ISBLANK(N28)=FALSE,0,1))</f>
        <v>0</v>
      </c>
      <c r="AC28" s="98">
        <f>IF(OR(ISBLANK(P28), P28=0), 0, IF(OR(O28=Lists!$F$11, O28=Lists!$F$13), 0, 1))</f>
        <v>0</v>
      </c>
      <c r="AD28" s="98">
        <f>IF(OR($C28="", AND(NOT(O28=Lists!$F$11), NOT(O28=Lists!$F$13))),0,IF(ISBLANK(P28)=FALSE,0,1))</f>
        <v>0</v>
      </c>
      <c r="AE28" s="124"/>
      <c r="AF28" s="523">
        <f xml:space="preserve"> IF(OR( AND( K28 = Lists!$F$11, '3A - SWT'!L28 &lt; 0), AND( '3A - SWT'!M28 = Lists!$F$11, '3A - SWT'!N28 &lt; 0), AND( '3A - SWT'!O28 = Lists!$F$11, '3A - SWT'!P28 &lt; 0)), 1, 0)</f>
        <v>0</v>
      </c>
      <c r="AG28" s="523">
        <f xml:space="preserve"> IF( OR( AND( K28 = Lists!$F$13, '3A - SWT'!L28 &gt; 0), AND( M28 = Lists!$F$13, '3A - SWT'!N28 &gt; 0), AND( O28 = Lists!$F$13, '3A - SWT'!P28 &gt; 0 )), 1, 0)</f>
        <v>0</v>
      </c>
      <c r="AH28" s="525"/>
      <c r="AI28" s="701" t="str">
        <f>IF($P$1="Select company","",IF((HLOOKUP(((VLOOKUP($P$1,Lists!$B$4:$C$26,2,FALSE))&amp;'PC LIST'!$J$2),'PC list edited'!$A$2:$EJ$65,(B28+1),FALSE))=0,"",HLOOKUP(((VLOOKUP($P$1,Lists!$B$4:$C$26,2,FALSE))&amp; 'PC LIST'!$J$2),'PC list edited'!$A$2:$EJ$65,(B28+1),FALSE)))</f>
        <v>Out &amp; under</v>
      </c>
      <c r="AJ28" s="2417" t="str">
        <f>IFERROR(INDEX('PC LIST'!N$3:N$631, MATCH($C28, 'PC LIST'!$B$3:$B$631, 0)),"")</f>
        <v>WwTW odour</v>
      </c>
    </row>
    <row r="29" spans="1:36" s="321" customFormat="1" ht="30" customHeight="1">
      <c r="A29" s="75"/>
      <c r="B29" s="299">
        <f t="shared" si="3"/>
        <v>25</v>
      </c>
      <c r="C29" s="514" t="str">
        <f>IF($P$1="Select company","",IF((HLOOKUP((VLOOKUP($P$1,Lists!$B$4:$C$26,2,FALSE)),'PC list edited'!$A$2:$EJ$65,(B29+1),FALSE))=0,"",HLOOKUP((VLOOKUP($P$1,Lists!$B$4:$C$26,2,FALSE)),'PC list edited'!$A$2:$EJ$65,(B29+1),FALSE)))</f>
        <v>PR14SWTWSWW_S-A4</v>
      </c>
      <c r="D29" s="513" t="str">
        <f>IF($P$1="Select company","",IF(C29 ="","",HLOOKUP(((VLOOKUP($P$1,Lists!$B$4:$C$26,2,FALSE))&amp;"PC"),'PC list edited'!$A$2:$EJ$65,(B29+1),FALSE)))</f>
        <v>S-A4: Asset reliability (pipes)</v>
      </c>
      <c r="E29" s="327" t="str">
        <f>IF($P$1="Select company","",IF(C29 ="","",HLOOKUP(((VLOOKUP($P$1,Lists!$B$4:$C$26,2,FALSE))&amp;"unit"),'PC list edited'!$A$2:$EJ$65,(B29+1),FALSE)))</f>
        <v>category</v>
      </c>
      <c r="F29" s="327" t="str">
        <f>IF($P$1="Select company","",IF(C29 ="","",HLOOKUP(((VLOOKUP($P$1,Lists!$B$4:$C$26,2,FALSE))&amp;"UnitDes"),'PC list edited'!$A$2:$EJ$65,(B29+1),FALSE)))</f>
        <v>Asset health indicator</v>
      </c>
      <c r="G29" s="533" t="str">
        <f>IF($P$1="Select company","",IF(C29="","",HLOOKUP(((VLOOKUP($P$1,Lists!$B$4:$C$26,2,FALSE))&amp;"DP"),'PC list edited'!$A$2:$EJ$65,(B29+1),FALSE)))</f>
        <v>na</v>
      </c>
      <c r="H29" s="533" t="str">
        <f>IF($P$1="Select company","",IF(C29 = "","",HLOOKUP(((VLOOKUP($P$1,Lists!$B$4:$C$26,2,FALSE))&amp;"201718Actual"),'PC list edited'!$A$2:$EJ$65,(B29+1),FALSE)))</f>
        <v>Stable</v>
      </c>
      <c r="I29" s="570" t="str">
        <f>'[1]3A'!J29</f>
        <v>Stable</v>
      </c>
      <c r="J29" s="570" t="str">
        <f>'[1]3A'!K29</f>
        <v>Yes</v>
      </c>
      <c r="K29" s="570" t="s">
        <v>497</v>
      </c>
      <c r="L29" s="3180" t="s">
        <v>497</v>
      </c>
      <c r="M29" s="570" t="s">
        <v>497</v>
      </c>
      <c r="N29" s="3180" t="s">
        <v>497</v>
      </c>
      <c r="O29" s="570" t="s">
        <v>497</v>
      </c>
      <c r="P29" s="3181" t="s">
        <v>497</v>
      </c>
      <c r="Q29" s="131"/>
      <c r="R29" s="521">
        <f t="shared" si="4"/>
        <v>0</v>
      </c>
      <c r="S29" s="24" t="str">
        <f t="shared" si="1"/>
        <v>Please complete all cells in row</v>
      </c>
      <c r="T29" s="131"/>
      <c r="U29" s="124"/>
      <c r="V29" s="98">
        <f t="shared" si="2"/>
        <v>0</v>
      </c>
      <c r="W29" s="98">
        <f>IF($C29="",0,IF(ISBLANK(#REF!)=FALSE,0,1))</f>
        <v>0</v>
      </c>
      <c r="X29" s="98">
        <f t="shared" si="0"/>
        <v>0</v>
      </c>
      <c r="Y29" s="98">
        <f>IF(OR(ISBLANK(L29), L29=0), 0, IF(OR(K29=Lists!$F$11, K29=Lists!$F$13), 0, 1))</f>
        <v>1</v>
      </c>
      <c r="Z29" s="98">
        <f>IF(OR($C29="", AND(NOT(K29=Lists!$F$11), NOT(K29=Lists!$F$13))),0,IF(ISBLANK(L29)=FALSE,0,1))</f>
        <v>0</v>
      </c>
      <c r="AA29" s="98">
        <f>IF(OR(ISBLANK(N29), N29=0), 0, IF(OR(M29=Lists!$F$11, M29=Lists!$F$13), 0, 1))</f>
        <v>1</v>
      </c>
      <c r="AB29" s="98">
        <f>IF(OR($C29="", AND(NOT(M29=Lists!$F$11), NOT(M29=Lists!$F$13))),0,IF(ISBLANK(N29)=FALSE,0,1))</f>
        <v>0</v>
      </c>
      <c r="AC29" s="98">
        <f>IF(OR(ISBLANK(P29), P29=0), 0, IF(OR(O29=Lists!$F$11, O29=Lists!$F$13), 0, 1))</f>
        <v>1</v>
      </c>
      <c r="AD29" s="98">
        <f>IF(OR($C29="", AND(NOT(O29=Lists!$F$11), NOT(O29=Lists!$F$13))),0,IF(ISBLANK(P29)=FALSE,0,1))</f>
        <v>0</v>
      </c>
      <c r="AE29" s="124"/>
      <c r="AF29" s="523">
        <f xml:space="preserve"> IF(OR( AND( K29 = Lists!$F$11, '3A - SWT'!L29 &lt; 0), AND( '3A - SWT'!M29 = Lists!$F$11, '3A - SWT'!N29 &lt; 0), AND( '3A - SWT'!O29 = Lists!$F$11, '3A - SWT'!P29 &lt; 0)), 1, 0)</f>
        <v>0</v>
      </c>
      <c r="AG29" s="523">
        <f xml:space="preserve"> IF( OR( AND( K29 = Lists!$F$13, '3A - SWT'!L29 &gt; 0), AND( M29 = Lists!$F$13, '3A - SWT'!N29 &gt; 0), AND( O29 = Lists!$F$13, '3A - SWT'!P29 &gt; 0 )), 1, 0)</f>
        <v>0</v>
      </c>
      <c r="AH29" s="525"/>
      <c r="AI29" s="701" t="str">
        <f>IF($P$1="Select company","",IF((HLOOKUP(((VLOOKUP($P$1,Lists!$B$4:$C$26,2,FALSE))&amp;'PC LIST'!$J$2),'PC list edited'!$A$2:$EJ$65,(B29+1),FALSE))=0,"",HLOOKUP(((VLOOKUP($P$1,Lists!$B$4:$C$26,2,FALSE))&amp; 'PC LIST'!$J$2),'PC list edited'!$A$2:$EJ$65,(B29+1),FALSE)))</f>
        <v>Under</v>
      </c>
      <c r="AJ29" s="2417" t="str">
        <f>IFERROR(INDEX('PC LIST'!N$3:N$631, MATCH($C29, 'PC LIST'!$B$3:$B$631, 0)),"")</f>
        <v>Asset health - wastewater</v>
      </c>
    </row>
    <row r="30" spans="1:36" s="321" customFormat="1" ht="30" customHeight="1">
      <c r="A30" s="75"/>
      <c r="B30" s="299">
        <f t="shared" si="3"/>
        <v>26</v>
      </c>
      <c r="C30" s="514" t="str">
        <f>IF($P$1="Select company","",IF((HLOOKUP((VLOOKUP($P$1,Lists!$B$4:$C$26,2,FALSE)),'PC list edited'!$A$2:$EJ$65,(B30+1),FALSE))=0,"",HLOOKUP((VLOOKUP($P$1,Lists!$B$4:$C$26,2,FALSE)),'PC list edited'!$A$2:$EJ$65,(B30+1),FALSE)))</f>
        <v>PR14SWTWSWW_S-A5</v>
      </c>
      <c r="D30" s="513" t="str">
        <f>IF($P$1="Select company","",IF(C30 ="","",HLOOKUP(((VLOOKUP($P$1,Lists!$B$4:$C$26,2,FALSE))&amp;"PC"),'PC list edited'!$A$2:$EJ$65,(B30+1),FALSE)))</f>
        <v>S-A5: Asset reliability (process)</v>
      </c>
      <c r="E30" s="327" t="str">
        <f>IF($P$1="Select company","",IF(C30 ="","",HLOOKUP(((VLOOKUP($P$1,Lists!$B$4:$C$26,2,FALSE))&amp;"unit"),'PC list edited'!$A$2:$EJ$65,(B30+1),FALSE)))</f>
        <v>category</v>
      </c>
      <c r="F30" s="327" t="str">
        <f>IF($P$1="Select company","",IF(C30 ="","",HLOOKUP(((VLOOKUP($P$1,Lists!$B$4:$C$26,2,FALSE))&amp;"UnitDes"),'PC list edited'!$A$2:$EJ$65,(B30+1),FALSE)))</f>
        <v>Asset health indicator</v>
      </c>
      <c r="G30" s="533" t="str">
        <f>IF($P$1="Select company","",IF(C30="","",HLOOKUP(((VLOOKUP($P$1,Lists!$B$4:$C$26,2,FALSE))&amp;"DP"),'PC list edited'!$A$2:$EJ$65,(B30+1),FALSE)))</f>
        <v>na</v>
      </c>
      <c r="H30" s="533" t="str">
        <f>IF($P$1="Select company","",IF(C30 = "","",HLOOKUP(((VLOOKUP($P$1,Lists!$B$4:$C$26,2,FALSE))&amp;"201718Actual"),'PC list edited'!$A$2:$EJ$65,(B30+1),FALSE)))</f>
        <v>Stable</v>
      </c>
      <c r="I30" s="570" t="str">
        <f>'[1]3A'!J30</f>
        <v>Stable</v>
      </c>
      <c r="J30" s="570" t="str">
        <f>'[1]3A'!K30</f>
        <v>Yes</v>
      </c>
      <c r="K30" s="570" t="s">
        <v>497</v>
      </c>
      <c r="L30" s="3180" t="s">
        <v>497</v>
      </c>
      <c r="M30" s="570" t="s">
        <v>497</v>
      </c>
      <c r="N30" s="3180" t="s">
        <v>497</v>
      </c>
      <c r="O30" s="570" t="s">
        <v>497</v>
      </c>
      <c r="P30" s="3181" t="s">
        <v>497</v>
      </c>
      <c r="Q30" s="131"/>
      <c r="R30" s="521">
        <f t="shared" si="4"/>
        <v>0</v>
      </c>
      <c r="S30" s="24" t="str">
        <f t="shared" si="1"/>
        <v>Please complete all cells in row</v>
      </c>
      <c r="T30" s="131"/>
      <c r="U30" s="124"/>
      <c r="V30" s="98">
        <f t="shared" si="2"/>
        <v>0</v>
      </c>
      <c r="W30" s="98">
        <f>IF($C30="",0,IF(ISBLANK(#REF!)=FALSE,0,1))</f>
        <v>0</v>
      </c>
      <c r="X30" s="98">
        <f t="shared" si="0"/>
        <v>0</v>
      </c>
      <c r="Y30" s="98">
        <f>IF(OR(ISBLANK(L30), L30=0), 0, IF(OR(K30=Lists!$F$11, K30=Lists!$F$13), 0, 1))</f>
        <v>1</v>
      </c>
      <c r="Z30" s="98">
        <f>IF(OR($C30="", AND(NOT(K30=Lists!$F$11), NOT(K30=Lists!$F$13))),0,IF(ISBLANK(L30)=FALSE,0,1))</f>
        <v>0</v>
      </c>
      <c r="AA30" s="98">
        <f>IF(OR(ISBLANK(N30), N30=0), 0, IF(OR(M30=Lists!$F$11, M30=Lists!$F$13), 0, 1))</f>
        <v>1</v>
      </c>
      <c r="AB30" s="98">
        <f>IF(OR($C30="", AND(NOT(M30=Lists!$F$11), NOT(M30=Lists!$F$13))),0,IF(ISBLANK(N30)=FALSE,0,1))</f>
        <v>0</v>
      </c>
      <c r="AC30" s="98">
        <f>IF(OR(ISBLANK(P30), P30=0), 0, IF(OR(O30=Lists!$F$11, O30=Lists!$F$13), 0, 1))</f>
        <v>1</v>
      </c>
      <c r="AD30" s="98">
        <f>IF(OR($C30="", AND(NOT(O30=Lists!$F$11), NOT(O30=Lists!$F$13))),0,IF(ISBLANK(P30)=FALSE,0,1))</f>
        <v>0</v>
      </c>
      <c r="AE30" s="124"/>
      <c r="AF30" s="523">
        <f xml:space="preserve"> IF(OR( AND( K30 = Lists!$F$11, '3A - SWT'!L30 &lt; 0), AND( '3A - SWT'!M30 = Lists!$F$11, '3A - SWT'!N30 &lt; 0), AND( '3A - SWT'!O30 = Lists!$F$11, '3A - SWT'!P30 &lt; 0)), 1, 0)</f>
        <v>0</v>
      </c>
      <c r="AG30" s="523">
        <f xml:space="preserve"> IF( OR( AND( K30 = Lists!$F$13, '3A - SWT'!L30 &gt; 0), AND( M30 = Lists!$F$13, '3A - SWT'!N30 &gt; 0), AND( O30 = Lists!$F$13, '3A - SWT'!P30 &gt; 0 )), 1, 0)</f>
        <v>0</v>
      </c>
      <c r="AH30" s="525"/>
      <c r="AI30" s="701" t="str">
        <f>IF($P$1="Select company","",IF((HLOOKUP(((VLOOKUP($P$1,Lists!$B$4:$C$26,2,FALSE))&amp;'PC LIST'!$J$2),'PC list edited'!$A$2:$EJ$65,(B30+1),FALSE))=0,"",HLOOKUP(((VLOOKUP($P$1,Lists!$B$4:$C$26,2,FALSE))&amp; 'PC LIST'!$J$2),'PC list edited'!$A$2:$EJ$65,(B30+1),FALSE)))</f>
        <v>Under</v>
      </c>
      <c r="AJ30" s="2417" t="str">
        <f>IFERROR(INDEX('PC LIST'!N$3:N$631, MATCH($C30, 'PC LIST'!$B$3:$B$631, 0)),"")</f>
        <v>Asset health - wastewater</v>
      </c>
    </row>
    <row r="31" spans="1:36" s="321" customFormat="1" ht="30" customHeight="1">
      <c r="A31" s="75"/>
      <c r="B31" s="299">
        <f t="shared" si="3"/>
        <v>27</v>
      </c>
      <c r="C31" s="514" t="str">
        <f>IF($P$1="Select company","",IF((HLOOKUP((VLOOKUP($P$1,Lists!$B$4:$C$26,2,FALSE)),'PC list edited'!$A$2:$EJ$65,(B31+1),FALSE))=0,"",HLOOKUP((VLOOKUP($P$1,Lists!$B$4:$C$26,2,FALSE)),'PC list edited'!$A$2:$EJ$65,(B31+1),FALSE)))</f>
        <v>PR14SWTWSWW_S-A6</v>
      </c>
      <c r="D31" s="513" t="str">
        <f>IF($P$1="Select company","",IF(C31 ="","",HLOOKUP(((VLOOKUP($P$1,Lists!$B$4:$C$26,2,FALSE))&amp;"PC"),'PC list edited'!$A$2:$EJ$65,(B31+1),FALSE)))</f>
        <v>S-A6: Compliance with sludge standard (%)</v>
      </c>
      <c r="E31" s="327" t="str">
        <f>IF($P$1="Select company","",IF(C31 ="","",HLOOKUP(((VLOOKUP($P$1,Lists!$B$4:$C$26,2,FALSE))&amp;"unit"),'PC list edited'!$A$2:$EJ$65,(B31+1),FALSE)))</f>
        <v>%</v>
      </c>
      <c r="F31" s="327" t="str">
        <f>IF($P$1="Select company","",IF(C31 ="","",HLOOKUP(((VLOOKUP($P$1,Lists!$B$4:$C$26,2,FALSE))&amp;"UnitDes"),'PC list edited'!$A$2:$EJ$65,(B31+1),FALSE)))</f>
        <v>% satisfactory sludge disposal compliance</v>
      </c>
      <c r="G31" s="533">
        <f>IF($P$1="Select company","",IF(C31="","",HLOOKUP(((VLOOKUP($P$1,Lists!$B$4:$C$26,2,FALSE))&amp;"DP"),'PC list edited'!$A$2:$EJ$65,(B31+1),FALSE)))</f>
        <v>2</v>
      </c>
      <c r="H31" s="533">
        <f>IF($P$1="Select company","",IF(C31 = "","",HLOOKUP(((VLOOKUP($P$1,Lists!$B$4:$C$26,2,FALSE))&amp;"201718Actual"),'PC list edited'!$A$2:$EJ$65,(B31+1),FALSE)))</f>
        <v>100</v>
      </c>
      <c r="I31" s="570">
        <f>'[1]3A'!J31</f>
        <v>98.7</v>
      </c>
      <c r="J31" s="570" t="str">
        <f>'[1]3A'!K31</f>
        <v>No</v>
      </c>
      <c r="K31" s="570" t="s">
        <v>497</v>
      </c>
      <c r="L31" s="570" t="s">
        <v>497</v>
      </c>
      <c r="M31" s="570" t="s">
        <v>497</v>
      </c>
      <c r="N31" s="570" t="s">
        <v>497</v>
      </c>
      <c r="O31" s="570" t="s">
        <v>497</v>
      </c>
      <c r="P31" s="3179" t="s">
        <v>497</v>
      </c>
      <c r="Q31" s="135"/>
      <c r="R31" s="521">
        <f t="shared" si="4"/>
        <v>0</v>
      </c>
      <c r="S31" s="24" t="str">
        <f t="shared" si="1"/>
        <v>Please complete all cells in row</v>
      </c>
      <c r="T31" s="131"/>
      <c r="U31" s="124"/>
      <c r="V31" s="98">
        <f t="shared" si="2"/>
        <v>0</v>
      </c>
      <c r="W31" s="98">
        <f>IF($C31="",0,IF(ISBLANK(#REF!)=FALSE,0,1))</f>
        <v>0</v>
      </c>
      <c r="X31" s="98">
        <f t="shared" si="0"/>
        <v>0</v>
      </c>
      <c r="Y31" s="98">
        <f>IF(OR(ISBLANK(L31), L31=0), 0, IF(OR(K31=Lists!$F$11, K31=Lists!$F$13), 0, 1))</f>
        <v>1</v>
      </c>
      <c r="Z31" s="98">
        <f>IF(OR($C31="", AND(NOT(K31=Lists!$F$11), NOT(K31=Lists!$F$13))),0,IF(ISBLANK(L31)=FALSE,0,1))</f>
        <v>0</v>
      </c>
      <c r="AA31" s="98">
        <f>IF(OR(ISBLANK(N31), N31=0), 0, IF(OR(M31=Lists!$F$11, M31=Lists!$F$13), 0, 1))</f>
        <v>1</v>
      </c>
      <c r="AB31" s="98">
        <f>IF(OR($C31="", AND(NOT(M31=Lists!$F$11), NOT(M31=Lists!$F$13))),0,IF(ISBLANK(N31)=FALSE,0,1))</f>
        <v>0</v>
      </c>
      <c r="AC31" s="98">
        <f>IF(OR(ISBLANK(P31), P31=0), 0, IF(OR(O31=Lists!$F$11, O31=Lists!$F$13), 0, 1))</f>
        <v>1</v>
      </c>
      <c r="AD31" s="98">
        <f>IF(OR($C31="", AND(NOT(O31=Lists!$F$11), NOT(O31=Lists!$F$13))),0,IF(ISBLANK(P31)=FALSE,0,1))</f>
        <v>0</v>
      </c>
      <c r="AE31" s="124"/>
      <c r="AF31" s="523">
        <f xml:space="preserve"> IF(OR( AND( K31 = Lists!$F$11, '3A - SWT'!L31 &lt; 0), AND( '3A - SWT'!M31 = Lists!$F$11, '3A - SWT'!N31 &lt; 0), AND( '3A - SWT'!O31 = Lists!$F$11, '3A - SWT'!P31 &lt; 0)), 1, 0)</f>
        <v>0</v>
      </c>
      <c r="AG31" s="523">
        <f xml:space="preserve"> IF( OR( AND( K31 = Lists!$F$13, '3A - SWT'!L31 &gt; 0), AND( M31 = Lists!$F$13, '3A - SWT'!N31 &gt; 0), AND( O31 = Lists!$F$13, '3A - SWT'!P31 &gt; 0 )), 1, 0)</f>
        <v>0</v>
      </c>
      <c r="AH31" s="525"/>
      <c r="AI31" s="701" t="str">
        <f>IF($P$1="Select company","",IF((HLOOKUP(((VLOOKUP($P$1,Lists!$B$4:$C$26,2,FALSE))&amp;'PC LIST'!$J$2),'PC list edited'!$A$2:$EJ$65,(B31+1),FALSE))=0,"",HLOOKUP(((VLOOKUP($P$1,Lists!$B$4:$C$26,2,FALSE))&amp; 'PC LIST'!$J$2),'PC list edited'!$A$2:$EJ$65,(B31+1),FALSE)))</f>
        <v>NFI</v>
      </c>
      <c r="AJ31" s="2417" t="str">
        <f>IFERROR(INDEX('PC LIST'!N$3:N$631, MATCH($C31, 'PC LIST'!$B$3:$B$631, 0)),"")</f>
        <v>Sludge</v>
      </c>
    </row>
    <row r="32" spans="1:36" s="321" customFormat="1" ht="30" customHeight="1">
      <c r="A32" s="75"/>
      <c r="B32" s="299">
        <f t="shared" si="3"/>
        <v>28</v>
      </c>
      <c r="C32" s="514" t="str">
        <f>IF($P$1="Select company","",IF((HLOOKUP((VLOOKUP($P$1,Lists!$B$4:$C$26,2,FALSE)),'PC list edited'!$A$2:$EJ$65,(B32+1),FALSE))=0,"",HLOOKUP((VLOOKUP($P$1,Lists!$B$4:$C$26,2,FALSE)),'PC list edited'!$A$2:$EJ$65,(B32+1),FALSE)))</f>
        <v>PR14SWTWSWW_S-B1</v>
      </c>
      <c r="D32" s="513" t="str">
        <f>IF($P$1="Select company","",IF(C32 ="","",HLOOKUP(((VLOOKUP($P$1,Lists!$B$4:$C$26,2,FALSE))&amp;"PC"),'PC list edited'!$A$2:$EJ$65,(B32+1),FALSE)))</f>
        <v>S-B1: Operational customer contacts resolved first time (%)</v>
      </c>
      <c r="E32" s="327" t="str">
        <f>IF($P$1="Select company","",IF(C32 ="","",HLOOKUP(((VLOOKUP($P$1,Lists!$B$4:$C$26,2,FALSE))&amp;"unit"),'PC list edited'!$A$2:$EJ$65,(B32+1),FALSE)))</f>
        <v>%</v>
      </c>
      <c r="F32" s="327" t="str">
        <f>IF($P$1="Select company","",IF(C32 ="","",HLOOKUP(((VLOOKUP($P$1,Lists!$B$4:$C$26,2,FALSE))&amp;"UnitDes"),'PC list edited'!$A$2:$EJ$65,(B32+1),FALSE)))</f>
        <v>% customer contacts resolved 1st time</v>
      </c>
      <c r="G32" s="533">
        <f>IF($P$1="Select company","",IF(C32="","",HLOOKUP(((VLOOKUP($P$1,Lists!$B$4:$C$26,2,FALSE))&amp;"DP"),'PC list edited'!$A$2:$EJ$65,(B32+1),FALSE)))</f>
        <v>1</v>
      </c>
      <c r="H32" s="533">
        <f>IF($P$1="Select company","",IF(C32 = "","",HLOOKUP(((VLOOKUP($P$1,Lists!$B$4:$C$26,2,FALSE))&amp;"201718Actual"),'PC list edited'!$A$2:$EJ$65,(B32+1),FALSE)))</f>
        <v>91.6</v>
      </c>
      <c r="I32" s="570">
        <f>'[1]3A'!J32</f>
        <v>91.7</v>
      </c>
      <c r="J32" s="570" t="str">
        <f>'[1]3A'!K32</f>
        <v>No</v>
      </c>
      <c r="K32" s="570" t="str">
        <f>'[1]3A'!L32</f>
        <v>Underperformance Payment</v>
      </c>
      <c r="L32" s="3182">
        <f>'[1]3A'!M32</f>
        <v>-0.1173</v>
      </c>
      <c r="M32" s="570" t="s">
        <v>497</v>
      </c>
      <c r="N32" s="570" t="s">
        <v>497</v>
      </c>
      <c r="O32" s="570" t="str">
        <f>'[1]3A'!P32</f>
        <v>Underperformance Payment</v>
      </c>
      <c r="P32" s="3179">
        <f>'[1]3A'!Q32</f>
        <v>-0.43869999999999998</v>
      </c>
      <c r="Q32" s="135"/>
      <c r="R32" s="521">
        <f t="shared" si="4"/>
        <v>0</v>
      </c>
      <c r="S32" s="24" t="str">
        <f t="shared" si="1"/>
        <v>Please complete all cells in row</v>
      </c>
      <c r="T32" s="131"/>
      <c r="U32" s="124"/>
      <c r="V32" s="98">
        <f t="shared" si="2"/>
        <v>0</v>
      </c>
      <c r="W32" s="98">
        <f>IF($C32="",0,IF(ISBLANK(#REF!)=FALSE,0,1))</f>
        <v>0</v>
      </c>
      <c r="X32" s="98">
        <f t="shared" si="0"/>
        <v>0</v>
      </c>
      <c r="Y32" s="98">
        <f>IF(OR(ISBLANK(L32), L32=0), 0, IF(OR(K32=Lists!$F$11, K32=Lists!$F$13), 0, 1))</f>
        <v>0</v>
      </c>
      <c r="Z32" s="98">
        <f>IF(OR($C32="", AND(NOT(K32=Lists!$F$11), NOT(K32=Lists!$F$13))),0,IF(ISBLANK(L32)=FALSE,0,1))</f>
        <v>0</v>
      </c>
      <c r="AA32" s="98">
        <f>IF(OR(ISBLANK(N32), N32=0), 0, IF(OR(M32=Lists!$F$11, M32=Lists!$F$13), 0, 1))</f>
        <v>1</v>
      </c>
      <c r="AB32" s="98">
        <f>IF(OR($C32="", AND(NOT(M32=Lists!$F$11), NOT(M32=Lists!$F$13))),0,IF(ISBLANK(N32)=FALSE,0,1))</f>
        <v>0</v>
      </c>
      <c r="AC32" s="98">
        <f>IF(OR(ISBLANK(P32), P32=0), 0, IF(OR(O32=Lists!$F$11, O32=Lists!$F$13), 0, 1))</f>
        <v>0</v>
      </c>
      <c r="AD32" s="98">
        <f>IF(OR($C32="", AND(NOT(O32=Lists!$F$11), NOT(O32=Lists!$F$13))),0,IF(ISBLANK(P32)=FALSE,0,1))</f>
        <v>0</v>
      </c>
      <c r="AE32" s="124"/>
      <c r="AF32" s="523">
        <f xml:space="preserve"> IF(OR( AND( K32 = Lists!$F$11, '3A - SWT'!L32 &lt; 0), AND( '3A - SWT'!M32 = Lists!$F$11, '3A - SWT'!N32 &lt; 0), AND( '3A - SWT'!O32 = Lists!$F$11, '3A - SWT'!P32 &lt; 0)), 1, 0)</f>
        <v>0</v>
      </c>
      <c r="AG32" s="523">
        <f xml:space="preserve"> IF( OR( AND( K32 = Lists!$F$13, '3A - SWT'!L32 &gt; 0), AND( M32 = Lists!$F$13, '3A - SWT'!N32 &gt; 0), AND( O32 = Lists!$F$13, '3A - SWT'!P32 &gt; 0 )), 1, 0)</f>
        <v>0</v>
      </c>
      <c r="AH32" s="525"/>
      <c r="AI32" s="701" t="str">
        <f>IF($P$1="Select company","",IF((HLOOKUP(((VLOOKUP($P$1,Lists!$B$4:$C$26,2,FALSE))&amp;'PC LIST'!$J$2),'PC list edited'!$A$2:$EJ$65,(B32+1),FALSE))=0,"",HLOOKUP(((VLOOKUP($P$1,Lists!$B$4:$C$26,2,FALSE))&amp; 'PC LIST'!$J$2),'PC list edited'!$A$2:$EJ$65,(B32+1),FALSE)))</f>
        <v>Out &amp; under</v>
      </c>
      <c r="AJ32" s="2417" t="str">
        <f>IFERROR(INDEX('PC LIST'!N$3:N$631, MATCH($C32, 'PC LIST'!$B$3:$B$631, 0)),"")</f>
        <v>Customer satisfaction (exc. bills)</v>
      </c>
    </row>
    <row r="33" spans="1:36" s="321" customFormat="1" ht="30" customHeight="1">
      <c r="A33" s="75"/>
      <c r="B33" s="299">
        <f t="shared" si="3"/>
        <v>29</v>
      </c>
      <c r="C33" s="514" t="str">
        <f>IF($P$1="Select company","",IF((HLOOKUP((VLOOKUP($P$1,Lists!$B$4:$C$26,2,FALSE)),'PC list edited'!$A$2:$EJ$65,(B33+1),FALSE))=0,"",HLOOKUP((VLOOKUP($P$1,Lists!$B$4:$C$26,2,FALSE)),'PC list edited'!$A$2:$EJ$65,(B33+1),FALSE)))</f>
        <v>PR14SWTWSWW_S-C1</v>
      </c>
      <c r="D33" s="513" t="str">
        <f>IF($P$1="Select company","",IF(C33 ="","",HLOOKUP(((VLOOKUP($P$1,Lists!$B$4:$C$26,2,FALSE))&amp;"PC"),'PC list edited'!$A$2:$EJ$65,(B33+1),FALSE)))</f>
        <v>S-C1: Wastewater treatment numeric compliance (%)</v>
      </c>
      <c r="E33" s="327" t="str">
        <f>IF($P$1="Select company","",IF(C33 ="","",HLOOKUP(((VLOOKUP($P$1,Lists!$B$4:$C$26,2,FALSE))&amp;"unit"),'PC list edited'!$A$2:$EJ$65,(B33+1),FALSE)))</f>
        <v>%</v>
      </c>
      <c r="F33" s="327" t="str">
        <f>IF($P$1="Select company","",IF(C33 ="","",HLOOKUP(((VLOOKUP($P$1,Lists!$B$4:$C$26,2,FALSE))&amp;"UnitDes"),'PC list edited'!$A$2:$EJ$65,(B33+1),FALSE)))</f>
        <v>% wastewater treatment numeric compliance</v>
      </c>
      <c r="G33" s="533">
        <f>IF($P$1="Select company","",IF(C33="","",HLOOKUP(((VLOOKUP($P$1,Lists!$B$4:$C$26,2,FALSE))&amp;"DP"),'PC list edited'!$A$2:$EJ$65,(B33+1),FALSE)))</f>
        <v>1</v>
      </c>
      <c r="H33" s="533">
        <f>IF($P$1="Select company","",IF(C33 = "","",HLOOKUP(((VLOOKUP($P$1,Lists!$B$4:$C$26,2,FALSE))&amp;"201718Actual"),'PC list edited'!$A$2:$EJ$65,(B33+1),FALSE)))</f>
        <v>97.1</v>
      </c>
      <c r="I33" s="570">
        <f>'[1]3A'!J33</f>
        <v>98.697068403908787</v>
      </c>
      <c r="J33" s="570" t="str">
        <f>'[1]3A'!K33</f>
        <v>N/A</v>
      </c>
      <c r="K33" s="570" t="s">
        <v>497</v>
      </c>
      <c r="L33" s="570" t="s">
        <v>497</v>
      </c>
      <c r="M33" s="570" t="s">
        <v>497</v>
      </c>
      <c r="N33" s="570" t="s">
        <v>497</v>
      </c>
      <c r="O33" s="570" t="s">
        <v>497</v>
      </c>
      <c r="P33" s="3179" t="s">
        <v>497</v>
      </c>
      <c r="Q33" s="135"/>
      <c r="R33" s="521">
        <f t="shared" si="4"/>
        <v>0</v>
      </c>
      <c r="S33" s="24" t="str">
        <f t="shared" si="1"/>
        <v>Please complete all cells in row</v>
      </c>
      <c r="T33" s="123"/>
      <c r="U33" s="129"/>
      <c r="V33" s="98">
        <f t="shared" si="2"/>
        <v>0</v>
      </c>
      <c r="W33" s="98">
        <f>IF($C33="",0,IF(ISBLANK(#REF!)=FALSE,0,1))</f>
        <v>0</v>
      </c>
      <c r="X33" s="98">
        <f t="shared" si="0"/>
        <v>0</v>
      </c>
      <c r="Y33" s="98">
        <f>IF(OR(ISBLANK(L33), L33=0), 0, IF(OR(K33=Lists!$F$11, K33=Lists!$F$13), 0, 1))</f>
        <v>1</v>
      </c>
      <c r="Z33" s="98">
        <f>IF(OR($C33="", AND(NOT(K33=Lists!$F$11), NOT(K33=Lists!$F$13))),0,IF(ISBLANK(L33)=FALSE,0,1))</f>
        <v>0</v>
      </c>
      <c r="AA33" s="98">
        <f>IF(OR(ISBLANK(N33), N33=0), 0, IF(OR(M33=Lists!$F$11, M33=Lists!$F$13), 0, 1))</f>
        <v>1</v>
      </c>
      <c r="AB33" s="98">
        <f>IF(OR($C33="", AND(NOT(M33=Lists!$F$11), NOT(M33=Lists!$F$13))),0,IF(ISBLANK(N33)=FALSE,0,1))</f>
        <v>0</v>
      </c>
      <c r="AC33" s="98">
        <f>IF(OR(ISBLANK(P33), P33=0), 0, IF(OR(O33=Lists!$F$11, O33=Lists!$F$13), 0, 1))</f>
        <v>1</v>
      </c>
      <c r="AD33" s="98">
        <f>IF(OR($C33="", AND(NOT(O33=Lists!$F$11), NOT(O33=Lists!$F$13))),0,IF(ISBLANK(P33)=FALSE,0,1))</f>
        <v>0</v>
      </c>
      <c r="AE33" s="129"/>
      <c r="AF33" s="523">
        <f xml:space="preserve"> IF(OR( AND( K33 = Lists!$F$11, '3A - SWT'!L33 &lt; 0), AND( '3A - SWT'!M33 = Lists!$F$11, '3A - SWT'!N33 &lt; 0), AND( '3A - SWT'!O33 = Lists!$F$11, '3A - SWT'!P33 &lt; 0)), 1, 0)</f>
        <v>0</v>
      </c>
      <c r="AG33" s="523">
        <f xml:space="preserve"> IF( OR( AND( K33 = Lists!$F$13, '3A - SWT'!L33 &gt; 0), AND( M33 = Lists!$F$13, '3A - SWT'!N33 &gt; 0), AND( O33 = Lists!$F$13, '3A - SWT'!P33 &gt; 0 )), 1, 0)</f>
        <v>0</v>
      </c>
      <c r="AH33" s="525"/>
      <c r="AI33" s="701" t="str">
        <f>IF($P$1="Select company","",IF((HLOOKUP(((VLOOKUP($P$1,Lists!$B$4:$C$26,2,FALSE))&amp;'PC LIST'!$J$2),'PC list edited'!$A$2:$EJ$65,(B33+1),FALSE))=0,"",HLOOKUP(((VLOOKUP($P$1,Lists!$B$4:$C$26,2,FALSE))&amp; 'PC LIST'!$J$2),'PC list edited'!$A$2:$EJ$65,(B33+1),FALSE)))</f>
        <v>Under</v>
      </c>
      <c r="AJ33" s="2417" t="str">
        <f>IFERROR(INDEX('PC LIST'!N$3:N$631, MATCH($C33, 'PC LIST'!$B$3:$B$631, 0)),"")</f>
        <v>Environmental</v>
      </c>
    </row>
    <row r="34" spans="1:36" s="321" customFormat="1" ht="30" customHeight="1">
      <c r="A34" s="75"/>
      <c r="B34" s="299">
        <f t="shared" si="3"/>
        <v>30</v>
      </c>
      <c r="C34" s="514" t="str">
        <f>IF($P$1="Select company","",IF((HLOOKUP((VLOOKUP($P$1,Lists!$B$4:$C$26,2,FALSE)),'PC list edited'!$A$2:$EJ$65,(B34+1),FALSE))=0,"",HLOOKUP((VLOOKUP($P$1,Lists!$B$4:$C$26,2,FALSE)),'PC list edited'!$A$2:$EJ$65,(B34+1),FALSE)))</f>
        <v>PR14SWTWSWW_S-C2</v>
      </c>
      <c r="D34" s="513" t="str">
        <f>IF($P$1="Select company","",IF(C34 ="","",HLOOKUP(((VLOOKUP($P$1,Lists!$B$4:$C$26,2,FALSE))&amp;"PC"),'PC list edited'!$A$2:$EJ$65,(B34+1),FALSE)))</f>
        <v>S-C2: Wastewater population equivalent sanitary compliance (%)</v>
      </c>
      <c r="E34" s="327" t="str">
        <f>IF($P$1="Select company","",IF(C34 ="","",HLOOKUP(((VLOOKUP($P$1,Lists!$B$4:$C$26,2,FALSE))&amp;"unit"),'PC list edited'!$A$2:$EJ$65,(B34+1),FALSE)))</f>
        <v>%</v>
      </c>
      <c r="F34" s="327" t="str">
        <f>IF($P$1="Select company","",IF(C34 ="","",HLOOKUP(((VLOOKUP($P$1,Lists!$B$4:$C$26,2,FALSE))&amp;"UnitDes"),'PC list edited'!$A$2:$EJ$65,(B34+1),FALSE)))</f>
        <v>% wastewater p.e. sanitary compliance</v>
      </c>
      <c r="G34" s="533">
        <f>IF($P$1="Select company","",IF(C34="","",HLOOKUP(((VLOOKUP($P$1,Lists!$B$4:$C$26,2,FALSE))&amp;"DP"),'PC list edited'!$A$2:$EJ$65,(B34+1),FALSE)))</f>
        <v>1</v>
      </c>
      <c r="H34" s="533">
        <f>IF($P$1="Select company","",IF(C34 = "","",HLOOKUP(((VLOOKUP($P$1,Lists!$B$4:$C$26,2,FALSE))&amp;"201718Actual"),'PC list edited'!$A$2:$EJ$65,(B34+1),FALSE)))</f>
        <v>99.9</v>
      </c>
      <c r="I34" s="570">
        <f>'[1]3A'!J34</f>
        <v>99.890662080261677</v>
      </c>
      <c r="J34" s="570" t="str">
        <f>'[1]3A'!K34</f>
        <v>N/A</v>
      </c>
      <c r="K34" s="570" t="s">
        <v>497</v>
      </c>
      <c r="L34" s="570" t="s">
        <v>497</v>
      </c>
      <c r="M34" s="570" t="s">
        <v>497</v>
      </c>
      <c r="N34" s="570" t="s">
        <v>497</v>
      </c>
      <c r="O34" s="570" t="s">
        <v>497</v>
      </c>
      <c r="P34" s="3179" t="s">
        <v>497</v>
      </c>
      <c r="Q34" s="135"/>
      <c r="R34" s="521">
        <f t="shared" si="4"/>
        <v>0</v>
      </c>
      <c r="S34" s="24" t="str">
        <f t="shared" si="1"/>
        <v>Please complete all cells in row</v>
      </c>
      <c r="T34" s="123"/>
      <c r="U34" s="129"/>
      <c r="V34" s="98">
        <f t="shared" si="2"/>
        <v>0</v>
      </c>
      <c r="W34" s="98">
        <f>IF($C34="",0,IF(ISBLANK(#REF!)=FALSE,0,1))</f>
        <v>0</v>
      </c>
      <c r="X34" s="98">
        <f t="shared" si="0"/>
        <v>0</v>
      </c>
      <c r="Y34" s="98">
        <f>IF(OR(ISBLANK(L34), L34=0), 0, IF(OR(K34=Lists!$F$11, K34=Lists!$F$13), 0, 1))</f>
        <v>1</v>
      </c>
      <c r="Z34" s="98">
        <f>IF(OR($C34="", AND(NOT(K34=Lists!$F$11), NOT(K34=Lists!$F$13))),0,IF(ISBLANK(L34)=FALSE,0,1))</f>
        <v>0</v>
      </c>
      <c r="AA34" s="98">
        <f>IF(OR(ISBLANK(N34), N34=0), 0, IF(OR(M34=Lists!$F$11, M34=Lists!$F$13), 0, 1))</f>
        <v>1</v>
      </c>
      <c r="AB34" s="98">
        <f>IF(OR($C34="", AND(NOT(M34=Lists!$F$11), NOT(M34=Lists!$F$13))),0,IF(ISBLANK(N34)=FALSE,0,1))</f>
        <v>0</v>
      </c>
      <c r="AC34" s="98">
        <f>IF(OR(ISBLANK(P34), P34=0), 0, IF(OR(O34=Lists!$F$11, O34=Lists!$F$13), 0, 1))</f>
        <v>1</v>
      </c>
      <c r="AD34" s="98">
        <f>IF(OR($C34="", AND(NOT(O34=Lists!$F$11), NOT(O34=Lists!$F$13))),0,IF(ISBLANK(P34)=FALSE,0,1))</f>
        <v>0</v>
      </c>
      <c r="AE34" s="129"/>
      <c r="AF34" s="523">
        <f xml:space="preserve"> IF(OR( AND( K34 = Lists!$F$11, '3A - SWT'!L34 &lt; 0), AND( '3A - SWT'!M34 = Lists!$F$11, '3A - SWT'!N34 &lt; 0), AND( '3A - SWT'!O34 = Lists!$F$11, '3A - SWT'!P34 &lt; 0)), 1, 0)</f>
        <v>0</v>
      </c>
      <c r="AG34" s="523">
        <f xml:space="preserve"> IF( OR( AND( K34 = Lists!$F$13, '3A - SWT'!L34 &gt; 0), AND( M34 = Lists!$F$13, '3A - SWT'!N34 &gt; 0), AND( O34 = Lists!$F$13, '3A - SWT'!P34 &gt; 0 )), 1, 0)</f>
        <v>0</v>
      </c>
      <c r="AH34" s="525"/>
      <c r="AI34" s="701" t="str">
        <f>IF($P$1="Select company","",IF((HLOOKUP(((VLOOKUP($P$1,Lists!$B$4:$C$26,2,FALSE))&amp;'PC LIST'!$J$2),'PC list edited'!$A$2:$EJ$65,(B34+1),FALSE))=0,"",HLOOKUP(((VLOOKUP($P$1,Lists!$B$4:$C$26,2,FALSE))&amp; 'PC LIST'!$J$2),'PC list edited'!$A$2:$EJ$65,(B34+1),FALSE)))</f>
        <v>NFI</v>
      </c>
      <c r="AJ34" s="2417" t="str">
        <f>IFERROR(INDEX('PC LIST'!N$3:N$631, MATCH($C34, 'PC LIST'!$B$3:$B$631, 0)),"")</f>
        <v>Environmental</v>
      </c>
    </row>
    <row r="35" spans="1:36" s="321" customFormat="1" ht="30" customHeight="1">
      <c r="A35" s="75"/>
      <c r="B35" s="299">
        <f t="shared" si="3"/>
        <v>31</v>
      </c>
      <c r="C35" s="514" t="str">
        <f>IF($P$1="Select company","",IF((HLOOKUP((VLOOKUP($P$1,Lists!$B$4:$C$26,2,FALSE)),'PC list edited'!$A$2:$EJ$65,(B35+1),FALSE))=0,"",HLOOKUP((VLOOKUP($P$1,Lists!$B$4:$C$26,2,FALSE)),'PC list edited'!$A$2:$EJ$65,(B35+1),FALSE)))</f>
        <v>PR14SWTWSWW_S-C3</v>
      </c>
      <c r="D35" s="513" t="str">
        <f>IF($P$1="Select company","",IF(C35 ="","",HLOOKUP(((VLOOKUP($P$1,Lists!$B$4:$C$26,2,FALSE))&amp;"PC"),'PC list edited'!$A$2:$EJ$65,(B35+1),FALSE)))</f>
        <v>S-C3: Wastewater descriptive works permit compliance (%)</v>
      </c>
      <c r="E35" s="327" t="str">
        <f>IF($P$1="Select company","",IF(C35 ="","",HLOOKUP(((VLOOKUP($P$1,Lists!$B$4:$C$26,2,FALSE))&amp;"unit"),'PC list edited'!$A$2:$EJ$65,(B35+1),FALSE)))</f>
        <v>%</v>
      </c>
      <c r="F35" s="327" t="str">
        <f>IF($P$1="Select company","",IF(C35 ="","",HLOOKUP(((VLOOKUP($P$1,Lists!$B$4:$C$26,2,FALSE))&amp;"UnitDes"),'PC list edited'!$A$2:$EJ$65,(B35+1),FALSE)))</f>
        <v>% wastewater desc works permit compliance</v>
      </c>
      <c r="G35" s="533">
        <f>IF($P$1="Select company","",IF(C35="","",HLOOKUP(((VLOOKUP($P$1,Lists!$B$4:$C$26,2,FALSE))&amp;"DP"),'PC list edited'!$A$2:$EJ$65,(B35+1),FALSE)))</f>
        <v>1</v>
      </c>
      <c r="H35" s="533">
        <f>IF($P$1="Select company","",IF(C35 = "","",HLOOKUP(((VLOOKUP($P$1,Lists!$B$4:$C$26,2,FALSE))&amp;"201718Actual"),'PC list edited'!$A$2:$EJ$65,(B35+1),FALSE)))</f>
        <v>100</v>
      </c>
      <c r="I35" s="570">
        <f>'[1]3A'!J35</f>
        <v>99.686520376175551</v>
      </c>
      <c r="J35" s="570" t="str">
        <f>'[1]3A'!K35</f>
        <v>No</v>
      </c>
      <c r="K35" s="570" t="s">
        <v>497</v>
      </c>
      <c r="L35" s="570" t="s">
        <v>497</v>
      </c>
      <c r="M35" s="570" t="s">
        <v>497</v>
      </c>
      <c r="N35" s="570" t="s">
        <v>497</v>
      </c>
      <c r="O35" s="570" t="s">
        <v>497</v>
      </c>
      <c r="P35" s="3179" t="s">
        <v>497</v>
      </c>
      <c r="Q35" s="135"/>
      <c r="R35" s="521">
        <f t="shared" si="4"/>
        <v>0</v>
      </c>
      <c r="S35" s="24" t="str">
        <f t="shared" si="1"/>
        <v>Please complete all cells in row</v>
      </c>
      <c r="T35" s="123"/>
      <c r="U35" s="129"/>
      <c r="V35" s="98">
        <f t="shared" si="2"/>
        <v>0</v>
      </c>
      <c r="W35" s="98">
        <f>IF($C35="",0,IF(ISBLANK(#REF!)=FALSE,0,1))</f>
        <v>0</v>
      </c>
      <c r="X35" s="98">
        <f t="shared" si="0"/>
        <v>0</v>
      </c>
      <c r="Y35" s="98">
        <f>IF(OR(ISBLANK(L35), L35=0), 0, IF(OR(K35=Lists!$F$11, K35=Lists!$F$13), 0, 1))</f>
        <v>1</v>
      </c>
      <c r="Z35" s="98">
        <f>IF(OR($C35="", AND(NOT(K35=Lists!$F$11), NOT(K35=Lists!$F$13))),0,IF(ISBLANK(L35)=FALSE,0,1))</f>
        <v>0</v>
      </c>
      <c r="AA35" s="98">
        <f>IF(OR(ISBLANK(N35), N35=0), 0, IF(OR(M35=Lists!$F$11, M35=Lists!$F$13), 0, 1))</f>
        <v>1</v>
      </c>
      <c r="AB35" s="98">
        <f>IF(OR($C35="", AND(NOT(M35=Lists!$F$11), NOT(M35=Lists!$F$13))),0,IF(ISBLANK(N35)=FALSE,0,1))</f>
        <v>0</v>
      </c>
      <c r="AC35" s="98">
        <f>IF(OR(ISBLANK(P35), P35=0), 0, IF(OR(O35=Lists!$F$11, O35=Lists!$F$13), 0, 1))</f>
        <v>1</v>
      </c>
      <c r="AD35" s="98">
        <f>IF(OR($C35="", AND(NOT(O35=Lists!$F$11), NOT(O35=Lists!$F$13))),0,IF(ISBLANK(P35)=FALSE,0,1))</f>
        <v>0</v>
      </c>
      <c r="AE35" s="129"/>
      <c r="AF35" s="523">
        <f xml:space="preserve"> IF(OR( AND( K35 = Lists!$F$11, '3A - SWT'!L35 &lt; 0), AND( '3A - SWT'!M35 = Lists!$F$11, '3A - SWT'!N35 &lt; 0), AND( '3A - SWT'!O35 = Lists!$F$11, '3A - SWT'!P35 &lt; 0)), 1, 0)</f>
        <v>0</v>
      </c>
      <c r="AG35" s="523">
        <f xml:space="preserve"> IF( OR( AND( K35 = Lists!$F$13, '3A - SWT'!L35 &gt; 0), AND( M35 = Lists!$F$13, '3A - SWT'!N35 &gt; 0), AND( O35 = Lists!$F$13, '3A - SWT'!P35 &gt; 0 )), 1, 0)</f>
        <v>0</v>
      </c>
      <c r="AH35" s="525"/>
      <c r="AI35" s="701" t="str">
        <f>IF($P$1="Select company","",IF((HLOOKUP(((VLOOKUP($P$1,Lists!$B$4:$C$26,2,FALSE))&amp;'PC LIST'!$J$2),'PC list edited'!$A$2:$EJ$65,(B35+1),FALSE))=0,"",HLOOKUP(((VLOOKUP($P$1,Lists!$B$4:$C$26,2,FALSE))&amp; 'PC LIST'!$J$2),'PC list edited'!$A$2:$EJ$65,(B35+1),FALSE)))</f>
        <v>Under</v>
      </c>
      <c r="AJ35" s="2417" t="str">
        <f>IFERROR(INDEX('PC LIST'!N$3:N$631, MATCH($C35, 'PC LIST'!$B$3:$B$631, 0)),"")</f>
        <v>Environmental</v>
      </c>
    </row>
    <row r="36" spans="1:36" s="321" customFormat="1" ht="30" customHeight="1">
      <c r="A36" s="75"/>
      <c r="B36" s="299">
        <f t="shared" si="3"/>
        <v>32</v>
      </c>
      <c r="C36" s="514" t="str">
        <f>IF($P$1="Select company","",IF((HLOOKUP((VLOOKUP($P$1,Lists!$B$4:$C$26,2,FALSE)),'PC list edited'!$A$2:$EJ$65,(B36+1),FALSE))=0,"",HLOOKUP((VLOOKUP($P$1,Lists!$B$4:$C$26,2,FALSE)),'PC list edited'!$A$2:$EJ$65,(B36+1),FALSE)))</f>
        <v>PR14SWTWSWW_S-C4</v>
      </c>
      <c r="D36" s="513" t="str">
        <f>IF($P$1="Select company","",IF(C36 ="","",HLOOKUP(((VLOOKUP($P$1,Lists!$B$4:$C$26,2,FALSE))&amp;"PC"),'PC list edited'!$A$2:$EJ$65,(B36+1),FALSE)))</f>
        <v>S-C4: Pollution incidents (category 1 and 2)</v>
      </c>
      <c r="E36" s="327" t="str">
        <f>IF($P$1="Select company","",IF(C36 ="","",HLOOKUP(((VLOOKUP($P$1,Lists!$B$4:$C$26,2,FALSE))&amp;"unit"),'PC list edited'!$A$2:$EJ$65,(B36+1),FALSE)))</f>
        <v>nr</v>
      </c>
      <c r="F36" s="327" t="str">
        <f>IF($P$1="Select company","",IF(C36 ="","",HLOOKUP(((VLOOKUP($P$1,Lists!$B$4:$C$26,2,FALSE))&amp;"UnitDes"),'PC list edited'!$A$2:$EJ$65,(B36+1),FALSE)))</f>
        <v>No. of pollution incidents (cats 1 and 2)</v>
      </c>
      <c r="G36" s="533">
        <f>IF($P$1="Select company","",IF(C36="","",HLOOKUP(((VLOOKUP($P$1,Lists!$B$4:$C$26,2,FALSE))&amp;"DP"),'PC list edited'!$A$2:$EJ$65,(B36+1),FALSE)))</f>
        <v>0</v>
      </c>
      <c r="H36" s="533">
        <f>IF($P$1="Select company","",IF(C36 = "","",HLOOKUP(((VLOOKUP($P$1,Lists!$B$4:$C$26,2,FALSE))&amp;"201718Actual"),'PC list edited'!$A$2:$EJ$65,(B36+1),FALSE)))</f>
        <v>3</v>
      </c>
      <c r="I36" s="570">
        <f>'[1]3A'!J36</f>
        <v>2</v>
      </c>
      <c r="J36" s="570" t="str">
        <f>'[1]3A'!K36</f>
        <v>No</v>
      </c>
      <c r="K36" s="570" t="str">
        <f>'[1]3A'!L36</f>
        <v>Underperformance Deadband</v>
      </c>
      <c r="L36" s="570" t="s">
        <v>497</v>
      </c>
      <c r="M36" s="570" t="s">
        <v>497</v>
      </c>
      <c r="N36" s="570" t="s">
        <v>497</v>
      </c>
      <c r="O36" s="570" t="str">
        <f>'[1]3A'!P36</f>
        <v>Underperformance Payment</v>
      </c>
      <c r="P36" s="3179">
        <f>'[1]3A'!Q36</f>
        <v>-2.7679999999999998</v>
      </c>
      <c r="Q36" s="135"/>
      <c r="R36" s="521">
        <f t="shared" si="4"/>
        <v>0</v>
      </c>
      <c r="S36" s="24" t="str">
        <f t="shared" si="1"/>
        <v>Please complete all cells in row</v>
      </c>
      <c r="T36" s="123"/>
      <c r="U36" s="129"/>
      <c r="V36" s="98">
        <f t="shared" si="2"/>
        <v>0</v>
      </c>
      <c r="W36" s="98">
        <f>IF($C36="",0,IF(ISBLANK(#REF!)=FALSE,0,1))</f>
        <v>0</v>
      </c>
      <c r="X36" s="98">
        <f t="shared" si="0"/>
        <v>0</v>
      </c>
      <c r="Y36" s="98">
        <f>IF(OR(ISBLANK(L36), L36=0), 0, IF(OR(K36=Lists!$F$11, K36=Lists!$F$13), 0, 1))</f>
        <v>1</v>
      </c>
      <c r="Z36" s="98">
        <f>IF(OR($C36="", AND(NOT(K36=Lists!$F$11), NOT(K36=Lists!$F$13))),0,IF(ISBLANK(L36)=FALSE,0,1))</f>
        <v>0</v>
      </c>
      <c r="AA36" s="98">
        <f>IF(OR(ISBLANK(N36), N36=0), 0, IF(OR(M36=Lists!$F$11, M36=Lists!$F$13), 0, 1))</f>
        <v>1</v>
      </c>
      <c r="AB36" s="98">
        <f>IF(OR($C36="", AND(NOT(M36=Lists!$F$11), NOT(M36=Lists!$F$13))),0,IF(ISBLANK(N36)=FALSE,0,1))</f>
        <v>0</v>
      </c>
      <c r="AC36" s="98">
        <f>IF(OR(ISBLANK(P36), P36=0), 0, IF(OR(O36=Lists!$F$11, O36=Lists!$F$13), 0, 1))</f>
        <v>0</v>
      </c>
      <c r="AD36" s="98">
        <f>IF(OR($C36="", AND(NOT(O36=Lists!$F$11), NOT(O36=Lists!$F$13))),0,IF(ISBLANK(P36)=FALSE,0,1))</f>
        <v>0</v>
      </c>
      <c r="AE36" s="129"/>
      <c r="AF36" s="523">
        <f xml:space="preserve"> IF(OR( AND( K36 = Lists!$F$11, '3A - SWT'!L36 &lt; 0), AND( '3A - SWT'!M36 = Lists!$F$11, '3A - SWT'!N36 &lt; 0), AND( '3A - SWT'!O36 = Lists!$F$11, '3A - SWT'!P36 &lt; 0)), 1, 0)</f>
        <v>0</v>
      </c>
      <c r="AG36" s="523">
        <f xml:space="preserve"> IF( OR( AND( K36 = Lists!$F$13, '3A - SWT'!L36 &gt; 0), AND( M36 = Lists!$F$13, '3A - SWT'!N36 &gt; 0), AND( O36 = Lists!$F$13, '3A - SWT'!P36 &gt; 0 )), 1, 0)</f>
        <v>0</v>
      </c>
      <c r="AH36" s="525"/>
      <c r="AI36" s="701" t="str">
        <f>IF($P$1="Select company","",IF((HLOOKUP(((VLOOKUP($P$1,Lists!$B$4:$C$26,2,FALSE))&amp;'PC LIST'!$J$2),'PC list edited'!$A$2:$EJ$65,(B36+1),FALSE))=0,"",HLOOKUP(((VLOOKUP($P$1,Lists!$B$4:$C$26,2,FALSE))&amp; 'PC LIST'!$J$2),'PC list edited'!$A$2:$EJ$65,(B36+1),FALSE)))</f>
        <v>Under</v>
      </c>
      <c r="AJ36" s="2417" t="str">
        <f>IFERROR(INDEX('PC LIST'!N$3:N$631, MATCH($C36, 'PC LIST'!$B$3:$B$631, 0)),"")</f>
        <v>Pollution incidents</v>
      </c>
    </row>
    <row r="37" spans="1:36" s="321" customFormat="1" ht="30" customHeight="1">
      <c r="A37" s="75"/>
      <c r="B37" s="299">
        <f t="shared" si="3"/>
        <v>33</v>
      </c>
      <c r="C37" s="514" t="str">
        <f>IF($P$1="Select company","",IF((HLOOKUP((VLOOKUP($P$1,Lists!$B$4:$C$26,2,FALSE)),'PC list edited'!$A$2:$EJ$65,(B37+1),FALSE))=0,"",HLOOKUP((VLOOKUP($P$1,Lists!$B$4:$C$26,2,FALSE)),'PC list edited'!$A$2:$EJ$65,(B37+1),FALSE)))</f>
        <v>PR14SWTWSWW_S-C5</v>
      </c>
      <c r="D37" s="513" t="str">
        <f>IF($P$1="Select company","",IF(C37 ="","",HLOOKUP(((VLOOKUP($P$1,Lists!$B$4:$C$26,2,FALSE))&amp;"PC"),'PC list edited'!$A$2:$EJ$65,(B37+1),FALSE)))</f>
        <v>S-C5: Pollution incidents (category 3 and 4)</v>
      </c>
      <c r="E37" s="327" t="str">
        <f>IF($P$1="Select company","",IF(C37 ="","",HLOOKUP(((VLOOKUP($P$1,Lists!$B$4:$C$26,2,FALSE))&amp;"unit"),'PC list edited'!$A$2:$EJ$65,(B37+1),FALSE)))</f>
        <v>nr</v>
      </c>
      <c r="F37" s="327" t="str">
        <f>IF($P$1="Select company","",IF(C37 ="","",HLOOKUP(((VLOOKUP($P$1,Lists!$B$4:$C$26,2,FALSE))&amp;"UnitDes"),'PC list edited'!$A$2:$EJ$65,(B37+1),FALSE)))</f>
        <v>No. of pollution incidents (cats 3 and 4)</v>
      </c>
      <c r="G37" s="533">
        <f>IF($P$1="Select company","",IF(C37="","",HLOOKUP(((VLOOKUP($P$1,Lists!$B$4:$C$26,2,FALSE))&amp;"DP"),'PC list edited'!$A$2:$EJ$65,(B37+1),FALSE)))</f>
        <v>0</v>
      </c>
      <c r="H37" s="533">
        <f>IF($P$1="Select company","",IF(C37 = "","",HLOOKUP(((VLOOKUP($P$1,Lists!$B$4:$C$26,2,FALSE))&amp;"201718Actual"),'PC list edited'!$A$2:$EJ$65,(B37+1),FALSE)))</f>
        <v>237</v>
      </c>
      <c r="I37" s="570">
        <f>'[1]3A'!J37</f>
        <v>248</v>
      </c>
      <c r="J37" s="570" t="str">
        <f>'[1]3A'!K37</f>
        <v>No</v>
      </c>
      <c r="K37" s="570" t="str">
        <f>'[1]3A'!L37</f>
        <v>Underperformance Payment</v>
      </c>
      <c r="L37" s="3182">
        <f>'[1]3A'!M37</f>
        <v>-0.77200000000000002</v>
      </c>
      <c r="M37" s="570" t="s">
        <v>497</v>
      </c>
      <c r="N37" s="570" t="s">
        <v>497</v>
      </c>
      <c r="O37" s="570" t="str">
        <f>'[1]3A'!P37</f>
        <v>Underperformance Payment</v>
      </c>
      <c r="P37" s="3179">
        <f>'[1]3A'!Q37</f>
        <v>-1.5659000000000001</v>
      </c>
      <c r="Q37" s="135"/>
      <c r="R37" s="521">
        <f t="shared" si="4"/>
        <v>0</v>
      </c>
      <c r="S37" s="24" t="str">
        <f t="shared" ref="S37:S60" si="5" xml:space="preserve"> IF( SUM( U37:AE37 ) = 0, 0, $V$3 )</f>
        <v>Please complete all cells in row</v>
      </c>
      <c r="T37" s="123"/>
      <c r="U37" s="129"/>
      <c r="V37" s="98">
        <f t="shared" ref="V37:V60" si="6">IF($C37="",0,IF(ISBLANK(I37)=FALSE,0,1))</f>
        <v>0</v>
      </c>
      <c r="W37" s="98">
        <f>IF($C37="",0,IF(ISBLANK(#REF!)=FALSE,0,1))</f>
        <v>0</v>
      </c>
      <c r="X37" s="98">
        <f t="shared" si="0"/>
        <v>0</v>
      </c>
      <c r="Y37" s="98">
        <f>IF(OR(ISBLANK(L37), L37=0), 0, IF(OR(K37=Lists!$F$11, K37=Lists!$F$13), 0, 1))</f>
        <v>0</v>
      </c>
      <c r="Z37" s="98">
        <f>IF(OR($C37="", AND(NOT(K37=Lists!$F$11), NOT(K37=Lists!$F$13))),0,IF(ISBLANK(L37)=FALSE,0,1))</f>
        <v>0</v>
      </c>
      <c r="AA37" s="98">
        <f>IF(OR(ISBLANK(N37), N37=0), 0, IF(OR(M37=Lists!$F$11, M37=Lists!$F$13), 0, 1))</f>
        <v>1</v>
      </c>
      <c r="AB37" s="98">
        <f>IF(OR($C37="", AND(NOT(M37=Lists!$F$11), NOT(M37=Lists!$F$13))),0,IF(ISBLANK(N37)=FALSE,0,1))</f>
        <v>0</v>
      </c>
      <c r="AC37" s="98">
        <f>IF(OR(ISBLANK(P37), P37=0), 0, IF(OR(O37=Lists!$F$11, O37=Lists!$F$13), 0, 1))</f>
        <v>0</v>
      </c>
      <c r="AD37" s="98">
        <f>IF(OR($C37="", AND(NOT(O37=Lists!$F$11), NOT(O37=Lists!$F$13))),0,IF(ISBLANK(P37)=FALSE,0,1))</f>
        <v>0</v>
      </c>
      <c r="AE37" s="129"/>
      <c r="AF37" s="523">
        <f xml:space="preserve"> IF(OR( AND( K37 = Lists!$F$11, '3A - SWT'!L37 &lt; 0), AND( '3A - SWT'!M37 = Lists!$F$11, '3A - SWT'!N37 &lt; 0), AND( '3A - SWT'!O37 = Lists!$F$11, '3A - SWT'!P37 &lt; 0)), 1, 0)</f>
        <v>0</v>
      </c>
      <c r="AG37" s="523">
        <f xml:space="preserve"> IF( OR( AND( K37 = Lists!$F$13, '3A - SWT'!L37 &gt; 0), AND( M37 = Lists!$F$13, '3A - SWT'!N37 &gt; 0), AND( O37 = Lists!$F$13, '3A - SWT'!P37 &gt; 0 )), 1, 0)</f>
        <v>0</v>
      </c>
      <c r="AH37" s="525"/>
      <c r="AI37" s="701" t="str">
        <f>IF($P$1="Select company","",IF((HLOOKUP(((VLOOKUP($P$1,Lists!$B$4:$C$26,2,FALSE))&amp;'PC LIST'!$J$2),'PC list edited'!$A$2:$EJ$65,(B37+1),FALSE))=0,"",HLOOKUP(((VLOOKUP($P$1,Lists!$B$4:$C$26,2,FALSE))&amp; 'PC LIST'!$J$2),'PC list edited'!$A$2:$EJ$65,(B37+1),FALSE)))</f>
        <v>Under</v>
      </c>
      <c r="AJ37" s="2417" t="str">
        <f>IFERROR(INDEX('PC LIST'!N$3:N$631, MATCH($C37, 'PC LIST'!$B$3:$B$631, 0)),"")</f>
        <v>Pollution incidents</v>
      </c>
    </row>
    <row r="38" spans="1:36" s="321" customFormat="1" ht="30" customHeight="1">
      <c r="A38" s="75"/>
      <c r="B38" s="299">
        <f t="shared" si="3"/>
        <v>34</v>
      </c>
      <c r="C38" s="514" t="str">
        <f>IF($P$1="Select company","",IF((HLOOKUP((VLOOKUP($P$1,Lists!$B$4:$C$26,2,FALSE)),'PC list edited'!$A$2:$EJ$65,(B38+1),FALSE))=0,"",HLOOKUP((VLOOKUP($P$1,Lists!$B$4:$C$26,2,FALSE)),'PC list edited'!$A$2:$EJ$65,(B38+1),FALSE)))</f>
        <v>PR14SWTWSWW_S-C6</v>
      </c>
      <c r="D38" s="513" t="str">
        <f>IF($P$1="Select company","",IF(C38 ="","",HLOOKUP(((VLOOKUP($P$1,Lists!$B$4:$C$26,2,FALSE))&amp;"PC"),'PC list edited'!$A$2:$EJ$65,(B38+1),FALSE)))</f>
        <v>S-C6: Operational carbon emissions (ktCO2e)</v>
      </c>
      <c r="E38" s="327" t="str">
        <f>IF($P$1="Select company","",IF(C38 ="","",HLOOKUP(((VLOOKUP($P$1,Lists!$B$4:$C$26,2,FALSE))&amp;"unit"),'PC list edited'!$A$2:$EJ$65,(B38+1),FALSE)))</f>
        <v>nr</v>
      </c>
      <c r="F38" s="327" t="str">
        <f>IF($P$1="Select company","",IF(C38 ="","",HLOOKUP(((VLOOKUP($P$1,Lists!$B$4:$C$26,2,FALSE))&amp;"UnitDes"),'PC list edited'!$A$2:$EJ$65,(B38+1),FALSE)))</f>
        <v>ktCO2e</v>
      </c>
      <c r="G38" s="533">
        <f>IF($P$1="Select company","",IF(C38="","",HLOOKUP(((VLOOKUP($P$1,Lists!$B$4:$C$26,2,FALSE))&amp;"DP"),'PC list edited'!$A$2:$EJ$65,(B38+1),FALSE)))</f>
        <v>1</v>
      </c>
      <c r="H38" s="533">
        <f>IF($P$1="Select company","",IF(C38 = "","",HLOOKUP(((VLOOKUP($P$1,Lists!$B$4:$C$26,2,FALSE))&amp;"201718Actual"),'PC list edited'!$A$2:$EJ$65,(B38+1),FALSE)))</f>
        <v>83.2</v>
      </c>
      <c r="I38" s="570">
        <f>'[1]3A'!J38</f>
        <v>68.739592858627418</v>
      </c>
      <c r="J38" s="570" t="str">
        <f>'[1]3A'!K38</f>
        <v>N/A</v>
      </c>
      <c r="K38" s="570" t="s">
        <v>497</v>
      </c>
      <c r="L38" s="570" t="s">
        <v>497</v>
      </c>
      <c r="M38" s="570" t="s">
        <v>497</v>
      </c>
      <c r="N38" s="570" t="s">
        <v>497</v>
      </c>
      <c r="O38" s="570" t="s">
        <v>497</v>
      </c>
      <c r="P38" s="3179" t="s">
        <v>497</v>
      </c>
      <c r="Q38" s="135"/>
      <c r="R38" s="521">
        <f t="shared" si="4"/>
        <v>0</v>
      </c>
      <c r="S38" s="24" t="str">
        <f t="shared" si="5"/>
        <v>Please complete all cells in row</v>
      </c>
      <c r="T38" s="123"/>
      <c r="U38" s="129"/>
      <c r="V38" s="98">
        <f t="shared" si="6"/>
        <v>0</v>
      </c>
      <c r="W38" s="98">
        <f>IF($C38="",0,IF(ISBLANK(#REF!)=FALSE,0,1))</f>
        <v>0</v>
      </c>
      <c r="X38" s="98">
        <f t="shared" si="0"/>
        <v>0</v>
      </c>
      <c r="Y38" s="98">
        <f>IF(OR(ISBLANK(L38), L38=0), 0, IF(OR(K38=Lists!$F$11, K38=Lists!$F$13), 0, 1))</f>
        <v>1</v>
      </c>
      <c r="Z38" s="98">
        <f>IF(OR($C38="", AND(NOT(K38=Lists!$F$11), NOT(K38=Lists!$F$13))),0,IF(ISBLANK(L38)=FALSE,0,1))</f>
        <v>0</v>
      </c>
      <c r="AA38" s="98">
        <f>IF(OR(ISBLANK(N38), N38=0), 0, IF(OR(M38=Lists!$F$11, M38=Lists!$F$13), 0, 1))</f>
        <v>1</v>
      </c>
      <c r="AB38" s="98">
        <f>IF(OR($C38="", AND(NOT(M38=Lists!$F$11), NOT(M38=Lists!$F$13))),0,IF(ISBLANK(N38)=FALSE,0,1))</f>
        <v>0</v>
      </c>
      <c r="AC38" s="98">
        <f>IF(OR(ISBLANK(P38), P38=0), 0, IF(OR(O38=Lists!$F$11, O38=Lists!$F$13), 0, 1))</f>
        <v>1</v>
      </c>
      <c r="AD38" s="98">
        <f>IF(OR($C38="", AND(NOT(O38=Lists!$F$11), NOT(O38=Lists!$F$13))),0,IF(ISBLANK(P38)=FALSE,0,1))</f>
        <v>0</v>
      </c>
      <c r="AE38" s="129"/>
      <c r="AF38" s="523">
        <f xml:space="preserve"> IF(OR( AND( K38 = Lists!$F$11, '3A - SWT'!L38 &lt; 0), AND( '3A - SWT'!M38 = Lists!$F$11, '3A - SWT'!N38 &lt; 0), AND( '3A - SWT'!O38 = Lists!$F$11, '3A - SWT'!P38 &lt; 0)), 1, 0)</f>
        <v>0</v>
      </c>
      <c r="AG38" s="523">
        <f xml:space="preserve"> IF( OR( AND( K38 = Lists!$F$13, '3A - SWT'!L38 &gt; 0), AND( M38 = Lists!$F$13, '3A - SWT'!N38 &gt; 0), AND( O38 = Lists!$F$13, '3A - SWT'!P38 &gt; 0 )), 1, 0)</f>
        <v>0</v>
      </c>
      <c r="AH38" s="525"/>
      <c r="AI38" s="701" t="str">
        <f>IF($P$1="Select company","",IF((HLOOKUP(((VLOOKUP($P$1,Lists!$B$4:$C$26,2,FALSE))&amp;'PC LIST'!$J$2),'PC list edited'!$A$2:$EJ$65,(B38+1),FALSE))=0,"",HLOOKUP(((VLOOKUP($P$1,Lists!$B$4:$C$26,2,FALSE))&amp; 'PC LIST'!$J$2),'PC list edited'!$A$2:$EJ$65,(B38+1),FALSE)))</f>
        <v>NFI</v>
      </c>
      <c r="AJ38" s="2417" t="str">
        <f>IFERROR(INDEX('PC LIST'!N$3:N$631, MATCH($C38, 'PC LIST'!$B$3:$B$631, 0)),"")</f>
        <v>Energy/emissions</v>
      </c>
    </row>
    <row r="39" spans="1:36" s="321" customFormat="1" ht="30" customHeight="1">
      <c r="A39" s="75"/>
      <c r="B39" s="299">
        <f t="shared" si="3"/>
        <v>35</v>
      </c>
      <c r="C39" s="514" t="str">
        <f>IF($P$1="Select company","",IF((HLOOKUP((VLOOKUP($P$1,Lists!$B$4:$C$26,2,FALSE)),'PC list edited'!$A$2:$EJ$65,(B39+1),FALSE))=0,"",HLOOKUP((VLOOKUP($P$1,Lists!$B$4:$C$26,2,FALSE)),'PC list edited'!$A$2:$EJ$65,(B39+1),FALSE)))</f>
        <v>PR14SWTWSWW_S-C7</v>
      </c>
      <c r="D39" s="513" t="str">
        <f>IF($P$1="Select company","",IF(C39 ="","",HLOOKUP(((VLOOKUP($P$1,Lists!$B$4:$C$26,2,FALSE))&amp;"PC"),'PC list edited'!$A$2:$EJ$65,(B39+1),FALSE)))</f>
        <v>S-C7: Energy from renewable sources (%)</v>
      </c>
      <c r="E39" s="327" t="str">
        <f>IF($P$1="Select company","",IF(C39 ="","",HLOOKUP(((VLOOKUP($P$1,Lists!$B$4:$C$26,2,FALSE))&amp;"unit"),'PC list edited'!$A$2:$EJ$65,(B39+1),FALSE)))</f>
        <v>%</v>
      </c>
      <c r="F39" s="327" t="str">
        <f>IF($P$1="Select company","",IF(C39 ="","",HLOOKUP(((VLOOKUP($P$1,Lists!$B$4:$C$26,2,FALSE))&amp;"UnitDes"),'PC list edited'!$A$2:$EJ$65,(B39+1),FALSE)))</f>
        <v>% energy from renewable sources</v>
      </c>
      <c r="G39" s="533">
        <f>IF($P$1="Select company","",IF(C39="","",HLOOKUP(((VLOOKUP($P$1,Lists!$B$4:$C$26,2,FALSE))&amp;"DP"),'PC list edited'!$A$2:$EJ$65,(B39+1),FALSE)))</f>
        <v>2</v>
      </c>
      <c r="H39" s="533">
        <f>IF($P$1="Select company","",IF(C39 = "","",HLOOKUP(((VLOOKUP($P$1,Lists!$B$4:$C$26,2,FALSE))&amp;"201718Actual"),'PC list edited'!$A$2:$EJ$65,(B39+1),FALSE)))</f>
        <v>3.95</v>
      </c>
      <c r="I39" s="570">
        <f>'[1]3A'!J39</f>
        <v>5.3513145688828558</v>
      </c>
      <c r="J39" s="570" t="str">
        <f>'[1]3A'!K39</f>
        <v>N/A</v>
      </c>
      <c r="K39" s="570" t="s">
        <v>497</v>
      </c>
      <c r="L39" s="570" t="s">
        <v>497</v>
      </c>
      <c r="M39" s="570" t="s">
        <v>497</v>
      </c>
      <c r="N39" s="570" t="s">
        <v>497</v>
      </c>
      <c r="O39" s="570" t="s">
        <v>497</v>
      </c>
      <c r="P39" s="3179" t="s">
        <v>497</v>
      </c>
      <c r="Q39" s="135"/>
      <c r="R39" s="521">
        <f t="shared" si="4"/>
        <v>0</v>
      </c>
      <c r="S39" s="24" t="str">
        <f t="shared" si="5"/>
        <v>Please complete all cells in row</v>
      </c>
      <c r="T39" s="123"/>
      <c r="U39" s="129"/>
      <c r="V39" s="98">
        <f t="shared" si="6"/>
        <v>0</v>
      </c>
      <c r="W39" s="98">
        <f>IF($C39="",0,IF(ISBLANK(#REF!)=FALSE,0,1))</f>
        <v>0</v>
      </c>
      <c r="X39" s="98">
        <f t="shared" si="0"/>
        <v>0</v>
      </c>
      <c r="Y39" s="98">
        <f>IF(OR(ISBLANK(L39), L39=0), 0, IF(OR(K39=Lists!$F$11, K39=Lists!$F$13), 0, 1))</f>
        <v>1</v>
      </c>
      <c r="Z39" s="98">
        <f>IF(OR($C39="", AND(NOT(K39=Lists!$F$11), NOT(K39=Lists!$F$13))),0,IF(ISBLANK(L39)=FALSE,0,1))</f>
        <v>0</v>
      </c>
      <c r="AA39" s="98">
        <f>IF(OR(ISBLANK(N39), N39=0), 0, IF(OR(M39=Lists!$F$11, M39=Lists!$F$13), 0, 1))</f>
        <v>1</v>
      </c>
      <c r="AB39" s="98">
        <f>IF(OR($C39="", AND(NOT(M39=Lists!$F$11), NOT(M39=Lists!$F$13))),0,IF(ISBLANK(N39)=FALSE,0,1))</f>
        <v>0</v>
      </c>
      <c r="AC39" s="98">
        <f>IF(OR(ISBLANK(P39), P39=0), 0, IF(OR(O39=Lists!$F$11, O39=Lists!$F$13), 0, 1))</f>
        <v>1</v>
      </c>
      <c r="AD39" s="98">
        <f>IF(OR($C39="", AND(NOT(O39=Lists!$F$11), NOT(O39=Lists!$F$13))),0,IF(ISBLANK(P39)=FALSE,0,1))</f>
        <v>0</v>
      </c>
      <c r="AE39" s="129"/>
      <c r="AF39" s="523">
        <f xml:space="preserve"> IF(OR( AND( K39 = Lists!$F$11, '3A - SWT'!L39 &lt; 0), AND( '3A - SWT'!M39 = Lists!$F$11, '3A - SWT'!N39 &lt; 0), AND( '3A - SWT'!O39 = Lists!$F$11, '3A - SWT'!P39 &lt; 0)), 1, 0)</f>
        <v>0</v>
      </c>
      <c r="AG39" s="523">
        <f xml:space="preserve"> IF( OR( AND( K39 = Lists!$F$13, '3A - SWT'!L39 &gt; 0), AND( M39 = Lists!$F$13, '3A - SWT'!N39 &gt; 0), AND( O39 = Lists!$F$13, '3A - SWT'!P39 &gt; 0 )), 1, 0)</f>
        <v>0</v>
      </c>
      <c r="AH39" s="525"/>
      <c r="AI39" s="701" t="str">
        <f>IF($P$1="Select company","",IF((HLOOKUP(((VLOOKUP($P$1,Lists!$B$4:$C$26,2,FALSE))&amp;'PC LIST'!$J$2),'PC list edited'!$A$2:$EJ$65,(B39+1),FALSE))=0,"",HLOOKUP(((VLOOKUP($P$1,Lists!$B$4:$C$26,2,FALSE))&amp; 'PC LIST'!$J$2),'PC list edited'!$A$2:$EJ$65,(B39+1),FALSE)))</f>
        <v>NFI</v>
      </c>
      <c r="AJ39" s="2417" t="str">
        <f>IFERROR(INDEX('PC LIST'!N$3:N$631, MATCH($C39, 'PC LIST'!$B$3:$B$631, 0)),"")</f>
        <v>Energy/emissions</v>
      </c>
    </row>
    <row r="40" spans="1:36" s="321" customFormat="1" ht="30" customHeight="1">
      <c r="A40" s="75"/>
      <c r="B40" s="299">
        <f t="shared" si="3"/>
        <v>36</v>
      </c>
      <c r="C40" s="514" t="str">
        <f>IF($P$1="Select company","",IF((HLOOKUP((VLOOKUP($P$1,Lists!$B$4:$C$26,2,FALSE)),'PC list edited'!$A$2:$EJ$65,(B40+1),FALSE))=0,"",HLOOKUP((VLOOKUP($P$1,Lists!$B$4:$C$26,2,FALSE)),'PC list edited'!$A$2:$EJ$65,(B40+1),FALSE)))</f>
        <v>PR14SWTWSWW_S-D1</v>
      </c>
      <c r="D40" s="513" t="str">
        <f>IF($P$1="Select company","",IF(C40 ="","",HLOOKUP(((VLOOKUP($P$1,Lists!$B$4:$C$26,2,FALSE))&amp;"PC"),'PC list edited'!$A$2:$EJ$65,(B40+1),FALSE)))</f>
        <v>S-D1: Bathing water quality</v>
      </c>
      <c r="E40" s="327" t="str">
        <f>IF($P$1="Select company","",IF(C40 ="","",HLOOKUP(((VLOOKUP($P$1,Lists!$B$4:$C$26,2,FALSE))&amp;"unit"),'PC list edited'!$A$2:$EJ$65,(B40+1),FALSE)))</f>
        <v>nr</v>
      </c>
      <c r="F40" s="327" t="str">
        <f>IF($P$1="Select company","",IF(C40 ="","",HLOOKUP(((VLOOKUP($P$1,Lists!$B$4:$C$26,2,FALSE))&amp;"UnitDes"),'PC list edited'!$A$2:$EJ$65,(B40+1),FALSE)))</f>
        <v>No. of bathing waters meeting or exceeding agreed standard</v>
      </c>
      <c r="G40" s="533">
        <f>IF($P$1="Select company","",IF(C40="","",HLOOKUP(((VLOOKUP($P$1,Lists!$B$4:$C$26,2,FALSE))&amp;"DP"),'PC list edited'!$A$2:$EJ$65,(B40+1),FALSE)))</f>
        <v>0</v>
      </c>
      <c r="H40" s="533">
        <f>IF($P$1="Select company","",IF(C40 = "","",HLOOKUP(((VLOOKUP($P$1,Lists!$B$4:$C$26,2,FALSE))&amp;"201718Actual"),'PC list edited'!$A$2:$EJ$65,(B40+1),FALSE)))</f>
        <v>0</v>
      </c>
      <c r="I40" s="570">
        <f>'[1]3A'!J40</f>
        <v>0</v>
      </c>
      <c r="J40" s="570" t="str">
        <f>'[1]3A'!K40</f>
        <v>Yes</v>
      </c>
      <c r="K40" s="570" t="s">
        <v>497</v>
      </c>
      <c r="L40" s="570" t="s">
        <v>497</v>
      </c>
      <c r="M40" s="570" t="str">
        <f>'[1]3A'!N40</f>
        <v>Outperformance Payment</v>
      </c>
      <c r="N40" s="3182">
        <f>'[1]3A'!O40</f>
        <v>0.747</v>
      </c>
      <c r="O40" s="570" t="str">
        <f>'[1]3A'!P40</f>
        <v>Outperformance Payment</v>
      </c>
      <c r="P40" s="3179">
        <f>'[1]3A'!Q40</f>
        <v>7.47</v>
      </c>
      <c r="Q40" s="135"/>
      <c r="R40" s="521">
        <f t="shared" si="4"/>
        <v>0</v>
      </c>
      <c r="S40" s="24" t="str">
        <f t="shared" si="5"/>
        <v>Please complete all cells in row</v>
      </c>
      <c r="T40" s="123"/>
      <c r="U40" s="129"/>
      <c r="V40" s="98">
        <f t="shared" si="6"/>
        <v>0</v>
      </c>
      <c r="W40" s="98">
        <f>IF($C40="",0,IF(ISBLANK(#REF!)=FALSE,0,1))</f>
        <v>0</v>
      </c>
      <c r="X40" s="98">
        <f t="shared" si="0"/>
        <v>0</v>
      </c>
      <c r="Y40" s="98">
        <f>IF(OR(ISBLANK(L40), L40=0), 0, IF(OR(K40=Lists!$F$11, K40=Lists!$F$13), 0, 1))</f>
        <v>1</v>
      </c>
      <c r="Z40" s="98">
        <f>IF(OR($C40="", AND(NOT(K40=Lists!$F$11), NOT(K40=Lists!$F$13))),0,IF(ISBLANK(L40)=FALSE,0,1))</f>
        <v>0</v>
      </c>
      <c r="AA40" s="98">
        <f>IF(OR(ISBLANK(N40), N40=0), 0, IF(OR(M40=Lists!$F$11, M40=Lists!$F$13), 0, 1))</f>
        <v>0</v>
      </c>
      <c r="AB40" s="98">
        <f>IF(OR($C40="", AND(NOT(M40=Lists!$F$11), NOT(M40=Lists!$F$13))),0,IF(ISBLANK(N40)=FALSE,0,1))</f>
        <v>0</v>
      </c>
      <c r="AC40" s="98">
        <f>IF(OR(ISBLANK(P40), P40=0), 0, IF(OR(O40=Lists!$F$11, O40=Lists!$F$13), 0, 1))</f>
        <v>0</v>
      </c>
      <c r="AD40" s="98">
        <f>IF(OR($C40="", AND(NOT(O40=Lists!$F$11), NOT(O40=Lists!$F$13))),0,IF(ISBLANK(P40)=FALSE,0,1))</f>
        <v>0</v>
      </c>
      <c r="AE40" s="129"/>
      <c r="AF40" s="523">
        <f xml:space="preserve"> IF(OR( AND( K40 = Lists!$F$11, '3A - SWT'!L40 &lt; 0), AND( '3A - SWT'!M40 = Lists!$F$11, '3A - SWT'!N40 &lt; 0), AND( '3A - SWT'!O40 = Lists!$F$11, '3A - SWT'!P40 &lt; 0)), 1, 0)</f>
        <v>0</v>
      </c>
      <c r="AG40" s="523">
        <f xml:space="preserve"> IF( OR( AND( K40 = Lists!$F$13, '3A - SWT'!L40 &gt; 0), AND( M40 = Lists!$F$13, '3A - SWT'!N40 &gt; 0), AND( O40 = Lists!$F$13, '3A - SWT'!P40 &gt; 0 )), 1, 0)</f>
        <v>0</v>
      </c>
      <c r="AH40" s="525"/>
      <c r="AI40" s="701" t="str">
        <f>IF($P$1="Select company","",IF((HLOOKUP(((VLOOKUP($P$1,Lists!$B$4:$C$26,2,FALSE))&amp;'PC LIST'!$J$2),'PC list edited'!$A$2:$EJ$65,(B40+1),FALSE))=0,"",HLOOKUP(((VLOOKUP($P$1,Lists!$B$4:$C$26,2,FALSE))&amp; 'PC LIST'!$J$2),'PC list edited'!$A$2:$EJ$65,(B40+1),FALSE)))</f>
        <v>Out &amp; under</v>
      </c>
      <c r="AJ40" s="2417" t="str">
        <f>IFERROR(INDEX('PC LIST'!N$3:N$631, MATCH($C40, 'PC LIST'!$B$3:$B$631, 0)),"")</f>
        <v>Environmental</v>
      </c>
    </row>
    <row r="41" spans="1:36" s="321" customFormat="1" ht="30" customHeight="1">
      <c r="A41" s="75"/>
      <c r="B41" s="299">
        <f t="shared" si="3"/>
        <v>37</v>
      </c>
      <c r="C41" s="514" t="str">
        <f>IF($P$1="Select company","",IF((HLOOKUP((VLOOKUP($P$1,Lists!$B$4:$C$26,2,FALSE)),'PC list edited'!$A$2:$EJ$65,(B41+1),FALSE))=0,"",HLOOKUP((VLOOKUP($P$1,Lists!$B$4:$C$26,2,FALSE)),'PC list edited'!$A$2:$EJ$65,(B41+1),FALSE)))</f>
        <v>PR14SWTWSWW_S-D2</v>
      </c>
      <c r="D41" s="513" t="str">
        <f>IF($P$1="Select company","",IF(C41 ="","",HLOOKUP(((VLOOKUP($P$1,Lists!$B$4:$C$26,2,FALSE))&amp;"PC"),'PC list edited'!$A$2:$EJ$65,(B41+1),FALSE)))</f>
        <v>S-D2: Combined sewer overflow spills (number)</v>
      </c>
      <c r="E41" s="327" t="str">
        <f>IF($P$1="Select company","",IF(C41 ="","",HLOOKUP(((VLOOKUP($P$1,Lists!$B$4:$C$26,2,FALSE))&amp;"unit"),'PC list edited'!$A$2:$EJ$65,(B41+1),FALSE)))</f>
        <v>nr</v>
      </c>
      <c r="F41" s="327" t="str">
        <f>IF($P$1="Select company","",IF(C41 ="","",HLOOKUP(((VLOOKUP($P$1,Lists!$B$4:$C$26,2,FALSE))&amp;"UnitDes"),'PC list edited'!$A$2:$EJ$65,(B41+1),FALSE)))</f>
        <v>No. of combined sewer overflow (CSO) spills per year</v>
      </c>
      <c r="G41" s="533">
        <f>IF($P$1="Select company","",IF(C41="","",HLOOKUP(((VLOOKUP($P$1,Lists!$B$4:$C$26,2,FALSE))&amp;"DP"),'PC list edited'!$A$2:$EJ$65,(B41+1),FALSE)))</f>
        <v>0</v>
      </c>
      <c r="H41" s="533" t="str">
        <f>IF($P$1="Select company","",IF(C41 = "","",HLOOKUP(((VLOOKUP($P$1,Lists!$B$4:$C$26,2,FALSE))&amp;"201718Actual"),'PC list edited'!$A$2:$EJ$65,(B41+1),FALSE)))</f>
        <v>N/A</v>
      </c>
      <c r="I41" s="570" t="str">
        <f>'[1]3A'!J41</f>
        <v>N/A</v>
      </c>
      <c r="J41" s="570" t="str">
        <f>'[1]3A'!K41</f>
        <v>N/A</v>
      </c>
      <c r="K41" s="570" t="s">
        <v>497</v>
      </c>
      <c r="L41" s="570" t="s">
        <v>497</v>
      </c>
      <c r="M41" s="570" t="s">
        <v>497</v>
      </c>
      <c r="N41" s="570" t="s">
        <v>497</v>
      </c>
      <c r="O41" s="570" t="s">
        <v>497</v>
      </c>
      <c r="P41" s="3179" t="s">
        <v>497</v>
      </c>
      <c r="Q41" s="135"/>
      <c r="R41" s="521">
        <f t="shared" si="4"/>
        <v>0</v>
      </c>
      <c r="S41" s="24" t="str">
        <f t="shared" si="5"/>
        <v>Please complete all cells in row</v>
      </c>
      <c r="T41" s="123"/>
      <c r="U41" s="129"/>
      <c r="V41" s="98">
        <f t="shared" si="6"/>
        <v>0</v>
      </c>
      <c r="W41" s="98">
        <f>IF($C41="",0,IF(ISBLANK(#REF!)=FALSE,0,1))</f>
        <v>0</v>
      </c>
      <c r="X41" s="98">
        <f t="shared" si="0"/>
        <v>0</v>
      </c>
      <c r="Y41" s="98">
        <f>IF(OR(ISBLANK(L41), L41=0), 0, IF(OR(K41=Lists!$F$11, K41=Lists!$F$13), 0, 1))</f>
        <v>1</v>
      </c>
      <c r="Z41" s="98">
        <f>IF(OR($C41="", AND(NOT(K41=Lists!$F$11), NOT(K41=Lists!$F$13))),0,IF(ISBLANK(L41)=FALSE,0,1))</f>
        <v>0</v>
      </c>
      <c r="AA41" s="98">
        <f>IF(OR(ISBLANK(N41), N41=0), 0, IF(OR(M41=Lists!$F$11, M41=Lists!$F$13), 0, 1))</f>
        <v>1</v>
      </c>
      <c r="AB41" s="98">
        <f>IF(OR($C41="", AND(NOT(M41=Lists!$F$11), NOT(M41=Lists!$F$13))),0,IF(ISBLANK(N41)=FALSE,0,1))</f>
        <v>0</v>
      </c>
      <c r="AC41" s="98">
        <f>IF(OR(ISBLANK(P41), P41=0), 0, IF(OR(O41=Lists!$F$11, O41=Lists!$F$13), 0, 1))</f>
        <v>1</v>
      </c>
      <c r="AD41" s="98">
        <f>IF(OR($C41="", AND(NOT(O41=Lists!$F$11), NOT(O41=Lists!$F$13))),0,IF(ISBLANK(P41)=FALSE,0,1))</f>
        <v>0</v>
      </c>
      <c r="AE41" s="129"/>
      <c r="AF41" s="523">
        <f xml:space="preserve"> IF(OR( AND( K41 = Lists!$F$11, '3A - SWT'!L41 &lt; 0), AND( '3A - SWT'!M41 = Lists!$F$11, '3A - SWT'!N41 &lt; 0), AND( '3A - SWT'!O41 = Lists!$F$11, '3A - SWT'!P41 &lt; 0)), 1, 0)</f>
        <v>0</v>
      </c>
      <c r="AG41" s="523">
        <f xml:space="preserve"> IF( OR( AND( K41 = Lists!$F$13, '3A - SWT'!L41 &gt; 0), AND( M41 = Lists!$F$13, '3A - SWT'!N41 &gt; 0), AND( O41 = Lists!$F$13, '3A - SWT'!P41 &gt; 0 )), 1, 0)</f>
        <v>0</v>
      </c>
      <c r="AH41" s="525"/>
      <c r="AI41" s="701" t="str">
        <f>IF($P$1="Select company","",IF((HLOOKUP(((VLOOKUP($P$1,Lists!$B$4:$C$26,2,FALSE))&amp;'PC LIST'!$J$2),'PC list edited'!$A$2:$EJ$65,(B41+1),FALSE))=0,"",HLOOKUP(((VLOOKUP($P$1,Lists!$B$4:$C$26,2,FALSE))&amp; 'PC LIST'!$J$2),'PC list edited'!$A$2:$EJ$65,(B41+1),FALSE)))</f>
        <v>NFI</v>
      </c>
      <c r="AJ41" s="2417" t="str">
        <f>IFERROR(INDEX('PC LIST'!N$3:N$631, MATCH($C41, 'PC LIST'!$B$3:$B$631, 0)),"")</f>
        <v>Environmental</v>
      </c>
    </row>
    <row r="42" spans="1:36" s="321" customFormat="1" ht="30" customHeight="1">
      <c r="A42" s="75"/>
      <c r="B42" s="299">
        <f t="shared" si="3"/>
        <v>38</v>
      </c>
      <c r="C42" s="514" t="str">
        <f>IF($P$1="Select company","",IF((HLOOKUP((VLOOKUP($P$1,Lists!$B$4:$C$26,2,FALSE)),'PC list edited'!$A$2:$EJ$65,(B42+1),FALSE))=0,"",HLOOKUP((VLOOKUP($P$1,Lists!$B$4:$C$26,2,FALSE)),'PC list edited'!$A$2:$EJ$65,(B42+1),FALSE)))</f>
        <v>PR14SWTWSWW_S-D3</v>
      </c>
      <c r="D42" s="513" t="str">
        <f>IF($P$1="Select company","",IF(C42 ="","",HLOOKUP(((VLOOKUP($P$1,Lists!$B$4:$C$26,2,FALSE))&amp;"PC"),'PC list edited'!$A$2:$EJ$65,(B42+1),FALSE)))</f>
        <v>S-D3: River water quality improved (km)</v>
      </c>
      <c r="E42" s="327" t="str">
        <f>IF($P$1="Select company","",IF(C42 ="","",HLOOKUP(((VLOOKUP($P$1,Lists!$B$4:$C$26,2,FALSE))&amp;"unit"),'PC list edited'!$A$2:$EJ$65,(B42+1),FALSE)))</f>
        <v>nr</v>
      </c>
      <c r="F42" s="327" t="str">
        <f>IF($P$1="Select company","",IF(C42 ="","",HLOOKUP(((VLOOKUP($P$1,Lists!$B$4:$C$26,2,FALSE))&amp;"UnitDes"),'PC list edited'!$A$2:$EJ$65,(B42+1),FALSE)))</f>
        <v>Kilometres (km) of river water quality improved</v>
      </c>
      <c r="G42" s="533">
        <f>IF($P$1="Select company","",IF(C42="","",HLOOKUP(((VLOOKUP($P$1,Lists!$B$4:$C$26,2,FALSE))&amp;"DP"),'PC list edited'!$A$2:$EJ$65,(B42+1),FALSE)))</f>
        <v>0</v>
      </c>
      <c r="H42" s="533">
        <f>IF($P$1="Select company","",IF(C42 = "","",HLOOKUP(((VLOOKUP($P$1,Lists!$B$4:$C$26,2,FALSE))&amp;"201718Actual"),'PC list edited'!$A$2:$EJ$65,(B42+1),FALSE)))</f>
        <v>156</v>
      </c>
      <c r="I42" s="570">
        <f>'[1]3A'!J42</f>
        <v>155.68900000000002</v>
      </c>
      <c r="J42" s="570" t="str">
        <f>'[1]3A'!K42</f>
        <v>N/A</v>
      </c>
      <c r="K42" s="570" t="s">
        <v>497</v>
      </c>
      <c r="L42" s="570" t="s">
        <v>497</v>
      </c>
      <c r="M42" s="570" t="s">
        <v>497</v>
      </c>
      <c r="N42" s="570" t="s">
        <v>497</v>
      </c>
      <c r="O42" s="570" t="s">
        <v>497</v>
      </c>
      <c r="P42" s="3179" t="s">
        <v>497</v>
      </c>
      <c r="Q42" s="135"/>
      <c r="R42" s="521">
        <f t="shared" si="4"/>
        <v>0</v>
      </c>
      <c r="S42" s="24" t="str">
        <f t="shared" si="5"/>
        <v>Please complete all cells in row</v>
      </c>
      <c r="T42" s="71"/>
      <c r="U42" s="72"/>
      <c r="V42" s="98">
        <f t="shared" si="6"/>
        <v>0</v>
      </c>
      <c r="W42" s="98">
        <f>IF($C42="",0,IF(ISBLANK(#REF!)=FALSE,0,1))</f>
        <v>0</v>
      </c>
      <c r="X42" s="98">
        <f t="shared" si="0"/>
        <v>0</v>
      </c>
      <c r="Y42" s="98">
        <f>IF(OR(ISBLANK(L42), L42=0), 0, IF(OR(K42=Lists!$F$11, K42=Lists!$F$13), 0, 1))</f>
        <v>1</v>
      </c>
      <c r="Z42" s="98">
        <f>IF(OR($C42="", AND(NOT(K42=Lists!$F$11), NOT(K42=Lists!$F$13))),0,IF(ISBLANK(L42)=FALSE,0,1))</f>
        <v>0</v>
      </c>
      <c r="AA42" s="98">
        <f>IF(OR(ISBLANK(N42), N42=0), 0, IF(OR(M42=Lists!$F$11, M42=Lists!$F$13), 0, 1))</f>
        <v>1</v>
      </c>
      <c r="AB42" s="98">
        <f>IF(OR($C42="", AND(NOT(M42=Lists!$F$11), NOT(M42=Lists!$F$13))),0,IF(ISBLANK(N42)=FALSE,0,1))</f>
        <v>0</v>
      </c>
      <c r="AC42" s="98">
        <f>IF(OR(ISBLANK(P42), P42=0), 0, IF(OR(O42=Lists!$F$11, O42=Lists!$F$13), 0, 1))</f>
        <v>1</v>
      </c>
      <c r="AD42" s="98">
        <f>IF(OR($C42="", AND(NOT(O42=Lists!$F$11), NOT(O42=Lists!$F$13))),0,IF(ISBLANK(P42)=FALSE,0,1))</f>
        <v>0</v>
      </c>
      <c r="AE42" s="72"/>
      <c r="AF42" s="523">
        <f xml:space="preserve"> IF(OR( AND( K42 = Lists!$F$11, '3A - SWT'!L42 &lt; 0), AND( '3A - SWT'!M42 = Lists!$F$11, '3A - SWT'!N42 &lt; 0), AND( '3A - SWT'!O42 = Lists!$F$11, '3A - SWT'!P42 &lt; 0)), 1, 0)</f>
        <v>0</v>
      </c>
      <c r="AG42" s="523">
        <f xml:space="preserve"> IF( OR( AND( K42 = Lists!$F$13, '3A - SWT'!L42 &gt; 0), AND( M42 = Lists!$F$13, '3A - SWT'!N42 &gt; 0), AND( O42 = Lists!$F$13, '3A - SWT'!P42 &gt; 0 )), 1, 0)</f>
        <v>0</v>
      </c>
      <c r="AH42" s="525"/>
      <c r="AI42" s="701" t="str">
        <f>IF($P$1="Select company","",IF((HLOOKUP(((VLOOKUP($P$1,Lists!$B$4:$C$26,2,FALSE))&amp;'PC LIST'!$J$2),'PC list edited'!$A$2:$EJ$65,(B42+1),FALSE))=0,"",HLOOKUP(((VLOOKUP($P$1,Lists!$B$4:$C$26,2,FALSE))&amp; 'PC LIST'!$J$2),'PC list edited'!$A$2:$EJ$65,(B42+1),FALSE)))</f>
        <v>NFI</v>
      </c>
      <c r="AJ42" s="2417" t="str">
        <f>IFERROR(INDEX('PC LIST'!N$3:N$631, MATCH($C42, 'PC LIST'!$B$3:$B$631, 0)),"")</f>
        <v>Environmental</v>
      </c>
    </row>
    <row r="43" spans="1:36" s="321" customFormat="1" ht="30" customHeight="1">
      <c r="A43" s="75"/>
      <c r="B43" s="299">
        <f t="shared" si="3"/>
        <v>39</v>
      </c>
      <c r="C43" s="514" t="str">
        <f>IF($P$1="Select company","",IF((HLOOKUP((VLOOKUP($P$1,Lists!$B$4:$C$26,2,FALSE)),'PC list edited'!$A$2:$EJ$65,(B43+1),FALSE))=0,"",HLOOKUP((VLOOKUP($P$1,Lists!$B$4:$C$26,2,FALSE)),'PC list edited'!$A$2:$EJ$65,(B43+1),FALSE)))</f>
        <v>PR14SWTHHR_R-A1</v>
      </c>
      <c r="D43" s="513" t="str">
        <f>IF($P$1="Select company","",IF(C43 ="","",HLOOKUP(((VLOOKUP($P$1,Lists!$B$4:$C$26,2,FALSE))&amp;"PC"),'PC list edited'!$A$2:$EJ$65,(B43+1),FALSE)))</f>
        <v>R-A1: Customer overall satisfaction (%)</v>
      </c>
      <c r="E43" s="327" t="str">
        <f>IF($P$1="Select company","",IF(C43 ="","",HLOOKUP(((VLOOKUP($P$1,Lists!$B$4:$C$26,2,FALSE))&amp;"unit"),'PC list edited'!$A$2:$EJ$65,(B43+1),FALSE)))</f>
        <v>%</v>
      </c>
      <c r="F43" s="327" t="str">
        <f>IF($P$1="Select company","",IF(C43 ="","",HLOOKUP(((VLOOKUP($P$1,Lists!$B$4:$C$26,2,FALSE))&amp;"UnitDes"),'PC list edited'!$A$2:$EJ$65,(B43+1),FALSE)))</f>
        <v>% customer satisfaction</v>
      </c>
      <c r="G43" s="533">
        <f>IF($P$1="Select company","",IF(C43="","",HLOOKUP(((VLOOKUP($P$1,Lists!$B$4:$C$26,2,FALSE))&amp;"DP"),'PC list edited'!$A$2:$EJ$65,(B43+1),FALSE)))</f>
        <v>1</v>
      </c>
      <c r="H43" s="533">
        <f>IF($P$1="Select company","",IF(C43 = "","",HLOOKUP(((VLOOKUP($P$1,Lists!$B$4:$C$26,2,FALSE))&amp;"201718Actual"),'PC list edited'!$A$2:$EJ$65,(B43+1),FALSE)))</f>
        <v>91</v>
      </c>
      <c r="I43" s="570">
        <f>'[1]3A'!J43</f>
        <v>93</v>
      </c>
      <c r="J43" s="570" t="str">
        <f>'[1]3A'!K43</f>
        <v>N/A</v>
      </c>
      <c r="K43" s="570" t="s">
        <v>497</v>
      </c>
      <c r="L43" s="570" t="s">
        <v>497</v>
      </c>
      <c r="M43" s="570" t="s">
        <v>497</v>
      </c>
      <c r="N43" s="570" t="s">
        <v>497</v>
      </c>
      <c r="O43" s="570" t="s">
        <v>497</v>
      </c>
      <c r="P43" s="3179" t="s">
        <v>497</v>
      </c>
      <c r="Q43" s="135"/>
      <c r="R43" s="521">
        <f t="shared" si="4"/>
        <v>0</v>
      </c>
      <c r="S43" s="24" t="str">
        <f t="shared" si="5"/>
        <v>Please complete all cells in row</v>
      </c>
      <c r="T43" s="71"/>
      <c r="U43" s="72"/>
      <c r="V43" s="98">
        <f t="shared" si="6"/>
        <v>0</v>
      </c>
      <c r="W43" s="98">
        <f>IF($C43="",0,IF(ISBLANK(#REF!)=FALSE,0,1))</f>
        <v>0</v>
      </c>
      <c r="X43" s="98">
        <f t="shared" si="0"/>
        <v>0</v>
      </c>
      <c r="Y43" s="98">
        <f>IF(OR(ISBLANK(L43), L43=0), 0, IF(OR(K43=Lists!$F$11, K43=Lists!$F$13), 0, 1))</f>
        <v>1</v>
      </c>
      <c r="Z43" s="98">
        <f>IF(OR($C43="", AND(NOT(K43=Lists!$F$11), NOT(K43=Lists!$F$13))),0,IF(ISBLANK(L43)=FALSE,0,1))</f>
        <v>0</v>
      </c>
      <c r="AA43" s="98">
        <f>IF(OR(ISBLANK(N43), N43=0), 0, IF(OR(M43=Lists!$F$11, M43=Lists!$F$13), 0, 1))</f>
        <v>1</v>
      </c>
      <c r="AB43" s="98">
        <f>IF(OR($C43="", AND(NOT(M43=Lists!$F$11), NOT(M43=Lists!$F$13))),0,IF(ISBLANK(N43)=FALSE,0,1))</f>
        <v>0</v>
      </c>
      <c r="AC43" s="98">
        <f>IF(OR(ISBLANK(P43), P43=0), 0, IF(OR(O43=Lists!$F$11, O43=Lists!$F$13), 0, 1))</f>
        <v>1</v>
      </c>
      <c r="AD43" s="98">
        <f>IF(OR($C43="", AND(NOT(O43=Lists!$F$11), NOT(O43=Lists!$F$13))),0,IF(ISBLANK(P43)=FALSE,0,1))</f>
        <v>0</v>
      </c>
      <c r="AE43" s="72"/>
      <c r="AF43" s="523">
        <f xml:space="preserve"> IF(OR( AND( K43 = Lists!$F$11, '3A - SWT'!L43 &lt; 0), AND( '3A - SWT'!M43 = Lists!$F$11, '3A - SWT'!N43 &lt; 0), AND( '3A - SWT'!O43 = Lists!$F$11, '3A - SWT'!P43 &lt; 0)), 1, 0)</f>
        <v>0</v>
      </c>
      <c r="AG43" s="523">
        <f xml:space="preserve"> IF( OR( AND( K43 = Lists!$F$13, '3A - SWT'!L43 &gt; 0), AND( M43 = Lists!$F$13, '3A - SWT'!N43 &gt; 0), AND( O43 = Lists!$F$13, '3A - SWT'!P43 &gt; 0 )), 1, 0)</f>
        <v>0</v>
      </c>
      <c r="AH43" s="525"/>
      <c r="AI43" s="701" t="str">
        <f>IF($P$1="Select company","",IF((HLOOKUP(((VLOOKUP($P$1,Lists!$B$4:$C$26,2,FALSE))&amp;'PC LIST'!$J$2),'PC list edited'!$A$2:$EJ$65,(B43+1),FALSE))=0,"",HLOOKUP(((VLOOKUP($P$1,Lists!$B$4:$C$26,2,FALSE))&amp; 'PC LIST'!$J$2),'PC list edited'!$A$2:$EJ$65,(B43+1),FALSE)))</f>
        <v>NFI</v>
      </c>
      <c r="AJ43" s="2417" t="str">
        <f>IFERROR(INDEX('PC LIST'!N$3:N$631, MATCH($C43, 'PC LIST'!$B$3:$B$631, 0)),"")</f>
        <v>Customer satisfaction (exc. bills)</v>
      </c>
    </row>
    <row r="44" spans="1:36" s="321" customFormat="1" ht="30" customHeight="1">
      <c r="A44" s="75"/>
      <c r="B44" s="299">
        <f t="shared" si="3"/>
        <v>40</v>
      </c>
      <c r="C44" s="514" t="str">
        <f>IF($P$1="Select company","",IF((HLOOKUP((VLOOKUP($P$1,Lists!$B$4:$C$26,2,FALSE)),'PC list edited'!$A$2:$EJ$65,(B44+1),FALSE))=0,"",HLOOKUP((VLOOKUP($P$1,Lists!$B$4:$C$26,2,FALSE)),'PC list edited'!$A$2:$EJ$65,(B44+1),FALSE)))</f>
        <v>PR14SWTHHR_R-A2</v>
      </c>
      <c r="D44" s="513" t="str">
        <f>IF($P$1="Select company","",IF(C44 ="","",HLOOKUP(((VLOOKUP($P$1,Lists!$B$4:$C$26,2,FALSE))&amp;"PC"),'PC list edited'!$A$2:$EJ$65,(B44+1),FALSE)))</f>
        <v>R-A2: Service incentive mechanism (SIM)</v>
      </c>
      <c r="E44" s="327" t="str">
        <f>IF($P$1="Select company","",IF(C44 ="","",HLOOKUP(((VLOOKUP($P$1,Lists!$B$4:$C$26,2,FALSE))&amp;"unit"),'PC list edited'!$A$2:$EJ$65,(B44+1),FALSE)))</f>
        <v>score</v>
      </c>
      <c r="F44" s="327" t="str">
        <f>IF($P$1="Select company","",IF(C44 ="","",HLOOKUP(((VLOOKUP($P$1,Lists!$B$4:$C$26,2,FALSE))&amp;"UnitDes"),'PC list edited'!$A$2:$EJ$65,(B44+1),FALSE)))</f>
        <v>Service incentive mechanism (SIM) score</v>
      </c>
      <c r="G44" s="533">
        <f>IF($P$1="Select company","",IF(C44="","",HLOOKUP(((VLOOKUP($P$1,Lists!$B$4:$C$26,2,FALSE))&amp;"DP"),'PC list edited'!$A$2:$EJ$65,(B44+1),FALSE)))</f>
        <v>1</v>
      </c>
      <c r="H44" s="533">
        <f>IF($P$1="Select company","",IF(C44 = "","",HLOOKUP(((VLOOKUP($P$1,Lists!$B$4:$C$26,2,FALSE))&amp;"201718Actual"),'PC list edited'!$A$2:$EJ$65,(B44+1),FALSE)))</f>
        <v>84.5</v>
      </c>
      <c r="I44" s="570">
        <f>'[1]3A'!J44</f>
        <v>87.62</v>
      </c>
      <c r="J44" s="570" t="str">
        <f>'[1]3A'!K44</f>
        <v>N/A</v>
      </c>
      <c r="K44" s="570" t="s">
        <v>497</v>
      </c>
      <c r="L44" s="570" t="s">
        <v>497</v>
      </c>
      <c r="M44" s="570" t="s">
        <v>497</v>
      </c>
      <c r="N44" s="570" t="s">
        <v>497</v>
      </c>
      <c r="O44" s="570" t="s">
        <v>497</v>
      </c>
      <c r="P44" s="3181" t="s">
        <v>497</v>
      </c>
      <c r="Q44" s="135"/>
      <c r="R44" s="521">
        <f t="shared" si="4"/>
        <v>0</v>
      </c>
      <c r="S44" s="24" t="str">
        <f t="shared" si="5"/>
        <v>Please complete all cells in row</v>
      </c>
      <c r="T44" s="71"/>
      <c r="U44" s="72"/>
      <c r="V44" s="98">
        <f t="shared" si="6"/>
        <v>0</v>
      </c>
      <c r="W44" s="98">
        <f>IF($C44="",0,IF(ISBLANK(#REF!)=FALSE,0,1))</f>
        <v>0</v>
      </c>
      <c r="X44" s="98">
        <f t="shared" si="0"/>
        <v>0</v>
      </c>
      <c r="Y44" s="98">
        <f>IF(OR(ISBLANK(L44), L44=0), 0, IF(OR(K44=Lists!$F$11, K44=Lists!$F$13), 0, 1))</f>
        <v>1</v>
      </c>
      <c r="Z44" s="98">
        <f>IF(OR($C44="", AND(NOT(K44=Lists!$F$11), NOT(K44=Lists!$F$13))),0,IF(ISBLANK(L44)=FALSE,0,1))</f>
        <v>0</v>
      </c>
      <c r="AA44" s="98">
        <f>IF(OR(ISBLANK(N44), N44=0), 0, IF(OR(M44=Lists!$F$11, M44=Lists!$F$13), 0, 1))</f>
        <v>1</v>
      </c>
      <c r="AB44" s="98">
        <f>IF(OR($C44="", AND(NOT(M44=Lists!$F$11), NOT(M44=Lists!$F$13))),0,IF(ISBLANK(N44)=FALSE,0,1))</f>
        <v>0</v>
      </c>
      <c r="AC44" s="98">
        <f>IF(OR(ISBLANK(P44), P44=0), 0, IF(OR(O44=Lists!$F$11, O44=Lists!$F$13), 0, 1))</f>
        <v>1</v>
      </c>
      <c r="AD44" s="98">
        <f>IF(OR($C44="", AND(NOT(O44=Lists!$F$11), NOT(O44=Lists!$F$13))),0,IF(ISBLANK(P44)=FALSE,0,1))</f>
        <v>0</v>
      </c>
      <c r="AE44" s="72"/>
      <c r="AF44" s="523">
        <f xml:space="preserve"> IF(OR( AND( K44 = Lists!$F$11, '3A - SWT'!L44 &lt; 0), AND( '3A - SWT'!M44 = Lists!$F$11, '3A - SWT'!N44 &lt; 0), AND( '3A - SWT'!O44 = Lists!$F$11, '3A - SWT'!P44 &lt; 0)), 1, 0)</f>
        <v>0</v>
      </c>
      <c r="AG44" s="523">
        <f xml:space="preserve"> IF( OR( AND( K44 = Lists!$F$13, '3A - SWT'!L44 &gt; 0), AND( M44 = Lists!$F$13, '3A - SWT'!N44 &gt; 0), AND( O44 = Lists!$F$13, '3A - SWT'!P44 &gt; 0 )), 1, 0)</f>
        <v>0</v>
      </c>
      <c r="AH44" s="525"/>
      <c r="AI44" s="701" t="str">
        <f>IF($P$1="Select company","",IF((HLOOKUP(((VLOOKUP($P$1,Lists!$B$4:$C$26,2,FALSE))&amp;'PC LIST'!$J$2),'PC list edited'!$A$2:$EJ$65,(B44+1),FALSE))=0,"",HLOOKUP(((VLOOKUP($P$1,Lists!$B$4:$C$26,2,FALSE))&amp; 'PC LIST'!$J$2),'PC list edited'!$A$2:$EJ$65,(B44+1),FALSE)))</f>
        <v>Out &amp; under</v>
      </c>
      <c r="AJ44" s="2417" t="str">
        <f>IFERROR(INDEX('PC LIST'!N$3:N$631, MATCH($C44, 'PC LIST'!$B$3:$B$631, 0)),"")</f>
        <v>SIM</v>
      </c>
    </row>
    <row r="45" spans="1:36" s="321" customFormat="1" ht="30" customHeight="1">
      <c r="A45" s="75"/>
      <c r="B45" s="299">
        <f t="shared" si="3"/>
        <v>41</v>
      </c>
      <c r="C45" s="514" t="str">
        <f>IF($P$1="Select company","",IF((HLOOKUP((VLOOKUP($P$1,Lists!$B$4:$C$26,2,FALSE)),'PC list edited'!$A$2:$EJ$65,(B45+1),FALSE))=0,"",HLOOKUP((VLOOKUP($P$1,Lists!$B$4:$C$26,2,FALSE)),'PC list edited'!$A$2:$EJ$65,(B45+1),FALSE)))</f>
        <v>PR14SWTHHR_R-A3</v>
      </c>
      <c r="D45" s="513" t="str">
        <f>IF($P$1="Select company","",IF(C45 ="","",HLOOKUP(((VLOOKUP($P$1,Lists!$B$4:$C$26,2,FALSE))&amp;"PC"),'PC list edited'!$A$2:$EJ$65,(B45+1),FALSE)))</f>
        <v>R-A3: Customer satisfaction with value for money</v>
      </c>
      <c r="E45" s="327" t="str">
        <f>IF($P$1="Select company","",IF(C45 ="","",HLOOKUP(((VLOOKUP($P$1,Lists!$B$4:$C$26,2,FALSE))&amp;"unit"),'PC list edited'!$A$2:$EJ$65,(B45+1),FALSE)))</f>
        <v>%</v>
      </c>
      <c r="F45" s="327" t="str">
        <f>IF($P$1="Select company","",IF(C45 ="","",HLOOKUP(((VLOOKUP($P$1,Lists!$B$4:$C$26,2,FALSE))&amp;"UnitDes"),'PC list edited'!$A$2:$EJ$65,(B45+1),FALSE)))</f>
        <v>% customer satisfaction</v>
      </c>
      <c r="G45" s="533">
        <f>IF($P$1="Select company","",IF(C45="","",HLOOKUP(((VLOOKUP($P$1,Lists!$B$4:$C$26,2,FALSE))&amp;"DP"),'PC list edited'!$A$2:$EJ$65,(B45+1),FALSE)))</f>
        <v>1</v>
      </c>
      <c r="H45" s="533">
        <f>IF($P$1="Select company","",IF(C45 = "","",HLOOKUP(((VLOOKUP($P$1,Lists!$B$4:$C$26,2,FALSE))&amp;"201718Actual"),'PC list edited'!$A$2:$EJ$65,(B45+1),FALSE)))</f>
        <v>62</v>
      </c>
      <c r="I45" s="570">
        <f>'[1]3A'!J45</f>
        <v>66</v>
      </c>
      <c r="J45" s="570" t="str">
        <f>'[1]3A'!K45</f>
        <v>N/A</v>
      </c>
      <c r="K45" s="570" t="s">
        <v>497</v>
      </c>
      <c r="L45" s="570" t="s">
        <v>497</v>
      </c>
      <c r="M45" s="570" t="s">
        <v>497</v>
      </c>
      <c r="N45" s="570" t="s">
        <v>497</v>
      </c>
      <c r="O45" s="570" t="s">
        <v>497</v>
      </c>
      <c r="P45" s="3179" t="s">
        <v>497</v>
      </c>
      <c r="Q45" s="135"/>
      <c r="R45" s="521">
        <f t="shared" si="4"/>
        <v>0</v>
      </c>
      <c r="S45" s="24" t="str">
        <f t="shared" si="5"/>
        <v>Please complete all cells in row</v>
      </c>
      <c r="T45" s="71"/>
      <c r="U45" s="72"/>
      <c r="V45" s="98">
        <f t="shared" si="6"/>
        <v>0</v>
      </c>
      <c r="W45" s="98">
        <f>IF($C45="",0,IF(ISBLANK(#REF!)=FALSE,0,1))</f>
        <v>0</v>
      </c>
      <c r="X45" s="98">
        <f t="shared" si="0"/>
        <v>0</v>
      </c>
      <c r="Y45" s="98">
        <f>IF(OR(ISBLANK(L45), L45=0), 0, IF(OR(K45=Lists!$F$11, K45=Lists!$F$13), 0, 1))</f>
        <v>1</v>
      </c>
      <c r="Z45" s="98">
        <f>IF(OR($C45="", AND(NOT(K45=Lists!$F$11), NOT(K45=Lists!$F$13))),0,IF(ISBLANK(L45)=FALSE,0,1))</f>
        <v>0</v>
      </c>
      <c r="AA45" s="98">
        <f>IF(OR(ISBLANK(N45), N45=0), 0, IF(OR(M45=Lists!$F$11, M45=Lists!$F$13), 0, 1))</f>
        <v>1</v>
      </c>
      <c r="AB45" s="98">
        <f>IF(OR($C45="", AND(NOT(M45=Lists!$F$11), NOT(M45=Lists!$F$13))),0,IF(ISBLANK(N45)=FALSE,0,1))</f>
        <v>0</v>
      </c>
      <c r="AC45" s="98">
        <f>IF(OR(ISBLANK(P45), P45=0), 0, IF(OR(O45=Lists!$F$11, O45=Lists!$F$13), 0, 1))</f>
        <v>1</v>
      </c>
      <c r="AD45" s="98">
        <f>IF(OR($C45="", AND(NOT(O45=Lists!$F$11), NOT(O45=Lists!$F$13))),0,IF(ISBLANK(P45)=FALSE,0,1))</f>
        <v>0</v>
      </c>
      <c r="AE45" s="72"/>
      <c r="AF45" s="523">
        <f xml:space="preserve"> IF(OR( AND( K45 = Lists!$F$11, '3A - SWT'!L45 &lt; 0), AND( '3A - SWT'!M45 = Lists!$F$11, '3A - SWT'!N45 &lt; 0), AND( '3A - SWT'!O45 = Lists!$F$11, '3A - SWT'!P45 &lt; 0)), 1, 0)</f>
        <v>0</v>
      </c>
      <c r="AG45" s="523">
        <f xml:space="preserve"> IF( OR( AND( K45 = Lists!$F$13, '3A - SWT'!L45 &gt; 0), AND( M45 = Lists!$F$13, '3A - SWT'!N45 &gt; 0), AND( O45 = Lists!$F$13, '3A - SWT'!P45 &gt; 0 )), 1, 0)</f>
        <v>0</v>
      </c>
      <c r="AH45" s="525"/>
      <c r="AI45" s="701" t="str">
        <f>IF($P$1="Select company","",IF((HLOOKUP(((VLOOKUP($P$1,Lists!$B$4:$C$26,2,FALSE))&amp;'PC LIST'!$J$2),'PC list edited'!$A$2:$EJ$65,(B45+1),FALSE))=0,"",HLOOKUP(((VLOOKUP($P$1,Lists!$B$4:$C$26,2,FALSE))&amp; 'PC LIST'!$J$2),'PC list edited'!$A$2:$EJ$65,(B45+1),FALSE)))</f>
        <v>NFI</v>
      </c>
      <c r="AJ45" s="2417" t="str">
        <f>IFERROR(INDEX('PC LIST'!N$3:N$631, MATCH($C45, 'PC LIST'!$B$3:$B$631, 0)),"")</f>
        <v>Billing, debt, vfm, affordability</v>
      </c>
    </row>
    <row r="46" spans="1:36" s="321" customFormat="1" ht="30" customHeight="1">
      <c r="A46" s="75"/>
      <c r="B46" s="299">
        <f t="shared" si="3"/>
        <v>42</v>
      </c>
      <c r="C46" s="514" t="str">
        <f>IF($P$1="Select company","",IF((HLOOKUP((VLOOKUP($P$1,Lists!$B$4:$C$26,2,FALSE)),'PC list edited'!$A$2:$EJ$65,(B46+1),FALSE))=0,"",HLOOKUP((VLOOKUP($P$1,Lists!$B$4:$C$26,2,FALSE)),'PC list edited'!$A$2:$EJ$65,(B46+1),FALSE)))</f>
        <v>PR14SWTHHR_R-B1</v>
      </c>
      <c r="D46" s="513" t="str">
        <f>IF($P$1="Select company","",IF(C46 ="","",HLOOKUP(((VLOOKUP($P$1,Lists!$B$4:$C$26,2,FALSE))&amp;"PC"),'PC list edited'!$A$2:$EJ$65,(B46+1),FALSE)))</f>
        <v>R-B1: Customers assisted by water poverty initiatives</v>
      </c>
      <c r="E46" s="327" t="str">
        <f>IF($P$1="Select company","",IF(C46 ="","",HLOOKUP(((VLOOKUP($P$1,Lists!$B$4:$C$26,2,FALSE))&amp;"unit"),'PC list edited'!$A$2:$EJ$65,(B46+1),FALSE)))</f>
        <v>nr</v>
      </c>
      <c r="F46" s="327" t="str">
        <f>IF($P$1="Select company","",IF(C46 ="","",HLOOKUP(((VLOOKUP($P$1,Lists!$B$4:$C$26,2,FALSE))&amp;"UnitDes"),'PC list edited'!$A$2:$EJ$65,(B46+1),FALSE)))</f>
        <v>No. of customers assisted by water poverty initiatives</v>
      </c>
      <c r="G46" s="533">
        <f>IF($P$1="Select company","",IF(C46="","",HLOOKUP(((VLOOKUP($P$1,Lists!$B$4:$C$26,2,FALSE))&amp;"DP"),'PC list edited'!$A$2:$EJ$65,(B46+1),FALSE)))</f>
        <v>0</v>
      </c>
      <c r="H46" s="533">
        <f>IF($P$1="Select company","",IF(C46 = "","",HLOOKUP(((VLOOKUP($P$1,Lists!$B$4:$C$26,2,FALSE))&amp;"201718Actual"),'PC list edited'!$A$2:$EJ$65,(B46+1),FALSE)))</f>
        <v>29631</v>
      </c>
      <c r="I46" s="570">
        <f>'[1]3A'!J46</f>
        <v>30875</v>
      </c>
      <c r="J46" s="570" t="str">
        <f>'[1]3A'!K46</f>
        <v>N/A</v>
      </c>
      <c r="K46" s="570" t="s">
        <v>497</v>
      </c>
      <c r="L46" s="570" t="s">
        <v>497</v>
      </c>
      <c r="M46" s="570" t="s">
        <v>497</v>
      </c>
      <c r="N46" s="570" t="s">
        <v>497</v>
      </c>
      <c r="O46" s="570" t="s">
        <v>497</v>
      </c>
      <c r="P46" s="3179" t="s">
        <v>497</v>
      </c>
      <c r="Q46" s="135"/>
      <c r="R46" s="521">
        <f t="shared" si="4"/>
        <v>0</v>
      </c>
      <c r="S46" s="24" t="str">
        <f t="shared" si="5"/>
        <v>Please complete all cells in row</v>
      </c>
      <c r="T46" s="71"/>
      <c r="U46" s="72"/>
      <c r="V46" s="98">
        <f t="shared" si="6"/>
        <v>0</v>
      </c>
      <c r="W46" s="98">
        <f>IF($C46="",0,IF(ISBLANK(#REF!)=FALSE,0,1))</f>
        <v>0</v>
      </c>
      <c r="X46" s="98">
        <f t="shared" si="0"/>
        <v>0</v>
      </c>
      <c r="Y46" s="98">
        <f>IF(OR(ISBLANK(L46), L46=0), 0, IF(OR(K46=Lists!$F$11, K46=Lists!$F$13), 0, 1))</f>
        <v>1</v>
      </c>
      <c r="Z46" s="98">
        <f>IF(OR($C46="", AND(NOT(K46=Lists!$F$11), NOT(K46=Lists!$F$13))),0,IF(ISBLANK(L46)=FALSE,0,1))</f>
        <v>0</v>
      </c>
      <c r="AA46" s="98">
        <f>IF(OR(ISBLANK(N46), N46=0), 0, IF(OR(M46=Lists!$F$11, M46=Lists!$F$13), 0, 1))</f>
        <v>1</v>
      </c>
      <c r="AB46" s="98">
        <f>IF(OR($C46="", AND(NOT(M46=Lists!$F$11), NOT(M46=Lists!$F$13))),0,IF(ISBLANK(N46)=FALSE,0,1))</f>
        <v>0</v>
      </c>
      <c r="AC46" s="98">
        <f>IF(OR(ISBLANK(P46), P46=0), 0, IF(OR(O46=Lists!$F$11, O46=Lists!$F$13), 0, 1))</f>
        <v>1</v>
      </c>
      <c r="AD46" s="98">
        <f>IF(OR($C46="", AND(NOT(O46=Lists!$F$11), NOT(O46=Lists!$F$13))),0,IF(ISBLANK(P46)=FALSE,0,1))</f>
        <v>0</v>
      </c>
      <c r="AE46" s="72"/>
      <c r="AF46" s="523">
        <f xml:space="preserve"> IF(OR( AND( K46 = Lists!$F$11, '3A - SWT'!L46 &lt; 0), AND( '3A - SWT'!M46 = Lists!$F$11, '3A - SWT'!N46 &lt; 0), AND( '3A - SWT'!O46 = Lists!$F$11, '3A - SWT'!P46 &lt; 0)), 1, 0)</f>
        <v>0</v>
      </c>
      <c r="AG46" s="523">
        <f xml:space="preserve"> IF( OR( AND( K46 = Lists!$F$13, '3A - SWT'!L46 &gt; 0), AND( M46 = Lists!$F$13, '3A - SWT'!N46 &gt; 0), AND( O46 = Lists!$F$13, '3A - SWT'!P46 &gt; 0 )), 1, 0)</f>
        <v>0</v>
      </c>
      <c r="AH46" s="525"/>
      <c r="AI46" s="701" t="str">
        <f>IF($P$1="Select company","",IF((HLOOKUP(((VLOOKUP($P$1,Lists!$B$4:$C$26,2,FALSE))&amp;'PC LIST'!$J$2),'PC list edited'!$A$2:$EJ$65,(B46+1),FALSE))=0,"",HLOOKUP(((VLOOKUP($P$1,Lists!$B$4:$C$26,2,FALSE))&amp; 'PC LIST'!$J$2),'PC list edited'!$A$2:$EJ$65,(B46+1),FALSE)))</f>
        <v>NFI</v>
      </c>
      <c r="AJ46" s="2417" t="str">
        <f>IFERROR(INDEX('PC LIST'!N$3:N$631, MATCH($C46, 'PC LIST'!$B$3:$B$631, 0)),"")</f>
        <v>Billing, debt, vfm, affordability</v>
      </c>
    </row>
    <row r="47" spans="1:36" s="321" customFormat="1" ht="30" customHeight="1">
      <c r="A47" s="75"/>
      <c r="B47" s="299">
        <f t="shared" si="3"/>
        <v>43</v>
      </c>
      <c r="C47" s="514" t="str">
        <f>IF($P$1="Select company","",IF((HLOOKUP((VLOOKUP($P$1,Lists!$B$4:$C$26,2,FALSE)),'PC list edited'!$A$2:$EJ$65,(B47+1),FALSE))=0,"",HLOOKUP((VLOOKUP($P$1,Lists!$B$4:$C$26,2,FALSE)),'PC list edited'!$A$2:$EJ$65,(B47+1),FALSE)))</f>
        <v/>
      </c>
      <c r="D47" s="513" t="str">
        <f>IF($P$1="Select company","",IF(C47 ="","",HLOOKUP(((VLOOKUP($P$1,Lists!$B$4:$C$26,2,FALSE))&amp;"PC"),'PC list edited'!$A$2:$EJ$65,(B47+1),FALSE)))</f>
        <v/>
      </c>
      <c r="E47" s="327" t="str">
        <f>IF($P$1="Select company","",IF(C47 ="","",HLOOKUP(((VLOOKUP($P$1,Lists!$B$4:$C$26,2,FALSE))&amp;"unit"),'PC list edited'!$A$2:$EJ$65,(B47+1),FALSE)))</f>
        <v/>
      </c>
      <c r="F47" s="327" t="str">
        <f>IF($P$1="Select company","",IF(C47 ="","",HLOOKUP(((VLOOKUP($P$1,Lists!$B$4:$C$26,2,FALSE))&amp;"UnitDes"),'PC list edited'!$A$2:$EJ$65,(B47+1),FALSE)))</f>
        <v/>
      </c>
      <c r="G47" s="533" t="str">
        <f>IF($P$1="Select company","",IF(C47="","",HLOOKUP(((VLOOKUP($P$1,Lists!$B$4:$C$26,2,FALSE))&amp;"DP"),'PC list edited'!$A$2:$EJ$65,(B47+1),FALSE)))</f>
        <v/>
      </c>
      <c r="H47" s="533" t="str">
        <f>IF($P$1="Select company","",IF(C47 = "","",HLOOKUP(((VLOOKUP($P$1,Lists!$B$4:$C$26,2,FALSE))&amp;"201718Actual"),'PC list edited'!$A$2:$EJ$65,(B47+1),FALSE)))</f>
        <v/>
      </c>
      <c r="I47" s="570"/>
      <c r="J47" s="699"/>
      <c r="K47" s="515"/>
      <c r="L47" s="516"/>
      <c r="M47" s="515"/>
      <c r="N47" s="516"/>
      <c r="O47" s="515"/>
      <c r="P47" s="517"/>
      <c r="Q47" s="135"/>
      <c r="R47" s="521">
        <f t="shared" si="4"/>
        <v>0</v>
      </c>
      <c r="S47" s="24">
        <f t="shared" si="5"/>
        <v>0</v>
      </c>
      <c r="T47" s="71"/>
      <c r="U47" s="72"/>
      <c r="V47" s="98">
        <f t="shared" si="6"/>
        <v>0</v>
      </c>
      <c r="W47" s="98">
        <f>IF($C47="",0,IF(ISBLANK(#REF!)=FALSE,0,1))</f>
        <v>0</v>
      </c>
      <c r="X47" s="98">
        <f t="shared" si="0"/>
        <v>0</v>
      </c>
      <c r="Y47" s="98">
        <f>IF(OR(ISBLANK(L47), L47=0), 0, IF(OR(K47=Lists!$F$11, K47=Lists!$F$13), 0, 1))</f>
        <v>0</v>
      </c>
      <c r="Z47" s="98">
        <f>IF(OR($C47="", AND(NOT(K47=Lists!$F$11), NOT(K47=Lists!$F$13))),0,IF(ISBLANK(L47)=FALSE,0,1))</f>
        <v>0</v>
      </c>
      <c r="AA47" s="98">
        <f>IF(OR(ISBLANK(N47), N47=0), 0, IF(OR(M47=Lists!$F$11, M47=Lists!$F$13), 0, 1))</f>
        <v>0</v>
      </c>
      <c r="AB47" s="98">
        <f>IF(OR($C47="", AND(NOT(M47=Lists!$F$11), NOT(M47=Lists!$F$13))),0,IF(ISBLANK(N47)=FALSE,0,1))</f>
        <v>0</v>
      </c>
      <c r="AC47" s="98">
        <f>IF(OR(ISBLANK(P47), P47=0), 0, IF(OR(O47=Lists!$F$11, O47=Lists!$F$13), 0, 1))</f>
        <v>0</v>
      </c>
      <c r="AD47" s="98">
        <f>IF(OR($C47="", AND(NOT(O47=Lists!$F$11), NOT(O47=Lists!$F$13))),0,IF(ISBLANK(P47)=FALSE,0,1))</f>
        <v>0</v>
      </c>
      <c r="AE47" s="72"/>
      <c r="AF47" s="523">
        <f xml:space="preserve"> IF(OR( AND( K47 = Lists!$F$11, '3A - SWT'!L47 &lt; 0), AND( '3A - SWT'!M47 = Lists!$F$11, '3A - SWT'!N47 &lt; 0), AND( '3A - SWT'!O47 = Lists!$F$11, '3A - SWT'!P47 &lt; 0)), 1, 0)</f>
        <v>0</v>
      </c>
      <c r="AG47" s="523">
        <f xml:space="preserve"> IF( OR( AND( K47 = Lists!$F$13, '3A - SWT'!L47 &gt; 0), AND( M47 = Lists!$F$13, '3A - SWT'!N47 &gt; 0), AND( O47 = Lists!$F$13, '3A - SWT'!P47 &gt; 0 )), 1, 0)</f>
        <v>0</v>
      </c>
      <c r="AH47" s="525"/>
      <c r="AI47" s="701" t="str">
        <f>IF($P$1="Select company","",IF((HLOOKUP(((VLOOKUP($P$1,Lists!$B$4:$C$26,2,FALSE))&amp;'PC LIST'!$J$2),'PC list edited'!$A$2:$EJ$65,(B47+1),FALSE))=0,"",HLOOKUP(((VLOOKUP($P$1,Lists!$B$4:$C$26,2,FALSE))&amp; 'PC LIST'!$J$2),'PC list edited'!$A$2:$EJ$65,(B47+1),FALSE)))</f>
        <v/>
      </c>
      <c r="AJ47" s="2417" t="str">
        <f>IFERROR(INDEX('PC LIST'!N$3:N$631, MATCH($C47, 'PC LIST'!$B$3:$B$631, 0)),"")</f>
        <v/>
      </c>
    </row>
    <row r="48" spans="1:36" s="321" customFormat="1" ht="30" customHeight="1">
      <c r="A48" s="75"/>
      <c r="B48" s="299">
        <f t="shared" si="3"/>
        <v>44</v>
      </c>
      <c r="C48" s="514" t="str">
        <f>IF($P$1="Select company","",IF((HLOOKUP((VLOOKUP($P$1,Lists!$B$4:$C$26,2,FALSE)),'PC list edited'!$A$2:$EJ$65,(B48+1),FALSE))=0,"",HLOOKUP((VLOOKUP($P$1,Lists!$B$4:$C$26,2,FALSE)),'PC list edited'!$A$2:$EJ$65,(B48+1),FALSE)))</f>
        <v/>
      </c>
      <c r="D48" s="513" t="str">
        <f>IF($P$1="Select company","",IF(C48 ="","",HLOOKUP(((VLOOKUP($P$1,Lists!$B$4:$C$26,2,FALSE))&amp;"PC"),'PC list edited'!$A$2:$EJ$65,(B48+1),FALSE)))</f>
        <v/>
      </c>
      <c r="E48" s="327" t="str">
        <f>IF($P$1="Select company","",IF(C48 ="","",HLOOKUP(((VLOOKUP($P$1,Lists!$B$4:$C$26,2,FALSE))&amp;"unit"),'PC list edited'!$A$2:$EJ$65,(B48+1),FALSE)))</f>
        <v/>
      </c>
      <c r="F48" s="327" t="str">
        <f>IF($P$1="Select company","",IF(C48 ="","",HLOOKUP(((VLOOKUP($P$1,Lists!$B$4:$C$26,2,FALSE))&amp;"UnitDes"),'PC list edited'!$A$2:$EJ$65,(B48+1),FALSE)))</f>
        <v/>
      </c>
      <c r="G48" s="533" t="str">
        <f>IF($P$1="Select company","",IF(C48="","",HLOOKUP(((VLOOKUP($P$1,Lists!$B$4:$C$26,2,FALSE))&amp;"DP"),'PC list edited'!$A$2:$EJ$65,(B48+1),FALSE)))</f>
        <v/>
      </c>
      <c r="H48" s="533" t="str">
        <f>IF($P$1="Select company","",IF(C48 = "","",HLOOKUP(((VLOOKUP($P$1,Lists!$B$4:$C$26,2,FALSE))&amp;"201718Actual"),'PC list edited'!$A$2:$EJ$65,(B48+1),FALSE)))</f>
        <v/>
      </c>
      <c r="I48" s="570"/>
      <c r="J48" s="699"/>
      <c r="K48" s="515"/>
      <c r="L48" s="516"/>
      <c r="M48" s="515"/>
      <c r="N48" s="516"/>
      <c r="O48" s="515"/>
      <c r="P48" s="517"/>
      <c r="Q48" s="135"/>
      <c r="R48" s="521">
        <f t="shared" si="4"/>
        <v>0</v>
      </c>
      <c r="S48" s="24">
        <f t="shared" si="5"/>
        <v>0</v>
      </c>
      <c r="T48" s="71"/>
      <c r="U48" s="72"/>
      <c r="V48" s="98">
        <f t="shared" si="6"/>
        <v>0</v>
      </c>
      <c r="W48" s="98">
        <f>IF($C48="",0,IF(ISBLANK(#REF!)=FALSE,0,1))</f>
        <v>0</v>
      </c>
      <c r="X48" s="98">
        <f t="shared" si="0"/>
        <v>0</v>
      </c>
      <c r="Y48" s="98">
        <f>IF(OR(ISBLANK(L48), L48=0), 0, IF(OR(K48=Lists!$F$11, K48=Lists!$F$13), 0, 1))</f>
        <v>0</v>
      </c>
      <c r="Z48" s="98">
        <f>IF(OR($C48="", AND(NOT(K48=Lists!$F$11), NOT(K48=Lists!$F$13))),0,IF(ISBLANK(L48)=FALSE,0,1))</f>
        <v>0</v>
      </c>
      <c r="AA48" s="98">
        <f>IF(OR(ISBLANK(N48), N48=0), 0, IF(OR(M48=Lists!$F$11, M48=Lists!$F$13), 0, 1))</f>
        <v>0</v>
      </c>
      <c r="AB48" s="98">
        <f>IF(OR($C48="", AND(NOT(M48=Lists!$F$11), NOT(M48=Lists!$F$13))),0,IF(ISBLANK(N48)=FALSE,0,1))</f>
        <v>0</v>
      </c>
      <c r="AC48" s="98">
        <f>IF(OR(ISBLANK(P48), P48=0), 0, IF(OR(O48=Lists!$F$11, O48=Lists!$F$13), 0, 1))</f>
        <v>0</v>
      </c>
      <c r="AD48" s="98">
        <f>IF(OR($C48="", AND(NOT(O48=Lists!$F$11), NOT(O48=Lists!$F$13))),0,IF(ISBLANK(P48)=FALSE,0,1))</f>
        <v>0</v>
      </c>
      <c r="AE48" s="72"/>
      <c r="AF48" s="523">
        <f xml:space="preserve"> IF(OR( AND( K48 = Lists!$F$11, '3A - SWT'!L48 &lt; 0), AND( '3A - SWT'!M48 = Lists!$F$11, '3A - SWT'!N48 &lt; 0), AND( '3A - SWT'!O48 = Lists!$F$11, '3A - SWT'!P48 &lt; 0)), 1, 0)</f>
        <v>0</v>
      </c>
      <c r="AG48" s="523">
        <f xml:space="preserve"> IF( OR( AND( K48 = Lists!$F$13, '3A - SWT'!L48 &gt; 0), AND( M48 = Lists!$F$13, '3A - SWT'!N48 &gt; 0), AND( O48 = Lists!$F$13, '3A - SWT'!P48 &gt; 0 )), 1, 0)</f>
        <v>0</v>
      </c>
      <c r="AH48" s="525"/>
      <c r="AI48" s="701" t="str">
        <f>IF($P$1="Select company","",IF((HLOOKUP(((VLOOKUP($P$1,Lists!$B$4:$C$26,2,FALSE))&amp;'PC LIST'!$J$2),'PC list edited'!$A$2:$EJ$65,(B48+1),FALSE))=0,"",HLOOKUP(((VLOOKUP($P$1,Lists!$B$4:$C$26,2,FALSE))&amp; 'PC LIST'!$J$2),'PC list edited'!$A$2:$EJ$65,(B48+1),FALSE)))</f>
        <v/>
      </c>
      <c r="AJ48" s="2417" t="str">
        <f>IFERROR(INDEX('PC LIST'!N$3:N$631, MATCH($C48, 'PC LIST'!$B$3:$B$631, 0)),"")</f>
        <v/>
      </c>
    </row>
    <row r="49" spans="1:36" s="321" customFormat="1" ht="30" customHeight="1">
      <c r="A49" s="75"/>
      <c r="B49" s="299">
        <f t="shared" si="3"/>
        <v>45</v>
      </c>
      <c r="C49" s="514" t="str">
        <f>IF($P$1="Select company","",IF((HLOOKUP((VLOOKUP($P$1,Lists!$B$4:$C$26,2,FALSE)),'PC list edited'!$A$2:$EJ$65,(B49+1),FALSE))=0,"",HLOOKUP((VLOOKUP($P$1,Lists!$B$4:$C$26,2,FALSE)),'PC list edited'!$A$2:$EJ$65,(B49+1),FALSE)))</f>
        <v/>
      </c>
      <c r="D49" s="513" t="str">
        <f>IF($P$1="Select company","",IF(C49 ="","",HLOOKUP(((VLOOKUP($P$1,Lists!$B$4:$C$26,2,FALSE))&amp;"PC"),'PC list edited'!$A$2:$EJ$65,(B49+1),FALSE)))</f>
        <v/>
      </c>
      <c r="E49" s="327" t="str">
        <f>IF($P$1="Select company","",IF(C49 ="","",HLOOKUP(((VLOOKUP($P$1,Lists!$B$4:$C$26,2,FALSE))&amp;"unit"),'PC list edited'!$A$2:$EJ$65,(B49+1),FALSE)))</f>
        <v/>
      </c>
      <c r="F49" s="327" t="str">
        <f>IF($P$1="Select company","",IF(C49 ="","",HLOOKUP(((VLOOKUP($P$1,Lists!$B$4:$C$26,2,FALSE))&amp;"UnitDes"),'PC list edited'!$A$2:$EJ$65,(B49+1),FALSE)))</f>
        <v/>
      </c>
      <c r="G49" s="533" t="str">
        <f>IF($P$1="Select company","",IF(C49="","",HLOOKUP(((VLOOKUP($P$1,Lists!$B$4:$C$26,2,FALSE))&amp;"DP"),'PC list edited'!$A$2:$EJ$65,(B49+1),FALSE)))</f>
        <v/>
      </c>
      <c r="H49" s="533" t="str">
        <f>IF($P$1="Select company","",IF(C49 = "","",HLOOKUP(((VLOOKUP($P$1,Lists!$B$4:$C$26,2,FALSE))&amp;"201718Actual"),'PC list edited'!$A$2:$EJ$65,(B49+1),FALSE)))</f>
        <v/>
      </c>
      <c r="I49" s="570"/>
      <c r="J49" s="699"/>
      <c r="K49" s="515"/>
      <c r="L49" s="516"/>
      <c r="M49" s="515"/>
      <c r="N49" s="516"/>
      <c r="O49" s="515"/>
      <c r="P49" s="517"/>
      <c r="Q49" s="135"/>
      <c r="R49" s="521">
        <f t="shared" si="4"/>
        <v>0</v>
      </c>
      <c r="S49" s="24">
        <f t="shared" si="5"/>
        <v>0</v>
      </c>
      <c r="T49" s="71"/>
      <c r="U49" s="72"/>
      <c r="V49" s="98">
        <f t="shared" si="6"/>
        <v>0</v>
      </c>
      <c r="W49" s="98">
        <f>IF($C49="",0,IF(ISBLANK(#REF!)=FALSE,0,1))</f>
        <v>0</v>
      </c>
      <c r="X49" s="98">
        <f t="shared" si="0"/>
        <v>0</v>
      </c>
      <c r="Y49" s="98">
        <f>IF(OR(ISBLANK(L49), L49=0), 0, IF(OR(K49=Lists!$F$11, K49=Lists!$F$13), 0, 1))</f>
        <v>0</v>
      </c>
      <c r="Z49" s="98">
        <f>IF(OR($C49="", AND(NOT(K49=Lists!$F$11), NOT(K49=Lists!$F$13))),0,IF(ISBLANK(L49)=FALSE,0,1))</f>
        <v>0</v>
      </c>
      <c r="AA49" s="98">
        <f>IF(OR(ISBLANK(N49), N49=0), 0, IF(OR(M49=Lists!$F$11, M49=Lists!$F$13), 0, 1))</f>
        <v>0</v>
      </c>
      <c r="AB49" s="98">
        <f>IF(OR($C49="", AND(NOT(M49=Lists!$F$11), NOT(M49=Lists!$F$13))),0,IF(ISBLANK(N49)=FALSE,0,1))</f>
        <v>0</v>
      </c>
      <c r="AC49" s="98">
        <f>IF(OR(ISBLANK(P49), P49=0), 0, IF(OR(O49=Lists!$F$11, O49=Lists!$F$13), 0, 1))</f>
        <v>0</v>
      </c>
      <c r="AD49" s="98">
        <f>IF(OR($C49="", AND(NOT(O49=Lists!$F$11), NOT(O49=Lists!$F$13))),0,IF(ISBLANK(P49)=FALSE,0,1))</f>
        <v>0</v>
      </c>
      <c r="AE49" s="72"/>
      <c r="AF49" s="523">
        <f xml:space="preserve"> IF(OR( AND( K49 = Lists!$F$11, '3A - SWT'!L49 &lt; 0), AND( '3A - SWT'!M49 = Lists!$F$11, '3A - SWT'!N49 &lt; 0), AND( '3A - SWT'!O49 = Lists!$F$11, '3A - SWT'!P49 &lt; 0)), 1, 0)</f>
        <v>0</v>
      </c>
      <c r="AG49" s="523">
        <f xml:space="preserve"> IF( OR( AND( K49 = Lists!$F$13, '3A - SWT'!L49 &gt; 0), AND( M49 = Lists!$F$13, '3A - SWT'!N49 &gt; 0), AND( O49 = Lists!$F$13, '3A - SWT'!P49 &gt; 0 )), 1, 0)</f>
        <v>0</v>
      </c>
      <c r="AH49" s="525"/>
      <c r="AI49" s="701" t="str">
        <f>IF($P$1="Select company","",IF((HLOOKUP(((VLOOKUP($P$1,Lists!$B$4:$C$26,2,FALSE))&amp;'PC LIST'!$J$2),'PC list edited'!$A$2:$EJ$65,(B49+1),FALSE))=0,"",HLOOKUP(((VLOOKUP($P$1,Lists!$B$4:$C$26,2,FALSE))&amp; 'PC LIST'!$J$2),'PC list edited'!$A$2:$EJ$65,(B49+1),FALSE)))</f>
        <v/>
      </c>
      <c r="AJ49" s="2417" t="str">
        <f>IFERROR(INDEX('PC LIST'!N$3:N$631, MATCH($C49, 'PC LIST'!$B$3:$B$631, 0)),"")</f>
        <v/>
      </c>
    </row>
    <row r="50" spans="1:36" s="321" customFormat="1" ht="30" customHeight="1">
      <c r="A50" s="75"/>
      <c r="B50" s="299">
        <f t="shared" si="3"/>
        <v>46</v>
      </c>
      <c r="C50" s="514" t="str">
        <f>IF($P$1="Select company","",IF((HLOOKUP((VLOOKUP($P$1,Lists!$B$4:$C$26,2,FALSE)),'PC list edited'!$A$2:$EJ$65,(B50+1),FALSE))=0,"",HLOOKUP((VLOOKUP($P$1,Lists!$B$4:$C$26,2,FALSE)),'PC list edited'!$A$2:$EJ$65,(B50+1),FALSE)))</f>
        <v/>
      </c>
      <c r="D50" s="513" t="str">
        <f>IF($P$1="Select company","",IF(C50 ="","",HLOOKUP(((VLOOKUP($P$1,Lists!$B$4:$C$26,2,FALSE))&amp;"PC"),'PC list edited'!$A$2:$EJ$65,(B50+1),FALSE)))</f>
        <v/>
      </c>
      <c r="E50" s="327" t="str">
        <f>IF($P$1="Select company","",IF(C50 ="","",HLOOKUP(((VLOOKUP($P$1,Lists!$B$4:$C$26,2,FALSE))&amp;"unit"),'PC list edited'!$A$2:$EJ$65,(B50+1),FALSE)))</f>
        <v/>
      </c>
      <c r="F50" s="327" t="str">
        <f>IF($P$1="Select company","",IF(C50 ="","",HLOOKUP(((VLOOKUP($P$1,Lists!$B$4:$C$26,2,FALSE))&amp;"UnitDes"),'PC list edited'!$A$2:$EJ$65,(B50+1),FALSE)))</f>
        <v/>
      </c>
      <c r="G50" s="533" t="str">
        <f>IF($P$1="Select company","",IF(C50="","",HLOOKUP(((VLOOKUP($P$1,Lists!$B$4:$C$26,2,FALSE))&amp;"DP"),'PC list edited'!$A$2:$EJ$65,(B50+1),FALSE)))</f>
        <v/>
      </c>
      <c r="H50" s="533" t="str">
        <f>IF($P$1="Select company","",IF(C50 = "","",HLOOKUP(((VLOOKUP($P$1,Lists!$B$4:$C$26,2,FALSE))&amp;"201718Actual"),'PC list edited'!$A$2:$EJ$65,(B50+1),FALSE)))</f>
        <v/>
      </c>
      <c r="I50" s="570"/>
      <c r="J50" s="699"/>
      <c r="K50" s="515"/>
      <c r="L50" s="516"/>
      <c r="M50" s="515"/>
      <c r="N50" s="516"/>
      <c r="O50" s="515"/>
      <c r="P50" s="517"/>
      <c r="Q50" s="135"/>
      <c r="R50" s="521">
        <f t="shared" si="4"/>
        <v>0</v>
      </c>
      <c r="S50" s="24">
        <f t="shared" si="5"/>
        <v>0</v>
      </c>
      <c r="T50" s="71"/>
      <c r="U50" s="72"/>
      <c r="V50" s="98">
        <f t="shared" si="6"/>
        <v>0</v>
      </c>
      <c r="W50" s="98">
        <f>IF($C50="",0,IF(ISBLANK(#REF!)=FALSE,0,1))</f>
        <v>0</v>
      </c>
      <c r="X50" s="98">
        <f t="shared" ref="X50:X60" si="7">IF($C50="",0,IF(ISBLANK(J50)=FALSE,0,1))</f>
        <v>0</v>
      </c>
      <c r="Y50" s="98">
        <f>IF(OR(ISBLANK(L50), L50=0), 0, IF(OR(K50=Lists!$F$11, K50=Lists!$F$13), 0, 1))</f>
        <v>0</v>
      </c>
      <c r="Z50" s="98">
        <f>IF(OR($C50="", AND(NOT(K50=Lists!$F$11), NOT(K50=Lists!$F$13))),0,IF(ISBLANK(L50)=FALSE,0,1))</f>
        <v>0</v>
      </c>
      <c r="AA50" s="98">
        <f>IF(OR(ISBLANK(N50), N50=0), 0, IF(OR(M50=Lists!$F$11, M50=Lists!$F$13), 0, 1))</f>
        <v>0</v>
      </c>
      <c r="AB50" s="98">
        <f>IF(OR($C50="", AND(NOT(M50=Lists!$F$11), NOT(M50=Lists!$F$13))),0,IF(ISBLANK(N50)=FALSE,0,1))</f>
        <v>0</v>
      </c>
      <c r="AC50" s="98">
        <f>IF(OR(ISBLANK(P50), P50=0), 0, IF(OR(O50=Lists!$F$11, O50=Lists!$F$13), 0, 1))</f>
        <v>0</v>
      </c>
      <c r="AD50" s="98">
        <f>IF(OR($C50="", AND(NOT(O50=Lists!$F$11), NOT(O50=Lists!$F$13))),0,IF(ISBLANK(P50)=FALSE,0,1))</f>
        <v>0</v>
      </c>
      <c r="AE50" s="72"/>
      <c r="AF50" s="523">
        <f xml:space="preserve"> IF(OR( AND( K50 = Lists!$F$11, '3A - SWT'!L50 &lt; 0), AND( '3A - SWT'!M50 = Lists!$F$11, '3A - SWT'!N50 &lt; 0), AND( '3A - SWT'!O50 = Lists!$F$11, '3A - SWT'!P50 &lt; 0)), 1, 0)</f>
        <v>0</v>
      </c>
      <c r="AG50" s="523">
        <f xml:space="preserve"> IF( OR( AND( K50 = Lists!$F$13, '3A - SWT'!L50 &gt; 0), AND( M50 = Lists!$F$13, '3A - SWT'!N50 &gt; 0), AND( O50 = Lists!$F$13, '3A - SWT'!P50 &gt; 0 )), 1, 0)</f>
        <v>0</v>
      </c>
      <c r="AH50" s="525"/>
      <c r="AI50" s="701" t="str">
        <f>IF($P$1="Select company","",IF((HLOOKUP(((VLOOKUP($P$1,Lists!$B$4:$C$26,2,FALSE))&amp;'PC LIST'!$J$2),'PC list edited'!$A$2:$EJ$65,(B50+1),FALSE))=0,"",HLOOKUP(((VLOOKUP($P$1,Lists!$B$4:$C$26,2,FALSE))&amp; 'PC LIST'!$J$2),'PC list edited'!$A$2:$EJ$65,(B50+1),FALSE)))</f>
        <v/>
      </c>
      <c r="AJ50" s="2417" t="str">
        <f>IFERROR(INDEX('PC LIST'!N$3:N$631, MATCH($C50, 'PC LIST'!$B$3:$B$631, 0)),"")</f>
        <v/>
      </c>
    </row>
    <row r="51" spans="1:36" s="321" customFormat="1" ht="30" customHeight="1">
      <c r="A51" s="75"/>
      <c r="B51" s="299">
        <f t="shared" si="3"/>
        <v>47</v>
      </c>
      <c r="C51" s="514" t="str">
        <f>IF($P$1="Select company","",IF((HLOOKUP((VLOOKUP($P$1,Lists!$B$4:$C$26,2,FALSE)),'PC list edited'!$A$2:$EJ$65,(B51+1),FALSE))=0,"",HLOOKUP((VLOOKUP($P$1,Lists!$B$4:$C$26,2,FALSE)),'PC list edited'!$A$2:$EJ$65,(B51+1),FALSE)))</f>
        <v/>
      </c>
      <c r="D51" s="513" t="str">
        <f>IF($P$1="Select company","",IF(C51 ="","",HLOOKUP(((VLOOKUP($P$1,Lists!$B$4:$C$26,2,FALSE))&amp;"PC"),'PC list edited'!$A$2:$EJ$65,(B51+1),FALSE)))</f>
        <v/>
      </c>
      <c r="E51" s="327" t="str">
        <f>IF($P$1="Select company","",IF(C51 ="","",HLOOKUP(((VLOOKUP($P$1,Lists!$B$4:$C$26,2,FALSE))&amp;"unit"),'PC list edited'!$A$2:$EJ$65,(B51+1),FALSE)))</f>
        <v/>
      </c>
      <c r="F51" s="327" t="str">
        <f>IF($P$1="Select company","",IF(C51 ="","",HLOOKUP(((VLOOKUP($P$1,Lists!$B$4:$C$26,2,FALSE))&amp;"UnitDes"),'PC list edited'!$A$2:$EJ$65,(B51+1),FALSE)))</f>
        <v/>
      </c>
      <c r="G51" s="533" t="str">
        <f>IF($P$1="Select company","",IF(C51="","",HLOOKUP(((VLOOKUP($P$1,Lists!$B$4:$C$26,2,FALSE))&amp;"DP"),'PC list edited'!$A$2:$EJ$65,(B51+1),FALSE)))</f>
        <v/>
      </c>
      <c r="H51" s="533" t="str">
        <f>IF($P$1="Select company","",IF(C51 = "","",HLOOKUP(((VLOOKUP($P$1,Lists!$B$4:$C$26,2,FALSE))&amp;"201718Actual"),'PC list edited'!$A$2:$EJ$65,(B51+1),FALSE)))</f>
        <v/>
      </c>
      <c r="I51" s="570"/>
      <c r="J51" s="699"/>
      <c r="K51" s="515"/>
      <c r="L51" s="516"/>
      <c r="M51" s="515"/>
      <c r="N51" s="516"/>
      <c r="O51" s="515"/>
      <c r="P51" s="517"/>
      <c r="Q51" s="135"/>
      <c r="R51" s="521">
        <f t="shared" si="4"/>
        <v>0</v>
      </c>
      <c r="S51" s="24">
        <f t="shared" si="5"/>
        <v>0</v>
      </c>
      <c r="T51" s="71"/>
      <c r="U51" s="72"/>
      <c r="V51" s="98">
        <f t="shared" si="6"/>
        <v>0</v>
      </c>
      <c r="W51" s="98">
        <f>IF($C51="",0,IF(ISBLANK(#REF!)=FALSE,0,1))</f>
        <v>0</v>
      </c>
      <c r="X51" s="98">
        <f t="shared" si="7"/>
        <v>0</v>
      </c>
      <c r="Y51" s="98">
        <f>IF(OR(ISBLANK(L51), L51=0), 0, IF(OR(K51=Lists!$F$11, K51=Lists!$F$13), 0, 1))</f>
        <v>0</v>
      </c>
      <c r="Z51" s="98">
        <f>IF(OR($C51="", AND(NOT(K51=Lists!$F$11), NOT(K51=Lists!$F$13))),0,IF(ISBLANK(L51)=FALSE,0,1))</f>
        <v>0</v>
      </c>
      <c r="AA51" s="98">
        <f>IF(OR(ISBLANK(N51), N51=0), 0, IF(OR(M51=Lists!$F$11, M51=Lists!$F$13), 0, 1))</f>
        <v>0</v>
      </c>
      <c r="AB51" s="98">
        <f>IF(OR($C51="", AND(NOT(M51=Lists!$F$11), NOT(M51=Lists!$F$13))),0,IF(ISBLANK(N51)=FALSE,0,1))</f>
        <v>0</v>
      </c>
      <c r="AC51" s="98">
        <f>IF(OR(ISBLANK(P51), P51=0), 0, IF(OR(O51=Lists!$F$11, O51=Lists!$F$13), 0, 1))</f>
        <v>0</v>
      </c>
      <c r="AD51" s="98">
        <f>IF(OR($C51="", AND(NOT(O51=Lists!$F$11), NOT(O51=Lists!$F$13))),0,IF(ISBLANK(P51)=FALSE,0,1))</f>
        <v>0</v>
      </c>
      <c r="AE51" s="72"/>
      <c r="AF51" s="523">
        <f xml:space="preserve"> IF(OR( AND( K51 = Lists!$F$11, '3A - SWT'!L51 &lt; 0), AND( '3A - SWT'!M51 = Lists!$F$11, '3A - SWT'!N51 &lt; 0), AND( '3A - SWT'!O51 = Lists!$F$11, '3A - SWT'!P51 &lt; 0)), 1, 0)</f>
        <v>0</v>
      </c>
      <c r="AG51" s="523">
        <f xml:space="preserve"> IF( OR( AND( K51 = Lists!$F$13, '3A - SWT'!L51 &gt; 0), AND( M51 = Lists!$F$13, '3A - SWT'!N51 &gt; 0), AND( O51 = Lists!$F$13, '3A - SWT'!P51 &gt; 0 )), 1, 0)</f>
        <v>0</v>
      </c>
      <c r="AH51" s="525"/>
      <c r="AI51" s="701" t="str">
        <f>IF($P$1="Select company","",IF((HLOOKUP(((VLOOKUP($P$1,Lists!$B$4:$C$26,2,FALSE))&amp;'PC LIST'!$J$2),'PC list edited'!$A$2:$EJ$65,(B51+1),FALSE))=0,"",HLOOKUP(((VLOOKUP($P$1,Lists!$B$4:$C$26,2,FALSE))&amp; 'PC LIST'!$J$2),'PC list edited'!$A$2:$EJ$65,(B51+1),FALSE)))</f>
        <v/>
      </c>
      <c r="AJ51" s="2417" t="str">
        <f>IFERROR(INDEX('PC LIST'!N$3:N$631, MATCH($C51, 'PC LIST'!$B$3:$B$631, 0)),"")</f>
        <v/>
      </c>
    </row>
    <row r="52" spans="1:36" s="321" customFormat="1" ht="30" customHeight="1">
      <c r="A52" s="75"/>
      <c r="B52" s="299">
        <f t="shared" si="3"/>
        <v>48</v>
      </c>
      <c r="C52" s="514" t="str">
        <f>IF($P$1="Select company","",IF((HLOOKUP((VLOOKUP($P$1,Lists!$B$4:$C$26,2,FALSE)),'PC list edited'!$A$2:$EJ$65,(B52+1),FALSE))=0,"",HLOOKUP((VLOOKUP($P$1,Lists!$B$4:$C$26,2,FALSE)),'PC list edited'!$A$2:$EJ$65,(B52+1),FALSE)))</f>
        <v/>
      </c>
      <c r="D52" s="513" t="str">
        <f>IF($P$1="Select company","",IF(C52 ="","",HLOOKUP(((VLOOKUP($P$1,Lists!$B$4:$C$26,2,FALSE))&amp;"PC"),'PC list edited'!$A$2:$EJ$65,(B52+1),FALSE)))</f>
        <v/>
      </c>
      <c r="E52" s="327" t="str">
        <f>IF($P$1="Select company","",IF(C52 ="","",HLOOKUP(((VLOOKUP($P$1,Lists!$B$4:$C$26,2,FALSE))&amp;"unit"),'PC list edited'!$A$2:$EJ$65,(B52+1),FALSE)))</f>
        <v/>
      </c>
      <c r="F52" s="327" t="str">
        <f>IF($P$1="Select company","",IF(C52 ="","",HLOOKUP(((VLOOKUP($P$1,Lists!$B$4:$C$26,2,FALSE))&amp;"UnitDes"),'PC list edited'!$A$2:$EJ$65,(B52+1),FALSE)))</f>
        <v/>
      </c>
      <c r="G52" s="533" t="str">
        <f>IF($P$1="Select company","",IF(C52="","",HLOOKUP(((VLOOKUP($P$1,Lists!$B$4:$C$26,2,FALSE))&amp;"DP"),'PC list edited'!$A$2:$EJ$65,(B52+1),FALSE)))</f>
        <v/>
      </c>
      <c r="H52" s="533" t="str">
        <f>IF($P$1="Select company","",IF(C52 = "","",HLOOKUP(((VLOOKUP($P$1,Lists!$B$4:$C$26,2,FALSE))&amp;"201718Actual"),'PC list edited'!$A$2:$EJ$65,(B52+1),FALSE)))</f>
        <v/>
      </c>
      <c r="I52" s="570"/>
      <c r="J52" s="699"/>
      <c r="K52" s="515"/>
      <c r="L52" s="516"/>
      <c r="M52" s="515"/>
      <c r="N52" s="516"/>
      <c r="O52" s="515"/>
      <c r="P52" s="517"/>
      <c r="Q52" s="135"/>
      <c r="R52" s="521">
        <f t="shared" si="4"/>
        <v>0</v>
      </c>
      <c r="S52" s="24">
        <f t="shared" si="5"/>
        <v>0</v>
      </c>
      <c r="T52" s="71"/>
      <c r="U52" s="72"/>
      <c r="V52" s="98">
        <f t="shared" si="6"/>
        <v>0</v>
      </c>
      <c r="W52" s="98">
        <f>IF($C52="",0,IF(ISBLANK(#REF!)=FALSE,0,1))</f>
        <v>0</v>
      </c>
      <c r="X52" s="98">
        <f t="shared" si="7"/>
        <v>0</v>
      </c>
      <c r="Y52" s="98">
        <f>IF(OR(ISBLANK(L52), L52=0), 0, IF(OR(K52=Lists!$F$11, K52=Lists!$F$13), 0, 1))</f>
        <v>0</v>
      </c>
      <c r="Z52" s="98">
        <f>IF(OR($C52="", AND(NOT(K52=Lists!$F$11), NOT(K52=Lists!$F$13))),0,IF(ISBLANK(L52)=FALSE,0,1))</f>
        <v>0</v>
      </c>
      <c r="AA52" s="98">
        <f>IF(OR(ISBLANK(N52), N52=0), 0, IF(OR(M52=Lists!$F$11, M52=Lists!$F$13), 0, 1))</f>
        <v>0</v>
      </c>
      <c r="AB52" s="98">
        <f>IF(OR($C52="", AND(NOT(M52=Lists!$F$11), NOT(M52=Lists!$F$13))),0,IF(ISBLANK(N52)=FALSE,0,1))</f>
        <v>0</v>
      </c>
      <c r="AC52" s="98">
        <f>IF(OR(ISBLANK(P52), P52=0), 0, IF(OR(O52=Lists!$F$11, O52=Lists!$F$13), 0, 1))</f>
        <v>0</v>
      </c>
      <c r="AD52" s="98">
        <f>IF(OR($C52="", AND(NOT(O52=Lists!$F$11), NOT(O52=Lists!$F$13))),0,IF(ISBLANK(P52)=FALSE,0,1))</f>
        <v>0</v>
      </c>
      <c r="AE52" s="72"/>
      <c r="AF52" s="523">
        <f xml:space="preserve"> IF(OR( AND( K52 = Lists!$F$11, '3A - SWT'!L52 &lt; 0), AND( '3A - SWT'!M52 = Lists!$F$11, '3A - SWT'!N52 &lt; 0), AND( '3A - SWT'!O52 = Lists!$F$11, '3A - SWT'!P52 &lt; 0)), 1, 0)</f>
        <v>0</v>
      </c>
      <c r="AG52" s="523">
        <f xml:space="preserve"> IF( OR( AND( K52 = Lists!$F$13, '3A - SWT'!L52 &gt; 0), AND( M52 = Lists!$F$13, '3A - SWT'!N52 &gt; 0), AND( O52 = Lists!$F$13, '3A - SWT'!P52 &gt; 0 )), 1, 0)</f>
        <v>0</v>
      </c>
      <c r="AH52" s="525"/>
      <c r="AI52" s="701" t="str">
        <f>IF($P$1="Select company","",IF((HLOOKUP(((VLOOKUP($P$1,Lists!$B$4:$C$26,2,FALSE))&amp;'PC LIST'!$J$2),'PC list edited'!$A$2:$EJ$65,(B52+1),FALSE))=0,"",HLOOKUP(((VLOOKUP($P$1,Lists!$B$4:$C$26,2,FALSE))&amp; 'PC LIST'!$J$2),'PC list edited'!$A$2:$EJ$65,(B52+1),FALSE)))</f>
        <v/>
      </c>
      <c r="AJ52" s="2417" t="str">
        <f>IFERROR(INDEX('PC LIST'!N$3:N$631, MATCH($C52, 'PC LIST'!$B$3:$B$631, 0)),"")</f>
        <v/>
      </c>
    </row>
    <row r="53" spans="1:36" s="321" customFormat="1" ht="30" customHeight="1">
      <c r="A53" s="75"/>
      <c r="B53" s="299">
        <f t="shared" si="3"/>
        <v>49</v>
      </c>
      <c r="C53" s="514" t="str">
        <f>IF($P$1="Select company","",IF((HLOOKUP((VLOOKUP($P$1,Lists!$B$4:$C$26,2,FALSE)),'PC list edited'!$A$2:$EJ$65,(B53+1),FALSE))=0,"",HLOOKUP((VLOOKUP($P$1,Lists!$B$4:$C$26,2,FALSE)),'PC list edited'!$A$2:$EJ$65,(B53+1),FALSE)))</f>
        <v/>
      </c>
      <c r="D53" s="513" t="str">
        <f>IF($P$1="Select company","",IF(C53 ="","",HLOOKUP(((VLOOKUP($P$1,Lists!$B$4:$C$26,2,FALSE))&amp;"PC"),'PC list edited'!$A$2:$EJ$65,(B53+1),FALSE)))</f>
        <v/>
      </c>
      <c r="E53" s="327" t="str">
        <f>IF($P$1="Select company","",IF(C53 ="","",HLOOKUP(((VLOOKUP($P$1,Lists!$B$4:$C$26,2,FALSE))&amp;"unit"),'PC list edited'!$A$2:$EJ$65,(B53+1),FALSE)))</f>
        <v/>
      </c>
      <c r="F53" s="327" t="str">
        <f>IF($P$1="Select company","",IF(C53 ="","",HLOOKUP(((VLOOKUP($P$1,Lists!$B$4:$C$26,2,FALSE))&amp;"UnitDes"),'PC list edited'!$A$2:$EJ$65,(B53+1),FALSE)))</f>
        <v/>
      </c>
      <c r="G53" s="533" t="str">
        <f>IF($P$1="Select company","",IF(C53="","",HLOOKUP(((VLOOKUP($P$1,Lists!$B$4:$C$26,2,FALSE))&amp;"DP"),'PC list edited'!$A$2:$EJ$65,(B53+1),FALSE)))</f>
        <v/>
      </c>
      <c r="H53" s="533" t="str">
        <f>IF($P$1="Select company","",IF(C53 = "","",HLOOKUP(((VLOOKUP($P$1,Lists!$B$4:$C$26,2,FALSE))&amp;"201718Actual"),'PC list edited'!$A$2:$EJ$65,(B53+1),FALSE)))</f>
        <v/>
      </c>
      <c r="I53" s="570"/>
      <c r="J53" s="699"/>
      <c r="K53" s="515"/>
      <c r="L53" s="516"/>
      <c r="M53" s="515"/>
      <c r="N53" s="516"/>
      <c r="O53" s="515"/>
      <c r="P53" s="517"/>
      <c r="Q53" s="135"/>
      <c r="R53" s="521">
        <f t="shared" si="4"/>
        <v>0</v>
      </c>
      <c r="S53" s="24">
        <f t="shared" si="5"/>
        <v>0</v>
      </c>
      <c r="T53" s="71"/>
      <c r="U53" s="72"/>
      <c r="V53" s="98">
        <f t="shared" si="6"/>
        <v>0</v>
      </c>
      <c r="W53" s="98">
        <f>IF($C53="",0,IF(ISBLANK(#REF!)=FALSE,0,1))</f>
        <v>0</v>
      </c>
      <c r="X53" s="98">
        <f t="shared" si="7"/>
        <v>0</v>
      </c>
      <c r="Y53" s="98">
        <f>IF(OR(ISBLANK(L53), L53=0), 0, IF(OR(K53=Lists!$F$11, K53=Lists!$F$13), 0, 1))</f>
        <v>0</v>
      </c>
      <c r="Z53" s="98">
        <f>IF(OR($C53="", AND(NOT(K53=Lists!$F$11), NOT(K53=Lists!$F$13))),0,IF(ISBLANK(L53)=FALSE,0,1))</f>
        <v>0</v>
      </c>
      <c r="AA53" s="98">
        <f>IF(OR(ISBLANK(N53), N53=0), 0, IF(OR(M53=Lists!$F$11, M53=Lists!$F$13), 0, 1))</f>
        <v>0</v>
      </c>
      <c r="AB53" s="98">
        <f>IF(OR($C53="", AND(NOT(M53=Lists!$F$11), NOT(M53=Lists!$F$13))),0,IF(ISBLANK(N53)=FALSE,0,1))</f>
        <v>0</v>
      </c>
      <c r="AC53" s="98">
        <f>IF(OR(ISBLANK(P53), P53=0), 0, IF(OR(O53=Lists!$F$11, O53=Lists!$F$13), 0, 1))</f>
        <v>0</v>
      </c>
      <c r="AD53" s="98">
        <f>IF(OR($C53="", AND(NOT(O53=Lists!$F$11), NOT(O53=Lists!$F$13))),0,IF(ISBLANK(P53)=FALSE,0,1))</f>
        <v>0</v>
      </c>
      <c r="AE53" s="72"/>
      <c r="AF53" s="523">
        <f xml:space="preserve"> IF(OR( AND( K53 = Lists!$F$11, '3A - SWT'!L53 &lt; 0), AND( '3A - SWT'!M53 = Lists!$F$11, '3A - SWT'!N53 &lt; 0), AND( '3A - SWT'!O53 = Lists!$F$11, '3A - SWT'!P53 &lt; 0)), 1, 0)</f>
        <v>0</v>
      </c>
      <c r="AG53" s="523">
        <f xml:space="preserve"> IF( OR( AND( K53 = Lists!$F$13, '3A - SWT'!L53 &gt; 0), AND( M53 = Lists!$F$13, '3A - SWT'!N53 &gt; 0), AND( O53 = Lists!$F$13, '3A - SWT'!P53 &gt; 0 )), 1, 0)</f>
        <v>0</v>
      </c>
      <c r="AH53" s="525"/>
      <c r="AI53" s="701" t="str">
        <f>IF($P$1="Select company","",IF((HLOOKUP(((VLOOKUP($P$1,Lists!$B$4:$C$26,2,FALSE))&amp;'PC LIST'!$J$2),'PC list edited'!$A$2:$EJ$65,(B53+1),FALSE))=0,"",HLOOKUP(((VLOOKUP($P$1,Lists!$B$4:$C$26,2,FALSE))&amp; 'PC LIST'!$J$2),'PC list edited'!$A$2:$EJ$65,(B53+1),FALSE)))</f>
        <v/>
      </c>
      <c r="AJ53" s="2417" t="str">
        <f>IFERROR(INDEX('PC LIST'!N$3:N$631, MATCH($C53, 'PC LIST'!$B$3:$B$631, 0)),"")</f>
        <v/>
      </c>
    </row>
    <row r="54" spans="1:36" s="321" customFormat="1" ht="30" customHeight="1">
      <c r="A54" s="75"/>
      <c r="B54" s="299">
        <f t="shared" si="3"/>
        <v>50</v>
      </c>
      <c r="C54" s="514" t="str">
        <f>IF($P$1="Select company","",IF((HLOOKUP((VLOOKUP($P$1,Lists!$B$4:$C$26,2,FALSE)),'PC list edited'!$A$2:$EJ$65,(B54+1),FALSE))=0,"",HLOOKUP((VLOOKUP($P$1,Lists!$B$4:$C$26,2,FALSE)),'PC list edited'!$A$2:$EJ$65,(B54+1),FALSE)))</f>
        <v/>
      </c>
      <c r="D54" s="513" t="str">
        <f>IF($P$1="Select company","",IF(C54 ="","",HLOOKUP(((VLOOKUP($P$1,Lists!$B$4:$C$26,2,FALSE))&amp;"PC"),'PC list edited'!$A$2:$EJ$65,(B54+1),FALSE)))</f>
        <v/>
      </c>
      <c r="E54" s="327" t="str">
        <f>IF($P$1="Select company","",IF(C54 ="","",HLOOKUP(((VLOOKUP($P$1,Lists!$B$4:$C$26,2,FALSE))&amp;"unit"),'PC list edited'!$A$2:$EJ$65,(B54+1),FALSE)))</f>
        <v/>
      </c>
      <c r="F54" s="327" t="str">
        <f>IF($P$1="Select company","",IF(C54 ="","",HLOOKUP(((VLOOKUP($P$1,Lists!$B$4:$C$26,2,FALSE))&amp;"UnitDes"),'PC list edited'!$A$2:$EJ$65,(B54+1),FALSE)))</f>
        <v/>
      </c>
      <c r="G54" s="533" t="str">
        <f>IF($P$1="Select company","",IF(C54="","",HLOOKUP(((VLOOKUP($P$1,Lists!$B$4:$C$26,2,FALSE))&amp;"DP"),'PC list edited'!$A$2:$EJ$65,(B54+1),FALSE)))</f>
        <v/>
      </c>
      <c r="H54" s="533" t="str">
        <f>IF($P$1="Select company","",IF(C54 = "","",HLOOKUP(((VLOOKUP($P$1,Lists!$B$4:$C$26,2,FALSE))&amp;"201718Actual"),'PC list edited'!$A$2:$EJ$65,(B54+1),FALSE)))</f>
        <v/>
      </c>
      <c r="I54" s="570"/>
      <c r="J54" s="699"/>
      <c r="K54" s="515"/>
      <c r="L54" s="516"/>
      <c r="M54" s="515"/>
      <c r="N54" s="516"/>
      <c r="O54" s="515"/>
      <c r="P54" s="517"/>
      <c r="Q54" s="135"/>
      <c r="R54" s="521">
        <f t="shared" si="4"/>
        <v>0</v>
      </c>
      <c r="S54" s="24">
        <f t="shared" si="5"/>
        <v>0</v>
      </c>
      <c r="T54" s="71"/>
      <c r="U54" s="72"/>
      <c r="V54" s="98">
        <f t="shared" si="6"/>
        <v>0</v>
      </c>
      <c r="W54" s="98">
        <f>IF($C54="",0,IF(ISBLANK(#REF!)=FALSE,0,1))</f>
        <v>0</v>
      </c>
      <c r="X54" s="98">
        <f t="shared" si="7"/>
        <v>0</v>
      </c>
      <c r="Y54" s="98">
        <f>IF(OR(ISBLANK(L54), L54=0), 0, IF(OR(K54=Lists!$F$11, K54=Lists!$F$13), 0, 1))</f>
        <v>0</v>
      </c>
      <c r="Z54" s="98">
        <f>IF(OR($C54="", AND(NOT(K54=Lists!$F$11), NOT(K54=Lists!$F$13))),0,IF(ISBLANK(L54)=FALSE,0,1))</f>
        <v>0</v>
      </c>
      <c r="AA54" s="98">
        <f>IF(OR(ISBLANK(N54), N54=0), 0, IF(OR(M54=Lists!$F$11, M54=Lists!$F$13), 0, 1))</f>
        <v>0</v>
      </c>
      <c r="AB54" s="98">
        <f>IF(OR($C54="", AND(NOT(M54=Lists!$F$11), NOT(M54=Lists!$F$13))),0,IF(ISBLANK(N54)=FALSE,0,1))</f>
        <v>0</v>
      </c>
      <c r="AC54" s="98">
        <f>IF(OR(ISBLANK(P54), P54=0), 0, IF(OR(O54=Lists!$F$11, O54=Lists!$F$13), 0, 1))</f>
        <v>0</v>
      </c>
      <c r="AD54" s="98">
        <f>IF(OR($C54="", AND(NOT(O54=Lists!$F$11), NOT(O54=Lists!$F$13))),0,IF(ISBLANK(P54)=FALSE,0,1))</f>
        <v>0</v>
      </c>
      <c r="AE54" s="72"/>
      <c r="AF54" s="523">
        <f xml:space="preserve"> IF(OR( AND( K54 = Lists!$F$11, '3A - SWT'!L54 &lt; 0), AND( '3A - SWT'!M54 = Lists!$F$11, '3A - SWT'!N54 &lt; 0), AND( '3A - SWT'!O54 = Lists!$F$11, '3A - SWT'!P54 &lt; 0)), 1, 0)</f>
        <v>0</v>
      </c>
      <c r="AG54" s="523">
        <f xml:space="preserve"> IF( OR( AND( K54 = Lists!$F$13, '3A - SWT'!L54 &gt; 0), AND( M54 = Lists!$F$13, '3A - SWT'!N54 &gt; 0), AND( O54 = Lists!$F$13, '3A - SWT'!P54 &gt; 0 )), 1, 0)</f>
        <v>0</v>
      </c>
      <c r="AH54" s="525"/>
      <c r="AI54" s="701" t="str">
        <f>IF($P$1="Select company","",IF((HLOOKUP(((VLOOKUP($P$1,Lists!$B$4:$C$26,2,FALSE))&amp;'PC LIST'!$J$2),'PC list edited'!$A$2:$EJ$65,(B54+1),FALSE))=0,"",HLOOKUP(((VLOOKUP($P$1,Lists!$B$4:$C$26,2,FALSE))&amp; 'PC LIST'!$J$2),'PC list edited'!$A$2:$EJ$65,(B54+1),FALSE)))</f>
        <v/>
      </c>
      <c r="AJ54" s="2417" t="str">
        <f>IFERROR(INDEX('PC LIST'!N$3:N$631, MATCH($C54, 'PC LIST'!$B$3:$B$631, 0)),"")</f>
        <v/>
      </c>
    </row>
    <row r="55" spans="1:36" s="321" customFormat="1" ht="30" customHeight="1">
      <c r="A55" s="75"/>
      <c r="B55" s="299">
        <f t="shared" si="3"/>
        <v>51</v>
      </c>
      <c r="C55" s="514" t="str">
        <f>IF($P$1="Select company","",IF((HLOOKUP((VLOOKUP($P$1,Lists!$B$4:$C$26,2,FALSE)),'PC list edited'!$A$2:$EJ$65,(B55+1),FALSE))=0,"",HLOOKUP((VLOOKUP($P$1,Lists!$B$4:$C$26,2,FALSE)),'PC list edited'!$A$2:$EJ$65,(B55+1),FALSE)))</f>
        <v/>
      </c>
      <c r="D55" s="513" t="str">
        <f>IF($P$1="Select company","",IF(C55 ="","",HLOOKUP(((VLOOKUP($P$1,Lists!$B$4:$C$26,2,FALSE))&amp;"PC"),'PC list edited'!$A$2:$EJ$65,(B55+1),FALSE)))</f>
        <v/>
      </c>
      <c r="E55" s="327" t="str">
        <f>IF($P$1="Select company","",IF(C55 ="","",HLOOKUP(((VLOOKUP($P$1,Lists!$B$4:$C$26,2,FALSE))&amp;"unit"),'PC list edited'!$A$2:$EJ$65,(B55+1),FALSE)))</f>
        <v/>
      </c>
      <c r="F55" s="327" t="str">
        <f>IF($P$1="Select company","",IF(C55 ="","",HLOOKUP(((VLOOKUP($P$1,Lists!$B$4:$C$26,2,FALSE))&amp;"UnitDes"),'PC list edited'!$A$2:$EJ$65,(B55+1),FALSE)))</f>
        <v/>
      </c>
      <c r="G55" s="533" t="str">
        <f>IF($P$1="Select company","",IF(C55="","",HLOOKUP(((VLOOKUP($P$1,Lists!$B$4:$C$26,2,FALSE))&amp;"DP"),'PC list edited'!$A$2:$EJ$65,(B55+1),FALSE)))</f>
        <v/>
      </c>
      <c r="H55" s="533" t="str">
        <f>IF($P$1="Select company","",IF(C55 = "","",HLOOKUP(((VLOOKUP($P$1,Lists!$B$4:$C$26,2,FALSE))&amp;"201718Actual"),'PC list edited'!$A$2:$EJ$65,(B55+1),FALSE)))</f>
        <v/>
      </c>
      <c r="I55" s="570"/>
      <c r="J55" s="699"/>
      <c r="K55" s="515"/>
      <c r="L55" s="516"/>
      <c r="M55" s="515"/>
      <c r="N55" s="516"/>
      <c r="O55" s="515"/>
      <c r="P55" s="517"/>
      <c r="Q55" s="135"/>
      <c r="R55" s="521">
        <f t="shared" si="4"/>
        <v>0</v>
      </c>
      <c r="S55" s="24">
        <f t="shared" si="5"/>
        <v>0</v>
      </c>
      <c r="T55" s="71"/>
      <c r="U55" s="72"/>
      <c r="V55" s="98">
        <f t="shared" si="6"/>
        <v>0</v>
      </c>
      <c r="W55" s="98">
        <f>IF($C55="",0,IF(ISBLANK(#REF!)=FALSE,0,1))</f>
        <v>0</v>
      </c>
      <c r="X55" s="98">
        <f t="shared" si="7"/>
        <v>0</v>
      </c>
      <c r="Y55" s="98">
        <f>IF(OR(ISBLANK(L55), L55=0), 0, IF(OR(K55=Lists!$F$11, K55=Lists!$F$13), 0, 1))</f>
        <v>0</v>
      </c>
      <c r="Z55" s="98">
        <f>IF(OR($C55="", AND(NOT(K55=Lists!$F$11), NOT(K55=Lists!$F$13))),0,IF(ISBLANK(L55)=FALSE,0,1))</f>
        <v>0</v>
      </c>
      <c r="AA55" s="98">
        <f>IF(OR(ISBLANK(N55), N55=0), 0, IF(OR(M55=Lists!$F$11, M55=Lists!$F$13), 0, 1))</f>
        <v>0</v>
      </c>
      <c r="AB55" s="98">
        <f>IF(OR($C55="", AND(NOT(M55=Lists!$F$11), NOT(M55=Lists!$F$13))),0,IF(ISBLANK(N55)=FALSE,0,1))</f>
        <v>0</v>
      </c>
      <c r="AC55" s="98">
        <f>IF(OR(ISBLANK(P55), P55=0), 0, IF(OR(O55=Lists!$F$11, O55=Lists!$F$13), 0, 1))</f>
        <v>0</v>
      </c>
      <c r="AD55" s="98">
        <f>IF(OR($C55="", AND(NOT(O55=Lists!$F$11), NOT(O55=Lists!$F$13))),0,IF(ISBLANK(P55)=FALSE,0,1))</f>
        <v>0</v>
      </c>
      <c r="AE55" s="72"/>
      <c r="AF55" s="523">
        <f xml:space="preserve"> IF(OR( AND( K55 = Lists!$F$11, '3A - SWT'!L55 &lt; 0), AND( '3A - SWT'!M55 = Lists!$F$11, '3A - SWT'!N55 &lt; 0), AND( '3A - SWT'!O55 = Lists!$F$11, '3A - SWT'!P55 &lt; 0)), 1, 0)</f>
        <v>0</v>
      </c>
      <c r="AG55" s="523">
        <f xml:space="preserve"> IF( OR( AND( K55 = Lists!$F$13, '3A - SWT'!L55 &gt; 0), AND( M55 = Lists!$F$13, '3A - SWT'!N55 &gt; 0), AND( O55 = Lists!$F$13, '3A - SWT'!P55 &gt; 0 )), 1, 0)</f>
        <v>0</v>
      </c>
      <c r="AH55" s="525"/>
      <c r="AI55" s="701" t="str">
        <f>IF($P$1="Select company","",IF((HLOOKUP(((VLOOKUP($P$1,Lists!$B$4:$C$26,2,FALSE))&amp;'PC LIST'!$J$2),'PC list edited'!$A$2:$EJ$65,(B55+1),FALSE))=0,"",HLOOKUP(((VLOOKUP($P$1,Lists!$B$4:$C$26,2,FALSE))&amp; 'PC LIST'!$J$2),'PC list edited'!$A$2:$EJ$65,(B55+1),FALSE)))</f>
        <v/>
      </c>
      <c r="AJ55" s="2417" t="str">
        <f>IFERROR(INDEX('PC LIST'!N$3:N$631, MATCH($C55, 'PC LIST'!$B$3:$B$631, 0)),"")</f>
        <v/>
      </c>
    </row>
    <row r="56" spans="1:36" s="321" customFormat="1" ht="30" customHeight="1">
      <c r="A56" s="75"/>
      <c r="B56" s="299">
        <f t="shared" si="3"/>
        <v>52</v>
      </c>
      <c r="C56" s="514" t="str">
        <f>IF($P$1="Select company","",IF((HLOOKUP((VLOOKUP($P$1,Lists!$B$4:$C$26,2,FALSE)),'PC list edited'!$A$2:$EJ$65,(B56+1),FALSE))=0,"",HLOOKUP((VLOOKUP($P$1,Lists!$B$4:$C$26,2,FALSE)),'PC list edited'!$A$2:$EJ$65,(B56+1),FALSE)))</f>
        <v/>
      </c>
      <c r="D56" s="513" t="str">
        <f>IF($P$1="Select company","",IF(C56 ="","",HLOOKUP(((VLOOKUP($P$1,Lists!$B$4:$C$26,2,FALSE))&amp;"PC"),'PC list edited'!$A$2:$EJ$65,(B56+1),FALSE)))</f>
        <v/>
      </c>
      <c r="E56" s="327" t="str">
        <f>IF($P$1="Select company","",IF(C56 ="","",HLOOKUP(((VLOOKUP($P$1,Lists!$B$4:$C$26,2,FALSE))&amp;"unit"),'PC list edited'!$A$2:$EJ$65,(B56+1),FALSE)))</f>
        <v/>
      </c>
      <c r="F56" s="327" t="str">
        <f>IF($P$1="Select company","",IF(C56 ="","",HLOOKUP(((VLOOKUP($P$1,Lists!$B$4:$C$26,2,FALSE))&amp;"UnitDes"),'PC list edited'!$A$2:$EJ$65,(B56+1),FALSE)))</f>
        <v/>
      </c>
      <c r="G56" s="533" t="str">
        <f>IF($P$1="Select company","",IF(C56="","",HLOOKUP(((VLOOKUP($P$1,Lists!$B$4:$C$26,2,FALSE))&amp;"DP"),'PC list edited'!$A$2:$EJ$65,(B56+1),FALSE)))</f>
        <v/>
      </c>
      <c r="H56" s="533" t="str">
        <f>IF($P$1="Select company","",IF(C56 = "","",HLOOKUP(((VLOOKUP($P$1,Lists!$B$4:$C$26,2,FALSE))&amp;"201718Actual"),'PC list edited'!$A$2:$EJ$65,(B56+1),FALSE)))</f>
        <v/>
      </c>
      <c r="I56" s="570"/>
      <c r="J56" s="699"/>
      <c r="K56" s="515"/>
      <c r="L56" s="516"/>
      <c r="M56" s="515"/>
      <c r="N56" s="516"/>
      <c r="O56" s="515"/>
      <c r="P56" s="517"/>
      <c r="Q56" s="135"/>
      <c r="R56" s="521">
        <f t="shared" si="4"/>
        <v>0</v>
      </c>
      <c r="S56" s="24">
        <f t="shared" si="5"/>
        <v>0</v>
      </c>
      <c r="T56" s="71"/>
      <c r="U56" s="72"/>
      <c r="V56" s="98">
        <f t="shared" si="6"/>
        <v>0</v>
      </c>
      <c r="W56" s="98">
        <f>IF($C56="",0,IF(ISBLANK(#REF!)=FALSE,0,1))</f>
        <v>0</v>
      </c>
      <c r="X56" s="98">
        <f t="shared" si="7"/>
        <v>0</v>
      </c>
      <c r="Y56" s="98">
        <f>IF(OR(ISBLANK(L56), L56=0), 0, IF(OR(K56=Lists!$F$11, K56=Lists!$F$13), 0, 1))</f>
        <v>0</v>
      </c>
      <c r="Z56" s="98">
        <f>IF(OR($C56="", AND(NOT(K56=Lists!$F$11), NOT(K56=Lists!$F$13))),0,IF(ISBLANK(L56)=FALSE,0,1))</f>
        <v>0</v>
      </c>
      <c r="AA56" s="98">
        <f>IF(OR(ISBLANK(N56), N56=0), 0, IF(OR(M56=Lists!$F$11, M56=Lists!$F$13), 0, 1))</f>
        <v>0</v>
      </c>
      <c r="AB56" s="98">
        <f>IF(OR($C56="", AND(NOT(M56=Lists!$F$11), NOT(M56=Lists!$F$13))),0,IF(ISBLANK(N56)=FALSE,0,1))</f>
        <v>0</v>
      </c>
      <c r="AC56" s="98">
        <f>IF(OR(ISBLANK(P56), P56=0), 0, IF(OR(O56=Lists!$F$11, O56=Lists!$F$13), 0, 1))</f>
        <v>0</v>
      </c>
      <c r="AD56" s="98">
        <f>IF(OR($C56="", AND(NOT(O56=Lists!$F$11), NOT(O56=Lists!$F$13))),0,IF(ISBLANK(P56)=FALSE,0,1))</f>
        <v>0</v>
      </c>
      <c r="AE56" s="72"/>
      <c r="AF56" s="523">
        <f xml:space="preserve"> IF(OR( AND( K56 = Lists!$F$11, '3A - SWT'!L56 &lt; 0), AND( '3A - SWT'!M56 = Lists!$F$11, '3A - SWT'!N56 &lt; 0), AND( '3A - SWT'!O56 = Lists!$F$11, '3A - SWT'!P56 &lt; 0)), 1, 0)</f>
        <v>0</v>
      </c>
      <c r="AG56" s="523">
        <f xml:space="preserve"> IF( OR( AND( K56 = Lists!$F$13, '3A - SWT'!L56 &gt; 0), AND( M56 = Lists!$F$13, '3A - SWT'!N56 &gt; 0), AND( O56 = Lists!$F$13, '3A - SWT'!P56 &gt; 0 )), 1, 0)</f>
        <v>0</v>
      </c>
      <c r="AH56" s="525"/>
      <c r="AI56" s="701" t="str">
        <f>IF($P$1="Select company","",IF((HLOOKUP(((VLOOKUP($P$1,Lists!$B$4:$C$26,2,FALSE))&amp;'PC LIST'!$J$2),'PC list edited'!$A$2:$EJ$65,(B56+1),FALSE))=0,"",HLOOKUP(((VLOOKUP($P$1,Lists!$B$4:$C$26,2,FALSE))&amp; 'PC LIST'!$J$2),'PC list edited'!$A$2:$EJ$65,(B56+1),FALSE)))</f>
        <v/>
      </c>
      <c r="AJ56" s="2417" t="str">
        <f>IFERROR(INDEX('PC LIST'!N$3:N$631, MATCH($C56, 'PC LIST'!$B$3:$B$631, 0)),"")</f>
        <v/>
      </c>
    </row>
    <row r="57" spans="1:36" s="328" customFormat="1" ht="30" customHeight="1">
      <c r="A57" s="270"/>
      <c r="B57" s="299">
        <f t="shared" si="3"/>
        <v>53</v>
      </c>
      <c r="C57" s="514" t="str">
        <f>IF($P$1="Select company","",IF((HLOOKUP((VLOOKUP($P$1,Lists!$B$4:$C$26,2,FALSE)),'PC list edited'!$A$2:$EJ$65,(B57+1),FALSE))=0,"",HLOOKUP((VLOOKUP($P$1,Lists!$B$4:$C$26,2,FALSE)),'PC list edited'!$A$2:$EJ$65,(B57+1),FALSE)))</f>
        <v/>
      </c>
      <c r="D57" s="513" t="str">
        <f>IF($P$1="Select company","",IF(C57 ="","",HLOOKUP(((VLOOKUP($P$1,Lists!$B$4:$C$26,2,FALSE))&amp;"PC"),'PC list edited'!$A$2:$EJ$65,(B57+1),FALSE)))</f>
        <v/>
      </c>
      <c r="E57" s="327" t="str">
        <f>IF($P$1="Select company","",IF(C57 ="","",HLOOKUP(((VLOOKUP($P$1,Lists!$B$4:$C$26,2,FALSE))&amp;"unit"),'PC list edited'!$A$2:$EJ$65,(B57+1),FALSE)))</f>
        <v/>
      </c>
      <c r="F57" s="327" t="str">
        <f>IF($P$1="Select company","",IF(C57 ="","",HLOOKUP(((VLOOKUP($P$1,Lists!$B$4:$C$26,2,FALSE))&amp;"UnitDes"),'PC list edited'!$A$2:$EJ$65,(B57+1),FALSE)))</f>
        <v/>
      </c>
      <c r="G57" s="533" t="str">
        <f>IF($P$1="Select company","",IF(C57="","",HLOOKUP(((VLOOKUP($P$1,Lists!$B$4:$C$26,2,FALSE))&amp;"DP"),'PC list edited'!$A$2:$EJ$65,(B57+1),FALSE)))</f>
        <v/>
      </c>
      <c r="H57" s="533" t="str">
        <f>IF($P$1="Select company","",IF(C57 = "","",HLOOKUP(((VLOOKUP($P$1,Lists!$B$4:$C$26,2,FALSE))&amp;"201718Actual"),'PC list edited'!$A$2:$EJ$65,(B57+1),FALSE)))</f>
        <v/>
      </c>
      <c r="I57" s="570"/>
      <c r="J57" s="699"/>
      <c r="K57" s="515"/>
      <c r="L57" s="516"/>
      <c r="M57" s="515"/>
      <c r="N57" s="516"/>
      <c r="O57" s="515"/>
      <c r="P57" s="517"/>
      <c r="Q57" s="135"/>
      <c r="R57" s="521">
        <f t="shared" si="4"/>
        <v>0</v>
      </c>
      <c r="S57" s="24">
        <f t="shared" si="5"/>
        <v>0</v>
      </c>
      <c r="T57" s="71"/>
      <c r="U57" s="72"/>
      <c r="V57" s="98">
        <f t="shared" si="6"/>
        <v>0</v>
      </c>
      <c r="W57" s="98">
        <f>IF($C57="",0,IF(ISBLANK(#REF!)=FALSE,0,1))</f>
        <v>0</v>
      </c>
      <c r="X57" s="98">
        <f t="shared" si="7"/>
        <v>0</v>
      </c>
      <c r="Y57" s="98">
        <f>IF(OR(ISBLANK(L57), L57=0), 0, IF(OR(K57=Lists!$F$11, K57=Lists!$F$13), 0, 1))</f>
        <v>0</v>
      </c>
      <c r="Z57" s="98">
        <f>IF(OR($C57="", AND(NOT(K57=Lists!$F$11), NOT(K57=Lists!$F$13))),0,IF(ISBLANK(L57)=FALSE,0,1))</f>
        <v>0</v>
      </c>
      <c r="AA57" s="98">
        <f>IF(OR(ISBLANK(N57), N57=0), 0, IF(OR(M57=Lists!$F$11, M57=Lists!$F$13), 0, 1))</f>
        <v>0</v>
      </c>
      <c r="AB57" s="98">
        <f>IF(OR($C57="", AND(NOT(M57=Lists!$F$11), NOT(M57=Lists!$F$13))),0,IF(ISBLANK(N57)=FALSE,0,1))</f>
        <v>0</v>
      </c>
      <c r="AC57" s="98">
        <f>IF(OR(ISBLANK(P57), P57=0), 0, IF(OR(O57=Lists!$F$11, O57=Lists!$F$13), 0, 1))</f>
        <v>0</v>
      </c>
      <c r="AD57" s="98">
        <f>IF(OR($C57="", AND(NOT(O57=Lists!$F$11), NOT(O57=Lists!$F$13))),0,IF(ISBLANK(P57)=FALSE,0,1))</f>
        <v>0</v>
      </c>
      <c r="AE57" s="72"/>
      <c r="AF57" s="523">
        <f xml:space="preserve"> IF(OR( AND( K57 = Lists!$F$11, '3A - SWT'!L57 &lt; 0), AND( '3A - SWT'!M57 = Lists!$F$11, '3A - SWT'!N57 &lt; 0), AND( '3A - SWT'!O57 = Lists!$F$11, '3A - SWT'!P57 &lt; 0)), 1, 0)</f>
        <v>0</v>
      </c>
      <c r="AG57" s="523">
        <f xml:space="preserve"> IF( OR( AND( K57 = Lists!$F$13, '3A - SWT'!L57 &gt; 0), AND( M57 = Lists!$F$13, '3A - SWT'!N57 &gt; 0), AND( O57 = Lists!$F$13, '3A - SWT'!P57 &gt; 0 )), 1, 0)</f>
        <v>0</v>
      </c>
      <c r="AH57" s="526"/>
      <c r="AI57" s="701" t="str">
        <f>IF($P$1="Select company","",IF((HLOOKUP(((VLOOKUP($P$1,Lists!$B$4:$C$26,2,FALSE))&amp;'PC LIST'!$J$2),'PC list edited'!$A$2:$EJ$65,(B57+1),FALSE))=0,"",HLOOKUP(((VLOOKUP($P$1,Lists!$B$4:$C$26,2,FALSE))&amp; 'PC LIST'!$J$2),'PC list edited'!$A$2:$EJ$65,(B57+1),FALSE)))</f>
        <v/>
      </c>
      <c r="AJ57" s="2417" t="str">
        <f>IFERROR(INDEX('PC LIST'!N$3:N$631, MATCH($C57, 'PC LIST'!$B$3:$B$631, 0)),"")</f>
        <v/>
      </c>
    </row>
    <row r="58" spans="1:36" s="328" customFormat="1" ht="30" customHeight="1">
      <c r="A58" s="270"/>
      <c r="B58" s="299">
        <f t="shared" si="3"/>
        <v>54</v>
      </c>
      <c r="C58" s="514" t="str">
        <f>IF($P$1="Select company","",IF((HLOOKUP((VLOOKUP($P$1,Lists!$B$4:$C$26,2,FALSE)),'PC list edited'!$A$2:$EJ$65,(B58+1),FALSE))=0,"",HLOOKUP((VLOOKUP($P$1,Lists!$B$4:$C$26,2,FALSE)),'PC list edited'!$A$2:$EJ$65,(B58+1),FALSE)))</f>
        <v/>
      </c>
      <c r="D58" s="513" t="str">
        <f>IF($P$1="Select company","",IF(C58 ="","",HLOOKUP(((VLOOKUP($P$1,Lists!$B$4:$C$26,2,FALSE))&amp;"PC"),'PC list edited'!$A$2:$EJ$65,(B58+1),FALSE)))</f>
        <v/>
      </c>
      <c r="E58" s="327" t="str">
        <f>IF($P$1="Select company","",IF(C58 ="","",HLOOKUP(((VLOOKUP($P$1,Lists!$B$4:$C$26,2,FALSE))&amp;"unit"),'PC list edited'!$A$2:$EJ$65,(B58+1),FALSE)))</f>
        <v/>
      </c>
      <c r="F58" s="327" t="str">
        <f>IF($P$1="Select company","",IF(C58 ="","",HLOOKUP(((VLOOKUP($P$1,Lists!$B$4:$C$26,2,FALSE))&amp;"UnitDes"),'PC list edited'!$A$2:$EJ$65,(B58+1),FALSE)))</f>
        <v/>
      </c>
      <c r="G58" s="533" t="str">
        <f>IF($P$1="Select company","",IF(C58="","",HLOOKUP(((VLOOKUP($P$1,Lists!$B$4:$C$26,2,FALSE))&amp;"DP"),'PC list edited'!$A$2:$EJ$65,(B58+1),FALSE)))</f>
        <v/>
      </c>
      <c r="H58" s="533" t="str">
        <f>IF($P$1="Select company","",IF(C58 = "","",HLOOKUP(((VLOOKUP($P$1,Lists!$B$4:$C$26,2,FALSE))&amp;"201718Actual"),'PC list edited'!$A$2:$EJ$65,(B58+1),FALSE)))</f>
        <v/>
      </c>
      <c r="I58" s="570"/>
      <c r="J58" s="699"/>
      <c r="K58" s="515"/>
      <c r="L58" s="516"/>
      <c r="M58" s="515"/>
      <c r="N58" s="516"/>
      <c r="O58" s="515"/>
      <c r="P58" s="517"/>
      <c r="Q58" s="135"/>
      <c r="R58" s="521"/>
      <c r="S58" s="24">
        <f t="shared" ref="S58" si="8" xml:space="preserve"> IF( SUM( U58:AE58 ) = 0, 0, $V$3 )</f>
        <v>0</v>
      </c>
      <c r="T58" s="71"/>
      <c r="U58" s="72"/>
      <c r="V58" s="98">
        <f t="shared" ref="V58" si="9">IF($C58="",0,IF(ISBLANK(I58)=FALSE,0,1))</f>
        <v>0</v>
      </c>
      <c r="W58" s="98">
        <f>IF($C58="",0,IF(ISBLANK(#REF!)=FALSE,0,1))</f>
        <v>0</v>
      </c>
      <c r="X58" s="98">
        <f t="shared" ref="X58" si="10">IF($C58="",0,IF(ISBLANK(J58)=FALSE,0,1))</f>
        <v>0</v>
      </c>
      <c r="Y58" s="98">
        <f>IF(OR(ISBLANK(L58), L58=0), 0, IF(OR(K58=Lists!$F$11, K58=Lists!$F$13), 0, 1))</f>
        <v>0</v>
      </c>
      <c r="Z58" s="98">
        <f>IF(OR($C58="", AND(NOT(K58=Lists!$F$11), NOT(K58=Lists!$F$13))),0,IF(ISBLANK(L58)=FALSE,0,1))</f>
        <v>0</v>
      </c>
      <c r="AA58" s="98">
        <f>IF(OR(ISBLANK(N58), N58=0), 0, IF(OR(M58=Lists!$F$11, M58=Lists!$F$13), 0, 1))</f>
        <v>0</v>
      </c>
      <c r="AB58" s="98">
        <f>IF(OR($C58="", AND(NOT(M58=Lists!$F$11), NOT(M58=Lists!$F$13))),0,IF(ISBLANK(N58)=FALSE,0,1))</f>
        <v>0</v>
      </c>
      <c r="AC58" s="98">
        <f>IF(OR(ISBLANK(P58), P58=0), 0, IF(OR(O58=Lists!$F$11, O58=Lists!$F$13), 0, 1))</f>
        <v>0</v>
      </c>
      <c r="AD58" s="98">
        <f>IF(OR($C58="", AND(NOT(O58=Lists!$F$11), NOT(O58=Lists!$F$13))),0,IF(ISBLANK(P58)=FALSE,0,1))</f>
        <v>0</v>
      </c>
      <c r="AE58" s="72"/>
      <c r="AF58" s="523">
        <f xml:space="preserve"> IF(OR( AND( K58 = Lists!$F$11, '3A - SWT'!L58 &lt; 0), AND( '3A - SWT'!M58 = Lists!$F$11, '3A - SWT'!N58 &lt; 0), AND( '3A - SWT'!O58 = Lists!$F$11, '3A - SWT'!P58 &lt; 0)), 1, 0)</f>
        <v>0</v>
      </c>
      <c r="AG58" s="523">
        <f xml:space="preserve"> IF( OR( AND( K58 = Lists!$F$13, '3A - SWT'!L58 &gt; 0), AND( M58 = Lists!$F$13, '3A - SWT'!N58 &gt; 0), AND( O58 = Lists!$F$13, '3A - SWT'!P58 &gt; 0 )), 1, 0)</f>
        <v>0</v>
      </c>
      <c r="AH58" s="526"/>
      <c r="AI58" s="701"/>
      <c r="AJ58" s="2417" t="str">
        <f>IFERROR(INDEX('PC LIST'!N$3:N$631, MATCH($C58, 'PC LIST'!$B$3:$B$631, 0)),"")</f>
        <v/>
      </c>
    </row>
    <row r="59" spans="1:36" s="328" customFormat="1" ht="30" customHeight="1">
      <c r="A59" s="270"/>
      <c r="B59" s="299">
        <f t="shared" si="3"/>
        <v>55</v>
      </c>
      <c r="C59" s="514" t="str">
        <f>IF($P$1="Select company","",IF((HLOOKUP((VLOOKUP($P$1,Lists!$B$4:$C$26,2,FALSE)),'PC list edited'!$A$2:$EJ$65,(B59+1),FALSE))=0,"",HLOOKUP((VLOOKUP($P$1,Lists!$B$4:$C$26,2,FALSE)),'PC list edited'!$A$2:$EJ$65,(B59+1),FALSE)))</f>
        <v/>
      </c>
      <c r="D59" s="513" t="str">
        <f>IF($P$1="Select company","",IF(C59 ="","",HLOOKUP(((VLOOKUP($P$1,Lists!$B$4:$C$26,2,FALSE))&amp;"PC"),'PC list edited'!$A$2:$EJ$65,(B59+1),FALSE)))</f>
        <v/>
      </c>
      <c r="E59" s="327" t="str">
        <f>IF($P$1="Select company","",IF(C59 ="","",HLOOKUP(((VLOOKUP($P$1,Lists!$B$4:$C$26,2,FALSE))&amp;"unit"),'PC list edited'!$A$2:$EJ$65,(B59+1),FALSE)))</f>
        <v/>
      </c>
      <c r="F59" s="327" t="str">
        <f>IF($P$1="Select company","",IF(C59 ="","",HLOOKUP(((VLOOKUP($P$1,Lists!$B$4:$C$26,2,FALSE))&amp;"UnitDes"),'PC list edited'!$A$2:$EJ$65,(B59+1),FALSE)))</f>
        <v/>
      </c>
      <c r="G59" s="533" t="str">
        <f>IF($P$1="Select company","",IF(C59="","",HLOOKUP(((VLOOKUP($P$1,Lists!$B$4:$C$26,2,FALSE))&amp;"DP"),'PC list edited'!$A$2:$EJ$65,(B59+1),FALSE)))</f>
        <v/>
      </c>
      <c r="H59" s="533" t="str">
        <f>IF($P$1="Select company","",IF(C59 = "","",HLOOKUP(((VLOOKUP($P$1,Lists!$B$4:$C$26,2,FALSE))&amp;"201718Actual"),'PC list edited'!$A$2:$EJ$65,(B59+1),FALSE)))</f>
        <v/>
      </c>
      <c r="I59" s="570"/>
      <c r="J59" s="699"/>
      <c r="K59" s="515"/>
      <c r="L59" s="516"/>
      <c r="M59" s="515"/>
      <c r="N59" s="516"/>
      <c r="O59" s="515"/>
      <c r="P59" s="517"/>
      <c r="Q59" s="135"/>
      <c r="R59" s="521">
        <f t="shared" si="4"/>
        <v>0</v>
      </c>
      <c r="S59" s="24">
        <f t="shared" si="5"/>
        <v>0</v>
      </c>
      <c r="T59" s="71"/>
      <c r="U59" s="72"/>
      <c r="V59" s="98">
        <f t="shared" si="6"/>
        <v>0</v>
      </c>
      <c r="W59" s="98">
        <f>IF($C59="",0,IF(ISBLANK(#REF!)=FALSE,0,1))</f>
        <v>0</v>
      </c>
      <c r="X59" s="98">
        <f t="shared" si="7"/>
        <v>0</v>
      </c>
      <c r="Y59" s="98">
        <f>IF(OR(ISBLANK(L59), L59=0), 0, IF(OR(K59=Lists!$F$11, K59=Lists!$F$13), 0, 1))</f>
        <v>0</v>
      </c>
      <c r="Z59" s="98">
        <f>IF(OR($C59="", AND(NOT(K59=Lists!$F$11), NOT(K59=Lists!$F$13))),0,IF(ISBLANK(L59)=FALSE,0,1))</f>
        <v>0</v>
      </c>
      <c r="AA59" s="98">
        <f>IF(OR(ISBLANK(N59), N59=0), 0, IF(OR(M59=Lists!$F$11, M59=Lists!$F$13), 0, 1))</f>
        <v>0</v>
      </c>
      <c r="AB59" s="98">
        <f>IF(OR($C59="", AND(NOT(M59=Lists!$F$11), NOT(M59=Lists!$F$13))),0,IF(ISBLANK(N59)=FALSE,0,1))</f>
        <v>0</v>
      </c>
      <c r="AC59" s="98">
        <f>IF(OR(ISBLANK(P59), P59=0), 0, IF(OR(O59=Lists!$F$11, O59=Lists!$F$13), 0, 1))</f>
        <v>0</v>
      </c>
      <c r="AD59" s="98">
        <f>IF(OR($C59="", AND(NOT(O59=Lists!$F$11), NOT(O59=Lists!$F$13))),0,IF(ISBLANK(P59)=FALSE,0,1))</f>
        <v>0</v>
      </c>
      <c r="AE59" s="72"/>
      <c r="AF59" s="523">
        <f xml:space="preserve"> IF(OR( AND( K59 = Lists!$F$11, '3A - SWT'!L59 &lt; 0), AND( '3A - SWT'!M59 = Lists!$F$11, '3A - SWT'!N59 &lt; 0), AND( '3A - SWT'!O59 = Lists!$F$11, '3A - SWT'!P59 &lt; 0)), 1, 0)</f>
        <v>0</v>
      </c>
      <c r="AG59" s="523">
        <f xml:space="preserve"> IF( OR( AND( K59 = Lists!$F$13, '3A - SWT'!L59 &gt; 0), AND( M59 = Lists!$F$13, '3A - SWT'!N59 &gt; 0), AND( O59 = Lists!$F$13, '3A - SWT'!P59 &gt; 0 )), 1, 0)</f>
        <v>0</v>
      </c>
      <c r="AH59" s="526"/>
      <c r="AI59" s="701" t="str">
        <f>IF($P$1="Select company","",IF((HLOOKUP(((VLOOKUP($P$1,Lists!$B$4:$C$26,2,FALSE))&amp;'PC LIST'!$J$2),'PC list edited'!$A$2:$EJ$65,(B59+1),FALSE))=0,"",HLOOKUP(((VLOOKUP($P$1,Lists!$B$4:$C$26,2,FALSE))&amp; 'PC LIST'!$J$2),'PC list edited'!$A$2:$EJ$65,(B59+1),FALSE)))</f>
        <v/>
      </c>
      <c r="AJ59" s="2417" t="str">
        <f>IFERROR(INDEX('PC LIST'!N$3:N$631, MATCH($C59, 'PC LIST'!$B$3:$B$631, 0)),"")</f>
        <v/>
      </c>
    </row>
    <row r="60" spans="1:36" s="328" customFormat="1" ht="30" customHeight="1" thickBot="1">
      <c r="A60" s="270"/>
      <c r="B60" s="300">
        <f t="shared" si="3"/>
        <v>56</v>
      </c>
      <c r="C60" s="682" t="str">
        <f>IF($P$1="Select company","",IF((HLOOKUP((VLOOKUP($P$1,Lists!$B$4:$C$26,2,FALSE)),'PC list edited'!$A$2:$EJ$65,(B60+1),FALSE))=0,"",HLOOKUP((VLOOKUP($P$1,Lists!$B$4:$C$26,2,FALSE)),'PC list edited'!$A$2:$EJ$65,(B60+1),FALSE)))</f>
        <v/>
      </c>
      <c r="D60" s="665" t="str">
        <f>IF($P$1="Select company","",IF(C60 ="","",HLOOKUP(((VLOOKUP($P$1,Lists!$B$4:$C$26,2,FALSE))&amp;"PC"),'PC list edited'!$A$2:$EJ$65,(B60+1),FALSE)))</f>
        <v/>
      </c>
      <c r="E60" s="329" t="str">
        <f>IF($P$1="Select company","",IF(C60 ="","",HLOOKUP(((VLOOKUP($P$1,Lists!$B$4:$C$26,2,FALSE))&amp;"unit"),'PC list edited'!$A$2:$EJ$65,(B60+1),FALSE)))</f>
        <v/>
      </c>
      <c r="F60" s="329" t="str">
        <f>IF($P$1="Select company","",IF(C60 ="","",HLOOKUP(((VLOOKUP($P$1,Lists!$B$4:$C$26,2,FALSE))&amp;"UnitDes"),'PC list edited'!$A$2:$EJ$65,(B60+1),FALSE)))</f>
        <v/>
      </c>
      <c r="G60" s="683" t="str">
        <f>IF($P$1="Select company","",IF(C60="","",HLOOKUP(((VLOOKUP($P$1,Lists!$B$4:$C$26,2,FALSE))&amp;"DP"),'PC list edited'!$A$2:$EJ$65,(B60+1),FALSE)))</f>
        <v/>
      </c>
      <c r="H60" s="683" t="str">
        <f>IF($P$1="Select company","",IF(C60 = "","",HLOOKUP(((VLOOKUP($P$1,Lists!$B$4:$C$26,2,FALSE))&amp;"201718Actual"),'PC list edited'!$A$2:$EJ$65,(B60+1),FALSE)))</f>
        <v/>
      </c>
      <c r="I60" s="572"/>
      <c r="J60" s="700"/>
      <c r="K60" s="518"/>
      <c r="L60" s="519"/>
      <c r="M60" s="518"/>
      <c r="N60" s="519"/>
      <c r="O60" s="518"/>
      <c r="P60" s="520"/>
      <c r="Q60" s="135"/>
      <c r="R60" s="521">
        <f t="shared" si="4"/>
        <v>0</v>
      </c>
      <c r="S60" s="24">
        <f t="shared" si="5"/>
        <v>0</v>
      </c>
      <c r="T60" s="71"/>
      <c r="U60" s="72"/>
      <c r="V60" s="98">
        <f t="shared" si="6"/>
        <v>0</v>
      </c>
      <c r="W60" s="98">
        <f>IF($C60="",0,IF(ISBLANK(#REF!)=FALSE,0,1))</f>
        <v>0</v>
      </c>
      <c r="X60" s="98">
        <f t="shared" si="7"/>
        <v>0</v>
      </c>
      <c r="Y60" s="98">
        <f>IF(OR(ISBLANK(L60), L60=0), 0, IF(OR(K60=Lists!$F$11, K60=Lists!$F$13), 0, 1))</f>
        <v>0</v>
      </c>
      <c r="Z60" s="98">
        <f>IF(OR($C60="", AND(NOT(K60=Lists!$F$11), NOT(K60=Lists!$F$13))),0,IF(ISBLANK(L60)=FALSE,0,1))</f>
        <v>0</v>
      </c>
      <c r="AA60" s="98">
        <f>IF(OR(ISBLANK(N60), N60=0), 0, IF(OR(M60=Lists!$F$11, M60=Lists!$F$13), 0, 1))</f>
        <v>0</v>
      </c>
      <c r="AB60" s="98">
        <f>IF(OR($C60="", AND(NOT(M60=Lists!$F$11), NOT(M60=Lists!$F$13))),0,IF(ISBLANK(N60)=FALSE,0,1))</f>
        <v>0</v>
      </c>
      <c r="AC60" s="98">
        <f>IF(OR(ISBLANK(P60), P60=0), 0, IF(OR(O60=Lists!$F$11, O60=Lists!$F$13), 0, 1))</f>
        <v>0</v>
      </c>
      <c r="AD60" s="98">
        <f>IF(OR($C60="", AND(NOT(O60=Lists!$F$11), NOT(O60=Lists!$F$13))),0,IF(ISBLANK(P60)=FALSE,0,1))</f>
        <v>0</v>
      </c>
      <c r="AE60" s="72"/>
      <c r="AF60" s="523">
        <f xml:space="preserve"> IF(OR( AND( K60 = Lists!$F$11, '3A - SWT'!L60 &lt; 0), AND( '3A - SWT'!M60 = Lists!$F$11, '3A - SWT'!N60 &lt; 0), AND( '3A - SWT'!O60 = Lists!$F$11, '3A - SWT'!P60 &lt; 0)), 1, 0)</f>
        <v>0</v>
      </c>
      <c r="AG60" s="523">
        <f xml:space="preserve"> IF( OR( AND( K60 = Lists!$F$13, '3A - SWT'!L60 &gt; 0), AND( M60 = Lists!$F$13, '3A - SWT'!N60 &gt; 0), AND( O60 = Lists!$F$13, '3A - SWT'!P60 &gt; 0 )), 1, 0)</f>
        <v>0</v>
      </c>
      <c r="AH60" s="526"/>
      <c r="AI60" s="701" t="str">
        <f>IF($P$1="Select company","",IF((HLOOKUP(((VLOOKUP($P$1,Lists!$B$4:$C$26,2,FALSE))&amp;'PC LIST'!$J$2),'PC list edited'!$A$2:$EJ$65,(B60+1),FALSE))=0,"",HLOOKUP(((VLOOKUP($P$1,Lists!$B$4:$C$26,2,FALSE))&amp; 'PC LIST'!$J$2),'PC list edited'!$A$2:$EJ$65,(B60+1),FALSE)))</f>
        <v/>
      </c>
      <c r="AJ60" s="2417" t="str">
        <f>IFERROR(INDEX('PC LIST'!N$3:N$631, MATCH($C60, 'PC LIST'!$B$3:$B$631, 0)),"")</f>
        <v/>
      </c>
    </row>
    <row r="61" spans="1:36" s="328" customFormat="1">
      <c r="A61" s="270"/>
      <c r="B61" s="278"/>
      <c r="C61" s="278"/>
      <c r="D61" s="330"/>
      <c r="E61" s="170"/>
      <c r="F61" s="170"/>
      <c r="G61" s="170"/>
      <c r="H61" s="170"/>
      <c r="I61" s="749"/>
      <c r="J61" s="330"/>
      <c r="K61" s="330"/>
      <c r="L61" s="330"/>
      <c r="M61" s="330"/>
      <c r="N61" s="330"/>
      <c r="O61" s="330"/>
      <c r="P61" s="330"/>
      <c r="Q61" s="135"/>
      <c r="R61" s="135"/>
      <c r="S61" s="71"/>
      <c r="T61" s="71"/>
      <c r="U61" s="72"/>
      <c r="V61" s="71"/>
      <c r="W61" s="71"/>
      <c r="X61" s="71"/>
      <c r="Y61" s="71"/>
      <c r="Z61" s="71"/>
      <c r="AA61" s="71"/>
      <c r="AB61" s="71"/>
      <c r="AC61" s="71"/>
      <c r="AD61" s="71"/>
      <c r="AE61" s="72"/>
      <c r="AH61" s="526"/>
      <c r="AJ61" s="2418"/>
    </row>
    <row r="62" spans="1:36" s="170" customFormat="1">
      <c r="A62" s="331"/>
      <c r="B62" s="332" t="s">
        <v>2420</v>
      </c>
      <c r="C62" s="332"/>
      <c r="I62" s="750"/>
      <c r="P62" s="131"/>
      <c r="Q62" s="71"/>
      <c r="R62" s="71"/>
      <c r="S62" s="71"/>
      <c r="T62" s="71"/>
      <c r="U62" s="72"/>
      <c r="V62" s="71"/>
      <c r="W62" s="71"/>
      <c r="X62" s="71"/>
      <c r="Y62" s="71"/>
      <c r="Z62" s="71"/>
      <c r="AA62" s="71"/>
      <c r="AB62" s="71"/>
      <c r="AC62" s="71"/>
      <c r="AD62" s="71"/>
      <c r="AE62" s="72"/>
      <c r="AH62" s="527"/>
      <c r="AJ62" s="2419"/>
    </row>
    <row r="63" spans="1:36" s="170" customFormat="1">
      <c r="A63" s="331"/>
      <c r="B63" s="146"/>
      <c r="C63" s="146"/>
      <c r="I63" s="750"/>
      <c r="O63" s="131"/>
      <c r="Q63" s="71"/>
      <c r="R63" s="71"/>
      <c r="S63" s="71"/>
      <c r="T63" s="71"/>
      <c r="U63" s="72"/>
      <c r="V63" s="71"/>
      <c r="W63" s="71"/>
      <c r="X63" s="71"/>
      <c r="Y63" s="71"/>
      <c r="Z63" s="71"/>
      <c r="AA63" s="71"/>
      <c r="AB63" s="71"/>
      <c r="AC63" s="71"/>
      <c r="AD63" s="71"/>
      <c r="AE63" s="72"/>
      <c r="AH63" s="527"/>
      <c r="AJ63" s="2419"/>
    </row>
    <row r="64" spans="1:36" s="170" customFormat="1">
      <c r="A64" s="331"/>
      <c r="B64" s="25"/>
      <c r="C64" s="148" t="s">
        <v>2421</v>
      </c>
      <c r="I64" s="750"/>
      <c r="O64" s="131"/>
      <c r="Q64" s="71"/>
      <c r="R64" s="71"/>
      <c r="S64" s="71"/>
      <c r="T64" s="71"/>
      <c r="U64" s="72"/>
      <c r="V64" s="71"/>
      <c r="W64" s="71"/>
      <c r="X64" s="71"/>
      <c r="Y64" s="71"/>
      <c r="Z64" s="71"/>
      <c r="AA64" s="71"/>
      <c r="AB64" s="71"/>
      <c r="AC64" s="71"/>
      <c r="AD64" s="71"/>
      <c r="AE64" s="72"/>
      <c r="AH64" s="527"/>
      <c r="AJ64" s="2419"/>
    </row>
    <row r="65" spans="1:36" s="170" customFormat="1">
      <c r="A65" s="331"/>
      <c r="B65" s="146"/>
      <c r="C65" s="147"/>
      <c r="I65" s="750"/>
      <c r="O65" s="131"/>
      <c r="Q65" s="71"/>
      <c r="R65" s="71"/>
      <c r="S65" s="71"/>
      <c r="T65" s="71"/>
      <c r="U65" s="72"/>
      <c r="V65" s="71"/>
      <c r="W65" s="71"/>
      <c r="X65" s="71"/>
      <c r="Y65" s="71"/>
      <c r="Z65" s="71"/>
      <c r="AA65" s="71"/>
      <c r="AB65" s="71"/>
      <c r="AC65" s="71"/>
      <c r="AD65" s="71"/>
      <c r="AE65" s="72"/>
      <c r="AH65" s="527"/>
      <c r="AJ65" s="2419"/>
    </row>
    <row r="66" spans="1:36" s="170" customFormat="1">
      <c r="A66" s="331"/>
      <c r="B66" s="149"/>
      <c r="C66" s="148" t="s">
        <v>2422</v>
      </c>
      <c r="I66" s="750"/>
      <c r="O66" s="131"/>
      <c r="Q66" s="71"/>
      <c r="R66" s="71"/>
      <c r="S66" s="71"/>
      <c r="T66" s="71"/>
      <c r="U66" s="72"/>
      <c r="V66" s="71"/>
      <c r="W66" s="71"/>
      <c r="X66" s="71"/>
      <c r="Y66" s="71"/>
      <c r="Z66" s="71"/>
      <c r="AA66" s="71"/>
      <c r="AB66" s="71"/>
      <c r="AC66" s="71"/>
      <c r="AD66" s="71"/>
      <c r="AE66" s="72"/>
      <c r="AH66" s="527"/>
      <c r="AJ66" s="2419"/>
    </row>
    <row r="67" spans="1:36" s="170" customFormat="1">
      <c r="A67" s="331"/>
      <c r="B67" s="150"/>
      <c r="C67" s="148"/>
      <c r="I67" s="750"/>
      <c r="O67" s="131"/>
      <c r="Q67" s="71"/>
      <c r="R67" s="71"/>
      <c r="S67" s="71"/>
      <c r="T67" s="71"/>
      <c r="U67" s="72"/>
      <c r="V67" s="71"/>
      <c r="W67" s="71"/>
      <c r="X67" s="71"/>
      <c r="Y67" s="71"/>
      <c r="Z67" s="71"/>
      <c r="AA67" s="71"/>
      <c r="AB67" s="71"/>
      <c r="AC67" s="71"/>
      <c r="AD67" s="71"/>
      <c r="AE67" s="72"/>
      <c r="AH67" s="527"/>
      <c r="AJ67" s="2419"/>
    </row>
    <row r="68" spans="1:36" ht="15" thickBot="1"/>
    <row r="69" spans="1:36" s="496" customFormat="1" ht="15" thickBot="1">
      <c r="A69" s="86"/>
      <c r="B69" s="1433" t="s">
        <v>12572</v>
      </c>
      <c r="C69" s="152"/>
      <c r="D69" s="153"/>
      <c r="E69" s="153"/>
      <c r="F69" s="153"/>
      <c r="G69" s="153"/>
      <c r="H69" s="153"/>
      <c r="I69" s="752"/>
      <c r="J69" s="153"/>
      <c r="K69" s="153"/>
      <c r="L69" s="153"/>
      <c r="M69" s="153"/>
      <c r="N69" s="153"/>
      <c r="O69" s="153"/>
      <c r="P69" s="259"/>
      <c r="Q69" s="71"/>
      <c r="R69" s="71"/>
      <c r="S69" s="71"/>
      <c r="T69" s="71"/>
      <c r="U69" s="72"/>
      <c r="V69" s="71"/>
      <c r="W69" s="71"/>
      <c r="X69" s="71"/>
      <c r="Y69" s="71"/>
      <c r="Z69" s="71"/>
      <c r="AA69" s="71"/>
      <c r="AB69" s="71"/>
      <c r="AC69" s="71"/>
      <c r="AD69" s="71"/>
      <c r="AE69" s="72"/>
      <c r="AH69" s="529"/>
      <c r="AJ69" s="2420"/>
    </row>
    <row r="70" spans="1:36" s="496" customFormat="1">
      <c r="A70" s="86"/>
      <c r="I70" s="751"/>
      <c r="Q70" s="71"/>
      <c r="R70" s="71"/>
      <c r="S70" s="71"/>
      <c r="T70" s="71"/>
      <c r="U70" s="72"/>
      <c r="V70" s="71"/>
      <c r="W70" s="71"/>
      <c r="X70" s="71"/>
      <c r="Y70" s="71"/>
      <c r="Z70" s="71"/>
      <c r="AA70" s="71"/>
      <c r="AB70" s="71"/>
      <c r="AC70" s="71"/>
      <c r="AD70" s="71"/>
      <c r="AE70" s="72"/>
      <c r="AH70" s="529"/>
      <c r="AJ70" s="2420"/>
    </row>
    <row r="71" spans="1:36" s="115" customFormat="1" ht="15" hidden="1" thickBot="1">
      <c r="A71" s="1643"/>
      <c r="B71" s="151" t="str">
        <f ca="1" xml:space="preserve"> RIGHT(CELL("filename", $A$1), LEN(CELL("filename", $A$1)) - SEARCH("]", CELL("filename", $A$1)))&amp;" - Column definitions"</f>
        <v>3A - SWT - Column definitions</v>
      </c>
      <c r="C71" s="152"/>
      <c r="D71" s="153"/>
      <c r="E71" s="153"/>
      <c r="F71" s="153"/>
      <c r="G71" s="153"/>
      <c r="H71" s="153"/>
      <c r="I71" s="752"/>
      <c r="J71" s="153"/>
      <c r="K71" s="153"/>
      <c r="L71" s="153"/>
      <c r="M71" s="153"/>
      <c r="N71" s="153"/>
      <c r="O71" s="153"/>
      <c r="P71" s="259"/>
      <c r="T71" s="75"/>
      <c r="U71" s="72"/>
      <c r="V71" s="71"/>
      <c r="W71" s="71"/>
      <c r="X71" s="71"/>
      <c r="AE71" s="72"/>
      <c r="AH71" s="530"/>
      <c r="AJ71" s="157"/>
    </row>
    <row r="72" spans="1:36" s="115" customFormat="1" ht="15" hidden="1" thickBot="1">
      <c r="A72" s="1643"/>
      <c r="B72" s="75"/>
      <c r="C72" s="160"/>
      <c r="D72" s="75"/>
      <c r="E72" s="75"/>
      <c r="F72" s="75"/>
      <c r="G72" s="75"/>
      <c r="H72" s="75"/>
      <c r="I72" s="173"/>
      <c r="L72" s="75"/>
      <c r="N72" s="71"/>
      <c r="T72" s="75"/>
      <c r="U72" s="72"/>
      <c r="V72" s="71"/>
      <c r="W72" s="71"/>
      <c r="X72" s="71"/>
      <c r="AE72" s="72"/>
      <c r="AH72" s="530"/>
      <c r="AJ72" s="157"/>
    </row>
    <row r="73" spans="1:36" s="185" customFormat="1" ht="18.75" hidden="1" customHeight="1" thickBot="1">
      <c r="A73" s="1644"/>
      <c r="B73" s="1442" t="s">
        <v>3631</v>
      </c>
      <c r="C73" s="1443" t="s">
        <v>2424</v>
      </c>
      <c r="D73" s="335"/>
      <c r="E73" s="335"/>
      <c r="F73" s="335"/>
      <c r="G73" s="335"/>
      <c r="H73" s="335"/>
      <c r="I73" s="753"/>
      <c r="J73" s="335"/>
      <c r="K73" s="336"/>
      <c r="L73" s="337"/>
      <c r="M73" s="336"/>
      <c r="N73" s="338"/>
      <c r="O73" s="339"/>
      <c r="P73" s="340"/>
      <c r="T73" s="75"/>
      <c r="U73" s="72"/>
      <c r="V73" s="90" t="s">
        <v>2425</v>
      </c>
      <c r="W73" s="71"/>
      <c r="X73" s="71"/>
      <c r="AE73" s="72"/>
      <c r="AH73" s="528"/>
      <c r="AJ73" s="186"/>
    </row>
    <row r="74" spans="1:36" s="185" customFormat="1" ht="18.75" hidden="1" customHeight="1">
      <c r="A74" s="1644"/>
      <c r="B74" s="754" t="s">
        <v>2720</v>
      </c>
      <c r="C74" s="3317" t="s">
        <v>13165</v>
      </c>
      <c r="D74" s="3317"/>
      <c r="E74" s="3317"/>
      <c r="F74" s="3317"/>
      <c r="G74" s="3317"/>
      <c r="H74" s="3317"/>
      <c r="I74" s="3317"/>
      <c r="J74" s="3317"/>
      <c r="K74" s="3317"/>
      <c r="L74" s="3317"/>
      <c r="M74" s="3317"/>
      <c r="N74" s="3317"/>
      <c r="O74" s="3317"/>
      <c r="P74" s="3318"/>
      <c r="T74" s="75"/>
      <c r="U74" s="72"/>
      <c r="V74" s="90"/>
      <c r="W74" s="71"/>
      <c r="X74" s="71"/>
      <c r="AE74" s="72"/>
      <c r="AH74" s="528"/>
      <c r="AJ74" s="186"/>
    </row>
    <row r="75" spans="1:36" s="115" customFormat="1" ht="58.5" hidden="1" customHeight="1">
      <c r="A75" s="1643"/>
      <c r="B75" s="754" t="s">
        <v>13167</v>
      </c>
      <c r="C75" s="3317" t="s">
        <v>6143</v>
      </c>
      <c r="D75" s="3317"/>
      <c r="E75" s="3317"/>
      <c r="F75" s="3317"/>
      <c r="G75" s="3317"/>
      <c r="H75" s="3317"/>
      <c r="I75" s="3317"/>
      <c r="J75" s="3317"/>
      <c r="K75" s="3317"/>
      <c r="L75" s="3317"/>
      <c r="M75" s="3317"/>
      <c r="N75" s="3317"/>
      <c r="O75" s="3317"/>
      <c r="P75" s="3318"/>
      <c r="Q75" s="8"/>
      <c r="R75" s="496"/>
      <c r="S75" s="8"/>
      <c r="T75" s="75"/>
      <c r="U75" s="72"/>
      <c r="V75" s="210" t="s">
        <v>2428</v>
      </c>
      <c r="AE75" s="72"/>
      <c r="AH75" s="530"/>
      <c r="AJ75" s="157"/>
    </row>
    <row r="76" spans="1:36" s="115" customFormat="1" ht="42" hidden="1" customHeight="1">
      <c r="A76" s="1643"/>
      <c r="B76" s="754" t="s">
        <v>13168</v>
      </c>
      <c r="C76" s="3317" t="s">
        <v>12918</v>
      </c>
      <c r="D76" s="3317"/>
      <c r="E76" s="3317"/>
      <c r="F76" s="3317"/>
      <c r="G76" s="3317"/>
      <c r="H76" s="3317"/>
      <c r="I76" s="3317"/>
      <c r="J76" s="3317"/>
      <c r="K76" s="3317"/>
      <c r="L76" s="3317"/>
      <c r="M76" s="3317"/>
      <c r="N76" s="3317"/>
      <c r="O76" s="3317"/>
      <c r="P76" s="3318"/>
      <c r="Q76" s="8"/>
      <c r="R76" s="496"/>
      <c r="S76" s="8"/>
      <c r="T76" s="75"/>
      <c r="U76" s="72"/>
      <c r="V76" s="210" t="s">
        <v>2428</v>
      </c>
      <c r="AE76" s="72"/>
      <c r="AH76" s="530"/>
      <c r="AJ76" s="157"/>
    </row>
    <row r="77" spans="1:36" ht="81" hidden="1" customHeight="1">
      <c r="A77" s="1649"/>
      <c r="B77" s="754" t="s">
        <v>13174</v>
      </c>
      <c r="C77" s="3317" t="s">
        <v>13184</v>
      </c>
      <c r="D77" s="3317"/>
      <c r="E77" s="3317"/>
      <c r="F77" s="3317"/>
      <c r="G77" s="3317"/>
      <c r="H77" s="3317"/>
      <c r="I77" s="3317"/>
      <c r="J77" s="3317"/>
      <c r="K77" s="3317"/>
      <c r="L77" s="3317"/>
      <c r="M77" s="3317"/>
      <c r="N77" s="3317"/>
      <c r="O77" s="3317"/>
      <c r="P77" s="3318"/>
      <c r="Q77" s="8"/>
      <c r="R77" s="496"/>
      <c r="S77" s="8"/>
      <c r="V77" s="210" t="s">
        <v>2817</v>
      </c>
    </row>
    <row r="78" spans="1:36" ht="99" hidden="1" customHeight="1">
      <c r="A78" s="1649"/>
      <c r="B78" s="754" t="s">
        <v>13186</v>
      </c>
      <c r="C78" s="3320" t="s">
        <v>13175</v>
      </c>
      <c r="D78" s="3320"/>
      <c r="E78" s="3320"/>
      <c r="F78" s="3320"/>
      <c r="G78" s="3320"/>
      <c r="H78" s="3320"/>
      <c r="I78" s="3320"/>
      <c r="J78" s="3320"/>
      <c r="K78" s="3320"/>
      <c r="L78" s="3320"/>
      <c r="M78" s="3320"/>
      <c r="N78" s="3320"/>
      <c r="O78" s="3320"/>
      <c r="P78" s="3321"/>
      <c r="Q78" s="8"/>
      <c r="R78" s="496"/>
      <c r="S78" s="8"/>
      <c r="V78" s="210" t="s">
        <v>3344</v>
      </c>
    </row>
    <row r="79" spans="1:36" ht="129.75" hidden="1" customHeight="1">
      <c r="A79" s="1649"/>
      <c r="B79" s="754" t="s">
        <v>13176</v>
      </c>
      <c r="C79" s="3320" t="s">
        <v>13166</v>
      </c>
      <c r="D79" s="3320"/>
      <c r="E79" s="3320"/>
      <c r="F79" s="3320"/>
      <c r="G79" s="3320"/>
      <c r="H79" s="3320"/>
      <c r="I79" s="3320"/>
      <c r="J79" s="3320"/>
      <c r="K79" s="3320"/>
      <c r="L79" s="3320"/>
      <c r="M79" s="3320"/>
      <c r="N79" s="3320"/>
      <c r="O79" s="3320"/>
      <c r="P79" s="3321"/>
      <c r="Q79" s="8"/>
      <c r="R79" s="496"/>
      <c r="S79" s="8"/>
      <c r="V79" s="210" t="s">
        <v>3344</v>
      </c>
    </row>
    <row r="80" spans="1:36" ht="86.25" hidden="1" customHeight="1">
      <c r="A80" s="1649"/>
      <c r="B80" s="754" t="s">
        <v>13181</v>
      </c>
      <c r="C80" s="3320" t="s">
        <v>13187</v>
      </c>
      <c r="D80" s="3320"/>
      <c r="E80" s="3320"/>
      <c r="F80" s="3320"/>
      <c r="G80" s="3320"/>
      <c r="H80" s="3320"/>
      <c r="I80" s="3320"/>
      <c r="J80" s="3320"/>
      <c r="K80" s="3320"/>
      <c r="L80" s="3320"/>
      <c r="M80" s="3320"/>
      <c r="N80" s="3320"/>
      <c r="O80" s="3320"/>
      <c r="P80" s="3321"/>
      <c r="Q80" s="8"/>
      <c r="R80" s="496"/>
      <c r="S80" s="8"/>
      <c r="V80" s="210" t="s">
        <v>3344</v>
      </c>
    </row>
    <row r="81" spans="1:36" ht="128.25" hidden="1" customHeight="1">
      <c r="A81" s="1649"/>
      <c r="B81" s="754" t="s">
        <v>13177</v>
      </c>
      <c r="C81" s="3320" t="s">
        <v>13170</v>
      </c>
      <c r="D81" s="3320"/>
      <c r="E81" s="3320"/>
      <c r="F81" s="3320"/>
      <c r="G81" s="3320"/>
      <c r="H81" s="3320"/>
      <c r="I81" s="3320"/>
      <c r="J81" s="3320"/>
      <c r="K81" s="3320"/>
      <c r="L81" s="3320"/>
      <c r="M81" s="3320"/>
      <c r="N81" s="3320"/>
      <c r="O81" s="3320"/>
      <c r="P81" s="3321"/>
      <c r="Q81" s="8"/>
      <c r="R81" s="496"/>
      <c r="S81" s="8"/>
      <c r="V81" s="210" t="s">
        <v>3742</v>
      </c>
    </row>
    <row r="82" spans="1:36" ht="110.25" hidden="1" customHeight="1" thickBot="1">
      <c r="A82" s="1649"/>
      <c r="B82" s="755" t="s">
        <v>13179</v>
      </c>
      <c r="C82" s="3322" t="s">
        <v>13171</v>
      </c>
      <c r="D82" s="3322"/>
      <c r="E82" s="3322"/>
      <c r="F82" s="3322"/>
      <c r="G82" s="3322"/>
      <c r="H82" s="3322"/>
      <c r="I82" s="3322"/>
      <c r="J82" s="3322"/>
      <c r="K82" s="3322"/>
      <c r="L82" s="3322"/>
      <c r="M82" s="3322"/>
      <c r="N82" s="3322"/>
      <c r="O82" s="3322"/>
      <c r="P82" s="3323"/>
      <c r="Q82" s="8"/>
      <c r="R82" s="496"/>
      <c r="S82" s="8"/>
      <c r="V82" s="210" t="s">
        <v>3344</v>
      </c>
    </row>
    <row r="83" spans="1:36" ht="15" hidden="1" thickBot="1">
      <c r="A83" s="1649"/>
      <c r="Q83" s="8"/>
      <c r="R83" s="496"/>
      <c r="S83" s="8"/>
      <c r="V83" s="210"/>
    </row>
    <row r="84" spans="1:36" s="115" customFormat="1" ht="15" hidden="1" thickBot="1">
      <c r="A84" s="1643"/>
      <c r="B84" s="151" t="s">
        <v>3740</v>
      </c>
      <c r="C84" s="152"/>
      <c r="D84" s="153"/>
      <c r="E84" s="153"/>
      <c r="F84" s="153"/>
      <c r="G84" s="153"/>
      <c r="H84" s="153"/>
      <c r="I84" s="752"/>
      <c r="J84" s="153"/>
      <c r="K84" s="153"/>
      <c r="L84" s="153"/>
      <c r="M84" s="153"/>
      <c r="N84" s="153"/>
      <c r="O84" s="153"/>
      <c r="P84" s="259"/>
      <c r="T84" s="75"/>
      <c r="U84" s="72"/>
      <c r="V84" s="71"/>
      <c r="W84" s="71"/>
      <c r="X84" s="71"/>
      <c r="AE84" s="72"/>
      <c r="AH84" s="530"/>
      <c r="AJ84" s="157"/>
    </row>
    <row r="85" spans="1:36" s="115" customFormat="1" hidden="1">
      <c r="A85" s="1643"/>
      <c r="B85" s="75"/>
      <c r="C85" s="160"/>
      <c r="D85" s="75"/>
      <c r="E85" s="75"/>
      <c r="F85" s="75"/>
      <c r="G85" s="75"/>
      <c r="H85" s="75"/>
      <c r="I85" s="173"/>
      <c r="L85" s="75"/>
      <c r="N85" s="71"/>
      <c r="T85" s="75"/>
      <c r="U85" s="72"/>
      <c r="V85" s="71"/>
      <c r="W85" s="71"/>
      <c r="X85" s="71"/>
      <c r="AE85" s="72"/>
      <c r="AH85" s="530"/>
      <c r="AJ85" s="157"/>
    </row>
    <row r="86" spans="1:36" s="185" customFormat="1" ht="359.25" hidden="1" customHeight="1">
      <c r="A86" s="1644"/>
      <c r="B86" s="3319" t="s">
        <v>13182</v>
      </c>
      <c r="C86" s="3319"/>
      <c r="D86" s="3319"/>
      <c r="E86" s="3319"/>
      <c r="F86" s="3319"/>
      <c r="G86" s="3319"/>
      <c r="H86" s="3319"/>
      <c r="I86" s="3319"/>
      <c r="J86" s="3319"/>
      <c r="K86" s="3319"/>
      <c r="L86" s="3319"/>
      <c r="M86" s="3319"/>
      <c r="N86" s="3319"/>
      <c r="O86" s="3319"/>
      <c r="P86" s="3319"/>
      <c r="T86" s="75"/>
      <c r="U86" s="72"/>
      <c r="V86" s="783" t="s">
        <v>3878</v>
      </c>
      <c r="W86" s="71"/>
      <c r="X86" s="71"/>
      <c r="AE86" s="72"/>
      <c r="AH86" s="528"/>
      <c r="AJ86" s="186"/>
    </row>
    <row r="87" spans="1:36" hidden="1">
      <c r="A87" s="1649"/>
      <c r="Q87" s="8"/>
      <c r="R87" s="496"/>
      <c r="S87" s="8"/>
    </row>
    <row r="88" spans="1:36" hidden="1">
      <c r="A88" s="1649"/>
      <c r="Q88" s="8"/>
      <c r="R88" s="496"/>
      <c r="S88" s="8"/>
    </row>
    <row r="89" spans="1:36" hidden="1">
      <c r="Q89" s="8"/>
      <c r="R89" s="496"/>
      <c r="S89" s="8"/>
    </row>
    <row r="90" spans="1:36" hidden="1">
      <c r="Q90" s="8"/>
      <c r="R90" s="496"/>
      <c r="S90" s="8"/>
    </row>
    <row r="91" spans="1:36" hidden="1">
      <c r="Q91" s="8"/>
      <c r="R91" s="496"/>
      <c r="S91" s="8"/>
    </row>
    <row r="92" spans="1:36" hidden="1">
      <c r="Q92" s="8"/>
      <c r="R92" s="496"/>
      <c r="S92" s="8"/>
    </row>
    <row r="93" spans="1:36" hidden="1">
      <c r="Q93" s="8"/>
      <c r="R93" s="496"/>
      <c r="S93" s="8"/>
    </row>
    <row r="94" spans="1:36" hidden="1">
      <c r="Q94" s="8"/>
      <c r="R94" s="496"/>
      <c r="S94" s="8"/>
    </row>
    <row r="95" spans="1:36" hidden="1">
      <c r="Q95" s="8"/>
      <c r="R95" s="496"/>
      <c r="S95" s="8"/>
    </row>
    <row r="96" spans="1:36" hidden="1">
      <c r="Q96" s="8"/>
      <c r="R96" s="496"/>
      <c r="S96" s="8"/>
    </row>
    <row r="97" spans="17:19" hidden="1">
      <c r="Q97" s="8"/>
      <c r="R97" s="496"/>
      <c r="S97" s="8"/>
    </row>
    <row r="98" spans="17:19" hidden="1">
      <c r="Q98" s="8"/>
      <c r="R98" s="496"/>
      <c r="S98" s="8"/>
    </row>
  </sheetData>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2730" priority="836" operator="equal">
      <formula>0</formula>
    </cfRule>
  </conditionalFormatting>
  <conditionalFormatting sqref="K5:P60">
    <cfRule type="expression" dxfId="2729" priority="812">
      <formula xml:space="preserve"> $AJ5 = "SIM"</formula>
    </cfRule>
    <cfRule type="expression" dxfId="2728" priority="823">
      <formula xml:space="preserve"> $AI5 = "NFI"</formula>
    </cfRule>
  </conditionalFormatting>
  <conditionalFormatting sqref="H5:I60">
    <cfRule type="expression" dxfId="2727" priority="816" stopIfTrue="1">
      <formula xml:space="preserve"> INDIRECT("G" &amp; ROW()) = 0</formula>
    </cfRule>
    <cfRule type="expression" dxfId="2726" priority="817" stopIfTrue="1">
      <formula xml:space="preserve"> INDIRECT("G" &amp; ROW()) = 1</formula>
    </cfRule>
    <cfRule type="expression" dxfId="2725" priority="818" stopIfTrue="1">
      <formula xml:space="preserve"> INDIRECT("G" &amp; ROW()) = 2</formula>
    </cfRule>
    <cfRule type="expression" dxfId="2724" priority="819" stopIfTrue="1">
      <formula xml:space="preserve"> INDIRECT("G" &amp; ROW()) = 3</formula>
    </cfRule>
    <cfRule type="expression" dxfId="2723" priority="820" stopIfTrue="1">
      <formula xml:space="preserve"> INDIRECT("G" &amp; ROW()) = 4</formula>
    </cfRule>
    <cfRule type="expression" dxfId="2722" priority="821" stopIfTrue="1">
      <formula xml:space="preserve"> INDIRECT("G" &amp; ROW()) = 5</formula>
    </cfRule>
    <cfRule type="expression" dxfId="2721" priority="822" stopIfTrue="1">
      <formula xml:space="preserve"> INDIRECT("G" &amp; ROW()) = 6</formula>
    </cfRule>
  </conditionalFormatting>
  <conditionalFormatting sqref="I18">
    <cfRule type="expression" dxfId="2720" priority="814" stopIfTrue="1">
      <formula xml:space="preserve"> INDIRECT("G" &amp; ROW()) = "mins:secs"</formula>
    </cfRule>
  </conditionalFormatting>
  <conditionalFormatting sqref="S58">
    <cfRule type="cellIs" dxfId="2719" priority="813" operator="equal">
      <formula>0</formula>
    </cfRule>
  </conditionalFormatting>
  <conditionalFormatting sqref="K5:K46 O5 O12 M5 M12:M46 M7:M10 O9:O10 O16 O18 O22 O25:O28 O32 O36:O37 O40 O44">
    <cfRule type="expression" dxfId="2718" priority="810">
      <formula xml:space="preserve"> $AJ5 = "SIM"</formula>
    </cfRule>
    <cfRule type="expression" dxfId="2717" priority="811">
      <formula xml:space="preserve"> $AI5 = "NFI"</formula>
    </cfRule>
  </conditionalFormatting>
  <conditionalFormatting sqref="I5:K46 O5 O12 M5 M12:M46 M7:M10 O9:O10 O16 O18 O22 O25:O28 O32 O36:O37 O40 O44">
    <cfRule type="expression" dxfId="2716" priority="803" stopIfTrue="1">
      <formula xml:space="preserve"> INDIRECT("G" &amp; ROW()) = 0</formula>
    </cfRule>
    <cfRule type="expression" dxfId="2715" priority="804" stopIfTrue="1">
      <formula xml:space="preserve"> INDIRECT("G" &amp; ROW()) = 1</formula>
    </cfRule>
    <cfRule type="expression" dxfId="2714" priority="805" stopIfTrue="1">
      <formula xml:space="preserve"> INDIRECT("G" &amp; ROW()) = 2</formula>
    </cfRule>
    <cfRule type="expression" dxfId="2713" priority="806" stopIfTrue="1">
      <formula xml:space="preserve"> INDIRECT("G" &amp; ROW()) = 3</formula>
    </cfRule>
    <cfRule type="expression" dxfId="2712" priority="807" stopIfTrue="1">
      <formula xml:space="preserve"> INDIRECT("G" &amp; ROW()) = 4</formula>
    </cfRule>
    <cfRule type="expression" dxfId="2711" priority="808" stopIfTrue="1">
      <formula xml:space="preserve"> INDIRECT("G" &amp; ROW()) = 5</formula>
    </cfRule>
    <cfRule type="expression" dxfId="2710" priority="809" stopIfTrue="1">
      <formula xml:space="preserve"> INDIRECT("G" &amp; ROW()) = 6</formula>
    </cfRule>
  </conditionalFormatting>
  <conditionalFormatting sqref="I18">
    <cfRule type="expression" dxfId="2709" priority="802" stopIfTrue="1">
      <formula xml:space="preserve"> INDIRECT("G" &amp; ROW()) = "mins:secs"</formula>
    </cfRule>
  </conditionalFormatting>
  <conditionalFormatting sqref="L5">
    <cfRule type="expression" dxfId="2708" priority="800">
      <formula xml:space="preserve"> $AJ5 = "SIM"</formula>
    </cfRule>
    <cfRule type="expression" dxfId="2707" priority="801">
      <formula xml:space="preserve"> $AI5 = "NFI"</formula>
    </cfRule>
  </conditionalFormatting>
  <conditionalFormatting sqref="L5">
    <cfRule type="expression" dxfId="2706" priority="793" stopIfTrue="1">
      <formula xml:space="preserve"> INDIRECT("G" &amp; ROW()) = 0</formula>
    </cfRule>
    <cfRule type="expression" dxfId="2705" priority="794" stopIfTrue="1">
      <formula xml:space="preserve"> INDIRECT("G" &amp; ROW()) = 1</formula>
    </cfRule>
    <cfRule type="expression" dxfId="2704" priority="795" stopIfTrue="1">
      <formula xml:space="preserve"> INDIRECT("G" &amp; ROW()) = 2</formula>
    </cfRule>
    <cfRule type="expression" dxfId="2703" priority="796" stopIfTrue="1">
      <formula xml:space="preserve"> INDIRECT("G" &amp; ROW()) = 3</formula>
    </cfRule>
    <cfRule type="expression" dxfId="2702" priority="797" stopIfTrue="1">
      <formula xml:space="preserve"> INDIRECT("G" &amp; ROW()) = 4</formula>
    </cfRule>
    <cfRule type="expression" dxfId="2701" priority="798" stopIfTrue="1">
      <formula xml:space="preserve"> INDIRECT("G" &amp; ROW()) = 5</formula>
    </cfRule>
    <cfRule type="expression" dxfId="2700" priority="799" stopIfTrue="1">
      <formula xml:space="preserve"> INDIRECT("G" &amp; ROW()) = 6</formula>
    </cfRule>
  </conditionalFormatting>
  <conditionalFormatting sqref="N5">
    <cfRule type="expression" dxfId="2699" priority="791">
      <formula xml:space="preserve"> $AJ5 = "SIM"</formula>
    </cfRule>
    <cfRule type="expression" dxfId="2698" priority="792">
      <formula xml:space="preserve"> $AI5 = "NFI"</formula>
    </cfRule>
  </conditionalFormatting>
  <conditionalFormatting sqref="N5">
    <cfRule type="expression" dxfId="2697" priority="784" stopIfTrue="1">
      <formula xml:space="preserve"> INDIRECT("G" &amp; ROW()) = 0</formula>
    </cfRule>
    <cfRule type="expression" dxfId="2696" priority="785" stopIfTrue="1">
      <formula xml:space="preserve"> INDIRECT("G" &amp; ROW()) = 1</formula>
    </cfRule>
    <cfRule type="expression" dxfId="2695" priority="786" stopIfTrue="1">
      <formula xml:space="preserve"> INDIRECT("G" &amp; ROW()) = 2</formula>
    </cfRule>
    <cfRule type="expression" dxfId="2694" priority="787" stopIfTrue="1">
      <formula xml:space="preserve"> INDIRECT("G" &amp; ROW()) = 3</formula>
    </cfRule>
    <cfRule type="expression" dxfId="2693" priority="788" stopIfTrue="1">
      <formula xml:space="preserve"> INDIRECT("G" &amp; ROW()) = 4</formula>
    </cfRule>
    <cfRule type="expression" dxfId="2692" priority="789" stopIfTrue="1">
      <formula xml:space="preserve"> INDIRECT("G" &amp; ROW()) = 5</formula>
    </cfRule>
    <cfRule type="expression" dxfId="2691" priority="790" stopIfTrue="1">
      <formula xml:space="preserve"> INDIRECT("G" &amp; ROW()) = 6</formula>
    </cfRule>
  </conditionalFormatting>
  <conditionalFormatting sqref="P5">
    <cfRule type="expression" dxfId="2690" priority="782">
      <formula xml:space="preserve"> $AJ5 = "SIM"</formula>
    </cfRule>
    <cfRule type="expression" dxfId="2689" priority="783">
      <formula xml:space="preserve"> $AI5 = "NFI"</formula>
    </cfRule>
  </conditionalFormatting>
  <conditionalFormatting sqref="P5">
    <cfRule type="expression" dxfId="2688" priority="775" stopIfTrue="1">
      <formula xml:space="preserve"> INDIRECT("G" &amp; ROW()) = 0</formula>
    </cfRule>
    <cfRule type="expression" dxfId="2687" priority="776" stopIfTrue="1">
      <formula xml:space="preserve"> INDIRECT("G" &amp; ROW()) = 1</formula>
    </cfRule>
    <cfRule type="expression" dxfId="2686" priority="777" stopIfTrue="1">
      <formula xml:space="preserve"> INDIRECT("G" &amp; ROW()) = 2</formula>
    </cfRule>
    <cfRule type="expression" dxfId="2685" priority="778" stopIfTrue="1">
      <formula xml:space="preserve"> INDIRECT("G" &amp; ROW()) = 3</formula>
    </cfRule>
    <cfRule type="expression" dxfId="2684" priority="779" stopIfTrue="1">
      <formula xml:space="preserve"> INDIRECT("G" &amp; ROW()) = 4</formula>
    </cfRule>
    <cfRule type="expression" dxfId="2683" priority="780" stopIfTrue="1">
      <formula xml:space="preserve"> INDIRECT("G" &amp; ROW()) = 5</formula>
    </cfRule>
    <cfRule type="expression" dxfId="2682" priority="781" stopIfTrue="1">
      <formula xml:space="preserve"> INDIRECT("G" &amp; ROW()) = 6</formula>
    </cfRule>
  </conditionalFormatting>
  <conditionalFormatting sqref="L44">
    <cfRule type="expression" dxfId="2681" priority="773">
      <formula xml:space="preserve"> $AJ44 = "SIM"</formula>
    </cfRule>
    <cfRule type="expression" dxfId="2680" priority="774">
      <formula xml:space="preserve"> $AI44 = "NFI"</formula>
    </cfRule>
  </conditionalFormatting>
  <conditionalFormatting sqref="L44">
    <cfRule type="expression" dxfId="2679" priority="766" stopIfTrue="1">
      <formula xml:space="preserve"> INDIRECT("G" &amp; ROW()) = 0</formula>
    </cfRule>
    <cfRule type="expression" dxfId="2678" priority="767" stopIfTrue="1">
      <formula xml:space="preserve"> INDIRECT("G" &amp; ROW()) = 1</formula>
    </cfRule>
    <cfRule type="expression" dxfId="2677" priority="768" stopIfTrue="1">
      <formula xml:space="preserve"> INDIRECT("G" &amp; ROW()) = 2</formula>
    </cfRule>
    <cfRule type="expression" dxfId="2676" priority="769" stopIfTrue="1">
      <formula xml:space="preserve"> INDIRECT("G" &amp; ROW()) = 3</formula>
    </cfRule>
    <cfRule type="expression" dxfId="2675" priority="770" stopIfTrue="1">
      <formula xml:space="preserve"> INDIRECT("G" &amp; ROW()) = 4</formula>
    </cfRule>
    <cfRule type="expression" dxfId="2674" priority="771" stopIfTrue="1">
      <formula xml:space="preserve"> INDIRECT("G" &amp; ROW()) = 5</formula>
    </cfRule>
    <cfRule type="expression" dxfId="2673" priority="772" stopIfTrue="1">
      <formula xml:space="preserve"> INDIRECT("G" &amp; ROW()) = 6</formula>
    </cfRule>
  </conditionalFormatting>
  <conditionalFormatting sqref="N44">
    <cfRule type="expression" dxfId="2672" priority="764">
      <formula xml:space="preserve"> $AJ44 = "SIM"</formula>
    </cfRule>
    <cfRule type="expression" dxfId="2671" priority="765">
      <formula xml:space="preserve"> $AI44 = "NFI"</formula>
    </cfRule>
  </conditionalFormatting>
  <conditionalFormatting sqref="N44">
    <cfRule type="expression" dxfId="2670" priority="757" stopIfTrue="1">
      <formula xml:space="preserve"> INDIRECT("G" &amp; ROW()) = 0</formula>
    </cfRule>
    <cfRule type="expression" dxfId="2669" priority="758" stopIfTrue="1">
      <formula xml:space="preserve"> INDIRECT("G" &amp; ROW()) = 1</formula>
    </cfRule>
    <cfRule type="expression" dxfId="2668" priority="759" stopIfTrue="1">
      <formula xml:space="preserve"> INDIRECT("G" &amp; ROW()) = 2</formula>
    </cfRule>
    <cfRule type="expression" dxfId="2667" priority="760" stopIfTrue="1">
      <formula xml:space="preserve"> INDIRECT("G" &amp; ROW()) = 3</formula>
    </cfRule>
    <cfRule type="expression" dxfId="2666" priority="761" stopIfTrue="1">
      <formula xml:space="preserve"> INDIRECT("G" &amp; ROW()) = 4</formula>
    </cfRule>
    <cfRule type="expression" dxfId="2665" priority="762" stopIfTrue="1">
      <formula xml:space="preserve"> INDIRECT("G" &amp; ROW()) = 5</formula>
    </cfRule>
    <cfRule type="expression" dxfId="2664" priority="763" stopIfTrue="1">
      <formula xml:space="preserve"> INDIRECT("G" &amp; ROW()) = 6</formula>
    </cfRule>
  </conditionalFormatting>
  <conditionalFormatting sqref="L6">
    <cfRule type="expression" dxfId="2663" priority="755">
      <formula xml:space="preserve"> $AJ6 = "SIM"</formula>
    </cfRule>
    <cfRule type="expression" dxfId="2662" priority="756">
      <formula xml:space="preserve"> $AI6 = "NFI"</formula>
    </cfRule>
  </conditionalFormatting>
  <conditionalFormatting sqref="L6">
    <cfRule type="expression" dxfId="2661" priority="748" stopIfTrue="1">
      <formula xml:space="preserve"> INDIRECT("G" &amp; ROW()) = 0</formula>
    </cfRule>
    <cfRule type="expression" dxfId="2660" priority="749" stopIfTrue="1">
      <formula xml:space="preserve"> INDIRECT("G" &amp; ROW()) = 1</formula>
    </cfRule>
    <cfRule type="expression" dxfId="2659" priority="750" stopIfTrue="1">
      <formula xml:space="preserve"> INDIRECT("G" &amp; ROW()) = 2</formula>
    </cfRule>
    <cfRule type="expression" dxfId="2658" priority="751" stopIfTrue="1">
      <formula xml:space="preserve"> INDIRECT("G" &amp; ROW()) = 3</formula>
    </cfRule>
    <cfRule type="expression" dxfId="2657" priority="752" stopIfTrue="1">
      <formula xml:space="preserve"> INDIRECT("G" &amp; ROW()) = 4</formula>
    </cfRule>
    <cfRule type="expression" dxfId="2656" priority="753" stopIfTrue="1">
      <formula xml:space="preserve"> INDIRECT("G" &amp; ROW()) = 5</formula>
    </cfRule>
    <cfRule type="expression" dxfId="2655" priority="754" stopIfTrue="1">
      <formula xml:space="preserve"> INDIRECT("G" &amp; ROW()) = 6</formula>
    </cfRule>
  </conditionalFormatting>
  <conditionalFormatting sqref="L9">
    <cfRule type="expression" dxfId="2654" priority="746">
      <formula xml:space="preserve"> $AJ9 = "SIM"</formula>
    </cfRule>
    <cfRule type="expression" dxfId="2653" priority="747">
      <formula xml:space="preserve"> $AI9 = "NFI"</formula>
    </cfRule>
  </conditionalFormatting>
  <conditionalFormatting sqref="L9">
    <cfRule type="expression" dxfId="2652" priority="739" stopIfTrue="1">
      <formula xml:space="preserve"> INDIRECT("G" &amp; ROW()) = 0</formula>
    </cfRule>
    <cfRule type="expression" dxfId="2651" priority="740" stopIfTrue="1">
      <formula xml:space="preserve"> INDIRECT("G" &amp; ROW()) = 1</formula>
    </cfRule>
    <cfRule type="expression" dxfId="2650" priority="741" stopIfTrue="1">
      <formula xml:space="preserve"> INDIRECT("G" &amp; ROW()) = 2</formula>
    </cfRule>
    <cfRule type="expression" dxfId="2649" priority="742" stopIfTrue="1">
      <formula xml:space="preserve"> INDIRECT("G" &amp; ROW()) = 3</formula>
    </cfRule>
    <cfRule type="expression" dxfId="2648" priority="743" stopIfTrue="1">
      <formula xml:space="preserve"> INDIRECT("G" &amp; ROW()) = 4</formula>
    </cfRule>
    <cfRule type="expression" dxfId="2647" priority="744" stopIfTrue="1">
      <formula xml:space="preserve"> INDIRECT("G" &amp; ROW()) = 5</formula>
    </cfRule>
    <cfRule type="expression" dxfId="2646" priority="745" stopIfTrue="1">
      <formula xml:space="preserve"> INDIRECT("G" &amp; ROW()) = 6</formula>
    </cfRule>
  </conditionalFormatting>
  <conditionalFormatting sqref="L10">
    <cfRule type="expression" dxfId="2645" priority="737">
      <formula xml:space="preserve"> $AJ10 = "SIM"</formula>
    </cfRule>
    <cfRule type="expression" dxfId="2644" priority="738">
      <formula xml:space="preserve"> $AI10 = "NFI"</formula>
    </cfRule>
  </conditionalFormatting>
  <conditionalFormatting sqref="L10">
    <cfRule type="expression" dxfId="2643" priority="730" stopIfTrue="1">
      <formula xml:space="preserve"> INDIRECT("G" &amp; ROW()) = 0</formula>
    </cfRule>
    <cfRule type="expression" dxfId="2642" priority="731" stopIfTrue="1">
      <formula xml:space="preserve"> INDIRECT("G" &amp; ROW()) = 1</formula>
    </cfRule>
    <cfRule type="expression" dxfId="2641" priority="732" stopIfTrue="1">
      <formula xml:space="preserve"> INDIRECT("G" &amp; ROW()) = 2</formula>
    </cfRule>
    <cfRule type="expression" dxfId="2640" priority="733" stopIfTrue="1">
      <formula xml:space="preserve"> INDIRECT("G" &amp; ROW()) = 3</formula>
    </cfRule>
    <cfRule type="expression" dxfId="2639" priority="734" stopIfTrue="1">
      <formula xml:space="preserve"> INDIRECT("G" &amp; ROW()) = 4</formula>
    </cfRule>
    <cfRule type="expression" dxfId="2638" priority="735" stopIfTrue="1">
      <formula xml:space="preserve"> INDIRECT("G" &amp; ROW()) = 5</formula>
    </cfRule>
    <cfRule type="expression" dxfId="2637" priority="736" stopIfTrue="1">
      <formula xml:space="preserve"> INDIRECT("G" &amp; ROW()) = 6</formula>
    </cfRule>
  </conditionalFormatting>
  <conditionalFormatting sqref="L12">
    <cfRule type="expression" dxfId="2636" priority="728">
      <formula xml:space="preserve"> $AJ12 = "SIM"</formula>
    </cfRule>
    <cfRule type="expression" dxfId="2635" priority="729">
      <formula xml:space="preserve"> $AI12 = "NFI"</formula>
    </cfRule>
  </conditionalFormatting>
  <conditionalFormatting sqref="L12">
    <cfRule type="expression" dxfId="2634" priority="721" stopIfTrue="1">
      <formula xml:space="preserve"> INDIRECT("G" &amp; ROW()) = 0</formula>
    </cfRule>
    <cfRule type="expression" dxfId="2633" priority="722" stopIfTrue="1">
      <formula xml:space="preserve"> INDIRECT("G" &amp; ROW()) = 1</formula>
    </cfRule>
    <cfRule type="expression" dxfId="2632" priority="723" stopIfTrue="1">
      <formula xml:space="preserve"> INDIRECT("G" &amp; ROW()) = 2</formula>
    </cfRule>
    <cfRule type="expression" dxfId="2631" priority="724" stopIfTrue="1">
      <formula xml:space="preserve"> INDIRECT("G" &amp; ROW()) = 3</formula>
    </cfRule>
    <cfRule type="expression" dxfId="2630" priority="725" stopIfTrue="1">
      <formula xml:space="preserve"> INDIRECT("G" &amp; ROW()) = 4</formula>
    </cfRule>
    <cfRule type="expression" dxfId="2629" priority="726" stopIfTrue="1">
      <formula xml:space="preserve"> INDIRECT("G" &amp; ROW()) = 5</formula>
    </cfRule>
    <cfRule type="expression" dxfId="2628" priority="727" stopIfTrue="1">
      <formula xml:space="preserve"> INDIRECT("G" &amp; ROW()) = 6</formula>
    </cfRule>
  </conditionalFormatting>
  <conditionalFormatting sqref="L13">
    <cfRule type="expression" dxfId="2627" priority="719">
      <formula xml:space="preserve"> $AJ13 = "SIM"</formula>
    </cfRule>
    <cfRule type="expression" dxfId="2626" priority="720">
      <formula xml:space="preserve"> $AI13 = "NFI"</formula>
    </cfRule>
  </conditionalFormatting>
  <conditionalFormatting sqref="L13">
    <cfRule type="expression" dxfId="2625" priority="712" stopIfTrue="1">
      <formula xml:space="preserve"> INDIRECT("G" &amp; ROW()) = 0</formula>
    </cfRule>
    <cfRule type="expression" dxfId="2624" priority="713" stopIfTrue="1">
      <formula xml:space="preserve"> INDIRECT("G" &amp; ROW()) = 1</formula>
    </cfRule>
    <cfRule type="expression" dxfId="2623" priority="714" stopIfTrue="1">
      <formula xml:space="preserve"> INDIRECT("G" &amp; ROW()) = 2</formula>
    </cfRule>
    <cfRule type="expression" dxfId="2622" priority="715" stopIfTrue="1">
      <formula xml:space="preserve"> INDIRECT("G" &amp; ROW()) = 3</formula>
    </cfRule>
    <cfRule type="expression" dxfId="2621" priority="716" stopIfTrue="1">
      <formula xml:space="preserve"> INDIRECT("G" &amp; ROW()) = 4</formula>
    </cfRule>
    <cfRule type="expression" dxfId="2620" priority="717" stopIfTrue="1">
      <formula xml:space="preserve"> INDIRECT("G" &amp; ROW()) = 5</formula>
    </cfRule>
    <cfRule type="expression" dxfId="2619" priority="718" stopIfTrue="1">
      <formula xml:space="preserve"> INDIRECT("G" &amp; ROW()) = 6</formula>
    </cfRule>
  </conditionalFormatting>
  <conditionalFormatting sqref="L14">
    <cfRule type="expression" dxfId="2618" priority="710">
      <formula xml:space="preserve"> $AJ14 = "SIM"</formula>
    </cfRule>
    <cfRule type="expression" dxfId="2617" priority="711">
      <formula xml:space="preserve"> $AI14 = "NFI"</formula>
    </cfRule>
  </conditionalFormatting>
  <conditionalFormatting sqref="L14">
    <cfRule type="expression" dxfId="2616" priority="703" stopIfTrue="1">
      <formula xml:space="preserve"> INDIRECT("G" &amp; ROW()) = 0</formula>
    </cfRule>
    <cfRule type="expression" dxfId="2615" priority="704" stopIfTrue="1">
      <formula xml:space="preserve"> INDIRECT("G" &amp; ROW()) = 1</formula>
    </cfRule>
    <cfRule type="expression" dxfId="2614" priority="705" stopIfTrue="1">
      <formula xml:space="preserve"> INDIRECT("G" &amp; ROW()) = 2</formula>
    </cfRule>
    <cfRule type="expression" dxfId="2613" priority="706" stopIfTrue="1">
      <formula xml:space="preserve"> INDIRECT("G" &amp; ROW()) = 3</formula>
    </cfRule>
    <cfRule type="expression" dxfId="2612" priority="707" stopIfTrue="1">
      <formula xml:space="preserve"> INDIRECT("G" &amp; ROW()) = 4</formula>
    </cfRule>
    <cfRule type="expression" dxfId="2611" priority="708" stopIfTrue="1">
      <formula xml:space="preserve"> INDIRECT("G" &amp; ROW()) = 5</formula>
    </cfRule>
    <cfRule type="expression" dxfId="2610" priority="709" stopIfTrue="1">
      <formula xml:space="preserve"> INDIRECT("G" &amp; ROW()) = 6</formula>
    </cfRule>
  </conditionalFormatting>
  <conditionalFormatting sqref="L15">
    <cfRule type="expression" dxfId="2609" priority="701">
      <formula xml:space="preserve"> $AJ15 = "SIM"</formula>
    </cfRule>
    <cfRule type="expression" dxfId="2608" priority="702">
      <formula xml:space="preserve"> $AI15 = "NFI"</formula>
    </cfRule>
  </conditionalFormatting>
  <conditionalFormatting sqref="L15">
    <cfRule type="expression" dxfId="2607" priority="694" stopIfTrue="1">
      <formula xml:space="preserve"> INDIRECT("G" &amp; ROW()) = 0</formula>
    </cfRule>
    <cfRule type="expression" dxfId="2606" priority="695" stopIfTrue="1">
      <formula xml:space="preserve"> INDIRECT("G" &amp; ROW()) = 1</formula>
    </cfRule>
    <cfRule type="expression" dxfId="2605" priority="696" stopIfTrue="1">
      <formula xml:space="preserve"> INDIRECT("G" &amp; ROW()) = 2</formula>
    </cfRule>
    <cfRule type="expression" dxfId="2604" priority="697" stopIfTrue="1">
      <formula xml:space="preserve"> INDIRECT("G" &amp; ROW()) = 3</formula>
    </cfRule>
    <cfRule type="expression" dxfId="2603" priority="698" stopIfTrue="1">
      <formula xml:space="preserve"> INDIRECT("G" &amp; ROW()) = 4</formula>
    </cfRule>
    <cfRule type="expression" dxfId="2602" priority="699" stopIfTrue="1">
      <formula xml:space="preserve"> INDIRECT("G" &amp; ROW()) = 5</formula>
    </cfRule>
    <cfRule type="expression" dxfId="2601" priority="700" stopIfTrue="1">
      <formula xml:space="preserve"> INDIRECT("G" &amp; ROW()) = 6</formula>
    </cfRule>
  </conditionalFormatting>
  <conditionalFormatting sqref="L17">
    <cfRule type="expression" dxfId="2600" priority="692">
      <formula xml:space="preserve"> $AJ17 = "SIM"</formula>
    </cfRule>
    <cfRule type="expression" dxfId="2599" priority="693">
      <formula xml:space="preserve"> $AI17 = "NFI"</formula>
    </cfRule>
  </conditionalFormatting>
  <conditionalFormatting sqref="L17">
    <cfRule type="expression" dxfId="2598" priority="685" stopIfTrue="1">
      <formula xml:space="preserve"> INDIRECT("G" &amp; ROW()) = 0</formula>
    </cfRule>
    <cfRule type="expression" dxfId="2597" priority="686" stopIfTrue="1">
      <formula xml:space="preserve"> INDIRECT("G" &amp; ROW()) = 1</formula>
    </cfRule>
    <cfRule type="expression" dxfId="2596" priority="687" stopIfTrue="1">
      <formula xml:space="preserve"> INDIRECT("G" &amp; ROW()) = 2</formula>
    </cfRule>
    <cfRule type="expression" dxfId="2595" priority="688" stopIfTrue="1">
      <formula xml:space="preserve"> INDIRECT("G" &amp; ROW()) = 3</formula>
    </cfRule>
    <cfRule type="expression" dxfId="2594" priority="689" stopIfTrue="1">
      <formula xml:space="preserve"> INDIRECT("G" &amp; ROW()) = 4</formula>
    </cfRule>
    <cfRule type="expression" dxfId="2593" priority="690" stopIfTrue="1">
      <formula xml:space="preserve"> INDIRECT("G" &amp; ROW()) = 5</formula>
    </cfRule>
    <cfRule type="expression" dxfId="2592" priority="691" stopIfTrue="1">
      <formula xml:space="preserve"> INDIRECT("G" &amp; ROW()) = 6</formula>
    </cfRule>
  </conditionalFormatting>
  <conditionalFormatting sqref="L19">
    <cfRule type="expression" dxfId="2591" priority="683">
      <formula xml:space="preserve"> $AJ19 = "SIM"</formula>
    </cfRule>
    <cfRule type="expression" dxfId="2590" priority="684">
      <formula xml:space="preserve"> $AI19 = "NFI"</formula>
    </cfRule>
  </conditionalFormatting>
  <conditionalFormatting sqref="L19">
    <cfRule type="expression" dxfId="2589" priority="676" stopIfTrue="1">
      <formula xml:space="preserve"> INDIRECT("G" &amp; ROW()) = 0</formula>
    </cfRule>
    <cfRule type="expression" dxfId="2588" priority="677" stopIfTrue="1">
      <formula xml:space="preserve"> INDIRECT("G" &amp; ROW()) = 1</formula>
    </cfRule>
    <cfRule type="expression" dxfId="2587" priority="678" stopIfTrue="1">
      <formula xml:space="preserve"> INDIRECT("G" &amp; ROW()) = 2</formula>
    </cfRule>
    <cfRule type="expression" dxfId="2586" priority="679" stopIfTrue="1">
      <formula xml:space="preserve"> INDIRECT("G" &amp; ROW()) = 3</formula>
    </cfRule>
    <cfRule type="expression" dxfId="2585" priority="680" stopIfTrue="1">
      <formula xml:space="preserve"> INDIRECT("G" &amp; ROW()) = 4</formula>
    </cfRule>
    <cfRule type="expression" dxfId="2584" priority="681" stopIfTrue="1">
      <formula xml:space="preserve"> INDIRECT("G" &amp; ROW()) = 5</formula>
    </cfRule>
    <cfRule type="expression" dxfId="2583" priority="682" stopIfTrue="1">
      <formula xml:space="preserve"> INDIRECT("G" &amp; ROW()) = 6</formula>
    </cfRule>
  </conditionalFormatting>
  <conditionalFormatting sqref="L20">
    <cfRule type="expression" dxfId="2582" priority="674">
      <formula xml:space="preserve"> $AJ20 = "SIM"</formula>
    </cfRule>
    <cfRule type="expression" dxfId="2581" priority="675">
      <formula xml:space="preserve"> $AI20 = "NFI"</formula>
    </cfRule>
  </conditionalFormatting>
  <conditionalFormatting sqref="L20">
    <cfRule type="expression" dxfId="2580" priority="667" stopIfTrue="1">
      <formula xml:space="preserve"> INDIRECT("G" &amp; ROW()) = 0</formula>
    </cfRule>
    <cfRule type="expression" dxfId="2579" priority="668" stopIfTrue="1">
      <formula xml:space="preserve"> INDIRECT("G" &amp; ROW()) = 1</formula>
    </cfRule>
    <cfRule type="expression" dxfId="2578" priority="669" stopIfTrue="1">
      <formula xml:space="preserve"> INDIRECT("G" &amp; ROW()) = 2</formula>
    </cfRule>
    <cfRule type="expression" dxfId="2577" priority="670" stopIfTrue="1">
      <formula xml:space="preserve"> INDIRECT("G" &amp; ROW()) = 3</formula>
    </cfRule>
    <cfRule type="expression" dxfId="2576" priority="671" stopIfTrue="1">
      <formula xml:space="preserve"> INDIRECT("G" &amp; ROW()) = 4</formula>
    </cfRule>
    <cfRule type="expression" dxfId="2575" priority="672" stopIfTrue="1">
      <formula xml:space="preserve"> INDIRECT("G" &amp; ROW()) = 5</formula>
    </cfRule>
    <cfRule type="expression" dxfId="2574" priority="673" stopIfTrue="1">
      <formula xml:space="preserve"> INDIRECT("G" &amp; ROW()) = 6</formula>
    </cfRule>
  </conditionalFormatting>
  <conditionalFormatting sqref="L21">
    <cfRule type="expression" dxfId="2573" priority="665">
      <formula xml:space="preserve"> $AJ21 = "SIM"</formula>
    </cfRule>
    <cfRule type="expression" dxfId="2572" priority="666">
      <formula xml:space="preserve"> $AI21 = "NFI"</formula>
    </cfRule>
  </conditionalFormatting>
  <conditionalFormatting sqref="L21">
    <cfRule type="expression" dxfId="2571" priority="658" stopIfTrue="1">
      <formula xml:space="preserve"> INDIRECT("G" &amp; ROW()) = 0</formula>
    </cfRule>
    <cfRule type="expression" dxfId="2570" priority="659" stopIfTrue="1">
      <formula xml:space="preserve"> INDIRECT("G" &amp; ROW()) = 1</formula>
    </cfRule>
    <cfRule type="expression" dxfId="2569" priority="660" stopIfTrue="1">
      <formula xml:space="preserve"> INDIRECT("G" &amp; ROW()) = 2</formula>
    </cfRule>
    <cfRule type="expression" dxfId="2568" priority="661" stopIfTrue="1">
      <formula xml:space="preserve"> INDIRECT("G" &amp; ROW()) = 3</formula>
    </cfRule>
    <cfRule type="expression" dxfId="2567" priority="662" stopIfTrue="1">
      <formula xml:space="preserve"> INDIRECT("G" &amp; ROW()) = 4</formula>
    </cfRule>
    <cfRule type="expression" dxfId="2566" priority="663" stopIfTrue="1">
      <formula xml:space="preserve"> INDIRECT("G" &amp; ROW()) = 5</formula>
    </cfRule>
    <cfRule type="expression" dxfId="2565" priority="664" stopIfTrue="1">
      <formula xml:space="preserve"> INDIRECT("G" &amp; ROW()) = 6</formula>
    </cfRule>
  </conditionalFormatting>
  <conditionalFormatting sqref="L23">
    <cfRule type="expression" dxfId="2564" priority="656">
      <formula xml:space="preserve"> $AJ23 = "SIM"</formula>
    </cfRule>
    <cfRule type="expression" dxfId="2563" priority="657">
      <formula xml:space="preserve"> $AI23 = "NFI"</formula>
    </cfRule>
  </conditionalFormatting>
  <conditionalFormatting sqref="L23">
    <cfRule type="expression" dxfId="2562" priority="649" stopIfTrue="1">
      <formula xml:space="preserve"> INDIRECT("G" &amp; ROW()) = 0</formula>
    </cfRule>
    <cfRule type="expression" dxfId="2561" priority="650" stopIfTrue="1">
      <formula xml:space="preserve"> INDIRECT("G" &amp; ROW()) = 1</formula>
    </cfRule>
    <cfRule type="expression" dxfId="2560" priority="651" stopIfTrue="1">
      <formula xml:space="preserve"> INDIRECT("G" &amp; ROW()) = 2</formula>
    </cfRule>
    <cfRule type="expression" dxfId="2559" priority="652" stopIfTrue="1">
      <formula xml:space="preserve"> INDIRECT("G" &amp; ROW()) = 3</formula>
    </cfRule>
    <cfRule type="expression" dxfId="2558" priority="653" stopIfTrue="1">
      <formula xml:space="preserve"> INDIRECT("G" &amp; ROW()) = 4</formula>
    </cfRule>
    <cfRule type="expression" dxfId="2557" priority="654" stopIfTrue="1">
      <formula xml:space="preserve"> INDIRECT("G" &amp; ROW()) = 5</formula>
    </cfRule>
    <cfRule type="expression" dxfId="2556" priority="655" stopIfTrue="1">
      <formula xml:space="preserve"> INDIRECT("G" &amp; ROW()) = 6</formula>
    </cfRule>
  </conditionalFormatting>
  <conditionalFormatting sqref="L24">
    <cfRule type="expression" dxfId="2555" priority="647">
      <formula xml:space="preserve"> $AJ24 = "SIM"</formula>
    </cfRule>
    <cfRule type="expression" dxfId="2554" priority="648">
      <formula xml:space="preserve"> $AI24 = "NFI"</formula>
    </cfRule>
  </conditionalFormatting>
  <conditionalFormatting sqref="L24">
    <cfRule type="expression" dxfId="2553" priority="640" stopIfTrue="1">
      <formula xml:space="preserve"> INDIRECT("G" &amp; ROW()) = 0</formula>
    </cfRule>
    <cfRule type="expression" dxfId="2552" priority="641" stopIfTrue="1">
      <formula xml:space="preserve"> INDIRECT("G" &amp; ROW()) = 1</formula>
    </cfRule>
    <cfRule type="expression" dxfId="2551" priority="642" stopIfTrue="1">
      <formula xml:space="preserve"> INDIRECT("G" &amp; ROW()) = 2</formula>
    </cfRule>
    <cfRule type="expression" dxfId="2550" priority="643" stopIfTrue="1">
      <formula xml:space="preserve"> INDIRECT("G" &amp; ROW()) = 3</formula>
    </cfRule>
    <cfRule type="expression" dxfId="2549" priority="644" stopIfTrue="1">
      <formula xml:space="preserve"> INDIRECT("G" &amp; ROW()) = 4</formula>
    </cfRule>
    <cfRule type="expression" dxfId="2548" priority="645" stopIfTrue="1">
      <formula xml:space="preserve"> INDIRECT("G" &amp; ROW()) = 5</formula>
    </cfRule>
    <cfRule type="expression" dxfId="2547" priority="646" stopIfTrue="1">
      <formula xml:space="preserve"> INDIRECT("G" &amp; ROW()) = 6</formula>
    </cfRule>
  </conditionalFormatting>
  <conditionalFormatting sqref="L25">
    <cfRule type="expression" dxfId="2546" priority="638">
      <formula xml:space="preserve"> $AJ25 = "SIM"</formula>
    </cfRule>
    <cfRule type="expression" dxfId="2545" priority="639">
      <formula xml:space="preserve"> $AI25 = "NFI"</formula>
    </cfRule>
  </conditionalFormatting>
  <conditionalFormatting sqref="L25">
    <cfRule type="expression" dxfId="2544" priority="631" stopIfTrue="1">
      <formula xml:space="preserve"> INDIRECT("G" &amp; ROW()) = 0</formula>
    </cfRule>
    <cfRule type="expression" dxfId="2543" priority="632" stopIfTrue="1">
      <formula xml:space="preserve"> INDIRECT("G" &amp; ROW()) = 1</formula>
    </cfRule>
    <cfRule type="expression" dxfId="2542" priority="633" stopIfTrue="1">
      <formula xml:space="preserve"> INDIRECT("G" &amp; ROW()) = 2</formula>
    </cfRule>
    <cfRule type="expression" dxfId="2541" priority="634" stopIfTrue="1">
      <formula xml:space="preserve"> INDIRECT("G" &amp; ROW()) = 3</formula>
    </cfRule>
    <cfRule type="expression" dxfId="2540" priority="635" stopIfTrue="1">
      <formula xml:space="preserve"> INDIRECT("G" &amp; ROW()) = 4</formula>
    </cfRule>
    <cfRule type="expression" dxfId="2539" priority="636" stopIfTrue="1">
      <formula xml:space="preserve"> INDIRECT("G" &amp; ROW()) = 5</formula>
    </cfRule>
    <cfRule type="expression" dxfId="2538" priority="637" stopIfTrue="1">
      <formula xml:space="preserve"> INDIRECT("G" &amp; ROW()) = 6</formula>
    </cfRule>
  </conditionalFormatting>
  <conditionalFormatting sqref="L26">
    <cfRule type="expression" dxfId="2537" priority="629">
      <formula xml:space="preserve"> $AJ26 = "SIM"</formula>
    </cfRule>
    <cfRule type="expression" dxfId="2536" priority="630">
      <formula xml:space="preserve"> $AI26 = "NFI"</formula>
    </cfRule>
  </conditionalFormatting>
  <conditionalFormatting sqref="L26">
    <cfRule type="expression" dxfId="2535" priority="622" stopIfTrue="1">
      <formula xml:space="preserve"> INDIRECT("G" &amp; ROW()) = 0</formula>
    </cfRule>
    <cfRule type="expression" dxfId="2534" priority="623" stopIfTrue="1">
      <formula xml:space="preserve"> INDIRECT("G" &amp; ROW()) = 1</formula>
    </cfRule>
    <cfRule type="expression" dxfId="2533" priority="624" stopIfTrue="1">
      <formula xml:space="preserve"> INDIRECT("G" &amp; ROW()) = 2</formula>
    </cfRule>
    <cfRule type="expression" dxfId="2532" priority="625" stopIfTrue="1">
      <formula xml:space="preserve"> INDIRECT("G" &amp; ROW()) = 3</formula>
    </cfRule>
    <cfRule type="expression" dxfId="2531" priority="626" stopIfTrue="1">
      <formula xml:space="preserve"> INDIRECT("G" &amp; ROW()) = 4</formula>
    </cfRule>
    <cfRule type="expression" dxfId="2530" priority="627" stopIfTrue="1">
      <formula xml:space="preserve"> INDIRECT("G" &amp; ROW()) = 5</formula>
    </cfRule>
    <cfRule type="expression" dxfId="2529" priority="628" stopIfTrue="1">
      <formula xml:space="preserve"> INDIRECT("G" &amp; ROW()) = 6</formula>
    </cfRule>
  </conditionalFormatting>
  <conditionalFormatting sqref="L27">
    <cfRule type="expression" dxfId="2528" priority="620">
      <formula xml:space="preserve"> $AJ27 = "SIM"</formula>
    </cfRule>
    <cfRule type="expression" dxfId="2527" priority="621">
      <formula xml:space="preserve"> $AI27 = "NFI"</formula>
    </cfRule>
  </conditionalFormatting>
  <conditionalFormatting sqref="L27">
    <cfRule type="expression" dxfId="2526" priority="613" stopIfTrue="1">
      <formula xml:space="preserve"> INDIRECT("G" &amp; ROW()) = 0</formula>
    </cfRule>
    <cfRule type="expression" dxfId="2525" priority="614" stopIfTrue="1">
      <formula xml:space="preserve"> INDIRECT("G" &amp; ROW()) = 1</formula>
    </cfRule>
    <cfRule type="expression" dxfId="2524" priority="615" stopIfTrue="1">
      <formula xml:space="preserve"> INDIRECT("G" &amp; ROW()) = 2</formula>
    </cfRule>
    <cfRule type="expression" dxfId="2523" priority="616" stopIfTrue="1">
      <formula xml:space="preserve"> INDIRECT("G" &amp; ROW()) = 3</formula>
    </cfRule>
    <cfRule type="expression" dxfId="2522" priority="617" stopIfTrue="1">
      <formula xml:space="preserve"> INDIRECT("G" &amp; ROW()) = 4</formula>
    </cfRule>
    <cfRule type="expression" dxfId="2521" priority="618" stopIfTrue="1">
      <formula xml:space="preserve"> INDIRECT("G" &amp; ROW()) = 5</formula>
    </cfRule>
    <cfRule type="expression" dxfId="2520" priority="619" stopIfTrue="1">
      <formula xml:space="preserve"> INDIRECT("G" &amp; ROW()) = 6</formula>
    </cfRule>
  </conditionalFormatting>
  <conditionalFormatting sqref="L28">
    <cfRule type="expression" dxfId="2519" priority="611">
      <formula xml:space="preserve"> $AJ28 = "SIM"</formula>
    </cfRule>
    <cfRule type="expression" dxfId="2518" priority="612">
      <formula xml:space="preserve"> $AI28 = "NFI"</formula>
    </cfRule>
  </conditionalFormatting>
  <conditionalFormatting sqref="L28">
    <cfRule type="expression" dxfId="2517" priority="604" stopIfTrue="1">
      <formula xml:space="preserve"> INDIRECT("G" &amp; ROW()) = 0</formula>
    </cfRule>
    <cfRule type="expression" dxfId="2516" priority="605" stopIfTrue="1">
      <formula xml:space="preserve"> INDIRECT("G" &amp; ROW()) = 1</formula>
    </cfRule>
    <cfRule type="expression" dxfId="2515" priority="606" stopIfTrue="1">
      <formula xml:space="preserve"> INDIRECT("G" &amp; ROW()) = 2</formula>
    </cfRule>
    <cfRule type="expression" dxfId="2514" priority="607" stopIfTrue="1">
      <formula xml:space="preserve"> INDIRECT("G" &amp; ROW()) = 3</formula>
    </cfRule>
    <cfRule type="expression" dxfId="2513" priority="608" stopIfTrue="1">
      <formula xml:space="preserve"> INDIRECT("G" &amp; ROW()) = 4</formula>
    </cfRule>
    <cfRule type="expression" dxfId="2512" priority="609" stopIfTrue="1">
      <formula xml:space="preserve"> INDIRECT("G" &amp; ROW()) = 5</formula>
    </cfRule>
    <cfRule type="expression" dxfId="2511" priority="610" stopIfTrue="1">
      <formula xml:space="preserve"> INDIRECT("G" &amp; ROW()) = 6</formula>
    </cfRule>
  </conditionalFormatting>
  <conditionalFormatting sqref="L31">
    <cfRule type="expression" dxfId="2510" priority="602">
      <formula xml:space="preserve"> $AJ31 = "SIM"</formula>
    </cfRule>
    <cfRule type="expression" dxfId="2509" priority="603">
      <formula xml:space="preserve"> $AI31 = "NFI"</formula>
    </cfRule>
  </conditionalFormatting>
  <conditionalFormatting sqref="L31">
    <cfRule type="expression" dxfId="2508" priority="595" stopIfTrue="1">
      <formula xml:space="preserve"> INDIRECT("G" &amp; ROW()) = 0</formula>
    </cfRule>
    <cfRule type="expression" dxfId="2507" priority="596" stopIfTrue="1">
      <formula xml:space="preserve"> INDIRECT("G" &amp; ROW()) = 1</formula>
    </cfRule>
    <cfRule type="expression" dxfId="2506" priority="597" stopIfTrue="1">
      <formula xml:space="preserve"> INDIRECT("G" &amp; ROW()) = 2</formula>
    </cfRule>
    <cfRule type="expression" dxfId="2505" priority="598" stopIfTrue="1">
      <formula xml:space="preserve"> INDIRECT("G" &amp; ROW()) = 3</formula>
    </cfRule>
    <cfRule type="expression" dxfId="2504" priority="599" stopIfTrue="1">
      <formula xml:space="preserve"> INDIRECT("G" &amp; ROW()) = 4</formula>
    </cfRule>
    <cfRule type="expression" dxfId="2503" priority="600" stopIfTrue="1">
      <formula xml:space="preserve"> INDIRECT("G" &amp; ROW()) = 5</formula>
    </cfRule>
    <cfRule type="expression" dxfId="2502" priority="601" stopIfTrue="1">
      <formula xml:space="preserve"> INDIRECT("G" &amp; ROW()) = 6</formula>
    </cfRule>
  </conditionalFormatting>
  <conditionalFormatting sqref="L33">
    <cfRule type="expression" dxfId="2501" priority="593">
      <formula xml:space="preserve"> $AJ33 = "SIM"</formula>
    </cfRule>
    <cfRule type="expression" dxfId="2500" priority="594">
      <formula xml:space="preserve"> $AI33 = "NFI"</formula>
    </cfRule>
  </conditionalFormatting>
  <conditionalFormatting sqref="L33">
    <cfRule type="expression" dxfId="2499" priority="586" stopIfTrue="1">
      <formula xml:space="preserve"> INDIRECT("G" &amp; ROW()) = 0</formula>
    </cfRule>
    <cfRule type="expression" dxfId="2498" priority="587" stopIfTrue="1">
      <formula xml:space="preserve"> INDIRECT("G" &amp; ROW()) = 1</formula>
    </cfRule>
    <cfRule type="expression" dxfId="2497" priority="588" stopIfTrue="1">
      <formula xml:space="preserve"> INDIRECT("G" &amp; ROW()) = 2</formula>
    </cfRule>
    <cfRule type="expression" dxfId="2496" priority="589" stopIfTrue="1">
      <formula xml:space="preserve"> INDIRECT("G" &amp; ROW()) = 3</formula>
    </cfRule>
    <cfRule type="expression" dxfId="2495" priority="590" stopIfTrue="1">
      <formula xml:space="preserve"> INDIRECT("G" &amp; ROW()) = 4</formula>
    </cfRule>
    <cfRule type="expression" dxfId="2494" priority="591" stopIfTrue="1">
      <formula xml:space="preserve"> INDIRECT("G" &amp; ROW()) = 5</formula>
    </cfRule>
    <cfRule type="expression" dxfId="2493" priority="592" stopIfTrue="1">
      <formula xml:space="preserve"> INDIRECT("G" &amp; ROW()) = 6</formula>
    </cfRule>
  </conditionalFormatting>
  <conditionalFormatting sqref="L34">
    <cfRule type="expression" dxfId="2492" priority="584">
      <formula xml:space="preserve"> $AJ34 = "SIM"</formula>
    </cfRule>
    <cfRule type="expression" dxfId="2491" priority="585">
      <formula xml:space="preserve"> $AI34 = "NFI"</formula>
    </cfRule>
  </conditionalFormatting>
  <conditionalFormatting sqref="L34">
    <cfRule type="expression" dxfId="2490" priority="577" stopIfTrue="1">
      <formula xml:space="preserve"> INDIRECT("G" &amp; ROW()) = 0</formula>
    </cfRule>
    <cfRule type="expression" dxfId="2489" priority="578" stopIfTrue="1">
      <formula xml:space="preserve"> INDIRECT("G" &amp; ROW()) = 1</formula>
    </cfRule>
    <cfRule type="expression" dxfId="2488" priority="579" stopIfTrue="1">
      <formula xml:space="preserve"> INDIRECT("G" &amp; ROW()) = 2</formula>
    </cfRule>
    <cfRule type="expression" dxfId="2487" priority="580" stopIfTrue="1">
      <formula xml:space="preserve"> INDIRECT("G" &amp; ROW()) = 3</formula>
    </cfRule>
    <cfRule type="expression" dxfId="2486" priority="581" stopIfTrue="1">
      <formula xml:space="preserve"> INDIRECT("G" &amp; ROW()) = 4</formula>
    </cfRule>
    <cfRule type="expression" dxfId="2485" priority="582" stopIfTrue="1">
      <formula xml:space="preserve"> INDIRECT("G" &amp; ROW()) = 5</formula>
    </cfRule>
    <cfRule type="expression" dxfId="2484" priority="583" stopIfTrue="1">
      <formula xml:space="preserve"> INDIRECT("G" &amp; ROW()) = 6</formula>
    </cfRule>
  </conditionalFormatting>
  <conditionalFormatting sqref="L35">
    <cfRule type="expression" dxfId="2483" priority="575">
      <formula xml:space="preserve"> $AJ35 = "SIM"</formula>
    </cfRule>
    <cfRule type="expression" dxfId="2482" priority="576">
      <formula xml:space="preserve"> $AI35 = "NFI"</formula>
    </cfRule>
  </conditionalFormatting>
  <conditionalFormatting sqref="L35">
    <cfRule type="expression" dxfId="2481" priority="568" stopIfTrue="1">
      <formula xml:space="preserve"> INDIRECT("G" &amp; ROW()) = 0</formula>
    </cfRule>
    <cfRule type="expression" dxfId="2480" priority="569" stopIfTrue="1">
      <formula xml:space="preserve"> INDIRECT("G" &amp; ROW()) = 1</formula>
    </cfRule>
    <cfRule type="expression" dxfId="2479" priority="570" stopIfTrue="1">
      <formula xml:space="preserve"> INDIRECT("G" &amp; ROW()) = 2</formula>
    </cfRule>
    <cfRule type="expression" dxfId="2478" priority="571" stopIfTrue="1">
      <formula xml:space="preserve"> INDIRECT("G" &amp; ROW()) = 3</formula>
    </cfRule>
    <cfRule type="expression" dxfId="2477" priority="572" stopIfTrue="1">
      <formula xml:space="preserve"> INDIRECT("G" &amp; ROW()) = 4</formula>
    </cfRule>
    <cfRule type="expression" dxfId="2476" priority="573" stopIfTrue="1">
      <formula xml:space="preserve"> INDIRECT("G" &amp; ROW()) = 5</formula>
    </cfRule>
    <cfRule type="expression" dxfId="2475" priority="574" stopIfTrue="1">
      <formula xml:space="preserve"> INDIRECT("G" &amp; ROW()) = 6</formula>
    </cfRule>
  </conditionalFormatting>
  <conditionalFormatting sqref="L36">
    <cfRule type="expression" dxfId="2474" priority="566">
      <formula xml:space="preserve"> $AJ36 = "SIM"</formula>
    </cfRule>
    <cfRule type="expression" dxfId="2473" priority="567">
      <formula xml:space="preserve"> $AI36 = "NFI"</formula>
    </cfRule>
  </conditionalFormatting>
  <conditionalFormatting sqref="L36">
    <cfRule type="expression" dxfId="2472" priority="559" stopIfTrue="1">
      <formula xml:space="preserve"> INDIRECT("G" &amp; ROW()) = 0</formula>
    </cfRule>
    <cfRule type="expression" dxfId="2471" priority="560" stopIfTrue="1">
      <formula xml:space="preserve"> INDIRECT("G" &amp; ROW()) = 1</formula>
    </cfRule>
    <cfRule type="expression" dxfId="2470" priority="561" stopIfTrue="1">
      <formula xml:space="preserve"> INDIRECT("G" &amp; ROW()) = 2</formula>
    </cfRule>
    <cfRule type="expression" dxfId="2469" priority="562" stopIfTrue="1">
      <formula xml:space="preserve"> INDIRECT("G" &amp; ROW()) = 3</formula>
    </cfRule>
    <cfRule type="expression" dxfId="2468" priority="563" stopIfTrue="1">
      <formula xml:space="preserve"> INDIRECT("G" &amp; ROW()) = 4</formula>
    </cfRule>
    <cfRule type="expression" dxfId="2467" priority="564" stopIfTrue="1">
      <formula xml:space="preserve"> INDIRECT("G" &amp; ROW()) = 5</formula>
    </cfRule>
    <cfRule type="expression" dxfId="2466" priority="565" stopIfTrue="1">
      <formula xml:space="preserve"> INDIRECT("G" &amp; ROW()) = 6</formula>
    </cfRule>
  </conditionalFormatting>
  <conditionalFormatting sqref="L38">
    <cfRule type="expression" dxfId="2465" priority="557">
      <formula xml:space="preserve"> $AJ38 = "SIM"</formula>
    </cfRule>
    <cfRule type="expression" dxfId="2464" priority="558">
      <formula xml:space="preserve"> $AI38 = "NFI"</formula>
    </cfRule>
  </conditionalFormatting>
  <conditionalFormatting sqref="L38">
    <cfRule type="expression" dxfId="2463" priority="550" stopIfTrue="1">
      <formula xml:space="preserve"> INDIRECT("G" &amp; ROW()) = 0</formula>
    </cfRule>
    <cfRule type="expression" dxfId="2462" priority="551" stopIfTrue="1">
      <formula xml:space="preserve"> INDIRECT("G" &amp; ROW()) = 1</formula>
    </cfRule>
    <cfRule type="expression" dxfId="2461" priority="552" stopIfTrue="1">
      <formula xml:space="preserve"> INDIRECT("G" &amp; ROW()) = 2</formula>
    </cfRule>
    <cfRule type="expression" dxfId="2460" priority="553" stopIfTrue="1">
      <formula xml:space="preserve"> INDIRECT("G" &amp; ROW()) = 3</formula>
    </cfRule>
    <cfRule type="expression" dxfId="2459" priority="554" stopIfTrue="1">
      <formula xml:space="preserve"> INDIRECT("G" &amp; ROW()) = 4</formula>
    </cfRule>
    <cfRule type="expression" dxfId="2458" priority="555" stopIfTrue="1">
      <formula xml:space="preserve"> INDIRECT("G" &amp; ROW()) = 5</formula>
    </cfRule>
    <cfRule type="expression" dxfId="2457" priority="556" stopIfTrue="1">
      <formula xml:space="preserve"> INDIRECT("G" &amp; ROW()) = 6</formula>
    </cfRule>
  </conditionalFormatting>
  <conditionalFormatting sqref="L39">
    <cfRule type="expression" dxfId="2456" priority="548">
      <formula xml:space="preserve"> $AJ39 = "SIM"</formula>
    </cfRule>
    <cfRule type="expression" dxfId="2455" priority="549">
      <formula xml:space="preserve"> $AI39 = "NFI"</formula>
    </cfRule>
  </conditionalFormatting>
  <conditionalFormatting sqref="L39">
    <cfRule type="expression" dxfId="2454" priority="541" stopIfTrue="1">
      <formula xml:space="preserve"> INDIRECT("G" &amp; ROW()) = 0</formula>
    </cfRule>
    <cfRule type="expression" dxfId="2453" priority="542" stopIfTrue="1">
      <formula xml:space="preserve"> INDIRECT("G" &amp; ROW()) = 1</formula>
    </cfRule>
    <cfRule type="expression" dxfId="2452" priority="543" stopIfTrue="1">
      <formula xml:space="preserve"> INDIRECT("G" &amp; ROW()) = 2</formula>
    </cfRule>
    <cfRule type="expression" dxfId="2451" priority="544" stopIfTrue="1">
      <formula xml:space="preserve"> INDIRECT("G" &amp; ROW()) = 3</formula>
    </cfRule>
    <cfRule type="expression" dxfId="2450" priority="545" stopIfTrue="1">
      <formula xml:space="preserve"> INDIRECT("G" &amp; ROW()) = 4</formula>
    </cfRule>
    <cfRule type="expression" dxfId="2449" priority="546" stopIfTrue="1">
      <formula xml:space="preserve"> INDIRECT("G" &amp; ROW()) = 5</formula>
    </cfRule>
    <cfRule type="expression" dxfId="2448" priority="547" stopIfTrue="1">
      <formula xml:space="preserve"> INDIRECT("G" &amp; ROW()) = 6</formula>
    </cfRule>
  </conditionalFormatting>
  <conditionalFormatting sqref="L40">
    <cfRule type="expression" dxfId="2447" priority="539">
      <formula xml:space="preserve"> $AJ40 = "SIM"</formula>
    </cfRule>
    <cfRule type="expression" dxfId="2446" priority="540">
      <formula xml:space="preserve"> $AI40 = "NFI"</formula>
    </cfRule>
  </conditionalFormatting>
  <conditionalFormatting sqref="L40">
    <cfRule type="expression" dxfId="2445" priority="532" stopIfTrue="1">
      <formula xml:space="preserve"> INDIRECT("G" &amp; ROW()) = 0</formula>
    </cfRule>
    <cfRule type="expression" dxfId="2444" priority="533" stopIfTrue="1">
      <formula xml:space="preserve"> INDIRECT("G" &amp; ROW()) = 1</formula>
    </cfRule>
    <cfRule type="expression" dxfId="2443" priority="534" stopIfTrue="1">
      <formula xml:space="preserve"> INDIRECT("G" &amp; ROW()) = 2</formula>
    </cfRule>
    <cfRule type="expression" dxfId="2442" priority="535" stopIfTrue="1">
      <formula xml:space="preserve"> INDIRECT("G" &amp; ROW()) = 3</formula>
    </cfRule>
    <cfRule type="expression" dxfId="2441" priority="536" stopIfTrue="1">
      <formula xml:space="preserve"> INDIRECT("G" &amp; ROW()) = 4</formula>
    </cfRule>
    <cfRule type="expression" dxfId="2440" priority="537" stopIfTrue="1">
      <formula xml:space="preserve"> INDIRECT("G" &amp; ROW()) = 5</formula>
    </cfRule>
    <cfRule type="expression" dxfId="2439" priority="538" stopIfTrue="1">
      <formula xml:space="preserve"> INDIRECT("G" &amp; ROW()) = 6</formula>
    </cfRule>
  </conditionalFormatting>
  <conditionalFormatting sqref="L41">
    <cfRule type="expression" dxfId="2438" priority="530">
      <formula xml:space="preserve"> $AJ41 = "SIM"</formula>
    </cfRule>
    <cfRule type="expression" dxfId="2437" priority="531">
      <formula xml:space="preserve"> $AI41 = "NFI"</formula>
    </cfRule>
  </conditionalFormatting>
  <conditionalFormatting sqref="L41">
    <cfRule type="expression" dxfId="2436" priority="523" stopIfTrue="1">
      <formula xml:space="preserve"> INDIRECT("G" &amp; ROW()) = 0</formula>
    </cfRule>
    <cfRule type="expression" dxfId="2435" priority="524" stopIfTrue="1">
      <formula xml:space="preserve"> INDIRECT("G" &amp; ROW()) = 1</formula>
    </cfRule>
    <cfRule type="expression" dxfId="2434" priority="525" stopIfTrue="1">
      <formula xml:space="preserve"> INDIRECT("G" &amp; ROW()) = 2</formula>
    </cfRule>
    <cfRule type="expression" dxfId="2433" priority="526" stopIfTrue="1">
      <formula xml:space="preserve"> INDIRECT("G" &amp; ROW()) = 3</formula>
    </cfRule>
    <cfRule type="expression" dxfId="2432" priority="527" stopIfTrue="1">
      <formula xml:space="preserve"> INDIRECT("G" &amp; ROW()) = 4</formula>
    </cfRule>
    <cfRule type="expression" dxfId="2431" priority="528" stopIfTrue="1">
      <formula xml:space="preserve"> INDIRECT("G" &amp; ROW()) = 5</formula>
    </cfRule>
    <cfRule type="expression" dxfId="2430" priority="529" stopIfTrue="1">
      <formula xml:space="preserve"> INDIRECT("G" &amp; ROW()) = 6</formula>
    </cfRule>
  </conditionalFormatting>
  <conditionalFormatting sqref="L42">
    <cfRule type="expression" dxfId="2429" priority="521">
      <formula xml:space="preserve"> $AJ42 = "SIM"</formula>
    </cfRule>
    <cfRule type="expression" dxfId="2428" priority="522">
      <formula xml:space="preserve"> $AI42 = "NFI"</formula>
    </cfRule>
  </conditionalFormatting>
  <conditionalFormatting sqref="L42">
    <cfRule type="expression" dxfId="2427" priority="514" stopIfTrue="1">
      <formula xml:space="preserve"> INDIRECT("G" &amp; ROW()) = 0</formula>
    </cfRule>
    <cfRule type="expression" dxfId="2426" priority="515" stopIfTrue="1">
      <formula xml:space="preserve"> INDIRECT("G" &amp; ROW()) = 1</formula>
    </cfRule>
    <cfRule type="expression" dxfId="2425" priority="516" stopIfTrue="1">
      <formula xml:space="preserve"> INDIRECT("G" &amp; ROW()) = 2</formula>
    </cfRule>
    <cfRule type="expression" dxfId="2424" priority="517" stopIfTrue="1">
      <formula xml:space="preserve"> INDIRECT("G" &amp; ROW()) = 3</formula>
    </cfRule>
    <cfRule type="expression" dxfId="2423" priority="518" stopIfTrue="1">
      <formula xml:space="preserve"> INDIRECT("G" &amp; ROW()) = 4</formula>
    </cfRule>
    <cfRule type="expression" dxfId="2422" priority="519" stopIfTrue="1">
      <formula xml:space="preserve"> INDIRECT("G" &amp; ROW()) = 5</formula>
    </cfRule>
    <cfRule type="expression" dxfId="2421" priority="520" stopIfTrue="1">
      <formula xml:space="preserve"> INDIRECT("G" &amp; ROW()) = 6</formula>
    </cfRule>
  </conditionalFormatting>
  <conditionalFormatting sqref="L43">
    <cfRule type="expression" dxfId="2420" priority="512">
      <formula xml:space="preserve"> $AJ43 = "SIM"</formula>
    </cfRule>
    <cfRule type="expression" dxfId="2419" priority="513">
      <formula xml:space="preserve"> $AI43 = "NFI"</formula>
    </cfRule>
  </conditionalFormatting>
  <conditionalFormatting sqref="L43">
    <cfRule type="expression" dxfId="2418" priority="505" stopIfTrue="1">
      <formula xml:space="preserve"> INDIRECT("G" &amp; ROW()) = 0</formula>
    </cfRule>
    <cfRule type="expression" dxfId="2417" priority="506" stopIfTrue="1">
      <formula xml:space="preserve"> INDIRECT("G" &amp; ROW()) = 1</formula>
    </cfRule>
    <cfRule type="expression" dxfId="2416" priority="507" stopIfTrue="1">
      <formula xml:space="preserve"> INDIRECT("G" &amp; ROW()) = 2</formula>
    </cfRule>
    <cfRule type="expression" dxfId="2415" priority="508" stopIfTrue="1">
      <formula xml:space="preserve"> INDIRECT("G" &amp; ROW()) = 3</formula>
    </cfRule>
    <cfRule type="expression" dxfId="2414" priority="509" stopIfTrue="1">
      <formula xml:space="preserve"> INDIRECT("G" &amp; ROW()) = 4</formula>
    </cfRule>
    <cfRule type="expression" dxfId="2413" priority="510" stopIfTrue="1">
      <formula xml:space="preserve"> INDIRECT("G" &amp; ROW()) = 5</formula>
    </cfRule>
    <cfRule type="expression" dxfId="2412" priority="511" stopIfTrue="1">
      <formula xml:space="preserve"> INDIRECT("G" &amp; ROW()) = 6</formula>
    </cfRule>
  </conditionalFormatting>
  <conditionalFormatting sqref="L45">
    <cfRule type="expression" dxfId="2411" priority="503">
      <formula xml:space="preserve"> $AJ45 = "SIM"</formula>
    </cfRule>
    <cfRule type="expression" dxfId="2410" priority="504">
      <formula xml:space="preserve"> $AI45 = "NFI"</formula>
    </cfRule>
  </conditionalFormatting>
  <conditionalFormatting sqref="L45">
    <cfRule type="expression" dxfId="2409" priority="496" stopIfTrue="1">
      <formula xml:space="preserve"> INDIRECT("G" &amp; ROW()) = 0</formula>
    </cfRule>
    <cfRule type="expression" dxfId="2408" priority="497" stopIfTrue="1">
      <formula xml:space="preserve"> INDIRECT("G" &amp; ROW()) = 1</formula>
    </cfRule>
    <cfRule type="expression" dxfId="2407" priority="498" stopIfTrue="1">
      <formula xml:space="preserve"> INDIRECT("G" &amp; ROW()) = 2</formula>
    </cfRule>
    <cfRule type="expression" dxfId="2406" priority="499" stopIfTrue="1">
      <formula xml:space="preserve"> INDIRECT("G" &amp; ROW()) = 3</formula>
    </cfRule>
    <cfRule type="expression" dxfId="2405" priority="500" stopIfTrue="1">
      <formula xml:space="preserve"> INDIRECT("G" &amp; ROW()) = 4</formula>
    </cfRule>
    <cfRule type="expression" dxfId="2404" priority="501" stopIfTrue="1">
      <formula xml:space="preserve"> INDIRECT("G" &amp; ROW()) = 5</formula>
    </cfRule>
    <cfRule type="expression" dxfId="2403" priority="502" stopIfTrue="1">
      <formula xml:space="preserve"> INDIRECT("G" &amp; ROW()) = 6</formula>
    </cfRule>
  </conditionalFormatting>
  <conditionalFormatting sqref="L46">
    <cfRule type="expression" dxfId="2402" priority="494">
      <formula xml:space="preserve"> $AJ46 = "SIM"</formula>
    </cfRule>
    <cfRule type="expression" dxfId="2401" priority="495">
      <formula xml:space="preserve"> $AI46 = "NFI"</formula>
    </cfRule>
  </conditionalFormatting>
  <conditionalFormatting sqref="L46">
    <cfRule type="expression" dxfId="2400" priority="487" stopIfTrue="1">
      <formula xml:space="preserve"> INDIRECT("G" &amp; ROW()) = 0</formula>
    </cfRule>
    <cfRule type="expression" dxfId="2399" priority="488" stopIfTrue="1">
      <formula xml:space="preserve"> INDIRECT("G" &amp; ROW()) = 1</formula>
    </cfRule>
    <cfRule type="expression" dxfId="2398" priority="489" stopIfTrue="1">
      <formula xml:space="preserve"> INDIRECT("G" &amp; ROW()) = 2</formula>
    </cfRule>
    <cfRule type="expression" dxfId="2397" priority="490" stopIfTrue="1">
      <formula xml:space="preserve"> INDIRECT("G" &amp; ROW()) = 3</formula>
    </cfRule>
    <cfRule type="expression" dxfId="2396" priority="491" stopIfTrue="1">
      <formula xml:space="preserve"> INDIRECT("G" &amp; ROW()) = 4</formula>
    </cfRule>
    <cfRule type="expression" dxfId="2395" priority="492" stopIfTrue="1">
      <formula xml:space="preserve"> INDIRECT("G" &amp; ROW()) = 5</formula>
    </cfRule>
    <cfRule type="expression" dxfId="2394" priority="493" stopIfTrue="1">
      <formula xml:space="preserve"> INDIRECT("G" &amp; ROW()) = 6</formula>
    </cfRule>
  </conditionalFormatting>
  <conditionalFormatting sqref="N6">
    <cfRule type="expression" dxfId="2393" priority="485">
      <formula xml:space="preserve"> $AJ6 = "SIM"</formula>
    </cfRule>
    <cfRule type="expression" dxfId="2392" priority="486">
      <formula xml:space="preserve"> $AI6 = "NFI"</formula>
    </cfRule>
  </conditionalFormatting>
  <conditionalFormatting sqref="N6">
    <cfRule type="expression" dxfId="2391" priority="478" stopIfTrue="1">
      <formula xml:space="preserve"> INDIRECT("G" &amp; ROW()) = 0</formula>
    </cfRule>
    <cfRule type="expression" dxfId="2390" priority="479" stopIfTrue="1">
      <formula xml:space="preserve"> INDIRECT("G" &amp; ROW()) = 1</formula>
    </cfRule>
    <cfRule type="expression" dxfId="2389" priority="480" stopIfTrue="1">
      <formula xml:space="preserve"> INDIRECT("G" &amp; ROW()) = 2</formula>
    </cfRule>
    <cfRule type="expression" dxfId="2388" priority="481" stopIfTrue="1">
      <formula xml:space="preserve"> INDIRECT("G" &amp; ROW()) = 3</formula>
    </cfRule>
    <cfRule type="expression" dxfId="2387" priority="482" stopIfTrue="1">
      <formula xml:space="preserve"> INDIRECT("G" &amp; ROW()) = 4</formula>
    </cfRule>
    <cfRule type="expression" dxfId="2386" priority="483" stopIfTrue="1">
      <formula xml:space="preserve"> INDIRECT("G" &amp; ROW()) = 5</formula>
    </cfRule>
    <cfRule type="expression" dxfId="2385" priority="484" stopIfTrue="1">
      <formula xml:space="preserve"> INDIRECT("G" &amp; ROW()) = 6</formula>
    </cfRule>
  </conditionalFormatting>
  <conditionalFormatting sqref="M6">
    <cfRule type="expression" dxfId="2384" priority="476">
      <formula xml:space="preserve"> $AJ6 = "SIM"</formula>
    </cfRule>
    <cfRule type="expression" dxfId="2383" priority="477">
      <formula xml:space="preserve"> $AI6 = "NFI"</formula>
    </cfRule>
  </conditionalFormatting>
  <conditionalFormatting sqref="M6">
    <cfRule type="expression" dxfId="2382" priority="469" stopIfTrue="1">
      <formula xml:space="preserve"> INDIRECT("G" &amp; ROW()) = 0</formula>
    </cfRule>
    <cfRule type="expression" dxfId="2381" priority="470" stopIfTrue="1">
      <formula xml:space="preserve"> INDIRECT("G" &amp; ROW()) = 1</formula>
    </cfRule>
    <cfRule type="expression" dxfId="2380" priority="471" stopIfTrue="1">
      <formula xml:space="preserve"> INDIRECT("G" &amp; ROW()) = 2</formula>
    </cfRule>
    <cfRule type="expression" dxfId="2379" priority="472" stopIfTrue="1">
      <formula xml:space="preserve"> INDIRECT("G" &amp; ROW()) = 3</formula>
    </cfRule>
    <cfRule type="expression" dxfId="2378" priority="473" stopIfTrue="1">
      <formula xml:space="preserve"> INDIRECT("G" &amp; ROW()) = 4</formula>
    </cfRule>
    <cfRule type="expression" dxfId="2377" priority="474" stopIfTrue="1">
      <formula xml:space="preserve"> INDIRECT("G" &amp; ROW()) = 5</formula>
    </cfRule>
    <cfRule type="expression" dxfId="2376" priority="475" stopIfTrue="1">
      <formula xml:space="preserve"> INDIRECT("G" &amp; ROW()) = 6</formula>
    </cfRule>
  </conditionalFormatting>
  <conditionalFormatting sqref="N12">
    <cfRule type="expression" dxfId="2375" priority="467">
      <formula xml:space="preserve"> $AJ12 = "SIM"</formula>
    </cfRule>
    <cfRule type="expression" dxfId="2374" priority="468">
      <formula xml:space="preserve"> $AI12 = "NFI"</formula>
    </cfRule>
  </conditionalFormatting>
  <conditionalFormatting sqref="N12">
    <cfRule type="expression" dxfId="2373" priority="460" stopIfTrue="1">
      <formula xml:space="preserve"> INDIRECT("G" &amp; ROW()) = 0</formula>
    </cfRule>
    <cfRule type="expression" dxfId="2372" priority="461" stopIfTrue="1">
      <formula xml:space="preserve"> INDIRECT("G" &amp; ROW()) = 1</formula>
    </cfRule>
    <cfRule type="expression" dxfId="2371" priority="462" stopIfTrue="1">
      <formula xml:space="preserve"> INDIRECT("G" &amp; ROW()) = 2</formula>
    </cfRule>
    <cfRule type="expression" dxfId="2370" priority="463" stopIfTrue="1">
      <formula xml:space="preserve"> INDIRECT("G" &amp; ROW()) = 3</formula>
    </cfRule>
    <cfRule type="expression" dxfId="2369" priority="464" stopIfTrue="1">
      <formula xml:space="preserve"> INDIRECT("G" &amp; ROW()) = 4</formula>
    </cfRule>
    <cfRule type="expression" dxfId="2368" priority="465" stopIfTrue="1">
      <formula xml:space="preserve"> INDIRECT("G" &amp; ROW()) = 5</formula>
    </cfRule>
    <cfRule type="expression" dxfId="2367" priority="466" stopIfTrue="1">
      <formula xml:space="preserve"> INDIRECT("G" &amp; ROW()) = 6</formula>
    </cfRule>
  </conditionalFormatting>
  <conditionalFormatting sqref="N13">
    <cfRule type="expression" dxfId="2366" priority="458">
      <formula xml:space="preserve"> $AJ13 = "SIM"</formula>
    </cfRule>
    <cfRule type="expression" dxfId="2365" priority="459">
      <formula xml:space="preserve"> $AI13 = "NFI"</formula>
    </cfRule>
  </conditionalFormatting>
  <conditionalFormatting sqref="N13">
    <cfRule type="expression" dxfId="2364" priority="451" stopIfTrue="1">
      <formula xml:space="preserve"> INDIRECT("G" &amp; ROW()) = 0</formula>
    </cfRule>
    <cfRule type="expression" dxfId="2363" priority="452" stopIfTrue="1">
      <formula xml:space="preserve"> INDIRECT("G" &amp; ROW()) = 1</formula>
    </cfRule>
    <cfRule type="expression" dxfId="2362" priority="453" stopIfTrue="1">
      <formula xml:space="preserve"> INDIRECT("G" &amp; ROW()) = 2</formula>
    </cfRule>
    <cfRule type="expression" dxfId="2361" priority="454" stopIfTrue="1">
      <formula xml:space="preserve"> INDIRECT("G" &amp; ROW()) = 3</formula>
    </cfRule>
    <cfRule type="expression" dxfId="2360" priority="455" stopIfTrue="1">
      <formula xml:space="preserve"> INDIRECT("G" &amp; ROW()) = 4</formula>
    </cfRule>
    <cfRule type="expression" dxfId="2359" priority="456" stopIfTrue="1">
      <formula xml:space="preserve"> INDIRECT("G" &amp; ROW()) = 5</formula>
    </cfRule>
    <cfRule type="expression" dxfId="2358" priority="457" stopIfTrue="1">
      <formula xml:space="preserve"> INDIRECT("G" &amp; ROW()) = 6</formula>
    </cfRule>
  </conditionalFormatting>
  <conditionalFormatting sqref="N14">
    <cfRule type="expression" dxfId="2357" priority="449">
      <formula xml:space="preserve"> $AJ14 = "SIM"</formula>
    </cfRule>
    <cfRule type="expression" dxfId="2356" priority="450">
      <formula xml:space="preserve"> $AI14 = "NFI"</formula>
    </cfRule>
  </conditionalFormatting>
  <conditionalFormatting sqref="N14">
    <cfRule type="expression" dxfId="2355" priority="442" stopIfTrue="1">
      <formula xml:space="preserve"> INDIRECT("G" &amp; ROW()) = 0</formula>
    </cfRule>
    <cfRule type="expression" dxfId="2354" priority="443" stopIfTrue="1">
      <formula xml:space="preserve"> INDIRECT("G" &amp; ROW()) = 1</formula>
    </cfRule>
    <cfRule type="expression" dxfId="2353" priority="444" stopIfTrue="1">
      <formula xml:space="preserve"> INDIRECT("G" &amp; ROW()) = 2</formula>
    </cfRule>
    <cfRule type="expression" dxfId="2352" priority="445" stopIfTrue="1">
      <formula xml:space="preserve"> INDIRECT("G" &amp; ROW()) = 3</formula>
    </cfRule>
    <cfRule type="expression" dxfId="2351" priority="446" stopIfTrue="1">
      <formula xml:space="preserve"> INDIRECT("G" &amp; ROW()) = 4</formula>
    </cfRule>
    <cfRule type="expression" dxfId="2350" priority="447" stopIfTrue="1">
      <formula xml:space="preserve"> INDIRECT("G" &amp; ROW()) = 5</formula>
    </cfRule>
    <cfRule type="expression" dxfId="2349" priority="448" stopIfTrue="1">
      <formula xml:space="preserve"> INDIRECT("G" &amp; ROW()) = 6</formula>
    </cfRule>
  </conditionalFormatting>
  <conditionalFormatting sqref="N15">
    <cfRule type="expression" dxfId="2348" priority="440">
      <formula xml:space="preserve"> $AJ15 = "SIM"</formula>
    </cfRule>
    <cfRule type="expression" dxfId="2347" priority="441">
      <formula xml:space="preserve"> $AI15 = "NFI"</formula>
    </cfRule>
  </conditionalFormatting>
  <conditionalFormatting sqref="N15">
    <cfRule type="expression" dxfId="2346" priority="433" stopIfTrue="1">
      <formula xml:space="preserve"> INDIRECT("G" &amp; ROW()) = 0</formula>
    </cfRule>
    <cfRule type="expression" dxfId="2345" priority="434" stopIfTrue="1">
      <formula xml:space="preserve"> INDIRECT("G" &amp; ROW()) = 1</formula>
    </cfRule>
    <cfRule type="expression" dxfId="2344" priority="435" stopIfTrue="1">
      <formula xml:space="preserve"> INDIRECT("G" &amp; ROW()) = 2</formula>
    </cfRule>
    <cfRule type="expression" dxfId="2343" priority="436" stopIfTrue="1">
      <formula xml:space="preserve"> INDIRECT("G" &amp; ROW()) = 3</formula>
    </cfRule>
    <cfRule type="expression" dxfId="2342" priority="437" stopIfTrue="1">
      <formula xml:space="preserve"> INDIRECT("G" &amp; ROW()) = 4</formula>
    </cfRule>
    <cfRule type="expression" dxfId="2341" priority="438" stopIfTrue="1">
      <formula xml:space="preserve"> INDIRECT("G" &amp; ROW()) = 5</formula>
    </cfRule>
    <cfRule type="expression" dxfId="2340" priority="439" stopIfTrue="1">
      <formula xml:space="preserve"> INDIRECT("G" &amp; ROW()) = 6</formula>
    </cfRule>
  </conditionalFormatting>
  <conditionalFormatting sqref="N16">
    <cfRule type="expression" dxfId="2339" priority="431">
      <formula xml:space="preserve"> $AJ16 = "SIM"</formula>
    </cfRule>
    <cfRule type="expression" dxfId="2338" priority="432">
      <formula xml:space="preserve"> $AI16 = "NFI"</formula>
    </cfRule>
  </conditionalFormatting>
  <conditionalFormatting sqref="N16">
    <cfRule type="expression" dxfId="2337" priority="424" stopIfTrue="1">
      <formula xml:space="preserve"> INDIRECT("G" &amp; ROW()) = 0</formula>
    </cfRule>
    <cfRule type="expression" dxfId="2336" priority="425" stopIfTrue="1">
      <formula xml:space="preserve"> INDIRECT("G" &amp; ROW()) = 1</formula>
    </cfRule>
    <cfRule type="expression" dxfId="2335" priority="426" stopIfTrue="1">
      <formula xml:space="preserve"> INDIRECT("G" &amp; ROW()) = 2</formula>
    </cfRule>
    <cfRule type="expression" dxfId="2334" priority="427" stopIfTrue="1">
      <formula xml:space="preserve"> INDIRECT("G" &amp; ROW()) = 3</formula>
    </cfRule>
    <cfRule type="expression" dxfId="2333" priority="428" stopIfTrue="1">
      <formula xml:space="preserve"> INDIRECT("G" &amp; ROW()) = 4</formula>
    </cfRule>
    <cfRule type="expression" dxfId="2332" priority="429" stopIfTrue="1">
      <formula xml:space="preserve"> INDIRECT("G" &amp; ROW()) = 5</formula>
    </cfRule>
    <cfRule type="expression" dxfId="2331" priority="430" stopIfTrue="1">
      <formula xml:space="preserve"> INDIRECT("G" &amp; ROW()) = 6</formula>
    </cfRule>
  </conditionalFormatting>
  <conditionalFormatting sqref="N17">
    <cfRule type="expression" dxfId="2330" priority="422">
      <formula xml:space="preserve"> $AJ17 = "SIM"</formula>
    </cfRule>
    <cfRule type="expression" dxfId="2329" priority="423">
      <formula xml:space="preserve"> $AI17 = "NFI"</formula>
    </cfRule>
  </conditionalFormatting>
  <conditionalFormatting sqref="N17">
    <cfRule type="expression" dxfId="2328" priority="415" stopIfTrue="1">
      <formula xml:space="preserve"> INDIRECT("G" &amp; ROW()) = 0</formula>
    </cfRule>
    <cfRule type="expression" dxfId="2327" priority="416" stopIfTrue="1">
      <formula xml:space="preserve"> INDIRECT("G" &amp; ROW()) = 1</formula>
    </cfRule>
    <cfRule type="expression" dxfId="2326" priority="417" stopIfTrue="1">
      <formula xml:space="preserve"> INDIRECT("G" &amp; ROW()) = 2</formula>
    </cfRule>
    <cfRule type="expression" dxfId="2325" priority="418" stopIfTrue="1">
      <formula xml:space="preserve"> INDIRECT("G" &amp; ROW()) = 3</formula>
    </cfRule>
    <cfRule type="expression" dxfId="2324" priority="419" stopIfTrue="1">
      <formula xml:space="preserve"> INDIRECT("G" &amp; ROW()) = 4</formula>
    </cfRule>
    <cfRule type="expression" dxfId="2323" priority="420" stopIfTrue="1">
      <formula xml:space="preserve"> INDIRECT("G" &amp; ROW()) = 5</formula>
    </cfRule>
    <cfRule type="expression" dxfId="2322" priority="421" stopIfTrue="1">
      <formula xml:space="preserve"> INDIRECT("G" &amp; ROW()) = 6</formula>
    </cfRule>
  </conditionalFormatting>
  <conditionalFormatting sqref="N19">
    <cfRule type="expression" dxfId="2321" priority="413">
      <formula xml:space="preserve"> $AJ19 = "SIM"</formula>
    </cfRule>
    <cfRule type="expression" dxfId="2320" priority="414">
      <formula xml:space="preserve"> $AI19 = "NFI"</formula>
    </cfRule>
  </conditionalFormatting>
  <conditionalFormatting sqref="N19">
    <cfRule type="expression" dxfId="2319" priority="406" stopIfTrue="1">
      <formula xml:space="preserve"> INDIRECT("G" &amp; ROW()) = 0</formula>
    </cfRule>
    <cfRule type="expression" dxfId="2318" priority="407" stopIfTrue="1">
      <formula xml:space="preserve"> INDIRECT("G" &amp; ROW()) = 1</formula>
    </cfRule>
    <cfRule type="expression" dxfId="2317" priority="408" stopIfTrue="1">
      <formula xml:space="preserve"> INDIRECT("G" &amp; ROW()) = 2</formula>
    </cfRule>
    <cfRule type="expression" dxfId="2316" priority="409" stopIfTrue="1">
      <formula xml:space="preserve"> INDIRECT("G" &amp; ROW()) = 3</formula>
    </cfRule>
    <cfRule type="expression" dxfId="2315" priority="410" stopIfTrue="1">
      <formula xml:space="preserve"> INDIRECT("G" &amp; ROW()) = 4</formula>
    </cfRule>
    <cfRule type="expression" dxfId="2314" priority="411" stopIfTrue="1">
      <formula xml:space="preserve"> INDIRECT("G" &amp; ROW()) = 5</formula>
    </cfRule>
    <cfRule type="expression" dxfId="2313" priority="412" stopIfTrue="1">
      <formula xml:space="preserve"> INDIRECT("G" &amp; ROW()) = 6</formula>
    </cfRule>
  </conditionalFormatting>
  <conditionalFormatting sqref="N20">
    <cfRule type="expression" dxfId="2312" priority="404">
      <formula xml:space="preserve"> $AJ20 = "SIM"</formula>
    </cfRule>
    <cfRule type="expression" dxfId="2311" priority="405">
      <formula xml:space="preserve"> $AI20 = "NFI"</formula>
    </cfRule>
  </conditionalFormatting>
  <conditionalFormatting sqref="N20">
    <cfRule type="expression" dxfId="2310" priority="397" stopIfTrue="1">
      <formula xml:space="preserve"> INDIRECT("G" &amp; ROW()) = 0</formula>
    </cfRule>
    <cfRule type="expression" dxfId="2309" priority="398" stopIfTrue="1">
      <formula xml:space="preserve"> INDIRECT("G" &amp; ROW()) = 1</formula>
    </cfRule>
    <cfRule type="expression" dxfId="2308" priority="399" stopIfTrue="1">
      <formula xml:space="preserve"> INDIRECT("G" &amp; ROW()) = 2</formula>
    </cfRule>
    <cfRule type="expression" dxfId="2307" priority="400" stopIfTrue="1">
      <formula xml:space="preserve"> INDIRECT("G" &amp; ROW()) = 3</formula>
    </cfRule>
    <cfRule type="expression" dxfId="2306" priority="401" stopIfTrue="1">
      <formula xml:space="preserve"> INDIRECT("G" &amp; ROW()) = 4</formula>
    </cfRule>
    <cfRule type="expression" dxfId="2305" priority="402" stopIfTrue="1">
      <formula xml:space="preserve"> INDIRECT("G" &amp; ROW()) = 5</formula>
    </cfRule>
    <cfRule type="expression" dxfId="2304" priority="403" stopIfTrue="1">
      <formula xml:space="preserve"> INDIRECT("G" &amp; ROW()) = 6</formula>
    </cfRule>
  </conditionalFormatting>
  <conditionalFormatting sqref="N21">
    <cfRule type="expression" dxfId="2303" priority="395">
      <formula xml:space="preserve"> $AJ21 = "SIM"</formula>
    </cfRule>
    <cfRule type="expression" dxfId="2302" priority="396">
      <formula xml:space="preserve"> $AI21 = "NFI"</formula>
    </cfRule>
  </conditionalFormatting>
  <conditionalFormatting sqref="N21">
    <cfRule type="expression" dxfId="2301" priority="388" stopIfTrue="1">
      <formula xml:space="preserve"> INDIRECT("G" &amp; ROW()) = 0</formula>
    </cfRule>
    <cfRule type="expression" dxfId="2300" priority="389" stopIfTrue="1">
      <formula xml:space="preserve"> INDIRECT("G" &amp; ROW()) = 1</formula>
    </cfRule>
    <cfRule type="expression" dxfId="2299" priority="390" stopIfTrue="1">
      <formula xml:space="preserve"> INDIRECT("G" &amp; ROW()) = 2</formula>
    </cfRule>
    <cfRule type="expression" dxfId="2298" priority="391" stopIfTrue="1">
      <formula xml:space="preserve"> INDIRECT("G" &amp; ROW()) = 3</formula>
    </cfRule>
    <cfRule type="expression" dxfId="2297" priority="392" stopIfTrue="1">
      <formula xml:space="preserve"> INDIRECT("G" &amp; ROW()) = 4</formula>
    </cfRule>
    <cfRule type="expression" dxfId="2296" priority="393" stopIfTrue="1">
      <formula xml:space="preserve"> INDIRECT("G" &amp; ROW()) = 5</formula>
    </cfRule>
    <cfRule type="expression" dxfId="2295" priority="394" stopIfTrue="1">
      <formula xml:space="preserve"> INDIRECT("G" &amp; ROW()) = 6</formula>
    </cfRule>
  </conditionalFormatting>
  <conditionalFormatting sqref="N22">
    <cfRule type="expression" dxfId="2294" priority="386">
      <formula xml:space="preserve"> $AJ22 = "SIM"</formula>
    </cfRule>
    <cfRule type="expression" dxfId="2293" priority="387">
      <formula xml:space="preserve"> $AI22 = "NFI"</formula>
    </cfRule>
  </conditionalFormatting>
  <conditionalFormatting sqref="N22">
    <cfRule type="expression" dxfId="2292" priority="379" stopIfTrue="1">
      <formula xml:space="preserve"> INDIRECT("G" &amp; ROW()) = 0</formula>
    </cfRule>
    <cfRule type="expression" dxfId="2291" priority="380" stopIfTrue="1">
      <formula xml:space="preserve"> INDIRECT("G" &amp; ROW()) = 1</formula>
    </cfRule>
    <cfRule type="expression" dxfId="2290" priority="381" stopIfTrue="1">
      <formula xml:space="preserve"> INDIRECT("G" &amp; ROW()) = 2</formula>
    </cfRule>
    <cfRule type="expression" dxfId="2289" priority="382" stopIfTrue="1">
      <formula xml:space="preserve"> INDIRECT("G" &amp; ROW()) = 3</formula>
    </cfRule>
    <cfRule type="expression" dxfId="2288" priority="383" stopIfTrue="1">
      <formula xml:space="preserve"> INDIRECT("G" &amp; ROW()) = 4</formula>
    </cfRule>
    <cfRule type="expression" dxfId="2287" priority="384" stopIfTrue="1">
      <formula xml:space="preserve"> INDIRECT("G" &amp; ROW()) = 5</formula>
    </cfRule>
    <cfRule type="expression" dxfId="2286" priority="385" stopIfTrue="1">
      <formula xml:space="preserve"> INDIRECT("G" &amp; ROW()) = 6</formula>
    </cfRule>
  </conditionalFormatting>
  <conditionalFormatting sqref="N23">
    <cfRule type="expression" dxfId="2285" priority="377">
      <formula xml:space="preserve"> $AJ23 = "SIM"</formula>
    </cfRule>
    <cfRule type="expression" dxfId="2284" priority="378">
      <formula xml:space="preserve"> $AI23 = "NFI"</formula>
    </cfRule>
  </conditionalFormatting>
  <conditionalFormatting sqref="N23">
    <cfRule type="expression" dxfId="2283" priority="370" stopIfTrue="1">
      <formula xml:space="preserve"> INDIRECT("G" &amp; ROW()) = 0</formula>
    </cfRule>
    <cfRule type="expression" dxfId="2282" priority="371" stopIfTrue="1">
      <formula xml:space="preserve"> INDIRECT("G" &amp; ROW()) = 1</formula>
    </cfRule>
    <cfRule type="expression" dxfId="2281" priority="372" stopIfTrue="1">
      <formula xml:space="preserve"> INDIRECT("G" &amp; ROW()) = 2</formula>
    </cfRule>
    <cfRule type="expression" dxfId="2280" priority="373" stopIfTrue="1">
      <formula xml:space="preserve"> INDIRECT("G" &amp; ROW()) = 3</formula>
    </cfRule>
    <cfRule type="expression" dxfId="2279" priority="374" stopIfTrue="1">
      <formula xml:space="preserve"> INDIRECT("G" &amp; ROW()) = 4</formula>
    </cfRule>
    <cfRule type="expression" dxfId="2278" priority="375" stopIfTrue="1">
      <formula xml:space="preserve"> INDIRECT("G" &amp; ROW()) = 5</formula>
    </cfRule>
    <cfRule type="expression" dxfId="2277" priority="376" stopIfTrue="1">
      <formula xml:space="preserve"> INDIRECT("G" &amp; ROW()) = 6</formula>
    </cfRule>
  </conditionalFormatting>
  <conditionalFormatting sqref="N24">
    <cfRule type="expression" dxfId="2276" priority="368">
      <formula xml:space="preserve"> $AJ24 = "SIM"</formula>
    </cfRule>
    <cfRule type="expression" dxfId="2275" priority="369">
      <formula xml:space="preserve"> $AI24 = "NFI"</formula>
    </cfRule>
  </conditionalFormatting>
  <conditionalFormatting sqref="N24">
    <cfRule type="expression" dxfId="2274" priority="361" stopIfTrue="1">
      <formula xml:space="preserve"> INDIRECT("G" &amp; ROW()) = 0</formula>
    </cfRule>
    <cfRule type="expression" dxfId="2273" priority="362" stopIfTrue="1">
      <formula xml:space="preserve"> INDIRECT("G" &amp; ROW()) = 1</formula>
    </cfRule>
    <cfRule type="expression" dxfId="2272" priority="363" stopIfTrue="1">
      <formula xml:space="preserve"> INDIRECT("G" &amp; ROW()) = 2</formula>
    </cfRule>
    <cfRule type="expression" dxfId="2271" priority="364" stopIfTrue="1">
      <formula xml:space="preserve"> INDIRECT("G" &amp; ROW()) = 3</formula>
    </cfRule>
    <cfRule type="expression" dxfId="2270" priority="365" stopIfTrue="1">
      <formula xml:space="preserve"> INDIRECT("G" &amp; ROW()) = 4</formula>
    </cfRule>
    <cfRule type="expression" dxfId="2269" priority="366" stopIfTrue="1">
      <formula xml:space="preserve"> INDIRECT("G" &amp; ROW()) = 5</formula>
    </cfRule>
    <cfRule type="expression" dxfId="2268" priority="367" stopIfTrue="1">
      <formula xml:space="preserve"> INDIRECT("G" &amp; ROW()) = 6</formula>
    </cfRule>
  </conditionalFormatting>
  <conditionalFormatting sqref="N31">
    <cfRule type="expression" dxfId="2267" priority="359">
      <formula xml:space="preserve"> $AJ31 = "SIM"</formula>
    </cfRule>
    <cfRule type="expression" dxfId="2266" priority="360">
      <formula xml:space="preserve"> $AI31 = "NFI"</formula>
    </cfRule>
  </conditionalFormatting>
  <conditionalFormatting sqref="N31">
    <cfRule type="expression" dxfId="2265" priority="352" stopIfTrue="1">
      <formula xml:space="preserve"> INDIRECT("G" &amp; ROW()) = 0</formula>
    </cfRule>
    <cfRule type="expression" dxfId="2264" priority="353" stopIfTrue="1">
      <formula xml:space="preserve"> INDIRECT("G" &amp; ROW()) = 1</formula>
    </cfRule>
    <cfRule type="expression" dxfId="2263" priority="354" stopIfTrue="1">
      <formula xml:space="preserve"> INDIRECT("G" &amp; ROW()) = 2</formula>
    </cfRule>
    <cfRule type="expression" dxfId="2262" priority="355" stopIfTrue="1">
      <formula xml:space="preserve"> INDIRECT("G" &amp; ROW()) = 3</formula>
    </cfRule>
    <cfRule type="expression" dxfId="2261" priority="356" stopIfTrue="1">
      <formula xml:space="preserve"> INDIRECT("G" &amp; ROW()) = 4</formula>
    </cfRule>
    <cfRule type="expression" dxfId="2260" priority="357" stopIfTrue="1">
      <formula xml:space="preserve"> INDIRECT("G" &amp; ROW()) = 5</formula>
    </cfRule>
    <cfRule type="expression" dxfId="2259" priority="358" stopIfTrue="1">
      <formula xml:space="preserve"> INDIRECT("G" &amp; ROW()) = 6</formula>
    </cfRule>
  </conditionalFormatting>
  <conditionalFormatting sqref="N32">
    <cfRule type="expression" dxfId="2258" priority="350">
      <formula xml:space="preserve"> $AJ32 = "SIM"</formula>
    </cfRule>
    <cfRule type="expression" dxfId="2257" priority="351">
      <formula xml:space="preserve"> $AI32 = "NFI"</formula>
    </cfRule>
  </conditionalFormatting>
  <conditionalFormatting sqref="N32">
    <cfRule type="expression" dxfId="2256" priority="343" stopIfTrue="1">
      <formula xml:space="preserve"> INDIRECT("G" &amp; ROW()) = 0</formula>
    </cfRule>
    <cfRule type="expression" dxfId="2255" priority="344" stopIfTrue="1">
      <formula xml:space="preserve"> INDIRECT("G" &amp; ROW()) = 1</formula>
    </cfRule>
    <cfRule type="expression" dxfId="2254" priority="345" stopIfTrue="1">
      <formula xml:space="preserve"> INDIRECT("G" &amp; ROW()) = 2</formula>
    </cfRule>
    <cfRule type="expression" dxfId="2253" priority="346" stopIfTrue="1">
      <formula xml:space="preserve"> INDIRECT("G" &amp; ROW()) = 3</formula>
    </cfRule>
    <cfRule type="expression" dxfId="2252" priority="347" stopIfTrue="1">
      <formula xml:space="preserve"> INDIRECT("G" &amp; ROW()) = 4</formula>
    </cfRule>
    <cfRule type="expression" dxfId="2251" priority="348" stopIfTrue="1">
      <formula xml:space="preserve"> INDIRECT("G" &amp; ROW()) = 5</formula>
    </cfRule>
    <cfRule type="expression" dxfId="2250" priority="349" stopIfTrue="1">
      <formula xml:space="preserve"> INDIRECT("G" &amp; ROW()) = 6</formula>
    </cfRule>
  </conditionalFormatting>
  <conditionalFormatting sqref="N33">
    <cfRule type="expression" dxfId="2249" priority="341">
      <formula xml:space="preserve"> $AJ33 = "SIM"</formula>
    </cfRule>
    <cfRule type="expression" dxfId="2248" priority="342">
      <formula xml:space="preserve"> $AI33 = "NFI"</formula>
    </cfRule>
  </conditionalFormatting>
  <conditionalFormatting sqref="N33">
    <cfRule type="expression" dxfId="2247" priority="334" stopIfTrue="1">
      <formula xml:space="preserve"> INDIRECT("G" &amp; ROW()) = 0</formula>
    </cfRule>
    <cfRule type="expression" dxfId="2246" priority="335" stopIfTrue="1">
      <formula xml:space="preserve"> INDIRECT("G" &amp; ROW()) = 1</formula>
    </cfRule>
    <cfRule type="expression" dxfId="2245" priority="336" stopIfTrue="1">
      <formula xml:space="preserve"> INDIRECT("G" &amp; ROW()) = 2</formula>
    </cfRule>
    <cfRule type="expression" dxfId="2244" priority="337" stopIfTrue="1">
      <formula xml:space="preserve"> INDIRECT("G" &amp; ROW()) = 3</formula>
    </cfRule>
    <cfRule type="expression" dxfId="2243" priority="338" stopIfTrue="1">
      <formula xml:space="preserve"> INDIRECT("G" &amp; ROW()) = 4</formula>
    </cfRule>
    <cfRule type="expression" dxfId="2242" priority="339" stopIfTrue="1">
      <formula xml:space="preserve"> INDIRECT("G" &amp; ROW()) = 5</formula>
    </cfRule>
    <cfRule type="expression" dxfId="2241" priority="340" stopIfTrue="1">
      <formula xml:space="preserve"> INDIRECT("G" &amp; ROW()) = 6</formula>
    </cfRule>
  </conditionalFormatting>
  <conditionalFormatting sqref="N34">
    <cfRule type="expression" dxfId="2240" priority="332">
      <formula xml:space="preserve"> $AJ34 = "SIM"</formula>
    </cfRule>
    <cfRule type="expression" dxfId="2239" priority="333">
      <formula xml:space="preserve"> $AI34 = "NFI"</formula>
    </cfRule>
  </conditionalFormatting>
  <conditionalFormatting sqref="N34">
    <cfRule type="expression" dxfId="2238" priority="325" stopIfTrue="1">
      <formula xml:space="preserve"> INDIRECT("G" &amp; ROW()) = 0</formula>
    </cfRule>
    <cfRule type="expression" dxfId="2237" priority="326" stopIfTrue="1">
      <formula xml:space="preserve"> INDIRECT("G" &amp; ROW()) = 1</formula>
    </cfRule>
    <cfRule type="expression" dxfId="2236" priority="327" stopIfTrue="1">
      <formula xml:space="preserve"> INDIRECT("G" &amp; ROW()) = 2</formula>
    </cfRule>
    <cfRule type="expression" dxfId="2235" priority="328" stopIfTrue="1">
      <formula xml:space="preserve"> INDIRECT("G" &amp; ROW()) = 3</formula>
    </cfRule>
    <cfRule type="expression" dxfId="2234" priority="329" stopIfTrue="1">
      <formula xml:space="preserve"> INDIRECT("G" &amp; ROW()) = 4</formula>
    </cfRule>
    <cfRule type="expression" dxfId="2233" priority="330" stopIfTrue="1">
      <formula xml:space="preserve"> INDIRECT("G" &amp; ROW()) = 5</formula>
    </cfRule>
    <cfRule type="expression" dxfId="2232" priority="331" stopIfTrue="1">
      <formula xml:space="preserve"> INDIRECT("G" &amp; ROW()) = 6</formula>
    </cfRule>
  </conditionalFormatting>
  <conditionalFormatting sqref="N36">
    <cfRule type="expression" dxfId="2231" priority="323">
      <formula xml:space="preserve"> $AJ36 = "SIM"</formula>
    </cfRule>
    <cfRule type="expression" dxfId="2230" priority="324">
      <formula xml:space="preserve"> $AI36 = "NFI"</formula>
    </cfRule>
  </conditionalFormatting>
  <conditionalFormatting sqref="N36">
    <cfRule type="expression" dxfId="2229" priority="316" stopIfTrue="1">
      <formula xml:space="preserve"> INDIRECT("G" &amp; ROW()) = 0</formula>
    </cfRule>
    <cfRule type="expression" dxfId="2228" priority="317" stopIfTrue="1">
      <formula xml:space="preserve"> INDIRECT("G" &amp; ROW()) = 1</formula>
    </cfRule>
    <cfRule type="expression" dxfId="2227" priority="318" stopIfTrue="1">
      <formula xml:space="preserve"> INDIRECT("G" &amp; ROW()) = 2</formula>
    </cfRule>
    <cfRule type="expression" dxfId="2226" priority="319" stopIfTrue="1">
      <formula xml:space="preserve"> INDIRECT("G" &amp; ROW()) = 3</formula>
    </cfRule>
    <cfRule type="expression" dxfId="2225" priority="320" stopIfTrue="1">
      <formula xml:space="preserve"> INDIRECT("G" &amp; ROW()) = 4</formula>
    </cfRule>
    <cfRule type="expression" dxfId="2224" priority="321" stopIfTrue="1">
      <formula xml:space="preserve"> INDIRECT("G" &amp; ROW()) = 5</formula>
    </cfRule>
    <cfRule type="expression" dxfId="2223" priority="322" stopIfTrue="1">
      <formula xml:space="preserve"> INDIRECT("G" &amp; ROW()) = 6</formula>
    </cfRule>
  </conditionalFormatting>
  <conditionalFormatting sqref="N35">
    <cfRule type="expression" dxfId="2222" priority="314">
      <formula xml:space="preserve"> $AJ35 = "SIM"</formula>
    </cfRule>
    <cfRule type="expression" dxfId="2221" priority="315">
      <formula xml:space="preserve"> $AI35 = "NFI"</formula>
    </cfRule>
  </conditionalFormatting>
  <conditionalFormatting sqref="N35">
    <cfRule type="expression" dxfId="2220" priority="307" stopIfTrue="1">
      <formula xml:space="preserve"> INDIRECT("G" &amp; ROW()) = 0</formula>
    </cfRule>
    <cfRule type="expression" dxfId="2219" priority="308" stopIfTrue="1">
      <formula xml:space="preserve"> INDIRECT("G" &amp; ROW()) = 1</formula>
    </cfRule>
    <cfRule type="expression" dxfId="2218" priority="309" stopIfTrue="1">
      <formula xml:space="preserve"> INDIRECT("G" &amp; ROW()) = 2</formula>
    </cfRule>
    <cfRule type="expression" dxfId="2217" priority="310" stopIfTrue="1">
      <formula xml:space="preserve"> INDIRECT("G" &amp; ROW()) = 3</formula>
    </cfRule>
    <cfRule type="expression" dxfId="2216" priority="311" stopIfTrue="1">
      <formula xml:space="preserve"> INDIRECT("G" &amp; ROW()) = 4</formula>
    </cfRule>
    <cfRule type="expression" dxfId="2215" priority="312" stopIfTrue="1">
      <formula xml:space="preserve"> INDIRECT("G" &amp; ROW()) = 5</formula>
    </cfRule>
    <cfRule type="expression" dxfId="2214" priority="313" stopIfTrue="1">
      <formula xml:space="preserve"> INDIRECT("G" &amp; ROW()) = 6</formula>
    </cfRule>
  </conditionalFormatting>
  <conditionalFormatting sqref="N37">
    <cfRule type="expression" dxfId="2213" priority="305">
      <formula xml:space="preserve"> $AJ37 = "SIM"</formula>
    </cfRule>
    <cfRule type="expression" dxfId="2212" priority="306">
      <formula xml:space="preserve"> $AI37 = "NFI"</formula>
    </cfRule>
  </conditionalFormatting>
  <conditionalFormatting sqref="N37">
    <cfRule type="expression" dxfId="2211" priority="298" stopIfTrue="1">
      <formula xml:space="preserve"> INDIRECT("G" &amp; ROW()) = 0</formula>
    </cfRule>
    <cfRule type="expression" dxfId="2210" priority="299" stopIfTrue="1">
      <formula xml:space="preserve"> INDIRECT("G" &amp; ROW()) = 1</formula>
    </cfRule>
    <cfRule type="expression" dxfId="2209" priority="300" stopIfTrue="1">
      <formula xml:space="preserve"> INDIRECT("G" &amp; ROW()) = 2</formula>
    </cfRule>
    <cfRule type="expression" dxfId="2208" priority="301" stopIfTrue="1">
      <formula xml:space="preserve"> INDIRECT("G" &amp; ROW()) = 3</formula>
    </cfRule>
    <cfRule type="expression" dxfId="2207" priority="302" stopIfTrue="1">
      <formula xml:space="preserve"> INDIRECT("G" &amp; ROW()) = 4</formula>
    </cfRule>
    <cfRule type="expression" dxfId="2206" priority="303" stopIfTrue="1">
      <formula xml:space="preserve"> INDIRECT("G" &amp; ROW()) = 5</formula>
    </cfRule>
    <cfRule type="expression" dxfId="2205" priority="304" stopIfTrue="1">
      <formula xml:space="preserve"> INDIRECT("G" &amp; ROW()) = 6</formula>
    </cfRule>
  </conditionalFormatting>
  <conditionalFormatting sqref="N38">
    <cfRule type="expression" dxfId="2204" priority="296">
      <formula xml:space="preserve"> $AJ38 = "SIM"</formula>
    </cfRule>
    <cfRule type="expression" dxfId="2203" priority="297">
      <formula xml:space="preserve"> $AI38 = "NFI"</formula>
    </cfRule>
  </conditionalFormatting>
  <conditionalFormatting sqref="N38">
    <cfRule type="expression" dxfId="2202" priority="289" stopIfTrue="1">
      <formula xml:space="preserve"> INDIRECT("G" &amp; ROW()) = 0</formula>
    </cfRule>
    <cfRule type="expression" dxfId="2201" priority="290" stopIfTrue="1">
      <formula xml:space="preserve"> INDIRECT("G" &amp; ROW()) = 1</formula>
    </cfRule>
    <cfRule type="expression" dxfId="2200" priority="291" stopIfTrue="1">
      <formula xml:space="preserve"> INDIRECT("G" &amp; ROW()) = 2</formula>
    </cfRule>
    <cfRule type="expression" dxfId="2199" priority="292" stopIfTrue="1">
      <formula xml:space="preserve"> INDIRECT("G" &amp; ROW()) = 3</formula>
    </cfRule>
    <cfRule type="expression" dxfId="2198" priority="293" stopIfTrue="1">
      <formula xml:space="preserve"> INDIRECT("G" &amp; ROW()) = 4</formula>
    </cfRule>
    <cfRule type="expression" dxfId="2197" priority="294" stopIfTrue="1">
      <formula xml:space="preserve"> INDIRECT("G" &amp; ROW()) = 5</formula>
    </cfRule>
    <cfRule type="expression" dxfId="2196" priority="295" stopIfTrue="1">
      <formula xml:space="preserve"> INDIRECT("G" &amp; ROW()) = 6</formula>
    </cfRule>
  </conditionalFormatting>
  <conditionalFormatting sqref="N39">
    <cfRule type="expression" dxfId="2195" priority="287">
      <formula xml:space="preserve"> $AJ39 = "SIM"</formula>
    </cfRule>
    <cfRule type="expression" dxfId="2194" priority="288">
      <formula xml:space="preserve"> $AI39 = "NFI"</formula>
    </cfRule>
  </conditionalFormatting>
  <conditionalFormatting sqref="N39">
    <cfRule type="expression" dxfId="2193" priority="280" stopIfTrue="1">
      <formula xml:space="preserve"> INDIRECT("G" &amp; ROW()) = 0</formula>
    </cfRule>
    <cfRule type="expression" dxfId="2192" priority="281" stopIfTrue="1">
      <formula xml:space="preserve"> INDIRECT("G" &amp; ROW()) = 1</formula>
    </cfRule>
    <cfRule type="expression" dxfId="2191" priority="282" stopIfTrue="1">
      <formula xml:space="preserve"> INDIRECT("G" &amp; ROW()) = 2</formula>
    </cfRule>
    <cfRule type="expression" dxfId="2190" priority="283" stopIfTrue="1">
      <formula xml:space="preserve"> INDIRECT("G" &amp; ROW()) = 3</formula>
    </cfRule>
    <cfRule type="expression" dxfId="2189" priority="284" stopIfTrue="1">
      <formula xml:space="preserve"> INDIRECT("G" &amp; ROW()) = 4</formula>
    </cfRule>
    <cfRule type="expression" dxfId="2188" priority="285" stopIfTrue="1">
      <formula xml:space="preserve"> INDIRECT("G" &amp; ROW()) = 5</formula>
    </cfRule>
    <cfRule type="expression" dxfId="2187" priority="286" stopIfTrue="1">
      <formula xml:space="preserve"> INDIRECT("G" &amp; ROW()) = 6</formula>
    </cfRule>
  </conditionalFormatting>
  <conditionalFormatting sqref="N41">
    <cfRule type="expression" dxfId="2186" priority="278">
      <formula xml:space="preserve"> $AJ41 = "SIM"</formula>
    </cfRule>
    <cfRule type="expression" dxfId="2185" priority="279">
      <formula xml:space="preserve"> $AI41 = "NFI"</formula>
    </cfRule>
  </conditionalFormatting>
  <conditionalFormatting sqref="N41">
    <cfRule type="expression" dxfId="2184" priority="271" stopIfTrue="1">
      <formula xml:space="preserve"> INDIRECT("G" &amp; ROW()) = 0</formula>
    </cfRule>
    <cfRule type="expression" dxfId="2183" priority="272" stopIfTrue="1">
      <formula xml:space="preserve"> INDIRECT("G" &amp; ROW()) = 1</formula>
    </cfRule>
    <cfRule type="expression" dxfId="2182" priority="273" stopIfTrue="1">
      <formula xml:space="preserve"> INDIRECT("G" &amp; ROW()) = 2</formula>
    </cfRule>
    <cfRule type="expression" dxfId="2181" priority="274" stopIfTrue="1">
      <formula xml:space="preserve"> INDIRECT("G" &amp; ROW()) = 3</formula>
    </cfRule>
    <cfRule type="expression" dxfId="2180" priority="275" stopIfTrue="1">
      <formula xml:space="preserve"> INDIRECT("G" &amp; ROW()) = 4</formula>
    </cfRule>
    <cfRule type="expression" dxfId="2179" priority="276" stopIfTrue="1">
      <formula xml:space="preserve"> INDIRECT("G" &amp; ROW()) = 5</formula>
    </cfRule>
    <cfRule type="expression" dxfId="2178" priority="277" stopIfTrue="1">
      <formula xml:space="preserve"> INDIRECT("G" &amp; ROW()) = 6</formula>
    </cfRule>
  </conditionalFormatting>
  <conditionalFormatting sqref="N42">
    <cfRule type="expression" dxfId="2177" priority="269">
      <formula xml:space="preserve"> $AJ42 = "SIM"</formula>
    </cfRule>
    <cfRule type="expression" dxfId="2176" priority="270">
      <formula xml:space="preserve"> $AI42 = "NFI"</formula>
    </cfRule>
  </conditionalFormatting>
  <conditionalFormatting sqref="N42">
    <cfRule type="expression" dxfId="2175" priority="262" stopIfTrue="1">
      <formula xml:space="preserve"> INDIRECT("G" &amp; ROW()) = 0</formula>
    </cfRule>
    <cfRule type="expression" dxfId="2174" priority="263" stopIfTrue="1">
      <formula xml:space="preserve"> INDIRECT("G" &amp; ROW()) = 1</formula>
    </cfRule>
    <cfRule type="expression" dxfId="2173" priority="264" stopIfTrue="1">
      <formula xml:space="preserve"> INDIRECT("G" &amp; ROW()) = 2</formula>
    </cfRule>
    <cfRule type="expression" dxfId="2172" priority="265" stopIfTrue="1">
      <formula xml:space="preserve"> INDIRECT("G" &amp; ROW()) = 3</formula>
    </cfRule>
    <cfRule type="expression" dxfId="2171" priority="266" stopIfTrue="1">
      <formula xml:space="preserve"> INDIRECT("G" &amp; ROW()) = 4</formula>
    </cfRule>
    <cfRule type="expression" dxfId="2170" priority="267" stopIfTrue="1">
      <formula xml:space="preserve"> INDIRECT("G" &amp; ROW()) = 5</formula>
    </cfRule>
    <cfRule type="expression" dxfId="2169" priority="268" stopIfTrue="1">
      <formula xml:space="preserve"> INDIRECT("G" &amp; ROW()) = 6</formula>
    </cfRule>
  </conditionalFormatting>
  <conditionalFormatting sqref="N43">
    <cfRule type="expression" dxfId="2168" priority="260">
      <formula xml:space="preserve"> $AJ43 = "SIM"</formula>
    </cfRule>
    <cfRule type="expression" dxfId="2167" priority="261">
      <formula xml:space="preserve"> $AI43 = "NFI"</formula>
    </cfRule>
  </conditionalFormatting>
  <conditionalFormatting sqref="N43">
    <cfRule type="expression" dxfId="2166" priority="253" stopIfTrue="1">
      <formula xml:space="preserve"> INDIRECT("G" &amp; ROW()) = 0</formula>
    </cfRule>
    <cfRule type="expression" dxfId="2165" priority="254" stopIfTrue="1">
      <formula xml:space="preserve"> INDIRECT("G" &amp; ROW()) = 1</formula>
    </cfRule>
    <cfRule type="expression" dxfId="2164" priority="255" stopIfTrue="1">
      <formula xml:space="preserve"> INDIRECT("G" &amp; ROW()) = 2</formula>
    </cfRule>
    <cfRule type="expression" dxfId="2163" priority="256" stopIfTrue="1">
      <formula xml:space="preserve"> INDIRECT("G" &amp; ROW()) = 3</formula>
    </cfRule>
    <cfRule type="expression" dxfId="2162" priority="257" stopIfTrue="1">
      <formula xml:space="preserve"> INDIRECT("G" &amp; ROW()) = 4</formula>
    </cfRule>
    <cfRule type="expression" dxfId="2161" priority="258" stopIfTrue="1">
      <formula xml:space="preserve"> INDIRECT("G" &amp; ROW()) = 5</formula>
    </cfRule>
    <cfRule type="expression" dxfId="2160" priority="259" stopIfTrue="1">
      <formula xml:space="preserve"> INDIRECT("G" &amp; ROW()) = 6</formula>
    </cfRule>
  </conditionalFormatting>
  <conditionalFormatting sqref="N45">
    <cfRule type="expression" dxfId="2159" priority="251">
      <formula xml:space="preserve"> $AJ45 = "SIM"</formula>
    </cfRule>
    <cfRule type="expression" dxfId="2158" priority="252">
      <formula xml:space="preserve"> $AI45 = "NFI"</formula>
    </cfRule>
  </conditionalFormatting>
  <conditionalFormatting sqref="N45">
    <cfRule type="expression" dxfId="2157" priority="244" stopIfTrue="1">
      <formula xml:space="preserve"> INDIRECT("G" &amp; ROW()) = 0</formula>
    </cfRule>
    <cfRule type="expression" dxfId="2156" priority="245" stopIfTrue="1">
      <formula xml:space="preserve"> INDIRECT("G" &amp; ROW()) = 1</formula>
    </cfRule>
    <cfRule type="expression" dxfId="2155" priority="246" stopIfTrue="1">
      <formula xml:space="preserve"> INDIRECT("G" &amp; ROW()) = 2</formula>
    </cfRule>
    <cfRule type="expression" dxfId="2154" priority="247" stopIfTrue="1">
      <formula xml:space="preserve"> INDIRECT("G" &amp; ROW()) = 3</formula>
    </cfRule>
    <cfRule type="expression" dxfId="2153" priority="248" stopIfTrue="1">
      <formula xml:space="preserve"> INDIRECT("G" &amp; ROW()) = 4</formula>
    </cfRule>
    <cfRule type="expression" dxfId="2152" priority="249" stopIfTrue="1">
      <formula xml:space="preserve"> INDIRECT("G" &amp; ROW()) = 5</formula>
    </cfRule>
    <cfRule type="expression" dxfId="2151" priority="250" stopIfTrue="1">
      <formula xml:space="preserve"> INDIRECT("G" &amp; ROW()) = 6</formula>
    </cfRule>
  </conditionalFormatting>
  <conditionalFormatting sqref="N46">
    <cfRule type="expression" dxfId="2150" priority="242">
      <formula xml:space="preserve"> $AJ46 = "SIM"</formula>
    </cfRule>
    <cfRule type="expression" dxfId="2149" priority="243">
      <formula xml:space="preserve"> $AI46 = "NFI"</formula>
    </cfRule>
  </conditionalFormatting>
  <conditionalFormatting sqref="N46">
    <cfRule type="expression" dxfId="2148" priority="235" stopIfTrue="1">
      <formula xml:space="preserve"> INDIRECT("G" &amp; ROW()) = 0</formula>
    </cfRule>
    <cfRule type="expression" dxfId="2147" priority="236" stopIfTrue="1">
      <formula xml:space="preserve"> INDIRECT("G" &amp; ROW()) = 1</formula>
    </cfRule>
    <cfRule type="expression" dxfId="2146" priority="237" stopIfTrue="1">
      <formula xml:space="preserve"> INDIRECT("G" &amp; ROW()) = 2</formula>
    </cfRule>
    <cfRule type="expression" dxfId="2145" priority="238" stopIfTrue="1">
      <formula xml:space="preserve"> INDIRECT("G" &amp; ROW()) = 3</formula>
    </cfRule>
    <cfRule type="expression" dxfId="2144" priority="239" stopIfTrue="1">
      <formula xml:space="preserve"> INDIRECT("G" &amp; ROW()) = 4</formula>
    </cfRule>
    <cfRule type="expression" dxfId="2143" priority="240" stopIfTrue="1">
      <formula xml:space="preserve"> INDIRECT("G" &amp; ROW()) = 5</formula>
    </cfRule>
    <cfRule type="expression" dxfId="2142" priority="241" stopIfTrue="1">
      <formula xml:space="preserve"> INDIRECT("G" &amp; ROW()) = 6</formula>
    </cfRule>
  </conditionalFormatting>
  <conditionalFormatting sqref="O6">
    <cfRule type="expression" dxfId="2141" priority="233">
      <formula xml:space="preserve"> $AJ6 = "SIM"</formula>
    </cfRule>
    <cfRule type="expression" dxfId="2140" priority="234">
      <formula xml:space="preserve"> $AI6 = "NFI"</formula>
    </cfRule>
  </conditionalFormatting>
  <conditionalFormatting sqref="O6">
    <cfRule type="expression" dxfId="2139" priority="226" stopIfTrue="1">
      <formula xml:space="preserve"> INDIRECT("G" &amp; ROW()) = 0</formula>
    </cfRule>
    <cfRule type="expression" dxfId="2138" priority="227" stopIfTrue="1">
      <formula xml:space="preserve"> INDIRECT("G" &amp; ROW()) = 1</formula>
    </cfRule>
    <cfRule type="expression" dxfId="2137" priority="228" stopIfTrue="1">
      <formula xml:space="preserve"> INDIRECT("G" &amp; ROW()) = 2</formula>
    </cfRule>
    <cfRule type="expression" dxfId="2136" priority="229" stopIfTrue="1">
      <formula xml:space="preserve"> INDIRECT("G" &amp; ROW()) = 3</formula>
    </cfRule>
    <cfRule type="expression" dxfId="2135" priority="230" stopIfTrue="1">
      <formula xml:space="preserve"> INDIRECT("G" &amp; ROW()) = 4</formula>
    </cfRule>
    <cfRule type="expression" dxfId="2134" priority="231" stopIfTrue="1">
      <formula xml:space="preserve"> INDIRECT("G" &amp; ROW()) = 5</formula>
    </cfRule>
    <cfRule type="expression" dxfId="2133" priority="232" stopIfTrue="1">
      <formula xml:space="preserve"> INDIRECT("G" &amp; ROW()) = 6</formula>
    </cfRule>
  </conditionalFormatting>
  <conditionalFormatting sqref="O7">
    <cfRule type="expression" dxfId="2132" priority="224">
      <formula xml:space="preserve"> $AJ7 = "SIM"</formula>
    </cfRule>
    <cfRule type="expression" dxfId="2131" priority="225">
      <formula xml:space="preserve"> $AI7 = "NFI"</formula>
    </cfRule>
  </conditionalFormatting>
  <conditionalFormatting sqref="O7">
    <cfRule type="expression" dxfId="2130" priority="217" stopIfTrue="1">
      <formula xml:space="preserve"> INDIRECT("G" &amp; ROW()) = 0</formula>
    </cfRule>
    <cfRule type="expression" dxfId="2129" priority="218" stopIfTrue="1">
      <formula xml:space="preserve"> INDIRECT("G" &amp; ROW()) = 1</formula>
    </cfRule>
    <cfRule type="expression" dxfId="2128" priority="219" stopIfTrue="1">
      <formula xml:space="preserve"> INDIRECT("G" &amp; ROW()) = 2</formula>
    </cfRule>
    <cfRule type="expression" dxfId="2127" priority="220" stopIfTrue="1">
      <formula xml:space="preserve"> INDIRECT("G" &amp; ROW()) = 3</formula>
    </cfRule>
    <cfRule type="expression" dxfId="2126" priority="221" stopIfTrue="1">
      <formula xml:space="preserve"> INDIRECT("G" &amp; ROW()) = 4</formula>
    </cfRule>
    <cfRule type="expression" dxfId="2125" priority="222" stopIfTrue="1">
      <formula xml:space="preserve"> INDIRECT("G" &amp; ROW()) = 5</formula>
    </cfRule>
    <cfRule type="expression" dxfId="2124" priority="223" stopIfTrue="1">
      <formula xml:space="preserve"> INDIRECT("G" &amp; ROW()) = 6</formula>
    </cfRule>
  </conditionalFormatting>
  <conditionalFormatting sqref="O8">
    <cfRule type="expression" dxfId="2123" priority="215">
      <formula xml:space="preserve"> $AJ8 = "SIM"</formula>
    </cfRule>
    <cfRule type="expression" dxfId="2122" priority="216">
      <formula xml:space="preserve"> $AI8 = "NFI"</formula>
    </cfRule>
  </conditionalFormatting>
  <conditionalFormatting sqref="O8">
    <cfRule type="expression" dxfId="2121" priority="208" stopIfTrue="1">
      <formula xml:space="preserve"> INDIRECT("G" &amp; ROW()) = 0</formula>
    </cfRule>
    <cfRule type="expression" dxfId="2120" priority="209" stopIfTrue="1">
      <formula xml:space="preserve"> INDIRECT("G" &amp; ROW()) = 1</formula>
    </cfRule>
    <cfRule type="expression" dxfId="2119" priority="210" stopIfTrue="1">
      <formula xml:space="preserve"> INDIRECT("G" &amp; ROW()) = 2</formula>
    </cfRule>
    <cfRule type="expression" dxfId="2118" priority="211" stopIfTrue="1">
      <formula xml:space="preserve"> INDIRECT("G" &amp; ROW()) = 3</formula>
    </cfRule>
    <cfRule type="expression" dxfId="2117" priority="212" stopIfTrue="1">
      <formula xml:space="preserve"> INDIRECT("G" &amp; ROW()) = 4</formula>
    </cfRule>
    <cfRule type="expression" dxfId="2116" priority="213" stopIfTrue="1">
      <formula xml:space="preserve"> INDIRECT("G" &amp; ROW()) = 5</formula>
    </cfRule>
    <cfRule type="expression" dxfId="2115" priority="214" stopIfTrue="1">
      <formula xml:space="preserve"> INDIRECT("G" &amp; ROW()) = 6</formula>
    </cfRule>
  </conditionalFormatting>
  <conditionalFormatting sqref="O13">
    <cfRule type="expression" dxfId="2114" priority="206">
      <formula xml:space="preserve"> $AJ13 = "SIM"</formula>
    </cfRule>
    <cfRule type="expression" dxfId="2113" priority="207">
      <formula xml:space="preserve"> $AI13 = "NFI"</formula>
    </cfRule>
  </conditionalFormatting>
  <conditionalFormatting sqref="O13">
    <cfRule type="expression" dxfId="2112" priority="199" stopIfTrue="1">
      <formula xml:space="preserve"> INDIRECT("G" &amp; ROW()) = 0</formula>
    </cfRule>
    <cfRule type="expression" dxfId="2111" priority="200" stopIfTrue="1">
      <formula xml:space="preserve"> INDIRECT("G" &amp; ROW()) = 1</formula>
    </cfRule>
    <cfRule type="expression" dxfId="2110" priority="201" stopIfTrue="1">
      <formula xml:space="preserve"> INDIRECT("G" &amp; ROW()) = 2</formula>
    </cfRule>
    <cfRule type="expression" dxfId="2109" priority="202" stopIfTrue="1">
      <formula xml:space="preserve"> INDIRECT("G" &amp; ROW()) = 3</formula>
    </cfRule>
    <cfRule type="expression" dxfId="2108" priority="203" stopIfTrue="1">
      <formula xml:space="preserve"> INDIRECT("G" &amp; ROW()) = 4</formula>
    </cfRule>
    <cfRule type="expression" dxfId="2107" priority="204" stopIfTrue="1">
      <formula xml:space="preserve"> INDIRECT("G" &amp; ROW()) = 5</formula>
    </cfRule>
    <cfRule type="expression" dxfId="2106" priority="205" stopIfTrue="1">
      <formula xml:space="preserve"> INDIRECT("G" &amp; ROW()) = 6</formula>
    </cfRule>
  </conditionalFormatting>
  <conditionalFormatting sqref="O14">
    <cfRule type="expression" dxfId="2105" priority="197">
      <formula xml:space="preserve"> $AJ14 = "SIM"</formula>
    </cfRule>
    <cfRule type="expression" dxfId="2104" priority="198">
      <formula xml:space="preserve"> $AI14 = "NFI"</formula>
    </cfRule>
  </conditionalFormatting>
  <conditionalFormatting sqref="O14">
    <cfRule type="expression" dxfId="2103" priority="190" stopIfTrue="1">
      <formula xml:space="preserve"> INDIRECT("G" &amp; ROW()) = 0</formula>
    </cfRule>
    <cfRule type="expression" dxfId="2102" priority="191" stopIfTrue="1">
      <formula xml:space="preserve"> INDIRECT("G" &amp; ROW()) = 1</formula>
    </cfRule>
    <cfRule type="expression" dxfId="2101" priority="192" stopIfTrue="1">
      <formula xml:space="preserve"> INDIRECT("G" &amp; ROW()) = 2</formula>
    </cfRule>
    <cfRule type="expression" dxfId="2100" priority="193" stopIfTrue="1">
      <formula xml:space="preserve"> INDIRECT("G" &amp; ROW()) = 3</formula>
    </cfRule>
    <cfRule type="expression" dxfId="2099" priority="194" stopIfTrue="1">
      <formula xml:space="preserve"> INDIRECT("G" &amp; ROW()) = 4</formula>
    </cfRule>
    <cfRule type="expression" dxfId="2098" priority="195" stopIfTrue="1">
      <formula xml:space="preserve"> INDIRECT("G" &amp; ROW()) = 5</formula>
    </cfRule>
    <cfRule type="expression" dxfId="2097" priority="196" stopIfTrue="1">
      <formula xml:space="preserve"> INDIRECT("G" &amp; ROW()) = 6</formula>
    </cfRule>
  </conditionalFormatting>
  <conditionalFormatting sqref="O15">
    <cfRule type="expression" dxfId="2096" priority="188">
      <formula xml:space="preserve"> $AJ15 = "SIM"</formula>
    </cfRule>
    <cfRule type="expression" dxfId="2095" priority="189">
      <formula xml:space="preserve"> $AI15 = "NFI"</formula>
    </cfRule>
  </conditionalFormatting>
  <conditionalFormatting sqref="O15">
    <cfRule type="expression" dxfId="2094" priority="181" stopIfTrue="1">
      <formula xml:space="preserve"> INDIRECT("G" &amp; ROW()) = 0</formula>
    </cfRule>
    <cfRule type="expression" dxfId="2093" priority="182" stopIfTrue="1">
      <formula xml:space="preserve"> INDIRECT("G" &amp; ROW()) = 1</formula>
    </cfRule>
    <cfRule type="expression" dxfId="2092" priority="183" stopIfTrue="1">
      <formula xml:space="preserve"> INDIRECT("G" &amp; ROW()) = 2</formula>
    </cfRule>
    <cfRule type="expression" dxfId="2091" priority="184" stopIfTrue="1">
      <formula xml:space="preserve"> INDIRECT("G" &amp; ROW()) = 3</formula>
    </cfRule>
    <cfRule type="expression" dxfId="2090" priority="185" stopIfTrue="1">
      <formula xml:space="preserve"> INDIRECT("G" &amp; ROW()) = 4</formula>
    </cfRule>
    <cfRule type="expression" dxfId="2089" priority="186" stopIfTrue="1">
      <formula xml:space="preserve"> INDIRECT("G" &amp; ROW()) = 5</formula>
    </cfRule>
    <cfRule type="expression" dxfId="2088" priority="187" stopIfTrue="1">
      <formula xml:space="preserve"> INDIRECT("G" &amp; ROW()) = 6</formula>
    </cfRule>
  </conditionalFormatting>
  <conditionalFormatting sqref="O17">
    <cfRule type="expression" dxfId="2087" priority="179">
      <formula xml:space="preserve"> $AJ17 = "SIM"</formula>
    </cfRule>
    <cfRule type="expression" dxfId="2086" priority="180">
      <formula xml:space="preserve"> $AI17 = "NFI"</formula>
    </cfRule>
  </conditionalFormatting>
  <conditionalFormatting sqref="O17">
    <cfRule type="expression" dxfId="2085" priority="172" stopIfTrue="1">
      <formula xml:space="preserve"> INDIRECT("G" &amp; ROW()) = 0</formula>
    </cfRule>
    <cfRule type="expression" dxfId="2084" priority="173" stopIfTrue="1">
      <formula xml:space="preserve"> INDIRECT("G" &amp; ROW()) = 1</formula>
    </cfRule>
    <cfRule type="expression" dxfId="2083" priority="174" stopIfTrue="1">
      <formula xml:space="preserve"> INDIRECT("G" &amp; ROW()) = 2</formula>
    </cfRule>
    <cfRule type="expression" dxfId="2082" priority="175" stopIfTrue="1">
      <formula xml:space="preserve"> INDIRECT("G" &amp; ROW()) = 3</formula>
    </cfRule>
    <cfRule type="expression" dxfId="2081" priority="176" stopIfTrue="1">
      <formula xml:space="preserve"> INDIRECT("G" &amp; ROW()) = 4</formula>
    </cfRule>
    <cfRule type="expression" dxfId="2080" priority="177" stopIfTrue="1">
      <formula xml:space="preserve"> INDIRECT("G" &amp; ROW()) = 5</formula>
    </cfRule>
    <cfRule type="expression" dxfId="2079" priority="178" stopIfTrue="1">
      <formula xml:space="preserve"> INDIRECT("G" &amp; ROW()) = 6</formula>
    </cfRule>
  </conditionalFormatting>
  <conditionalFormatting sqref="O19">
    <cfRule type="expression" dxfId="2078" priority="170">
      <formula xml:space="preserve"> $AJ19 = "SIM"</formula>
    </cfRule>
    <cfRule type="expression" dxfId="2077" priority="171">
      <formula xml:space="preserve"> $AI19 = "NFI"</formula>
    </cfRule>
  </conditionalFormatting>
  <conditionalFormatting sqref="O19">
    <cfRule type="expression" dxfId="2076" priority="163" stopIfTrue="1">
      <formula xml:space="preserve"> INDIRECT("G" &amp; ROW()) = 0</formula>
    </cfRule>
    <cfRule type="expression" dxfId="2075" priority="164" stopIfTrue="1">
      <formula xml:space="preserve"> INDIRECT("G" &amp; ROW()) = 1</formula>
    </cfRule>
    <cfRule type="expression" dxfId="2074" priority="165" stopIfTrue="1">
      <formula xml:space="preserve"> INDIRECT("G" &amp; ROW()) = 2</formula>
    </cfRule>
    <cfRule type="expression" dxfId="2073" priority="166" stopIfTrue="1">
      <formula xml:space="preserve"> INDIRECT("G" &amp; ROW()) = 3</formula>
    </cfRule>
    <cfRule type="expression" dxfId="2072" priority="167" stopIfTrue="1">
      <formula xml:space="preserve"> INDIRECT("G" &amp; ROW()) = 4</formula>
    </cfRule>
    <cfRule type="expression" dxfId="2071" priority="168" stopIfTrue="1">
      <formula xml:space="preserve"> INDIRECT("G" &amp; ROW()) = 5</formula>
    </cfRule>
    <cfRule type="expression" dxfId="2070" priority="169" stopIfTrue="1">
      <formula xml:space="preserve"> INDIRECT("G" &amp; ROW()) = 6</formula>
    </cfRule>
  </conditionalFormatting>
  <conditionalFormatting sqref="O20">
    <cfRule type="expression" dxfId="2069" priority="161">
      <formula xml:space="preserve"> $AJ20 = "SIM"</formula>
    </cfRule>
    <cfRule type="expression" dxfId="2068" priority="162">
      <formula xml:space="preserve"> $AI20 = "NFI"</formula>
    </cfRule>
  </conditionalFormatting>
  <conditionalFormatting sqref="O20">
    <cfRule type="expression" dxfId="2067" priority="154" stopIfTrue="1">
      <formula xml:space="preserve"> INDIRECT("G" &amp; ROW()) = 0</formula>
    </cfRule>
    <cfRule type="expression" dxfId="2066" priority="155" stopIfTrue="1">
      <formula xml:space="preserve"> INDIRECT("G" &amp; ROW()) = 1</formula>
    </cfRule>
    <cfRule type="expression" dxfId="2065" priority="156" stopIfTrue="1">
      <formula xml:space="preserve"> INDIRECT("G" &amp; ROW()) = 2</formula>
    </cfRule>
    <cfRule type="expression" dxfId="2064" priority="157" stopIfTrue="1">
      <formula xml:space="preserve"> INDIRECT("G" &amp; ROW()) = 3</formula>
    </cfRule>
    <cfRule type="expression" dxfId="2063" priority="158" stopIfTrue="1">
      <formula xml:space="preserve"> INDIRECT("G" &amp; ROW()) = 4</formula>
    </cfRule>
    <cfRule type="expression" dxfId="2062" priority="159" stopIfTrue="1">
      <formula xml:space="preserve"> INDIRECT("G" &amp; ROW()) = 5</formula>
    </cfRule>
    <cfRule type="expression" dxfId="2061" priority="160" stopIfTrue="1">
      <formula xml:space="preserve"> INDIRECT("G" &amp; ROW()) = 6</formula>
    </cfRule>
  </conditionalFormatting>
  <conditionalFormatting sqref="O21">
    <cfRule type="expression" dxfId="2060" priority="152">
      <formula xml:space="preserve"> $AJ21 = "SIM"</formula>
    </cfRule>
    <cfRule type="expression" dxfId="2059" priority="153">
      <formula xml:space="preserve"> $AI21 = "NFI"</formula>
    </cfRule>
  </conditionalFormatting>
  <conditionalFormatting sqref="O21">
    <cfRule type="expression" dxfId="2058" priority="145" stopIfTrue="1">
      <formula xml:space="preserve"> INDIRECT("G" &amp; ROW()) = 0</formula>
    </cfRule>
    <cfRule type="expression" dxfId="2057" priority="146" stopIfTrue="1">
      <formula xml:space="preserve"> INDIRECT("G" &amp; ROW()) = 1</formula>
    </cfRule>
    <cfRule type="expression" dxfId="2056" priority="147" stopIfTrue="1">
      <formula xml:space="preserve"> INDIRECT("G" &amp; ROW()) = 2</formula>
    </cfRule>
    <cfRule type="expression" dxfId="2055" priority="148" stopIfTrue="1">
      <formula xml:space="preserve"> INDIRECT("G" &amp; ROW()) = 3</formula>
    </cfRule>
    <cfRule type="expression" dxfId="2054" priority="149" stopIfTrue="1">
      <formula xml:space="preserve"> INDIRECT("G" &amp; ROW()) = 4</formula>
    </cfRule>
    <cfRule type="expression" dxfId="2053" priority="150" stopIfTrue="1">
      <formula xml:space="preserve"> INDIRECT("G" &amp; ROW()) = 5</formula>
    </cfRule>
    <cfRule type="expression" dxfId="2052" priority="151" stopIfTrue="1">
      <formula xml:space="preserve"> INDIRECT("G" &amp; ROW()) = 6</formula>
    </cfRule>
  </conditionalFormatting>
  <conditionalFormatting sqref="O23">
    <cfRule type="expression" dxfId="2051" priority="143">
      <formula xml:space="preserve"> $AJ23 = "SIM"</formula>
    </cfRule>
    <cfRule type="expression" dxfId="2050" priority="144">
      <formula xml:space="preserve"> $AI23 = "NFI"</formula>
    </cfRule>
  </conditionalFormatting>
  <conditionalFormatting sqref="O23">
    <cfRule type="expression" dxfId="2049" priority="136" stopIfTrue="1">
      <formula xml:space="preserve"> INDIRECT("G" &amp; ROW()) = 0</formula>
    </cfRule>
    <cfRule type="expression" dxfId="2048" priority="137" stopIfTrue="1">
      <formula xml:space="preserve"> INDIRECT("G" &amp; ROW()) = 1</formula>
    </cfRule>
    <cfRule type="expression" dxfId="2047" priority="138" stopIfTrue="1">
      <formula xml:space="preserve"> INDIRECT("G" &amp; ROW()) = 2</formula>
    </cfRule>
    <cfRule type="expression" dxfId="2046" priority="139" stopIfTrue="1">
      <formula xml:space="preserve"> INDIRECT("G" &amp; ROW()) = 3</formula>
    </cfRule>
    <cfRule type="expression" dxfId="2045" priority="140" stopIfTrue="1">
      <formula xml:space="preserve"> INDIRECT("G" &amp; ROW()) = 4</formula>
    </cfRule>
    <cfRule type="expression" dxfId="2044" priority="141" stopIfTrue="1">
      <formula xml:space="preserve"> INDIRECT("G" &amp; ROW()) = 5</formula>
    </cfRule>
    <cfRule type="expression" dxfId="2043" priority="142" stopIfTrue="1">
      <formula xml:space="preserve"> INDIRECT("G" &amp; ROW()) = 6</formula>
    </cfRule>
  </conditionalFormatting>
  <conditionalFormatting sqref="O24">
    <cfRule type="expression" dxfId="2042" priority="134">
      <formula xml:space="preserve"> $AJ24 = "SIM"</formula>
    </cfRule>
    <cfRule type="expression" dxfId="2041" priority="135">
      <formula xml:space="preserve"> $AI24 = "NFI"</formula>
    </cfRule>
  </conditionalFormatting>
  <conditionalFormatting sqref="O24">
    <cfRule type="expression" dxfId="2040" priority="127" stopIfTrue="1">
      <formula xml:space="preserve"> INDIRECT("G" &amp; ROW()) = 0</formula>
    </cfRule>
    <cfRule type="expression" dxfId="2039" priority="128" stopIfTrue="1">
      <formula xml:space="preserve"> INDIRECT("G" &amp; ROW()) = 1</formula>
    </cfRule>
    <cfRule type="expression" dxfId="2038" priority="129" stopIfTrue="1">
      <formula xml:space="preserve"> INDIRECT("G" &amp; ROW()) = 2</formula>
    </cfRule>
    <cfRule type="expression" dxfId="2037" priority="130" stopIfTrue="1">
      <formula xml:space="preserve"> INDIRECT("G" &amp; ROW()) = 3</formula>
    </cfRule>
    <cfRule type="expression" dxfId="2036" priority="131" stopIfTrue="1">
      <formula xml:space="preserve"> INDIRECT("G" &amp; ROW()) = 4</formula>
    </cfRule>
    <cfRule type="expression" dxfId="2035" priority="132" stopIfTrue="1">
      <formula xml:space="preserve"> INDIRECT("G" &amp; ROW()) = 5</formula>
    </cfRule>
    <cfRule type="expression" dxfId="2034" priority="133" stopIfTrue="1">
      <formula xml:space="preserve"> INDIRECT("G" &amp; ROW()) = 6</formula>
    </cfRule>
  </conditionalFormatting>
  <conditionalFormatting sqref="O29">
    <cfRule type="expression" dxfId="2033" priority="125">
      <formula xml:space="preserve"> $AJ29 = "SIM"</formula>
    </cfRule>
    <cfRule type="expression" dxfId="2032" priority="126">
      <formula xml:space="preserve"> $AI29 = "NFI"</formula>
    </cfRule>
  </conditionalFormatting>
  <conditionalFormatting sqref="O29">
    <cfRule type="expression" dxfId="2031" priority="118" stopIfTrue="1">
      <formula xml:space="preserve"> INDIRECT("G" &amp; ROW()) = 0</formula>
    </cfRule>
    <cfRule type="expression" dxfId="2030" priority="119" stopIfTrue="1">
      <formula xml:space="preserve"> INDIRECT("G" &amp; ROW()) = 1</formula>
    </cfRule>
    <cfRule type="expression" dxfId="2029" priority="120" stopIfTrue="1">
      <formula xml:space="preserve"> INDIRECT("G" &amp; ROW()) = 2</formula>
    </cfRule>
    <cfRule type="expression" dxfId="2028" priority="121" stopIfTrue="1">
      <formula xml:space="preserve"> INDIRECT("G" &amp; ROW()) = 3</formula>
    </cfRule>
    <cfRule type="expression" dxfId="2027" priority="122" stopIfTrue="1">
      <formula xml:space="preserve"> INDIRECT("G" &amp; ROW()) = 4</formula>
    </cfRule>
    <cfRule type="expression" dxfId="2026" priority="123" stopIfTrue="1">
      <formula xml:space="preserve"> INDIRECT("G" &amp; ROW()) = 5</formula>
    </cfRule>
    <cfRule type="expression" dxfId="2025" priority="124" stopIfTrue="1">
      <formula xml:space="preserve"> INDIRECT("G" &amp; ROW()) = 6</formula>
    </cfRule>
  </conditionalFormatting>
  <conditionalFormatting sqref="O30">
    <cfRule type="expression" dxfId="2024" priority="116">
      <formula xml:space="preserve"> $AJ30 = "SIM"</formula>
    </cfRule>
    <cfRule type="expression" dxfId="2023" priority="117">
      <formula xml:space="preserve"> $AI30 = "NFI"</formula>
    </cfRule>
  </conditionalFormatting>
  <conditionalFormatting sqref="O30">
    <cfRule type="expression" dxfId="2022" priority="109" stopIfTrue="1">
      <formula xml:space="preserve"> INDIRECT("G" &amp; ROW()) = 0</formula>
    </cfRule>
    <cfRule type="expression" dxfId="2021" priority="110" stopIfTrue="1">
      <formula xml:space="preserve"> INDIRECT("G" &amp; ROW()) = 1</formula>
    </cfRule>
    <cfRule type="expression" dxfId="2020" priority="111" stopIfTrue="1">
      <formula xml:space="preserve"> INDIRECT("G" &amp; ROW()) = 2</formula>
    </cfRule>
    <cfRule type="expression" dxfId="2019" priority="112" stopIfTrue="1">
      <formula xml:space="preserve"> INDIRECT("G" &amp; ROW()) = 3</formula>
    </cfRule>
    <cfRule type="expression" dxfId="2018" priority="113" stopIfTrue="1">
      <formula xml:space="preserve"> INDIRECT("G" &amp; ROW()) = 4</formula>
    </cfRule>
    <cfRule type="expression" dxfId="2017" priority="114" stopIfTrue="1">
      <formula xml:space="preserve"> INDIRECT("G" &amp; ROW()) = 5</formula>
    </cfRule>
    <cfRule type="expression" dxfId="2016" priority="115" stopIfTrue="1">
      <formula xml:space="preserve"> INDIRECT("G" &amp; ROW()) = 6</formula>
    </cfRule>
  </conditionalFormatting>
  <conditionalFormatting sqref="O31">
    <cfRule type="expression" dxfId="2015" priority="107">
      <formula xml:space="preserve"> $AJ31 = "SIM"</formula>
    </cfRule>
    <cfRule type="expression" dxfId="2014" priority="108">
      <formula xml:space="preserve"> $AI31 = "NFI"</formula>
    </cfRule>
  </conditionalFormatting>
  <conditionalFormatting sqref="O31">
    <cfRule type="expression" dxfId="2013" priority="100" stopIfTrue="1">
      <formula xml:space="preserve"> INDIRECT("G" &amp; ROW()) = 0</formula>
    </cfRule>
    <cfRule type="expression" dxfId="2012" priority="101" stopIfTrue="1">
      <formula xml:space="preserve"> INDIRECT("G" &amp; ROW()) = 1</formula>
    </cfRule>
    <cfRule type="expression" dxfId="2011" priority="102" stopIfTrue="1">
      <formula xml:space="preserve"> INDIRECT("G" &amp; ROW()) = 2</formula>
    </cfRule>
    <cfRule type="expression" dxfId="2010" priority="103" stopIfTrue="1">
      <formula xml:space="preserve"> INDIRECT("G" &amp; ROW()) = 3</formula>
    </cfRule>
    <cfRule type="expression" dxfId="2009" priority="104" stopIfTrue="1">
      <formula xml:space="preserve"> INDIRECT("G" &amp; ROW()) = 4</formula>
    </cfRule>
    <cfRule type="expression" dxfId="2008" priority="105" stopIfTrue="1">
      <formula xml:space="preserve"> INDIRECT("G" &amp; ROW()) = 5</formula>
    </cfRule>
    <cfRule type="expression" dxfId="2007" priority="106" stopIfTrue="1">
      <formula xml:space="preserve"> INDIRECT("G" &amp; ROW()) = 6</formula>
    </cfRule>
  </conditionalFormatting>
  <conditionalFormatting sqref="O33">
    <cfRule type="expression" dxfId="2006" priority="98">
      <formula xml:space="preserve"> $AJ33 = "SIM"</formula>
    </cfRule>
    <cfRule type="expression" dxfId="2005" priority="99">
      <formula xml:space="preserve"> $AI33 = "NFI"</formula>
    </cfRule>
  </conditionalFormatting>
  <conditionalFormatting sqref="O33">
    <cfRule type="expression" dxfId="2004" priority="91" stopIfTrue="1">
      <formula xml:space="preserve"> INDIRECT("G" &amp; ROW()) = 0</formula>
    </cfRule>
    <cfRule type="expression" dxfId="2003" priority="92" stopIfTrue="1">
      <formula xml:space="preserve"> INDIRECT("G" &amp; ROW()) = 1</formula>
    </cfRule>
    <cfRule type="expression" dxfId="2002" priority="93" stopIfTrue="1">
      <formula xml:space="preserve"> INDIRECT("G" &amp; ROW()) = 2</formula>
    </cfRule>
    <cfRule type="expression" dxfId="2001" priority="94" stopIfTrue="1">
      <formula xml:space="preserve"> INDIRECT("G" &amp; ROW()) = 3</formula>
    </cfRule>
    <cfRule type="expression" dxfId="2000" priority="95" stopIfTrue="1">
      <formula xml:space="preserve"> INDIRECT("G" &amp; ROW()) = 4</formula>
    </cfRule>
    <cfRule type="expression" dxfId="1999" priority="96" stopIfTrue="1">
      <formula xml:space="preserve"> INDIRECT("G" &amp; ROW()) = 5</formula>
    </cfRule>
    <cfRule type="expression" dxfId="1998" priority="97" stopIfTrue="1">
      <formula xml:space="preserve"> INDIRECT("G" &amp; ROW()) = 6</formula>
    </cfRule>
  </conditionalFormatting>
  <conditionalFormatting sqref="O34">
    <cfRule type="expression" dxfId="1997" priority="89">
      <formula xml:space="preserve"> $AJ34 = "SIM"</formula>
    </cfRule>
    <cfRule type="expression" dxfId="1996" priority="90">
      <formula xml:space="preserve"> $AI34 = "NFI"</formula>
    </cfRule>
  </conditionalFormatting>
  <conditionalFormatting sqref="O34">
    <cfRule type="expression" dxfId="1995" priority="82" stopIfTrue="1">
      <formula xml:space="preserve"> INDIRECT("G" &amp; ROW()) = 0</formula>
    </cfRule>
    <cfRule type="expression" dxfId="1994" priority="83" stopIfTrue="1">
      <formula xml:space="preserve"> INDIRECT("G" &amp; ROW()) = 1</formula>
    </cfRule>
    <cfRule type="expression" dxfId="1993" priority="84" stopIfTrue="1">
      <formula xml:space="preserve"> INDIRECT("G" &amp; ROW()) = 2</formula>
    </cfRule>
    <cfRule type="expression" dxfId="1992" priority="85" stopIfTrue="1">
      <formula xml:space="preserve"> INDIRECT("G" &amp; ROW()) = 3</formula>
    </cfRule>
    <cfRule type="expression" dxfId="1991" priority="86" stopIfTrue="1">
      <formula xml:space="preserve"> INDIRECT("G" &amp; ROW()) = 4</formula>
    </cfRule>
    <cfRule type="expression" dxfId="1990" priority="87" stopIfTrue="1">
      <formula xml:space="preserve"> INDIRECT("G" &amp; ROW()) = 5</formula>
    </cfRule>
    <cfRule type="expression" dxfId="1989" priority="88" stopIfTrue="1">
      <formula xml:space="preserve"> INDIRECT("G" &amp; ROW()) = 6</formula>
    </cfRule>
  </conditionalFormatting>
  <conditionalFormatting sqref="O35">
    <cfRule type="expression" dxfId="1988" priority="80">
      <formula xml:space="preserve"> $AJ35 = "SIM"</formula>
    </cfRule>
    <cfRule type="expression" dxfId="1987" priority="81">
      <formula xml:space="preserve"> $AI35 = "NFI"</formula>
    </cfRule>
  </conditionalFormatting>
  <conditionalFormatting sqref="O35">
    <cfRule type="expression" dxfId="1986" priority="73" stopIfTrue="1">
      <formula xml:space="preserve"> INDIRECT("G" &amp; ROW()) = 0</formula>
    </cfRule>
    <cfRule type="expression" dxfId="1985" priority="74" stopIfTrue="1">
      <formula xml:space="preserve"> INDIRECT("G" &amp; ROW()) = 1</formula>
    </cfRule>
    <cfRule type="expression" dxfId="1984" priority="75" stopIfTrue="1">
      <formula xml:space="preserve"> INDIRECT("G" &amp; ROW()) = 2</formula>
    </cfRule>
    <cfRule type="expression" dxfId="1983" priority="76" stopIfTrue="1">
      <formula xml:space="preserve"> INDIRECT("G" &amp; ROW()) = 3</formula>
    </cfRule>
    <cfRule type="expression" dxfId="1982" priority="77" stopIfTrue="1">
      <formula xml:space="preserve"> INDIRECT("G" &amp; ROW()) = 4</formula>
    </cfRule>
    <cfRule type="expression" dxfId="1981" priority="78" stopIfTrue="1">
      <formula xml:space="preserve"> INDIRECT("G" &amp; ROW()) = 5</formula>
    </cfRule>
    <cfRule type="expression" dxfId="1980" priority="79" stopIfTrue="1">
      <formula xml:space="preserve"> INDIRECT("G" &amp; ROW()) = 6</formula>
    </cfRule>
  </conditionalFormatting>
  <conditionalFormatting sqref="O38">
    <cfRule type="expression" dxfId="1979" priority="71">
      <formula xml:space="preserve"> $AJ38 = "SIM"</formula>
    </cfRule>
    <cfRule type="expression" dxfId="1978" priority="72">
      <formula xml:space="preserve"> $AI38 = "NFI"</formula>
    </cfRule>
  </conditionalFormatting>
  <conditionalFormatting sqref="O38">
    <cfRule type="expression" dxfId="1977" priority="64" stopIfTrue="1">
      <formula xml:space="preserve"> INDIRECT("G" &amp; ROW()) = 0</formula>
    </cfRule>
    <cfRule type="expression" dxfId="1976" priority="65" stopIfTrue="1">
      <formula xml:space="preserve"> INDIRECT("G" &amp; ROW()) = 1</formula>
    </cfRule>
    <cfRule type="expression" dxfId="1975" priority="66" stopIfTrue="1">
      <formula xml:space="preserve"> INDIRECT("G" &amp; ROW()) = 2</formula>
    </cfRule>
    <cfRule type="expression" dxfId="1974" priority="67" stopIfTrue="1">
      <formula xml:space="preserve"> INDIRECT("G" &amp; ROW()) = 3</formula>
    </cfRule>
    <cfRule type="expression" dxfId="1973" priority="68" stopIfTrue="1">
      <formula xml:space="preserve"> INDIRECT("G" &amp; ROW()) = 4</formula>
    </cfRule>
    <cfRule type="expression" dxfId="1972" priority="69" stopIfTrue="1">
      <formula xml:space="preserve"> INDIRECT("G" &amp; ROW()) = 5</formula>
    </cfRule>
    <cfRule type="expression" dxfId="1971" priority="70" stopIfTrue="1">
      <formula xml:space="preserve"> INDIRECT("G" &amp; ROW()) = 6</formula>
    </cfRule>
  </conditionalFormatting>
  <conditionalFormatting sqref="O39">
    <cfRule type="expression" dxfId="1970" priority="62">
      <formula xml:space="preserve"> $AJ39 = "SIM"</formula>
    </cfRule>
    <cfRule type="expression" dxfId="1969" priority="63">
      <formula xml:space="preserve"> $AI39 = "NFI"</formula>
    </cfRule>
  </conditionalFormatting>
  <conditionalFormatting sqref="O39">
    <cfRule type="expression" dxfId="1968" priority="55" stopIfTrue="1">
      <formula xml:space="preserve"> INDIRECT("G" &amp; ROW()) = 0</formula>
    </cfRule>
    <cfRule type="expression" dxfId="1967" priority="56" stopIfTrue="1">
      <formula xml:space="preserve"> INDIRECT("G" &amp; ROW()) = 1</formula>
    </cfRule>
    <cfRule type="expression" dxfId="1966" priority="57" stopIfTrue="1">
      <formula xml:space="preserve"> INDIRECT("G" &amp; ROW()) = 2</formula>
    </cfRule>
    <cfRule type="expression" dxfId="1965" priority="58" stopIfTrue="1">
      <formula xml:space="preserve"> INDIRECT("G" &amp; ROW()) = 3</formula>
    </cfRule>
    <cfRule type="expression" dxfId="1964" priority="59" stopIfTrue="1">
      <formula xml:space="preserve"> INDIRECT("G" &amp; ROW()) = 4</formula>
    </cfRule>
    <cfRule type="expression" dxfId="1963" priority="60" stopIfTrue="1">
      <formula xml:space="preserve"> INDIRECT("G" &amp; ROW()) = 5</formula>
    </cfRule>
    <cfRule type="expression" dxfId="1962" priority="61" stopIfTrue="1">
      <formula xml:space="preserve"> INDIRECT("G" &amp; ROW()) = 6</formula>
    </cfRule>
  </conditionalFormatting>
  <conditionalFormatting sqref="O41">
    <cfRule type="expression" dxfId="1961" priority="53">
      <formula xml:space="preserve"> $AJ41 = "SIM"</formula>
    </cfRule>
    <cfRule type="expression" dxfId="1960" priority="54">
      <formula xml:space="preserve"> $AI41 = "NFI"</formula>
    </cfRule>
  </conditionalFormatting>
  <conditionalFormatting sqref="O41">
    <cfRule type="expression" dxfId="1959" priority="46" stopIfTrue="1">
      <formula xml:space="preserve"> INDIRECT("G" &amp; ROW()) = 0</formula>
    </cfRule>
    <cfRule type="expression" dxfId="1958" priority="47" stopIfTrue="1">
      <formula xml:space="preserve"> INDIRECT("G" &amp; ROW()) = 1</formula>
    </cfRule>
    <cfRule type="expression" dxfId="1957" priority="48" stopIfTrue="1">
      <formula xml:space="preserve"> INDIRECT("G" &amp; ROW()) = 2</formula>
    </cfRule>
    <cfRule type="expression" dxfId="1956" priority="49" stopIfTrue="1">
      <formula xml:space="preserve"> INDIRECT("G" &amp; ROW()) = 3</formula>
    </cfRule>
    <cfRule type="expression" dxfId="1955" priority="50" stopIfTrue="1">
      <formula xml:space="preserve"> INDIRECT("G" &amp; ROW()) = 4</formula>
    </cfRule>
    <cfRule type="expression" dxfId="1954" priority="51" stopIfTrue="1">
      <formula xml:space="preserve"> INDIRECT("G" &amp; ROW()) = 5</formula>
    </cfRule>
    <cfRule type="expression" dxfId="1953" priority="52" stopIfTrue="1">
      <formula xml:space="preserve"> INDIRECT("G" &amp; ROW()) = 6</formula>
    </cfRule>
  </conditionalFormatting>
  <conditionalFormatting sqref="O42">
    <cfRule type="expression" dxfId="1952" priority="44">
      <formula xml:space="preserve"> $AJ42 = "SIM"</formula>
    </cfRule>
    <cfRule type="expression" dxfId="1951" priority="45">
      <formula xml:space="preserve"> $AI42 = "NFI"</formula>
    </cfRule>
  </conditionalFormatting>
  <conditionalFormatting sqref="O42">
    <cfRule type="expression" dxfId="1950" priority="37" stopIfTrue="1">
      <formula xml:space="preserve"> INDIRECT("G" &amp; ROW()) = 0</formula>
    </cfRule>
    <cfRule type="expression" dxfId="1949" priority="38" stopIfTrue="1">
      <formula xml:space="preserve"> INDIRECT("G" &amp; ROW()) = 1</formula>
    </cfRule>
    <cfRule type="expression" dxfId="1948" priority="39" stopIfTrue="1">
      <formula xml:space="preserve"> INDIRECT("G" &amp; ROW()) = 2</formula>
    </cfRule>
    <cfRule type="expression" dxfId="1947" priority="40" stopIfTrue="1">
      <formula xml:space="preserve"> INDIRECT("G" &amp; ROW()) = 3</formula>
    </cfRule>
    <cfRule type="expression" dxfId="1946" priority="41" stopIfTrue="1">
      <formula xml:space="preserve"> INDIRECT("G" &amp; ROW()) = 4</formula>
    </cfRule>
    <cfRule type="expression" dxfId="1945" priority="42" stopIfTrue="1">
      <formula xml:space="preserve"> INDIRECT("G" &amp; ROW()) = 5</formula>
    </cfRule>
    <cfRule type="expression" dxfId="1944" priority="43" stopIfTrue="1">
      <formula xml:space="preserve"> INDIRECT("G" &amp; ROW()) = 6</formula>
    </cfRule>
  </conditionalFormatting>
  <conditionalFormatting sqref="O43">
    <cfRule type="expression" dxfId="1943" priority="35">
      <formula xml:space="preserve"> $AJ43 = "SIM"</formula>
    </cfRule>
    <cfRule type="expression" dxfId="1942" priority="36">
      <formula xml:space="preserve"> $AI43 = "NFI"</formula>
    </cfRule>
  </conditionalFormatting>
  <conditionalFormatting sqref="O43">
    <cfRule type="expression" dxfId="1941" priority="28" stopIfTrue="1">
      <formula xml:space="preserve"> INDIRECT("G" &amp; ROW()) = 0</formula>
    </cfRule>
    <cfRule type="expression" dxfId="1940" priority="29" stopIfTrue="1">
      <formula xml:space="preserve"> INDIRECT("G" &amp; ROW()) = 1</formula>
    </cfRule>
    <cfRule type="expression" dxfId="1939" priority="30" stopIfTrue="1">
      <formula xml:space="preserve"> INDIRECT("G" &amp; ROW()) = 2</formula>
    </cfRule>
    <cfRule type="expression" dxfId="1938" priority="31" stopIfTrue="1">
      <formula xml:space="preserve"> INDIRECT("G" &amp; ROW()) = 3</formula>
    </cfRule>
    <cfRule type="expression" dxfId="1937" priority="32" stopIfTrue="1">
      <formula xml:space="preserve"> INDIRECT("G" &amp; ROW()) = 4</formula>
    </cfRule>
    <cfRule type="expression" dxfId="1936" priority="33" stopIfTrue="1">
      <formula xml:space="preserve"> INDIRECT("G" &amp; ROW()) = 5</formula>
    </cfRule>
    <cfRule type="expression" dxfId="1935" priority="34" stopIfTrue="1">
      <formula xml:space="preserve"> INDIRECT("G" &amp; ROW()) = 6</formula>
    </cfRule>
  </conditionalFormatting>
  <conditionalFormatting sqref="O45">
    <cfRule type="expression" dxfId="1934" priority="26">
      <formula xml:space="preserve"> $AJ45 = "SIM"</formula>
    </cfRule>
    <cfRule type="expression" dxfId="1933" priority="27">
      <formula xml:space="preserve"> $AI45 = "NFI"</formula>
    </cfRule>
  </conditionalFormatting>
  <conditionalFormatting sqref="O45">
    <cfRule type="expression" dxfId="1932" priority="19" stopIfTrue="1">
      <formula xml:space="preserve"> INDIRECT("G" &amp; ROW()) = 0</formula>
    </cfRule>
    <cfRule type="expression" dxfId="1931" priority="20" stopIfTrue="1">
      <formula xml:space="preserve"> INDIRECT("G" &amp; ROW()) = 1</formula>
    </cfRule>
    <cfRule type="expression" dxfId="1930" priority="21" stopIfTrue="1">
      <formula xml:space="preserve"> INDIRECT("G" &amp; ROW()) = 2</formula>
    </cfRule>
    <cfRule type="expression" dxfId="1929" priority="22" stopIfTrue="1">
      <formula xml:space="preserve"> INDIRECT("G" &amp; ROW()) = 3</formula>
    </cfRule>
    <cfRule type="expression" dxfId="1928" priority="23" stopIfTrue="1">
      <formula xml:space="preserve"> INDIRECT("G" &amp; ROW()) = 4</formula>
    </cfRule>
    <cfRule type="expression" dxfId="1927" priority="24" stopIfTrue="1">
      <formula xml:space="preserve"> INDIRECT("G" &amp; ROW()) = 5</formula>
    </cfRule>
    <cfRule type="expression" dxfId="1926" priority="25" stopIfTrue="1">
      <formula xml:space="preserve"> INDIRECT("G" &amp; ROW()) = 6</formula>
    </cfRule>
  </conditionalFormatting>
  <conditionalFormatting sqref="O46">
    <cfRule type="expression" dxfId="1925" priority="17">
      <formula xml:space="preserve"> $AJ46 = "SIM"</formula>
    </cfRule>
    <cfRule type="expression" dxfId="1924" priority="18">
      <formula xml:space="preserve"> $AI46 = "NFI"</formula>
    </cfRule>
  </conditionalFormatting>
  <conditionalFormatting sqref="O46">
    <cfRule type="expression" dxfId="1923" priority="10" stopIfTrue="1">
      <formula xml:space="preserve"> INDIRECT("G" &amp; ROW()) = 0</formula>
    </cfRule>
    <cfRule type="expression" dxfId="1922" priority="11" stopIfTrue="1">
      <formula xml:space="preserve"> INDIRECT("G" &amp; ROW()) = 1</formula>
    </cfRule>
    <cfRule type="expression" dxfId="1921" priority="12" stopIfTrue="1">
      <formula xml:space="preserve"> INDIRECT("G" &amp; ROW()) = 2</formula>
    </cfRule>
    <cfRule type="expression" dxfId="1920" priority="13" stopIfTrue="1">
      <formula xml:space="preserve"> INDIRECT("G" &amp; ROW()) = 3</formula>
    </cfRule>
    <cfRule type="expression" dxfId="1919" priority="14" stopIfTrue="1">
      <formula xml:space="preserve"> INDIRECT("G" &amp; ROW()) = 4</formula>
    </cfRule>
    <cfRule type="expression" dxfId="1918" priority="15" stopIfTrue="1">
      <formula xml:space="preserve"> INDIRECT("G" &amp; ROW()) = 5</formula>
    </cfRule>
    <cfRule type="expression" dxfId="1917" priority="16" stopIfTrue="1">
      <formula xml:space="preserve"> INDIRECT("G" &amp; ROW()) = 6</formula>
    </cfRule>
  </conditionalFormatting>
  <conditionalFormatting sqref="N25">
    <cfRule type="expression" dxfId="1916" priority="8">
      <formula xml:space="preserve"> $AJ25 = "SIM"</formula>
    </cfRule>
    <cfRule type="expression" dxfId="1915" priority="9">
      <formula xml:space="preserve"> $AI25 = "NFI"</formula>
    </cfRule>
  </conditionalFormatting>
  <conditionalFormatting sqref="N25">
    <cfRule type="expression" dxfId="1914" priority="1" stopIfTrue="1">
      <formula xml:space="preserve"> INDIRECT("G" &amp; ROW()) = 0</formula>
    </cfRule>
    <cfRule type="expression" dxfId="1913" priority="2" stopIfTrue="1">
      <formula xml:space="preserve"> INDIRECT("G" &amp; ROW()) = 1</formula>
    </cfRule>
    <cfRule type="expression" dxfId="1912" priority="3" stopIfTrue="1">
      <formula xml:space="preserve"> INDIRECT("G" &amp; ROW()) = 2</formula>
    </cfRule>
    <cfRule type="expression" dxfId="1911" priority="4" stopIfTrue="1">
      <formula xml:space="preserve"> INDIRECT("G" &amp; ROW()) = 3</formula>
    </cfRule>
    <cfRule type="expression" dxfId="1910" priority="5" stopIfTrue="1">
      <formula xml:space="preserve"> INDIRECT("G" &amp; ROW()) = 4</formula>
    </cfRule>
    <cfRule type="expression" dxfId="1909" priority="6" stopIfTrue="1">
      <formula xml:space="preserve"> INDIRECT("G" &amp; ROW()) = 5</formula>
    </cfRule>
    <cfRule type="expression" dxfId="1908" priority="7" stopIfTrue="1">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37" id="{A9E25563-0041-40CC-9DD4-C9FAEB0E0361}">
            <xm:f>K5=Lists!$F$16</xm:f>
            <x14:dxf>
              <fill>
                <patternFill>
                  <bgColor rgb="FFE0DCD8"/>
                </patternFill>
              </fill>
            </x14:dxf>
          </x14:cfRule>
          <x14:cfRule type="expression" priority="837" id="{744E93E1-46DD-4CBD-82E0-625EFF7B7179}">
            <xm:f>K5=Lists!$F$15</xm:f>
            <x14:dxf>
              <fill>
                <patternFill>
                  <bgColor rgb="FFE0DCD8"/>
                </patternFill>
              </fill>
            </x14:dxf>
          </x14:cfRule>
          <x14:cfRule type="expression" priority="837" id="{707EE4B1-0291-463F-8E26-85E4DD55D361}">
            <xm:f>K5=Lists!$F$14</xm:f>
            <x14:dxf>
              <fill>
                <patternFill>
                  <bgColor rgb="FFE0DCD8"/>
                </patternFill>
              </fill>
            </x14:dxf>
          </x14:cfRule>
          <x14:cfRule type="expression" priority="837"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838" id="{F69E6454-E493-4BEB-82ED-832A15E2A4C6}">
            <xm:f>M5=Lists!$F$16</xm:f>
            <x14:dxf>
              <fill>
                <patternFill>
                  <bgColor rgb="FFE0DCD8"/>
                </patternFill>
              </fill>
            </x14:dxf>
          </x14:cfRule>
          <x14:cfRule type="expression" priority="838" id="{63F4D9E1-AFF7-4290-871B-712E643C504B}">
            <xm:f>M5=Lists!$F$15</xm:f>
            <x14:dxf>
              <fill>
                <patternFill>
                  <bgColor rgb="FFE0DCD8"/>
                </patternFill>
              </fill>
            </x14:dxf>
          </x14:cfRule>
          <x14:cfRule type="expression" priority="838" id="{627EDD62-D94D-4A0E-84C1-F3C2E2DCF8AA}">
            <xm:f>M5=Lists!$F$14</xm:f>
            <x14:dxf>
              <fill>
                <patternFill>
                  <bgColor rgb="FFE0DCD8"/>
                </patternFill>
              </fill>
            </x14:dxf>
          </x14:cfRule>
          <x14:cfRule type="expression" priority="838"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839" id="{ADA781DA-03C2-403B-8F25-5AAF4237E54A}">
            <xm:f>O5=Lists!$F$16</xm:f>
            <x14:dxf>
              <fill>
                <patternFill>
                  <bgColor rgb="FFE0DCD8"/>
                </patternFill>
              </fill>
            </x14:dxf>
          </x14:cfRule>
          <x14:cfRule type="expression" priority="839" id="{00B40E04-927E-4785-89F9-72F4091C5C1E}">
            <xm:f>O5=Lists!$F$15</xm:f>
            <x14:dxf>
              <fill>
                <patternFill>
                  <bgColor rgb="FFE0DCD8"/>
                </patternFill>
              </fill>
            </x14:dxf>
          </x14:cfRule>
          <x14:cfRule type="expression" priority="839" id="{2B30CA79-787E-44E0-8F7D-34610284DB1F}">
            <xm:f>O5=Lists!$F$14</xm:f>
            <x14:dxf>
              <fill>
                <patternFill>
                  <bgColor rgb="FFE0DCD8"/>
                </patternFill>
              </fill>
            </x14:dxf>
          </x14:cfRule>
          <x14:cfRule type="expression" priority="839"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Lists!$F$11:$F$15</xm:f>
          </x14:formula1>
          <xm:sqref>K5:K60 M5:M60 O5:O60</xm:sqref>
        </x14:dataValidation>
        <x14:dataValidation type="list" allowBlank="1" showInputMessage="1" showErrorMessage="1">
          <x14:formula1>
            <xm:f>Lists!$F$6:$F$8</xm:f>
          </x14:formula1>
          <xm:sqref>J5:J60</xm:sqref>
        </x14:dataValidation>
      </x14:dataValidations>
    </ext>
  </extLst>
</worksheet>
</file>

<file path=xl/worksheets/sheet26.xml><?xml version="1.0" encoding="utf-8"?>
<worksheet xmlns="http://schemas.openxmlformats.org/spreadsheetml/2006/main" xmlns:r="http://schemas.openxmlformats.org/officeDocument/2006/relationships">
  <sheetPr codeName="Sheet22">
    <tabColor rgb="FF00B0F0"/>
    <pageSetUpPr fitToPage="1"/>
  </sheetPr>
  <dimension ref="A1:V63"/>
  <sheetViews>
    <sheetView tabSelected="1" workbookViewId="0">
      <selection activeCell="J5" sqref="J5"/>
    </sheetView>
  </sheetViews>
  <sheetFormatPr defaultColWidth="0" defaultRowHeight="14.25" zeroHeight="1"/>
  <cols>
    <col min="1" max="1" width="0.625" style="536" customWidth="1"/>
    <col min="2" max="2" width="6.125" style="536" customWidth="1"/>
    <col min="3" max="3" width="19.375" style="536" customWidth="1"/>
    <col min="4" max="4" width="14" style="556" customWidth="1"/>
    <col min="5" max="5" width="75" style="536" customWidth="1"/>
    <col min="6" max="6" width="8.625" style="556" customWidth="1"/>
    <col min="7" max="7" width="12.625" style="556" customWidth="1"/>
    <col min="8" max="8" width="18.625" style="556" customWidth="1"/>
    <col min="9" max="9" width="18.625" style="561" customWidth="1"/>
    <col min="10" max="10" width="9" style="564" customWidth="1"/>
    <col min="11" max="11" width="2.125" style="536" customWidth="1"/>
    <col min="12" max="12" width="33.625" style="536" customWidth="1"/>
    <col min="13" max="13" width="24.75" style="536" customWidth="1"/>
    <col min="14" max="14" width="1.625" style="536" customWidth="1"/>
    <col min="15" max="15" width="1.625" style="537" hidden="1" customWidth="1"/>
    <col min="16" max="17" width="9.125" style="538" hidden="1" customWidth="1"/>
    <col min="18" max="18" width="1.625" style="574" hidden="1" customWidth="1"/>
    <col min="19" max="20" width="9.125" style="538" hidden="1" customWidth="1"/>
    <col min="21" max="21" width="1.625" style="574" hidden="1" customWidth="1"/>
    <col min="22" max="22" width="1.625" style="536" hidden="1" customWidth="1"/>
    <col min="23" max="16384" width="9" style="536" hidden="1"/>
  </cols>
  <sheetData>
    <row r="1" spans="1:20" ht="18.75">
      <c r="A1" s="535"/>
      <c r="B1" s="68" t="s">
        <v>3178</v>
      </c>
      <c r="C1" s="68"/>
      <c r="D1" s="551"/>
      <c r="E1" s="68"/>
      <c r="F1" s="68" t="str">
        <f>Validation!B3</f>
        <v>South West Water – South West area</v>
      </c>
      <c r="G1" s="551"/>
      <c r="H1" s="551"/>
      <c r="I1" s="557"/>
      <c r="J1" s="70"/>
      <c r="K1" s="70"/>
      <c r="L1" s="70"/>
      <c r="M1" s="70" t="s">
        <v>2394</v>
      </c>
    </row>
    <row r="2" spans="1:20" ht="19.5" thickBot="1">
      <c r="B2" s="539" t="s">
        <v>12524</v>
      </c>
      <c r="C2" s="540"/>
      <c r="D2" s="565"/>
      <c r="E2" s="535"/>
      <c r="F2" s="535"/>
      <c r="G2" s="535"/>
      <c r="H2" s="535"/>
      <c r="I2" s="558"/>
      <c r="J2" s="562"/>
      <c r="K2" s="535"/>
      <c r="L2" s="535"/>
      <c r="M2" s="541"/>
      <c r="P2" s="77" t="s">
        <v>2404</v>
      </c>
      <c r="Q2" s="542"/>
      <c r="S2" s="542" t="s">
        <v>3576</v>
      </c>
      <c r="T2" s="542"/>
    </row>
    <row r="3" spans="1:20" ht="26.25" thickBot="1">
      <c r="B3" s="316" t="s">
        <v>2717</v>
      </c>
      <c r="C3" s="316" t="s">
        <v>2</v>
      </c>
      <c r="D3" s="318" t="s">
        <v>3574</v>
      </c>
      <c r="E3" s="317" t="s">
        <v>3345</v>
      </c>
      <c r="F3" s="318" t="s">
        <v>3346</v>
      </c>
      <c r="G3" s="318" t="s">
        <v>16</v>
      </c>
      <c r="H3" s="318" t="s">
        <v>3877</v>
      </c>
      <c r="I3" s="559" t="s">
        <v>12602</v>
      </c>
      <c r="J3" s="307" t="s">
        <v>13499</v>
      </c>
      <c r="K3" s="541"/>
      <c r="L3" s="193" t="s">
        <v>3575</v>
      </c>
      <c r="M3" s="194" t="s">
        <v>1361</v>
      </c>
      <c r="P3" s="543" t="s">
        <v>2405</v>
      </c>
      <c r="S3" s="538" t="s">
        <v>3577</v>
      </c>
    </row>
    <row r="4" spans="1:20" ht="7.5" customHeight="1" thickBot="1">
      <c r="B4" s="160"/>
      <c r="C4" s="160"/>
      <c r="D4" s="552"/>
      <c r="E4" s="160"/>
      <c r="F4" s="552"/>
      <c r="G4" s="552"/>
      <c r="H4" s="552"/>
      <c r="I4" s="560"/>
      <c r="J4" s="563"/>
      <c r="P4" s="538" t="s">
        <v>2720</v>
      </c>
      <c r="Q4" s="538" t="s">
        <v>2721</v>
      </c>
    </row>
    <row r="5" spans="1:20" ht="30" customHeight="1" thickBot="1">
      <c r="B5" s="544">
        <v>1</v>
      </c>
      <c r="C5" s="545" t="str">
        <f>IF($F$1="Select company","",IF((HLOOKUP((VLOOKUP($F$1,Lists!$B$4:$C$26,2,FALSE)),'SUB list edited'!$A$2:$DP$42,($B5+1),FALSE))=0,"",HLOOKUP((VLOOKUP($F$1,Lists!$B$4:$C$26,2,FALSE)),'SUB list edited'!$A$2:$DP$42,($B5+1),FALSE)))</f>
        <v>PR14SWTWSW_W-A3</v>
      </c>
      <c r="D5" s="553" t="str">
        <f>IF($F$1="Select company","",IF(C5 = "","",HLOOKUP(((VLOOKUP($F$1,Lists!$B$4:$C$26,2,FALSE))&amp;"ID"),'SUB list edited'!$A$2:$DP$42,($B5+1),FALSE)))</f>
        <v>00</v>
      </c>
      <c r="E5" s="545" t="str">
        <f>IF($F$1="Select company","",IF(C5 = "","",HLOOKUP(((VLOOKUP($F$1,Lists!$B$4:$C$26,2,FALSE))&amp;"PC"),'SUB list edited'!$A$2:$DP$42,($B5+1),FALSE)))</f>
        <v>W-A3 Asset reliability (pipes)</v>
      </c>
      <c r="F5" s="553" t="str">
        <f>IF($F$1="Select company","",IF(C5 = "","",HLOOKUP(((VLOOKUP($F$1,Lists!$B$4:$C$26,2,FALSE))&amp;"unit"),'SUB list edited'!$A$2:$DP$42,($B5+1),FALSE)))</f>
        <v>category</v>
      </c>
      <c r="G5" s="1444" t="str">
        <f>IF($F$1="Select company","",IF(C5="","",HLOOKUP(((VLOOKUP($F$1,Lists!$B$4:$C$26,2,FALSE))&amp;"DP"),'SUB list edited'!$A$2:$DP$42,($B5+1),FALSE)))</f>
        <v>na</v>
      </c>
      <c r="H5" s="326" t="str">
        <f>IF($F$1="Select company","",IF(C5 = "","",HLOOKUP(((VLOOKUP($F$1,Lists!$B$4:$C$26,2,FALSE))&amp;"201718ActPerf"),'SUB list edited'!$A$2:$DP$42,($B5+1),FALSE)))</f>
        <v>Stable</v>
      </c>
      <c r="I5" s="3183" t="str">
        <f>'[2]3B'!J5</f>
        <v>Stable</v>
      </c>
      <c r="J5" s="3183" t="str">
        <f>'[2]3B'!K5</f>
        <v>Yes</v>
      </c>
      <c r="L5" s="546">
        <f>IF(SUM(S5:T5) &gt; 0, $S$3, 0)</f>
        <v>0</v>
      </c>
      <c r="M5" s="546">
        <f>IF(SUM(P5:Q5) &gt; 0, $P$3, 0)</f>
        <v>0</v>
      </c>
      <c r="P5" s="542">
        <f>IF($C5="", 0, IF(ISBLANK(I5), 1, 0))</f>
        <v>0</v>
      </c>
      <c r="Q5" s="542">
        <f>IF($C5="", 0, IF(ISBLANK(J5), 1, 0))</f>
        <v>0</v>
      </c>
      <c r="S5" s="542">
        <f xml:space="preserve"> IF(C5 = "", 0, IF(AND(NOT(INDEX('3A - SWT'!I$5:I$60, MATCH('3B - SWT'!$C5, '3A - SWT'!$C$5:$C$60, 0))=I5), $D5="00"), 1, 0))</f>
        <v>0</v>
      </c>
      <c r="T5" s="542">
        <f xml:space="preserve"> IF(C5 = "", 0, IF(AND(NOT(INDEX('3A - SWT'!J$5:J$60, MATCH('3B - SWT'!$C5, '3A - SWT'!$C$5:$C$60, 0))=J5), $D5="00"), 1, 0))</f>
        <v>0</v>
      </c>
    </row>
    <row r="6" spans="1:20" ht="30" customHeight="1" thickBot="1">
      <c r="B6" s="547">
        <f xml:space="preserve"> B5 + 1</f>
        <v>2</v>
      </c>
      <c r="C6" s="548" t="str">
        <f>IF($F$1="Select company","",IF((HLOOKUP((VLOOKUP($F$1,Lists!$B$4:$C$26,2,FALSE)),'SUB list edited'!$A$2:$DP$42,($B6+1),FALSE))=0,"",HLOOKUP((VLOOKUP($F$1,Lists!$B$4:$C$26,2,FALSE)),'SUB list edited'!$A$2:$DP$42,($B6+1),FALSE)))</f>
        <v>PR14SWTWSW_W-A3</v>
      </c>
      <c r="D6" s="554" t="str">
        <f>IF($F$1="Select company","",IF(C6 = "","",HLOOKUP(((VLOOKUP($F$1,Lists!$B$4:$C$26,2,FALSE))&amp;"ID"),'SUB list edited'!$A$2:$DP$42,($B6+1),FALSE)))</f>
        <v>01</v>
      </c>
      <c r="E6" s="548" t="str">
        <f>IF($F$1="Select company","",IF(C6 = "","",HLOOKUP(((VLOOKUP($F$1,Lists!$B$4:$C$26,2,FALSE))&amp;"PC"),'SUB list edited'!$A$2:$DP$42,($B6+1),FALSE)))</f>
        <v>Total bursts</v>
      </c>
      <c r="F6" s="554" t="str">
        <f>IF($F$1="Select company","",IF(C6 = "","",HLOOKUP(((VLOOKUP($F$1,Lists!$B$4:$C$26,2,FALSE))&amp;"unit"),'SUB list edited'!$A$2:$DP$42,($B6+1),FALSE)))</f>
        <v>nr</v>
      </c>
      <c r="G6" s="1445" t="str">
        <f>IF($F$1="Select company","",IF(C6="","",HLOOKUP(((VLOOKUP($F$1,Lists!$B$4:$C$26,2,FALSE))&amp;"DP"),'SUB list edited'!$A$2:$DP$42,($B6+1),FALSE)))</f>
        <v>0</v>
      </c>
      <c r="H6" s="327">
        <f>IF($F$1="Select company","",IF(C6 = "","",HLOOKUP(((VLOOKUP($F$1,Lists!$B$4:$C$26,2,FALSE))&amp;"201718ActPerf"),'SUB list edited'!$A$2:$DP$42,($B6+1),FALSE)))</f>
        <v>2496</v>
      </c>
      <c r="I6" s="3183">
        <f>'[2]3B'!J6</f>
        <v>2517</v>
      </c>
      <c r="J6" s="3183" t="str">
        <f>'[2]3B'!K6</f>
        <v>Yes</v>
      </c>
      <c r="L6" s="546">
        <f>IF(SUM(S6:T6) &gt; 0, $S$3, 0)</f>
        <v>0</v>
      </c>
      <c r="M6" s="546">
        <f t="shared" ref="M6:M44" si="0">IF(SUM(P6:Q6) &gt; 0, $P$3, 0)</f>
        <v>0</v>
      </c>
      <c r="P6" s="542">
        <f t="shared" ref="P6:P44" si="1">IF($C6="", 0, IF(ISBLANK(I6), 1, 0))</f>
        <v>0</v>
      </c>
      <c r="Q6" s="542">
        <f t="shared" ref="Q6:Q44" si="2">IF($C6="", 0, IF(ISBLANK(J6), 1, 0))</f>
        <v>0</v>
      </c>
      <c r="S6" s="542">
        <f xml:space="preserve"> IF(C6 = "", 0, IF(AND(NOT(INDEX('3A - SWT'!I$5:I$60, MATCH('3B - SWT'!$C6, '3A - SWT'!$C$5:$C$60, 0))=I6), $D6="00"), 1, 0))</f>
        <v>0</v>
      </c>
      <c r="T6" s="542">
        <f xml:space="preserve"> IF(C6 = "", 0, IF(AND(NOT(INDEX('3A - SWT'!J$5:J$60, MATCH('3B - SWT'!$C6, '3A - SWT'!$C$5:$C$60, 0))=J6), $D6="00"), 1, 0))</f>
        <v>0</v>
      </c>
    </row>
    <row r="7" spans="1:20" ht="30" customHeight="1" thickBot="1">
      <c r="B7" s="547">
        <f t="shared" ref="B7:B11" si="3" xml:space="preserve"> B6 + 1</f>
        <v>3</v>
      </c>
      <c r="C7" s="548" t="str">
        <f>IF($F$1="Select company","",IF((HLOOKUP((VLOOKUP($F$1,Lists!$B$4:$C$26,2,FALSE)),'SUB list edited'!$A$2:$DP$42,($B7+1),FALSE))=0,"",HLOOKUP((VLOOKUP($F$1,Lists!$B$4:$C$26,2,FALSE)),'SUB list edited'!$A$2:$DP$42,($B7+1),FALSE)))</f>
        <v>PR14SWTWSW_W-A3</v>
      </c>
      <c r="D7" s="554" t="str">
        <f>IF($F$1="Select company","",IF(C7 = "","",HLOOKUP(((VLOOKUP($F$1,Lists!$B$4:$C$26,2,FALSE))&amp;"ID"),'SUB list edited'!$A$2:$DP$42,($B7+1),FALSE)))</f>
        <v>02</v>
      </c>
      <c r="E7" s="548" t="str">
        <f>IF($F$1="Select company","",IF(C7 = "","",HLOOKUP(((VLOOKUP($F$1,Lists!$B$4:$C$26,2,FALSE))&amp;"PC"),'SUB list edited'!$A$2:$DP$42,($B7+1),FALSE)))</f>
        <v>Interruptions &gt; 12 hours</v>
      </c>
      <c r="F7" s="554" t="str">
        <f>IF($F$1="Select company","",IF(C7 = "","",HLOOKUP(((VLOOKUP($F$1,Lists!$B$4:$C$26,2,FALSE))&amp;"unit"),'SUB list edited'!$A$2:$DP$42,($B7+1),FALSE)))</f>
        <v>nr</v>
      </c>
      <c r="G7" s="1445" t="str">
        <f>IF($F$1="Select company","",IF(C7="","",HLOOKUP(((VLOOKUP($F$1,Lists!$B$4:$C$26,2,FALSE))&amp;"DP"),'SUB list edited'!$A$2:$DP$42,($B7+1),FALSE)))</f>
        <v>0</v>
      </c>
      <c r="H7" s="327">
        <f>IF($F$1="Select company","",IF(C7 = "","",HLOOKUP(((VLOOKUP($F$1,Lists!$B$4:$C$26,2,FALSE))&amp;"201718ActPerf"),'SUB list edited'!$A$2:$DP$42,($B7+1),FALSE)))</f>
        <v>716</v>
      </c>
      <c r="I7" s="3183">
        <f>'[2]3B'!J7</f>
        <v>471</v>
      </c>
      <c r="J7" s="3183" t="str">
        <f>'[2]3B'!K7</f>
        <v>Yes</v>
      </c>
      <c r="L7" s="546">
        <f t="shared" ref="L7:L44" si="4">IF(SUM(S7:T7) &gt; 0, $S$3, 0)</f>
        <v>0</v>
      </c>
      <c r="M7" s="546">
        <f t="shared" si="0"/>
        <v>0</v>
      </c>
      <c r="P7" s="542">
        <f t="shared" si="1"/>
        <v>0</v>
      </c>
      <c r="Q7" s="542">
        <f t="shared" si="2"/>
        <v>0</v>
      </c>
      <c r="S7" s="542">
        <f xml:space="preserve"> IF(C7 = "", 0, IF(AND(NOT(INDEX('3A - SWT'!I$5:I$60, MATCH('3B - SWT'!$C7, '3A - SWT'!$C$5:$C$60, 0))=I7), $D7="00"), 1, 0))</f>
        <v>0</v>
      </c>
      <c r="T7" s="542">
        <f xml:space="preserve"> IF(C7 = "", 0, IF(AND(NOT(INDEX('3A - SWT'!J$5:J$60, MATCH('3B - SWT'!$C7, '3A - SWT'!$C$5:$C$60, 0))=J7), $D7="00"), 1, 0))</f>
        <v>0</v>
      </c>
    </row>
    <row r="8" spans="1:20" ht="30" customHeight="1" thickBot="1">
      <c r="B8" s="547">
        <f t="shared" si="3"/>
        <v>4</v>
      </c>
      <c r="C8" s="548" t="str">
        <f>IF($F$1="Select company","",IF((HLOOKUP((VLOOKUP($F$1,Lists!$B$4:$C$26,2,FALSE)),'SUB list edited'!$A$2:$DP$42,($B8+1),FALSE))=0,"",HLOOKUP((VLOOKUP($F$1,Lists!$B$4:$C$26,2,FALSE)),'SUB list edited'!$A$2:$DP$42,($B8+1),FALSE)))</f>
        <v>PR14SWTWSW_W-A3</v>
      </c>
      <c r="D8" s="554" t="str">
        <f>IF($F$1="Select company","",IF(C8 = "","",HLOOKUP(((VLOOKUP($F$1,Lists!$B$4:$C$26,2,FALSE))&amp;"ID"),'SUB list edited'!$A$2:$DP$42,($B8+1),FALSE)))</f>
        <v>03</v>
      </c>
      <c r="E8" s="548" t="str">
        <f>IF($F$1="Select company","",IF(C8 = "","",HLOOKUP(((VLOOKUP($F$1,Lists!$B$4:$C$26,2,FALSE))&amp;"PC"),'SUB list edited'!$A$2:$DP$42,($B8+1),FALSE)))</f>
        <v>Iron non-compliance (as 100-Mean Zonal Compliance)</v>
      </c>
      <c r="F8" s="554" t="str">
        <f>IF($F$1="Select company","",IF(C8 = "","",HLOOKUP(((VLOOKUP($F$1,Lists!$B$4:$C$26,2,FALSE))&amp;"unit"),'SUB list edited'!$A$2:$DP$42,($B8+1),FALSE)))</f>
        <v>%</v>
      </c>
      <c r="G8" s="1445">
        <f>IF($F$1="Select company","",IF(C8="","",HLOOKUP(((VLOOKUP($F$1,Lists!$B$4:$C$26,2,FALSE))&amp;"DP"),'SUB list edited'!$A$2:$DP$42,($B8+1),FALSE)))</f>
        <v>2</v>
      </c>
      <c r="H8" s="327">
        <f>IF($F$1="Select company","",IF(C8 = "","",HLOOKUP(((VLOOKUP($F$1,Lists!$B$4:$C$26,2,FALSE))&amp;"201718ActPerf"),'SUB list edited'!$A$2:$DP$42,($B8+1),FALSE)))</f>
        <v>0.11</v>
      </c>
      <c r="I8" s="3183">
        <f>'[2]3B'!J8</f>
        <v>0.2</v>
      </c>
      <c r="J8" s="3183" t="str">
        <f>'[2]3B'!K8</f>
        <v>Yes</v>
      </c>
      <c r="L8" s="546">
        <f t="shared" si="4"/>
        <v>0</v>
      </c>
      <c r="M8" s="546">
        <f t="shared" si="0"/>
        <v>0</v>
      </c>
      <c r="P8" s="542">
        <f t="shared" si="1"/>
        <v>0</v>
      </c>
      <c r="Q8" s="542">
        <f t="shared" si="2"/>
        <v>0</v>
      </c>
      <c r="S8" s="542">
        <f xml:space="preserve"> IF(C8 = "", 0, IF(AND(NOT(INDEX('3A - SWT'!I$5:I$60, MATCH('3B - SWT'!$C8, '3A - SWT'!$C$5:$C$60, 0))=I8), $D8="00"), 1, 0))</f>
        <v>0</v>
      </c>
      <c r="T8" s="542">
        <f xml:space="preserve"> IF(C8 = "", 0, IF(AND(NOT(INDEX('3A - SWT'!J$5:J$60, MATCH('3B - SWT'!$C8, '3A - SWT'!$C$5:$C$60, 0))=J8), $D8="00"), 1, 0))</f>
        <v>0</v>
      </c>
    </row>
    <row r="9" spans="1:20" ht="30" customHeight="1" thickBot="1">
      <c r="B9" s="547">
        <f t="shared" si="3"/>
        <v>5</v>
      </c>
      <c r="C9" s="548" t="str">
        <f>IF($F$1="Select company","",IF((HLOOKUP((VLOOKUP($F$1,Lists!$B$4:$C$26,2,FALSE)),'SUB list edited'!$A$2:$DP$42,($B9+1),FALSE))=0,"",HLOOKUP((VLOOKUP($F$1,Lists!$B$4:$C$26,2,FALSE)),'SUB list edited'!$A$2:$DP$42,($B9+1),FALSE)))</f>
        <v>PR14SWTWSW_W-A3</v>
      </c>
      <c r="D9" s="554" t="str">
        <f>IF($F$1="Select company","",IF(C9 = "","",HLOOKUP(((VLOOKUP($F$1,Lists!$B$4:$C$26,2,FALSE))&amp;"ID"),'SUB list edited'!$A$2:$DP$42,($B9+1),FALSE)))</f>
        <v>04</v>
      </c>
      <c r="E9" s="548" t="str">
        <f>IF($F$1="Select company","",IF(C9 = "","",HLOOKUP(((VLOOKUP($F$1,Lists!$B$4:$C$26,2,FALSE))&amp;"PC"),'SUB list edited'!$A$2:$DP$42,($B9+1),FALSE)))</f>
        <v>DG2 pressure</v>
      </c>
      <c r="F9" s="554" t="str">
        <f>IF($F$1="Select company","",IF(C9 = "","",HLOOKUP(((VLOOKUP($F$1,Lists!$B$4:$C$26,2,FALSE))&amp;"unit"),'SUB list edited'!$A$2:$DP$42,($B9+1),FALSE)))</f>
        <v>nr</v>
      </c>
      <c r="G9" s="1445" t="str">
        <f>IF($F$1="Select company","",IF(C9="","",HLOOKUP(((VLOOKUP($F$1,Lists!$B$4:$C$26,2,FALSE))&amp;"DP"),'SUB list edited'!$A$2:$DP$42,($B9+1),FALSE)))</f>
        <v>0</v>
      </c>
      <c r="H9" s="327">
        <f>IF($F$1="Select company","",IF(C9 = "","",HLOOKUP(((VLOOKUP($F$1,Lists!$B$4:$C$26,2,FALSE))&amp;"201718ActPerf"),'SUB list edited'!$A$2:$DP$42,($B9+1),FALSE)))</f>
        <v>161</v>
      </c>
      <c r="I9" s="3183">
        <f>'[2]3B'!J9</f>
        <v>158</v>
      </c>
      <c r="J9" s="3183" t="str">
        <f>'[2]3B'!K9</f>
        <v>Yes</v>
      </c>
      <c r="L9" s="546">
        <f t="shared" si="4"/>
        <v>0</v>
      </c>
      <c r="M9" s="546">
        <f t="shared" si="0"/>
        <v>0</v>
      </c>
      <c r="P9" s="542">
        <f t="shared" si="1"/>
        <v>0</v>
      </c>
      <c r="Q9" s="542">
        <f t="shared" si="2"/>
        <v>0</v>
      </c>
      <c r="S9" s="542">
        <f xml:space="preserve"> IF(C9 = "", 0, IF(AND(NOT(INDEX('3A - SWT'!I$5:I$60, MATCH('3B - SWT'!$C9, '3A - SWT'!$C$5:$C$60, 0))=I9), $D9="00"), 1, 0))</f>
        <v>0</v>
      </c>
      <c r="T9" s="542">
        <f xml:space="preserve"> IF(C9 = "", 0, IF(AND(NOT(INDEX('3A - SWT'!J$5:J$60, MATCH('3B - SWT'!$C9, '3A - SWT'!$C$5:$C$60, 0))=J9), $D9="00"), 1, 0))</f>
        <v>0</v>
      </c>
    </row>
    <row r="10" spans="1:20" ht="30" customHeight="1" thickBot="1">
      <c r="B10" s="547">
        <f t="shared" si="3"/>
        <v>6</v>
      </c>
      <c r="C10" s="548" t="str">
        <f>IF($F$1="Select company","",IF((HLOOKUP((VLOOKUP($F$1,Lists!$B$4:$C$26,2,FALSE)),'SUB list edited'!$A$2:$DP$42,($B10+1),FALSE))=0,"",HLOOKUP((VLOOKUP($F$1,Lists!$B$4:$C$26,2,FALSE)),'SUB list edited'!$A$2:$DP$42,($B10+1),FALSE)))</f>
        <v>PR14SWTWSW_W-A3</v>
      </c>
      <c r="D10" s="554" t="str">
        <f>IF($F$1="Select company","",IF(C10 = "","",HLOOKUP(((VLOOKUP($F$1,Lists!$B$4:$C$26,2,FALSE))&amp;"ID"),'SUB list edited'!$A$2:$DP$42,($B10+1),FALSE)))</f>
        <v>05</v>
      </c>
      <c r="E10" s="548" t="str">
        <f>IF($F$1="Select company","",IF(C10 = "","",HLOOKUP(((VLOOKUP($F$1,Lists!$B$4:$C$26,2,FALSE))&amp;"PC"),'SUB list edited'!$A$2:$DP$42,($B10+1),FALSE)))</f>
        <v>Customer contacts - discolouration</v>
      </c>
      <c r="F10" s="554" t="str">
        <f>IF($F$1="Select company","",IF(C10 = "","",HLOOKUP(((VLOOKUP($F$1,Lists!$B$4:$C$26,2,FALSE))&amp;"unit"),'SUB list edited'!$A$2:$DP$42,($B10+1),FALSE)))</f>
        <v>nr</v>
      </c>
      <c r="G10" s="1445">
        <f>IF($F$1="Select company","",IF(C10="","",HLOOKUP(((VLOOKUP($F$1,Lists!$B$4:$C$26,2,FALSE))&amp;"DP"),'SUB list edited'!$A$2:$DP$42,($B10+1),FALSE)))</f>
        <v>2</v>
      </c>
      <c r="H10" s="327">
        <f>IF($F$1="Select company","",IF(C10 = "","",HLOOKUP(((VLOOKUP($F$1,Lists!$B$4:$C$26,2,FALSE))&amp;"201718ActPerf"),'SUB list edited'!$A$2:$DP$42,($B10+1),FALSE)))</f>
        <v>1.7</v>
      </c>
      <c r="I10" s="3183">
        <f>'[2]3B'!J10</f>
        <v>1.61</v>
      </c>
      <c r="J10" s="3183" t="str">
        <f>'[2]3B'!K10</f>
        <v>Yes</v>
      </c>
      <c r="L10" s="546">
        <f t="shared" si="4"/>
        <v>0</v>
      </c>
      <c r="M10" s="546">
        <f t="shared" si="0"/>
        <v>0</v>
      </c>
      <c r="P10" s="542">
        <f t="shared" si="1"/>
        <v>0</v>
      </c>
      <c r="Q10" s="542">
        <f t="shared" si="2"/>
        <v>0</v>
      </c>
      <c r="S10" s="542">
        <f xml:space="preserve"> IF(C10 = "", 0, IF(AND(NOT(INDEX('3A - SWT'!I$5:I$60, MATCH('3B - SWT'!$C10, '3A - SWT'!$C$5:$C$60, 0))=I10), $D10="00"), 1, 0))</f>
        <v>0</v>
      </c>
      <c r="T10" s="542">
        <f xml:space="preserve"> IF(C10 = "", 0, IF(AND(NOT(INDEX('3A - SWT'!J$5:J$60, MATCH('3B - SWT'!$C10, '3A - SWT'!$C$5:$C$60, 0))=J10), $D10="00"), 1, 0))</f>
        <v>0</v>
      </c>
    </row>
    <row r="11" spans="1:20" ht="30" customHeight="1" thickBot="1">
      <c r="B11" s="547">
        <f t="shared" si="3"/>
        <v>7</v>
      </c>
      <c r="C11" s="548" t="str">
        <f>IF($F$1="Select company","",IF((HLOOKUP((VLOOKUP($F$1,Lists!$B$4:$C$26,2,FALSE)),'SUB list edited'!$A$2:$DP$42,($B11+1),FALSE))=0,"",HLOOKUP((VLOOKUP($F$1,Lists!$B$4:$C$26,2,FALSE)),'SUB list edited'!$A$2:$DP$42,($B11+1),FALSE)))</f>
        <v>PR14SWTWSW_W-A3</v>
      </c>
      <c r="D11" s="554" t="str">
        <f>IF($F$1="Select company","",IF(C11 = "","",HLOOKUP(((VLOOKUP($F$1,Lists!$B$4:$C$26,2,FALSE))&amp;"ID"),'SUB list edited'!$A$2:$DP$42,($B11+1),FALSE)))</f>
        <v>06</v>
      </c>
      <c r="E11" s="548" t="str">
        <f>IF($F$1="Select company","",IF(C11 = "","",HLOOKUP(((VLOOKUP($F$1,Lists!$B$4:$C$26,2,FALSE))&amp;"PC"),'SUB list edited'!$A$2:$DP$42,($B11+1),FALSE)))</f>
        <v>Distribution Index TIM (as 100-Mean Zonal Compliance)</v>
      </c>
      <c r="F11" s="554" t="str">
        <f>IF($F$1="Select company","",IF(C11 = "","",HLOOKUP(((VLOOKUP($F$1,Lists!$B$4:$C$26,2,FALSE))&amp;"unit"),'SUB list edited'!$A$2:$DP$42,($B11+1),FALSE)))</f>
        <v>%</v>
      </c>
      <c r="G11" s="1445">
        <f>IF($F$1="Select company","",IF(C11="","",HLOOKUP(((VLOOKUP($F$1,Lists!$B$4:$C$26,2,FALSE))&amp;"DP"),'SUB list edited'!$A$2:$DP$42,($B11+1),FALSE)))</f>
        <v>2</v>
      </c>
      <c r="H11" s="327">
        <f>IF($F$1="Select company","",IF(C11 = "","",HLOOKUP(((VLOOKUP($F$1,Lists!$B$4:$C$26,2,FALSE))&amp;"201718ActPerf"),'SUB list edited'!$A$2:$DP$42,($B11+1),FALSE)))</f>
        <v>0.04</v>
      </c>
      <c r="I11" s="3183">
        <f>'[2]3B'!J11</f>
        <v>7.0000000000000007E-2</v>
      </c>
      <c r="J11" s="3183" t="str">
        <f>'[2]3B'!K11</f>
        <v>Yes</v>
      </c>
      <c r="L11" s="546">
        <f t="shared" si="4"/>
        <v>0</v>
      </c>
      <c r="M11" s="546">
        <f t="shared" si="0"/>
        <v>0</v>
      </c>
      <c r="P11" s="542">
        <f t="shared" si="1"/>
        <v>0</v>
      </c>
      <c r="Q11" s="542">
        <f t="shared" si="2"/>
        <v>0</v>
      </c>
      <c r="S11" s="542">
        <f xml:space="preserve"> IF(C11 = "", 0, IF(AND(NOT(INDEX('3A - SWT'!I$5:I$60, MATCH('3B - SWT'!$C11, '3A - SWT'!$C$5:$C$60, 0))=I11), $D11="00"), 1, 0))</f>
        <v>0</v>
      </c>
      <c r="T11" s="542">
        <f xml:space="preserve"> IF(C11 = "", 0, IF(AND(NOT(INDEX('3A - SWT'!J$5:J$60, MATCH('3B - SWT'!$C11, '3A - SWT'!$C$5:$C$60, 0))=J11), $D11="00"), 1, 0))</f>
        <v>0</v>
      </c>
    </row>
    <row r="12" spans="1:20" ht="30" customHeight="1" thickBot="1">
      <c r="B12" s="547">
        <f xml:space="preserve"> B11 + 1</f>
        <v>8</v>
      </c>
      <c r="C12" s="548" t="str">
        <f>IF($F$1="Select company","",IF((HLOOKUP((VLOOKUP($F$1,Lists!$B$4:$C$26,2,FALSE)),'SUB list edited'!$A$2:$DP$42,($B12+1),FALSE))=0,"",HLOOKUP((VLOOKUP($F$1,Lists!$B$4:$C$26,2,FALSE)),'SUB list edited'!$A$2:$DP$42,($B12+1),FALSE)))</f>
        <v>PR14SWTWSW_W-A4</v>
      </c>
      <c r="D12" s="554" t="str">
        <f>IF($F$1="Select company","",IF(C12 = "","",HLOOKUP(((VLOOKUP($F$1,Lists!$B$4:$C$26,2,FALSE))&amp;"ID"),'SUB list edited'!$A$2:$DP$42,($B12+1),FALSE)))</f>
        <v>00</v>
      </c>
      <c r="E12" s="548" t="str">
        <f>IF($F$1="Select company","",IF(C12 = "","",HLOOKUP(((VLOOKUP($F$1,Lists!$B$4:$C$26,2,FALSE))&amp;"PC"),'SUB list edited'!$A$2:$DP$42,($B12+1),FALSE)))</f>
        <v>W-A4 Asset reliability (process)</v>
      </c>
      <c r="F12" s="554" t="str">
        <f>IF($F$1="Select company","",IF(C12 = "","",HLOOKUP(((VLOOKUP($F$1,Lists!$B$4:$C$26,2,FALSE))&amp;"unit"),'SUB list edited'!$A$2:$DP$42,($B12+1),FALSE)))</f>
        <v>category</v>
      </c>
      <c r="G12" s="1445" t="str">
        <f>IF($F$1="Select company","",IF(C12="","",HLOOKUP(((VLOOKUP($F$1,Lists!$B$4:$C$26,2,FALSE))&amp;"DP"),'SUB list edited'!$A$2:$DP$42,($B12+1),FALSE)))</f>
        <v>na</v>
      </c>
      <c r="H12" s="327" t="str">
        <f>IF($F$1="Select company","",IF(C12 = "","",HLOOKUP(((VLOOKUP($F$1,Lists!$B$4:$C$26,2,FALSE))&amp;"201718ActPerf"),'SUB list edited'!$A$2:$DP$42,($B12+1),FALSE)))</f>
        <v>Stable</v>
      </c>
      <c r="I12" s="3183" t="str">
        <f>'[2]3B'!J12</f>
        <v>Stable</v>
      </c>
      <c r="J12" s="3183" t="str">
        <f>'[2]3B'!K12</f>
        <v>Yes</v>
      </c>
      <c r="L12" s="546">
        <f t="shared" si="4"/>
        <v>0</v>
      </c>
      <c r="M12" s="546">
        <f t="shared" si="0"/>
        <v>0</v>
      </c>
      <c r="P12" s="542">
        <f t="shared" si="1"/>
        <v>0</v>
      </c>
      <c r="Q12" s="542">
        <f t="shared" si="2"/>
        <v>0</v>
      </c>
      <c r="S12" s="542">
        <f xml:space="preserve"> IF(C12 = "", 0, IF(AND(NOT(INDEX('3A - SWT'!I$5:I$60, MATCH('3B - SWT'!$C12, '3A - SWT'!$C$5:$C$60, 0))=I12), $D12="00"), 1, 0))</f>
        <v>0</v>
      </c>
      <c r="T12" s="542">
        <f xml:space="preserve"> IF(C12 = "", 0, IF(AND(NOT(INDEX('3A - SWT'!J$5:J$60, MATCH('3B - SWT'!$C12, '3A - SWT'!$C$5:$C$60, 0))=J12), $D12="00"), 1, 0))</f>
        <v>0</v>
      </c>
    </row>
    <row r="13" spans="1:20" ht="30" customHeight="1" thickBot="1">
      <c r="B13" s="547">
        <f t="shared" ref="B13:B15" si="5" xml:space="preserve"> B12 + 1</f>
        <v>9</v>
      </c>
      <c r="C13" s="548" t="str">
        <f>IF($F$1="Select company","",IF((HLOOKUP((VLOOKUP($F$1,Lists!$B$4:$C$26,2,FALSE)),'SUB list edited'!$A$2:$DP$42,($B13+1),FALSE))=0,"",HLOOKUP((VLOOKUP($F$1,Lists!$B$4:$C$26,2,FALSE)),'SUB list edited'!$A$2:$DP$42,($B13+1),FALSE)))</f>
        <v>PR14SWTWSW_W-A4</v>
      </c>
      <c r="D13" s="554" t="str">
        <f>IF($F$1="Select company","",IF(C13 = "","",HLOOKUP(((VLOOKUP($F$1,Lists!$B$4:$C$26,2,FALSE))&amp;"ID"),'SUB list edited'!$A$2:$DP$42,($B13+1),FALSE)))</f>
        <v>01</v>
      </c>
      <c r="E13" s="548" t="str">
        <f>IF($F$1="Select company","",IF(C13 = "","",HLOOKUP(((VLOOKUP($F$1,Lists!$B$4:$C$26,2,FALSE))&amp;"PC"),'SUB list edited'!$A$2:$DP$42,($B13+1),FALSE)))</f>
        <v>WTW coliforms non-compliance</v>
      </c>
      <c r="F13" s="554" t="str">
        <f>IF($F$1="Select company","",IF(C13 = "","",HLOOKUP(((VLOOKUP($F$1,Lists!$B$4:$C$26,2,FALSE))&amp;"unit"),'SUB list edited'!$A$2:$DP$42,($B13+1),FALSE)))</f>
        <v>%</v>
      </c>
      <c r="G13" s="1445">
        <f>IF($F$1="Select company","",IF(C13="","",HLOOKUP(((VLOOKUP($F$1,Lists!$B$4:$C$26,2,FALSE))&amp;"DP"),'SUB list edited'!$A$2:$DP$42,($B13+1),FALSE)))</f>
        <v>2</v>
      </c>
      <c r="H13" s="327">
        <f>IF($F$1="Select company","",IF(C13 = "","",HLOOKUP(((VLOOKUP($F$1,Lists!$B$4:$C$26,2,FALSE))&amp;"201718ActPerf"),'SUB list edited'!$A$2:$DP$42,($B13+1),FALSE)))</f>
        <v>0.01</v>
      </c>
      <c r="I13" s="3183">
        <f>'[2]3B'!J13</f>
        <v>0.03</v>
      </c>
      <c r="J13" s="3183" t="str">
        <f>'[2]3B'!K13</f>
        <v>Yes</v>
      </c>
      <c r="L13" s="546">
        <f t="shared" si="4"/>
        <v>0</v>
      </c>
      <c r="M13" s="546">
        <f t="shared" si="0"/>
        <v>0</v>
      </c>
      <c r="P13" s="542">
        <f t="shared" si="1"/>
        <v>0</v>
      </c>
      <c r="Q13" s="542">
        <f t="shared" si="2"/>
        <v>0</v>
      </c>
      <c r="S13" s="542">
        <f xml:space="preserve"> IF(C13 = "", 0, IF(AND(NOT(INDEX('3A - SWT'!I$5:I$60, MATCH('3B - SWT'!$C13, '3A - SWT'!$C$5:$C$60, 0))=I13), $D13="00"), 1, 0))</f>
        <v>0</v>
      </c>
      <c r="T13" s="542">
        <f xml:space="preserve"> IF(C13 = "", 0, IF(AND(NOT(INDEX('3A - SWT'!J$5:J$60, MATCH('3B - SWT'!$C13, '3A - SWT'!$C$5:$C$60, 0))=J13), $D13="00"), 1, 0))</f>
        <v>0</v>
      </c>
    </row>
    <row r="14" spans="1:20" ht="30" customHeight="1" thickBot="1">
      <c r="B14" s="547">
        <f t="shared" si="5"/>
        <v>10</v>
      </c>
      <c r="C14" s="548" t="str">
        <f>IF($F$1="Select company","",IF((HLOOKUP((VLOOKUP($F$1,Lists!$B$4:$C$26,2,FALSE)),'SUB list edited'!$A$2:$DP$42,($B14+1),FALSE))=0,"",HLOOKUP((VLOOKUP($F$1,Lists!$B$4:$C$26,2,FALSE)),'SUB list edited'!$A$2:$DP$42,($B14+1),FALSE)))</f>
        <v>PR14SWTWSW_W-A4</v>
      </c>
      <c r="D14" s="554" t="str">
        <f>IF($F$1="Select company","",IF(C14 = "","",HLOOKUP(((VLOOKUP($F$1,Lists!$B$4:$C$26,2,FALSE))&amp;"ID"),'SUB list edited'!$A$2:$DP$42,($B14+1),FALSE)))</f>
        <v>02</v>
      </c>
      <c r="E14" s="548" t="str">
        <f>IF($F$1="Select company","",IF(C14 = "","",HLOOKUP(((VLOOKUP($F$1,Lists!$B$4:$C$26,2,FALSE))&amp;"PC"),'SUB list edited'!$A$2:$DP$42,($B14+1),FALSE)))</f>
        <v>Service reservoir coliforms non-compliance</v>
      </c>
      <c r="F14" s="554" t="str">
        <f>IF($F$1="Select company","",IF(C14 = "","",HLOOKUP(((VLOOKUP($F$1,Lists!$B$4:$C$26,2,FALSE))&amp;"unit"),'SUB list edited'!$A$2:$DP$42,($B14+1),FALSE)))</f>
        <v>%</v>
      </c>
      <c r="G14" s="1445">
        <f>IF($F$1="Select company","",IF(C14="","",HLOOKUP(((VLOOKUP($F$1,Lists!$B$4:$C$26,2,FALSE))&amp;"DP"),'SUB list edited'!$A$2:$DP$42,($B14+1),FALSE)))</f>
        <v>2</v>
      </c>
      <c r="H14" s="327">
        <f>IF($F$1="Select company","",IF(C14 = "","",HLOOKUP(((VLOOKUP($F$1,Lists!$B$4:$C$26,2,FALSE))&amp;"201718ActPerf"),'SUB list edited'!$A$2:$DP$42,($B14+1),FALSE)))</f>
        <v>0</v>
      </c>
      <c r="I14" s="3183">
        <f>'[2]3B'!J14</f>
        <v>0</v>
      </c>
      <c r="J14" s="3183" t="str">
        <f>'[2]3B'!K14</f>
        <v>Yes</v>
      </c>
      <c r="L14" s="546">
        <f t="shared" si="4"/>
        <v>0</v>
      </c>
      <c r="M14" s="546">
        <f t="shared" si="0"/>
        <v>0</v>
      </c>
      <c r="P14" s="542">
        <f t="shared" si="1"/>
        <v>0</v>
      </c>
      <c r="Q14" s="542">
        <f t="shared" si="2"/>
        <v>0</v>
      </c>
      <c r="S14" s="542">
        <f xml:space="preserve"> IF(C14 = "", 0, IF(AND(NOT(INDEX('3A - SWT'!I$5:I$60, MATCH('3B - SWT'!$C14, '3A - SWT'!$C$5:$C$60, 0))=I14), $D14="00"), 1, 0))</f>
        <v>0</v>
      </c>
      <c r="T14" s="542">
        <f xml:space="preserve"> IF(C14 = "", 0, IF(AND(NOT(INDEX('3A - SWT'!J$5:J$60, MATCH('3B - SWT'!$C14, '3A - SWT'!$C$5:$C$60, 0))=J14), $D14="00"), 1, 0))</f>
        <v>0</v>
      </c>
    </row>
    <row r="15" spans="1:20" ht="30" customHeight="1" thickBot="1">
      <c r="B15" s="547">
        <f t="shared" si="5"/>
        <v>11</v>
      </c>
      <c r="C15" s="548" t="str">
        <f>IF($F$1="Select company","",IF((HLOOKUP((VLOOKUP($F$1,Lists!$B$4:$C$26,2,FALSE)),'SUB list edited'!$A$2:$DP$42,($B15+1),FALSE))=0,"",HLOOKUP((VLOOKUP($F$1,Lists!$B$4:$C$26,2,FALSE)),'SUB list edited'!$A$2:$DP$42,($B15+1),FALSE)))</f>
        <v>PR14SWTWSW_W-A4</v>
      </c>
      <c r="D15" s="554" t="str">
        <f>IF($F$1="Select company","",IF(C15 = "","",HLOOKUP(((VLOOKUP($F$1,Lists!$B$4:$C$26,2,FALSE))&amp;"ID"),'SUB list edited'!$A$2:$DP$42,($B15+1),FALSE)))</f>
        <v>03</v>
      </c>
      <c r="E15" s="548" t="str">
        <f>IF($F$1="Select company","",IF(C15 = "","",HLOOKUP(((VLOOKUP($F$1,Lists!$B$4:$C$26,2,FALSE))&amp;"PC"),'SUB list edited'!$A$2:$DP$42,($B15+1),FALSE)))</f>
        <v>Turbidity non-compliance</v>
      </c>
      <c r="F15" s="554" t="str">
        <f>IF($F$1="Select company","",IF(C15 = "","",HLOOKUP(((VLOOKUP($F$1,Lists!$B$4:$C$26,2,FALSE))&amp;"unit"),'SUB list edited'!$A$2:$DP$42,($B15+1),FALSE)))</f>
        <v>nr</v>
      </c>
      <c r="G15" s="1445" t="str">
        <f>IF($F$1="Select company","",IF(C15="","",HLOOKUP(((VLOOKUP($F$1,Lists!$B$4:$C$26,2,FALSE))&amp;"DP"),'SUB list edited'!$A$2:$DP$42,($B15+1),FALSE)))</f>
        <v>0</v>
      </c>
      <c r="H15" s="327">
        <f>IF($F$1="Select company","",IF(C15 = "","",HLOOKUP(((VLOOKUP($F$1,Lists!$B$4:$C$26,2,FALSE))&amp;"201718ActPerf"),'SUB list edited'!$A$2:$DP$42,($B15+1),FALSE)))</f>
        <v>0</v>
      </c>
      <c r="I15" s="3183">
        <f>'[2]3B'!J15</f>
        <v>0</v>
      </c>
      <c r="J15" s="3183" t="str">
        <f>'[2]3B'!K15</f>
        <v>Yes</v>
      </c>
      <c r="L15" s="546">
        <f t="shared" si="4"/>
        <v>0</v>
      </c>
      <c r="M15" s="546">
        <f t="shared" si="0"/>
        <v>0</v>
      </c>
      <c r="P15" s="542">
        <f t="shared" si="1"/>
        <v>0</v>
      </c>
      <c r="Q15" s="542">
        <f t="shared" si="2"/>
        <v>0</v>
      </c>
      <c r="S15" s="542">
        <f xml:space="preserve"> IF(C15 = "", 0, IF(AND(NOT(INDEX('3A - SWT'!I$5:I$60, MATCH('3B - SWT'!$C15, '3A - SWT'!$C$5:$C$60, 0))=I15), $D15="00"), 1, 0))</f>
        <v>0</v>
      </c>
      <c r="T15" s="542">
        <f xml:space="preserve"> IF(C15 = "", 0, IF(AND(NOT(INDEX('3A - SWT'!J$5:J$60, MATCH('3B - SWT'!$C15, '3A - SWT'!$C$5:$C$60, 0))=J15), $D15="00"), 1, 0))</f>
        <v>0</v>
      </c>
    </row>
    <row r="16" spans="1:20" ht="30" customHeight="1" thickBot="1">
      <c r="B16" s="547">
        <f xml:space="preserve"> B15 + 1</f>
        <v>12</v>
      </c>
      <c r="C16" s="548" t="str">
        <f>IF($F$1="Select company","",IF((HLOOKUP((VLOOKUP($F$1,Lists!$B$4:$C$26,2,FALSE)),'SUB list edited'!$A$2:$DP$42,($B16+1),FALSE))=0,"",HLOOKUP((VLOOKUP($F$1,Lists!$B$4:$C$26,2,FALSE)),'SUB list edited'!$A$2:$DP$42,($B16+1),FALSE)))</f>
        <v>PR14SWTWSW_W-A4</v>
      </c>
      <c r="D16" s="554" t="str">
        <f>IF($F$1="Select company","",IF(C16 = "","",HLOOKUP(((VLOOKUP($F$1,Lists!$B$4:$C$26,2,FALSE))&amp;"ID"),'SUB list edited'!$A$2:$DP$42,($B16+1),FALSE)))</f>
        <v>04</v>
      </c>
      <c r="E16" s="548" t="str">
        <f>IF($F$1="Select company","",IF(C16 = "","",HLOOKUP(((VLOOKUP($F$1,Lists!$B$4:$C$26,2,FALSE))&amp;"PC"),'SUB list edited'!$A$2:$DP$42,($B16+1),FALSE)))</f>
        <v>Enforcement incidents</v>
      </c>
      <c r="F16" s="554" t="str">
        <f>IF($F$1="Select company","",IF(C16 = "","",HLOOKUP(((VLOOKUP($F$1,Lists!$B$4:$C$26,2,FALSE))&amp;"unit"),'SUB list edited'!$A$2:$DP$42,($B16+1),FALSE)))</f>
        <v>nr</v>
      </c>
      <c r="G16" s="1445" t="str">
        <f>IF($F$1="Select company","",IF(C16="","",HLOOKUP(((VLOOKUP($F$1,Lists!$B$4:$C$26,2,FALSE))&amp;"DP"),'SUB list edited'!$A$2:$DP$42,($B16+1),FALSE)))</f>
        <v>0</v>
      </c>
      <c r="H16" s="327">
        <f>IF($F$1="Select company","",IF(C16 = "","",HLOOKUP(((VLOOKUP($F$1,Lists!$B$4:$C$26,2,FALSE))&amp;"201718ActPerf"),'SUB list edited'!$A$2:$DP$42,($B16+1),FALSE)))</f>
        <v>0</v>
      </c>
      <c r="I16" s="3183">
        <f>'[2]3B'!J16</f>
        <v>1</v>
      </c>
      <c r="J16" s="3183" t="str">
        <f>'[2]3B'!K16</f>
        <v>Yes</v>
      </c>
      <c r="L16" s="546">
        <f t="shared" si="4"/>
        <v>0</v>
      </c>
      <c r="M16" s="546">
        <f t="shared" si="0"/>
        <v>0</v>
      </c>
      <c r="P16" s="542">
        <f t="shared" si="1"/>
        <v>0</v>
      </c>
      <c r="Q16" s="542">
        <f t="shared" si="2"/>
        <v>0</v>
      </c>
      <c r="S16" s="542">
        <f xml:space="preserve"> IF(C16 = "", 0, IF(AND(NOT(INDEX('3A - SWT'!I$5:I$60, MATCH('3B - SWT'!$C16, '3A - SWT'!$C$5:$C$60, 0))=I16), $D16="00"), 1, 0))</f>
        <v>0</v>
      </c>
      <c r="T16" s="542">
        <f xml:space="preserve"> IF(C16 = "", 0, IF(AND(NOT(INDEX('3A - SWT'!J$5:J$60, MATCH('3B - SWT'!$C16, '3A - SWT'!$C$5:$C$60, 0))=J16), $D16="00"), 1, 0))</f>
        <v>0</v>
      </c>
    </row>
    <row r="17" spans="2:20" ht="30" customHeight="1" thickBot="1">
      <c r="B17" s="547">
        <f t="shared" ref="B17:B44" si="6" xml:space="preserve"> B16 + 1</f>
        <v>13</v>
      </c>
      <c r="C17" s="548" t="str">
        <f>IF($F$1="Select company","",IF((HLOOKUP((VLOOKUP($F$1,Lists!$B$4:$C$26,2,FALSE)),'SUB list edited'!$A$2:$DP$42,($B17+1),FALSE))=0,"",HLOOKUP((VLOOKUP($F$1,Lists!$B$4:$C$26,2,FALSE)),'SUB list edited'!$A$2:$DP$42,($B17+1),FALSE)))</f>
        <v>PR14SWTWSW_W-A4</v>
      </c>
      <c r="D17" s="554" t="str">
        <f>IF($F$1="Select company","",IF(C17 = "","",HLOOKUP(((VLOOKUP($F$1,Lists!$B$4:$C$26,2,FALSE))&amp;"ID"),'SUB list edited'!$A$2:$DP$42,($B17+1),FALSE)))</f>
        <v>05</v>
      </c>
      <c r="E17" s="548" t="str">
        <f>IF($F$1="Select company","",IF(C17 = "","",HLOOKUP(((VLOOKUP($F$1,Lists!$B$4:$C$26,2,FALSE))&amp;"PC"),'SUB list edited'!$A$2:$DP$42,($B17+1),FALSE)))</f>
        <v>Unplanned maintenance</v>
      </c>
      <c r="F17" s="554" t="str">
        <f>IF($F$1="Select company","",IF(C17 = "","",HLOOKUP(((VLOOKUP($F$1,Lists!$B$4:$C$26,2,FALSE))&amp;"unit"),'SUB list edited'!$A$2:$DP$42,($B17+1),FALSE)))</f>
        <v>nr</v>
      </c>
      <c r="G17" s="1445" t="str">
        <f>IF($F$1="Select company","",IF(C17="","",HLOOKUP(((VLOOKUP($F$1,Lists!$B$4:$C$26,2,FALSE))&amp;"DP"),'SUB list edited'!$A$2:$DP$42,($B17+1),FALSE)))</f>
        <v>0</v>
      </c>
      <c r="H17" s="327">
        <f>IF($F$1="Select company","",IF(C17 = "","",HLOOKUP(((VLOOKUP($F$1,Lists!$B$4:$C$26,2,FALSE))&amp;"201718ActPerf"),'SUB list edited'!$A$2:$DP$42,($B17+1),FALSE)))</f>
        <v>2606</v>
      </c>
      <c r="I17" s="3183">
        <f>'[2]3B'!J17</f>
        <v>2607</v>
      </c>
      <c r="J17" s="3183" t="str">
        <f>'[2]3B'!K17</f>
        <v>Yes</v>
      </c>
      <c r="L17" s="546">
        <f t="shared" si="4"/>
        <v>0</v>
      </c>
      <c r="M17" s="546">
        <f t="shared" si="0"/>
        <v>0</v>
      </c>
      <c r="P17" s="542">
        <f t="shared" si="1"/>
        <v>0</v>
      </c>
      <c r="Q17" s="542">
        <f t="shared" si="2"/>
        <v>0</v>
      </c>
      <c r="S17" s="542">
        <f xml:space="preserve"> IF(C17 = "", 0, IF(AND(NOT(INDEX('3A - SWT'!I$5:I$60, MATCH('3B - SWT'!$C17, '3A - SWT'!$C$5:$C$60, 0))=I17), $D17="00"), 1, 0))</f>
        <v>0</v>
      </c>
      <c r="T17" s="542">
        <f xml:space="preserve"> IF(C17 = "", 0, IF(AND(NOT(INDEX('3A - SWT'!J$5:J$60, MATCH('3B - SWT'!$C17, '3A - SWT'!$C$5:$C$60, 0))=J17), $D17="00"), 1, 0))</f>
        <v>0</v>
      </c>
    </row>
    <row r="18" spans="2:20" ht="30" customHeight="1" thickBot="1">
      <c r="B18" s="547">
        <f t="shared" si="6"/>
        <v>14</v>
      </c>
      <c r="C18" s="548" t="str">
        <f>IF($F$1="Select company","",IF((HLOOKUP((VLOOKUP($F$1,Lists!$B$4:$C$26,2,FALSE)),'SUB list edited'!$A$2:$DP$42,($B18+1),FALSE))=0,"",HLOOKUP((VLOOKUP($F$1,Lists!$B$4:$C$26,2,FALSE)),'SUB list edited'!$A$2:$DP$42,($B18+1),FALSE)))</f>
        <v>PR14SWTWSWW_S-A4</v>
      </c>
      <c r="D18" s="554" t="str">
        <f>IF($F$1="Select company","",IF(C18 = "","",HLOOKUP(((VLOOKUP($F$1,Lists!$B$4:$C$26,2,FALSE))&amp;"ID"),'SUB list edited'!$A$2:$DP$42,($B18+1),FALSE)))</f>
        <v>00</v>
      </c>
      <c r="E18" s="548" t="str">
        <f>IF($F$1="Select company","",IF(C18 = "","",HLOOKUP(((VLOOKUP($F$1,Lists!$B$4:$C$26,2,FALSE))&amp;"PC"),'SUB list edited'!$A$2:$DP$42,($B18+1),FALSE)))</f>
        <v>S-A4 Asset reliability (pipes)</v>
      </c>
      <c r="F18" s="554" t="str">
        <f>IF($F$1="Select company","",IF(C18 = "","",HLOOKUP(((VLOOKUP($F$1,Lists!$B$4:$C$26,2,FALSE))&amp;"unit"),'SUB list edited'!$A$2:$DP$42,($B18+1),FALSE)))</f>
        <v>category</v>
      </c>
      <c r="G18" s="1445" t="str">
        <f>IF($F$1="Select company","",IF(C18="","",HLOOKUP(((VLOOKUP($F$1,Lists!$B$4:$C$26,2,FALSE))&amp;"DP"),'SUB list edited'!$A$2:$DP$42,($B18+1),FALSE)))</f>
        <v>na</v>
      </c>
      <c r="H18" s="327" t="str">
        <f>IF($F$1="Select company","",IF(C18 = "","",HLOOKUP(((VLOOKUP($F$1,Lists!$B$4:$C$26,2,FALSE))&amp;"201718ActPerf"),'SUB list edited'!$A$2:$DP$42,($B18+1),FALSE)))</f>
        <v>Stable</v>
      </c>
      <c r="I18" s="3183" t="str">
        <f>'[2]3B'!J18</f>
        <v>Stable</v>
      </c>
      <c r="J18" s="3183" t="str">
        <f>'[2]3B'!K18</f>
        <v>Yes</v>
      </c>
      <c r="L18" s="546">
        <f t="shared" si="4"/>
        <v>0</v>
      </c>
      <c r="M18" s="546">
        <f t="shared" si="0"/>
        <v>0</v>
      </c>
      <c r="P18" s="542">
        <f t="shared" si="1"/>
        <v>0</v>
      </c>
      <c r="Q18" s="542">
        <f t="shared" si="2"/>
        <v>0</v>
      </c>
      <c r="S18" s="542">
        <f xml:space="preserve"> IF(C18 = "", 0, IF(AND(NOT(INDEX('3A - SWT'!I$5:I$60, MATCH('3B - SWT'!$C18, '3A - SWT'!$C$5:$C$60, 0))=I18), $D18="00"), 1, 0))</f>
        <v>0</v>
      </c>
      <c r="T18" s="542">
        <f xml:space="preserve"> IF(C18 = "", 0, IF(AND(NOT(INDEX('3A - SWT'!J$5:J$60, MATCH('3B - SWT'!$C18, '3A - SWT'!$C$5:$C$60, 0))=J18), $D18="00"), 1, 0))</f>
        <v>0</v>
      </c>
    </row>
    <row r="19" spans="2:20" ht="30" customHeight="1" thickBot="1">
      <c r="B19" s="547">
        <f t="shared" si="6"/>
        <v>15</v>
      </c>
      <c r="C19" s="548" t="str">
        <f>IF($F$1="Select company","",IF((HLOOKUP((VLOOKUP($F$1,Lists!$B$4:$C$26,2,FALSE)),'SUB list edited'!$A$2:$DP$42,($B19+1),FALSE))=0,"",HLOOKUP((VLOOKUP($F$1,Lists!$B$4:$C$26,2,FALSE)),'SUB list edited'!$A$2:$DP$42,($B19+1),FALSE)))</f>
        <v>PR14SWTWSWW_S-A4</v>
      </c>
      <c r="D19" s="554" t="str">
        <f>IF($F$1="Select company","",IF(C19 = "","",HLOOKUP(((VLOOKUP($F$1,Lists!$B$4:$C$26,2,FALSE))&amp;"ID"),'SUB list edited'!$A$2:$DP$42,($B19+1),FALSE)))</f>
        <v>01</v>
      </c>
      <c r="E19" s="548" t="str">
        <f>IF($F$1="Select company","",IF(C19 = "","",HLOOKUP(((VLOOKUP($F$1,Lists!$B$4:$C$26,2,FALSE))&amp;"PC"),'SUB list edited'!$A$2:$DP$42,($B19+1),FALSE)))</f>
        <v>Sewer collapses</v>
      </c>
      <c r="F19" s="554" t="str">
        <f>IF($F$1="Select company","",IF(C19 = "","",HLOOKUP(((VLOOKUP($F$1,Lists!$B$4:$C$26,2,FALSE))&amp;"unit"),'SUB list edited'!$A$2:$DP$42,($B19+1),FALSE)))</f>
        <v>nr</v>
      </c>
      <c r="G19" s="1445" t="str">
        <f>IF($F$1="Select company","",IF(C19="","",HLOOKUP(((VLOOKUP($F$1,Lists!$B$4:$C$26,2,FALSE))&amp;"DP"),'SUB list edited'!$A$2:$DP$42,($B19+1),FALSE)))</f>
        <v>0</v>
      </c>
      <c r="H19" s="327">
        <f>IF($F$1="Select company","",IF(C19 = "","",HLOOKUP(((VLOOKUP($F$1,Lists!$B$4:$C$26,2,FALSE))&amp;"201718ActPerf"),'SUB list edited'!$A$2:$DP$42,($B19+1),FALSE)))</f>
        <v>89</v>
      </c>
      <c r="I19" s="3183">
        <f>'[2]3B'!J19</f>
        <v>170</v>
      </c>
      <c r="J19" s="3183" t="str">
        <f>'[2]3B'!K19</f>
        <v>Yes</v>
      </c>
      <c r="L19" s="546">
        <f t="shared" si="4"/>
        <v>0</v>
      </c>
      <c r="M19" s="546">
        <f t="shared" si="0"/>
        <v>0</v>
      </c>
      <c r="P19" s="542">
        <f t="shared" si="1"/>
        <v>0</v>
      </c>
      <c r="Q19" s="542">
        <f t="shared" si="2"/>
        <v>0</v>
      </c>
      <c r="S19" s="542">
        <f xml:space="preserve"> IF(C19 = "", 0, IF(AND(NOT(INDEX('3A - SWT'!I$5:I$60, MATCH('3B - SWT'!$C19, '3A - SWT'!$C$5:$C$60, 0))=I19), $D19="00"), 1, 0))</f>
        <v>0</v>
      </c>
      <c r="T19" s="542">
        <f xml:space="preserve"> IF(C19 = "", 0, IF(AND(NOT(INDEX('3A - SWT'!J$5:J$60, MATCH('3B - SWT'!$C19, '3A - SWT'!$C$5:$C$60, 0))=J19), $D19="00"), 1, 0))</f>
        <v>0</v>
      </c>
    </row>
    <row r="20" spans="2:20" ht="30" customHeight="1" thickBot="1">
      <c r="B20" s="547">
        <f t="shared" si="6"/>
        <v>16</v>
      </c>
      <c r="C20" s="548" t="str">
        <f>IF($F$1="Select company","",IF((HLOOKUP((VLOOKUP($F$1,Lists!$B$4:$C$26,2,FALSE)),'SUB list edited'!$A$2:$DP$42,($B20+1),FALSE))=0,"",HLOOKUP((VLOOKUP($F$1,Lists!$B$4:$C$26,2,FALSE)),'SUB list edited'!$A$2:$DP$42,($B20+1),FALSE)))</f>
        <v>PR14SWTWSWW_S-A4</v>
      </c>
      <c r="D20" s="554" t="str">
        <f>IF($F$1="Select company","",IF(C20 = "","",HLOOKUP(((VLOOKUP($F$1,Lists!$B$4:$C$26,2,FALSE))&amp;"ID"),'SUB list edited'!$A$2:$DP$42,($B20+1),FALSE)))</f>
        <v>02</v>
      </c>
      <c r="E20" s="548" t="str">
        <f>IF($F$1="Select company","",IF(C20 = "","",HLOOKUP(((VLOOKUP($F$1,Lists!$B$4:$C$26,2,FALSE))&amp;"PC"),'SUB list edited'!$A$2:$DP$42,($B20+1),FALSE)))</f>
        <v>Pollution incidents (CSO + RM + FS)</v>
      </c>
      <c r="F20" s="554" t="str">
        <f>IF($F$1="Select company","",IF(C20 = "","",HLOOKUP(((VLOOKUP($F$1,Lists!$B$4:$C$26,2,FALSE))&amp;"unit"),'SUB list edited'!$A$2:$DP$42,($B20+1),FALSE)))</f>
        <v>nr</v>
      </c>
      <c r="G20" s="1445" t="str">
        <f>IF($F$1="Select company","",IF(C20="","",HLOOKUP(((VLOOKUP($F$1,Lists!$B$4:$C$26,2,FALSE))&amp;"DP"),'SUB list edited'!$A$2:$DP$42,($B20+1),FALSE)))</f>
        <v>0</v>
      </c>
      <c r="H20" s="327">
        <f>IF($F$1="Select company","",IF(C20 = "","",HLOOKUP(((VLOOKUP($F$1,Lists!$B$4:$C$26,2,FALSE))&amp;"201718ActPerf"),'SUB list edited'!$A$2:$DP$42,($B20+1),FALSE)))</f>
        <v>96</v>
      </c>
      <c r="I20" s="3183">
        <f>'[2]3B'!J20</f>
        <v>107</v>
      </c>
      <c r="J20" s="3183" t="str">
        <f>'[2]3B'!K20</f>
        <v>No</v>
      </c>
      <c r="L20" s="546">
        <f t="shared" si="4"/>
        <v>0</v>
      </c>
      <c r="M20" s="546">
        <f t="shared" si="0"/>
        <v>0</v>
      </c>
      <c r="P20" s="542">
        <f t="shared" si="1"/>
        <v>0</v>
      </c>
      <c r="Q20" s="542">
        <f t="shared" si="2"/>
        <v>0</v>
      </c>
      <c r="S20" s="542">
        <f xml:space="preserve"> IF(C20 = "", 0, IF(AND(NOT(INDEX('3A - SWT'!I$5:I$60, MATCH('3B - SWT'!$C20, '3A - SWT'!$C$5:$C$60, 0))=I20), $D20="00"), 1, 0))</f>
        <v>0</v>
      </c>
      <c r="T20" s="542">
        <f xml:space="preserve"> IF(C20 = "", 0, IF(AND(NOT(INDEX('3A - SWT'!J$5:J$60, MATCH('3B - SWT'!$C20, '3A - SWT'!$C$5:$C$60, 0))=J20), $D20="00"), 1, 0))</f>
        <v>0</v>
      </c>
    </row>
    <row r="21" spans="2:20" ht="30" customHeight="1" thickBot="1">
      <c r="B21" s="547">
        <f t="shared" si="6"/>
        <v>17</v>
      </c>
      <c r="C21" s="548" t="str">
        <f>IF($F$1="Select company","",IF((HLOOKUP((VLOOKUP($F$1,Lists!$B$4:$C$26,2,FALSE)),'SUB list edited'!$A$2:$DP$42,($B21+1),FALSE))=0,"",HLOOKUP((VLOOKUP($F$1,Lists!$B$4:$C$26,2,FALSE)),'SUB list edited'!$A$2:$DP$42,($B21+1),FALSE)))</f>
        <v>PR14SWTWSWW_S-A4</v>
      </c>
      <c r="D21" s="554" t="str">
        <f>IF($F$1="Select company","",IF(C21 = "","",HLOOKUP(((VLOOKUP($F$1,Lists!$B$4:$C$26,2,FALSE))&amp;"ID"),'SUB list edited'!$A$2:$DP$42,($B21+1),FALSE)))</f>
        <v>03</v>
      </c>
      <c r="E21" s="548" t="str">
        <f>IF($F$1="Select company","",IF(C21 = "","",HLOOKUP(((VLOOKUP($F$1,Lists!$B$4:$C$26,2,FALSE))&amp;"PC"),'SUB list edited'!$A$2:$DP$42,($B21+1),FALSE)))</f>
        <v>Properties flooded due to other causes</v>
      </c>
      <c r="F21" s="554" t="str">
        <f>IF($F$1="Select company","",IF(C21 = "","",HLOOKUP(((VLOOKUP($F$1,Lists!$B$4:$C$26,2,FALSE))&amp;"unit"),'SUB list edited'!$A$2:$DP$42,($B21+1),FALSE)))</f>
        <v>nr</v>
      </c>
      <c r="G21" s="1445" t="str">
        <f>IF($F$1="Select company","",IF(C21="","",HLOOKUP(((VLOOKUP($F$1,Lists!$B$4:$C$26,2,FALSE))&amp;"DP"),'SUB list edited'!$A$2:$DP$42,($B21+1),FALSE)))</f>
        <v>0</v>
      </c>
      <c r="H21" s="327">
        <f>IF($F$1="Select company","",IF(C21 = "","",HLOOKUP(((VLOOKUP($F$1,Lists!$B$4:$C$26,2,FALSE))&amp;"201718ActPerf"),'SUB list edited'!$A$2:$DP$42,($B21+1),FALSE)))</f>
        <v>68</v>
      </c>
      <c r="I21" s="3183">
        <f>'[2]3B'!J21</f>
        <v>55</v>
      </c>
      <c r="J21" s="3183" t="str">
        <f>'[2]3B'!K21</f>
        <v>Yes</v>
      </c>
      <c r="L21" s="546">
        <f t="shared" si="4"/>
        <v>0</v>
      </c>
      <c r="M21" s="546">
        <f t="shared" si="0"/>
        <v>0</v>
      </c>
      <c r="P21" s="542">
        <f t="shared" si="1"/>
        <v>0</v>
      </c>
      <c r="Q21" s="542">
        <f t="shared" si="2"/>
        <v>0</v>
      </c>
      <c r="S21" s="542">
        <f xml:space="preserve"> IF(C21 = "", 0, IF(AND(NOT(INDEX('3A - SWT'!I$5:I$60, MATCH('3B - SWT'!$C21, '3A - SWT'!$C$5:$C$60, 0))=I21), $D21="00"), 1, 0))</f>
        <v>0</v>
      </c>
      <c r="T21" s="542">
        <f xml:space="preserve"> IF(C21 = "", 0, IF(AND(NOT(INDEX('3A - SWT'!J$5:J$60, MATCH('3B - SWT'!$C21, '3A - SWT'!$C$5:$C$60, 0))=J21), $D21="00"), 1, 0))</f>
        <v>0</v>
      </c>
    </row>
    <row r="22" spans="2:20" ht="30" customHeight="1" thickBot="1">
      <c r="B22" s="547">
        <f t="shared" si="6"/>
        <v>18</v>
      </c>
      <c r="C22" s="548" t="str">
        <f>IF($F$1="Select company","",IF((HLOOKUP((VLOOKUP($F$1,Lists!$B$4:$C$26,2,FALSE)),'SUB list edited'!$A$2:$DP$42,($B22+1),FALSE))=0,"",HLOOKUP((VLOOKUP($F$1,Lists!$B$4:$C$26,2,FALSE)),'SUB list edited'!$A$2:$DP$42,($B22+1),FALSE)))</f>
        <v>PR14SWTWSWW_S-A4</v>
      </c>
      <c r="D22" s="554" t="str">
        <f>IF($F$1="Select company","",IF(C22 = "","",HLOOKUP(((VLOOKUP($F$1,Lists!$B$4:$C$26,2,FALSE))&amp;"ID"),'SUB list edited'!$A$2:$DP$42,($B22+1),FALSE)))</f>
        <v>04</v>
      </c>
      <c r="E22" s="548" t="str">
        <f>IF($F$1="Select company","",IF(C22 = "","",HLOOKUP(((VLOOKUP($F$1,Lists!$B$4:$C$26,2,FALSE))&amp;"PC"),'SUB list edited'!$A$2:$DP$42,($B22+1),FALSE)))</f>
        <v>Properties flooded due to overloaded sewers excluding severe weather</v>
      </c>
      <c r="F22" s="554" t="str">
        <f>IF($F$1="Select company","",IF(C22 = "","",HLOOKUP(((VLOOKUP($F$1,Lists!$B$4:$C$26,2,FALSE))&amp;"unit"),'SUB list edited'!$A$2:$DP$42,($B22+1),FALSE)))</f>
        <v>nr</v>
      </c>
      <c r="G22" s="1445" t="str">
        <f>IF($F$1="Select company","",IF(C22="","",HLOOKUP(((VLOOKUP($F$1,Lists!$B$4:$C$26,2,FALSE))&amp;"DP"),'SUB list edited'!$A$2:$DP$42,($B22+1),FALSE)))</f>
        <v>0</v>
      </c>
      <c r="H22" s="327">
        <f>IF($F$1="Select company","",IF(C22 = "","",HLOOKUP(((VLOOKUP($F$1,Lists!$B$4:$C$26,2,FALSE))&amp;"201718ActPerf"),'SUB list edited'!$A$2:$DP$42,($B22+1),FALSE)))</f>
        <v>12</v>
      </c>
      <c r="I22" s="3183">
        <f>'[2]3B'!J22</f>
        <v>1</v>
      </c>
      <c r="J22" s="3183" t="str">
        <f>'[2]3B'!K22</f>
        <v>Yes</v>
      </c>
      <c r="L22" s="546">
        <f t="shared" si="4"/>
        <v>0</v>
      </c>
      <c r="M22" s="546">
        <f t="shared" si="0"/>
        <v>0</v>
      </c>
      <c r="P22" s="542">
        <f t="shared" si="1"/>
        <v>0</v>
      </c>
      <c r="Q22" s="542">
        <f t="shared" si="2"/>
        <v>0</v>
      </c>
      <c r="S22" s="542">
        <f xml:space="preserve"> IF(C22 = "", 0, IF(AND(NOT(INDEX('3A - SWT'!I$5:I$60, MATCH('3B - SWT'!$C22, '3A - SWT'!$C$5:$C$60, 0))=I22), $D22="00"), 1, 0))</f>
        <v>0</v>
      </c>
      <c r="T22" s="542">
        <f xml:space="preserve"> IF(C22 = "", 0, IF(AND(NOT(INDEX('3A - SWT'!J$5:J$60, MATCH('3B - SWT'!$C22, '3A - SWT'!$C$5:$C$60, 0))=J22), $D22="00"), 1, 0))</f>
        <v>0</v>
      </c>
    </row>
    <row r="23" spans="2:20" ht="30" customHeight="1" thickBot="1">
      <c r="B23" s="547">
        <f t="shared" si="6"/>
        <v>19</v>
      </c>
      <c r="C23" s="548" t="str">
        <f>IF($F$1="Select company","",IF((HLOOKUP((VLOOKUP($F$1,Lists!$B$4:$C$26,2,FALSE)),'SUB list edited'!$A$2:$DP$42,($B23+1),FALSE))=0,"",HLOOKUP((VLOOKUP($F$1,Lists!$B$4:$C$26,2,FALSE)),'SUB list edited'!$A$2:$DP$42,($B23+1),FALSE)))</f>
        <v>PR14SWTWSWW_S-A4</v>
      </c>
      <c r="D23" s="554" t="str">
        <f>IF($F$1="Select company","",IF(C23 = "","",HLOOKUP(((VLOOKUP($F$1,Lists!$B$4:$C$26,2,FALSE))&amp;"ID"),'SUB list edited'!$A$2:$DP$42,($B23+1),FALSE)))</f>
        <v>05</v>
      </c>
      <c r="E23" s="548" t="str">
        <f>IF($F$1="Select company","",IF(C23 = "","",HLOOKUP(((VLOOKUP($F$1,Lists!$B$4:$C$26,2,FALSE))&amp;"PC"),'SUB list edited'!$A$2:$DP$42,($B23+1),FALSE)))</f>
        <v>Sewer blockages</v>
      </c>
      <c r="F23" s="554" t="str">
        <f>IF($F$1="Select company","",IF(C23 = "","",HLOOKUP(((VLOOKUP($F$1,Lists!$B$4:$C$26,2,FALSE))&amp;"unit"),'SUB list edited'!$A$2:$DP$42,($B23+1),FALSE)))</f>
        <v>nr</v>
      </c>
      <c r="G23" s="1445" t="str">
        <f>IF($F$1="Select company","",IF(C23="","",HLOOKUP(((VLOOKUP($F$1,Lists!$B$4:$C$26,2,FALSE))&amp;"DP"),'SUB list edited'!$A$2:$DP$42,($B23+1),FALSE)))</f>
        <v>0</v>
      </c>
      <c r="H23" s="327">
        <f>IF($F$1="Select company","",IF(C23 = "","",HLOOKUP(((VLOOKUP($F$1,Lists!$B$4:$C$26,2,FALSE))&amp;"201718ActPerf"),'SUB list edited'!$A$2:$DP$42,($B23+1),FALSE)))</f>
        <v>3285</v>
      </c>
      <c r="I23" s="3183">
        <f>'[2]3B'!J23</f>
        <v>3136</v>
      </c>
      <c r="J23" s="3183" t="str">
        <f>'[2]3B'!K23</f>
        <v>Yes</v>
      </c>
      <c r="L23" s="546">
        <f t="shared" si="4"/>
        <v>0</v>
      </c>
      <c r="M23" s="546">
        <f t="shared" si="0"/>
        <v>0</v>
      </c>
      <c r="P23" s="542">
        <f t="shared" si="1"/>
        <v>0</v>
      </c>
      <c r="Q23" s="542">
        <f t="shared" si="2"/>
        <v>0</v>
      </c>
      <c r="S23" s="542">
        <f xml:space="preserve"> IF(C23 = "", 0, IF(AND(NOT(INDEX('3A - SWT'!I$5:I$60, MATCH('3B - SWT'!$C23, '3A - SWT'!$C$5:$C$60, 0))=I23), $D23="00"), 1, 0))</f>
        <v>0</v>
      </c>
      <c r="T23" s="542">
        <f xml:space="preserve"> IF(C23 = "", 0, IF(AND(NOT(INDEX('3A - SWT'!J$5:J$60, MATCH('3B - SWT'!$C23, '3A - SWT'!$C$5:$C$60, 0))=J23), $D23="00"), 1, 0))</f>
        <v>0</v>
      </c>
    </row>
    <row r="24" spans="2:20" ht="30" customHeight="1" thickBot="1">
      <c r="B24" s="547">
        <f t="shared" si="6"/>
        <v>20</v>
      </c>
      <c r="C24" s="548" t="str">
        <f>IF($F$1="Select company","",IF((HLOOKUP((VLOOKUP($F$1,Lists!$B$4:$C$26,2,FALSE)),'SUB list edited'!$A$2:$DP$42,($B24+1),FALSE))=0,"",HLOOKUP((VLOOKUP($F$1,Lists!$B$4:$C$26,2,FALSE)),'SUB list edited'!$A$2:$DP$42,($B24+1),FALSE)))</f>
        <v>PR14SWTWSWW_S-A4</v>
      </c>
      <c r="D24" s="554" t="str">
        <f>IF($F$1="Select company","",IF(C24 = "","",HLOOKUP(((VLOOKUP($F$1,Lists!$B$4:$C$26,2,FALSE))&amp;"ID"),'SUB list edited'!$A$2:$DP$42,($B24+1),FALSE)))</f>
        <v>06</v>
      </c>
      <c r="E24" s="548" t="str">
        <f>IF($F$1="Select company","",IF(C24 = "","",HLOOKUP(((VLOOKUP($F$1,Lists!$B$4:$C$26,2,FALSE))&amp;"PC"),'SUB list edited'!$A$2:$DP$42,($B24+1),FALSE)))</f>
        <v>Equipment failures</v>
      </c>
      <c r="F24" s="554" t="str">
        <f>IF($F$1="Select company","",IF(C24 = "","",HLOOKUP(((VLOOKUP($F$1,Lists!$B$4:$C$26,2,FALSE))&amp;"unit"),'SUB list edited'!$A$2:$DP$42,($B24+1),FALSE)))</f>
        <v>nr</v>
      </c>
      <c r="G24" s="1445" t="str">
        <f>IF($F$1="Select company","",IF(C24="","",HLOOKUP(((VLOOKUP($F$1,Lists!$B$4:$C$26,2,FALSE))&amp;"DP"),'SUB list edited'!$A$2:$DP$42,($B24+1),FALSE)))</f>
        <v>0</v>
      </c>
      <c r="H24" s="327">
        <f>IF($F$1="Select company","",IF(C24 = "","",HLOOKUP(((VLOOKUP($F$1,Lists!$B$4:$C$26,2,FALSE))&amp;"201718ActPerf"),'SUB list edited'!$A$2:$DP$42,($B24+1),FALSE)))</f>
        <v>244</v>
      </c>
      <c r="I24" s="3183">
        <f>'[2]3B'!J24</f>
        <v>126</v>
      </c>
      <c r="J24" s="3183" t="str">
        <f>'[2]3B'!K24</f>
        <v>Yes</v>
      </c>
      <c r="L24" s="546">
        <f t="shared" si="4"/>
        <v>0</v>
      </c>
      <c r="M24" s="546">
        <f t="shared" si="0"/>
        <v>0</v>
      </c>
      <c r="P24" s="542">
        <f t="shared" si="1"/>
        <v>0</v>
      </c>
      <c r="Q24" s="542">
        <f t="shared" si="2"/>
        <v>0</v>
      </c>
      <c r="S24" s="542">
        <f xml:space="preserve"> IF(C24 = "", 0, IF(AND(NOT(INDEX('3A - SWT'!I$5:I$60, MATCH('3B - SWT'!$C24, '3A - SWT'!$C$5:$C$60, 0))=I24), $D24="00"), 1, 0))</f>
        <v>0</v>
      </c>
      <c r="T24" s="542">
        <f xml:space="preserve"> IF(C24 = "", 0, IF(AND(NOT(INDEX('3A - SWT'!J$5:J$60, MATCH('3B - SWT'!$C24, '3A - SWT'!$C$5:$C$60, 0))=J24), $D24="00"), 1, 0))</f>
        <v>0</v>
      </c>
    </row>
    <row r="25" spans="2:20" ht="30" customHeight="1" thickBot="1">
      <c r="B25" s="547">
        <f t="shared" si="6"/>
        <v>21</v>
      </c>
      <c r="C25" s="548" t="str">
        <f>IF($F$1="Select company","",IF((HLOOKUP((VLOOKUP($F$1,Lists!$B$4:$C$26,2,FALSE)),'SUB list edited'!$A$2:$DP$42,($B25+1),FALSE))=0,"",HLOOKUP((VLOOKUP($F$1,Lists!$B$4:$C$26,2,FALSE)),'SUB list edited'!$A$2:$DP$42,($B25+1),FALSE)))</f>
        <v>PR14SWTWSWW_S-A5</v>
      </c>
      <c r="D25" s="554" t="str">
        <f>IF($F$1="Select company","",IF(C25 = "","",HLOOKUP(((VLOOKUP($F$1,Lists!$B$4:$C$26,2,FALSE))&amp;"ID"),'SUB list edited'!$A$2:$DP$42,($B25+1),FALSE)))</f>
        <v>00</v>
      </c>
      <c r="E25" s="548" t="str">
        <f>IF($F$1="Select company","",IF(C25 = "","",HLOOKUP(((VLOOKUP($F$1,Lists!$B$4:$C$26,2,FALSE))&amp;"PC"),'SUB list edited'!$A$2:$DP$42,($B25+1),FALSE)))</f>
        <v>S-A5 Asset reliability (process)</v>
      </c>
      <c r="F25" s="554" t="str">
        <f>IF($F$1="Select company","",IF(C25 = "","",HLOOKUP(((VLOOKUP($F$1,Lists!$B$4:$C$26,2,FALSE))&amp;"unit"),'SUB list edited'!$A$2:$DP$42,($B25+1),FALSE)))</f>
        <v>category</v>
      </c>
      <c r="G25" s="1445" t="str">
        <f>IF($F$1="Select company","",IF(C25="","",HLOOKUP(((VLOOKUP($F$1,Lists!$B$4:$C$26,2,FALSE))&amp;"DP"),'SUB list edited'!$A$2:$DP$42,($B25+1),FALSE)))</f>
        <v>na</v>
      </c>
      <c r="H25" s="327" t="str">
        <f>IF($F$1="Select company","",IF(C25 = "","",HLOOKUP(((VLOOKUP($F$1,Lists!$B$4:$C$26,2,FALSE))&amp;"201718ActPerf"),'SUB list edited'!$A$2:$DP$42,($B25+1),FALSE)))</f>
        <v>Stable</v>
      </c>
      <c r="I25" s="3183" t="str">
        <f>'[2]3B'!J25</f>
        <v>Stable</v>
      </c>
      <c r="J25" s="3183" t="str">
        <f>'[2]3B'!K25</f>
        <v>Yes</v>
      </c>
      <c r="L25" s="546">
        <f t="shared" si="4"/>
        <v>0</v>
      </c>
      <c r="M25" s="546">
        <f t="shared" si="0"/>
        <v>0</v>
      </c>
      <c r="P25" s="542">
        <f t="shared" si="1"/>
        <v>0</v>
      </c>
      <c r="Q25" s="542">
        <f t="shared" si="2"/>
        <v>0</v>
      </c>
      <c r="S25" s="542">
        <f xml:space="preserve"> IF(C25 = "", 0, IF(AND(NOT(INDEX('3A - SWT'!I$5:I$60, MATCH('3B - SWT'!$C25, '3A - SWT'!$C$5:$C$60, 0))=I25), $D25="00"), 1, 0))</f>
        <v>0</v>
      </c>
      <c r="T25" s="542">
        <f xml:space="preserve"> IF(C25 = "", 0, IF(AND(NOT(INDEX('3A - SWT'!J$5:J$60, MATCH('3B - SWT'!$C25, '3A - SWT'!$C$5:$C$60, 0))=J25), $D25="00"), 1, 0))</f>
        <v>0</v>
      </c>
    </row>
    <row r="26" spans="2:20" ht="30" customHeight="1" thickBot="1">
      <c r="B26" s="547">
        <f t="shared" si="6"/>
        <v>22</v>
      </c>
      <c r="C26" s="548" t="str">
        <f>IF($F$1="Select company","",IF((HLOOKUP((VLOOKUP($F$1,Lists!$B$4:$C$26,2,FALSE)),'SUB list edited'!$A$2:$DP$42,($B26+1),FALSE))=0,"",HLOOKUP((VLOOKUP($F$1,Lists!$B$4:$C$26,2,FALSE)),'SUB list edited'!$A$2:$DP$42,($B26+1),FALSE)))</f>
        <v>PR14SWTWSWW_S-A5</v>
      </c>
      <c r="D26" s="554" t="str">
        <f>IF($F$1="Select company","",IF(C26 = "","",HLOOKUP(((VLOOKUP($F$1,Lists!$B$4:$C$26,2,FALSE))&amp;"ID"),'SUB list edited'!$A$2:$DP$42,($B26+1),FALSE)))</f>
        <v>01</v>
      </c>
      <c r="E26" s="548" t="str">
        <f>IF($F$1="Select company","",IF(C26 = "","",HLOOKUP(((VLOOKUP($F$1,Lists!$B$4:$C$26,2,FALSE))&amp;"PC"),'SUB list edited'!$A$2:$DP$42,($B26+1),FALSE)))</f>
        <v>Sewage treatment works (STW) non-compliance</v>
      </c>
      <c r="F26" s="554" t="str">
        <f>IF($F$1="Select company","",IF(C26 = "","",HLOOKUP(((VLOOKUP($F$1,Lists!$B$4:$C$26,2,FALSE))&amp;"unit"),'SUB list edited'!$A$2:$DP$42,($B26+1),FALSE)))</f>
        <v>%</v>
      </c>
      <c r="G26" s="1445">
        <f>IF($F$1="Select company","",IF(C26="","",HLOOKUP(((VLOOKUP($F$1,Lists!$B$4:$C$26,2,FALSE))&amp;"DP"),'SUB list edited'!$A$2:$DP$42,($B26+1),FALSE)))</f>
        <v>2</v>
      </c>
      <c r="H26" s="327">
        <f>IF($F$1="Select company","",IF(C26 = "","",HLOOKUP(((VLOOKUP($F$1,Lists!$B$4:$C$26,2,FALSE))&amp;"201718ActPerf"),'SUB list edited'!$A$2:$DP$42,($B26+1),FALSE)))</f>
        <v>2.9</v>
      </c>
      <c r="I26" s="3183">
        <f>'[2]3B'!J26</f>
        <v>1.3029315960912058</v>
      </c>
      <c r="J26" s="3183" t="str">
        <f>'[2]3B'!K26</f>
        <v>Yes</v>
      </c>
      <c r="L26" s="546">
        <f t="shared" si="4"/>
        <v>0</v>
      </c>
      <c r="M26" s="546">
        <f t="shared" si="0"/>
        <v>0</v>
      </c>
      <c r="P26" s="542">
        <f t="shared" si="1"/>
        <v>0</v>
      </c>
      <c r="Q26" s="542">
        <f t="shared" si="2"/>
        <v>0</v>
      </c>
      <c r="S26" s="542">
        <f xml:space="preserve"> IF(C26 = "", 0, IF(AND(NOT(INDEX('3A - SWT'!I$5:I$60, MATCH('3B - SWT'!$C26, '3A - SWT'!$C$5:$C$60, 0))=I26), $D26="00"), 1, 0))</f>
        <v>0</v>
      </c>
      <c r="T26" s="542">
        <f xml:space="preserve"> IF(C26 = "", 0, IF(AND(NOT(INDEX('3A - SWT'!J$5:J$60, MATCH('3B - SWT'!$C26, '3A - SWT'!$C$5:$C$60, 0))=J26), $D26="00"), 1, 0))</f>
        <v>0</v>
      </c>
    </row>
    <row r="27" spans="2:20" ht="30" customHeight="1" thickBot="1">
      <c r="B27" s="547">
        <f t="shared" si="6"/>
        <v>23</v>
      </c>
      <c r="C27" s="548" t="str">
        <f>IF($F$1="Select company","",IF((HLOOKUP((VLOOKUP($F$1,Lists!$B$4:$C$26,2,FALSE)),'SUB list edited'!$A$2:$DP$42,($B27+1),FALSE))=0,"",HLOOKUP((VLOOKUP($F$1,Lists!$B$4:$C$26,2,FALSE)),'SUB list edited'!$A$2:$DP$42,($B27+1),FALSE)))</f>
        <v>PR14SWTWSWW_S-A5</v>
      </c>
      <c r="D27" s="554" t="str">
        <f>IF($F$1="Select company","",IF(C27 = "","",HLOOKUP(((VLOOKUP($F$1,Lists!$B$4:$C$26,2,FALSE))&amp;"ID"),'SUB list edited'!$A$2:$DP$42,($B27+1),FALSE)))</f>
        <v>02</v>
      </c>
      <c r="E27" s="548" t="str">
        <f>IF($F$1="Select company","",IF(C27 = "","",HLOOKUP(((VLOOKUP($F$1,Lists!$B$4:$C$26,2,FALSE))&amp;"PC"),'SUB list edited'!$A$2:$DP$42,($B27+1),FALSE)))</f>
        <v>Population equivalent (PE) non-compliance</v>
      </c>
      <c r="F27" s="554" t="str">
        <f>IF($F$1="Select company","",IF(C27 = "","",HLOOKUP(((VLOOKUP($F$1,Lists!$B$4:$C$26,2,FALSE))&amp;"unit"),'SUB list edited'!$A$2:$DP$42,($B27+1),FALSE)))</f>
        <v>%</v>
      </c>
      <c r="G27" s="1445">
        <f>IF($F$1="Select company","",IF(C27="","",HLOOKUP(((VLOOKUP($F$1,Lists!$B$4:$C$26,2,FALSE))&amp;"DP"),'SUB list edited'!$A$2:$DP$42,($B27+1),FALSE)))</f>
        <v>2</v>
      </c>
      <c r="H27" s="327">
        <f>IF($F$1="Select company","",IF(C27 = "","",HLOOKUP(((VLOOKUP($F$1,Lists!$B$4:$C$26,2,FALSE))&amp;"201718ActPerf"),'SUB list edited'!$A$2:$DP$42,($B27+1),FALSE)))</f>
        <v>0.06</v>
      </c>
      <c r="I27" s="3183">
        <f>'[2]3B'!J27</f>
        <v>0.10933791973831708</v>
      </c>
      <c r="J27" s="3183" t="str">
        <f>'[2]3B'!K27</f>
        <v>Yes</v>
      </c>
      <c r="L27" s="546">
        <f t="shared" si="4"/>
        <v>0</v>
      </c>
      <c r="M27" s="546">
        <f t="shared" si="0"/>
        <v>0</v>
      </c>
      <c r="P27" s="542">
        <f t="shared" si="1"/>
        <v>0</v>
      </c>
      <c r="Q27" s="542">
        <f t="shared" si="2"/>
        <v>0</v>
      </c>
      <c r="S27" s="542">
        <f xml:space="preserve"> IF(C27 = "", 0, IF(AND(NOT(INDEX('3A - SWT'!I$5:I$60, MATCH('3B - SWT'!$C27, '3A - SWT'!$C$5:$C$60, 0))=I27), $D27="00"), 1, 0))</f>
        <v>0</v>
      </c>
      <c r="T27" s="542">
        <f xml:space="preserve"> IF(C27 = "", 0, IF(AND(NOT(INDEX('3A - SWT'!J$5:J$60, MATCH('3B - SWT'!$C27, '3A - SWT'!$C$5:$C$60, 0))=J27), $D27="00"), 1, 0))</f>
        <v>0</v>
      </c>
    </row>
    <row r="28" spans="2:20" ht="30" customHeight="1">
      <c r="B28" s="547">
        <f t="shared" si="6"/>
        <v>24</v>
      </c>
      <c r="C28" s="548" t="str">
        <f>IF($F$1="Select company","",IF((HLOOKUP((VLOOKUP($F$1,Lists!$B$4:$C$26,2,FALSE)),'SUB list edited'!$A$2:$DP$42,($B28+1),FALSE))=0,"",HLOOKUP((VLOOKUP($F$1,Lists!$B$4:$C$26,2,FALSE)),'SUB list edited'!$A$2:$DP$42,($B28+1),FALSE)))</f>
        <v>PR14SWTWSWW_S-A5</v>
      </c>
      <c r="D28" s="554" t="str">
        <f>IF($F$1="Select company","",IF(C28 = "","",HLOOKUP(((VLOOKUP($F$1,Lists!$B$4:$C$26,2,FALSE))&amp;"ID"),'SUB list edited'!$A$2:$DP$42,($B28+1),FALSE)))</f>
        <v>03</v>
      </c>
      <c r="E28" s="548" t="str">
        <f>IF($F$1="Select company","",IF(C28 = "","",HLOOKUP(((VLOOKUP($F$1,Lists!$B$4:$C$26,2,FALSE))&amp;"PC"),'SUB list edited'!$A$2:$DP$42,($B28+1),FALSE)))</f>
        <v>Unplanned maintenance</v>
      </c>
      <c r="F28" s="554" t="str">
        <f>IF($F$1="Select company","",IF(C28 = "","",HLOOKUP(((VLOOKUP($F$1,Lists!$B$4:$C$26,2,FALSE))&amp;"unit"),'SUB list edited'!$A$2:$DP$42,($B28+1),FALSE)))</f>
        <v>nr</v>
      </c>
      <c r="G28" s="1445" t="str">
        <f>IF($F$1="Select company","",IF(C28="","",HLOOKUP(((VLOOKUP($F$1,Lists!$B$4:$C$26,2,FALSE))&amp;"DP"),'SUB list edited'!$A$2:$DP$42,($B28+1),FALSE)))</f>
        <v>0</v>
      </c>
      <c r="H28" s="327">
        <f>IF($F$1="Select company","",IF(C28 = "","",HLOOKUP(((VLOOKUP($F$1,Lists!$B$4:$C$26,2,FALSE))&amp;"201718ActPerf"),'SUB list edited'!$A$2:$DP$42,($B28+1),FALSE)))</f>
        <v>6109</v>
      </c>
      <c r="I28" s="3183">
        <f>'[2]3B'!J28</f>
        <v>7073</v>
      </c>
      <c r="J28" s="3183" t="str">
        <f>'[2]3B'!K28</f>
        <v>Yes</v>
      </c>
      <c r="L28" s="546">
        <f t="shared" si="4"/>
        <v>0</v>
      </c>
      <c r="M28" s="546">
        <f t="shared" si="0"/>
        <v>0</v>
      </c>
      <c r="P28" s="542">
        <f t="shared" si="1"/>
        <v>0</v>
      </c>
      <c r="Q28" s="542">
        <f t="shared" si="2"/>
        <v>0</v>
      </c>
      <c r="S28" s="542">
        <f xml:space="preserve"> IF(C28 = "", 0, IF(AND(NOT(INDEX('3A - SWT'!I$5:I$60, MATCH('3B - SWT'!$C28, '3A - SWT'!$C$5:$C$60, 0))=I28), $D28="00"), 1, 0))</f>
        <v>0</v>
      </c>
      <c r="T28" s="542">
        <f xml:space="preserve"> IF(C28 = "", 0, IF(AND(NOT(INDEX('3A - SWT'!J$5:J$60, MATCH('3B - SWT'!$C28, '3A - SWT'!$C$5:$C$60, 0))=J28), $D28="00"), 1, 0))</f>
        <v>0</v>
      </c>
    </row>
    <row r="29" spans="2:20" ht="30" customHeight="1">
      <c r="B29" s="547">
        <f t="shared" si="6"/>
        <v>25</v>
      </c>
      <c r="C29" s="548" t="str">
        <f>IF($F$1="Select company","",IF((HLOOKUP((VLOOKUP($F$1,Lists!$B$4:$C$26,2,FALSE)),'SUB list edited'!$A$2:$DP$42,($B29+1),FALSE))=0,"",HLOOKUP((VLOOKUP($F$1,Lists!$B$4:$C$26,2,FALSE)),'SUB list edited'!$A$2:$DP$42,($B29+1),FALSE)))</f>
        <v/>
      </c>
      <c r="D29" s="554" t="str">
        <f>IF($F$1="Select company","",IF(C29 = "","",HLOOKUP(((VLOOKUP($F$1,Lists!$B$4:$C$26,2,FALSE))&amp;"ID"),'SUB list edited'!$A$2:$DP$42,($B29+1),FALSE)))</f>
        <v/>
      </c>
      <c r="E29" s="548" t="str">
        <f>IF($F$1="Select company","",IF(C29 = "","",HLOOKUP(((VLOOKUP($F$1,Lists!$B$4:$C$26,2,FALSE))&amp;"PC"),'SUB list edited'!$A$2:$DP$42,($B29+1),FALSE)))</f>
        <v/>
      </c>
      <c r="F29" s="554" t="str">
        <f>IF($F$1="Select company","",IF(C29 = "","",HLOOKUP(((VLOOKUP($F$1,Lists!$B$4:$C$26,2,FALSE))&amp;"unit"),'SUB list edited'!$A$2:$DP$42,($B29+1),FALSE)))</f>
        <v/>
      </c>
      <c r="G29" s="1445" t="str">
        <f>IF($F$1="Select company","",IF(C29="","",HLOOKUP(((VLOOKUP($F$1,Lists!$B$4:$C$26,2,FALSE))&amp;"DP"),'SUB list edited'!$A$2:$DP$42,($B29+1),FALSE)))</f>
        <v/>
      </c>
      <c r="H29" s="327" t="str">
        <f>IF($F$1="Select company","",IF(C29 = "","",HLOOKUP(((VLOOKUP($F$1,Lists!$B$4:$C$26,2,FALSE))&amp;"201718ActPerf"),'SUB list edited'!$A$2:$DP$42,($B29+1),FALSE)))</f>
        <v/>
      </c>
      <c r="I29" s="570"/>
      <c r="J29" s="571"/>
      <c r="L29" s="546">
        <f t="shared" si="4"/>
        <v>0</v>
      </c>
      <c r="M29" s="546">
        <f t="shared" si="0"/>
        <v>0</v>
      </c>
      <c r="P29" s="542">
        <f t="shared" si="1"/>
        <v>0</v>
      </c>
      <c r="Q29" s="542">
        <f t="shared" si="2"/>
        <v>0</v>
      </c>
      <c r="S29" s="542">
        <f xml:space="preserve"> IF(C29 = "", 0, IF(AND(NOT(INDEX('3A - SWT'!I$5:I$60, MATCH('3B - SWT'!$C29, '3A - SWT'!$C$5:$C$60, 0))=I29), $D29="00"), 1, 0))</f>
        <v>0</v>
      </c>
      <c r="T29" s="542">
        <f xml:space="preserve"> IF(C29 = "", 0, IF(AND(NOT(INDEX('3A - SWT'!J$5:J$60, MATCH('3B - SWT'!$C29, '3A - SWT'!$C$5:$C$60, 0))=J29), $D29="00"), 1, 0))</f>
        <v>0</v>
      </c>
    </row>
    <row r="30" spans="2:20" ht="30" customHeight="1">
      <c r="B30" s="547">
        <f t="shared" si="6"/>
        <v>26</v>
      </c>
      <c r="C30" s="548" t="str">
        <f>IF($F$1="Select company","",IF((HLOOKUP((VLOOKUP($F$1,Lists!$B$4:$C$26,2,FALSE)),'SUB list edited'!$A$2:$DP$42,($B30+1),FALSE))=0,"",HLOOKUP((VLOOKUP($F$1,Lists!$B$4:$C$26,2,FALSE)),'SUB list edited'!$A$2:$DP$42,($B30+1),FALSE)))</f>
        <v/>
      </c>
      <c r="D30" s="554" t="str">
        <f>IF($F$1="Select company","",IF(C30 = "","",HLOOKUP(((VLOOKUP($F$1,Lists!$B$4:$C$26,2,FALSE))&amp;"ID"),'SUB list edited'!$A$2:$DP$42,($B30+1),FALSE)))</f>
        <v/>
      </c>
      <c r="E30" s="548" t="str">
        <f>IF($F$1="Select company","",IF(C30 = "","",HLOOKUP(((VLOOKUP($F$1,Lists!$B$4:$C$26,2,FALSE))&amp;"PC"),'SUB list edited'!$A$2:$DP$42,($B30+1),FALSE)))</f>
        <v/>
      </c>
      <c r="F30" s="554" t="str">
        <f>IF($F$1="Select company","",IF(C30 = "","",HLOOKUP(((VLOOKUP($F$1,Lists!$B$4:$C$26,2,FALSE))&amp;"unit"),'SUB list edited'!$A$2:$DP$42,($B30+1),FALSE)))</f>
        <v/>
      </c>
      <c r="G30" s="1445" t="str">
        <f>IF($F$1="Select company","",IF(C30="","",HLOOKUP(((VLOOKUP($F$1,Lists!$B$4:$C$26,2,FALSE))&amp;"DP"),'SUB list edited'!$A$2:$DP$42,($B30+1),FALSE)))</f>
        <v/>
      </c>
      <c r="H30" s="327" t="str">
        <f>IF($F$1="Select company","",IF(C30 = "","",HLOOKUP(((VLOOKUP($F$1,Lists!$B$4:$C$26,2,FALSE))&amp;"201718ActPerf"),'SUB list edited'!$A$2:$DP$42,($B30+1),FALSE)))</f>
        <v/>
      </c>
      <c r="I30" s="570"/>
      <c r="J30" s="571"/>
      <c r="L30" s="546">
        <f t="shared" si="4"/>
        <v>0</v>
      </c>
      <c r="M30" s="546">
        <f t="shared" si="0"/>
        <v>0</v>
      </c>
      <c r="P30" s="542">
        <f t="shared" si="1"/>
        <v>0</v>
      </c>
      <c r="Q30" s="542">
        <f t="shared" si="2"/>
        <v>0</v>
      </c>
      <c r="S30" s="542">
        <f xml:space="preserve"> IF(C30 = "", 0, IF(AND(NOT(INDEX('3A - SWT'!I$5:I$60, MATCH('3B - SWT'!$C30, '3A - SWT'!$C$5:$C$60, 0))=I30), $D30="00"), 1, 0))</f>
        <v>0</v>
      </c>
      <c r="T30" s="542">
        <f xml:space="preserve"> IF(C30 = "", 0, IF(AND(NOT(INDEX('3A - SWT'!J$5:J$60, MATCH('3B - SWT'!$C30, '3A - SWT'!$C$5:$C$60, 0))=J30), $D30="00"), 1, 0))</f>
        <v>0</v>
      </c>
    </row>
    <row r="31" spans="2:20" ht="30" customHeight="1">
      <c r="B31" s="547">
        <f t="shared" si="6"/>
        <v>27</v>
      </c>
      <c r="C31" s="548" t="str">
        <f>IF($F$1="Select company","",IF((HLOOKUP((VLOOKUP($F$1,Lists!$B$4:$C$26,2,FALSE)),'SUB list edited'!$A$2:$DP$42,($B31+1),FALSE))=0,"",HLOOKUP((VLOOKUP($F$1,Lists!$B$4:$C$26,2,FALSE)),'SUB list edited'!$A$2:$DP$42,($B31+1),FALSE)))</f>
        <v/>
      </c>
      <c r="D31" s="554" t="str">
        <f>IF($F$1="Select company","",IF(C31 = "","",HLOOKUP(((VLOOKUP($F$1,Lists!$B$4:$C$26,2,FALSE))&amp;"ID"),'SUB list edited'!$A$2:$DP$42,($B31+1),FALSE)))</f>
        <v/>
      </c>
      <c r="E31" s="548" t="str">
        <f>IF($F$1="Select company","",IF(C31 = "","",HLOOKUP(((VLOOKUP($F$1,Lists!$B$4:$C$26,2,FALSE))&amp;"PC"),'SUB list edited'!$A$2:$DP$42,($B31+1),FALSE)))</f>
        <v/>
      </c>
      <c r="F31" s="554" t="str">
        <f>IF($F$1="Select company","",IF(C31 = "","",HLOOKUP(((VLOOKUP($F$1,Lists!$B$4:$C$26,2,FALSE))&amp;"unit"),'SUB list edited'!$A$2:$DP$42,($B31+1),FALSE)))</f>
        <v/>
      </c>
      <c r="G31" s="1445" t="str">
        <f>IF($F$1="Select company","",IF(C31="","",HLOOKUP(((VLOOKUP($F$1,Lists!$B$4:$C$26,2,FALSE))&amp;"DP"),'SUB list edited'!$A$2:$DP$42,($B31+1),FALSE)))</f>
        <v/>
      </c>
      <c r="H31" s="327" t="str">
        <f>IF($F$1="Select company","",IF(C31 = "","",HLOOKUP(((VLOOKUP($F$1,Lists!$B$4:$C$26,2,FALSE))&amp;"201718ActPerf"),'SUB list edited'!$A$2:$DP$42,($B31+1),FALSE)))</f>
        <v/>
      </c>
      <c r="I31" s="570"/>
      <c r="J31" s="571"/>
      <c r="L31" s="546">
        <f t="shared" si="4"/>
        <v>0</v>
      </c>
      <c r="M31" s="546">
        <f t="shared" si="0"/>
        <v>0</v>
      </c>
      <c r="P31" s="542">
        <f t="shared" si="1"/>
        <v>0</v>
      </c>
      <c r="Q31" s="542">
        <f t="shared" si="2"/>
        <v>0</v>
      </c>
      <c r="S31" s="542">
        <f xml:space="preserve"> IF(C31 = "", 0, IF(AND(NOT(INDEX('3A - SWT'!I$5:I$60, MATCH('3B - SWT'!$C31, '3A - SWT'!$C$5:$C$60, 0))=I31), $D31="00"), 1, 0))</f>
        <v>0</v>
      </c>
      <c r="T31" s="542">
        <f xml:space="preserve"> IF(C31 = "", 0, IF(AND(NOT(INDEX('3A - SWT'!J$5:J$60, MATCH('3B - SWT'!$C31, '3A - SWT'!$C$5:$C$60, 0))=J31), $D31="00"), 1, 0))</f>
        <v>0</v>
      </c>
    </row>
    <row r="32" spans="2:20" ht="30" customHeight="1">
      <c r="B32" s="547">
        <f t="shared" si="6"/>
        <v>28</v>
      </c>
      <c r="C32" s="548" t="str">
        <f>IF($F$1="Select company","",IF((HLOOKUP((VLOOKUP($F$1,Lists!$B$4:$C$26,2,FALSE)),'SUB list edited'!$A$2:$DP$42,($B32+1),FALSE))=0,"",HLOOKUP((VLOOKUP($F$1,Lists!$B$4:$C$26,2,FALSE)),'SUB list edited'!$A$2:$DP$42,($B32+1),FALSE)))</f>
        <v/>
      </c>
      <c r="D32" s="554" t="str">
        <f>IF($F$1="Select company","",IF(C32 = "","",HLOOKUP(((VLOOKUP($F$1,Lists!$B$4:$C$26,2,FALSE))&amp;"ID"),'SUB list edited'!$A$2:$DP$42,($B32+1),FALSE)))</f>
        <v/>
      </c>
      <c r="E32" s="548" t="str">
        <f>IF($F$1="Select company","",IF(C32 = "","",HLOOKUP(((VLOOKUP($F$1,Lists!$B$4:$C$26,2,FALSE))&amp;"PC"),'SUB list edited'!$A$2:$DP$42,($B32+1),FALSE)))</f>
        <v/>
      </c>
      <c r="F32" s="554" t="str">
        <f>IF($F$1="Select company","",IF(C32 = "","",HLOOKUP(((VLOOKUP($F$1,Lists!$B$4:$C$26,2,FALSE))&amp;"unit"),'SUB list edited'!$A$2:$DP$42,($B32+1),FALSE)))</f>
        <v/>
      </c>
      <c r="G32" s="1445" t="str">
        <f>IF($F$1="Select company","",IF(C32="","",HLOOKUP(((VLOOKUP($F$1,Lists!$B$4:$C$26,2,FALSE))&amp;"DP"),'SUB list edited'!$A$2:$DP$42,($B32+1),FALSE)))</f>
        <v/>
      </c>
      <c r="H32" s="327" t="str">
        <f>IF($F$1="Select company","",IF(C32 = "","",HLOOKUP(((VLOOKUP($F$1,Lists!$B$4:$C$26,2,FALSE))&amp;"201718ActPerf"),'SUB list edited'!$A$2:$DP$42,($B32+1),FALSE)))</f>
        <v/>
      </c>
      <c r="I32" s="570"/>
      <c r="J32" s="571"/>
      <c r="L32" s="546">
        <f t="shared" si="4"/>
        <v>0</v>
      </c>
      <c r="M32" s="546">
        <f t="shared" si="0"/>
        <v>0</v>
      </c>
      <c r="P32" s="542">
        <f t="shared" si="1"/>
        <v>0</v>
      </c>
      <c r="Q32" s="542">
        <f t="shared" si="2"/>
        <v>0</v>
      </c>
      <c r="S32" s="542">
        <f xml:space="preserve"> IF(C32 = "", 0, IF(AND(NOT(INDEX('3A - SWT'!I$5:I$60, MATCH('3B - SWT'!$C32, '3A - SWT'!$C$5:$C$60, 0))=I32), $D32="00"), 1, 0))</f>
        <v>0</v>
      </c>
      <c r="T32" s="542">
        <f xml:space="preserve"> IF(C32 = "", 0, IF(AND(NOT(INDEX('3A - SWT'!J$5:J$60, MATCH('3B - SWT'!$C32, '3A - SWT'!$C$5:$C$60, 0))=J32), $D32="00"), 1, 0))</f>
        <v>0</v>
      </c>
    </row>
    <row r="33" spans="2:20" ht="30" customHeight="1">
      <c r="B33" s="547">
        <f t="shared" si="6"/>
        <v>29</v>
      </c>
      <c r="C33" s="548" t="str">
        <f>IF($F$1="Select company","",IF((HLOOKUP((VLOOKUP($F$1,Lists!$B$4:$C$26,2,FALSE)),'SUB list edited'!$A$2:$DP$42,($B33+1),FALSE))=0,"",HLOOKUP((VLOOKUP($F$1,Lists!$B$4:$C$26,2,FALSE)),'SUB list edited'!$A$2:$DP$42,($B33+1),FALSE)))</f>
        <v/>
      </c>
      <c r="D33" s="554" t="str">
        <f>IF($F$1="Select company","",IF(C33 = "","",HLOOKUP(((VLOOKUP($F$1,Lists!$B$4:$C$26,2,FALSE))&amp;"ID"),'SUB list edited'!$A$2:$DP$42,($B33+1),FALSE)))</f>
        <v/>
      </c>
      <c r="E33" s="548" t="str">
        <f>IF($F$1="Select company","",IF(C33 = "","",HLOOKUP(((VLOOKUP($F$1,Lists!$B$4:$C$26,2,FALSE))&amp;"PC"),'SUB list edited'!$A$2:$DP$42,($B33+1),FALSE)))</f>
        <v/>
      </c>
      <c r="F33" s="554" t="str">
        <f>IF($F$1="Select company","",IF(C33 = "","",HLOOKUP(((VLOOKUP($F$1,Lists!$B$4:$C$26,2,FALSE))&amp;"unit"),'SUB list edited'!$A$2:$DP$42,($B33+1),FALSE)))</f>
        <v/>
      </c>
      <c r="G33" s="1445" t="str">
        <f>IF($F$1="Select company","",IF(C33="","",HLOOKUP(((VLOOKUP($F$1,Lists!$B$4:$C$26,2,FALSE))&amp;"DP"),'SUB list edited'!$A$2:$DP$42,($B33+1),FALSE)))</f>
        <v/>
      </c>
      <c r="H33" s="327" t="str">
        <f>IF($F$1="Select company","",IF(C33 = "","",HLOOKUP(((VLOOKUP($F$1,Lists!$B$4:$C$26,2,FALSE))&amp;"201718ActPerf"),'SUB list edited'!$A$2:$DP$42,($B33+1),FALSE)))</f>
        <v/>
      </c>
      <c r="I33" s="570"/>
      <c r="J33" s="571"/>
      <c r="L33" s="546">
        <f t="shared" si="4"/>
        <v>0</v>
      </c>
      <c r="M33" s="546">
        <f t="shared" si="0"/>
        <v>0</v>
      </c>
      <c r="P33" s="542">
        <f t="shared" si="1"/>
        <v>0</v>
      </c>
      <c r="Q33" s="542">
        <f t="shared" si="2"/>
        <v>0</v>
      </c>
      <c r="S33" s="542">
        <f xml:space="preserve"> IF(C33 = "", 0, IF(AND(NOT(INDEX('3A - SWT'!I$5:I$60, MATCH('3B - SWT'!$C33, '3A - SWT'!$C$5:$C$60, 0))=I33), $D33="00"), 1, 0))</f>
        <v>0</v>
      </c>
      <c r="T33" s="542">
        <f xml:space="preserve"> IF(C33 = "", 0, IF(AND(NOT(INDEX('3A - SWT'!J$5:J$60, MATCH('3B - SWT'!$C33, '3A - SWT'!$C$5:$C$60, 0))=J33), $D33="00"), 1, 0))</f>
        <v>0</v>
      </c>
    </row>
    <row r="34" spans="2:20" ht="30" customHeight="1">
      <c r="B34" s="547">
        <f t="shared" si="6"/>
        <v>30</v>
      </c>
      <c r="C34" s="548" t="str">
        <f>IF($F$1="Select company","",IF((HLOOKUP((VLOOKUP($F$1,Lists!$B$4:$C$26,2,FALSE)),'SUB list edited'!$A$2:$DP$42,($B34+1),FALSE))=0,"",HLOOKUP((VLOOKUP($F$1,Lists!$B$4:$C$26,2,FALSE)),'SUB list edited'!$A$2:$DP$42,($B34+1),FALSE)))</f>
        <v/>
      </c>
      <c r="D34" s="554" t="str">
        <f>IF($F$1="Select company","",IF(C34 = "","",HLOOKUP(((VLOOKUP($F$1,Lists!$B$4:$C$26,2,FALSE))&amp;"ID"),'SUB list edited'!$A$2:$DP$42,($B34+1),FALSE)))</f>
        <v/>
      </c>
      <c r="E34" s="548" t="str">
        <f>IF($F$1="Select company","",IF(C34 = "","",HLOOKUP(((VLOOKUP($F$1,Lists!$B$4:$C$26,2,FALSE))&amp;"PC"),'SUB list edited'!$A$2:$DP$42,($B34+1),FALSE)))</f>
        <v/>
      </c>
      <c r="F34" s="554" t="str">
        <f>IF($F$1="Select company","",IF(C34 = "","",HLOOKUP(((VLOOKUP($F$1,Lists!$B$4:$C$26,2,FALSE))&amp;"unit"),'SUB list edited'!$A$2:$DP$42,($B34+1),FALSE)))</f>
        <v/>
      </c>
      <c r="G34" s="1445" t="str">
        <f>IF($F$1="Select company","",IF(C34="","",HLOOKUP(((VLOOKUP($F$1,Lists!$B$4:$C$26,2,FALSE))&amp;"DP"),'SUB list edited'!$A$2:$DP$42,($B34+1),FALSE)))</f>
        <v/>
      </c>
      <c r="H34" s="327" t="str">
        <f>IF($F$1="Select company","",IF(C34 = "","",HLOOKUP(((VLOOKUP($F$1,Lists!$B$4:$C$26,2,FALSE))&amp;"201718ActPerf"),'SUB list edited'!$A$2:$DP$42,($B34+1),FALSE)))</f>
        <v/>
      </c>
      <c r="I34" s="570"/>
      <c r="J34" s="571"/>
      <c r="L34" s="546">
        <f t="shared" si="4"/>
        <v>0</v>
      </c>
      <c r="M34" s="546">
        <f t="shared" si="0"/>
        <v>0</v>
      </c>
      <c r="P34" s="542">
        <f t="shared" si="1"/>
        <v>0</v>
      </c>
      <c r="Q34" s="542">
        <f t="shared" si="2"/>
        <v>0</v>
      </c>
      <c r="S34" s="542">
        <f xml:space="preserve"> IF(C34 = "", 0, IF(AND(NOT(INDEX('3A - SWT'!I$5:I$60, MATCH('3B - SWT'!$C34, '3A - SWT'!$C$5:$C$60, 0))=I34), $D34="00"), 1, 0))</f>
        <v>0</v>
      </c>
      <c r="T34" s="542">
        <f xml:space="preserve"> IF(C34 = "", 0, IF(AND(NOT(INDEX('3A - SWT'!J$5:J$60, MATCH('3B - SWT'!$C34, '3A - SWT'!$C$5:$C$60, 0))=J34), $D34="00"), 1, 0))</f>
        <v>0</v>
      </c>
    </row>
    <row r="35" spans="2:20" ht="30" customHeight="1">
      <c r="B35" s="547">
        <f t="shared" si="6"/>
        <v>31</v>
      </c>
      <c r="C35" s="548" t="str">
        <f>IF($F$1="Select company","",IF((HLOOKUP((VLOOKUP($F$1,Lists!$B$4:$C$26,2,FALSE)),'SUB list edited'!$A$2:$DP$42,($B35+1),FALSE))=0,"",HLOOKUP((VLOOKUP($F$1,Lists!$B$4:$C$26,2,FALSE)),'SUB list edited'!$A$2:$DP$42,($B35+1),FALSE)))</f>
        <v/>
      </c>
      <c r="D35" s="554" t="str">
        <f>IF($F$1="Select company","",IF(C35 = "","",HLOOKUP(((VLOOKUP($F$1,Lists!$B$4:$C$26,2,FALSE))&amp;"ID"),'SUB list edited'!$A$2:$DP$42,($B35+1),FALSE)))</f>
        <v/>
      </c>
      <c r="E35" s="548" t="str">
        <f>IF($F$1="Select company","",IF(C35 = "","",HLOOKUP(((VLOOKUP($F$1,Lists!$B$4:$C$26,2,FALSE))&amp;"PC"),'SUB list edited'!$A$2:$DP$42,($B35+1),FALSE)))</f>
        <v/>
      </c>
      <c r="F35" s="554" t="str">
        <f>IF($F$1="Select company","",IF(C35 = "","",HLOOKUP(((VLOOKUP($F$1,Lists!$B$4:$C$26,2,FALSE))&amp;"unit"),'SUB list edited'!$A$2:$DP$42,($B35+1),FALSE)))</f>
        <v/>
      </c>
      <c r="G35" s="1445" t="str">
        <f>IF($F$1="Select company","",IF(C35="","",HLOOKUP(((VLOOKUP($F$1,Lists!$B$4:$C$26,2,FALSE))&amp;"DP"),'SUB list edited'!$A$2:$DP$42,($B35+1),FALSE)))</f>
        <v/>
      </c>
      <c r="H35" s="327" t="str">
        <f>IF($F$1="Select company","",IF(C35 = "","",HLOOKUP(((VLOOKUP($F$1,Lists!$B$4:$C$26,2,FALSE))&amp;"201718ActPerf"),'SUB list edited'!$A$2:$DP$42,($B35+1),FALSE)))</f>
        <v/>
      </c>
      <c r="I35" s="570"/>
      <c r="J35" s="571"/>
      <c r="L35" s="546">
        <f t="shared" si="4"/>
        <v>0</v>
      </c>
      <c r="M35" s="546">
        <f t="shared" si="0"/>
        <v>0</v>
      </c>
      <c r="P35" s="542">
        <f t="shared" si="1"/>
        <v>0</v>
      </c>
      <c r="Q35" s="542">
        <f t="shared" si="2"/>
        <v>0</v>
      </c>
      <c r="S35" s="542">
        <f xml:space="preserve"> IF(C35 = "", 0, IF(AND(NOT(INDEX('3A - SWT'!I$5:I$60, MATCH('3B - SWT'!$C35, '3A - SWT'!$C$5:$C$60, 0))=I35), $D35="00"), 1, 0))</f>
        <v>0</v>
      </c>
      <c r="T35" s="542">
        <f xml:space="preserve"> IF(C35 = "", 0, IF(AND(NOT(INDEX('3A - SWT'!J$5:J$60, MATCH('3B - SWT'!$C35, '3A - SWT'!$C$5:$C$60, 0))=J35), $D35="00"), 1, 0))</f>
        <v>0</v>
      </c>
    </row>
    <row r="36" spans="2:20" ht="30" customHeight="1">
      <c r="B36" s="547">
        <f t="shared" si="6"/>
        <v>32</v>
      </c>
      <c r="C36" s="548" t="str">
        <f>IF($F$1="Select company","",IF((HLOOKUP((VLOOKUP($F$1,Lists!$B$4:$C$26,2,FALSE)),'SUB list edited'!$A$2:$DP$42,($B36+1),FALSE))=0,"",HLOOKUP((VLOOKUP($F$1,Lists!$B$4:$C$26,2,FALSE)),'SUB list edited'!$A$2:$DP$42,($B36+1),FALSE)))</f>
        <v/>
      </c>
      <c r="D36" s="554" t="str">
        <f>IF($F$1="Select company","",IF(C36 = "","",HLOOKUP(((VLOOKUP($F$1,Lists!$B$4:$C$26,2,FALSE))&amp;"ID"),'SUB list edited'!$A$2:$DP$42,($B36+1),FALSE)))</f>
        <v/>
      </c>
      <c r="E36" s="548" t="str">
        <f>IF($F$1="Select company","",IF(C36 = "","",HLOOKUP(((VLOOKUP($F$1,Lists!$B$4:$C$26,2,FALSE))&amp;"PC"),'SUB list edited'!$A$2:$DP$42,($B36+1),FALSE)))</f>
        <v/>
      </c>
      <c r="F36" s="554" t="str">
        <f>IF($F$1="Select company","",IF(C36 = "","",HLOOKUP(((VLOOKUP($F$1,Lists!$B$4:$C$26,2,FALSE))&amp;"unit"),'SUB list edited'!$A$2:$DP$42,($B36+1),FALSE)))</f>
        <v/>
      </c>
      <c r="G36" s="1445" t="str">
        <f>IF($F$1="Select company","",IF(C36="","",HLOOKUP(((VLOOKUP($F$1,Lists!$B$4:$C$26,2,FALSE))&amp;"DP"),'SUB list edited'!$A$2:$DP$42,($B36+1),FALSE)))</f>
        <v/>
      </c>
      <c r="H36" s="327" t="str">
        <f>IF($F$1="Select company","",IF(C36 = "","",HLOOKUP(((VLOOKUP($F$1,Lists!$B$4:$C$26,2,FALSE))&amp;"201718ActPerf"),'SUB list edited'!$A$2:$DP$42,($B36+1),FALSE)))</f>
        <v/>
      </c>
      <c r="I36" s="570"/>
      <c r="J36" s="571"/>
      <c r="L36" s="546">
        <f t="shared" si="4"/>
        <v>0</v>
      </c>
      <c r="M36" s="546">
        <f t="shared" si="0"/>
        <v>0</v>
      </c>
      <c r="P36" s="542">
        <f t="shared" si="1"/>
        <v>0</v>
      </c>
      <c r="Q36" s="542">
        <f t="shared" si="2"/>
        <v>0</v>
      </c>
      <c r="S36" s="542">
        <f xml:space="preserve"> IF(C36 = "", 0, IF(AND(NOT(INDEX('3A - SWT'!I$5:I$60, MATCH('3B - SWT'!$C36, '3A - SWT'!$C$5:$C$60, 0))=I36), $D36="00"), 1, 0))</f>
        <v>0</v>
      </c>
      <c r="T36" s="542">
        <f xml:space="preserve"> IF(C36 = "", 0, IF(AND(NOT(INDEX('3A - SWT'!J$5:J$60, MATCH('3B - SWT'!$C36, '3A - SWT'!$C$5:$C$60, 0))=J36), $D36="00"), 1, 0))</f>
        <v>0</v>
      </c>
    </row>
    <row r="37" spans="2:20" ht="30" customHeight="1">
      <c r="B37" s="547">
        <f t="shared" si="6"/>
        <v>33</v>
      </c>
      <c r="C37" s="548" t="str">
        <f>IF($F$1="Select company","",IF((HLOOKUP((VLOOKUP($F$1,Lists!$B$4:$C$26,2,FALSE)),'SUB list edited'!$A$2:$DP$42,($B37+1),FALSE))=0,"",HLOOKUP((VLOOKUP($F$1,Lists!$B$4:$C$26,2,FALSE)),'SUB list edited'!$A$2:$DP$42,($B37+1),FALSE)))</f>
        <v/>
      </c>
      <c r="D37" s="554" t="str">
        <f>IF($F$1="Select company","",IF(C37 = "","",HLOOKUP(((VLOOKUP($F$1,Lists!$B$4:$C$26,2,FALSE))&amp;"ID"),'SUB list edited'!$A$2:$DP$42,($B37+1),FALSE)))</f>
        <v/>
      </c>
      <c r="E37" s="548" t="str">
        <f>IF($F$1="Select company","",IF(C37 = "","",HLOOKUP(((VLOOKUP($F$1,Lists!$B$4:$C$26,2,FALSE))&amp;"PC"),'SUB list edited'!$A$2:$DP$42,($B37+1),FALSE)))</f>
        <v/>
      </c>
      <c r="F37" s="554" t="str">
        <f>IF($F$1="Select company","",IF(C37 = "","",HLOOKUP(((VLOOKUP($F$1,Lists!$B$4:$C$26,2,FALSE))&amp;"unit"),'SUB list edited'!$A$2:$DP$42,($B37+1),FALSE)))</f>
        <v/>
      </c>
      <c r="G37" s="1445" t="str">
        <f>IF($F$1="Select company","",IF(C37="","",HLOOKUP(((VLOOKUP($F$1,Lists!$B$4:$C$26,2,FALSE))&amp;"DP"),'SUB list edited'!$A$2:$DP$42,($B37+1),FALSE)))</f>
        <v/>
      </c>
      <c r="H37" s="327" t="str">
        <f>IF($F$1="Select company","",IF(C37 = "","",HLOOKUP(((VLOOKUP($F$1,Lists!$B$4:$C$26,2,FALSE))&amp;"201718ActPerf"),'SUB list edited'!$A$2:$DP$42,($B37+1),FALSE)))</f>
        <v/>
      </c>
      <c r="I37" s="570"/>
      <c r="J37" s="571"/>
      <c r="L37" s="546">
        <f t="shared" si="4"/>
        <v>0</v>
      </c>
      <c r="M37" s="546">
        <f t="shared" si="0"/>
        <v>0</v>
      </c>
      <c r="P37" s="542">
        <f t="shared" si="1"/>
        <v>0</v>
      </c>
      <c r="Q37" s="542">
        <f t="shared" si="2"/>
        <v>0</v>
      </c>
      <c r="S37" s="542">
        <f xml:space="preserve"> IF(C37 = "", 0, IF(AND(NOT(INDEX('3A - SWT'!I$5:I$60, MATCH('3B - SWT'!$C37, '3A - SWT'!$C$5:$C$60, 0))=I37), $D37="00"), 1, 0))</f>
        <v>0</v>
      </c>
      <c r="T37" s="542">
        <f xml:space="preserve"> IF(C37 = "", 0, IF(AND(NOT(INDEX('3A - SWT'!J$5:J$60, MATCH('3B - SWT'!$C37, '3A - SWT'!$C$5:$C$60, 0))=J37), $D37="00"), 1, 0))</f>
        <v>0</v>
      </c>
    </row>
    <row r="38" spans="2:20" ht="30" customHeight="1">
      <c r="B38" s="547">
        <f xml:space="preserve"> B37 + 1</f>
        <v>34</v>
      </c>
      <c r="C38" s="548" t="str">
        <f>IF($F$1="Select company","",IF((HLOOKUP((VLOOKUP($F$1,Lists!$B$4:$C$26,2,FALSE)),'SUB list edited'!$A$2:$DP$42,($B38+1),FALSE))=0,"",HLOOKUP((VLOOKUP($F$1,Lists!$B$4:$C$26,2,FALSE)),'SUB list edited'!$A$2:$DP$42,($B38+1),FALSE)))</f>
        <v/>
      </c>
      <c r="D38" s="554" t="str">
        <f>IF($F$1="Select company","",IF(C38 = "","",HLOOKUP(((VLOOKUP($F$1,Lists!$B$4:$C$26,2,FALSE))&amp;"ID"),'SUB list edited'!$A$2:$DP$42,($B38+1),FALSE)))</f>
        <v/>
      </c>
      <c r="E38" s="548" t="str">
        <f>IF($F$1="Select company","",IF(C38 = "","",HLOOKUP(((VLOOKUP($F$1,Lists!$B$4:$C$26,2,FALSE))&amp;"PC"),'SUB list edited'!$A$2:$DP$42,($B38+1),FALSE)))</f>
        <v/>
      </c>
      <c r="F38" s="554" t="str">
        <f>IF($F$1="Select company","",IF(C38 = "","",HLOOKUP(((VLOOKUP($F$1,Lists!$B$4:$C$26,2,FALSE))&amp;"unit"),'SUB list edited'!$A$2:$DP$42,($B38+1),FALSE)))</f>
        <v/>
      </c>
      <c r="G38" s="1445" t="str">
        <f>IF($F$1="Select company","",IF(C38="","",HLOOKUP(((VLOOKUP($F$1,Lists!$B$4:$C$26,2,FALSE))&amp;"DP"),'SUB list edited'!$A$2:$DP$42,($B38+1),FALSE)))</f>
        <v/>
      </c>
      <c r="H38" s="327" t="str">
        <f>IF($F$1="Select company","",IF(C38 = "","",HLOOKUP(((VLOOKUP($F$1,Lists!$B$4:$C$26,2,FALSE))&amp;"201718ActPerf"),'SUB list edited'!$A$2:$DP$42,($B38+1),FALSE)))</f>
        <v/>
      </c>
      <c r="I38" s="570"/>
      <c r="J38" s="571"/>
      <c r="L38" s="546">
        <f t="shared" si="4"/>
        <v>0</v>
      </c>
      <c r="M38" s="546">
        <f t="shared" si="0"/>
        <v>0</v>
      </c>
      <c r="P38" s="542">
        <f t="shared" si="1"/>
        <v>0</v>
      </c>
      <c r="Q38" s="542">
        <f t="shared" si="2"/>
        <v>0</v>
      </c>
      <c r="S38" s="542">
        <f xml:space="preserve"> IF(C38 = "", 0, IF(AND(NOT(INDEX('3A - SWT'!I$5:I$60, MATCH('3B - SWT'!$C38, '3A - SWT'!$C$5:$C$60, 0))=I38), $D38="00"), 1, 0))</f>
        <v>0</v>
      </c>
      <c r="T38" s="542">
        <f xml:space="preserve"> IF(C38 = "", 0, IF(AND(NOT(INDEX('3A - SWT'!J$5:J$60, MATCH('3B - SWT'!$C38, '3A - SWT'!$C$5:$C$60, 0))=J38), $D38="00"), 1, 0))</f>
        <v>0</v>
      </c>
    </row>
    <row r="39" spans="2:20" ht="30" customHeight="1">
      <c r="B39" s="547">
        <f t="shared" si="6"/>
        <v>35</v>
      </c>
      <c r="C39" s="548" t="str">
        <f>IF($F$1="Select company","",IF((HLOOKUP((VLOOKUP($F$1,Lists!$B$4:$C$26,2,FALSE)),'SUB list edited'!$A$2:$DP$42,($B39+1),FALSE))=0,"",HLOOKUP((VLOOKUP($F$1,Lists!$B$4:$C$26,2,FALSE)),'SUB list edited'!$A$2:$DP$42,($B39+1),FALSE)))</f>
        <v/>
      </c>
      <c r="D39" s="554" t="str">
        <f>IF($F$1="Select company","",IF(C39 = "","",HLOOKUP(((VLOOKUP($F$1,Lists!$B$4:$C$26,2,FALSE))&amp;"ID"),'SUB list edited'!$A$2:$DP$42,($B39+1),FALSE)))</f>
        <v/>
      </c>
      <c r="E39" s="548" t="str">
        <f>IF($F$1="Select company","",IF(C39 = "","",HLOOKUP(((VLOOKUP($F$1,Lists!$B$4:$C$26,2,FALSE))&amp;"PC"),'SUB list edited'!$A$2:$DP$42,($B39+1),FALSE)))</f>
        <v/>
      </c>
      <c r="F39" s="554" t="str">
        <f>IF($F$1="Select company","",IF(C39 = "","",HLOOKUP(((VLOOKUP($F$1,Lists!$B$4:$C$26,2,FALSE))&amp;"unit"),'SUB list edited'!$A$2:$DP$42,($B39+1),FALSE)))</f>
        <v/>
      </c>
      <c r="G39" s="1445" t="str">
        <f>IF($F$1="Select company","",IF(C39="","",HLOOKUP(((VLOOKUP($F$1,Lists!$B$4:$C$26,2,FALSE))&amp;"DP"),'SUB list edited'!$A$2:$DP$42,($B39+1),FALSE)))</f>
        <v/>
      </c>
      <c r="H39" s="327" t="str">
        <f>IF($F$1="Select company","",IF(C39 = "","",HLOOKUP(((VLOOKUP($F$1,Lists!$B$4:$C$26,2,FALSE))&amp;"201718ActPerf"),'SUB list edited'!$A$2:$DP$42,($B39+1),FALSE)))</f>
        <v/>
      </c>
      <c r="I39" s="570"/>
      <c r="J39" s="571"/>
      <c r="L39" s="546">
        <f t="shared" si="4"/>
        <v>0</v>
      </c>
      <c r="M39" s="546">
        <f t="shared" si="0"/>
        <v>0</v>
      </c>
      <c r="P39" s="542">
        <f t="shared" si="1"/>
        <v>0</v>
      </c>
      <c r="Q39" s="542">
        <f t="shared" si="2"/>
        <v>0</v>
      </c>
      <c r="S39" s="542">
        <f xml:space="preserve"> IF(C39 = "", 0, IF(AND(NOT(INDEX('3A - SWT'!I$5:I$60, MATCH('3B - SWT'!$C39, '3A - SWT'!$C$5:$C$60, 0))=I39), $D39="00"), 1, 0))</f>
        <v>0</v>
      </c>
      <c r="T39" s="542">
        <f xml:space="preserve"> IF(C39 = "", 0, IF(AND(NOT(INDEX('3A - SWT'!J$5:J$60, MATCH('3B - SWT'!$C39, '3A - SWT'!$C$5:$C$60, 0))=J39), $D39="00"), 1, 0))</f>
        <v>0</v>
      </c>
    </row>
    <row r="40" spans="2:20" ht="30" customHeight="1">
      <c r="B40" s="547">
        <f t="shared" si="6"/>
        <v>36</v>
      </c>
      <c r="C40" s="548" t="str">
        <f>IF($F$1="Select company","",IF((HLOOKUP((VLOOKUP($F$1,Lists!$B$4:$C$26,2,FALSE)),'SUB list edited'!$A$2:$DP$42,($B40+1),FALSE))=0,"",HLOOKUP((VLOOKUP($F$1,Lists!$B$4:$C$26,2,FALSE)),'SUB list edited'!$A$2:$DP$42,($B40+1),FALSE)))</f>
        <v/>
      </c>
      <c r="D40" s="554" t="str">
        <f>IF($F$1="Select company","",IF(C40 = "","",HLOOKUP(((VLOOKUP($F$1,Lists!$B$4:$C$26,2,FALSE))&amp;"ID"),'SUB list edited'!$A$2:$DP$42,($B40+1),FALSE)))</f>
        <v/>
      </c>
      <c r="E40" s="548" t="str">
        <f>IF($F$1="Select company","",IF(C40 = "","",HLOOKUP(((VLOOKUP($F$1,Lists!$B$4:$C$26,2,FALSE))&amp;"PC"),'SUB list edited'!$A$2:$DP$42,($B40+1),FALSE)))</f>
        <v/>
      </c>
      <c r="F40" s="554" t="str">
        <f>IF($F$1="Select company","",IF(C40 = "","",HLOOKUP(((VLOOKUP($F$1,Lists!$B$4:$C$26,2,FALSE))&amp;"unit"),'SUB list edited'!$A$2:$DP$42,($B40+1),FALSE)))</f>
        <v/>
      </c>
      <c r="G40" s="1445" t="str">
        <f>IF($F$1="Select company","",IF(C40="","",HLOOKUP(((VLOOKUP($F$1,Lists!$B$4:$C$26,2,FALSE))&amp;"DP"),'SUB list edited'!$A$2:$DP$42,($B40+1),FALSE)))</f>
        <v/>
      </c>
      <c r="H40" s="327" t="str">
        <f>IF($F$1="Select company","",IF(C40 = "","",HLOOKUP(((VLOOKUP($F$1,Lists!$B$4:$C$26,2,FALSE))&amp;"201718ActPerf"),'SUB list edited'!$A$2:$DP$42,($B40+1),FALSE)))</f>
        <v/>
      </c>
      <c r="I40" s="570"/>
      <c r="J40" s="571"/>
      <c r="L40" s="546">
        <f t="shared" si="4"/>
        <v>0</v>
      </c>
      <c r="M40" s="546">
        <f t="shared" si="0"/>
        <v>0</v>
      </c>
      <c r="P40" s="542">
        <f t="shared" si="1"/>
        <v>0</v>
      </c>
      <c r="Q40" s="542">
        <f t="shared" si="2"/>
        <v>0</v>
      </c>
      <c r="S40" s="542">
        <f xml:space="preserve"> IF(C40 = "", 0, IF(AND(NOT(INDEX('3A - SWT'!I$5:I$60, MATCH('3B - SWT'!$C40, '3A - SWT'!$C$5:$C$60, 0))=I40), $D40="00"), 1, 0))</f>
        <v>0</v>
      </c>
      <c r="T40" s="542">
        <f xml:space="preserve"> IF(C40 = "", 0, IF(AND(NOT(INDEX('3A - SWT'!J$5:J$60, MATCH('3B - SWT'!$C40, '3A - SWT'!$C$5:$C$60, 0))=J40), $D40="00"), 1, 0))</f>
        <v>0</v>
      </c>
    </row>
    <row r="41" spans="2:20" ht="30" customHeight="1">
      <c r="B41" s="547">
        <f t="shared" si="6"/>
        <v>37</v>
      </c>
      <c r="C41" s="548" t="str">
        <f>IF($F$1="Select company","",IF((HLOOKUP((VLOOKUP($F$1,Lists!$B$4:$C$26,2,FALSE)),'SUB list edited'!$A$2:$DP$42,($B41+1),FALSE))=0,"",HLOOKUP((VLOOKUP($F$1,Lists!$B$4:$C$26,2,FALSE)),'SUB list edited'!$A$2:$DP$42,($B41+1),FALSE)))</f>
        <v/>
      </c>
      <c r="D41" s="554" t="str">
        <f>IF($F$1="Select company","",IF(C41 = "","",HLOOKUP(((VLOOKUP($F$1,Lists!$B$4:$C$26,2,FALSE))&amp;"ID"),'SUB list edited'!$A$2:$DP$42,($B41+1),FALSE)))</f>
        <v/>
      </c>
      <c r="E41" s="548" t="str">
        <f>IF($F$1="Select company","",IF(C41 = "","",HLOOKUP(((VLOOKUP($F$1,Lists!$B$4:$C$26,2,FALSE))&amp;"PC"),'SUB list edited'!$A$2:$DP$42,($B41+1),FALSE)))</f>
        <v/>
      </c>
      <c r="F41" s="554" t="str">
        <f>IF($F$1="Select company","",IF(C41 = "","",HLOOKUP(((VLOOKUP($F$1,Lists!$B$4:$C$26,2,FALSE))&amp;"unit"),'SUB list edited'!$A$2:$DP$42,($B41+1),FALSE)))</f>
        <v/>
      </c>
      <c r="G41" s="1445" t="str">
        <f>IF($F$1="Select company","",IF(C41="","",HLOOKUP(((VLOOKUP($F$1,Lists!$B$4:$C$26,2,FALSE))&amp;"DP"),'SUB list edited'!$A$2:$DP$42,($B41+1),FALSE)))</f>
        <v/>
      </c>
      <c r="H41" s="327" t="str">
        <f>IF($F$1="Select company","",IF(C41 = "","",HLOOKUP(((VLOOKUP($F$1,Lists!$B$4:$C$26,2,FALSE))&amp;"201718ActPerf"),'SUB list edited'!$A$2:$DP$42,($B41+1),FALSE)))</f>
        <v/>
      </c>
      <c r="I41" s="570"/>
      <c r="J41" s="571"/>
      <c r="L41" s="546">
        <f t="shared" si="4"/>
        <v>0</v>
      </c>
      <c r="M41" s="546">
        <f t="shared" si="0"/>
        <v>0</v>
      </c>
      <c r="P41" s="542">
        <f t="shared" si="1"/>
        <v>0</v>
      </c>
      <c r="Q41" s="542">
        <f t="shared" si="2"/>
        <v>0</v>
      </c>
      <c r="S41" s="542">
        <f xml:space="preserve"> IF(C41 = "", 0, IF(AND(NOT(INDEX('3A - SWT'!I$5:I$60, MATCH('3B - SWT'!$C41, '3A - SWT'!$C$5:$C$60, 0))=I41), $D41="00"), 1, 0))</f>
        <v>0</v>
      </c>
      <c r="T41" s="542">
        <f xml:space="preserve"> IF(C41 = "", 0, IF(AND(NOT(INDEX('3A - SWT'!J$5:J$60, MATCH('3B - SWT'!$C41, '3A - SWT'!$C$5:$C$60, 0))=J41), $D41="00"), 1, 0))</f>
        <v>0</v>
      </c>
    </row>
    <row r="42" spans="2:20" ht="30" customHeight="1">
      <c r="B42" s="547">
        <f t="shared" si="6"/>
        <v>38</v>
      </c>
      <c r="C42" s="548" t="str">
        <f>IF($F$1="Select company","",IF((HLOOKUP((VLOOKUP($F$1,Lists!$B$4:$C$26,2,FALSE)),'SUB list edited'!$A$2:$DP$42,($B42+1),FALSE))=0,"",HLOOKUP((VLOOKUP($F$1,Lists!$B$4:$C$26,2,FALSE)),'SUB list edited'!$A$2:$DP$42,($B42+1),FALSE)))</f>
        <v/>
      </c>
      <c r="D42" s="554" t="str">
        <f>IF($F$1="Select company","",IF(C42 = "","",HLOOKUP(((VLOOKUP($F$1,Lists!$B$4:$C$26,2,FALSE))&amp;"ID"),'SUB list edited'!$A$2:$DP$42,($B42+1),FALSE)))</f>
        <v/>
      </c>
      <c r="E42" s="548" t="str">
        <f>IF($F$1="Select company","",IF(C42 = "","",HLOOKUP(((VLOOKUP($F$1,Lists!$B$4:$C$26,2,FALSE))&amp;"PC"),'SUB list edited'!$A$2:$DP$42,($B42+1),FALSE)))</f>
        <v/>
      </c>
      <c r="F42" s="554" t="str">
        <f>IF($F$1="Select company","",IF(C42 = "","",HLOOKUP(((VLOOKUP($F$1,Lists!$B$4:$C$26,2,FALSE))&amp;"unit"),'SUB list edited'!$A$2:$DP$42,($B42+1),FALSE)))</f>
        <v/>
      </c>
      <c r="G42" s="1445" t="str">
        <f>IF($F$1="Select company","",IF(C42="","",HLOOKUP(((VLOOKUP($F$1,Lists!$B$4:$C$26,2,FALSE))&amp;"DP"),'SUB list edited'!$A$2:$DP$42,($B42+1),FALSE)))</f>
        <v/>
      </c>
      <c r="H42" s="327" t="str">
        <f>IF($F$1="Select company","",IF(C42 = "","",HLOOKUP(((VLOOKUP($F$1,Lists!$B$4:$C$26,2,FALSE))&amp;"201718ActPerf"),'SUB list edited'!$A$2:$DP$42,($B42+1),FALSE)))</f>
        <v/>
      </c>
      <c r="I42" s="570"/>
      <c r="J42" s="571"/>
      <c r="L42" s="546">
        <f t="shared" si="4"/>
        <v>0</v>
      </c>
      <c r="M42" s="546">
        <f t="shared" si="0"/>
        <v>0</v>
      </c>
      <c r="P42" s="542">
        <f t="shared" si="1"/>
        <v>0</v>
      </c>
      <c r="Q42" s="542">
        <f t="shared" si="2"/>
        <v>0</v>
      </c>
      <c r="S42" s="542">
        <f xml:space="preserve"> IF(C42 = "", 0, IF(AND(NOT(INDEX('3A - SWT'!I$5:I$60, MATCH('3B - SWT'!$C42, '3A - SWT'!$C$5:$C$60, 0))=I42), $D42="00"), 1, 0))</f>
        <v>0</v>
      </c>
      <c r="T42" s="542">
        <f xml:space="preserve"> IF(C42 = "", 0, IF(AND(NOT(INDEX('3A - SWT'!J$5:J$60, MATCH('3B - SWT'!$C42, '3A - SWT'!$C$5:$C$60, 0))=J42), $D42="00"), 1, 0))</f>
        <v>0</v>
      </c>
    </row>
    <row r="43" spans="2:20" ht="30" customHeight="1">
      <c r="B43" s="547">
        <f t="shared" si="6"/>
        <v>39</v>
      </c>
      <c r="C43" s="548" t="str">
        <f>IF($F$1="Select company","",IF((HLOOKUP((VLOOKUP($F$1,Lists!$B$4:$C$26,2,FALSE)),'SUB list edited'!$A$2:$DP$42,($B43+1),FALSE))=0,"",HLOOKUP((VLOOKUP($F$1,Lists!$B$4:$C$26,2,FALSE)),'SUB list edited'!$A$2:$DP$42,($B43+1),FALSE)))</f>
        <v/>
      </c>
      <c r="D43" s="554" t="str">
        <f>IF($F$1="Select company","",IF(C43 = "","",HLOOKUP(((VLOOKUP($F$1,Lists!$B$4:$C$26,2,FALSE))&amp;"ID"),'SUB list edited'!$A$2:$DP$42,($B43+1),FALSE)))</f>
        <v/>
      </c>
      <c r="E43" s="548" t="str">
        <f>IF($F$1="Select company","",IF(C43 = "","",HLOOKUP(((VLOOKUP($F$1,Lists!$B$4:$C$26,2,FALSE))&amp;"PC"),'SUB list edited'!$A$2:$DP$42,($B43+1),FALSE)))</f>
        <v/>
      </c>
      <c r="F43" s="554" t="str">
        <f>IF($F$1="Select company","",IF(C43 = "","",HLOOKUP(((VLOOKUP($F$1,Lists!$B$4:$C$26,2,FALSE))&amp;"unit"),'SUB list edited'!$A$2:$DP$42,($B43+1),FALSE)))</f>
        <v/>
      </c>
      <c r="G43" s="1445" t="str">
        <f>IF($F$1="Select company","",IF(C43="","",HLOOKUP(((VLOOKUP($F$1,Lists!$B$4:$C$26,2,FALSE))&amp;"DP"),'SUB list edited'!$A$2:$DP$42,($B43+1),FALSE)))</f>
        <v/>
      </c>
      <c r="H43" s="327" t="str">
        <f>IF($F$1="Select company","",IF(C43 = "","",HLOOKUP(((VLOOKUP($F$1,Lists!$B$4:$C$26,2,FALSE))&amp;"201718ActPerf"),'SUB list edited'!$A$2:$DP$42,($B43+1),FALSE)))</f>
        <v/>
      </c>
      <c r="I43" s="570"/>
      <c r="J43" s="571"/>
      <c r="L43" s="546">
        <f t="shared" si="4"/>
        <v>0</v>
      </c>
      <c r="M43" s="546">
        <f t="shared" si="0"/>
        <v>0</v>
      </c>
      <c r="P43" s="542">
        <f t="shared" si="1"/>
        <v>0</v>
      </c>
      <c r="Q43" s="542">
        <f t="shared" si="2"/>
        <v>0</v>
      </c>
      <c r="S43" s="542">
        <f xml:space="preserve"> IF(C43 = "", 0, IF(AND(NOT(INDEX('3A - SWT'!I$5:I$60, MATCH('3B - SWT'!$C43, '3A - SWT'!$C$5:$C$60, 0))=I43), $D43="00"), 1, 0))</f>
        <v>0</v>
      </c>
      <c r="T43" s="542">
        <f xml:space="preserve"> IF(C43 = "", 0, IF(AND(NOT(INDEX('3A - SWT'!J$5:J$60, MATCH('3B - SWT'!$C43, '3A - SWT'!$C$5:$C$60, 0))=J43), $D43="00"), 1, 0))</f>
        <v>0</v>
      </c>
    </row>
    <row r="44" spans="2:20" ht="30" customHeight="1" thickBot="1">
      <c r="B44" s="549">
        <f t="shared" si="6"/>
        <v>40</v>
      </c>
      <c r="C44" s="550" t="str">
        <f>IF($F$1="Select company","",IF((HLOOKUP((VLOOKUP($F$1,Lists!$B$4:$C$26,2,FALSE)),'SUB list edited'!$A$2:$DP$42,($B44+1),FALSE))=0,"",HLOOKUP((VLOOKUP($F$1,Lists!$B$4:$C$26,2,FALSE)),'SUB list edited'!$A$2:$DP$42,($B44+1),FALSE)))</f>
        <v/>
      </c>
      <c r="D44" s="555" t="str">
        <f>IF($F$1="Select company","",IF(C44 = "","",HLOOKUP(((VLOOKUP($F$1,Lists!$B$4:$C$26,2,FALSE))&amp;"ID"),'SUB list edited'!$A$2:$DP$42,($B44+1),FALSE)))</f>
        <v/>
      </c>
      <c r="E44" s="550" t="str">
        <f>IF($F$1="Select company","",IF(C44 = "","",HLOOKUP(((VLOOKUP($F$1,Lists!$B$4:$C$26,2,FALSE))&amp;"PC"),'SUB list edited'!$A$2:$DP$42,($B44+1),FALSE)))</f>
        <v/>
      </c>
      <c r="F44" s="555" t="str">
        <f>IF($F$1="Select company","",IF(C44 = "","",HLOOKUP(((VLOOKUP($F$1,Lists!$B$4:$C$26,2,FALSE))&amp;"unit"),'SUB list edited'!$A$2:$DP$42,($B44+1),FALSE)))</f>
        <v/>
      </c>
      <c r="G44" s="1446" t="str">
        <f>IF($F$1="Select company","",IF(C44="","",HLOOKUP(((VLOOKUP($F$1,Lists!$B$4:$C$26,2,FALSE))&amp;"DP"),'SUB list edited'!$A$2:$DP$42,($B44+1),FALSE)))</f>
        <v/>
      </c>
      <c r="H44" s="329" t="str">
        <f>IF($F$1="Select company","",IF(C44 = "","",HLOOKUP(((VLOOKUP($F$1,Lists!$B$4:$C$26,2,FALSE))&amp;"201718ActPerf"),'SUB list edited'!$A$2:$DP$42,($B44+1),FALSE)))</f>
        <v/>
      </c>
      <c r="I44" s="572"/>
      <c r="J44" s="573"/>
      <c r="L44" s="546">
        <f t="shared" si="4"/>
        <v>0</v>
      </c>
      <c r="M44" s="546">
        <f t="shared" si="0"/>
        <v>0</v>
      </c>
      <c r="P44" s="542">
        <f t="shared" si="1"/>
        <v>0</v>
      </c>
      <c r="Q44" s="542">
        <f t="shared" si="2"/>
        <v>0</v>
      </c>
      <c r="S44" s="542">
        <f xml:space="preserve"> IF(C44 = "", 0, IF(AND(NOT(INDEX('3A - SWT'!I$5:I$60, MATCH('3B - SWT'!$C44, '3A - SWT'!$C$5:$C$60, 0))=I44), $D44="00"), 1, 0))</f>
        <v>0</v>
      </c>
      <c r="T44" s="542">
        <f xml:space="preserve"> IF(C44 = "", 0, IF(AND(NOT(INDEX('3A - SWT'!J$5:J$60, MATCH('3B - SWT'!$C44, '3A - SWT'!$C$5:$C$60, 0))=J44), $D44="00"), 1, 0))</f>
        <v>0</v>
      </c>
    </row>
    <row r="45" spans="2:20"/>
    <row r="46" spans="2:20">
      <c r="B46" s="566" t="s">
        <v>2420</v>
      </c>
      <c r="C46" s="566"/>
    </row>
    <row r="47" spans="2:20">
      <c r="B47" s="146"/>
      <c r="C47" s="146"/>
    </row>
    <row r="48" spans="2:20">
      <c r="B48" s="25"/>
      <c r="C48" s="148" t="s">
        <v>2421</v>
      </c>
    </row>
    <row r="49" spans="1:16">
      <c r="B49" s="146"/>
      <c r="C49" s="147"/>
    </row>
    <row r="50" spans="1:16">
      <c r="B50" s="149"/>
      <c r="C50" s="148" t="s">
        <v>2422</v>
      </c>
    </row>
    <row r="51" spans="1:16">
      <c r="B51" s="150"/>
      <c r="C51" s="148"/>
    </row>
    <row r="52" spans="1:16" ht="15" thickBot="1"/>
    <row r="53" spans="1:16" ht="15" thickBot="1">
      <c r="B53" s="1433" t="s">
        <v>12572</v>
      </c>
      <c r="C53" s="152"/>
      <c r="D53" s="153"/>
      <c r="E53" s="153"/>
      <c r="F53" s="153"/>
      <c r="G53" s="153"/>
      <c r="H53" s="153"/>
      <c r="I53" s="153"/>
      <c r="J53" s="259"/>
    </row>
    <row r="54" spans="1:16"/>
    <row r="55" spans="1:16" ht="15" hidden="1" thickBot="1">
      <c r="A55" s="1654"/>
      <c r="B55" s="151" t="str">
        <f ca="1" xml:space="preserve"> RIGHT(CELL("filename", $A$1), LEN(CELL("filename", $A$1)) - SEARCH("]", CELL("filename", $A$1)))&amp;" - Column definitions"</f>
        <v>3B - SWT - Column definitions</v>
      </c>
      <c r="C55" s="152"/>
      <c r="D55" s="153"/>
      <c r="E55" s="153"/>
      <c r="F55" s="153"/>
      <c r="G55" s="153"/>
      <c r="H55" s="153"/>
      <c r="I55" s="153"/>
      <c r="J55" s="259"/>
      <c r="K55"/>
      <c r="L55"/>
      <c r="M55"/>
      <c r="N55"/>
    </row>
    <row r="56" spans="1:16" ht="15" hidden="1" thickBot="1">
      <c r="A56" s="1654"/>
      <c r="B56" s="75"/>
      <c r="C56" s="160"/>
      <c r="D56" s="75"/>
      <c r="E56" s="75"/>
      <c r="F56" s="75"/>
      <c r="G56" s="75"/>
      <c r="H56" s="75"/>
      <c r="I56" s="115"/>
      <c r="J56" s="115"/>
      <c r="K56"/>
      <c r="L56"/>
      <c r="M56"/>
      <c r="N56"/>
    </row>
    <row r="57" spans="1:16" ht="15" hidden="1" thickBot="1">
      <c r="A57" s="1654"/>
      <c r="B57" s="161" t="s">
        <v>3631</v>
      </c>
      <c r="C57" s="568" t="s">
        <v>2424</v>
      </c>
      <c r="D57" s="335"/>
      <c r="E57" s="335"/>
      <c r="F57" s="335"/>
      <c r="G57" s="335"/>
      <c r="H57" s="335"/>
      <c r="I57" s="335"/>
      <c r="J57" s="575"/>
      <c r="K57"/>
      <c r="L57"/>
      <c r="M57"/>
      <c r="N57"/>
      <c r="P57" s="90" t="s">
        <v>2425</v>
      </c>
    </row>
    <row r="58" spans="1:16" ht="33.75" hidden="1" customHeight="1">
      <c r="A58" s="1654"/>
      <c r="B58" s="754" t="s">
        <v>2721</v>
      </c>
      <c r="C58" s="3327" t="s">
        <v>3879</v>
      </c>
      <c r="D58" s="3328"/>
      <c r="E58" s="3328"/>
      <c r="F58" s="3328"/>
      <c r="G58" s="3328"/>
      <c r="H58" s="3328"/>
      <c r="I58" s="3328"/>
      <c r="J58" s="3329"/>
      <c r="K58"/>
      <c r="L58"/>
      <c r="M58"/>
      <c r="N58"/>
      <c r="O58" s="576"/>
      <c r="P58" s="651" t="s">
        <v>2426</v>
      </c>
    </row>
    <row r="59" spans="1:16" ht="33.75" hidden="1" customHeight="1" thickBot="1">
      <c r="A59" s="1654"/>
      <c r="B59" s="755" t="s">
        <v>2722</v>
      </c>
      <c r="C59" s="3324" t="s">
        <v>3880</v>
      </c>
      <c r="D59" s="3325"/>
      <c r="E59" s="3325"/>
      <c r="F59" s="3325"/>
      <c r="G59" s="3325"/>
      <c r="H59" s="3325"/>
      <c r="I59" s="3325"/>
      <c r="J59" s="3326"/>
      <c r="K59"/>
      <c r="L59"/>
      <c r="M59"/>
      <c r="N59"/>
      <c r="O59" s="576"/>
      <c r="P59" s="651" t="s">
        <v>2426</v>
      </c>
    </row>
    <row r="60" spans="1:16" hidden="1">
      <c r="A60" s="1654"/>
    </row>
    <row r="61" spans="1:16" hidden="1">
      <c r="A61" s="1654"/>
    </row>
    <row r="62" spans="1:16" hidden="1">
      <c r="A62" s="1654"/>
    </row>
    <row r="63" spans="1:16" hidden="1">
      <c r="A63" s="1654"/>
    </row>
  </sheetData>
  <mergeCells count="2">
    <mergeCell ref="C59:J59"/>
    <mergeCell ref="C58:J58"/>
  </mergeCells>
  <conditionalFormatting sqref="M5:M44">
    <cfRule type="cellIs" dxfId="1907" priority="19" operator="equal">
      <formula>0</formula>
    </cfRule>
  </conditionalFormatting>
  <conditionalFormatting sqref="B5:H44">
    <cfRule type="expression" dxfId="1906" priority="17">
      <formula>$D5="00"</formula>
    </cfRule>
  </conditionalFormatting>
  <conditionalFormatting sqref="L5:L44">
    <cfRule type="cellIs" dxfId="1905" priority="15" operator="equal">
      <formula>0</formula>
    </cfRule>
  </conditionalFormatting>
  <conditionalFormatting sqref="H5:I44">
    <cfRule type="expression" dxfId="1904" priority="8">
      <formula xml:space="preserve"> INDIRECT("G" &amp; ROW()) = 0</formula>
    </cfRule>
    <cfRule type="expression" dxfId="1903" priority="9">
      <formula xml:space="preserve"> INDIRECT("G" &amp; ROW()) = 1</formula>
    </cfRule>
    <cfRule type="expression" dxfId="1902" priority="10">
      <formula xml:space="preserve"> INDIRECT("G" &amp; ROW()) = 2</formula>
    </cfRule>
    <cfRule type="expression" dxfId="1901" priority="11">
      <formula xml:space="preserve"> INDIRECT("G" &amp; ROW()) = 3</formula>
    </cfRule>
    <cfRule type="expression" dxfId="1900" priority="12">
      <formula xml:space="preserve"> INDIRECT("G" &amp; ROW()) = 4</formula>
    </cfRule>
    <cfRule type="expression" dxfId="1899" priority="13">
      <formula xml:space="preserve"> INDIRECT("G" &amp; ROW()) = 5</formula>
    </cfRule>
    <cfRule type="expression" dxfId="1898" priority="14">
      <formula xml:space="preserve"> INDIRECT("G" &amp; ROW()) = 6</formula>
    </cfRule>
  </conditionalFormatting>
  <conditionalFormatting sqref="I5:J28">
    <cfRule type="expression" dxfId="1897" priority="1">
      <formula xml:space="preserve"> INDIRECT("G" &amp; ROW()) = 0</formula>
    </cfRule>
    <cfRule type="expression" dxfId="1896" priority="2">
      <formula xml:space="preserve"> INDIRECT("G" &amp; ROW()) = 1</formula>
    </cfRule>
    <cfRule type="expression" dxfId="1895" priority="3">
      <formula xml:space="preserve"> INDIRECT("G" &amp; ROW()) = 2</formula>
    </cfRule>
    <cfRule type="expression" dxfId="1894" priority="4">
      <formula xml:space="preserve"> INDIRECT("G" &amp; ROW()) = 3</formula>
    </cfRule>
    <cfRule type="expression" dxfId="1893" priority="5">
      <formula xml:space="preserve"> INDIRECT("G" &amp; ROW()) = 4</formula>
    </cfRule>
    <cfRule type="expression" dxfId="1892" priority="6">
      <formula xml:space="preserve"> INDIRECT("G" &amp; ROW()) = 5</formula>
    </cfRule>
    <cfRule type="expression" dxfId="1891"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Lists!$F$6:$F$8</xm:f>
          </x14:formula1>
          <xm:sqref>J5:J44</xm:sqref>
        </x14:dataValidation>
      </x14:dataValidations>
    </ext>
  </extLst>
</worksheet>
</file>

<file path=xl/worksheets/sheet27.xml><?xml version="1.0" encoding="utf-8"?>
<worksheet xmlns="http://schemas.openxmlformats.org/spreadsheetml/2006/main" xmlns:r="http://schemas.openxmlformats.org/officeDocument/2006/relationships">
  <sheetPr codeName="Sheet23">
    <pageSetUpPr fitToPage="1"/>
  </sheetPr>
  <dimension ref="A1:AK51"/>
  <sheetViews>
    <sheetView workbookViewId="0"/>
  </sheetViews>
  <sheetFormatPr defaultColWidth="0" defaultRowHeight="14.25" zeroHeight="1"/>
  <cols>
    <col min="1" max="1" width="0.625" customWidth="1"/>
    <col min="2" max="2" width="6.125" customWidth="1"/>
    <col min="3" max="3" width="27.125" customWidth="1"/>
    <col min="4" max="4" width="9" customWidth="1"/>
    <col min="5" max="8" width="17" customWidth="1"/>
    <col min="9" max="9" width="23.625" customWidth="1"/>
    <col min="10" max="10" width="2.375" customWidth="1"/>
    <col min="11" max="11" width="33.125" customWidth="1"/>
    <col min="12" max="12" width="25.625" customWidth="1"/>
    <col min="13" max="13" width="1.625" customWidth="1"/>
    <col min="14" max="14" width="1.625" style="586" hidden="1" customWidth="1"/>
    <col min="15" max="19" width="5.625" hidden="1" customWidth="1"/>
    <col min="20" max="20" width="1.625" style="586" hidden="1" customWidth="1"/>
    <col min="21" max="25" width="7.125" hidden="1" customWidth="1"/>
    <col min="26" max="26" width="1.625" style="586" hidden="1" customWidth="1"/>
    <col min="27" max="27" width="0" hidden="1" customWidth="1"/>
    <col min="28" max="28" width="9" customWidth="1"/>
    <col min="29" max="29" width="6.125" customWidth="1"/>
    <col min="30" max="30" width="27.125" customWidth="1"/>
    <col min="31" max="31" width="11.125" customWidth="1"/>
    <col min="32" max="35" width="14.625" customWidth="1"/>
    <col min="36" max="36" width="23.625" customWidth="1"/>
    <col min="37" max="37" width="2.75" customWidth="1"/>
    <col min="38" max="16384" width="9" hidden="1"/>
  </cols>
  <sheetData>
    <row r="1" spans="1:36" ht="18.75">
      <c r="A1" s="169"/>
      <c r="B1" s="67" t="s">
        <v>3179</v>
      </c>
      <c r="C1" s="67"/>
      <c r="D1" s="67"/>
      <c r="E1" s="67"/>
      <c r="F1" s="67"/>
      <c r="G1" s="67"/>
      <c r="H1" s="67"/>
      <c r="I1" s="67" t="str">
        <f>Validation!B3</f>
        <v>South West Water – South West area</v>
      </c>
      <c r="J1" s="67"/>
      <c r="K1" s="70"/>
      <c r="L1" s="70" t="s">
        <v>2394</v>
      </c>
      <c r="AC1" s="67" t="s">
        <v>10255</v>
      </c>
      <c r="AD1" s="67"/>
      <c r="AE1" s="67"/>
      <c r="AF1" s="67"/>
      <c r="AG1" s="67"/>
      <c r="AH1" s="67"/>
      <c r="AI1" s="67"/>
      <c r="AJ1" s="67"/>
    </row>
    <row r="2" spans="1:36" ht="19.5" thickBot="1">
      <c r="B2" s="74" t="s">
        <v>12524</v>
      </c>
      <c r="C2" s="315"/>
      <c r="D2" s="315"/>
      <c r="E2" s="169"/>
      <c r="O2" s="605" t="s">
        <v>2404</v>
      </c>
      <c r="Q2" s="605"/>
      <c r="R2" s="605"/>
      <c r="S2" s="605"/>
      <c r="U2" s="605" t="s">
        <v>3596</v>
      </c>
      <c r="W2" s="714"/>
      <c r="X2" s="714"/>
      <c r="Y2" s="714"/>
      <c r="AC2" s="74" t="str">
        <f>+B2</f>
        <v>For the 12 months ended 31 March 2019</v>
      </c>
      <c r="AD2" s="315"/>
      <c r="AE2" s="315"/>
      <c r="AF2" s="169"/>
      <c r="AG2" s="496"/>
      <c r="AH2" s="496"/>
      <c r="AI2" s="496"/>
      <c r="AJ2" s="496"/>
    </row>
    <row r="3" spans="1:36" ht="64.5" thickBot="1">
      <c r="B3" s="306" t="s">
        <v>2717</v>
      </c>
      <c r="C3" s="604" t="s">
        <v>3737</v>
      </c>
      <c r="D3" s="319" t="s">
        <v>16</v>
      </c>
      <c r="E3" s="319" t="s">
        <v>12603</v>
      </c>
      <c r="F3" s="319" t="s">
        <v>12604</v>
      </c>
      <c r="G3" s="319" t="s">
        <v>10190</v>
      </c>
      <c r="H3" s="319" t="s">
        <v>10188</v>
      </c>
      <c r="I3" s="307" t="s">
        <v>3595</v>
      </c>
      <c r="K3" s="306" t="s">
        <v>3575</v>
      </c>
      <c r="L3" s="307" t="s">
        <v>1361</v>
      </c>
      <c r="O3" s="607" t="s">
        <v>4040</v>
      </c>
      <c r="Q3" s="606"/>
      <c r="R3" s="606"/>
      <c r="S3" s="606"/>
      <c r="U3" s="906" t="s">
        <v>4041</v>
      </c>
      <c r="AC3" s="306" t="s">
        <v>2717</v>
      </c>
      <c r="AD3" s="2733" t="s">
        <v>3737</v>
      </c>
      <c r="AE3" s="319" t="s">
        <v>16</v>
      </c>
      <c r="AF3" s="319" t="s">
        <v>10189</v>
      </c>
      <c r="AG3" s="319" t="s">
        <v>10187</v>
      </c>
      <c r="AH3" s="319" t="s">
        <v>10190</v>
      </c>
      <c r="AI3" s="319" t="s">
        <v>10188</v>
      </c>
      <c r="AJ3" s="307" t="s">
        <v>3595</v>
      </c>
    </row>
    <row r="4" spans="1:36" ht="15" thickBot="1">
      <c r="B4" s="75"/>
      <c r="C4" s="75"/>
      <c r="D4" s="75"/>
      <c r="E4" s="75"/>
      <c r="O4" s="608" t="s">
        <v>2473</v>
      </c>
      <c r="P4" s="608" t="s">
        <v>2480</v>
      </c>
      <c r="Q4" s="608" t="s">
        <v>2718</v>
      </c>
      <c r="R4" s="608" t="s">
        <v>2719</v>
      </c>
      <c r="S4" s="608" t="s">
        <v>2720</v>
      </c>
      <c r="U4" s="608" t="s">
        <v>2473</v>
      </c>
      <c r="V4" s="608" t="s">
        <v>2480</v>
      </c>
      <c r="W4" s="608" t="s">
        <v>2718</v>
      </c>
      <c r="X4" s="608" t="s">
        <v>2719</v>
      </c>
      <c r="Y4" s="608" t="s">
        <v>2720</v>
      </c>
      <c r="AC4" s="75"/>
      <c r="AD4" s="75"/>
      <c r="AE4" s="75"/>
      <c r="AF4" s="75"/>
      <c r="AG4" s="496"/>
      <c r="AH4" s="496"/>
      <c r="AI4" s="496"/>
      <c r="AJ4" s="496"/>
    </row>
    <row r="5" spans="1:36">
      <c r="B5" s="298">
        <v>1</v>
      </c>
      <c r="C5" s="2130"/>
      <c r="D5" s="2040"/>
      <c r="E5" s="1693"/>
      <c r="F5" s="1740"/>
      <c r="G5" s="1693"/>
      <c r="H5" s="1740"/>
      <c r="I5" s="1866"/>
      <c r="K5" s="24">
        <f>IF(SUM(T5:Z5) &gt; 0, $U$3, 0)</f>
        <v>0</v>
      </c>
      <c r="L5" s="24">
        <f>IF(SUM(N5:T5) &gt; 0, $O$3, 0)</f>
        <v>0</v>
      </c>
      <c r="O5" s="609">
        <f>IF(ISBLANK($C5), 0, IF(ISBLANK(D5), 1, 0))</f>
        <v>0</v>
      </c>
      <c r="P5" s="609">
        <f>IF(ISBLANK($C5), 0, IF(ISBLANK(E5), 1, 0))</f>
        <v>0</v>
      </c>
      <c r="Q5" s="609">
        <f>IF(ISBLANK($C5), 0, IF(ISBLANK(F5), 1, 0))</f>
        <v>0</v>
      </c>
      <c r="R5" s="609">
        <f>IF(ISBLANK($C5), 0, IF(ISBLANK(G5), 1, 0))</f>
        <v>0</v>
      </c>
      <c r="S5" s="609">
        <f>IF(ISBLANK($C5), 0, IF(ISBLANK(H5), 1, 0))</f>
        <v>0</v>
      </c>
      <c r="U5" s="609">
        <f>IF(ISBLANK($C5), 0, IF(ISNUMBER(D5), 0, 1))</f>
        <v>0</v>
      </c>
      <c r="V5" s="609">
        <f>IF(ISBLANK($C5), 0, IF(ISNUMBER(E5), 0, 1))</f>
        <v>0</v>
      </c>
      <c r="W5" s="609">
        <f>IF(ISBLANK($C5), 0, IF(ISNUMBER(F5), 0, 1))</f>
        <v>0</v>
      </c>
      <c r="X5" s="609">
        <f>IF(ISBLANK($C5), 0, IF(ISNUMBER(G5), 0, 1))</f>
        <v>0</v>
      </c>
      <c r="Y5" s="609">
        <f>IF(ISBLANK($C5), 0, IF(ISNUMBER(H5), 0, 1))</f>
        <v>0</v>
      </c>
      <c r="AC5" s="298">
        <v>1</v>
      </c>
      <c r="AD5" s="2846" t="s">
        <v>10181</v>
      </c>
      <c r="AE5" s="2473" t="s">
        <v>11012</v>
      </c>
      <c r="AF5" s="2847" t="s">
        <v>10182</v>
      </c>
      <c r="AG5" s="2847" t="s">
        <v>10183</v>
      </c>
      <c r="AH5" s="2847" t="s">
        <v>10184</v>
      </c>
      <c r="AI5" s="2847" t="s">
        <v>10185</v>
      </c>
      <c r="AJ5" s="2848" t="s">
        <v>10186</v>
      </c>
    </row>
    <row r="6" spans="1:36">
      <c r="B6" s="299">
        <v>2</v>
      </c>
      <c r="C6" s="2131"/>
      <c r="D6" s="2041"/>
      <c r="E6" s="1694"/>
      <c r="F6" s="1741"/>
      <c r="G6" s="1694"/>
      <c r="H6" s="1741"/>
      <c r="I6" s="1867"/>
      <c r="K6" s="24">
        <f t="shared" ref="K6:K29" si="0">IF(SUM(T6:Z6) &gt; 0, $U$3, 0)</f>
        <v>0</v>
      </c>
      <c r="L6" s="24">
        <f t="shared" ref="L6:L29" si="1">IF(SUM(N6:T6) &gt; 0, $O$3, 0)</f>
        <v>0</v>
      </c>
      <c r="O6" s="609">
        <f t="shared" ref="O6:P29" si="2">IF(ISBLANK($C6), 0, IF(ISBLANK(D6), 1, 0))</f>
        <v>0</v>
      </c>
      <c r="P6" s="609">
        <f t="shared" si="2"/>
        <v>0</v>
      </c>
      <c r="Q6" s="609">
        <f t="shared" ref="Q6:Q29" si="3">IF(ISBLANK($C6), 0, IF(ISBLANK(F6), 1, 0))</f>
        <v>0</v>
      </c>
      <c r="R6" s="609">
        <f t="shared" ref="R6:R29" si="4">IF(ISBLANK($C6), 0, IF(ISBLANK(G6), 1, 0))</f>
        <v>0</v>
      </c>
      <c r="S6" s="609">
        <f t="shared" ref="S6:S29" si="5">IF(ISBLANK($C6), 0, IF(ISBLANK(H6), 1, 0))</f>
        <v>0</v>
      </c>
      <c r="U6" s="609">
        <f t="shared" ref="U6:V29" si="6">IF(ISBLANK($C6), 0, IF(ISNUMBER(D6), 0, 1))</f>
        <v>0</v>
      </c>
      <c r="V6" s="609">
        <f t="shared" si="6"/>
        <v>0</v>
      </c>
      <c r="W6" s="609">
        <f t="shared" ref="W6:W29" si="7">IF(ISBLANK($C6), 0, IF(ISNUMBER(F6), 0, 1))</f>
        <v>0</v>
      </c>
      <c r="X6" s="609">
        <f t="shared" ref="X6:X29" si="8">IF(ISBLANK($C6), 0, IF(ISNUMBER(G6), 0, 1))</f>
        <v>0</v>
      </c>
      <c r="Y6" s="609">
        <f t="shared" ref="Y6:Y29" si="9">IF(ISBLANK($C6), 0, IF(ISNUMBER(H6), 0, 1))</f>
        <v>0</v>
      </c>
      <c r="AC6" s="299">
        <v>2</v>
      </c>
      <c r="AD6" s="1970"/>
      <c r="AE6" s="834"/>
      <c r="AF6" s="2849"/>
      <c r="AG6" s="2849"/>
      <c r="AH6" s="2849"/>
      <c r="AI6" s="2849"/>
      <c r="AJ6" s="2850"/>
    </row>
    <row r="7" spans="1:36">
      <c r="B7" s="299">
        <v>3</v>
      </c>
      <c r="C7" s="2131"/>
      <c r="D7" s="2041"/>
      <c r="E7" s="1694"/>
      <c r="F7" s="1741"/>
      <c r="G7" s="1694"/>
      <c r="H7" s="1741"/>
      <c r="I7" s="1867"/>
      <c r="K7" s="24">
        <f t="shared" si="0"/>
        <v>0</v>
      </c>
      <c r="L7" s="24">
        <f t="shared" si="1"/>
        <v>0</v>
      </c>
      <c r="O7" s="609">
        <f t="shared" si="2"/>
        <v>0</v>
      </c>
      <c r="P7" s="609">
        <f t="shared" si="2"/>
        <v>0</v>
      </c>
      <c r="Q7" s="609">
        <f t="shared" si="3"/>
        <v>0</v>
      </c>
      <c r="R7" s="609">
        <f t="shared" si="4"/>
        <v>0</v>
      </c>
      <c r="S7" s="609">
        <f t="shared" si="5"/>
        <v>0</v>
      </c>
      <c r="U7" s="609">
        <f t="shared" si="6"/>
        <v>0</v>
      </c>
      <c r="V7" s="609">
        <f t="shared" si="6"/>
        <v>0</v>
      </c>
      <c r="W7" s="609">
        <f t="shared" si="7"/>
        <v>0</v>
      </c>
      <c r="X7" s="609">
        <f t="shared" si="8"/>
        <v>0</v>
      </c>
      <c r="Y7" s="609">
        <f t="shared" si="9"/>
        <v>0</v>
      </c>
      <c r="AC7" s="299">
        <v>3</v>
      </c>
      <c r="AD7" s="1970"/>
      <c r="AE7" s="834"/>
      <c r="AF7" s="2849"/>
      <c r="AG7" s="2849"/>
      <c r="AH7" s="2849"/>
      <c r="AI7" s="2849"/>
      <c r="AJ7" s="2850"/>
    </row>
    <row r="8" spans="1:36">
      <c r="B8" s="299">
        <v>4</v>
      </c>
      <c r="C8" s="2131"/>
      <c r="D8" s="2041"/>
      <c r="E8" s="1694"/>
      <c r="F8" s="1741"/>
      <c r="G8" s="1694"/>
      <c r="H8" s="1741"/>
      <c r="I8" s="1867"/>
      <c r="K8" s="24">
        <f t="shared" si="0"/>
        <v>0</v>
      </c>
      <c r="L8" s="24">
        <f t="shared" si="1"/>
        <v>0</v>
      </c>
      <c r="O8" s="609">
        <f t="shared" si="2"/>
        <v>0</v>
      </c>
      <c r="P8" s="609">
        <f t="shared" si="2"/>
        <v>0</v>
      </c>
      <c r="Q8" s="609">
        <f t="shared" si="3"/>
        <v>0</v>
      </c>
      <c r="R8" s="609">
        <f t="shared" si="4"/>
        <v>0</v>
      </c>
      <c r="S8" s="609">
        <f t="shared" si="5"/>
        <v>0</v>
      </c>
      <c r="U8" s="609">
        <f t="shared" si="6"/>
        <v>0</v>
      </c>
      <c r="V8" s="609">
        <f t="shared" si="6"/>
        <v>0</v>
      </c>
      <c r="W8" s="609">
        <f t="shared" si="7"/>
        <v>0</v>
      </c>
      <c r="X8" s="609">
        <f t="shared" si="8"/>
        <v>0</v>
      </c>
      <c r="Y8" s="609">
        <f t="shared" si="9"/>
        <v>0</v>
      </c>
      <c r="AC8" s="299">
        <v>4</v>
      </c>
      <c r="AD8" s="1970"/>
      <c r="AE8" s="834"/>
      <c r="AF8" s="2849"/>
      <c r="AG8" s="2849"/>
      <c r="AH8" s="2849"/>
      <c r="AI8" s="2849"/>
      <c r="AJ8" s="2850"/>
    </row>
    <row r="9" spans="1:36">
      <c r="B9" s="299">
        <v>5</v>
      </c>
      <c r="C9" s="2131"/>
      <c r="D9" s="2041"/>
      <c r="E9" s="1694"/>
      <c r="F9" s="1741"/>
      <c r="G9" s="1694"/>
      <c r="H9" s="1741"/>
      <c r="I9" s="1867"/>
      <c r="K9" s="24">
        <f t="shared" si="0"/>
        <v>0</v>
      </c>
      <c r="L9" s="24">
        <f t="shared" si="1"/>
        <v>0</v>
      </c>
      <c r="O9" s="609">
        <f t="shared" si="2"/>
        <v>0</v>
      </c>
      <c r="P9" s="609">
        <f t="shared" si="2"/>
        <v>0</v>
      </c>
      <c r="Q9" s="609">
        <f t="shared" si="3"/>
        <v>0</v>
      </c>
      <c r="R9" s="609">
        <f t="shared" si="4"/>
        <v>0</v>
      </c>
      <c r="S9" s="609">
        <f t="shared" si="5"/>
        <v>0</v>
      </c>
      <c r="U9" s="609">
        <f t="shared" si="6"/>
        <v>0</v>
      </c>
      <c r="V9" s="609">
        <f t="shared" si="6"/>
        <v>0</v>
      </c>
      <c r="W9" s="609">
        <f t="shared" si="7"/>
        <v>0</v>
      </c>
      <c r="X9" s="609">
        <f t="shared" si="8"/>
        <v>0</v>
      </c>
      <c r="Y9" s="609">
        <f t="shared" si="9"/>
        <v>0</v>
      </c>
      <c r="AC9" s="299">
        <v>5</v>
      </c>
      <c r="AD9" s="1970"/>
      <c r="AE9" s="834"/>
      <c r="AF9" s="2849"/>
      <c r="AG9" s="2849"/>
      <c r="AH9" s="2849"/>
      <c r="AI9" s="2849"/>
      <c r="AJ9" s="2850"/>
    </row>
    <row r="10" spans="1:36">
      <c r="B10" s="299">
        <v>6</v>
      </c>
      <c r="C10" s="2131"/>
      <c r="D10" s="2041"/>
      <c r="E10" s="1694"/>
      <c r="F10" s="1741"/>
      <c r="G10" s="1694"/>
      <c r="H10" s="1741"/>
      <c r="I10" s="1867"/>
      <c r="K10" s="24">
        <f t="shared" si="0"/>
        <v>0</v>
      </c>
      <c r="L10" s="24">
        <f t="shared" si="1"/>
        <v>0</v>
      </c>
      <c r="O10" s="609">
        <f t="shared" si="2"/>
        <v>0</v>
      </c>
      <c r="P10" s="609">
        <f t="shared" si="2"/>
        <v>0</v>
      </c>
      <c r="Q10" s="609">
        <f t="shared" si="3"/>
        <v>0</v>
      </c>
      <c r="R10" s="609">
        <f t="shared" si="4"/>
        <v>0</v>
      </c>
      <c r="S10" s="609">
        <f t="shared" si="5"/>
        <v>0</v>
      </c>
      <c r="U10" s="609">
        <f t="shared" si="6"/>
        <v>0</v>
      </c>
      <c r="V10" s="609">
        <f t="shared" si="6"/>
        <v>0</v>
      </c>
      <c r="W10" s="609">
        <f t="shared" si="7"/>
        <v>0</v>
      </c>
      <c r="X10" s="609">
        <f t="shared" si="8"/>
        <v>0</v>
      </c>
      <c r="Y10" s="609">
        <f t="shared" si="9"/>
        <v>0</v>
      </c>
      <c r="AC10" s="299">
        <v>6</v>
      </c>
      <c r="AD10" s="1970"/>
      <c r="AE10" s="834"/>
      <c r="AF10" s="2849"/>
      <c r="AG10" s="2849"/>
      <c r="AH10" s="2849"/>
      <c r="AI10" s="2849"/>
      <c r="AJ10" s="2850"/>
    </row>
    <row r="11" spans="1:36">
      <c r="B11" s="299">
        <v>7</v>
      </c>
      <c r="C11" s="2131"/>
      <c r="D11" s="2041"/>
      <c r="E11" s="1694"/>
      <c r="F11" s="1741"/>
      <c r="G11" s="1694"/>
      <c r="H11" s="1741"/>
      <c r="I11" s="1867"/>
      <c r="K11" s="24">
        <f t="shared" si="0"/>
        <v>0</v>
      </c>
      <c r="L11" s="24">
        <f t="shared" si="1"/>
        <v>0</v>
      </c>
      <c r="O11" s="609">
        <f t="shared" si="2"/>
        <v>0</v>
      </c>
      <c r="P11" s="609">
        <f t="shared" si="2"/>
        <v>0</v>
      </c>
      <c r="Q11" s="609">
        <f t="shared" si="3"/>
        <v>0</v>
      </c>
      <c r="R11" s="609">
        <f t="shared" si="4"/>
        <v>0</v>
      </c>
      <c r="S11" s="609">
        <f t="shared" si="5"/>
        <v>0</v>
      </c>
      <c r="U11" s="609">
        <f t="shared" si="6"/>
        <v>0</v>
      </c>
      <c r="V11" s="609">
        <f t="shared" si="6"/>
        <v>0</v>
      </c>
      <c r="W11" s="609">
        <f t="shared" si="7"/>
        <v>0</v>
      </c>
      <c r="X11" s="609">
        <f t="shared" si="8"/>
        <v>0</v>
      </c>
      <c r="Y11" s="609">
        <f t="shared" si="9"/>
        <v>0</v>
      </c>
      <c r="AC11" s="299">
        <v>7</v>
      </c>
      <c r="AD11" s="1970"/>
      <c r="AE11" s="834"/>
      <c r="AF11" s="2849"/>
      <c r="AG11" s="2849"/>
      <c r="AH11" s="2849"/>
      <c r="AI11" s="2849"/>
      <c r="AJ11" s="2850"/>
    </row>
    <row r="12" spans="1:36">
      <c r="B12" s="299">
        <v>8</v>
      </c>
      <c r="C12" s="2131"/>
      <c r="D12" s="2041"/>
      <c r="E12" s="1694"/>
      <c r="F12" s="1741"/>
      <c r="G12" s="1694"/>
      <c r="H12" s="1741"/>
      <c r="I12" s="1867"/>
      <c r="K12" s="24">
        <f t="shared" si="0"/>
        <v>0</v>
      </c>
      <c r="L12" s="24">
        <f t="shared" si="1"/>
        <v>0</v>
      </c>
      <c r="O12" s="609">
        <f t="shared" si="2"/>
        <v>0</v>
      </c>
      <c r="P12" s="609">
        <f t="shared" si="2"/>
        <v>0</v>
      </c>
      <c r="Q12" s="609">
        <f t="shared" si="3"/>
        <v>0</v>
      </c>
      <c r="R12" s="609">
        <f t="shared" si="4"/>
        <v>0</v>
      </c>
      <c r="S12" s="609">
        <f t="shared" si="5"/>
        <v>0</v>
      </c>
      <c r="U12" s="609">
        <f t="shared" si="6"/>
        <v>0</v>
      </c>
      <c r="V12" s="609">
        <f t="shared" si="6"/>
        <v>0</v>
      </c>
      <c r="W12" s="609">
        <f t="shared" si="7"/>
        <v>0</v>
      </c>
      <c r="X12" s="609">
        <f t="shared" si="8"/>
        <v>0</v>
      </c>
      <c r="Y12" s="609">
        <f t="shared" si="9"/>
        <v>0</v>
      </c>
      <c r="AC12" s="299">
        <v>8</v>
      </c>
      <c r="AD12" s="1970"/>
      <c r="AE12" s="834"/>
      <c r="AF12" s="2849"/>
      <c r="AG12" s="2849"/>
      <c r="AH12" s="2849"/>
      <c r="AI12" s="2849"/>
      <c r="AJ12" s="2850"/>
    </row>
    <row r="13" spans="1:36">
      <c r="B13" s="299">
        <v>9</v>
      </c>
      <c r="C13" s="2131"/>
      <c r="D13" s="2041"/>
      <c r="E13" s="1694"/>
      <c r="F13" s="1741"/>
      <c r="G13" s="1694"/>
      <c r="H13" s="1741"/>
      <c r="I13" s="1867"/>
      <c r="K13" s="24">
        <f t="shared" si="0"/>
        <v>0</v>
      </c>
      <c r="L13" s="24">
        <f t="shared" si="1"/>
        <v>0</v>
      </c>
      <c r="O13" s="609">
        <f t="shared" si="2"/>
        <v>0</v>
      </c>
      <c r="P13" s="609">
        <f t="shared" si="2"/>
        <v>0</v>
      </c>
      <c r="Q13" s="609">
        <f t="shared" si="3"/>
        <v>0</v>
      </c>
      <c r="R13" s="609">
        <f t="shared" si="4"/>
        <v>0</v>
      </c>
      <c r="S13" s="609">
        <f t="shared" si="5"/>
        <v>0</v>
      </c>
      <c r="U13" s="609">
        <f t="shared" si="6"/>
        <v>0</v>
      </c>
      <c r="V13" s="609">
        <f t="shared" si="6"/>
        <v>0</v>
      </c>
      <c r="W13" s="609">
        <f t="shared" si="7"/>
        <v>0</v>
      </c>
      <c r="X13" s="609">
        <f t="shared" si="8"/>
        <v>0</v>
      </c>
      <c r="Y13" s="609">
        <f t="shared" si="9"/>
        <v>0</v>
      </c>
      <c r="AC13" s="299">
        <v>9</v>
      </c>
      <c r="AD13" s="1970"/>
      <c r="AE13" s="834"/>
      <c r="AF13" s="2849"/>
      <c r="AG13" s="2849"/>
      <c r="AH13" s="2849"/>
      <c r="AI13" s="2849"/>
      <c r="AJ13" s="2850"/>
    </row>
    <row r="14" spans="1:36">
      <c r="B14" s="299">
        <v>10</v>
      </c>
      <c r="C14" s="2131"/>
      <c r="D14" s="2041"/>
      <c r="E14" s="1694"/>
      <c r="F14" s="1741"/>
      <c r="G14" s="1694"/>
      <c r="H14" s="1741"/>
      <c r="I14" s="1867"/>
      <c r="K14" s="24">
        <f t="shared" si="0"/>
        <v>0</v>
      </c>
      <c r="L14" s="24">
        <f t="shared" si="1"/>
        <v>0</v>
      </c>
      <c r="O14" s="609">
        <f t="shared" si="2"/>
        <v>0</v>
      </c>
      <c r="P14" s="609">
        <f t="shared" si="2"/>
        <v>0</v>
      </c>
      <c r="Q14" s="609">
        <f t="shared" si="3"/>
        <v>0</v>
      </c>
      <c r="R14" s="609">
        <f t="shared" si="4"/>
        <v>0</v>
      </c>
      <c r="S14" s="609">
        <f t="shared" si="5"/>
        <v>0</v>
      </c>
      <c r="U14" s="609">
        <f t="shared" si="6"/>
        <v>0</v>
      </c>
      <c r="V14" s="609">
        <f t="shared" si="6"/>
        <v>0</v>
      </c>
      <c r="W14" s="609">
        <f t="shared" si="7"/>
        <v>0</v>
      </c>
      <c r="X14" s="609">
        <f t="shared" si="8"/>
        <v>0</v>
      </c>
      <c r="Y14" s="609">
        <f t="shared" si="9"/>
        <v>0</v>
      </c>
      <c r="AC14" s="299">
        <v>10</v>
      </c>
      <c r="AD14" s="1970"/>
      <c r="AE14" s="834"/>
      <c r="AF14" s="2849"/>
      <c r="AG14" s="2849"/>
      <c r="AH14" s="2849"/>
      <c r="AI14" s="2849"/>
      <c r="AJ14" s="2850"/>
    </row>
    <row r="15" spans="1:36">
      <c r="B15" s="299">
        <v>11</v>
      </c>
      <c r="C15" s="2131"/>
      <c r="D15" s="2041"/>
      <c r="E15" s="1694"/>
      <c r="F15" s="1741"/>
      <c r="G15" s="1694"/>
      <c r="H15" s="1741"/>
      <c r="I15" s="1867"/>
      <c r="K15" s="24">
        <f t="shared" si="0"/>
        <v>0</v>
      </c>
      <c r="L15" s="24">
        <f t="shared" si="1"/>
        <v>0</v>
      </c>
      <c r="O15" s="609">
        <f t="shared" si="2"/>
        <v>0</v>
      </c>
      <c r="P15" s="609">
        <f t="shared" si="2"/>
        <v>0</v>
      </c>
      <c r="Q15" s="609">
        <f t="shared" si="3"/>
        <v>0</v>
      </c>
      <c r="R15" s="609">
        <f t="shared" si="4"/>
        <v>0</v>
      </c>
      <c r="S15" s="609">
        <f t="shared" si="5"/>
        <v>0</v>
      </c>
      <c r="U15" s="609">
        <f t="shared" si="6"/>
        <v>0</v>
      </c>
      <c r="V15" s="609">
        <f t="shared" si="6"/>
        <v>0</v>
      </c>
      <c r="W15" s="609">
        <f t="shared" si="7"/>
        <v>0</v>
      </c>
      <c r="X15" s="609">
        <f t="shared" si="8"/>
        <v>0</v>
      </c>
      <c r="Y15" s="609">
        <f t="shared" si="9"/>
        <v>0</v>
      </c>
      <c r="AC15" s="299">
        <v>11</v>
      </c>
      <c r="AD15" s="1970"/>
      <c r="AE15" s="834"/>
      <c r="AF15" s="2849"/>
      <c r="AG15" s="2849"/>
      <c r="AH15" s="2849"/>
      <c r="AI15" s="2849"/>
      <c r="AJ15" s="2850"/>
    </row>
    <row r="16" spans="1:36">
      <c r="B16" s="299">
        <v>12</v>
      </c>
      <c r="C16" s="2131"/>
      <c r="D16" s="2041"/>
      <c r="E16" s="1694"/>
      <c r="F16" s="1741"/>
      <c r="G16" s="1694"/>
      <c r="H16" s="1741"/>
      <c r="I16" s="1867"/>
      <c r="K16" s="24">
        <f t="shared" si="0"/>
        <v>0</v>
      </c>
      <c r="L16" s="24">
        <f t="shared" si="1"/>
        <v>0</v>
      </c>
      <c r="O16" s="609">
        <f t="shared" si="2"/>
        <v>0</v>
      </c>
      <c r="P16" s="609">
        <f t="shared" si="2"/>
        <v>0</v>
      </c>
      <c r="Q16" s="609">
        <f t="shared" si="3"/>
        <v>0</v>
      </c>
      <c r="R16" s="609">
        <f t="shared" si="4"/>
        <v>0</v>
      </c>
      <c r="S16" s="609">
        <f t="shared" si="5"/>
        <v>0</v>
      </c>
      <c r="U16" s="609">
        <f t="shared" si="6"/>
        <v>0</v>
      </c>
      <c r="V16" s="609">
        <f t="shared" si="6"/>
        <v>0</v>
      </c>
      <c r="W16" s="609">
        <f t="shared" si="7"/>
        <v>0</v>
      </c>
      <c r="X16" s="609">
        <f t="shared" si="8"/>
        <v>0</v>
      </c>
      <c r="Y16" s="609">
        <f t="shared" si="9"/>
        <v>0</v>
      </c>
      <c r="AC16" s="299">
        <v>12</v>
      </c>
      <c r="AD16" s="1970"/>
      <c r="AE16" s="834"/>
      <c r="AF16" s="2849"/>
      <c r="AG16" s="2849"/>
      <c r="AH16" s="2849"/>
      <c r="AI16" s="2849"/>
      <c r="AJ16" s="2850"/>
    </row>
    <row r="17" spans="2:36">
      <c r="B17" s="299">
        <v>13</v>
      </c>
      <c r="C17" s="2131"/>
      <c r="D17" s="2041"/>
      <c r="E17" s="1694"/>
      <c r="F17" s="1741"/>
      <c r="G17" s="1694"/>
      <c r="H17" s="1741"/>
      <c r="I17" s="1867"/>
      <c r="K17" s="24">
        <f t="shared" si="0"/>
        <v>0</v>
      </c>
      <c r="L17" s="24">
        <f t="shared" si="1"/>
        <v>0</v>
      </c>
      <c r="O17" s="609">
        <f t="shared" si="2"/>
        <v>0</v>
      </c>
      <c r="P17" s="609">
        <f t="shared" si="2"/>
        <v>0</v>
      </c>
      <c r="Q17" s="609">
        <f t="shared" si="3"/>
        <v>0</v>
      </c>
      <c r="R17" s="609">
        <f t="shared" si="4"/>
        <v>0</v>
      </c>
      <c r="S17" s="609">
        <f t="shared" si="5"/>
        <v>0</v>
      </c>
      <c r="U17" s="609">
        <f t="shared" si="6"/>
        <v>0</v>
      </c>
      <c r="V17" s="609">
        <f t="shared" si="6"/>
        <v>0</v>
      </c>
      <c r="W17" s="609">
        <f t="shared" si="7"/>
        <v>0</v>
      </c>
      <c r="X17" s="609">
        <f t="shared" si="8"/>
        <v>0</v>
      </c>
      <c r="Y17" s="609">
        <f t="shared" si="9"/>
        <v>0</v>
      </c>
      <c r="AC17" s="299">
        <v>13</v>
      </c>
      <c r="AD17" s="1970"/>
      <c r="AE17" s="834"/>
      <c r="AF17" s="2849"/>
      <c r="AG17" s="2849"/>
      <c r="AH17" s="2849"/>
      <c r="AI17" s="2849"/>
      <c r="AJ17" s="2850"/>
    </row>
    <row r="18" spans="2:36">
      <c r="B18" s="299">
        <v>14</v>
      </c>
      <c r="C18" s="2131"/>
      <c r="D18" s="2041"/>
      <c r="E18" s="1694"/>
      <c r="F18" s="1741"/>
      <c r="G18" s="1694"/>
      <c r="H18" s="1741"/>
      <c r="I18" s="1867"/>
      <c r="K18" s="24">
        <f t="shared" si="0"/>
        <v>0</v>
      </c>
      <c r="L18" s="24">
        <f t="shared" si="1"/>
        <v>0</v>
      </c>
      <c r="O18" s="609">
        <f t="shared" si="2"/>
        <v>0</v>
      </c>
      <c r="P18" s="609">
        <f t="shared" si="2"/>
        <v>0</v>
      </c>
      <c r="Q18" s="609">
        <f t="shared" si="3"/>
        <v>0</v>
      </c>
      <c r="R18" s="609">
        <f t="shared" si="4"/>
        <v>0</v>
      </c>
      <c r="S18" s="609">
        <f t="shared" si="5"/>
        <v>0</v>
      </c>
      <c r="U18" s="609">
        <f t="shared" si="6"/>
        <v>0</v>
      </c>
      <c r="V18" s="609">
        <f t="shared" si="6"/>
        <v>0</v>
      </c>
      <c r="W18" s="609">
        <f t="shared" si="7"/>
        <v>0</v>
      </c>
      <c r="X18" s="609">
        <f t="shared" si="8"/>
        <v>0</v>
      </c>
      <c r="Y18" s="609">
        <f t="shared" si="9"/>
        <v>0</v>
      </c>
      <c r="AC18" s="299">
        <v>14</v>
      </c>
      <c r="AD18" s="1970"/>
      <c r="AE18" s="834"/>
      <c r="AF18" s="2849"/>
      <c r="AG18" s="2849"/>
      <c r="AH18" s="2849"/>
      <c r="AI18" s="2849"/>
      <c r="AJ18" s="2850"/>
    </row>
    <row r="19" spans="2:36">
      <c r="B19" s="299">
        <v>15</v>
      </c>
      <c r="C19" s="2131"/>
      <c r="D19" s="2041"/>
      <c r="E19" s="1694"/>
      <c r="F19" s="1741"/>
      <c r="G19" s="1694"/>
      <c r="H19" s="1741"/>
      <c r="I19" s="1867"/>
      <c r="K19" s="24">
        <f t="shared" si="0"/>
        <v>0</v>
      </c>
      <c r="L19" s="24">
        <f t="shared" si="1"/>
        <v>0</v>
      </c>
      <c r="O19" s="609">
        <f t="shared" si="2"/>
        <v>0</v>
      </c>
      <c r="P19" s="609">
        <f t="shared" si="2"/>
        <v>0</v>
      </c>
      <c r="Q19" s="609">
        <f t="shared" si="3"/>
        <v>0</v>
      </c>
      <c r="R19" s="609">
        <f t="shared" si="4"/>
        <v>0</v>
      </c>
      <c r="S19" s="609">
        <f t="shared" si="5"/>
        <v>0</v>
      </c>
      <c r="U19" s="609">
        <f t="shared" si="6"/>
        <v>0</v>
      </c>
      <c r="V19" s="609">
        <f t="shared" si="6"/>
        <v>0</v>
      </c>
      <c r="W19" s="609">
        <f t="shared" si="7"/>
        <v>0</v>
      </c>
      <c r="X19" s="609">
        <f t="shared" si="8"/>
        <v>0</v>
      </c>
      <c r="Y19" s="609">
        <f t="shared" si="9"/>
        <v>0</v>
      </c>
      <c r="AC19" s="299">
        <v>15</v>
      </c>
      <c r="AD19" s="1970"/>
      <c r="AE19" s="834"/>
      <c r="AF19" s="2849"/>
      <c r="AG19" s="2849"/>
      <c r="AH19" s="2849"/>
      <c r="AI19" s="2849"/>
      <c r="AJ19" s="2850"/>
    </row>
    <row r="20" spans="2:36">
      <c r="B20" s="299">
        <v>16</v>
      </c>
      <c r="C20" s="2131"/>
      <c r="D20" s="2041"/>
      <c r="E20" s="1694"/>
      <c r="F20" s="1741"/>
      <c r="G20" s="1694"/>
      <c r="H20" s="1741"/>
      <c r="I20" s="1867"/>
      <c r="K20" s="24">
        <f t="shared" si="0"/>
        <v>0</v>
      </c>
      <c r="L20" s="24">
        <f t="shared" si="1"/>
        <v>0</v>
      </c>
      <c r="O20" s="609">
        <f t="shared" si="2"/>
        <v>0</v>
      </c>
      <c r="P20" s="609">
        <f t="shared" si="2"/>
        <v>0</v>
      </c>
      <c r="Q20" s="609">
        <f t="shared" si="3"/>
        <v>0</v>
      </c>
      <c r="R20" s="609">
        <f t="shared" si="4"/>
        <v>0</v>
      </c>
      <c r="S20" s="609">
        <f t="shared" si="5"/>
        <v>0</v>
      </c>
      <c r="U20" s="609">
        <f t="shared" si="6"/>
        <v>0</v>
      </c>
      <c r="V20" s="609">
        <f t="shared" si="6"/>
        <v>0</v>
      </c>
      <c r="W20" s="609">
        <f t="shared" si="7"/>
        <v>0</v>
      </c>
      <c r="X20" s="609">
        <f t="shared" si="8"/>
        <v>0</v>
      </c>
      <c r="Y20" s="609">
        <f t="shared" si="9"/>
        <v>0</v>
      </c>
      <c r="AC20" s="299">
        <v>16</v>
      </c>
      <c r="AD20" s="1970"/>
      <c r="AE20" s="834"/>
      <c r="AF20" s="2849"/>
      <c r="AG20" s="2849"/>
      <c r="AH20" s="2849"/>
      <c r="AI20" s="2849"/>
      <c r="AJ20" s="2850"/>
    </row>
    <row r="21" spans="2:36">
      <c r="B21" s="299">
        <v>17</v>
      </c>
      <c r="C21" s="2131"/>
      <c r="D21" s="2041"/>
      <c r="E21" s="1694"/>
      <c r="F21" s="1741"/>
      <c r="G21" s="1694"/>
      <c r="H21" s="1741"/>
      <c r="I21" s="1867"/>
      <c r="K21" s="24">
        <f t="shared" si="0"/>
        <v>0</v>
      </c>
      <c r="L21" s="24">
        <f t="shared" si="1"/>
        <v>0</v>
      </c>
      <c r="O21" s="609">
        <f t="shared" si="2"/>
        <v>0</v>
      </c>
      <c r="P21" s="609">
        <f t="shared" si="2"/>
        <v>0</v>
      </c>
      <c r="Q21" s="609">
        <f t="shared" si="3"/>
        <v>0</v>
      </c>
      <c r="R21" s="609">
        <f t="shared" si="4"/>
        <v>0</v>
      </c>
      <c r="S21" s="609">
        <f t="shared" si="5"/>
        <v>0</v>
      </c>
      <c r="U21" s="609">
        <f t="shared" si="6"/>
        <v>0</v>
      </c>
      <c r="V21" s="609">
        <f t="shared" si="6"/>
        <v>0</v>
      </c>
      <c r="W21" s="609">
        <f t="shared" si="7"/>
        <v>0</v>
      </c>
      <c r="X21" s="609">
        <f t="shared" si="8"/>
        <v>0</v>
      </c>
      <c r="Y21" s="609">
        <f t="shared" si="9"/>
        <v>0</v>
      </c>
      <c r="AC21" s="299">
        <v>17</v>
      </c>
      <c r="AD21" s="1970"/>
      <c r="AE21" s="834"/>
      <c r="AF21" s="2849"/>
      <c r="AG21" s="2849"/>
      <c r="AH21" s="2849"/>
      <c r="AI21" s="2849"/>
      <c r="AJ21" s="2850"/>
    </row>
    <row r="22" spans="2:36">
      <c r="B22" s="299">
        <v>18</v>
      </c>
      <c r="C22" s="2131"/>
      <c r="D22" s="2041"/>
      <c r="E22" s="1694"/>
      <c r="F22" s="1741"/>
      <c r="G22" s="1694"/>
      <c r="H22" s="1741"/>
      <c r="I22" s="1867"/>
      <c r="K22" s="24">
        <f t="shared" si="0"/>
        <v>0</v>
      </c>
      <c r="L22" s="24">
        <f t="shared" si="1"/>
        <v>0</v>
      </c>
      <c r="O22" s="609">
        <f t="shared" si="2"/>
        <v>0</v>
      </c>
      <c r="P22" s="609">
        <f t="shared" si="2"/>
        <v>0</v>
      </c>
      <c r="Q22" s="609">
        <f t="shared" si="3"/>
        <v>0</v>
      </c>
      <c r="R22" s="609">
        <f t="shared" si="4"/>
        <v>0</v>
      </c>
      <c r="S22" s="609">
        <f t="shared" si="5"/>
        <v>0</v>
      </c>
      <c r="U22" s="609">
        <f t="shared" si="6"/>
        <v>0</v>
      </c>
      <c r="V22" s="609">
        <f t="shared" si="6"/>
        <v>0</v>
      </c>
      <c r="W22" s="609">
        <f t="shared" si="7"/>
        <v>0</v>
      </c>
      <c r="X22" s="609">
        <f t="shared" si="8"/>
        <v>0</v>
      </c>
      <c r="Y22" s="609">
        <f t="shared" si="9"/>
        <v>0</v>
      </c>
      <c r="AC22" s="299">
        <v>18</v>
      </c>
      <c r="AD22" s="1970"/>
      <c r="AE22" s="834"/>
      <c r="AF22" s="2849"/>
      <c r="AG22" s="2849"/>
      <c r="AH22" s="2849"/>
      <c r="AI22" s="2849"/>
      <c r="AJ22" s="2850"/>
    </row>
    <row r="23" spans="2:36">
      <c r="B23" s="299">
        <v>19</v>
      </c>
      <c r="C23" s="2131"/>
      <c r="D23" s="2041"/>
      <c r="E23" s="1694"/>
      <c r="F23" s="1741"/>
      <c r="G23" s="1694"/>
      <c r="H23" s="1741"/>
      <c r="I23" s="1867"/>
      <c r="K23" s="24">
        <f t="shared" si="0"/>
        <v>0</v>
      </c>
      <c r="L23" s="24">
        <f t="shared" si="1"/>
        <v>0</v>
      </c>
      <c r="O23" s="609">
        <f t="shared" si="2"/>
        <v>0</v>
      </c>
      <c r="P23" s="609">
        <f t="shared" si="2"/>
        <v>0</v>
      </c>
      <c r="Q23" s="609">
        <f t="shared" si="3"/>
        <v>0</v>
      </c>
      <c r="R23" s="609">
        <f t="shared" si="4"/>
        <v>0</v>
      </c>
      <c r="S23" s="609">
        <f t="shared" si="5"/>
        <v>0</v>
      </c>
      <c r="U23" s="609">
        <f t="shared" si="6"/>
        <v>0</v>
      </c>
      <c r="V23" s="609">
        <f t="shared" si="6"/>
        <v>0</v>
      </c>
      <c r="W23" s="609">
        <f t="shared" si="7"/>
        <v>0</v>
      </c>
      <c r="X23" s="609">
        <f t="shared" si="8"/>
        <v>0</v>
      </c>
      <c r="Y23" s="609">
        <f t="shared" si="9"/>
        <v>0</v>
      </c>
      <c r="AC23" s="299">
        <v>19</v>
      </c>
      <c r="AD23" s="1970"/>
      <c r="AE23" s="834"/>
      <c r="AF23" s="2849"/>
      <c r="AG23" s="2849"/>
      <c r="AH23" s="2849"/>
      <c r="AI23" s="2849"/>
      <c r="AJ23" s="2850"/>
    </row>
    <row r="24" spans="2:36">
      <c r="B24" s="299">
        <v>20</v>
      </c>
      <c r="C24" s="2131"/>
      <c r="D24" s="2041"/>
      <c r="E24" s="1694"/>
      <c r="F24" s="1741"/>
      <c r="G24" s="1694"/>
      <c r="H24" s="1741"/>
      <c r="I24" s="1867"/>
      <c r="K24" s="24">
        <f t="shared" si="0"/>
        <v>0</v>
      </c>
      <c r="L24" s="24">
        <f t="shared" si="1"/>
        <v>0</v>
      </c>
      <c r="O24" s="609">
        <f t="shared" si="2"/>
        <v>0</v>
      </c>
      <c r="P24" s="609">
        <f t="shared" si="2"/>
        <v>0</v>
      </c>
      <c r="Q24" s="609">
        <f t="shared" si="3"/>
        <v>0</v>
      </c>
      <c r="R24" s="609">
        <f t="shared" si="4"/>
        <v>0</v>
      </c>
      <c r="S24" s="609">
        <f t="shared" si="5"/>
        <v>0</v>
      </c>
      <c r="U24" s="609">
        <f t="shared" si="6"/>
        <v>0</v>
      </c>
      <c r="V24" s="609">
        <f t="shared" si="6"/>
        <v>0</v>
      </c>
      <c r="W24" s="609">
        <f t="shared" si="7"/>
        <v>0</v>
      </c>
      <c r="X24" s="609">
        <f t="shared" si="8"/>
        <v>0</v>
      </c>
      <c r="Y24" s="609">
        <f t="shared" si="9"/>
        <v>0</v>
      </c>
      <c r="AC24" s="299">
        <v>20</v>
      </c>
      <c r="AD24" s="1970"/>
      <c r="AE24" s="834"/>
      <c r="AF24" s="2849"/>
      <c r="AG24" s="2849"/>
      <c r="AH24" s="2849"/>
      <c r="AI24" s="2849"/>
      <c r="AJ24" s="2850"/>
    </row>
    <row r="25" spans="2:36">
      <c r="B25" s="299">
        <v>21</v>
      </c>
      <c r="C25" s="2131"/>
      <c r="D25" s="2041"/>
      <c r="E25" s="1694"/>
      <c r="F25" s="1741"/>
      <c r="G25" s="1694"/>
      <c r="H25" s="1741"/>
      <c r="I25" s="1867"/>
      <c r="K25" s="24">
        <f t="shared" si="0"/>
        <v>0</v>
      </c>
      <c r="L25" s="24">
        <f t="shared" si="1"/>
        <v>0</v>
      </c>
      <c r="O25" s="609">
        <f t="shared" si="2"/>
        <v>0</v>
      </c>
      <c r="P25" s="609">
        <f t="shared" si="2"/>
        <v>0</v>
      </c>
      <c r="Q25" s="609">
        <f t="shared" si="3"/>
        <v>0</v>
      </c>
      <c r="R25" s="609">
        <f t="shared" si="4"/>
        <v>0</v>
      </c>
      <c r="S25" s="609">
        <f t="shared" si="5"/>
        <v>0</v>
      </c>
      <c r="U25" s="609">
        <f t="shared" si="6"/>
        <v>0</v>
      </c>
      <c r="V25" s="609">
        <f t="shared" si="6"/>
        <v>0</v>
      </c>
      <c r="W25" s="609">
        <f t="shared" si="7"/>
        <v>0</v>
      </c>
      <c r="X25" s="609">
        <f t="shared" si="8"/>
        <v>0</v>
      </c>
      <c r="Y25" s="609">
        <f t="shared" si="9"/>
        <v>0</v>
      </c>
      <c r="AC25" s="299">
        <v>21</v>
      </c>
      <c r="AD25" s="1970"/>
      <c r="AE25" s="834"/>
      <c r="AF25" s="2849"/>
      <c r="AG25" s="2849"/>
      <c r="AH25" s="2849"/>
      <c r="AI25" s="2849"/>
      <c r="AJ25" s="2850"/>
    </row>
    <row r="26" spans="2:36">
      <c r="B26" s="299">
        <v>22</v>
      </c>
      <c r="C26" s="2131"/>
      <c r="D26" s="2041"/>
      <c r="E26" s="1694"/>
      <c r="F26" s="1741"/>
      <c r="G26" s="1694"/>
      <c r="H26" s="1741"/>
      <c r="I26" s="1867"/>
      <c r="K26" s="24">
        <f t="shared" si="0"/>
        <v>0</v>
      </c>
      <c r="L26" s="24">
        <f t="shared" si="1"/>
        <v>0</v>
      </c>
      <c r="O26" s="609">
        <f t="shared" si="2"/>
        <v>0</v>
      </c>
      <c r="P26" s="609">
        <f t="shared" si="2"/>
        <v>0</v>
      </c>
      <c r="Q26" s="609">
        <f t="shared" si="3"/>
        <v>0</v>
      </c>
      <c r="R26" s="609">
        <f t="shared" si="4"/>
        <v>0</v>
      </c>
      <c r="S26" s="609">
        <f t="shared" si="5"/>
        <v>0</v>
      </c>
      <c r="U26" s="609">
        <f t="shared" si="6"/>
        <v>0</v>
      </c>
      <c r="V26" s="609">
        <f t="shared" si="6"/>
        <v>0</v>
      </c>
      <c r="W26" s="609">
        <f t="shared" si="7"/>
        <v>0</v>
      </c>
      <c r="X26" s="609">
        <f t="shared" si="8"/>
        <v>0</v>
      </c>
      <c r="Y26" s="609">
        <f t="shared" si="9"/>
        <v>0</v>
      </c>
      <c r="AC26" s="299">
        <v>22</v>
      </c>
      <c r="AD26" s="1970"/>
      <c r="AE26" s="834"/>
      <c r="AF26" s="2849"/>
      <c r="AG26" s="2849"/>
      <c r="AH26" s="2849"/>
      <c r="AI26" s="2849"/>
      <c r="AJ26" s="2850"/>
    </row>
    <row r="27" spans="2:36">
      <c r="B27" s="299">
        <v>23</v>
      </c>
      <c r="C27" s="2131"/>
      <c r="D27" s="2041"/>
      <c r="E27" s="1694"/>
      <c r="F27" s="1741"/>
      <c r="G27" s="1694"/>
      <c r="H27" s="1741"/>
      <c r="I27" s="1867"/>
      <c r="K27" s="24">
        <f t="shared" si="0"/>
        <v>0</v>
      </c>
      <c r="L27" s="24">
        <f t="shared" si="1"/>
        <v>0</v>
      </c>
      <c r="O27" s="609">
        <f t="shared" si="2"/>
        <v>0</v>
      </c>
      <c r="P27" s="609">
        <f t="shared" si="2"/>
        <v>0</v>
      </c>
      <c r="Q27" s="609">
        <f t="shared" si="3"/>
        <v>0</v>
      </c>
      <c r="R27" s="609">
        <f t="shared" si="4"/>
        <v>0</v>
      </c>
      <c r="S27" s="609">
        <f t="shared" si="5"/>
        <v>0</v>
      </c>
      <c r="U27" s="609">
        <f t="shared" si="6"/>
        <v>0</v>
      </c>
      <c r="V27" s="609">
        <f t="shared" si="6"/>
        <v>0</v>
      </c>
      <c r="W27" s="609">
        <f t="shared" si="7"/>
        <v>0</v>
      </c>
      <c r="X27" s="609">
        <f t="shared" si="8"/>
        <v>0</v>
      </c>
      <c r="Y27" s="609">
        <f t="shared" si="9"/>
        <v>0</v>
      </c>
      <c r="AC27" s="299">
        <v>23</v>
      </c>
      <c r="AD27" s="1970"/>
      <c r="AE27" s="834"/>
      <c r="AF27" s="2849"/>
      <c r="AG27" s="2849"/>
      <c r="AH27" s="2849"/>
      <c r="AI27" s="2849"/>
      <c r="AJ27" s="2850"/>
    </row>
    <row r="28" spans="2:36">
      <c r="B28" s="299">
        <v>24</v>
      </c>
      <c r="C28" s="2131"/>
      <c r="D28" s="2041"/>
      <c r="E28" s="1694"/>
      <c r="F28" s="1741"/>
      <c r="G28" s="1694"/>
      <c r="H28" s="1741"/>
      <c r="I28" s="1867"/>
      <c r="K28" s="24">
        <f t="shared" si="0"/>
        <v>0</v>
      </c>
      <c r="L28" s="24">
        <f t="shared" si="1"/>
        <v>0</v>
      </c>
      <c r="O28" s="609">
        <f t="shared" si="2"/>
        <v>0</v>
      </c>
      <c r="P28" s="609">
        <f t="shared" si="2"/>
        <v>0</v>
      </c>
      <c r="Q28" s="609">
        <f t="shared" si="3"/>
        <v>0</v>
      </c>
      <c r="R28" s="609">
        <f t="shared" si="4"/>
        <v>0</v>
      </c>
      <c r="S28" s="609">
        <f t="shared" si="5"/>
        <v>0</v>
      </c>
      <c r="U28" s="609">
        <f t="shared" si="6"/>
        <v>0</v>
      </c>
      <c r="V28" s="609">
        <f t="shared" si="6"/>
        <v>0</v>
      </c>
      <c r="W28" s="609">
        <f t="shared" si="7"/>
        <v>0</v>
      </c>
      <c r="X28" s="609">
        <f t="shared" si="8"/>
        <v>0</v>
      </c>
      <c r="Y28" s="609">
        <f t="shared" si="9"/>
        <v>0</v>
      </c>
      <c r="AC28" s="299">
        <v>24</v>
      </c>
      <c r="AD28" s="1970"/>
      <c r="AE28" s="834"/>
      <c r="AF28" s="2849"/>
      <c r="AG28" s="2849"/>
      <c r="AH28" s="2849"/>
      <c r="AI28" s="2849"/>
      <c r="AJ28" s="2850"/>
    </row>
    <row r="29" spans="2:36" ht="15" thickBot="1">
      <c r="B29" s="299">
        <v>25</v>
      </c>
      <c r="C29" s="2131"/>
      <c r="D29" s="2041"/>
      <c r="E29" s="1694"/>
      <c r="F29" s="1741"/>
      <c r="G29" s="1694"/>
      <c r="H29" s="1741"/>
      <c r="I29" s="1867"/>
      <c r="K29" s="24">
        <f t="shared" si="0"/>
        <v>0</v>
      </c>
      <c r="L29" s="24">
        <f t="shared" si="1"/>
        <v>0</v>
      </c>
      <c r="O29" s="609">
        <f t="shared" si="2"/>
        <v>0</v>
      </c>
      <c r="P29" s="609">
        <f t="shared" si="2"/>
        <v>0</v>
      </c>
      <c r="Q29" s="609">
        <f t="shared" si="3"/>
        <v>0</v>
      </c>
      <c r="R29" s="609">
        <f t="shared" si="4"/>
        <v>0</v>
      </c>
      <c r="S29" s="609">
        <f t="shared" si="5"/>
        <v>0</v>
      </c>
      <c r="U29" s="609">
        <f t="shared" si="6"/>
        <v>0</v>
      </c>
      <c r="V29" s="609">
        <f t="shared" si="6"/>
        <v>0</v>
      </c>
      <c r="W29" s="609">
        <f t="shared" si="7"/>
        <v>0</v>
      </c>
      <c r="X29" s="609">
        <f t="shared" si="8"/>
        <v>0</v>
      </c>
      <c r="Y29" s="609">
        <f t="shared" si="9"/>
        <v>0</v>
      </c>
      <c r="AC29" s="299">
        <v>25</v>
      </c>
      <c r="AD29" s="1970"/>
      <c r="AE29" s="834"/>
      <c r="AF29" s="2849"/>
      <c r="AG29" s="2849"/>
      <c r="AH29" s="2849"/>
      <c r="AI29" s="2849"/>
      <c r="AJ29" s="2850"/>
    </row>
    <row r="30" spans="2:36" ht="15" thickBot="1">
      <c r="B30" s="614" t="s">
        <v>2554</v>
      </c>
      <c r="C30" s="615"/>
      <c r="D30" s="616"/>
      <c r="E30" s="1695">
        <f>SUM(E5:E29)</f>
        <v>0</v>
      </c>
      <c r="F30" s="1742">
        <f>SUM(F5:F29)</f>
        <v>0</v>
      </c>
      <c r="G30" s="1695">
        <f>SUM(G5:G29)</f>
        <v>0</v>
      </c>
      <c r="H30" s="1742">
        <f>SUM(H5:H29)</f>
        <v>0</v>
      </c>
      <c r="I30" s="905"/>
      <c r="AC30" s="2851" t="s">
        <v>2554</v>
      </c>
      <c r="AD30" s="2852"/>
      <c r="AE30" s="2853"/>
      <c r="AF30" s="1695"/>
      <c r="AG30" s="1695"/>
      <c r="AH30" s="1695"/>
      <c r="AI30" s="1695"/>
      <c r="AJ30" s="905"/>
    </row>
    <row r="31" spans="2:36">
      <c r="AC31" s="496"/>
      <c r="AD31" s="496"/>
      <c r="AE31" s="496"/>
      <c r="AF31" s="496"/>
      <c r="AG31" s="496"/>
      <c r="AH31" s="496"/>
      <c r="AI31" s="496"/>
      <c r="AJ31" s="496"/>
    </row>
    <row r="32" spans="2:36">
      <c r="B32" s="603" t="s">
        <v>2420</v>
      </c>
      <c r="C32" s="603"/>
      <c r="AC32" s="496"/>
      <c r="AD32" s="496"/>
      <c r="AE32" s="496"/>
      <c r="AF32" s="496"/>
      <c r="AG32" s="496"/>
      <c r="AH32" s="496"/>
      <c r="AI32" s="496"/>
      <c r="AJ32" s="496"/>
    </row>
    <row r="33" spans="1:36">
      <c r="B33" s="146"/>
      <c r="C33" s="146"/>
      <c r="AC33" s="496"/>
      <c r="AD33" s="496"/>
      <c r="AE33" s="496"/>
      <c r="AF33" s="496"/>
      <c r="AG33" s="496"/>
      <c r="AH33" s="496"/>
      <c r="AI33" s="496"/>
      <c r="AJ33" s="496"/>
    </row>
    <row r="34" spans="1:36">
      <c r="B34" s="25"/>
      <c r="C34" s="148" t="s">
        <v>2421</v>
      </c>
    </row>
    <row r="35" spans="1:36">
      <c r="B35" s="146"/>
      <c r="C35" s="147"/>
    </row>
    <row r="36" spans="1:36">
      <c r="B36" s="149"/>
      <c r="C36" s="148" t="s">
        <v>2422</v>
      </c>
    </row>
    <row r="37" spans="1:36">
      <c r="B37" s="150"/>
      <c r="C37" s="148"/>
    </row>
    <row r="38" spans="1:36" ht="15" thickBot="1"/>
    <row r="39" spans="1:36" ht="15" thickBot="1">
      <c r="B39" s="1433" t="s">
        <v>12572</v>
      </c>
      <c r="C39" s="152"/>
      <c r="D39" s="153"/>
      <c r="E39" s="153"/>
      <c r="F39" s="153"/>
      <c r="G39" s="153"/>
      <c r="H39" s="153"/>
      <c r="I39" s="259"/>
    </row>
    <row r="40" spans="1:36"/>
    <row r="41" spans="1:36" ht="15" hidden="1" thickBot="1">
      <c r="A41" s="1696"/>
      <c r="B41" s="151" t="str">
        <f ca="1" xml:space="preserve"> RIGHT(CELL("filename", $A$1), LEN(CELL("filename", $A$1)) - SEARCH("]", CELL("filename", $A$1)))&amp;" - Column definitions"</f>
        <v>3C - Column definitions</v>
      </c>
      <c r="C41" s="152"/>
      <c r="D41" s="153"/>
      <c r="E41" s="153"/>
      <c r="F41" s="153"/>
      <c r="G41" s="153"/>
      <c r="H41" s="153"/>
      <c r="I41" s="259"/>
    </row>
    <row r="42" spans="1:36" ht="15" hidden="1" thickBot="1">
      <c r="A42" s="1696"/>
      <c r="B42" s="75"/>
      <c r="C42" s="160"/>
      <c r="D42" s="75"/>
      <c r="E42" s="75"/>
      <c r="F42" s="75"/>
    </row>
    <row r="43" spans="1:36" ht="15" hidden="1" thickBot="1">
      <c r="A43" s="1696"/>
      <c r="B43" s="610" t="s">
        <v>3631</v>
      </c>
      <c r="C43" s="3332" t="s">
        <v>2424</v>
      </c>
      <c r="D43" s="3333"/>
      <c r="E43" s="3333"/>
      <c r="F43" s="3333"/>
      <c r="G43" s="3333"/>
      <c r="H43" s="3333"/>
      <c r="I43" s="3334"/>
      <c r="O43" s="90"/>
      <c r="P43" s="90" t="s">
        <v>2425</v>
      </c>
    </row>
    <row r="44" spans="1:36" ht="16.5" hidden="1" customHeight="1">
      <c r="A44" s="1696"/>
      <c r="B44" s="611" t="s">
        <v>6663</v>
      </c>
      <c r="C44" s="3335" t="s">
        <v>3872</v>
      </c>
      <c r="D44" s="3336"/>
      <c r="E44" s="3336"/>
      <c r="F44" s="3336"/>
      <c r="G44" s="3336"/>
      <c r="H44" s="3336"/>
      <c r="I44" s="3337"/>
      <c r="O44" s="676"/>
      <c r="P44" s="676">
        <v>1</v>
      </c>
    </row>
    <row r="45" spans="1:36" ht="16.5" hidden="1" customHeight="1">
      <c r="A45" s="1696"/>
      <c r="B45" s="611" t="s">
        <v>6664</v>
      </c>
      <c r="C45" s="3330" t="s">
        <v>3873</v>
      </c>
      <c r="D45" s="3338"/>
      <c r="E45" s="3338"/>
      <c r="F45" s="3338"/>
      <c r="G45" s="3338"/>
      <c r="H45" s="3338"/>
      <c r="I45" s="3339"/>
      <c r="O45" s="676"/>
      <c r="P45" s="676">
        <v>1</v>
      </c>
    </row>
    <row r="46" spans="1:36" ht="93" hidden="1" customHeight="1">
      <c r="A46" s="1696"/>
      <c r="B46" s="611" t="s">
        <v>6665</v>
      </c>
      <c r="C46" s="3335" t="s">
        <v>13507</v>
      </c>
      <c r="D46" s="3336"/>
      <c r="E46" s="3336"/>
      <c r="F46" s="3336"/>
      <c r="G46" s="3336"/>
      <c r="H46" s="3336"/>
      <c r="I46" s="3337"/>
      <c r="N46" s="600"/>
      <c r="O46" s="676"/>
      <c r="P46" s="676" t="s">
        <v>2426</v>
      </c>
    </row>
    <row r="47" spans="1:36" ht="27" hidden="1" customHeight="1">
      <c r="A47" s="1696"/>
      <c r="B47" s="612" t="s">
        <v>6666</v>
      </c>
      <c r="C47" s="3330" t="s">
        <v>13508</v>
      </c>
      <c r="D47" s="3269"/>
      <c r="E47" s="3269"/>
      <c r="F47" s="3269"/>
      <c r="G47" s="3269"/>
      <c r="H47" s="3269"/>
      <c r="I47" s="3270"/>
      <c r="N47" s="600"/>
      <c r="O47" s="676"/>
      <c r="P47" s="676" t="s">
        <v>2428</v>
      </c>
    </row>
    <row r="48" spans="1:36" ht="56.65" hidden="1" customHeight="1">
      <c r="A48" s="1696"/>
      <c r="B48" s="612" t="s">
        <v>6667</v>
      </c>
      <c r="C48" s="3330" t="s">
        <v>13509</v>
      </c>
      <c r="D48" s="3269"/>
      <c r="E48" s="3269"/>
      <c r="F48" s="3269"/>
      <c r="G48" s="3269"/>
      <c r="H48" s="3269"/>
      <c r="I48" s="3270"/>
      <c r="O48" s="677"/>
      <c r="P48" s="677">
        <v>1</v>
      </c>
    </row>
    <row r="49" spans="1:16" ht="69" hidden="1" customHeight="1">
      <c r="A49" s="1696"/>
      <c r="B49" s="612" t="s">
        <v>6668</v>
      </c>
      <c r="C49" s="3330" t="s">
        <v>13510</v>
      </c>
      <c r="D49" s="3269"/>
      <c r="E49" s="3269"/>
      <c r="F49" s="3269"/>
      <c r="G49" s="3269"/>
      <c r="H49" s="3269"/>
      <c r="I49" s="3270"/>
      <c r="O49" s="676"/>
      <c r="P49" s="676">
        <v>1</v>
      </c>
    </row>
    <row r="50" spans="1:16" ht="41.25" hidden="1" customHeight="1" thickBot="1">
      <c r="A50" s="1696"/>
      <c r="B50" s="613" t="s">
        <v>6669</v>
      </c>
      <c r="C50" s="3331" t="s">
        <v>3874</v>
      </c>
      <c r="D50" s="3275"/>
      <c r="E50" s="3275"/>
      <c r="F50" s="3275"/>
      <c r="G50" s="3275"/>
      <c r="H50" s="3275"/>
      <c r="I50" s="3276"/>
      <c r="N50" s="600"/>
      <c r="O50" s="676"/>
      <c r="P50" s="676" t="s">
        <v>2426</v>
      </c>
    </row>
    <row r="51" spans="1:16" hidden="1">
      <c r="A51" s="1696"/>
    </row>
  </sheetData>
  <mergeCells count="8">
    <mergeCell ref="C49:I49"/>
    <mergeCell ref="C50:I50"/>
    <mergeCell ref="C43:I43"/>
    <mergeCell ref="C46:I46"/>
    <mergeCell ref="C47:I47"/>
    <mergeCell ref="C48:I48"/>
    <mergeCell ref="C44:I44"/>
    <mergeCell ref="C45:I45"/>
  </mergeCells>
  <conditionalFormatting sqref="L5:L29">
    <cfRule type="cellIs" dxfId="1890" priority="2" operator="equal">
      <formula>0</formula>
    </cfRule>
  </conditionalFormatting>
  <conditionalFormatting sqref="K5:K29">
    <cfRule type="cellIs" dxfId="188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8.xml><?xml version="1.0" encoding="utf-8"?>
<worksheet xmlns="http://schemas.openxmlformats.org/spreadsheetml/2006/main" xmlns:r="http://schemas.openxmlformats.org/officeDocument/2006/relationships">
  <sheetPr codeName="Sheet24">
    <tabColor rgb="FF00B0F0"/>
    <pageSetUpPr fitToPage="1"/>
  </sheetPr>
  <dimension ref="A1:XFC37"/>
  <sheetViews>
    <sheetView workbookViewId="0"/>
  </sheetViews>
  <sheetFormatPr defaultColWidth="0" defaultRowHeight="14.25" zeroHeight="1"/>
  <cols>
    <col min="1" max="1" width="0.625" customWidth="1"/>
    <col min="2" max="2" width="5" customWidth="1"/>
    <col min="3" max="3" width="34.625" customWidth="1"/>
    <col min="4" max="5" width="5.125" customWidth="1"/>
    <col min="6" max="6" width="11.125" customWidth="1"/>
    <col min="7" max="7" width="3" customWidth="1"/>
    <col min="8" max="8" width="27.375" customWidth="1"/>
    <col min="9" max="9" width="24" customWidth="1"/>
    <col min="10" max="10" width="1.625" customWidth="1"/>
    <col min="11" max="11" width="1.625" style="586" hidden="1" customWidth="1"/>
    <col min="12" max="12" width="14.625" hidden="1" customWidth="1"/>
    <col min="13" max="13" width="1.625" style="586" hidden="1" customWidth="1"/>
    <col min="14" max="16" width="21.5" hidden="1" customWidth="1"/>
    <col min="17" max="17" width="1.625" style="586" hidden="1" customWidth="1"/>
    <col min="18" max="25" width="9" hidden="1" customWidth="1"/>
    <col min="26" max="26" width="9" customWidth="1"/>
    <col min="27" max="27" width="5" customWidth="1"/>
    <col min="28" max="28" width="34.625" customWidth="1"/>
    <col min="29" max="30" width="5.125" customWidth="1"/>
    <col min="31" max="31" width="14" customWidth="1"/>
    <col min="32" max="32" width="0.625" customWidth="1"/>
    <col min="33" max="16383" width="9" hidden="1"/>
    <col min="16384" max="16384" width="0.375" customWidth="1"/>
  </cols>
  <sheetData>
    <row r="1" spans="2:31" ht="18.75">
      <c r="B1" s="67" t="s">
        <v>3593</v>
      </c>
      <c r="C1" s="67"/>
      <c r="D1" s="68" t="str">
        <f>Validation!B3</f>
        <v>South West Water – South West area</v>
      </c>
      <c r="E1" s="67"/>
      <c r="F1" s="67"/>
      <c r="G1" s="67"/>
      <c r="H1" s="70"/>
      <c r="I1" s="70" t="s">
        <v>2394</v>
      </c>
      <c r="AA1" s="67" t="s">
        <v>6671</v>
      </c>
      <c r="AB1" s="67"/>
      <c r="AC1" s="68"/>
      <c r="AD1" s="67"/>
      <c r="AE1" s="67"/>
    </row>
    <row r="2" spans="2:31">
      <c r="B2" s="74" t="s">
        <v>12524</v>
      </c>
      <c r="L2" s="588" t="s">
        <v>2404</v>
      </c>
      <c r="M2" s="589"/>
      <c r="N2" s="590" t="s">
        <v>3588</v>
      </c>
      <c r="O2" s="590"/>
      <c r="P2" s="591"/>
      <c r="Q2" s="589"/>
      <c r="R2" s="591"/>
      <c r="S2" s="591"/>
      <c r="AA2" s="74" t="str">
        <f>+B2</f>
        <v>For the 12 months ended 31 March 2019</v>
      </c>
      <c r="AB2" s="496"/>
      <c r="AC2" s="496"/>
      <c r="AD2" s="496"/>
      <c r="AE2" s="496"/>
    </row>
    <row r="3" spans="2:31" ht="15" thickBot="1">
      <c r="L3" s="171" t="s">
        <v>3587</v>
      </c>
      <c r="M3" s="589"/>
      <c r="N3" s="591" t="s">
        <v>3589</v>
      </c>
      <c r="O3" s="591" t="s">
        <v>3738</v>
      </c>
      <c r="P3" s="591" t="s">
        <v>3592</v>
      </c>
      <c r="Q3" s="589"/>
      <c r="R3" s="591"/>
      <c r="S3" s="591"/>
      <c r="AA3" s="496"/>
      <c r="AB3" s="496"/>
      <c r="AC3" s="496"/>
      <c r="AD3" s="496"/>
      <c r="AE3" s="496"/>
    </row>
    <row r="4" spans="2:31" s="584" customFormat="1" ht="15" thickBot="1">
      <c r="B4" s="3298" t="s">
        <v>2395</v>
      </c>
      <c r="C4" s="3299"/>
      <c r="D4" s="391" t="s">
        <v>2396</v>
      </c>
      <c r="E4" s="307" t="s">
        <v>2397</v>
      </c>
      <c r="F4" s="392" t="s">
        <v>3578</v>
      </c>
      <c r="G4" s="585"/>
      <c r="H4" s="269" t="s">
        <v>3586</v>
      </c>
      <c r="I4" s="392" t="s">
        <v>1361</v>
      </c>
      <c r="K4" s="587"/>
      <c r="L4" s="592"/>
      <c r="M4" s="593"/>
      <c r="N4" s="594"/>
      <c r="O4" s="594"/>
      <c r="P4" s="594"/>
      <c r="Q4" s="593"/>
      <c r="R4" s="594"/>
      <c r="S4" s="594"/>
      <c r="AA4" s="3298" t="s">
        <v>2395</v>
      </c>
      <c r="AB4" s="3299"/>
      <c r="AC4" s="391" t="s">
        <v>2396</v>
      </c>
      <c r="AD4" s="307" t="s">
        <v>2397</v>
      </c>
      <c r="AE4" s="392" t="s">
        <v>3578</v>
      </c>
    </row>
    <row r="5" spans="2:31" ht="15" thickBot="1">
      <c r="L5" s="591"/>
      <c r="M5" s="595"/>
      <c r="N5" s="591"/>
      <c r="O5" s="591"/>
      <c r="P5" s="591"/>
      <c r="Q5" s="595"/>
      <c r="R5" s="591"/>
      <c r="S5" s="591"/>
      <c r="AA5" s="496"/>
      <c r="AB5" s="496"/>
      <c r="AC5" s="496"/>
      <c r="AD5" s="496"/>
      <c r="AE5" s="496"/>
    </row>
    <row r="6" spans="2:31" ht="15" thickBot="1">
      <c r="B6" s="601" t="s">
        <v>2449</v>
      </c>
      <c r="C6" s="577" t="s">
        <v>3585</v>
      </c>
      <c r="L6" s="596"/>
      <c r="M6" s="595"/>
      <c r="N6" s="597" t="s">
        <v>3590</v>
      </c>
      <c r="O6" s="597" t="s">
        <v>3739</v>
      </c>
      <c r="P6" s="596" t="s">
        <v>3591</v>
      </c>
      <c r="Q6" s="595"/>
      <c r="R6" s="591"/>
      <c r="S6" s="591"/>
      <c r="AA6" s="601" t="s">
        <v>2449</v>
      </c>
      <c r="AB6" s="577" t="s">
        <v>3585</v>
      </c>
      <c r="AC6" s="496"/>
      <c r="AD6" s="496"/>
      <c r="AE6" s="496"/>
    </row>
    <row r="7" spans="2:31" ht="15" thickBot="1">
      <c r="B7" s="298" t="s">
        <v>5171</v>
      </c>
      <c r="C7" s="1675" t="s">
        <v>3581</v>
      </c>
      <c r="D7" s="1677" t="s">
        <v>48</v>
      </c>
      <c r="E7" s="1858">
        <v>2</v>
      </c>
      <c r="F7" s="1860">
        <f>'[1]3D'!G7</f>
        <v>4.49</v>
      </c>
      <c r="H7" s="1679">
        <f>IF(SUM(N7&gt;0),$N$3,0)</f>
        <v>0</v>
      </c>
      <c r="I7" s="1679">
        <f>IF(L7&gt;0, $L$3, 0)</f>
        <v>0</v>
      </c>
      <c r="L7" s="598">
        <f>IF(ISBLANK(F7), 1, 0)</f>
        <v>0</v>
      </c>
      <c r="M7" s="595"/>
      <c r="N7" s="599">
        <f>IF(AND(F7&gt;=1, F7&lt;=5), 0, 1)</f>
        <v>0</v>
      </c>
      <c r="O7" s="763"/>
      <c r="P7" s="596"/>
      <c r="Q7" s="595"/>
      <c r="R7" s="591"/>
      <c r="S7" s="591"/>
      <c r="AA7" s="298" t="s">
        <v>5171</v>
      </c>
      <c r="AB7" s="2854" t="s">
        <v>3581</v>
      </c>
      <c r="AC7" s="2855" t="s">
        <v>48</v>
      </c>
      <c r="AD7" s="2856">
        <v>2</v>
      </c>
      <c r="AE7" s="2857" t="s">
        <v>10191</v>
      </c>
    </row>
    <row r="8" spans="2:31" ht="15" thickBot="1">
      <c r="B8" s="299" t="s">
        <v>5172</v>
      </c>
      <c r="C8" s="1676" t="s">
        <v>3582</v>
      </c>
      <c r="D8" s="1678" t="s">
        <v>48</v>
      </c>
      <c r="E8" s="1859">
        <v>2</v>
      </c>
      <c r="F8" s="1860">
        <f>'[1]3D'!G8</f>
        <v>4.53</v>
      </c>
      <c r="H8" s="1679">
        <f t="shared" ref="H8:H9" si="0">IF(SUM(N8&gt;0),$N$3,0)</f>
        <v>0</v>
      </c>
      <c r="I8" s="1679">
        <f t="shared" ref="I8:I10" si="1">IF(L8&gt;0, $L$3, 0)</f>
        <v>0</v>
      </c>
      <c r="L8" s="598">
        <f t="shared" ref="L8:L10" si="2">IF(ISBLANK(F8), 1, 0)</f>
        <v>0</v>
      </c>
      <c r="M8" s="595"/>
      <c r="N8" s="599">
        <f t="shared" ref="N8:N10" si="3">IF(AND(F8&gt;=1, F8&lt;=5), 0, 1)</f>
        <v>0</v>
      </c>
      <c r="O8" s="763"/>
      <c r="P8" s="596"/>
      <c r="Q8" s="595"/>
      <c r="R8" s="591"/>
      <c r="S8" s="591"/>
      <c r="AA8" s="299" t="s">
        <v>5172</v>
      </c>
      <c r="AB8" s="2858" t="s">
        <v>3582</v>
      </c>
      <c r="AC8" s="2859" t="s">
        <v>48</v>
      </c>
      <c r="AD8" s="2860">
        <v>2</v>
      </c>
      <c r="AE8" s="2861" t="s">
        <v>10192</v>
      </c>
    </row>
    <row r="9" spans="2:31" ht="15" thickBot="1">
      <c r="B9" s="299" t="s">
        <v>5173</v>
      </c>
      <c r="C9" s="1676" t="s">
        <v>3583</v>
      </c>
      <c r="D9" s="1678" t="s">
        <v>48</v>
      </c>
      <c r="E9" s="1859">
        <v>2</v>
      </c>
      <c r="F9" s="1860">
        <f>'[1]3D'!G9</f>
        <v>4.67</v>
      </c>
      <c r="H9" s="1679">
        <f t="shared" si="0"/>
        <v>0</v>
      </c>
      <c r="I9" s="1679">
        <f t="shared" si="1"/>
        <v>0</v>
      </c>
      <c r="L9" s="598">
        <f t="shared" si="2"/>
        <v>0</v>
      </c>
      <c r="M9" s="595"/>
      <c r="N9" s="599">
        <f t="shared" si="3"/>
        <v>0</v>
      </c>
      <c r="O9" s="763"/>
      <c r="P9" s="596"/>
      <c r="Q9" s="595"/>
      <c r="R9" s="591"/>
      <c r="S9" s="591"/>
      <c r="AA9" s="299" t="s">
        <v>5173</v>
      </c>
      <c r="AB9" s="2858" t="s">
        <v>3583</v>
      </c>
      <c r="AC9" s="2859" t="s">
        <v>48</v>
      </c>
      <c r="AD9" s="2860">
        <v>2</v>
      </c>
      <c r="AE9" s="2861" t="s">
        <v>10193</v>
      </c>
    </row>
    <row r="10" spans="2:31" ht="15" thickBot="1">
      <c r="B10" s="299" t="s">
        <v>5175</v>
      </c>
      <c r="C10" s="1676" t="s">
        <v>3584</v>
      </c>
      <c r="D10" s="1678" t="s">
        <v>48</v>
      </c>
      <c r="E10" s="1859">
        <v>2</v>
      </c>
      <c r="F10" s="1860">
        <f>'[1]3D'!G10</f>
        <v>4.57</v>
      </c>
      <c r="H10" s="1679">
        <f>IF(SUM(N10&gt;0),$N$3,0)</f>
        <v>0</v>
      </c>
      <c r="I10" s="1679">
        <f t="shared" si="1"/>
        <v>0</v>
      </c>
      <c r="L10" s="598">
        <f t="shared" si="2"/>
        <v>0</v>
      </c>
      <c r="M10" s="595"/>
      <c r="N10" s="599">
        <f t="shared" si="3"/>
        <v>0</v>
      </c>
      <c r="O10" s="763"/>
      <c r="P10" s="596"/>
      <c r="Q10" s="595"/>
      <c r="R10" s="591"/>
      <c r="S10" s="591"/>
      <c r="AA10" s="299" t="s">
        <v>5175</v>
      </c>
      <c r="AB10" s="2858" t="s">
        <v>3584</v>
      </c>
      <c r="AC10" s="2859" t="s">
        <v>48</v>
      </c>
      <c r="AD10" s="2860">
        <v>2</v>
      </c>
      <c r="AE10" s="2861" t="s">
        <v>10194</v>
      </c>
    </row>
    <row r="11" spans="2:31" ht="15" thickBot="1">
      <c r="B11" s="2357" t="s">
        <v>5174</v>
      </c>
      <c r="C11" s="1676" t="s">
        <v>3579</v>
      </c>
      <c r="D11" s="1678" t="s">
        <v>48</v>
      </c>
      <c r="E11" s="1859">
        <v>2</v>
      </c>
      <c r="F11" s="1860">
        <f>'[1]3D'!G11</f>
        <v>66.75</v>
      </c>
      <c r="H11" s="1679">
        <f>IF(SUM(O11&gt;0),$O$3,0)</f>
        <v>0</v>
      </c>
      <c r="I11" s="1679">
        <f>IF(L11&gt;0, $L$3, 0)</f>
        <v>0</v>
      </c>
      <c r="L11" s="598">
        <f t="shared" ref="L11" si="4">IF(ISBLANK(F11), 1, 0)</f>
        <v>0</v>
      </c>
      <c r="M11" s="595"/>
      <c r="N11" s="597"/>
      <c r="O11" s="599">
        <f>IF(AND(F11&gt;=1, F11&lt;=75), 0, 1)</f>
        <v>0</v>
      </c>
      <c r="P11" s="596"/>
      <c r="Q11" s="595"/>
      <c r="R11" s="591"/>
      <c r="S11" s="591"/>
      <c r="AA11" s="300" t="s">
        <v>5174</v>
      </c>
      <c r="AB11" s="2862" t="s">
        <v>3579</v>
      </c>
      <c r="AC11" s="2863" t="s">
        <v>48</v>
      </c>
      <c r="AD11" s="2864">
        <v>2</v>
      </c>
      <c r="AE11" s="2865" t="s">
        <v>10195</v>
      </c>
    </row>
    <row r="12" spans="2:31">
      <c r="B12" s="2349" t="s">
        <v>5177</v>
      </c>
      <c r="C12" s="2436" t="s">
        <v>3864</v>
      </c>
      <c r="D12" s="2350" t="s">
        <v>48</v>
      </c>
      <c r="E12" s="2351">
        <v>2</v>
      </c>
      <c r="F12" s="2352">
        <f>'[1]3D'!$G$14</f>
        <v>82.66</v>
      </c>
      <c r="H12" s="1679">
        <f>IF(SUM(P12)&gt;0, P3, 0)</f>
        <v>0</v>
      </c>
      <c r="I12" s="1679">
        <f t="shared" ref="I12" si="5">IF(L12&gt;0, $L$3, 0)</f>
        <v>0</v>
      </c>
      <c r="L12" s="598">
        <f t="shared" ref="L12" si="6">IF(ISBLANK(F12), 1, 0)</f>
        <v>0</v>
      </c>
      <c r="M12" s="595"/>
      <c r="N12" s="597"/>
      <c r="O12" s="597"/>
      <c r="P12" s="598">
        <f>IF(ISNUMBER(F12), IF(F12&gt;0, 0, 1), 1)</f>
        <v>0</v>
      </c>
      <c r="Q12" s="595"/>
      <c r="R12" s="591"/>
      <c r="S12" s="591"/>
      <c r="AA12" s="578" t="s">
        <v>5177</v>
      </c>
      <c r="AB12" s="2866" t="s">
        <v>3864</v>
      </c>
      <c r="AC12" s="2855" t="s">
        <v>48</v>
      </c>
      <c r="AD12" s="2856">
        <v>2</v>
      </c>
      <c r="AE12" s="2857" t="s">
        <v>10196</v>
      </c>
    </row>
    <row r="13" spans="2:31" ht="15" thickBot="1">
      <c r="B13" s="2357" t="s">
        <v>5176</v>
      </c>
      <c r="C13" s="1676" t="s">
        <v>3594</v>
      </c>
      <c r="D13" s="1678" t="s">
        <v>48</v>
      </c>
      <c r="E13" s="1859">
        <v>2</v>
      </c>
      <c r="F13" s="2358">
        <f>IF(F12&gt;500, 0, (1-((F12-0)/(500-0)))*25)</f>
        <v>20.867000000000001</v>
      </c>
      <c r="H13" s="591"/>
      <c r="I13" s="591"/>
      <c r="L13" s="591"/>
      <c r="M13" s="595"/>
      <c r="N13" s="591"/>
      <c r="O13" s="591"/>
      <c r="P13" s="591"/>
      <c r="Q13" s="595"/>
      <c r="R13" s="591"/>
      <c r="S13" s="591"/>
      <c r="AA13" s="579" t="s">
        <v>5176</v>
      </c>
      <c r="AB13" s="2867" t="s">
        <v>3594</v>
      </c>
      <c r="AC13" s="2863" t="s">
        <v>48</v>
      </c>
      <c r="AD13" s="2864">
        <v>2</v>
      </c>
      <c r="AE13" s="602" t="s">
        <v>10197</v>
      </c>
    </row>
    <row r="14" spans="2:31" ht="15" thickBot="1">
      <c r="B14" s="2435" t="s">
        <v>5178</v>
      </c>
      <c r="C14" s="2353" t="s">
        <v>3580</v>
      </c>
      <c r="D14" s="2354" t="s">
        <v>48</v>
      </c>
      <c r="E14" s="2355">
        <v>2</v>
      </c>
      <c r="F14" s="2356">
        <f>F13+F11</f>
        <v>87.617000000000004</v>
      </c>
      <c r="H14" s="591"/>
      <c r="I14" s="591"/>
      <c r="AA14" s="352" t="s">
        <v>5178</v>
      </c>
      <c r="AB14" s="2868" t="s">
        <v>3580</v>
      </c>
      <c r="AC14" s="2869" t="s">
        <v>48</v>
      </c>
      <c r="AD14" s="2870">
        <v>2</v>
      </c>
      <c r="AE14" s="907" t="s">
        <v>10198</v>
      </c>
    </row>
    <row r="15" spans="2:31">
      <c r="AA15" s="496"/>
      <c r="AB15" s="496"/>
      <c r="AC15" s="496"/>
      <c r="AD15" s="496"/>
      <c r="AE15" s="496"/>
    </row>
    <row r="16" spans="2:31">
      <c r="B16" s="566" t="s">
        <v>2420</v>
      </c>
      <c r="C16" s="566"/>
      <c r="AA16" s="496"/>
      <c r="AB16" s="496"/>
      <c r="AC16" s="496"/>
      <c r="AD16" s="496"/>
      <c r="AE16" s="496"/>
    </row>
    <row r="17" spans="1:12">
      <c r="B17" s="146"/>
      <c r="C17" s="146"/>
    </row>
    <row r="18" spans="1:12">
      <c r="B18" s="25"/>
      <c r="C18" s="148" t="s">
        <v>2421</v>
      </c>
    </row>
    <row r="19" spans="1:12">
      <c r="B19" s="146"/>
      <c r="C19" s="147"/>
    </row>
    <row r="20" spans="1:12">
      <c r="B20" s="149"/>
      <c r="C20" s="148" t="s">
        <v>2422</v>
      </c>
    </row>
    <row r="21" spans="1:12">
      <c r="B21" s="150"/>
      <c r="C21" s="148"/>
    </row>
    <row r="22" spans="1:12" ht="15" thickBot="1"/>
    <row r="23" spans="1:12" ht="41.25" customHeight="1" thickBot="1">
      <c r="B23" s="3340" t="s">
        <v>12572</v>
      </c>
      <c r="C23" s="3341"/>
      <c r="D23" s="3341"/>
      <c r="E23" s="3341"/>
      <c r="F23" s="3342"/>
      <c r="L23" s="1382" t="s">
        <v>2426</v>
      </c>
    </row>
    <row r="24" spans="1:12"/>
    <row r="25" spans="1:12" ht="15" hidden="1" thickBot="1">
      <c r="A25" s="1696"/>
      <c r="B25" s="151" t="str">
        <f ca="1" xml:space="preserve"> RIGHT(CELL("filename", $A$1), LEN(CELL("filename", $A$1)) - SEARCH("]", CELL("filename", $A$1)))&amp;" - Line definitions"</f>
        <v>3D - SWT - Line definitions</v>
      </c>
      <c r="C25" s="152"/>
      <c r="D25" s="153"/>
      <c r="E25" s="153"/>
      <c r="F25" s="259"/>
    </row>
    <row r="26" spans="1:12" ht="15" hidden="1" thickBot="1">
      <c r="A26" s="1696"/>
      <c r="B26" s="75"/>
      <c r="C26" s="160"/>
      <c r="D26" s="75"/>
      <c r="E26" s="75"/>
      <c r="F26" s="75"/>
    </row>
    <row r="27" spans="1:12" ht="15" hidden="1" thickBot="1">
      <c r="A27" s="1696"/>
      <c r="B27" s="567" t="s">
        <v>2423</v>
      </c>
      <c r="C27" s="583" t="s">
        <v>2424</v>
      </c>
      <c r="D27" s="335"/>
      <c r="E27" s="335"/>
      <c r="F27" s="580"/>
      <c r="L27" s="90" t="s">
        <v>2425</v>
      </c>
    </row>
    <row r="28" spans="1:12" ht="13.5" hidden="1" customHeight="1">
      <c r="A28" s="1696"/>
      <c r="B28" s="581" t="s">
        <v>5171</v>
      </c>
      <c r="C28" s="3271" t="s">
        <v>3865</v>
      </c>
      <c r="D28" s="3272"/>
      <c r="E28" s="3272"/>
      <c r="F28" s="3273"/>
      <c r="L28" s="679">
        <v>1</v>
      </c>
    </row>
    <row r="29" spans="1:12" ht="13.5" hidden="1" customHeight="1">
      <c r="A29" s="1696"/>
      <c r="B29" s="581" t="s">
        <v>5172</v>
      </c>
      <c r="C29" s="3268" t="s">
        <v>3866</v>
      </c>
      <c r="D29" s="3269"/>
      <c r="E29" s="3269"/>
      <c r="F29" s="3270"/>
      <c r="L29" s="679">
        <v>1</v>
      </c>
    </row>
    <row r="30" spans="1:12" ht="13.5" hidden="1" customHeight="1">
      <c r="A30" s="1696"/>
      <c r="B30" s="581" t="s">
        <v>5173</v>
      </c>
      <c r="C30" s="3268" t="s">
        <v>3867</v>
      </c>
      <c r="D30" s="3269"/>
      <c r="E30" s="3269"/>
      <c r="F30" s="3270"/>
      <c r="L30" s="679">
        <v>1</v>
      </c>
    </row>
    <row r="31" spans="1:12" ht="14.25" hidden="1" customHeight="1">
      <c r="A31" s="1696"/>
      <c r="B31" s="581" t="s">
        <v>5175</v>
      </c>
      <c r="C31" s="3268" t="s">
        <v>3868</v>
      </c>
      <c r="D31" s="3269"/>
      <c r="E31" s="3269"/>
      <c r="F31" s="3270"/>
      <c r="L31" s="678">
        <v>1</v>
      </c>
    </row>
    <row r="32" spans="1:12" ht="108" hidden="1" customHeight="1">
      <c r="A32" s="1696"/>
      <c r="B32" s="581" t="s">
        <v>5174</v>
      </c>
      <c r="C32" s="3343" t="s">
        <v>4042</v>
      </c>
      <c r="D32" s="3344"/>
      <c r="E32" s="3344"/>
      <c r="F32" s="3345"/>
      <c r="K32" s="600"/>
      <c r="L32" s="832" t="s">
        <v>3344</v>
      </c>
    </row>
    <row r="33" spans="1:12" ht="59.25" hidden="1" customHeight="1">
      <c r="A33" s="1696"/>
      <c r="B33" s="581" t="s">
        <v>5177</v>
      </c>
      <c r="C33" s="3343" t="s">
        <v>3869</v>
      </c>
      <c r="D33" s="3344"/>
      <c r="E33" s="3344"/>
      <c r="F33" s="3345"/>
      <c r="K33" s="600"/>
      <c r="L33" s="674" t="s">
        <v>2432</v>
      </c>
    </row>
    <row r="34" spans="1:12" ht="90.75" hidden="1" customHeight="1">
      <c r="A34" s="1696"/>
      <c r="B34" s="581" t="s">
        <v>5176</v>
      </c>
      <c r="C34" s="3343" t="s">
        <v>3871</v>
      </c>
      <c r="D34" s="3344"/>
      <c r="E34" s="3344"/>
      <c r="F34" s="3345"/>
      <c r="K34" s="600"/>
      <c r="L34" s="832" t="s">
        <v>2573</v>
      </c>
    </row>
    <row r="35" spans="1:12" ht="27.75" hidden="1" customHeight="1" thickBot="1">
      <c r="A35" s="1696"/>
      <c r="B35" s="582" t="s">
        <v>5178</v>
      </c>
      <c r="C35" s="3346" t="s">
        <v>3870</v>
      </c>
      <c r="D35" s="3347"/>
      <c r="E35" s="3347"/>
      <c r="F35" s="3348"/>
      <c r="L35" s="833" t="s">
        <v>2428</v>
      </c>
    </row>
    <row r="36" spans="1:12" hidden="1">
      <c r="A36" s="1696"/>
      <c r="L36" s="675"/>
    </row>
    <row r="37" spans="1:12" hidden="1">
      <c r="A37" s="1696"/>
    </row>
  </sheetData>
  <mergeCells count="11">
    <mergeCell ref="C35:F35"/>
    <mergeCell ref="C28:F28"/>
    <mergeCell ref="C29:F29"/>
    <mergeCell ref="C30:F30"/>
    <mergeCell ref="C31:F31"/>
    <mergeCell ref="C32:F32"/>
    <mergeCell ref="AA4:AB4"/>
    <mergeCell ref="B4:C4"/>
    <mergeCell ref="B23:F23"/>
    <mergeCell ref="C33:F33"/>
    <mergeCell ref="C34:F34"/>
  </mergeCells>
  <conditionalFormatting sqref="I7:I10 I12">
    <cfRule type="cellIs" dxfId="1888" priority="6" operator="equal">
      <formula>0</formula>
    </cfRule>
  </conditionalFormatting>
  <conditionalFormatting sqref="H12">
    <cfRule type="cellIs" dxfId="1887" priority="4" operator="equal">
      <formula>0</formula>
    </cfRule>
  </conditionalFormatting>
  <conditionalFormatting sqref="H7:H10">
    <cfRule type="cellIs" dxfId="1886" priority="5" operator="equal">
      <formula>0</formula>
    </cfRule>
  </conditionalFormatting>
  <conditionalFormatting sqref="I11">
    <cfRule type="cellIs" dxfId="1885" priority="3" operator="equal">
      <formula>0</formula>
    </cfRule>
  </conditionalFormatting>
  <conditionalFormatting sqref="H11">
    <cfRule type="cellIs" dxfId="188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9.xml><?xml version="1.0" encoding="utf-8"?>
<worksheet xmlns="http://schemas.openxmlformats.org/spreadsheetml/2006/main" xmlns:r="http://schemas.openxmlformats.org/officeDocument/2006/relationships">
  <sheetPr codeName="Sheet61">
    <tabColor rgb="FF00B0F0"/>
    <pageSetUpPr fitToPage="1"/>
  </sheetPr>
  <dimension ref="A1:XC177"/>
  <sheetViews>
    <sheetView zoomScale="80" zoomScaleNormal="80" workbookViewId="0"/>
  </sheetViews>
  <sheetFormatPr defaultColWidth="0" defaultRowHeight="14.25" customHeight="1" zeroHeight="1"/>
  <cols>
    <col min="1" max="1" width="1.125" style="496" customWidth="1"/>
    <col min="2" max="2" width="6.5" style="496" customWidth="1"/>
    <col min="3" max="3" width="68.75" style="496" customWidth="1"/>
    <col min="4" max="4" width="17.125" style="496" customWidth="1"/>
    <col min="5" max="313" width="8.625" style="496" customWidth="1"/>
    <col min="314" max="314" width="1.625" style="496" customWidth="1"/>
    <col min="315" max="315" width="30.125" style="496" customWidth="1"/>
    <col min="316" max="316" width="2.125" style="496" customWidth="1"/>
    <col min="317" max="317" width="1.125" style="586" hidden="1" customWidth="1"/>
    <col min="318" max="318" width="25.625" style="496" hidden="1" customWidth="1"/>
    <col min="319" max="626" width="8.625" style="496" hidden="1" customWidth="1"/>
    <col min="627" max="627" width="1.5" style="586" hidden="1" customWidth="1"/>
    <col min="628" max="16384" width="8.625" style="496" hidden="1"/>
  </cols>
  <sheetData>
    <row r="1" spans="1:627" ht="7.5" customHeight="1">
      <c r="A1" s="496" t="s">
        <v>13494</v>
      </c>
    </row>
    <row r="2" spans="1:627" ht="18.75">
      <c r="A2" s="1908"/>
      <c r="B2" s="1909" t="s">
        <v>11215</v>
      </c>
      <c r="C2" s="1910"/>
      <c r="D2" s="1911"/>
      <c r="E2" s="1911"/>
      <c r="F2" s="1912"/>
      <c r="G2" s="1911"/>
      <c r="H2" s="1913"/>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c r="AR2" s="1914"/>
      <c r="AS2" s="1914"/>
      <c r="AT2" s="1914"/>
      <c r="AU2" s="1914"/>
      <c r="AV2" s="1914"/>
      <c r="AW2" s="1914"/>
      <c r="AX2" s="1914"/>
      <c r="AY2" s="1914"/>
      <c r="AZ2" s="1914"/>
      <c r="BA2" s="1914"/>
      <c r="BB2" s="1914"/>
      <c r="BC2" s="1914"/>
      <c r="BD2" s="1914"/>
      <c r="BE2" s="1914"/>
      <c r="BF2" s="1914"/>
      <c r="BG2" s="1914"/>
      <c r="BH2" s="1914"/>
      <c r="BI2" s="1914"/>
      <c r="BJ2" s="1914"/>
      <c r="BK2" s="1914"/>
      <c r="BL2" s="1914"/>
      <c r="BM2" s="1914"/>
      <c r="BN2" s="1914"/>
      <c r="BO2" s="1914"/>
      <c r="BP2" s="1914"/>
      <c r="BQ2" s="1914"/>
      <c r="BR2" s="1914"/>
      <c r="BS2" s="1914"/>
      <c r="BT2" s="1914"/>
      <c r="BU2" s="69"/>
      <c r="BV2" s="1914"/>
      <c r="BW2" s="1914"/>
      <c r="BX2" s="1914"/>
      <c r="BY2" s="1914"/>
      <c r="BZ2" s="1914"/>
      <c r="CA2" s="1914"/>
      <c r="CB2" s="1914"/>
      <c r="CC2" s="1914"/>
      <c r="CD2" s="1914"/>
      <c r="CE2" s="1914"/>
      <c r="CF2" s="1914"/>
      <c r="CG2" s="1914"/>
      <c r="CH2" s="1914"/>
      <c r="CI2" s="1914"/>
      <c r="CJ2" s="1914"/>
      <c r="CK2" s="1914"/>
      <c r="CL2" s="1914"/>
      <c r="CM2" s="1914"/>
      <c r="CN2" s="1914"/>
      <c r="CO2" s="69"/>
      <c r="CP2" s="1914"/>
      <c r="CQ2" s="1914"/>
      <c r="CR2" s="1914"/>
      <c r="CS2" s="1914"/>
      <c r="CT2" s="1914"/>
      <c r="CU2" s="1914"/>
      <c r="CV2" s="1914"/>
      <c r="CW2" s="1914"/>
      <c r="CX2" s="1914"/>
      <c r="CY2" s="1914"/>
      <c r="CZ2" s="1914"/>
      <c r="DA2" s="1914"/>
      <c r="DB2" s="1914"/>
      <c r="DC2" s="1914"/>
      <c r="DD2" s="1914"/>
      <c r="DE2" s="1914"/>
      <c r="DF2" s="1914"/>
      <c r="DG2" s="1914"/>
      <c r="DH2" s="1914"/>
      <c r="DI2" s="69"/>
      <c r="DJ2" s="1914"/>
      <c r="DK2" s="1914"/>
      <c r="DL2" s="1914"/>
      <c r="DM2" s="1914"/>
      <c r="DN2" s="1914"/>
      <c r="DO2" s="1914"/>
      <c r="DP2" s="1914"/>
      <c r="DQ2" s="1914"/>
      <c r="DR2" s="1914"/>
      <c r="DS2" s="1914"/>
      <c r="DT2" s="1914"/>
      <c r="DU2" s="1914"/>
      <c r="DV2" s="1914"/>
      <c r="DW2" s="1914"/>
      <c r="DX2" s="1914"/>
      <c r="DY2" s="1914"/>
      <c r="DZ2" s="1914"/>
      <c r="EA2" s="1914"/>
      <c r="EB2" s="1914"/>
      <c r="EC2" s="69"/>
      <c r="ED2" s="1914"/>
      <c r="EE2" s="1914"/>
      <c r="EF2" s="1914"/>
      <c r="EG2" s="1914"/>
      <c r="EH2" s="1914"/>
      <c r="EI2" s="1914"/>
      <c r="EJ2" s="1914"/>
      <c r="EK2" s="1914"/>
      <c r="EL2" s="1914"/>
      <c r="EM2" s="1914"/>
      <c r="EN2" s="1914"/>
      <c r="EO2" s="1914"/>
      <c r="EP2" s="1914"/>
      <c r="EQ2" s="1914"/>
      <c r="ER2" s="1914"/>
      <c r="ES2" s="1914"/>
      <c r="ET2" s="1914"/>
      <c r="EU2" s="1914"/>
      <c r="EV2" s="1914"/>
      <c r="EW2" s="69"/>
      <c r="EX2" s="1914"/>
      <c r="EY2" s="1914"/>
      <c r="EZ2" s="1914"/>
      <c r="FA2" s="1914"/>
      <c r="FB2" s="1914"/>
      <c r="FC2" s="1914"/>
      <c r="FD2" s="1914"/>
      <c r="FE2" s="1914"/>
      <c r="FF2" s="1914"/>
      <c r="FG2" s="1914"/>
      <c r="FH2" s="1914"/>
      <c r="FI2" s="1914"/>
      <c r="FJ2" s="1914"/>
      <c r="FK2" s="1914"/>
      <c r="FL2" s="1914"/>
      <c r="FM2" s="1914"/>
      <c r="FN2" s="1914"/>
      <c r="FO2" s="1914"/>
      <c r="FP2" s="1914"/>
      <c r="FQ2" s="69"/>
      <c r="FR2" s="1914"/>
      <c r="FS2" s="1914"/>
      <c r="FT2" s="1914"/>
      <c r="FU2" s="1914"/>
      <c r="FV2" s="1914"/>
      <c r="FW2" s="1914"/>
      <c r="FX2" s="1914"/>
      <c r="FY2" s="1914"/>
      <c r="FZ2" s="1914"/>
      <c r="GA2" s="1914"/>
      <c r="GB2" s="1914"/>
      <c r="GC2" s="1914"/>
      <c r="GD2" s="1914"/>
      <c r="GE2" s="1914"/>
      <c r="GF2" s="1914"/>
      <c r="GG2" s="1914"/>
      <c r="GH2" s="1914"/>
      <c r="GI2" s="1914"/>
      <c r="GJ2" s="1914"/>
      <c r="GK2" s="69"/>
      <c r="GL2" s="1914"/>
      <c r="GM2" s="1914"/>
      <c r="GN2" s="1914"/>
      <c r="GO2" s="1914"/>
      <c r="GP2" s="1914"/>
      <c r="GQ2" s="1914"/>
      <c r="GR2" s="1914"/>
      <c r="GS2" s="1914"/>
      <c r="GT2" s="1914"/>
      <c r="GU2" s="1914"/>
      <c r="GV2" s="1914"/>
      <c r="GW2" s="1914"/>
      <c r="GX2" s="1914"/>
      <c r="GY2" s="1914"/>
      <c r="GZ2" s="1914"/>
      <c r="HA2" s="1914"/>
      <c r="HB2" s="1914"/>
      <c r="HC2" s="1914"/>
      <c r="HD2" s="1914"/>
      <c r="HE2" s="69"/>
      <c r="HF2" s="1914"/>
      <c r="HG2" s="1914"/>
      <c r="HH2" s="1914"/>
      <c r="HI2" s="1914"/>
      <c r="HJ2" s="1914"/>
      <c r="HK2" s="1914"/>
      <c r="HL2" s="1914"/>
      <c r="HM2" s="1914"/>
      <c r="HN2" s="1914"/>
      <c r="HO2" s="1914"/>
      <c r="HP2" s="1914"/>
      <c r="HQ2" s="1914"/>
      <c r="HR2" s="1914"/>
      <c r="HS2" s="1914"/>
      <c r="HT2" s="1914"/>
      <c r="HU2" s="1914"/>
      <c r="HV2" s="1914"/>
      <c r="HW2" s="1914"/>
      <c r="HX2" s="1914"/>
      <c r="HY2" s="69"/>
      <c r="HZ2" s="1914"/>
      <c r="IA2" s="1914"/>
      <c r="IB2" s="1914"/>
      <c r="IC2" s="1914"/>
      <c r="ID2" s="1914"/>
      <c r="IE2" s="1914"/>
      <c r="IF2" s="1914"/>
      <c r="IG2" s="1914"/>
      <c r="IH2" s="1914"/>
      <c r="II2" s="1914"/>
      <c r="IJ2" s="1914"/>
      <c r="IK2" s="1914"/>
      <c r="IL2" s="1914"/>
      <c r="IM2" s="1914"/>
      <c r="IN2" s="1914"/>
      <c r="IO2" s="1914"/>
      <c r="IP2" s="1914"/>
      <c r="IQ2" s="1914"/>
      <c r="IR2" s="1914"/>
      <c r="IS2" s="69"/>
      <c r="IT2" s="1914"/>
      <c r="IU2" s="1914"/>
      <c r="IV2" s="1914"/>
      <c r="IW2" s="1914"/>
      <c r="IX2" s="1914"/>
      <c r="IY2" s="1914"/>
      <c r="IZ2" s="1914"/>
      <c r="JA2" s="1914"/>
      <c r="JB2" s="1914"/>
      <c r="JC2" s="1914"/>
      <c r="JD2" s="1914"/>
      <c r="JE2" s="1914"/>
      <c r="JF2" s="1914"/>
      <c r="JG2" s="1914"/>
      <c r="JH2" s="1914"/>
      <c r="JI2" s="1914"/>
      <c r="JJ2" s="1914"/>
      <c r="JK2" s="1914"/>
      <c r="JL2" s="1914"/>
      <c r="JM2" s="69"/>
      <c r="JN2" s="1914"/>
      <c r="JO2" s="1914"/>
      <c r="JP2" s="1914"/>
      <c r="JQ2" s="1914"/>
      <c r="JR2" s="1914"/>
      <c r="JS2" s="1914"/>
      <c r="JT2" s="1914"/>
      <c r="JU2" s="1914"/>
      <c r="JV2" s="1914"/>
      <c r="JW2" s="1914"/>
      <c r="JX2" s="1914"/>
      <c r="JY2" s="1914"/>
      <c r="JZ2" s="1914"/>
      <c r="KA2" s="1914"/>
      <c r="KB2" s="1914"/>
      <c r="KC2" s="1914"/>
      <c r="KD2" s="1914"/>
      <c r="KE2" s="1914"/>
      <c r="KF2" s="1914"/>
      <c r="KG2" s="69"/>
      <c r="KH2" s="1914"/>
      <c r="KI2" s="1914"/>
      <c r="KJ2" s="1914"/>
      <c r="KK2" s="1914"/>
      <c r="KL2" s="1914"/>
      <c r="KM2" s="1914"/>
      <c r="KN2" s="1914"/>
      <c r="KO2" s="1914"/>
      <c r="KP2" s="1914"/>
      <c r="KQ2" s="1914"/>
      <c r="KR2" s="1914"/>
      <c r="KS2" s="69"/>
      <c r="KT2" s="1914"/>
      <c r="KU2" s="1914"/>
      <c r="KV2" s="1914"/>
      <c r="KW2" s="69"/>
      <c r="KX2" s="1914"/>
      <c r="KY2" s="1914"/>
      <c r="KZ2" s="1914"/>
      <c r="LA2" s="69" t="s">
        <v>11216</v>
      </c>
      <c r="LC2" s="70" t="s">
        <v>2394</v>
      </c>
      <c r="LG2" s="77" t="s">
        <v>2404</v>
      </c>
    </row>
    <row r="3" spans="1:627" ht="15.75" thickBot="1">
      <c r="A3" s="1915"/>
      <c r="B3" s="1915"/>
      <c r="C3" s="862"/>
      <c r="D3" s="862"/>
      <c r="E3" s="862"/>
      <c r="F3" s="862"/>
      <c r="G3" s="862"/>
      <c r="H3" s="1915"/>
      <c r="I3" s="1915"/>
      <c r="J3" s="1915"/>
      <c r="K3" s="862"/>
      <c r="L3" s="1915"/>
      <c r="M3" s="1915"/>
      <c r="N3" s="1915"/>
      <c r="O3" s="862"/>
      <c r="P3" s="1915"/>
      <c r="Q3" s="1915"/>
      <c r="R3" s="1915"/>
      <c r="S3" s="862"/>
      <c r="T3" s="1915"/>
      <c r="U3" s="1915"/>
      <c r="V3" s="1915"/>
      <c r="W3" s="862"/>
      <c r="X3" s="1915"/>
      <c r="Y3" s="1915"/>
      <c r="Z3" s="1915"/>
      <c r="AA3" s="862"/>
      <c r="AB3" s="1915"/>
      <c r="AC3" s="1915"/>
      <c r="AD3" s="1915"/>
      <c r="AE3" s="862"/>
      <c r="AF3" s="1915"/>
      <c r="AG3" s="1915"/>
      <c r="AH3" s="1915"/>
      <c r="AI3" s="862"/>
      <c r="AJ3" s="1915"/>
      <c r="AK3" s="1915"/>
      <c r="AL3" s="1915"/>
      <c r="AM3" s="862"/>
      <c r="AN3" s="1915"/>
      <c r="AO3" s="1915"/>
      <c r="AP3" s="1915"/>
      <c r="AQ3" s="862"/>
      <c r="AR3" s="1915"/>
      <c r="AS3" s="1915"/>
      <c r="AT3" s="1915"/>
      <c r="AU3" s="862"/>
      <c r="AV3" s="1915"/>
      <c r="AW3" s="1915"/>
      <c r="AX3" s="1915"/>
      <c r="AY3" s="862"/>
      <c r="AZ3" s="1915"/>
      <c r="BA3" s="1915"/>
      <c r="BB3" s="1915"/>
      <c r="BC3" s="862"/>
      <c r="BD3" s="1915"/>
      <c r="BE3" s="1915"/>
      <c r="BF3" s="1915"/>
      <c r="BG3" s="862"/>
      <c r="BH3" s="1915"/>
      <c r="BI3" s="1915"/>
      <c r="BJ3" s="1915"/>
      <c r="BK3" s="862"/>
      <c r="BL3" s="1915"/>
      <c r="BM3" s="1915"/>
      <c r="BN3" s="1915"/>
      <c r="BO3" s="862"/>
      <c r="BP3" s="1915"/>
      <c r="BQ3" s="1915"/>
      <c r="BR3" s="1915"/>
      <c r="BS3" s="862"/>
      <c r="BT3" s="1915"/>
      <c r="BU3" s="1915"/>
      <c r="BV3" s="1915"/>
      <c r="BW3" s="862"/>
      <c r="BX3" s="1915"/>
      <c r="BY3" s="1915"/>
      <c r="BZ3" s="1915"/>
      <c r="CA3" s="862"/>
      <c r="CB3" s="1915"/>
      <c r="CC3" s="1915"/>
      <c r="CD3" s="1915"/>
      <c r="CE3" s="862"/>
      <c r="CF3" s="1915"/>
      <c r="CG3" s="1915"/>
      <c r="CH3" s="1915"/>
      <c r="CI3" s="862"/>
      <c r="CJ3" s="1915"/>
      <c r="CK3" s="1915"/>
      <c r="CL3" s="1915"/>
      <c r="CM3" s="862"/>
      <c r="CN3" s="1915"/>
      <c r="CO3" s="1915"/>
      <c r="CP3" s="1915"/>
      <c r="CQ3" s="862"/>
      <c r="CR3" s="1915"/>
      <c r="CS3" s="1915"/>
      <c r="CT3" s="1915"/>
      <c r="CU3" s="862"/>
      <c r="CV3" s="1915"/>
      <c r="CW3" s="1915"/>
      <c r="CX3" s="1915"/>
      <c r="CY3" s="862"/>
      <c r="CZ3" s="1915"/>
      <c r="DA3" s="1915"/>
      <c r="DB3" s="1915"/>
      <c r="DC3" s="862"/>
      <c r="DD3" s="1915"/>
      <c r="DE3" s="1915"/>
      <c r="DF3" s="1915"/>
      <c r="DG3" s="862"/>
      <c r="DH3" s="1915"/>
      <c r="DI3" s="1915"/>
      <c r="DJ3" s="1915"/>
      <c r="DK3" s="862"/>
      <c r="DL3" s="1915"/>
      <c r="DM3" s="1915"/>
      <c r="DN3" s="1915"/>
      <c r="DO3" s="862"/>
      <c r="DP3" s="1915"/>
      <c r="DQ3" s="1915"/>
      <c r="DR3" s="1915"/>
      <c r="DS3" s="862"/>
      <c r="DT3" s="1915"/>
      <c r="DU3" s="1915"/>
      <c r="DV3" s="1915"/>
      <c r="DW3" s="862"/>
      <c r="DX3" s="1915"/>
      <c r="DY3" s="1915"/>
      <c r="DZ3" s="1915"/>
      <c r="EA3" s="862"/>
      <c r="EB3" s="1915"/>
      <c r="EC3" s="1915"/>
      <c r="ED3" s="1915"/>
      <c r="EE3" s="862"/>
      <c r="EF3" s="1915"/>
      <c r="EG3" s="1915"/>
      <c r="EH3" s="1915"/>
      <c r="EI3" s="862"/>
      <c r="EJ3" s="1915"/>
      <c r="EK3" s="1915"/>
      <c r="EL3" s="1915"/>
      <c r="EM3" s="862"/>
      <c r="EN3" s="1915"/>
      <c r="EO3" s="1915"/>
      <c r="EP3" s="1915"/>
      <c r="EQ3" s="862"/>
      <c r="ER3" s="1915"/>
      <c r="ES3" s="1915"/>
      <c r="ET3" s="1915"/>
      <c r="EU3" s="862"/>
      <c r="EV3" s="1915"/>
      <c r="EW3" s="1915"/>
      <c r="EX3" s="1915"/>
      <c r="EY3" s="862"/>
      <c r="EZ3" s="1915"/>
      <c r="FA3" s="1915"/>
      <c r="FB3" s="1915"/>
      <c r="FC3" s="862"/>
      <c r="FD3" s="1915"/>
      <c r="FE3" s="1915"/>
      <c r="FF3" s="1915"/>
      <c r="FG3" s="862"/>
      <c r="FH3" s="1915"/>
      <c r="FI3" s="1915"/>
      <c r="FJ3" s="1915"/>
      <c r="FK3" s="862"/>
      <c r="FL3" s="1915"/>
      <c r="FM3" s="1915"/>
      <c r="FN3" s="1915"/>
      <c r="FO3" s="862"/>
      <c r="FP3" s="1915"/>
      <c r="FQ3" s="1915"/>
      <c r="FR3" s="1915"/>
      <c r="FS3" s="862"/>
      <c r="FT3" s="1915"/>
      <c r="FU3" s="1915"/>
      <c r="FV3" s="1915"/>
      <c r="FW3" s="862"/>
      <c r="FX3" s="1915"/>
      <c r="FY3" s="1915"/>
      <c r="FZ3" s="1915"/>
      <c r="GA3" s="862"/>
      <c r="GB3" s="1915"/>
      <c r="GC3" s="1915"/>
      <c r="GD3" s="1915"/>
      <c r="GE3" s="862"/>
      <c r="GF3" s="1915"/>
      <c r="GG3" s="1915"/>
      <c r="GH3" s="1915"/>
      <c r="GI3" s="862"/>
      <c r="GJ3" s="1915"/>
      <c r="GK3" s="1915"/>
      <c r="GL3" s="1915"/>
      <c r="GM3" s="862"/>
      <c r="GN3" s="1915"/>
      <c r="GO3" s="1915"/>
      <c r="GP3" s="1915"/>
      <c r="GQ3" s="862"/>
      <c r="GR3" s="1915"/>
      <c r="GS3" s="1915"/>
      <c r="GT3" s="1915"/>
      <c r="GU3" s="862"/>
      <c r="GV3" s="1915"/>
      <c r="GW3" s="1915"/>
      <c r="GX3" s="1915"/>
      <c r="GY3" s="862"/>
      <c r="GZ3" s="1915"/>
      <c r="HA3" s="1915"/>
      <c r="HB3" s="1915"/>
      <c r="HC3" s="862"/>
      <c r="HD3" s="1915"/>
      <c r="HE3" s="1915"/>
      <c r="HF3" s="1915"/>
      <c r="HG3" s="862"/>
      <c r="HH3" s="1915"/>
      <c r="HI3" s="1915"/>
      <c r="HJ3" s="1915"/>
      <c r="HK3" s="862"/>
      <c r="HL3" s="1915"/>
      <c r="HM3" s="1915"/>
      <c r="HN3" s="1915"/>
      <c r="HO3" s="862"/>
      <c r="HP3" s="1915"/>
      <c r="HQ3" s="1915"/>
      <c r="HR3" s="1915"/>
      <c r="HS3" s="862"/>
      <c r="HT3" s="1915"/>
      <c r="HU3" s="1915"/>
      <c r="HV3" s="1915"/>
      <c r="HW3" s="862"/>
      <c r="HX3" s="1915"/>
      <c r="HY3" s="1915"/>
      <c r="HZ3" s="1915"/>
      <c r="IA3" s="862"/>
      <c r="IB3" s="1915"/>
      <c r="IC3" s="1915"/>
      <c r="ID3" s="1915"/>
      <c r="IE3" s="862"/>
      <c r="IF3" s="1915"/>
      <c r="IG3" s="1915"/>
      <c r="IH3" s="1915"/>
      <c r="II3" s="862"/>
      <c r="IJ3" s="1915"/>
      <c r="IK3" s="1915"/>
      <c r="IL3" s="1915"/>
      <c r="IM3" s="862"/>
      <c r="IN3" s="1915"/>
      <c r="IO3" s="1915"/>
      <c r="IP3" s="1915"/>
      <c r="IQ3" s="862"/>
      <c r="IR3" s="1915"/>
      <c r="IS3" s="1915"/>
      <c r="IT3" s="1915"/>
      <c r="IU3" s="862"/>
      <c r="IV3" s="1915"/>
      <c r="IW3" s="1915"/>
      <c r="IX3" s="1915"/>
      <c r="IY3" s="862"/>
      <c r="IZ3" s="1915"/>
      <c r="JA3" s="1915"/>
      <c r="JB3" s="1915"/>
      <c r="JC3" s="862"/>
      <c r="JD3" s="1915"/>
      <c r="JE3" s="1915"/>
      <c r="JF3" s="1915"/>
      <c r="JG3" s="862"/>
      <c r="JH3" s="1915"/>
      <c r="JI3" s="1915"/>
      <c r="JJ3" s="1915"/>
      <c r="JK3" s="862"/>
      <c r="JL3" s="1915"/>
      <c r="JM3" s="1915"/>
      <c r="JN3" s="1915"/>
      <c r="JO3" s="862"/>
      <c r="JP3" s="1915"/>
      <c r="JQ3" s="1915"/>
      <c r="JR3" s="1915"/>
      <c r="JS3" s="862"/>
      <c r="JT3" s="1915"/>
      <c r="JU3" s="1915"/>
      <c r="JV3" s="1915"/>
      <c r="JW3" s="862"/>
      <c r="JX3" s="1915"/>
      <c r="JY3" s="1915"/>
      <c r="JZ3" s="1915"/>
      <c r="KA3" s="862"/>
      <c r="KB3" s="1915"/>
      <c r="KC3" s="1915"/>
      <c r="KD3" s="1915"/>
      <c r="KE3" s="862"/>
      <c r="KF3" s="1915"/>
      <c r="KG3" s="1915"/>
      <c r="KH3" s="1915"/>
      <c r="KI3" s="862"/>
      <c r="KJ3" s="1915"/>
      <c r="KK3" s="1915"/>
      <c r="KL3" s="1915"/>
      <c r="KM3" s="862"/>
      <c r="KN3" s="1915"/>
      <c r="KO3" s="1915"/>
      <c r="KP3" s="1915"/>
      <c r="KQ3" s="862"/>
      <c r="KR3" s="1915"/>
      <c r="KS3" s="1915"/>
      <c r="KT3" s="1915"/>
      <c r="KU3" s="862"/>
      <c r="KV3" s="1915"/>
      <c r="KW3" s="1915"/>
      <c r="LG3" s="171" t="s">
        <v>2405</v>
      </c>
    </row>
    <row r="4" spans="1:627" ht="71.25" customHeight="1" thickBot="1">
      <c r="A4" s="1915"/>
      <c r="B4" s="3375" t="s">
        <v>13471</v>
      </c>
      <c r="C4" s="3376"/>
      <c r="D4" s="3376"/>
      <c r="E4" s="3377"/>
      <c r="F4" s="3377"/>
      <c r="G4" s="3377"/>
      <c r="H4" s="3377"/>
      <c r="I4" s="3377"/>
      <c r="J4" s="3377"/>
      <c r="K4" s="3377"/>
      <c r="L4" s="3377"/>
      <c r="M4" s="3377"/>
      <c r="N4" s="3377"/>
      <c r="O4" s="3377"/>
      <c r="P4" s="3377"/>
      <c r="Q4" s="3377"/>
      <c r="R4" s="3377"/>
      <c r="S4" s="3377"/>
      <c r="T4" s="3377"/>
      <c r="U4" s="3378"/>
      <c r="V4" s="1915"/>
      <c r="W4" s="862"/>
      <c r="X4" s="1915"/>
      <c r="Y4" s="1915"/>
      <c r="Z4" s="1915"/>
      <c r="AA4" s="862"/>
      <c r="AB4" s="1915"/>
      <c r="AC4" s="1915"/>
      <c r="AD4" s="1915"/>
      <c r="AE4" s="862"/>
      <c r="AF4" s="1915"/>
      <c r="AG4" s="1915"/>
      <c r="AH4" s="1915"/>
      <c r="AI4" s="862"/>
      <c r="AJ4" s="1915"/>
      <c r="AK4" s="1915"/>
      <c r="AL4" s="1915"/>
      <c r="AM4" s="862"/>
      <c r="AN4" s="1915"/>
      <c r="AO4" s="1915"/>
      <c r="AP4" s="1915"/>
      <c r="AQ4" s="862"/>
      <c r="AR4" s="1915"/>
      <c r="AS4" s="1915"/>
      <c r="AT4" s="1915"/>
      <c r="AU4" s="862"/>
      <c r="AV4" s="1915"/>
      <c r="AW4" s="1915"/>
      <c r="AX4" s="1915"/>
      <c r="AY4" s="862"/>
      <c r="AZ4" s="1915"/>
      <c r="BA4" s="1915"/>
      <c r="BB4" s="1915"/>
      <c r="BC4" s="862"/>
      <c r="BD4" s="1915"/>
      <c r="BE4" s="1915"/>
      <c r="BF4" s="1915"/>
      <c r="BG4" s="862"/>
      <c r="BH4" s="1915"/>
      <c r="BI4" s="1915"/>
      <c r="BJ4" s="1915"/>
      <c r="BK4" s="862"/>
      <c r="BL4" s="1915"/>
      <c r="BM4" s="1915"/>
      <c r="BN4" s="1915"/>
      <c r="BO4" s="862"/>
      <c r="BP4" s="1915"/>
      <c r="BQ4" s="1915"/>
      <c r="BR4" s="1915"/>
      <c r="BS4" s="862"/>
      <c r="BT4" s="1915"/>
      <c r="BU4" s="1915"/>
      <c r="BV4" s="1915"/>
      <c r="BW4" s="862"/>
      <c r="BX4" s="1915"/>
      <c r="BY4" s="1915"/>
      <c r="BZ4" s="1915"/>
      <c r="CA4" s="862"/>
      <c r="CB4" s="1915"/>
      <c r="CC4" s="1915"/>
      <c r="CD4" s="1915"/>
      <c r="CE4" s="862"/>
      <c r="CF4" s="1915"/>
      <c r="CG4" s="1915"/>
      <c r="CH4" s="1915"/>
      <c r="CI4" s="862"/>
      <c r="CJ4" s="1915"/>
      <c r="CK4" s="1915"/>
      <c r="CL4" s="1915"/>
      <c r="CM4" s="862"/>
      <c r="CN4" s="1915"/>
      <c r="CO4" s="1915"/>
      <c r="CP4" s="1915"/>
      <c r="CQ4" s="862"/>
      <c r="CR4" s="1915"/>
      <c r="CS4" s="1915"/>
      <c r="CT4" s="1915"/>
      <c r="CU4" s="862"/>
      <c r="CV4" s="1915"/>
      <c r="CW4" s="1915"/>
      <c r="CX4" s="1915"/>
      <c r="CY4" s="862"/>
      <c r="CZ4" s="1915"/>
      <c r="DA4" s="1915"/>
      <c r="DB4" s="1915"/>
      <c r="DC4" s="862"/>
      <c r="DD4" s="1915"/>
      <c r="DE4" s="1915"/>
      <c r="DF4" s="1915"/>
      <c r="DG4" s="862"/>
      <c r="DH4" s="1915"/>
      <c r="DI4" s="1915"/>
      <c r="DJ4" s="1915"/>
      <c r="DK4" s="862"/>
      <c r="DL4" s="1915"/>
      <c r="DM4" s="1915"/>
      <c r="DN4" s="1915"/>
      <c r="DO4" s="862"/>
      <c r="DP4" s="1915"/>
      <c r="DQ4" s="1915"/>
      <c r="DR4" s="1915"/>
      <c r="DS4" s="862"/>
      <c r="DT4" s="1915"/>
      <c r="DU4" s="1915"/>
      <c r="DV4" s="1915"/>
      <c r="DW4" s="862"/>
      <c r="DX4" s="1915"/>
      <c r="DY4" s="1915"/>
      <c r="DZ4" s="1915"/>
      <c r="EA4" s="862"/>
      <c r="EB4" s="1915"/>
      <c r="EC4" s="1915"/>
      <c r="ED4" s="1915"/>
      <c r="EE4" s="862"/>
      <c r="EF4" s="1915"/>
      <c r="EG4" s="1915"/>
      <c r="EH4" s="1915"/>
      <c r="EI4" s="862"/>
      <c r="EJ4" s="1915"/>
      <c r="EK4" s="1915"/>
      <c r="EL4" s="1915"/>
      <c r="EM4" s="862"/>
      <c r="EN4" s="1915"/>
      <c r="EO4" s="1915"/>
      <c r="EP4" s="1915"/>
      <c r="EQ4" s="862"/>
      <c r="ER4" s="1915"/>
      <c r="ES4" s="1915"/>
      <c r="ET4" s="1915"/>
      <c r="EU4" s="862"/>
      <c r="EV4" s="1915"/>
      <c r="EW4" s="1915"/>
      <c r="EX4" s="1915"/>
      <c r="EY4" s="862"/>
      <c r="EZ4" s="1915"/>
      <c r="FA4" s="1915"/>
      <c r="FB4" s="1915"/>
      <c r="FC4" s="862"/>
      <c r="FD4" s="1915"/>
      <c r="FE4" s="1915"/>
      <c r="FF4" s="1915"/>
      <c r="FG4" s="862"/>
      <c r="FH4" s="1915"/>
      <c r="FI4" s="1915"/>
      <c r="FJ4" s="1915"/>
      <c r="FK4" s="862"/>
      <c r="FL4" s="1915"/>
      <c r="FM4" s="1915"/>
      <c r="FN4" s="1915"/>
      <c r="FO4" s="862"/>
      <c r="FP4" s="1915"/>
      <c r="FQ4" s="1915"/>
      <c r="FR4" s="1915"/>
      <c r="FS4" s="862"/>
      <c r="FT4" s="1915"/>
      <c r="FU4" s="1915"/>
      <c r="FV4" s="1915"/>
      <c r="FW4" s="862"/>
      <c r="FX4" s="1915"/>
      <c r="FY4" s="1915"/>
      <c r="FZ4" s="1915"/>
      <c r="GA4" s="862"/>
      <c r="GB4" s="1915"/>
      <c r="GC4" s="1915"/>
      <c r="GD4" s="1915"/>
      <c r="GE4" s="862"/>
      <c r="GF4" s="1915"/>
      <c r="GG4" s="1915"/>
      <c r="GH4" s="1915"/>
      <c r="GI4" s="862"/>
      <c r="GJ4" s="1915"/>
      <c r="GK4" s="1915"/>
      <c r="GL4" s="1915"/>
      <c r="GM4" s="862"/>
      <c r="GN4" s="1915"/>
      <c r="GO4" s="1915"/>
      <c r="GP4" s="1915"/>
      <c r="GQ4" s="862"/>
      <c r="GR4" s="1915"/>
      <c r="GS4" s="1915"/>
      <c r="GT4" s="1915"/>
      <c r="GU4" s="862"/>
      <c r="GV4" s="1915"/>
      <c r="GW4" s="1915"/>
      <c r="GX4" s="1915"/>
      <c r="GY4" s="862"/>
      <c r="GZ4" s="1915"/>
      <c r="HA4" s="1915"/>
      <c r="HB4" s="1915"/>
      <c r="HC4" s="862"/>
      <c r="HD4" s="1915"/>
      <c r="HE4" s="1915"/>
      <c r="HF4" s="1915"/>
      <c r="HG4" s="862"/>
      <c r="HH4" s="1915"/>
      <c r="HI4" s="1915"/>
      <c r="HJ4" s="1915"/>
      <c r="HK4" s="862"/>
      <c r="HL4" s="1915"/>
      <c r="HM4" s="1915"/>
      <c r="HN4" s="1915"/>
      <c r="HO4" s="862"/>
      <c r="HP4" s="1915"/>
      <c r="HQ4" s="1915"/>
      <c r="HR4" s="1915"/>
      <c r="HS4" s="862"/>
      <c r="HT4" s="1915"/>
      <c r="HU4" s="1915"/>
      <c r="HV4" s="1915"/>
      <c r="HW4" s="862"/>
      <c r="HX4" s="1915"/>
      <c r="HY4" s="1915"/>
      <c r="HZ4" s="1915"/>
      <c r="IA4" s="862"/>
      <c r="IB4" s="1915"/>
      <c r="IC4" s="1915"/>
      <c r="ID4" s="1915"/>
      <c r="IE4" s="862"/>
      <c r="IF4" s="1915"/>
      <c r="IG4" s="1915"/>
      <c r="IH4" s="1915"/>
      <c r="II4" s="862"/>
      <c r="IJ4" s="1915"/>
      <c r="IK4" s="1915"/>
      <c r="IL4" s="1915"/>
      <c r="IM4" s="862"/>
      <c r="IN4" s="1915"/>
      <c r="IO4" s="1915"/>
      <c r="IP4" s="1915"/>
      <c r="IQ4" s="862"/>
      <c r="IR4" s="1915"/>
      <c r="IS4" s="1915"/>
      <c r="IT4" s="1915"/>
      <c r="IU4" s="862"/>
      <c r="IV4" s="1915"/>
      <c r="IW4" s="1915"/>
      <c r="IX4" s="1915"/>
      <c r="IY4" s="862"/>
      <c r="IZ4" s="1915"/>
      <c r="JA4" s="1915"/>
      <c r="JB4" s="1915"/>
      <c r="JC4" s="862"/>
      <c r="JD4" s="1915"/>
      <c r="JE4" s="1915"/>
      <c r="JF4" s="1915"/>
      <c r="JG4" s="862"/>
      <c r="JH4" s="1915"/>
      <c r="JI4" s="1915"/>
      <c r="JJ4" s="1915"/>
      <c r="JK4" s="862"/>
      <c r="JL4" s="1915"/>
      <c r="JM4" s="1915"/>
      <c r="JN4" s="1915"/>
      <c r="JO4" s="862"/>
      <c r="JP4" s="1915"/>
      <c r="JQ4" s="1915"/>
      <c r="JR4" s="1915"/>
      <c r="JS4" s="862"/>
      <c r="JT4" s="1915"/>
      <c r="JU4" s="1915"/>
      <c r="JV4" s="1915"/>
      <c r="JW4" s="862"/>
      <c r="JX4" s="1915"/>
      <c r="JY4" s="1915"/>
      <c r="JZ4" s="1915"/>
      <c r="KA4" s="862"/>
      <c r="KB4" s="1915"/>
      <c r="KC4" s="1915"/>
      <c r="KD4" s="1915"/>
      <c r="KE4" s="862"/>
      <c r="KF4" s="1915"/>
      <c r="KG4" s="1915"/>
      <c r="KH4" s="1915"/>
      <c r="KI4" s="862"/>
      <c r="KJ4" s="1915"/>
      <c r="KK4" s="1915"/>
      <c r="KL4" s="1915"/>
      <c r="KM4" s="862"/>
      <c r="KN4" s="1915"/>
      <c r="KO4" s="1915"/>
      <c r="KP4" s="1915"/>
      <c r="KQ4" s="862"/>
      <c r="KR4" s="1915"/>
      <c r="KS4" s="1915"/>
      <c r="KT4" s="1915"/>
      <c r="KU4" s="862"/>
      <c r="KV4" s="1915"/>
      <c r="KW4" s="1915"/>
    </row>
    <row r="5" spans="1:627" ht="15.75" thickBot="1">
      <c r="A5" s="1915"/>
      <c r="B5" s="1915"/>
      <c r="C5" s="862"/>
      <c r="D5" s="862"/>
      <c r="E5" s="862"/>
      <c r="F5" s="862"/>
      <c r="G5" s="862"/>
      <c r="H5" s="1915"/>
      <c r="I5" s="1915"/>
      <c r="J5" s="1915"/>
      <c r="K5" s="862"/>
      <c r="L5" s="1915"/>
      <c r="M5" s="1915"/>
      <c r="N5" s="1915"/>
      <c r="O5" s="862"/>
      <c r="P5" s="1915"/>
      <c r="Q5" s="1915"/>
      <c r="R5" s="1915"/>
      <c r="S5" s="862"/>
      <c r="T5" s="1915"/>
      <c r="U5" s="1915"/>
      <c r="V5" s="1915"/>
      <c r="W5" s="862"/>
      <c r="X5" s="1915"/>
      <c r="Y5" s="1915"/>
      <c r="Z5" s="1915"/>
      <c r="AA5" s="862"/>
      <c r="AB5" s="1915"/>
      <c r="AC5" s="1915"/>
      <c r="AD5" s="1915"/>
      <c r="AE5" s="862"/>
      <c r="AF5" s="1915"/>
      <c r="AG5" s="1915"/>
      <c r="AH5" s="1915"/>
      <c r="AI5" s="862"/>
      <c r="AJ5" s="1915"/>
      <c r="AK5" s="1915"/>
      <c r="AL5" s="1915"/>
      <c r="AM5" s="862"/>
      <c r="AN5" s="1915"/>
      <c r="AO5" s="1915"/>
      <c r="AP5" s="1915"/>
      <c r="AQ5" s="862"/>
      <c r="AR5" s="1915"/>
      <c r="AS5" s="1915"/>
      <c r="AT5" s="1915"/>
      <c r="AU5" s="862"/>
      <c r="AV5" s="1915"/>
      <c r="AW5" s="1915"/>
      <c r="AX5" s="1915"/>
      <c r="AY5" s="862"/>
      <c r="AZ5" s="1915"/>
      <c r="BA5" s="1915"/>
      <c r="BB5" s="1915"/>
      <c r="BC5" s="862"/>
      <c r="BD5" s="1915"/>
      <c r="BE5" s="1915"/>
      <c r="BF5" s="1915"/>
      <c r="BG5" s="862"/>
      <c r="BH5" s="1915"/>
      <c r="BI5" s="1915"/>
      <c r="BJ5" s="1915"/>
      <c r="BK5" s="862"/>
      <c r="BL5" s="1915"/>
      <c r="BM5" s="1915"/>
      <c r="BN5" s="1915"/>
      <c r="BO5" s="862"/>
      <c r="BP5" s="1915"/>
      <c r="BQ5" s="1915"/>
      <c r="BR5" s="1915"/>
      <c r="BS5" s="862"/>
      <c r="BT5" s="1915"/>
      <c r="BU5" s="1915"/>
      <c r="BV5" s="1915"/>
      <c r="BW5" s="862"/>
      <c r="BX5" s="1915"/>
      <c r="BY5" s="1915"/>
      <c r="BZ5" s="1915"/>
      <c r="CA5" s="862"/>
      <c r="CB5" s="1915"/>
      <c r="CC5" s="1915"/>
      <c r="CD5" s="1915"/>
      <c r="CE5" s="862"/>
      <c r="CF5" s="1915"/>
      <c r="CG5" s="1915"/>
      <c r="CH5" s="1915"/>
      <c r="CI5" s="862"/>
      <c r="CJ5" s="1915"/>
      <c r="CK5" s="1915"/>
      <c r="CL5" s="1915"/>
      <c r="CM5" s="862"/>
      <c r="CN5" s="1915"/>
      <c r="CO5" s="1915"/>
      <c r="CP5" s="1915"/>
      <c r="CQ5" s="862"/>
      <c r="CR5" s="1915"/>
      <c r="CS5" s="1915"/>
      <c r="CT5" s="1915"/>
      <c r="CU5" s="862"/>
      <c r="CV5" s="1915"/>
      <c r="CW5" s="1915"/>
      <c r="CX5" s="1915"/>
      <c r="CY5" s="862"/>
      <c r="CZ5" s="1915"/>
      <c r="DA5" s="1915"/>
      <c r="DB5" s="1915"/>
      <c r="DC5" s="862"/>
      <c r="DD5" s="1915"/>
      <c r="DE5" s="1915"/>
      <c r="DF5" s="1915"/>
      <c r="DG5" s="862"/>
      <c r="DH5" s="1915"/>
      <c r="DI5" s="1915"/>
      <c r="DJ5" s="1915"/>
      <c r="DK5" s="862"/>
      <c r="DL5" s="1915"/>
      <c r="DM5" s="1915"/>
      <c r="DN5" s="1915"/>
      <c r="DO5" s="862"/>
      <c r="DP5" s="1915"/>
      <c r="DQ5" s="1915"/>
      <c r="DR5" s="1915"/>
      <c r="DS5" s="862"/>
      <c r="DT5" s="1915"/>
      <c r="DU5" s="1915"/>
      <c r="DV5" s="1915"/>
      <c r="DW5" s="862"/>
      <c r="DX5" s="1915"/>
      <c r="DY5" s="1915"/>
      <c r="DZ5" s="1915"/>
      <c r="EA5" s="862"/>
      <c r="EB5" s="1915"/>
      <c r="EC5" s="1915"/>
      <c r="ED5" s="1915"/>
      <c r="EE5" s="862"/>
      <c r="EF5" s="1915"/>
      <c r="EG5" s="1915"/>
      <c r="EH5" s="1915"/>
      <c r="EI5" s="862"/>
      <c r="EJ5" s="1915"/>
      <c r="EK5" s="1915"/>
      <c r="EL5" s="1915"/>
      <c r="EM5" s="862"/>
      <c r="EN5" s="1915"/>
      <c r="EO5" s="1915"/>
      <c r="EP5" s="1915"/>
      <c r="EQ5" s="862"/>
      <c r="ER5" s="1915"/>
      <c r="ES5" s="1915"/>
      <c r="ET5" s="1915"/>
      <c r="EU5" s="862"/>
      <c r="EV5" s="1915"/>
      <c r="EW5" s="1915"/>
      <c r="EX5" s="1915"/>
      <c r="EY5" s="862"/>
      <c r="EZ5" s="1915"/>
      <c r="FA5" s="1915"/>
      <c r="FB5" s="1915"/>
      <c r="FC5" s="862"/>
      <c r="FD5" s="1915"/>
      <c r="FE5" s="1915"/>
      <c r="FF5" s="1915"/>
      <c r="FG5" s="862"/>
      <c r="FH5" s="1915"/>
      <c r="FI5" s="1915"/>
      <c r="FJ5" s="1915"/>
      <c r="FK5" s="862"/>
      <c r="FL5" s="1915"/>
      <c r="FM5" s="1915"/>
      <c r="FN5" s="1915"/>
      <c r="FO5" s="862"/>
      <c r="FP5" s="1915"/>
      <c r="FQ5" s="1915"/>
      <c r="FR5" s="1915"/>
      <c r="FS5" s="862"/>
      <c r="FT5" s="1915"/>
      <c r="FU5" s="1915"/>
      <c r="FV5" s="1915"/>
      <c r="FW5" s="862"/>
      <c r="FX5" s="1915"/>
      <c r="FY5" s="1915"/>
      <c r="FZ5" s="1915"/>
      <c r="GA5" s="862"/>
      <c r="GB5" s="1915"/>
      <c r="GC5" s="1915"/>
      <c r="GD5" s="1915"/>
      <c r="GE5" s="862"/>
      <c r="GF5" s="1915"/>
      <c r="GG5" s="1915"/>
      <c r="GH5" s="1915"/>
      <c r="GI5" s="862"/>
      <c r="GJ5" s="1915"/>
      <c r="GK5" s="1915"/>
      <c r="GL5" s="1915"/>
      <c r="GM5" s="862"/>
      <c r="GN5" s="1915"/>
      <c r="GO5" s="1915"/>
      <c r="GP5" s="1915"/>
      <c r="GQ5" s="862"/>
      <c r="GR5" s="1915"/>
      <c r="GS5" s="1915"/>
      <c r="GT5" s="1915"/>
      <c r="GU5" s="862"/>
      <c r="GV5" s="1915"/>
      <c r="GW5" s="1915"/>
      <c r="GX5" s="1915"/>
      <c r="GY5" s="862"/>
      <c r="GZ5" s="1915"/>
      <c r="HA5" s="1915"/>
      <c r="HB5" s="1915"/>
      <c r="HC5" s="862"/>
      <c r="HD5" s="1915"/>
      <c r="HE5" s="1915"/>
      <c r="HF5" s="1915"/>
      <c r="HG5" s="862"/>
      <c r="HH5" s="1915"/>
      <c r="HI5" s="1915"/>
      <c r="HJ5" s="1915"/>
      <c r="HK5" s="862"/>
      <c r="HL5" s="1915"/>
      <c r="HM5" s="1915"/>
      <c r="HN5" s="1915"/>
      <c r="HO5" s="862"/>
      <c r="HP5" s="1915"/>
      <c r="HQ5" s="1915"/>
      <c r="HR5" s="1915"/>
      <c r="HS5" s="862"/>
      <c r="HT5" s="1915"/>
      <c r="HU5" s="1915"/>
      <c r="HV5" s="1915"/>
      <c r="HW5" s="862"/>
      <c r="HX5" s="1915"/>
      <c r="HY5" s="1915"/>
      <c r="HZ5" s="1915"/>
      <c r="IA5" s="862"/>
      <c r="IB5" s="1915"/>
      <c r="IC5" s="1915"/>
      <c r="ID5" s="1915"/>
      <c r="IE5" s="862"/>
      <c r="IF5" s="1915"/>
      <c r="IG5" s="1915"/>
      <c r="IH5" s="1915"/>
      <c r="II5" s="862"/>
      <c r="IJ5" s="1915"/>
      <c r="IK5" s="1915"/>
      <c r="IL5" s="1915"/>
      <c r="IM5" s="862"/>
      <c r="IN5" s="1915"/>
      <c r="IO5" s="1915"/>
      <c r="IP5" s="1915"/>
      <c r="IQ5" s="862"/>
      <c r="IR5" s="1915"/>
      <c r="IS5" s="1915"/>
      <c r="IT5" s="1915"/>
      <c r="IU5" s="862"/>
      <c r="IV5" s="1915"/>
      <c r="IW5" s="1915"/>
      <c r="IX5" s="1915"/>
      <c r="IY5" s="862"/>
      <c r="IZ5" s="1915"/>
      <c r="JA5" s="1915"/>
      <c r="JB5" s="1915"/>
      <c r="JC5" s="862"/>
      <c r="JD5" s="1915"/>
      <c r="JE5" s="1915"/>
      <c r="JF5" s="1915"/>
      <c r="JG5" s="862"/>
      <c r="JH5" s="1915"/>
      <c r="JI5" s="1915"/>
      <c r="JJ5" s="1915"/>
      <c r="JK5" s="862"/>
      <c r="JL5" s="1915"/>
      <c r="JM5" s="1915"/>
      <c r="JN5" s="1915"/>
      <c r="JO5" s="862"/>
      <c r="JP5" s="1915"/>
      <c r="JQ5" s="1915"/>
      <c r="JR5" s="1915"/>
      <c r="JS5" s="862"/>
      <c r="JT5" s="1915"/>
      <c r="JU5" s="1915"/>
      <c r="JV5" s="1915"/>
      <c r="JW5" s="862"/>
      <c r="JX5" s="1915"/>
      <c r="JY5" s="1915"/>
      <c r="JZ5" s="1915"/>
      <c r="KA5" s="862"/>
      <c r="KB5" s="1915"/>
      <c r="KC5" s="1915"/>
      <c r="KD5" s="1915"/>
      <c r="KE5" s="862"/>
      <c r="KF5" s="1915"/>
      <c r="KG5" s="1915"/>
      <c r="KH5" s="1915"/>
      <c r="KI5" s="862"/>
      <c r="KJ5" s="1915"/>
      <c r="KK5" s="1915"/>
      <c r="KL5" s="1915"/>
      <c r="KM5" s="862"/>
      <c r="KN5" s="1915"/>
      <c r="KO5" s="1915"/>
      <c r="KP5" s="1915"/>
      <c r="KQ5" s="862"/>
      <c r="KR5" s="1915"/>
      <c r="KS5" s="1915"/>
      <c r="KT5" s="1915"/>
      <c r="KU5" s="862"/>
      <c r="KV5" s="1915"/>
      <c r="KW5" s="1915"/>
    </row>
    <row r="6" spans="1:627" ht="15">
      <c r="A6" s="1915"/>
      <c r="B6" s="1916" t="s">
        <v>3928</v>
      </c>
      <c r="C6" s="1917"/>
      <c r="D6" s="862"/>
      <c r="E6" s="892"/>
      <c r="F6" s="862"/>
      <c r="G6" s="862"/>
      <c r="H6" s="1915"/>
      <c r="I6" s="1915"/>
      <c r="J6" s="1915"/>
      <c r="K6" s="862"/>
      <c r="L6" s="1915"/>
      <c r="M6" s="1915"/>
      <c r="N6" s="1915"/>
      <c r="O6" s="862"/>
      <c r="P6" s="1915"/>
      <c r="Q6" s="1915"/>
      <c r="R6" s="1915"/>
      <c r="S6" s="862"/>
      <c r="T6" s="1915"/>
      <c r="U6" s="1915"/>
      <c r="V6" s="1915"/>
      <c r="W6" s="862"/>
      <c r="X6" s="1915"/>
      <c r="Y6" s="1915"/>
      <c r="Z6" s="1915"/>
      <c r="AA6" s="862"/>
      <c r="AB6" s="1915"/>
      <c r="AC6" s="1915"/>
      <c r="AD6" s="1915"/>
      <c r="AE6" s="862"/>
      <c r="AF6" s="1915"/>
      <c r="AG6" s="1915"/>
      <c r="AH6" s="1915"/>
      <c r="AI6" s="862"/>
      <c r="AJ6" s="1915"/>
      <c r="AK6" s="1915"/>
      <c r="AL6" s="1915"/>
      <c r="AM6" s="862"/>
      <c r="AN6" s="1915"/>
      <c r="AO6" s="1915"/>
      <c r="AP6" s="1915"/>
      <c r="AQ6" s="862"/>
      <c r="AR6" s="1915"/>
      <c r="AS6" s="1915"/>
      <c r="AT6" s="1915"/>
      <c r="AU6" s="862"/>
      <c r="AV6" s="1915"/>
      <c r="AW6" s="1915"/>
      <c r="AX6" s="1915"/>
      <c r="AY6" s="862"/>
      <c r="AZ6" s="1915"/>
      <c r="BA6" s="1915"/>
      <c r="BB6" s="1915"/>
      <c r="BC6" s="862"/>
      <c r="BD6" s="1915"/>
      <c r="BE6" s="1915"/>
      <c r="BF6" s="1915"/>
      <c r="BG6" s="862"/>
      <c r="BH6" s="1915"/>
      <c r="BI6" s="1915"/>
      <c r="BJ6" s="1915"/>
      <c r="BK6" s="862"/>
      <c r="BL6" s="1915"/>
      <c r="BM6" s="1915"/>
      <c r="BN6" s="1915"/>
      <c r="BO6" s="862"/>
      <c r="BP6" s="1915"/>
      <c r="BQ6" s="1915"/>
      <c r="BR6" s="1915"/>
      <c r="BS6" s="862"/>
      <c r="BT6" s="1915"/>
      <c r="BU6" s="1915"/>
      <c r="BV6" s="1915"/>
      <c r="BW6" s="862"/>
      <c r="BX6" s="1915"/>
      <c r="BY6" s="1915"/>
      <c r="BZ6" s="1915"/>
      <c r="CA6" s="862"/>
      <c r="CB6" s="1915"/>
      <c r="CC6" s="1915"/>
      <c r="CD6" s="1915"/>
      <c r="CE6" s="862"/>
      <c r="CF6" s="1915"/>
      <c r="CG6" s="1915"/>
      <c r="CH6" s="1915"/>
      <c r="CI6" s="862"/>
      <c r="CJ6" s="1915"/>
      <c r="CK6" s="1915"/>
      <c r="CL6" s="1915"/>
      <c r="CM6" s="862"/>
      <c r="CN6" s="1915"/>
      <c r="CO6" s="1915"/>
      <c r="CP6" s="1915"/>
      <c r="CQ6" s="862"/>
      <c r="CR6" s="1915"/>
      <c r="CS6" s="1915"/>
      <c r="CT6" s="1915"/>
      <c r="CU6" s="862"/>
      <c r="CV6" s="1915"/>
      <c r="CW6" s="1915"/>
      <c r="CX6" s="1915"/>
      <c r="CY6" s="862"/>
      <c r="CZ6" s="1915"/>
      <c r="DA6" s="1915"/>
      <c r="DB6" s="1915"/>
      <c r="DC6" s="862"/>
      <c r="DD6" s="1915"/>
      <c r="DE6" s="1915"/>
      <c r="DF6" s="1915"/>
      <c r="DG6" s="862"/>
      <c r="DH6" s="1915"/>
      <c r="DI6" s="1915"/>
      <c r="DJ6" s="1915"/>
      <c r="DK6" s="862"/>
      <c r="DL6" s="1915"/>
      <c r="DM6" s="1915"/>
      <c r="DN6" s="1915"/>
      <c r="DO6" s="862"/>
      <c r="DP6" s="1915"/>
      <c r="DQ6" s="1915"/>
      <c r="DR6" s="1915"/>
      <c r="DS6" s="862"/>
      <c r="DT6" s="1915"/>
      <c r="DU6" s="1915"/>
      <c r="DV6" s="1915"/>
      <c r="DW6" s="862"/>
      <c r="DX6" s="1915"/>
      <c r="DY6" s="1915"/>
      <c r="DZ6" s="1915"/>
      <c r="EA6" s="862"/>
      <c r="EB6" s="1915"/>
      <c r="EC6" s="1915"/>
      <c r="ED6" s="1915"/>
      <c r="EE6" s="862"/>
      <c r="EF6" s="1915"/>
      <c r="EG6" s="1915"/>
      <c r="EH6" s="1915"/>
      <c r="EI6" s="862"/>
      <c r="EJ6" s="1915"/>
      <c r="EK6" s="1915"/>
      <c r="EL6" s="1915"/>
      <c r="EM6" s="862"/>
      <c r="EN6" s="1915"/>
      <c r="EO6" s="1915"/>
      <c r="EP6" s="1915"/>
      <c r="EQ6" s="862"/>
      <c r="ER6" s="1915"/>
      <c r="ES6" s="1915"/>
      <c r="ET6" s="1915"/>
      <c r="EU6" s="862"/>
      <c r="EV6" s="1915"/>
      <c r="EW6" s="1915"/>
      <c r="EX6" s="1915"/>
      <c r="EY6" s="862"/>
      <c r="EZ6" s="1915"/>
      <c r="FA6" s="1915"/>
      <c r="FB6" s="1915"/>
      <c r="FC6" s="862"/>
      <c r="FD6" s="1915"/>
      <c r="FE6" s="1915"/>
      <c r="FF6" s="1915"/>
      <c r="FG6" s="862"/>
      <c r="FH6" s="1915"/>
      <c r="FI6" s="1915"/>
      <c r="FJ6" s="1915"/>
      <c r="FK6" s="862"/>
      <c r="FL6" s="1915"/>
      <c r="FM6" s="1915"/>
      <c r="FN6" s="1915"/>
      <c r="FO6" s="862"/>
      <c r="FP6" s="1915"/>
      <c r="FQ6" s="1915"/>
      <c r="FR6" s="1915"/>
      <c r="FS6" s="862"/>
      <c r="FT6" s="1915"/>
      <c r="FU6" s="1915"/>
      <c r="FV6" s="1915"/>
      <c r="FW6" s="862"/>
      <c r="FX6" s="1915"/>
      <c r="FY6" s="1915"/>
      <c r="FZ6" s="1915"/>
      <c r="GA6" s="862"/>
      <c r="GB6" s="1915"/>
      <c r="GC6" s="1915"/>
      <c r="GD6" s="1915"/>
      <c r="GE6" s="862"/>
      <c r="GF6" s="1915"/>
      <c r="GG6" s="1915"/>
      <c r="GH6" s="1915"/>
      <c r="GI6" s="862"/>
      <c r="GJ6" s="1915"/>
      <c r="GK6" s="1915"/>
      <c r="GL6" s="1915"/>
      <c r="GM6" s="862"/>
      <c r="GN6" s="1915"/>
      <c r="GO6" s="1915"/>
      <c r="GP6" s="1915"/>
      <c r="GQ6" s="862"/>
      <c r="GR6" s="1915"/>
      <c r="GS6" s="1915"/>
      <c r="GT6" s="1915"/>
      <c r="GU6" s="862"/>
      <c r="GV6" s="1915"/>
      <c r="GW6" s="1915"/>
      <c r="GX6" s="1915"/>
      <c r="GY6" s="862"/>
      <c r="GZ6" s="1915"/>
      <c r="HA6" s="1915"/>
      <c r="HB6" s="1915"/>
      <c r="HC6" s="862"/>
      <c r="HD6" s="1915"/>
      <c r="HE6" s="1915"/>
      <c r="HF6" s="1915"/>
      <c r="HG6" s="862"/>
      <c r="HH6" s="1915"/>
      <c r="HI6" s="1915"/>
      <c r="HJ6" s="1915"/>
      <c r="HK6" s="862"/>
      <c r="HL6" s="1915"/>
      <c r="HM6" s="1915"/>
      <c r="HN6" s="1915"/>
      <c r="HO6" s="862"/>
      <c r="HP6" s="1915"/>
      <c r="HQ6" s="1915"/>
      <c r="HR6" s="1915"/>
      <c r="HS6" s="862"/>
      <c r="HT6" s="1915"/>
      <c r="HU6" s="1915"/>
      <c r="HV6" s="1915"/>
      <c r="HW6" s="862"/>
      <c r="HX6" s="1915"/>
      <c r="HY6" s="1915"/>
      <c r="HZ6" s="1915"/>
      <c r="IA6" s="862"/>
      <c r="IB6" s="1915"/>
      <c r="IC6" s="1915"/>
      <c r="ID6" s="1915"/>
      <c r="IE6" s="862"/>
      <c r="IF6" s="1915"/>
      <c r="IG6" s="1915"/>
      <c r="IH6" s="1915"/>
      <c r="II6" s="862"/>
      <c r="IJ6" s="1915"/>
      <c r="IK6" s="1915"/>
      <c r="IL6" s="1915"/>
      <c r="IM6" s="862"/>
      <c r="IN6" s="1915"/>
      <c r="IO6" s="1915"/>
      <c r="IP6" s="1915"/>
      <c r="IQ6" s="862"/>
      <c r="IR6" s="1915"/>
      <c r="IS6" s="1915"/>
      <c r="IT6" s="1915"/>
      <c r="IU6" s="862"/>
      <c r="IV6" s="1915"/>
      <c r="IW6" s="1915"/>
      <c r="IX6" s="1915"/>
      <c r="IY6" s="862"/>
      <c r="IZ6" s="1915"/>
      <c r="JA6" s="1915"/>
      <c r="JB6" s="1915"/>
      <c r="JC6" s="862"/>
      <c r="JD6" s="1915"/>
      <c r="JE6" s="1915"/>
      <c r="JF6" s="1915"/>
      <c r="JG6" s="862"/>
      <c r="JH6" s="1915"/>
      <c r="JI6" s="1915"/>
      <c r="JJ6" s="1915"/>
      <c r="JK6" s="862"/>
      <c r="JL6" s="1915"/>
      <c r="JM6" s="1915"/>
      <c r="JN6" s="1915"/>
      <c r="JO6" s="862"/>
      <c r="JP6" s="1915"/>
      <c r="JQ6" s="1915"/>
      <c r="JR6" s="1915"/>
      <c r="JS6" s="862"/>
      <c r="JT6" s="1915"/>
      <c r="JU6" s="1915"/>
      <c r="JV6" s="1915"/>
      <c r="JW6" s="862"/>
      <c r="JX6" s="1915"/>
      <c r="JY6" s="1915"/>
      <c r="JZ6" s="1915"/>
      <c r="KA6" s="862"/>
      <c r="KB6" s="1915"/>
      <c r="KC6" s="1915"/>
      <c r="KD6" s="1915"/>
      <c r="KE6" s="862"/>
      <c r="KF6" s="1915"/>
      <c r="KG6" s="1915"/>
      <c r="KH6" s="1915"/>
      <c r="KI6" s="862"/>
      <c r="KJ6" s="1915"/>
      <c r="KK6" s="1915"/>
      <c r="KL6" s="1915"/>
      <c r="KM6" s="862"/>
      <c r="KN6" s="1915"/>
      <c r="KO6" s="1915"/>
      <c r="KP6" s="1915"/>
      <c r="KQ6" s="862"/>
      <c r="KR6" s="1915"/>
      <c r="KS6" s="1915"/>
      <c r="KT6" s="1915"/>
      <c r="KU6" s="862"/>
      <c r="KV6" s="1915"/>
      <c r="KW6" s="1915"/>
      <c r="LE6" s="72"/>
      <c r="LF6" s="1641" t="s">
        <v>13480</v>
      </c>
    </row>
    <row r="7" spans="1:627" ht="15.75" thickBot="1">
      <c r="A7" s="1915"/>
      <c r="B7" s="1918"/>
      <c r="C7" s="1919" t="s">
        <v>3951</v>
      </c>
      <c r="D7" s="862"/>
      <c r="E7" s="862"/>
      <c r="F7" s="862"/>
      <c r="G7" s="862"/>
      <c r="H7" s="1915"/>
      <c r="I7" s="1915"/>
      <c r="J7" s="1915"/>
      <c r="K7" s="862"/>
      <c r="L7" s="1915"/>
      <c r="M7" s="1915"/>
      <c r="N7" s="1915"/>
      <c r="O7" s="862"/>
      <c r="P7" s="1915"/>
      <c r="Q7" s="1915"/>
      <c r="R7" s="1915"/>
      <c r="S7" s="862"/>
      <c r="T7" s="1915"/>
      <c r="U7" s="1915"/>
      <c r="V7" s="1915"/>
      <c r="W7" s="862"/>
      <c r="X7" s="1915"/>
      <c r="Y7" s="1915"/>
      <c r="Z7" s="1915"/>
      <c r="AA7" s="862"/>
      <c r="AB7" s="1915"/>
      <c r="AC7" s="1915"/>
      <c r="AD7" s="1915"/>
      <c r="AE7" s="862"/>
      <c r="AF7" s="1915"/>
      <c r="AG7" s="1915"/>
      <c r="AH7" s="1915"/>
      <c r="AI7" s="862"/>
      <c r="AJ7" s="1915"/>
      <c r="AK7" s="1915"/>
      <c r="AL7" s="1915"/>
      <c r="AM7" s="862"/>
      <c r="AN7" s="1915"/>
      <c r="AO7" s="1915"/>
      <c r="AP7" s="1915"/>
      <c r="AQ7" s="862"/>
      <c r="AR7" s="1915"/>
      <c r="AS7" s="1915"/>
      <c r="AT7" s="1915"/>
      <c r="AU7" s="862"/>
      <c r="AV7" s="1915"/>
      <c r="AW7" s="1915"/>
      <c r="AX7" s="1915"/>
      <c r="AY7" s="862"/>
      <c r="AZ7" s="1915"/>
      <c r="BA7" s="1915"/>
      <c r="BB7" s="1915"/>
      <c r="BC7" s="862"/>
      <c r="BD7" s="1915"/>
      <c r="BE7" s="1915"/>
      <c r="BF7" s="1915"/>
      <c r="BG7" s="862"/>
      <c r="BH7" s="1915"/>
      <c r="BI7" s="1915"/>
      <c r="BJ7" s="1915"/>
      <c r="BK7" s="862"/>
      <c r="BL7" s="1915"/>
      <c r="BM7" s="1915"/>
      <c r="BN7" s="1915"/>
      <c r="BO7" s="862"/>
      <c r="BP7" s="1915"/>
      <c r="BQ7" s="1915"/>
      <c r="BR7" s="1915"/>
      <c r="BS7" s="862"/>
      <c r="BT7" s="1915"/>
      <c r="BU7" s="1915"/>
      <c r="BV7" s="1915"/>
      <c r="BW7" s="862"/>
      <c r="BX7" s="1915"/>
      <c r="BY7" s="1915"/>
      <c r="BZ7" s="1915"/>
      <c r="CA7" s="862"/>
      <c r="CB7" s="1915"/>
      <c r="CC7" s="1915"/>
      <c r="CD7" s="1915"/>
      <c r="CE7" s="862"/>
      <c r="CF7" s="1915"/>
      <c r="CG7" s="1915"/>
      <c r="CH7" s="1915"/>
      <c r="CI7" s="862"/>
      <c r="CJ7" s="1915"/>
      <c r="CK7" s="1915"/>
      <c r="CL7" s="1915"/>
      <c r="CM7" s="862"/>
      <c r="CN7" s="1915"/>
      <c r="CO7" s="1915"/>
      <c r="CP7" s="1915"/>
      <c r="CQ7" s="862"/>
      <c r="CR7" s="1915"/>
      <c r="CS7" s="1915"/>
      <c r="CT7" s="1915"/>
      <c r="CU7" s="862"/>
      <c r="CV7" s="1915"/>
      <c r="CW7" s="1915"/>
      <c r="CX7" s="1915"/>
      <c r="CY7" s="862"/>
      <c r="CZ7" s="1915"/>
      <c r="DA7" s="1915"/>
      <c r="DB7" s="1915"/>
      <c r="DC7" s="862"/>
      <c r="DD7" s="1915"/>
      <c r="DE7" s="1915"/>
      <c r="DF7" s="1915"/>
      <c r="DG7" s="862"/>
      <c r="DH7" s="1915"/>
      <c r="DI7" s="1915"/>
      <c r="DJ7" s="1915"/>
      <c r="DK7" s="862"/>
      <c r="DL7" s="1915"/>
      <c r="DM7" s="1915"/>
      <c r="DN7" s="1915"/>
      <c r="DO7" s="862"/>
      <c r="DP7" s="1915"/>
      <c r="DQ7" s="1915"/>
      <c r="DR7" s="1915"/>
      <c r="DS7" s="862"/>
      <c r="DT7" s="1915"/>
      <c r="DU7" s="1915"/>
      <c r="DV7" s="1915"/>
      <c r="DW7" s="862"/>
      <c r="DX7" s="1915"/>
      <c r="DY7" s="1915"/>
      <c r="DZ7" s="1915"/>
      <c r="EA7" s="862"/>
      <c r="EB7" s="1915"/>
      <c r="EC7" s="1915"/>
      <c r="ED7" s="1915"/>
      <c r="EE7" s="862"/>
      <c r="EF7" s="1915"/>
      <c r="EG7" s="1915"/>
      <c r="EH7" s="1915"/>
      <c r="EI7" s="862"/>
      <c r="EJ7" s="1915"/>
      <c r="EK7" s="1915"/>
      <c r="EL7" s="1915"/>
      <c r="EM7" s="862"/>
      <c r="EN7" s="1915"/>
      <c r="EO7" s="1915"/>
      <c r="EP7" s="1915"/>
      <c r="EQ7" s="862"/>
      <c r="ER7" s="1915"/>
      <c r="ES7" s="1915"/>
      <c r="ET7" s="1915"/>
      <c r="EU7" s="862"/>
      <c r="EV7" s="1915"/>
      <c r="EW7" s="1915"/>
      <c r="EX7" s="1915"/>
      <c r="EY7" s="862"/>
      <c r="EZ7" s="1915"/>
      <c r="FA7" s="1915"/>
      <c r="FB7" s="1915"/>
      <c r="FC7" s="862"/>
      <c r="FD7" s="1915"/>
      <c r="FE7" s="1915"/>
      <c r="FF7" s="1915"/>
      <c r="FG7" s="862"/>
      <c r="FH7" s="1915"/>
      <c r="FI7" s="1915"/>
      <c r="FJ7" s="1915"/>
      <c r="FK7" s="862"/>
      <c r="FL7" s="1915"/>
      <c r="FM7" s="1915"/>
      <c r="FN7" s="1915"/>
      <c r="FO7" s="862"/>
      <c r="FP7" s="1915"/>
      <c r="FQ7" s="1915"/>
      <c r="FR7" s="1915"/>
      <c r="FS7" s="862"/>
      <c r="FT7" s="1915"/>
      <c r="FU7" s="1915"/>
      <c r="FV7" s="1915"/>
      <c r="FW7" s="862"/>
      <c r="FX7" s="1915"/>
      <c r="FY7" s="1915"/>
      <c r="FZ7" s="1915"/>
      <c r="GA7" s="862"/>
      <c r="GB7" s="1915"/>
      <c r="GC7" s="1915"/>
      <c r="GD7" s="1915"/>
      <c r="GE7" s="862"/>
      <c r="GF7" s="1915"/>
      <c r="GG7" s="1915"/>
      <c r="GH7" s="1915"/>
      <c r="GI7" s="862"/>
      <c r="GJ7" s="1915"/>
      <c r="GK7" s="1915"/>
      <c r="GL7" s="1915"/>
      <c r="GM7" s="862"/>
      <c r="GN7" s="1915"/>
      <c r="GO7" s="1915"/>
      <c r="GP7" s="1915"/>
      <c r="GQ7" s="862"/>
      <c r="GR7" s="1915"/>
      <c r="GS7" s="1915"/>
      <c r="GT7" s="1915"/>
      <c r="GU7" s="862"/>
      <c r="GV7" s="1915"/>
      <c r="GW7" s="1915"/>
      <c r="GX7" s="1915"/>
      <c r="GY7" s="862"/>
      <c r="GZ7" s="1915"/>
      <c r="HA7" s="1915"/>
      <c r="HB7" s="1915"/>
      <c r="HC7" s="862"/>
      <c r="HD7" s="1915"/>
      <c r="HE7" s="1915"/>
      <c r="HF7" s="1915"/>
      <c r="HG7" s="862"/>
      <c r="HH7" s="1915"/>
      <c r="HI7" s="1915"/>
      <c r="HJ7" s="1915"/>
      <c r="HK7" s="862"/>
      <c r="HL7" s="1915"/>
      <c r="HM7" s="1915"/>
      <c r="HN7" s="1915"/>
      <c r="HO7" s="862"/>
      <c r="HP7" s="1915"/>
      <c r="HQ7" s="1915"/>
      <c r="HR7" s="1915"/>
      <c r="HS7" s="862"/>
      <c r="HT7" s="1915"/>
      <c r="HU7" s="1915"/>
      <c r="HV7" s="1915"/>
      <c r="HW7" s="862"/>
      <c r="HX7" s="1915"/>
      <c r="HY7" s="1915"/>
      <c r="HZ7" s="1915"/>
      <c r="IA7" s="862"/>
      <c r="IB7" s="1915"/>
      <c r="IC7" s="1915"/>
      <c r="ID7" s="1915"/>
      <c r="IE7" s="862"/>
      <c r="IF7" s="1915"/>
      <c r="IG7" s="1915"/>
      <c r="IH7" s="1915"/>
      <c r="II7" s="862"/>
      <c r="IJ7" s="1915"/>
      <c r="IK7" s="1915"/>
      <c r="IL7" s="1915"/>
      <c r="IM7" s="862"/>
      <c r="IN7" s="1915"/>
      <c r="IO7" s="1915"/>
      <c r="IP7" s="1915"/>
      <c r="IQ7" s="862"/>
      <c r="IR7" s="1915"/>
      <c r="IS7" s="1915"/>
      <c r="IT7" s="1915"/>
      <c r="IU7" s="862"/>
      <c r="IV7" s="1915"/>
      <c r="IW7" s="1915"/>
      <c r="IX7" s="1915"/>
      <c r="IY7" s="862"/>
      <c r="IZ7" s="1915"/>
      <c r="JA7" s="1915"/>
      <c r="JB7" s="1915"/>
      <c r="JC7" s="862"/>
      <c r="JD7" s="1915"/>
      <c r="JE7" s="1915"/>
      <c r="JF7" s="1915"/>
      <c r="JG7" s="862"/>
      <c r="JH7" s="1915"/>
      <c r="JI7" s="1915"/>
      <c r="JJ7" s="1915"/>
      <c r="JK7" s="862"/>
      <c r="JL7" s="1915"/>
      <c r="JM7" s="1915"/>
      <c r="JN7" s="1915"/>
      <c r="JO7" s="862"/>
      <c r="JP7" s="1915"/>
      <c r="JQ7" s="1915"/>
      <c r="JR7" s="1915"/>
      <c r="JS7" s="862"/>
      <c r="JT7" s="1915"/>
      <c r="JU7" s="1915"/>
      <c r="JV7" s="1915"/>
      <c r="JW7" s="862"/>
      <c r="JX7" s="1915"/>
      <c r="JY7" s="1915"/>
      <c r="JZ7" s="1915"/>
      <c r="KA7" s="862"/>
      <c r="KB7" s="1915"/>
      <c r="KC7" s="1915"/>
      <c r="KD7" s="1915"/>
      <c r="KE7" s="862"/>
      <c r="KF7" s="1915"/>
      <c r="KG7" s="1915"/>
      <c r="KH7" s="1915"/>
      <c r="KI7" s="862"/>
      <c r="KJ7" s="1915"/>
      <c r="KK7" s="1915"/>
      <c r="KL7" s="1915"/>
      <c r="KM7" s="862"/>
      <c r="KN7" s="1915"/>
      <c r="KO7" s="1915"/>
      <c r="KP7" s="1915"/>
      <c r="KQ7" s="862"/>
      <c r="KR7" s="1915"/>
      <c r="KS7" s="1915"/>
      <c r="KT7" s="1915"/>
      <c r="KU7" s="862"/>
      <c r="KV7" s="1915"/>
      <c r="KW7" s="1915"/>
      <c r="LC7" s="521" t="str">
        <f xml:space="preserve"> IF( SUM( LE7:XC7 ) = 0, 0, $LG$3 )</f>
        <v>Please complete all cells in row</v>
      </c>
      <c r="LF7" s="1641">
        <f>SUM(LG7:XC7)</f>
        <v>1</v>
      </c>
      <c r="LG7" s="98">
        <f xml:space="preserve"> IF( OR( C7 = "Yes", C7 = "No"), 0, 1)</f>
        <v>1</v>
      </c>
    </row>
    <row r="8" spans="1:627" ht="15" thickBot="1">
      <c r="LG8" s="663" t="s">
        <v>3963</v>
      </c>
    </row>
    <row r="9" spans="1:627" ht="15" customHeight="1" thickBot="1">
      <c r="A9" s="1920"/>
      <c r="B9" s="3176" t="s">
        <v>2395</v>
      </c>
      <c r="C9" s="319"/>
      <c r="D9" s="319" t="s">
        <v>2396</v>
      </c>
      <c r="E9" s="319" t="s">
        <v>2397</v>
      </c>
      <c r="F9" s="1921" t="s">
        <v>3929</v>
      </c>
      <c r="G9" s="1922"/>
      <c r="H9" s="1922"/>
      <c r="I9" s="1923"/>
      <c r="J9" s="1924" t="s">
        <v>11716</v>
      </c>
      <c r="K9" s="1925"/>
      <c r="L9" s="1925"/>
      <c r="M9" s="1926"/>
      <c r="N9" s="1924" t="str">
        <f>$J$9</f>
        <v>Component / sub-component</v>
      </c>
      <c r="O9" s="1925"/>
      <c r="P9" s="1925"/>
      <c r="Q9" s="1926"/>
      <c r="R9" s="1924" t="str">
        <f>$J$9</f>
        <v>Component / sub-component</v>
      </c>
      <c r="S9" s="1925"/>
      <c r="T9" s="1925"/>
      <c r="U9" s="1926"/>
      <c r="V9" s="1924" t="str">
        <f>$J$9</f>
        <v>Component / sub-component</v>
      </c>
      <c r="W9" s="1925"/>
      <c r="X9" s="1925"/>
      <c r="Y9" s="1926"/>
      <c r="Z9" s="1924" t="str">
        <f>$J$9</f>
        <v>Component / sub-component</v>
      </c>
      <c r="AA9" s="1925"/>
      <c r="AB9" s="1925"/>
      <c r="AC9" s="1926"/>
      <c r="AD9" s="1924" t="str">
        <f>$J$9</f>
        <v>Component / sub-component</v>
      </c>
      <c r="AE9" s="1925"/>
      <c r="AF9" s="1925"/>
      <c r="AG9" s="1926"/>
      <c r="AH9" s="1924" t="str">
        <f>$J$9</f>
        <v>Component / sub-component</v>
      </c>
      <c r="AI9" s="1925"/>
      <c r="AJ9" s="1925"/>
      <c r="AK9" s="1926"/>
      <c r="AL9" s="1924" t="str">
        <f>$J$9</f>
        <v>Component / sub-component</v>
      </c>
      <c r="AM9" s="1925"/>
      <c r="AN9" s="1925"/>
      <c r="AO9" s="1926"/>
      <c r="AP9" s="1924" t="str">
        <f>$J$9</f>
        <v>Component / sub-component</v>
      </c>
      <c r="AQ9" s="1925"/>
      <c r="AR9" s="1925"/>
      <c r="AS9" s="1926"/>
      <c r="AT9" s="1924" t="str">
        <f>$J$9</f>
        <v>Component / sub-component</v>
      </c>
      <c r="AU9" s="1925"/>
      <c r="AV9" s="1925"/>
      <c r="AW9" s="1926"/>
      <c r="AX9" s="1924" t="str">
        <f>$J$9</f>
        <v>Component / sub-component</v>
      </c>
      <c r="AY9" s="1925"/>
      <c r="AZ9" s="1925"/>
      <c r="BA9" s="1926"/>
      <c r="BB9" s="1924" t="str">
        <f>$J$9</f>
        <v>Component / sub-component</v>
      </c>
      <c r="BC9" s="1925"/>
      <c r="BD9" s="1925"/>
      <c r="BE9" s="1926"/>
      <c r="BF9" s="1924" t="str">
        <f>$J$9</f>
        <v>Component / sub-component</v>
      </c>
      <c r="BG9" s="1925"/>
      <c r="BH9" s="1925"/>
      <c r="BI9" s="1926"/>
      <c r="BJ9" s="1924" t="str">
        <f>$J$9</f>
        <v>Component / sub-component</v>
      </c>
      <c r="BK9" s="1925"/>
      <c r="BL9" s="1925"/>
      <c r="BM9" s="1926"/>
      <c r="BN9" s="1924" t="str">
        <f>$J$9</f>
        <v>Component / sub-component</v>
      </c>
      <c r="BO9" s="1925"/>
      <c r="BP9" s="1925"/>
      <c r="BQ9" s="1926"/>
      <c r="BR9" s="1924" t="str">
        <f>$J$9</f>
        <v>Component / sub-component</v>
      </c>
      <c r="BS9" s="1925"/>
      <c r="BT9" s="1925"/>
      <c r="BU9" s="1926"/>
      <c r="BV9" s="1924" t="str">
        <f>$J$9</f>
        <v>Component / sub-component</v>
      </c>
      <c r="BW9" s="1925"/>
      <c r="BX9" s="1925"/>
      <c r="BY9" s="1926"/>
      <c r="BZ9" s="1924" t="str">
        <f>$J$9</f>
        <v>Component / sub-component</v>
      </c>
      <c r="CA9" s="1925"/>
      <c r="CB9" s="1925"/>
      <c r="CC9" s="1926"/>
      <c r="CD9" s="1924" t="str">
        <f>$J$9</f>
        <v>Component / sub-component</v>
      </c>
      <c r="CE9" s="1925"/>
      <c r="CF9" s="1925"/>
      <c r="CG9" s="1926"/>
      <c r="CH9" s="1924" t="str">
        <f>$J$9</f>
        <v>Component / sub-component</v>
      </c>
      <c r="CI9" s="1925"/>
      <c r="CJ9" s="1925"/>
      <c r="CK9" s="1926"/>
      <c r="CL9" s="1924" t="str">
        <f>$J$9</f>
        <v>Component / sub-component</v>
      </c>
      <c r="CM9" s="1925"/>
      <c r="CN9" s="1925"/>
      <c r="CO9" s="1926"/>
      <c r="CP9" s="1924" t="str">
        <f>$J$9</f>
        <v>Component / sub-component</v>
      </c>
      <c r="CQ9" s="1925"/>
      <c r="CR9" s="1925"/>
      <c r="CS9" s="1926"/>
      <c r="CT9" s="1924" t="str">
        <f>$J$9</f>
        <v>Component / sub-component</v>
      </c>
      <c r="CU9" s="1925"/>
      <c r="CV9" s="1925"/>
      <c r="CW9" s="1926"/>
      <c r="CX9" s="1924" t="str">
        <f>$J$9</f>
        <v>Component / sub-component</v>
      </c>
      <c r="CY9" s="1925"/>
      <c r="CZ9" s="1925"/>
      <c r="DA9" s="1926"/>
      <c r="DB9" s="1924" t="str">
        <f>$J$9</f>
        <v>Component / sub-component</v>
      </c>
      <c r="DC9" s="1925"/>
      <c r="DD9" s="1925"/>
      <c r="DE9" s="1926"/>
      <c r="DF9" s="1924" t="str">
        <f>$J$9</f>
        <v>Component / sub-component</v>
      </c>
      <c r="DG9" s="1925"/>
      <c r="DH9" s="1925"/>
      <c r="DI9" s="1926"/>
      <c r="DJ9" s="1924" t="str">
        <f>$J$9</f>
        <v>Component / sub-component</v>
      </c>
      <c r="DK9" s="1925"/>
      <c r="DL9" s="1925"/>
      <c r="DM9" s="1926"/>
      <c r="DN9" s="1924" t="str">
        <f>$J$9</f>
        <v>Component / sub-component</v>
      </c>
      <c r="DO9" s="1925"/>
      <c r="DP9" s="1925"/>
      <c r="DQ9" s="1926"/>
      <c r="DR9" s="1924" t="str">
        <f>$J$9</f>
        <v>Component / sub-component</v>
      </c>
      <c r="DS9" s="1925"/>
      <c r="DT9" s="1925"/>
      <c r="DU9" s="1926"/>
      <c r="DV9" s="1924" t="str">
        <f>$J$9</f>
        <v>Component / sub-component</v>
      </c>
      <c r="DW9" s="1925"/>
      <c r="DX9" s="1925"/>
      <c r="DY9" s="1926"/>
      <c r="DZ9" s="1924" t="str">
        <f>$J$9</f>
        <v>Component / sub-component</v>
      </c>
      <c r="EA9" s="1925"/>
      <c r="EB9" s="1925"/>
      <c r="EC9" s="1926"/>
      <c r="ED9" s="1924" t="str">
        <f>$J$9</f>
        <v>Component / sub-component</v>
      </c>
      <c r="EE9" s="1925"/>
      <c r="EF9" s="1925"/>
      <c r="EG9" s="1926"/>
      <c r="EH9" s="1924" t="str">
        <f>$J$9</f>
        <v>Component / sub-component</v>
      </c>
      <c r="EI9" s="1925"/>
      <c r="EJ9" s="1925"/>
      <c r="EK9" s="1926"/>
      <c r="EL9" s="1924" t="str">
        <f>$J$9</f>
        <v>Component / sub-component</v>
      </c>
      <c r="EM9" s="1925"/>
      <c r="EN9" s="1925"/>
      <c r="EO9" s="1926"/>
      <c r="EP9" s="1924" t="str">
        <f>$J$9</f>
        <v>Component / sub-component</v>
      </c>
      <c r="EQ9" s="1925"/>
      <c r="ER9" s="1925"/>
      <c r="ES9" s="1926"/>
      <c r="ET9" s="1924" t="str">
        <f>$J$9</f>
        <v>Component / sub-component</v>
      </c>
      <c r="EU9" s="1925"/>
      <c r="EV9" s="1925"/>
      <c r="EW9" s="1926"/>
      <c r="EX9" s="1924" t="str">
        <f>$J$9</f>
        <v>Component / sub-component</v>
      </c>
      <c r="EY9" s="1925"/>
      <c r="EZ9" s="1925"/>
      <c r="FA9" s="1926"/>
      <c r="FB9" s="1924" t="str">
        <f>$J$9</f>
        <v>Component / sub-component</v>
      </c>
      <c r="FC9" s="1925"/>
      <c r="FD9" s="1925"/>
      <c r="FE9" s="1926"/>
      <c r="FF9" s="1924" t="str">
        <f>$J$9</f>
        <v>Component / sub-component</v>
      </c>
      <c r="FG9" s="1925"/>
      <c r="FH9" s="1925"/>
      <c r="FI9" s="1926"/>
      <c r="FJ9" s="1924" t="str">
        <f>$J$9</f>
        <v>Component / sub-component</v>
      </c>
      <c r="FK9" s="1925"/>
      <c r="FL9" s="1925"/>
      <c r="FM9" s="1926"/>
      <c r="FN9" s="1924" t="str">
        <f>$J$9</f>
        <v>Component / sub-component</v>
      </c>
      <c r="FO9" s="1925"/>
      <c r="FP9" s="1925"/>
      <c r="FQ9" s="1926"/>
      <c r="FR9" s="1924" t="str">
        <f>$J$9</f>
        <v>Component / sub-component</v>
      </c>
      <c r="FS9" s="1925"/>
      <c r="FT9" s="1925"/>
      <c r="FU9" s="1926"/>
      <c r="FV9" s="1924" t="str">
        <f>$J$9</f>
        <v>Component / sub-component</v>
      </c>
      <c r="FW9" s="1925"/>
      <c r="FX9" s="1925"/>
      <c r="FY9" s="1926"/>
      <c r="FZ9" s="1924" t="str">
        <f>$J$9</f>
        <v>Component / sub-component</v>
      </c>
      <c r="GA9" s="1925"/>
      <c r="GB9" s="1925"/>
      <c r="GC9" s="1926"/>
      <c r="GD9" s="1924" t="str">
        <f>$J$9</f>
        <v>Component / sub-component</v>
      </c>
      <c r="GE9" s="1925"/>
      <c r="GF9" s="1925"/>
      <c r="GG9" s="1926"/>
      <c r="GH9" s="1924" t="str">
        <f>$J$9</f>
        <v>Component / sub-component</v>
      </c>
      <c r="GI9" s="1925"/>
      <c r="GJ9" s="1925"/>
      <c r="GK9" s="1926"/>
      <c r="GL9" s="1924" t="str">
        <f>$J$9</f>
        <v>Component / sub-component</v>
      </c>
      <c r="GM9" s="1925"/>
      <c r="GN9" s="1925"/>
      <c r="GO9" s="1926"/>
      <c r="GP9" s="1924" t="str">
        <f>$J$9</f>
        <v>Component / sub-component</v>
      </c>
      <c r="GQ9" s="1925"/>
      <c r="GR9" s="1925"/>
      <c r="GS9" s="1926"/>
      <c r="GT9" s="1924" t="str">
        <f>$J$9</f>
        <v>Component / sub-component</v>
      </c>
      <c r="GU9" s="1925"/>
      <c r="GV9" s="1925"/>
      <c r="GW9" s="1926"/>
      <c r="GX9" s="1924" t="str">
        <f>$J$9</f>
        <v>Component / sub-component</v>
      </c>
      <c r="GY9" s="1925"/>
      <c r="GZ9" s="1925"/>
      <c r="HA9" s="1926"/>
      <c r="HB9" s="1924" t="str">
        <f>$J$9</f>
        <v>Component / sub-component</v>
      </c>
      <c r="HC9" s="1925"/>
      <c r="HD9" s="1925"/>
      <c r="HE9" s="1926"/>
      <c r="HF9" s="1924" t="str">
        <f>$J$9</f>
        <v>Component / sub-component</v>
      </c>
      <c r="HG9" s="1925"/>
      <c r="HH9" s="1925"/>
      <c r="HI9" s="1926"/>
      <c r="HJ9" s="1924" t="str">
        <f>$J$9</f>
        <v>Component / sub-component</v>
      </c>
      <c r="HK9" s="1925"/>
      <c r="HL9" s="1925"/>
      <c r="HM9" s="1926"/>
      <c r="HN9" s="1924" t="str">
        <f>$J$9</f>
        <v>Component / sub-component</v>
      </c>
      <c r="HO9" s="1925"/>
      <c r="HP9" s="1925"/>
      <c r="HQ9" s="1926"/>
      <c r="HR9" s="1924" t="str">
        <f>$J$9</f>
        <v>Component / sub-component</v>
      </c>
      <c r="HS9" s="1925"/>
      <c r="HT9" s="1925"/>
      <c r="HU9" s="1926"/>
      <c r="HV9" s="1924" t="str">
        <f>$J$9</f>
        <v>Component / sub-component</v>
      </c>
      <c r="HW9" s="1925"/>
      <c r="HX9" s="1925"/>
      <c r="HY9" s="1926"/>
      <c r="HZ9" s="1924" t="str">
        <f>$J$9</f>
        <v>Component / sub-component</v>
      </c>
      <c r="IA9" s="1925"/>
      <c r="IB9" s="1925"/>
      <c r="IC9" s="1926"/>
      <c r="ID9" s="1924" t="str">
        <f>$J$9</f>
        <v>Component / sub-component</v>
      </c>
      <c r="IE9" s="1925"/>
      <c r="IF9" s="1925"/>
      <c r="IG9" s="1926"/>
      <c r="IH9" s="1924" t="str">
        <f>$J$9</f>
        <v>Component / sub-component</v>
      </c>
      <c r="II9" s="1925"/>
      <c r="IJ9" s="1925"/>
      <c r="IK9" s="1926"/>
      <c r="IL9" s="1924" t="str">
        <f>$J$9</f>
        <v>Component / sub-component</v>
      </c>
      <c r="IM9" s="1925"/>
      <c r="IN9" s="1925"/>
      <c r="IO9" s="1926"/>
      <c r="IP9" s="1924" t="str">
        <f>$J$9</f>
        <v>Component / sub-component</v>
      </c>
      <c r="IQ9" s="1925"/>
      <c r="IR9" s="1925"/>
      <c r="IS9" s="1926"/>
      <c r="IT9" s="1924" t="str">
        <f>$J$9</f>
        <v>Component / sub-component</v>
      </c>
      <c r="IU9" s="1925"/>
      <c r="IV9" s="1925"/>
      <c r="IW9" s="1926"/>
      <c r="IX9" s="1924" t="str">
        <f>$J$9</f>
        <v>Component / sub-component</v>
      </c>
      <c r="IY9" s="1925"/>
      <c r="IZ9" s="1925"/>
      <c r="JA9" s="1926"/>
      <c r="JB9" s="1924" t="str">
        <f>$J$9</f>
        <v>Component / sub-component</v>
      </c>
      <c r="JC9" s="1925"/>
      <c r="JD9" s="1925"/>
      <c r="JE9" s="1926"/>
      <c r="JF9" s="1924" t="str">
        <f>$J$9</f>
        <v>Component / sub-component</v>
      </c>
      <c r="JG9" s="1925"/>
      <c r="JH9" s="1925"/>
      <c r="JI9" s="1926"/>
      <c r="JJ9" s="1924" t="str">
        <f>$J$9</f>
        <v>Component / sub-component</v>
      </c>
      <c r="JK9" s="1925"/>
      <c r="JL9" s="1925"/>
      <c r="JM9" s="1926"/>
      <c r="JN9" s="1924" t="str">
        <f>$J$9</f>
        <v>Component / sub-component</v>
      </c>
      <c r="JO9" s="1925"/>
      <c r="JP9" s="1925"/>
      <c r="JQ9" s="1926"/>
      <c r="JR9" s="1924" t="str">
        <f>$J$9</f>
        <v>Component / sub-component</v>
      </c>
      <c r="JS9" s="1925"/>
      <c r="JT9" s="1925"/>
      <c r="JU9" s="1926"/>
      <c r="JV9" s="1924" t="str">
        <f>$J$9</f>
        <v>Component / sub-component</v>
      </c>
      <c r="JW9" s="1925"/>
      <c r="JX9" s="1925"/>
      <c r="JY9" s="1926"/>
      <c r="JZ9" s="1924" t="str">
        <f>$J$9</f>
        <v>Component / sub-component</v>
      </c>
      <c r="KA9" s="1925"/>
      <c r="KB9" s="1925"/>
      <c r="KC9" s="1926"/>
      <c r="KD9" s="1924" t="str">
        <f>$J$9</f>
        <v>Component / sub-component</v>
      </c>
      <c r="KE9" s="1925"/>
      <c r="KF9" s="1925"/>
      <c r="KG9" s="1926"/>
      <c r="KH9" s="1924" t="str">
        <f>$J$9</f>
        <v>Component / sub-component</v>
      </c>
      <c r="KI9" s="1925"/>
      <c r="KJ9" s="1925"/>
      <c r="KK9" s="1926"/>
      <c r="KL9" s="1924" t="str">
        <f>$J$9</f>
        <v>Component / sub-component</v>
      </c>
      <c r="KM9" s="1925"/>
      <c r="KN9" s="1925"/>
      <c r="KO9" s="1926"/>
      <c r="KP9" s="1924" t="str">
        <f>$J$9</f>
        <v>Component / sub-component</v>
      </c>
      <c r="KQ9" s="1925"/>
      <c r="KR9" s="1925"/>
      <c r="KS9" s="1926"/>
      <c r="KT9" s="1924" t="str">
        <f>$J$9</f>
        <v>Component / sub-component</v>
      </c>
      <c r="KU9" s="1925"/>
      <c r="KV9" s="1925"/>
      <c r="KW9" s="1926"/>
      <c r="KX9" s="1924"/>
      <c r="KY9" s="1925"/>
      <c r="KZ9" s="1925"/>
      <c r="LA9" s="1926"/>
      <c r="LC9" s="393" t="s">
        <v>1361</v>
      </c>
      <c r="LG9" s="894" t="s">
        <v>2718</v>
      </c>
      <c r="LH9" s="894" t="s">
        <v>2719</v>
      </c>
      <c r="LI9" s="894" t="s">
        <v>2720</v>
      </c>
      <c r="LJ9" s="894" t="s">
        <v>2721</v>
      </c>
      <c r="LK9" s="894" t="s">
        <v>2722</v>
      </c>
      <c r="LL9" s="894" t="s">
        <v>2723</v>
      </c>
      <c r="LM9" s="894" t="s">
        <v>2724</v>
      </c>
      <c r="LN9" s="894" t="s">
        <v>2725</v>
      </c>
      <c r="LO9" s="894" t="s">
        <v>2726</v>
      </c>
      <c r="LP9" s="894" t="s">
        <v>3735</v>
      </c>
      <c r="LQ9" s="894" t="s">
        <v>3736</v>
      </c>
      <c r="LR9" s="894" t="s">
        <v>3964</v>
      </c>
      <c r="LS9" s="894" t="s">
        <v>3965</v>
      </c>
      <c r="LT9" s="894" t="s">
        <v>3966</v>
      </c>
      <c r="LU9" s="894" t="s">
        <v>3967</v>
      </c>
      <c r="LV9" s="894" t="s">
        <v>3968</v>
      </c>
      <c r="LW9" s="894" t="s">
        <v>3969</v>
      </c>
      <c r="LX9" s="894" t="s">
        <v>3970</v>
      </c>
      <c r="LY9" s="894" t="s">
        <v>3971</v>
      </c>
      <c r="LZ9" s="894" t="s">
        <v>3972</v>
      </c>
      <c r="MA9" s="894" t="s">
        <v>3973</v>
      </c>
      <c r="MB9" s="894" t="s">
        <v>3974</v>
      </c>
      <c r="MC9" s="894" t="s">
        <v>3975</v>
      </c>
      <c r="MD9" s="894" t="s">
        <v>3976</v>
      </c>
      <c r="ME9" s="894" t="s">
        <v>3977</v>
      </c>
      <c r="MF9" s="894" t="s">
        <v>3978</v>
      </c>
      <c r="MG9" s="894" t="s">
        <v>3979</v>
      </c>
      <c r="MH9" s="894" t="s">
        <v>3980</v>
      </c>
      <c r="MI9" s="894" t="s">
        <v>3981</v>
      </c>
      <c r="MJ9" s="894" t="s">
        <v>3982</v>
      </c>
      <c r="MK9" s="894" t="s">
        <v>3983</v>
      </c>
      <c r="ML9" s="894" t="s">
        <v>3984</v>
      </c>
      <c r="MM9" s="894" t="s">
        <v>3985</v>
      </c>
      <c r="MN9" s="894" t="s">
        <v>3986</v>
      </c>
      <c r="MO9" s="894" t="s">
        <v>3987</v>
      </c>
      <c r="MP9" s="894" t="s">
        <v>3988</v>
      </c>
      <c r="MQ9" s="894" t="s">
        <v>3989</v>
      </c>
      <c r="MR9" s="894" t="s">
        <v>3990</v>
      </c>
      <c r="MS9" s="894" t="s">
        <v>3991</v>
      </c>
      <c r="MT9" s="894" t="s">
        <v>3992</v>
      </c>
      <c r="MU9" s="894" t="s">
        <v>3993</v>
      </c>
      <c r="MV9" s="894" t="s">
        <v>3994</v>
      </c>
      <c r="MW9" s="894" t="s">
        <v>3995</v>
      </c>
      <c r="MX9" s="894" t="s">
        <v>3996</v>
      </c>
      <c r="MY9" s="894" t="s">
        <v>3997</v>
      </c>
      <c r="MZ9" s="894" t="s">
        <v>3998</v>
      </c>
      <c r="NA9" s="894" t="s">
        <v>3999</v>
      </c>
      <c r="NB9" s="894" t="s">
        <v>4000</v>
      </c>
      <c r="NC9" s="894" t="s">
        <v>4001</v>
      </c>
      <c r="ND9" s="894" t="s">
        <v>4002</v>
      </c>
      <c r="NE9" s="894" t="s">
        <v>4003</v>
      </c>
      <c r="NF9" s="894" t="s">
        <v>4004</v>
      </c>
      <c r="NG9" s="894" t="s">
        <v>4005</v>
      </c>
      <c r="NH9" s="894" t="s">
        <v>4006</v>
      </c>
      <c r="NI9" s="894" t="s">
        <v>4007</v>
      </c>
      <c r="NJ9" s="894" t="s">
        <v>4008</v>
      </c>
      <c r="NK9" s="894" t="s">
        <v>4009</v>
      </c>
      <c r="NL9" s="894" t="s">
        <v>4010</v>
      </c>
      <c r="NM9" s="894" t="s">
        <v>4011</v>
      </c>
      <c r="NN9" s="894" t="s">
        <v>4012</v>
      </c>
      <c r="NO9" s="894" t="s">
        <v>4013</v>
      </c>
      <c r="NP9" s="894" t="s">
        <v>4014</v>
      </c>
      <c r="NQ9" s="894" t="s">
        <v>4015</v>
      </c>
      <c r="NR9" s="894" t="s">
        <v>4016</v>
      </c>
      <c r="NS9" s="894" t="s">
        <v>4017</v>
      </c>
      <c r="NT9" s="894" t="s">
        <v>4018</v>
      </c>
      <c r="NU9" s="894" t="s">
        <v>4019</v>
      </c>
      <c r="NV9" s="894" t="s">
        <v>4020</v>
      </c>
      <c r="NW9" s="894" t="s">
        <v>11717</v>
      </c>
      <c r="NX9" s="894" t="s">
        <v>11718</v>
      </c>
      <c r="NY9" s="894" t="s">
        <v>11719</v>
      </c>
      <c r="NZ9" s="894" t="s">
        <v>11720</v>
      </c>
      <c r="OA9" s="894" t="s">
        <v>11721</v>
      </c>
      <c r="OB9" s="894" t="s">
        <v>11722</v>
      </c>
      <c r="OC9" s="894" t="s">
        <v>11723</v>
      </c>
      <c r="OD9" s="894" t="s">
        <v>11724</v>
      </c>
      <c r="OE9" s="894" t="s">
        <v>11725</v>
      </c>
      <c r="OF9" s="894" t="s">
        <v>11726</v>
      </c>
      <c r="OG9" s="894" t="s">
        <v>11727</v>
      </c>
      <c r="OH9" s="894" t="s">
        <v>11728</v>
      </c>
      <c r="OI9" s="894" t="s">
        <v>11729</v>
      </c>
      <c r="OJ9" s="894" t="s">
        <v>11730</v>
      </c>
      <c r="OK9" s="894" t="s">
        <v>11731</v>
      </c>
      <c r="OL9" s="894" t="s">
        <v>11732</v>
      </c>
      <c r="OM9" s="894" t="s">
        <v>11733</v>
      </c>
      <c r="ON9" s="894" t="s">
        <v>11734</v>
      </c>
      <c r="OO9" s="894" t="s">
        <v>11735</v>
      </c>
      <c r="OP9" s="894" t="s">
        <v>11736</v>
      </c>
      <c r="OQ9" s="894" t="s">
        <v>11737</v>
      </c>
      <c r="OR9" s="894" t="s">
        <v>11738</v>
      </c>
      <c r="OS9" s="894" t="s">
        <v>11739</v>
      </c>
      <c r="OT9" s="894" t="s">
        <v>11740</v>
      </c>
      <c r="OU9" s="894" t="s">
        <v>11741</v>
      </c>
      <c r="OV9" s="894" t="s">
        <v>11742</v>
      </c>
      <c r="OW9" s="894" t="s">
        <v>11743</v>
      </c>
      <c r="OX9" s="894" t="s">
        <v>11744</v>
      </c>
      <c r="OY9" s="894" t="s">
        <v>11745</v>
      </c>
      <c r="OZ9" s="894" t="s">
        <v>11746</v>
      </c>
      <c r="PA9" s="894" t="s">
        <v>11747</v>
      </c>
      <c r="PB9" s="894" t="s">
        <v>11748</v>
      </c>
      <c r="PC9" s="894" t="s">
        <v>11749</v>
      </c>
      <c r="PD9" s="894" t="s">
        <v>11750</v>
      </c>
      <c r="PE9" s="894" t="s">
        <v>11751</v>
      </c>
      <c r="PF9" s="894" t="s">
        <v>11752</v>
      </c>
      <c r="PG9" s="894" t="s">
        <v>11753</v>
      </c>
      <c r="PH9" s="894" t="s">
        <v>11754</v>
      </c>
      <c r="PI9" s="894" t="s">
        <v>11755</v>
      </c>
      <c r="PJ9" s="894" t="s">
        <v>11756</v>
      </c>
      <c r="PK9" s="894" t="s">
        <v>11757</v>
      </c>
      <c r="PL9" s="894" t="s">
        <v>11758</v>
      </c>
      <c r="PM9" s="894" t="s">
        <v>11759</v>
      </c>
      <c r="PN9" s="894" t="s">
        <v>11760</v>
      </c>
      <c r="PO9" s="894" t="s">
        <v>11761</v>
      </c>
      <c r="PP9" s="894" t="s">
        <v>11762</v>
      </c>
      <c r="PQ9" s="894" t="s">
        <v>11763</v>
      </c>
      <c r="PR9" s="894" t="s">
        <v>11764</v>
      </c>
      <c r="PS9" s="894" t="s">
        <v>11765</v>
      </c>
      <c r="PT9" s="894" t="s">
        <v>11766</v>
      </c>
      <c r="PU9" s="894" t="s">
        <v>11767</v>
      </c>
      <c r="PV9" s="894" t="s">
        <v>11768</v>
      </c>
      <c r="PW9" s="894" t="s">
        <v>11769</v>
      </c>
      <c r="PX9" s="894" t="s">
        <v>11770</v>
      </c>
      <c r="PY9" s="894" t="s">
        <v>11771</v>
      </c>
      <c r="PZ9" s="894" t="s">
        <v>11772</v>
      </c>
      <c r="QA9" s="894" t="s">
        <v>11773</v>
      </c>
      <c r="QB9" s="894" t="s">
        <v>11774</v>
      </c>
      <c r="QC9" s="894" t="s">
        <v>11775</v>
      </c>
      <c r="QD9" s="894" t="s">
        <v>11776</v>
      </c>
      <c r="QE9" s="894" t="s">
        <v>11777</v>
      </c>
      <c r="QF9" s="894" t="s">
        <v>11778</v>
      </c>
      <c r="QG9" s="894" t="s">
        <v>11779</v>
      </c>
      <c r="QH9" s="894" t="s">
        <v>11780</v>
      </c>
      <c r="QI9" s="894" t="s">
        <v>11781</v>
      </c>
      <c r="QJ9" s="894" t="s">
        <v>11782</v>
      </c>
      <c r="QK9" s="894" t="s">
        <v>11783</v>
      </c>
      <c r="QL9" s="894" t="s">
        <v>11784</v>
      </c>
      <c r="QM9" s="894" t="s">
        <v>11785</v>
      </c>
      <c r="QN9" s="894" t="s">
        <v>6144</v>
      </c>
      <c r="QO9" s="894" t="s">
        <v>11786</v>
      </c>
      <c r="QP9" s="894" t="s">
        <v>11787</v>
      </c>
      <c r="QQ9" s="894" t="s">
        <v>11788</v>
      </c>
      <c r="QR9" s="894" t="s">
        <v>11789</v>
      </c>
      <c r="QS9" s="894" t="s">
        <v>11790</v>
      </c>
      <c r="QT9" s="894" t="s">
        <v>11791</v>
      </c>
      <c r="QU9" s="894" t="s">
        <v>11792</v>
      </c>
      <c r="QV9" s="894" t="s">
        <v>11793</v>
      </c>
      <c r="QW9" s="894" t="s">
        <v>11794</v>
      </c>
      <c r="QX9" s="894" t="s">
        <v>6511</v>
      </c>
      <c r="QY9" s="894" t="s">
        <v>11795</v>
      </c>
      <c r="QZ9" s="894" t="s">
        <v>11796</v>
      </c>
      <c r="RA9" s="894" t="s">
        <v>11797</v>
      </c>
      <c r="RB9" s="894" t="s">
        <v>11798</v>
      </c>
      <c r="RC9" s="894" t="s">
        <v>11799</v>
      </c>
      <c r="RD9" s="894" t="s">
        <v>11800</v>
      </c>
      <c r="RE9" s="894" t="s">
        <v>11801</v>
      </c>
      <c r="RF9" s="894" t="s">
        <v>11802</v>
      </c>
      <c r="RG9" s="894" t="s">
        <v>11803</v>
      </c>
      <c r="RH9" s="894" t="s">
        <v>11804</v>
      </c>
      <c r="RI9" s="894" t="s">
        <v>11805</v>
      </c>
      <c r="RJ9" s="894" t="s">
        <v>11806</v>
      </c>
      <c r="RK9" s="894" t="s">
        <v>11807</v>
      </c>
      <c r="RL9" s="894" t="s">
        <v>11808</v>
      </c>
      <c r="RM9" s="894" t="s">
        <v>11809</v>
      </c>
      <c r="RN9" s="894" t="s">
        <v>11810</v>
      </c>
      <c r="RO9" s="894" t="s">
        <v>11811</v>
      </c>
      <c r="RP9" s="894" t="s">
        <v>11812</v>
      </c>
      <c r="RQ9" s="894" t="s">
        <v>11813</v>
      </c>
      <c r="RR9" s="894" t="s">
        <v>11814</v>
      </c>
      <c r="RS9" s="894" t="s">
        <v>11815</v>
      </c>
      <c r="RT9" s="894" t="s">
        <v>11816</v>
      </c>
      <c r="RU9" s="894" t="s">
        <v>11817</v>
      </c>
      <c r="RV9" s="894" t="s">
        <v>11818</v>
      </c>
      <c r="RW9" s="894" t="s">
        <v>11819</v>
      </c>
      <c r="RX9" s="894" t="s">
        <v>11820</v>
      </c>
      <c r="RY9" s="894" t="s">
        <v>11821</v>
      </c>
      <c r="RZ9" s="894" t="s">
        <v>11822</v>
      </c>
      <c r="SA9" s="894" t="s">
        <v>11823</v>
      </c>
      <c r="SB9" s="894" t="s">
        <v>11824</v>
      </c>
      <c r="SC9" s="894" t="s">
        <v>11825</v>
      </c>
      <c r="SD9" s="894" t="s">
        <v>11826</v>
      </c>
      <c r="SE9" s="894" t="s">
        <v>11827</v>
      </c>
      <c r="SF9" s="894" t="s">
        <v>11828</v>
      </c>
      <c r="SG9" s="894" t="s">
        <v>11829</v>
      </c>
      <c r="SH9" s="894" t="s">
        <v>11830</v>
      </c>
      <c r="SI9" s="894" t="s">
        <v>11831</v>
      </c>
      <c r="SJ9" s="894" t="s">
        <v>11832</v>
      </c>
      <c r="SK9" s="894" t="s">
        <v>11833</v>
      </c>
      <c r="SL9" s="894" t="s">
        <v>11834</v>
      </c>
      <c r="SM9" s="894" t="s">
        <v>11835</v>
      </c>
      <c r="SN9" s="894" t="s">
        <v>11836</v>
      </c>
      <c r="SO9" s="894" t="s">
        <v>11837</v>
      </c>
      <c r="SP9" s="894" t="s">
        <v>11838</v>
      </c>
      <c r="SQ9" s="894" t="s">
        <v>11839</v>
      </c>
      <c r="SR9" s="894" t="s">
        <v>11840</v>
      </c>
      <c r="SS9" s="894" t="s">
        <v>11841</v>
      </c>
      <c r="ST9" s="894" t="s">
        <v>11842</v>
      </c>
      <c r="SU9" s="894" t="s">
        <v>11843</v>
      </c>
      <c r="SV9" s="894" t="s">
        <v>11844</v>
      </c>
      <c r="SW9" s="894" t="s">
        <v>11845</v>
      </c>
      <c r="SX9" s="894" t="s">
        <v>6513</v>
      </c>
      <c r="SY9" s="894" t="s">
        <v>11846</v>
      </c>
      <c r="SZ9" s="894" t="s">
        <v>11847</v>
      </c>
      <c r="TA9" s="894" t="s">
        <v>11848</v>
      </c>
      <c r="TB9" s="894" t="s">
        <v>11849</v>
      </c>
      <c r="TC9" s="894" t="s">
        <v>11850</v>
      </c>
      <c r="TD9" s="894" t="s">
        <v>11851</v>
      </c>
      <c r="TE9" s="894" t="s">
        <v>11852</v>
      </c>
      <c r="TF9" s="894" t="s">
        <v>11853</v>
      </c>
      <c r="TG9" s="894" t="s">
        <v>11854</v>
      </c>
      <c r="TH9" s="894" t="s">
        <v>11855</v>
      </c>
      <c r="TI9" s="894" t="s">
        <v>11856</v>
      </c>
      <c r="TJ9" s="894" t="s">
        <v>11857</v>
      </c>
      <c r="TK9" s="894" t="s">
        <v>11711</v>
      </c>
      <c r="TL9" s="894" t="s">
        <v>11858</v>
      </c>
      <c r="TM9" s="894" t="s">
        <v>11859</v>
      </c>
      <c r="TN9" s="894" t="s">
        <v>11860</v>
      </c>
      <c r="TO9" s="894" t="s">
        <v>11861</v>
      </c>
      <c r="TP9" s="894" t="s">
        <v>11862</v>
      </c>
      <c r="TQ9" s="894" t="s">
        <v>11863</v>
      </c>
      <c r="TR9" s="894" t="s">
        <v>11864</v>
      </c>
      <c r="TS9" s="894" t="s">
        <v>11865</v>
      </c>
      <c r="TT9" s="894" t="s">
        <v>11866</v>
      </c>
      <c r="TU9" s="894" t="s">
        <v>11867</v>
      </c>
      <c r="TV9" s="894" t="s">
        <v>11868</v>
      </c>
      <c r="TW9" s="894" t="s">
        <v>11869</v>
      </c>
      <c r="TX9" s="894" t="s">
        <v>11870</v>
      </c>
      <c r="TY9" s="894" t="s">
        <v>11871</v>
      </c>
      <c r="TZ9" s="894" t="s">
        <v>11872</v>
      </c>
      <c r="UA9" s="894" t="s">
        <v>11873</v>
      </c>
      <c r="UB9" s="894" t="s">
        <v>11874</v>
      </c>
      <c r="UC9" s="894" t="s">
        <v>11875</v>
      </c>
      <c r="UD9" s="894" t="s">
        <v>11876</v>
      </c>
      <c r="UE9" s="894" t="s">
        <v>11877</v>
      </c>
      <c r="UF9" s="894" t="s">
        <v>11878</v>
      </c>
      <c r="UG9" s="894" t="s">
        <v>11879</v>
      </c>
      <c r="UH9" s="894" t="s">
        <v>11880</v>
      </c>
      <c r="UI9" s="894" t="s">
        <v>11881</v>
      </c>
      <c r="UJ9" s="894" t="s">
        <v>11882</v>
      </c>
      <c r="UK9" s="894" t="s">
        <v>11883</v>
      </c>
      <c r="UL9" s="894" t="s">
        <v>11884</v>
      </c>
      <c r="UM9" s="894" t="s">
        <v>11885</v>
      </c>
      <c r="UN9" s="894" t="s">
        <v>11886</v>
      </c>
      <c r="UO9" s="894" t="s">
        <v>11887</v>
      </c>
      <c r="UP9" s="894" t="s">
        <v>11888</v>
      </c>
      <c r="UQ9" s="894" t="s">
        <v>11889</v>
      </c>
      <c r="UR9" s="894" t="s">
        <v>11890</v>
      </c>
      <c r="US9" s="894" t="s">
        <v>11082</v>
      </c>
      <c r="UT9" s="894" t="s">
        <v>11891</v>
      </c>
      <c r="UU9" s="894" t="s">
        <v>11892</v>
      </c>
      <c r="UV9" s="894" t="s">
        <v>11893</v>
      </c>
      <c r="UW9" s="894" t="s">
        <v>11894</v>
      </c>
      <c r="UX9" s="894" t="s">
        <v>11895</v>
      </c>
      <c r="UY9" s="894" t="s">
        <v>11896</v>
      </c>
      <c r="UZ9" s="894" t="s">
        <v>11897</v>
      </c>
      <c r="VA9" s="894" t="s">
        <v>11898</v>
      </c>
      <c r="VB9" s="894" t="s">
        <v>4939</v>
      </c>
      <c r="VC9" s="894" t="s">
        <v>11899</v>
      </c>
      <c r="VD9" s="894" t="s">
        <v>11900</v>
      </c>
      <c r="VE9" s="894" t="s">
        <v>11901</v>
      </c>
      <c r="VF9" s="894" t="s">
        <v>11902</v>
      </c>
      <c r="VG9" s="894" t="s">
        <v>11903</v>
      </c>
      <c r="VH9" s="894" t="s">
        <v>11904</v>
      </c>
      <c r="VI9" s="894" t="s">
        <v>11905</v>
      </c>
      <c r="VJ9" s="894" t="s">
        <v>11906</v>
      </c>
      <c r="VK9" s="894" t="s">
        <v>11907</v>
      </c>
      <c r="VL9" s="894" t="s">
        <v>6512</v>
      </c>
      <c r="VM9" s="894" t="s">
        <v>11908</v>
      </c>
      <c r="VN9" s="894" t="s">
        <v>11909</v>
      </c>
      <c r="VO9" s="894" t="s">
        <v>3927</v>
      </c>
      <c r="VP9" s="894" t="s">
        <v>11910</v>
      </c>
      <c r="VQ9" s="894" t="s">
        <v>11911</v>
      </c>
      <c r="VR9" s="894" t="s">
        <v>11912</v>
      </c>
      <c r="VS9" s="894" t="s">
        <v>11913</v>
      </c>
      <c r="VT9" s="894" t="s">
        <v>11914</v>
      </c>
      <c r="VU9" s="894" t="s">
        <v>11915</v>
      </c>
      <c r="VV9" s="894" t="s">
        <v>11916</v>
      </c>
      <c r="VW9" s="894" t="s">
        <v>11917</v>
      </c>
      <c r="VX9" s="894" t="s">
        <v>11918</v>
      </c>
      <c r="VY9" s="894" t="s">
        <v>11919</v>
      </c>
      <c r="VZ9" s="894" t="s">
        <v>11920</v>
      </c>
      <c r="WA9" s="894" t="s">
        <v>11921</v>
      </c>
      <c r="WB9" s="894" t="s">
        <v>11922</v>
      </c>
      <c r="WC9" s="894" t="s">
        <v>11923</v>
      </c>
      <c r="WD9" s="894" t="s">
        <v>11924</v>
      </c>
      <c r="WE9" s="894" t="s">
        <v>11925</v>
      </c>
      <c r="WF9" s="894" t="s">
        <v>11926</v>
      </c>
      <c r="WG9" s="894" t="s">
        <v>11927</v>
      </c>
      <c r="WH9" s="894" t="s">
        <v>11928</v>
      </c>
      <c r="WI9" s="894" t="s">
        <v>11929</v>
      </c>
      <c r="WJ9" s="894" t="s">
        <v>11930</v>
      </c>
      <c r="WK9" s="894" t="s">
        <v>11931</v>
      </c>
      <c r="WL9" s="894" t="s">
        <v>11932</v>
      </c>
      <c r="WM9" s="894" t="s">
        <v>11933</v>
      </c>
      <c r="WN9" s="894" t="s">
        <v>11934</v>
      </c>
      <c r="WO9" s="894" t="s">
        <v>11935</v>
      </c>
      <c r="WP9" s="894" t="s">
        <v>11936</v>
      </c>
      <c r="WQ9" s="894" t="s">
        <v>11937</v>
      </c>
      <c r="WR9" s="894" t="s">
        <v>11938</v>
      </c>
      <c r="WS9" s="894" t="s">
        <v>11939</v>
      </c>
      <c r="WT9" s="894" t="s">
        <v>11940</v>
      </c>
      <c r="WU9" s="894" t="s">
        <v>11941</v>
      </c>
      <c r="WV9" s="894" t="s">
        <v>11942</v>
      </c>
      <c r="WW9" s="894" t="s">
        <v>11943</v>
      </c>
      <c r="WX9" s="894" t="s">
        <v>11944</v>
      </c>
      <c r="WY9" s="894" t="s">
        <v>11945</v>
      </c>
      <c r="WZ9" s="894" t="s">
        <v>11946</v>
      </c>
      <c r="XA9" s="894" t="s">
        <v>11947</v>
      </c>
      <c r="XB9" s="894" t="s">
        <v>11948</v>
      </c>
    </row>
    <row r="10" spans="1:627" ht="15">
      <c r="A10" s="1915"/>
      <c r="B10" s="1915"/>
      <c r="C10" s="1927"/>
      <c r="D10" s="863"/>
      <c r="E10" s="863"/>
      <c r="F10" s="863"/>
      <c r="G10" s="1915"/>
      <c r="H10" s="1915"/>
      <c r="I10" s="1915"/>
      <c r="J10" s="1928"/>
      <c r="K10" s="1929"/>
      <c r="L10" s="1929"/>
      <c r="M10" s="1929"/>
      <c r="N10" s="1928"/>
      <c r="O10" s="1929"/>
      <c r="P10" s="1929"/>
      <c r="Q10" s="1929"/>
      <c r="R10" s="1928"/>
      <c r="S10" s="1929"/>
      <c r="T10" s="1929"/>
      <c r="U10" s="1929"/>
      <c r="V10" s="1928"/>
      <c r="W10" s="1929"/>
      <c r="X10" s="1929"/>
      <c r="Y10" s="1929"/>
      <c r="Z10" s="1928"/>
      <c r="AA10" s="1929"/>
      <c r="AB10" s="1929"/>
      <c r="AC10" s="1929"/>
      <c r="AD10" s="1928"/>
      <c r="AE10" s="1929"/>
      <c r="AF10" s="1929"/>
      <c r="AG10" s="1929"/>
      <c r="AH10" s="1928"/>
      <c r="AI10" s="1929"/>
      <c r="AJ10" s="1929"/>
      <c r="AK10" s="1929"/>
      <c r="AL10" s="1928"/>
      <c r="AM10" s="1929"/>
      <c r="AN10" s="1929"/>
      <c r="AO10" s="1929"/>
      <c r="AP10" s="1928"/>
      <c r="AQ10" s="1929"/>
      <c r="AR10" s="1929"/>
      <c r="AS10" s="1929"/>
      <c r="AT10" s="1928"/>
      <c r="AU10" s="1929"/>
      <c r="AV10" s="1929"/>
      <c r="AW10" s="1929"/>
      <c r="AX10" s="1928"/>
      <c r="AY10" s="1929"/>
      <c r="AZ10" s="1929"/>
      <c r="BA10" s="1929"/>
      <c r="BB10" s="1928"/>
      <c r="BC10" s="1929"/>
      <c r="BD10" s="1929"/>
      <c r="BE10" s="1929"/>
      <c r="BF10" s="1928"/>
      <c r="BG10" s="1929"/>
      <c r="BH10" s="1929"/>
      <c r="BI10" s="1929"/>
      <c r="BJ10" s="1928"/>
      <c r="BK10" s="1929"/>
      <c r="BL10" s="1929"/>
      <c r="BM10" s="1929"/>
      <c r="BN10" s="1928"/>
      <c r="BO10" s="1929"/>
      <c r="BP10" s="1929"/>
      <c r="BQ10" s="1929"/>
      <c r="BR10" s="1928"/>
      <c r="BS10" s="1929"/>
      <c r="BT10" s="1929"/>
      <c r="BU10" s="1929"/>
      <c r="BV10" s="1928"/>
      <c r="BW10" s="1929"/>
      <c r="BX10" s="1929"/>
      <c r="BY10" s="1929"/>
      <c r="BZ10" s="1928"/>
      <c r="CA10" s="1929"/>
      <c r="CB10" s="1929"/>
      <c r="CC10" s="1929"/>
      <c r="CD10" s="1928"/>
      <c r="CE10" s="1929"/>
      <c r="CF10" s="1929"/>
      <c r="CG10" s="1929"/>
      <c r="CH10" s="1928"/>
      <c r="CI10" s="1929"/>
      <c r="CJ10" s="1929"/>
      <c r="CK10" s="1929"/>
      <c r="CL10" s="1928"/>
      <c r="CM10" s="1929"/>
      <c r="CN10" s="1929"/>
      <c r="CO10" s="1929"/>
      <c r="CP10" s="1928"/>
      <c r="CQ10" s="1929"/>
      <c r="CR10" s="1929"/>
      <c r="CS10" s="1929"/>
      <c r="CT10" s="1928"/>
      <c r="CU10" s="1929"/>
      <c r="CV10" s="1929"/>
      <c r="CW10" s="1929"/>
      <c r="CX10" s="1928"/>
      <c r="CY10" s="1929"/>
      <c r="CZ10" s="1929"/>
      <c r="DA10" s="1929"/>
      <c r="DB10" s="1928"/>
      <c r="DC10" s="1929"/>
      <c r="DD10" s="1929"/>
      <c r="DE10" s="1929"/>
      <c r="DF10" s="1928"/>
      <c r="DG10" s="1929"/>
      <c r="DH10" s="1929"/>
      <c r="DI10" s="1929"/>
      <c r="DJ10" s="1928"/>
      <c r="DK10" s="1929"/>
      <c r="DL10" s="1929"/>
      <c r="DM10" s="1929"/>
      <c r="DN10" s="1928"/>
      <c r="DO10" s="1929"/>
      <c r="DP10" s="1929"/>
      <c r="DQ10" s="1929"/>
      <c r="DR10" s="1928"/>
      <c r="DS10" s="1929"/>
      <c r="DT10" s="1929"/>
      <c r="DU10" s="1929"/>
      <c r="DV10" s="1928"/>
      <c r="DW10" s="1929"/>
      <c r="DX10" s="1929"/>
      <c r="DY10" s="1929"/>
      <c r="DZ10" s="1928"/>
      <c r="EA10" s="1929"/>
      <c r="EB10" s="1929"/>
      <c r="EC10" s="1929"/>
      <c r="ED10" s="1928"/>
      <c r="EE10" s="1929"/>
      <c r="EF10" s="1929"/>
      <c r="EG10" s="1929"/>
      <c r="EH10" s="1928"/>
      <c r="EI10" s="1929"/>
      <c r="EJ10" s="1929"/>
      <c r="EK10" s="1929"/>
      <c r="EL10" s="1928"/>
      <c r="EM10" s="1929"/>
      <c r="EN10" s="1929"/>
      <c r="EO10" s="1929"/>
      <c r="EP10" s="1928"/>
      <c r="EQ10" s="1929"/>
      <c r="ER10" s="1929"/>
      <c r="ES10" s="1929"/>
      <c r="ET10" s="1928"/>
      <c r="EU10" s="1929"/>
      <c r="EV10" s="1929"/>
      <c r="EW10" s="1929"/>
      <c r="EX10" s="1928"/>
      <c r="EY10" s="1929"/>
      <c r="EZ10" s="1929"/>
      <c r="FA10" s="1929"/>
      <c r="FB10" s="1928"/>
      <c r="FC10" s="1929"/>
      <c r="FD10" s="1929"/>
      <c r="FE10" s="1929"/>
      <c r="FF10" s="1928"/>
      <c r="FG10" s="1929"/>
      <c r="FH10" s="1929"/>
      <c r="FI10" s="1929"/>
      <c r="FJ10" s="1928"/>
      <c r="FK10" s="1929"/>
      <c r="FL10" s="1929"/>
      <c r="FM10" s="1929"/>
      <c r="FN10" s="1928"/>
      <c r="FO10" s="1929"/>
      <c r="FP10" s="1929"/>
      <c r="FQ10" s="1929"/>
      <c r="FR10" s="1928"/>
      <c r="FS10" s="1929"/>
      <c r="FT10" s="1929"/>
      <c r="FU10" s="1929"/>
      <c r="FV10" s="1928"/>
      <c r="FW10" s="1929"/>
      <c r="FX10" s="1929"/>
      <c r="FY10" s="1929"/>
      <c r="FZ10" s="1928"/>
      <c r="GA10" s="1929"/>
      <c r="GB10" s="1929"/>
      <c r="GC10" s="1929"/>
      <c r="GD10" s="1928"/>
      <c r="GE10" s="1929"/>
      <c r="GF10" s="1929"/>
      <c r="GG10" s="1929"/>
      <c r="GH10" s="1928"/>
      <c r="GI10" s="1929"/>
      <c r="GJ10" s="1929"/>
      <c r="GK10" s="1929"/>
      <c r="GL10" s="1928"/>
      <c r="GM10" s="1929"/>
      <c r="GN10" s="1929"/>
      <c r="GO10" s="1929"/>
      <c r="GP10" s="1928"/>
      <c r="GQ10" s="1929"/>
      <c r="GR10" s="1929"/>
      <c r="GS10" s="1929"/>
      <c r="GT10" s="1928"/>
      <c r="GU10" s="1929"/>
      <c r="GV10" s="1929"/>
      <c r="GW10" s="1929"/>
      <c r="GX10" s="1928"/>
      <c r="GY10" s="1929"/>
      <c r="GZ10" s="1929"/>
      <c r="HA10" s="1929"/>
      <c r="HB10" s="1928"/>
      <c r="HC10" s="1929"/>
      <c r="HD10" s="1929"/>
      <c r="HE10" s="1929"/>
      <c r="HF10" s="1928"/>
      <c r="HG10" s="1929"/>
      <c r="HH10" s="1929"/>
      <c r="HI10" s="1929"/>
      <c r="HJ10" s="1928"/>
      <c r="HK10" s="1929"/>
      <c r="HL10" s="1929"/>
      <c r="HM10" s="1929"/>
      <c r="HN10" s="1928"/>
      <c r="HO10" s="1929"/>
      <c r="HP10" s="1929"/>
      <c r="HQ10" s="1929"/>
      <c r="HR10" s="1928"/>
      <c r="HS10" s="1929"/>
      <c r="HT10" s="1929"/>
      <c r="HU10" s="1929"/>
      <c r="HV10" s="1928"/>
      <c r="HW10" s="1929"/>
      <c r="HX10" s="1929"/>
      <c r="HY10" s="1929"/>
      <c r="HZ10" s="1928"/>
      <c r="IA10" s="1929"/>
      <c r="IB10" s="1929"/>
      <c r="IC10" s="1929"/>
      <c r="ID10" s="1928"/>
      <c r="IE10" s="1929"/>
      <c r="IF10" s="1929"/>
      <c r="IG10" s="1929"/>
      <c r="IH10" s="1928"/>
      <c r="II10" s="1929"/>
      <c r="IJ10" s="1929"/>
      <c r="IK10" s="1929"/>
      <c r="IL10" s="1928"/>
      <c r="IM10" s="1929"/>
      <c r="IN10" s="1929"/>
      <c r="IO10" s="1929"/>
      <c r="IP10" s="1928"/>
      <c r="IQ10" s="1929"/>
      <c r="IR10" s="1929"/>
      <c r="IS10" s="1929"/>
      <c r="IT10" s="1928"/>
      <c r="IU10" s="1929"/>
      <c r="IV10" s="1929"/>
      <c r="IW10" s="1929"/>
      <c r="IX10" s="1928"/>
      <c r="IY10" s="1929"/>
      <c r="IZ10" s="1929"/>
      <c r="JA10" s="1929"/>
      <c r="JB10" s="1928"/>
      <c r="JC10" s="1929"/>
      <c r="JD10" s="1929"/>
      <c r="JE10" s="1929"/>
      <c r="JF10" s="1928"/>
      <c r="JG10" s="1929"/>
      <c r="JH10" s="1929"/>
      <c r="JI10" s="1929"/>
      <c r="JJ10" s="1928"/>
      <c r="JK10" s="1929"/>
      <c r="JL10" s="1929"/>
      <c r="JM10" s="1929"/>
      <c r="JN10" s="1928"/>
      <c r="JO10" s="1929"/>
      <c r="JP10" s="1929"/>
      <c r="JQ10" s="1929"/>
      <c r="JR10" s="1928"/>
      <c r="JS10" s="1929"/>
      <c r="JT10" s="1929"/>
      <c r="JU10" s="1929"/>
      <c r="JV10" s="1928"/>
      <c r="JW10" s="1929"/>
      <c r="JX10" s="1929"/>
      <c r="JY10" s="1929"/>
      <c r="JZ10" s="1928"/>
      <c r="KA10" s="1929"/>
      <c r="KB10" s="1929"/>
      <c r="KC10" s="1929"/>
      <c r="KD10" s="1928"/>
      <c r="KE10" s="1929"/>
      <c r="KF10" s="1929"/>
      <c r="KG10" s="1929"/>
      <c r="KH10" s="1928"/>
      <c r="KI10" s="1929"/>
      <c r="KJ10" s="1929"/>
      <c r="KK10" s="1929"/>
      <c r="KL10" s="1928"/>
      <c r="KM10" s="1929"/>
      <c r="KN10" s="1929"/>
      <c r="KO10" s="1929"/>
      <c r="KP10" s="1928"/>
      <c r="KQ10" s="1929"/>
      <c r="KR10" s="1929"/>
      <c r="KS10" s="1929"/>
      <c r="KT10" s="1928"/>
      <c r="KU10" s="1929"/>
      <c r="KV10" s="1929"/>
      <c r="KW10" s="1929"/>
      <c r="KX10" s="1928"/>
      <c r="KY10" s="1929"/>
      <c r="KZ10" s="1929"/>
      <c r="LA10" s="1929"/>
      <c r="LG10" s="132"/>
      <c r="LH10" s="861"/>
      <c r="LI10" s="861"/>
      <c r="LJ10" s="861"/>
      <c r="LK10" s="861"/>
      <c r="LL10" s="861"/>
      <c r="LM10" s="861"/>
      <c r="LN10" s="861"/>
      <c r="LO10" s="861"/>
      <c r="LP10" s="861"/>
      <c r="LQ10" s="861"/>
      <c r="LR10" s="861"/>
      <c r="LS10" s="861"/>
      <c r="LT10" s="861"/>
      <c r="LU10" s="861"/>
      <c r="LV10" s="861"/>
      <c r="LW10" s="861"/>
      <c r="LX10" s="861"/>
      <c r="LY10" s="861"/>
      <c r="LZ10" s="861"/>
      <c r="MA10" s="861"/>
      <c r="MB10" s="861"/>
      <c r="MC10" s="861"/>
      <c r="MD10" s="861"/>
      <c r="ME10" s="861"/>
      <c r="MF10" s="861"/>
      <c r="MG10" s="861"/>
      <c r="MH10" s="861"/>
      <c r="MI10" s="861"/>
      <c r="MJ10" s="861"/>
      <c r="MK10" s="861"/>
      <c r="ML10" s="861"/>
      <c r="MM10" s="861"/>
      <c r="MN10" s="861"/>
      <c r="MO10" s="861"/>
      <c r="MP10" s="861"/>
      <c r="MQ10" s="861"/>
      <c r="MR10" s="861"/>
      <c r="MS10" s="861"/>
      <c r="MT10" s="861"/>
      <c r="MU10" s="861"/>
      <c r="MV10" s="861"/>
      <c r="MW10" s="861"/>
      <c r="MX10" s="861"/>
      <c r="MY10" s="861"/>
      <c r="MZ10" s="861"/>
      <c r="NA10" s="861"/>
      <c r="NB10" s="861"/>
      <c r="NC10" s="861"/>
      <c r="ND10" s="861"/>
      <c r="NE10" s="861"/>
      <c r="NF10" s="861"/>
      <c r="NG10" s="861"/>
      <c r="NH10" s="861"/>
      <c r="NI10" s="861"/>
      <c r="NJ10" s="861"/>
      <c r="NK10" s="861"/>
      <c r="NL10" s="861"/>
      <c r="NM10" s="861"/>
      <c r="NN10" s="861"/>
      <c r="NO10" s="861"/>
      <c r="NP10" s="861"/>
      <c r="NQ10" s="861"/>
      <c r="NR10" s="861"/>
      <c r="NS10" s="861"/>
      <c r="NT10" s="861"/>
      <c r="NU10" s="861"/>
      <c r="NV10" s="861"/>
    </row>
    <row r="11" spans="1:627" ht="15.75" thickBot="1">
      <c r="A11" s="1915"/>
      <c r="B11" s="1915"/>
      <c r="C11" s="1927"/>
      <c r="D11" s="863"/>
      <c r="E11" s="863"/>
      <c r="F11" s="863"/>
      <c r="G11" s="1915"/>
      <c r="H11" s="1915"/>
      <c r="I11" s="1915"/>
      <c r="J11" s="1928"/>
      <c r="K11" s="1929"/>
      <c r="L11" s="1929"/>
      <c r="M11" s="1929"/>
      <c r="N11" s="1928"/>
      <c r="O11" s="1929"/>
      <c r="P11" s="1929"/>
      <c r="Q11" s="1929"/>
      <c r="R11" s="1928"/>
      <c r="S11" s="1929"/>
      <c r="T11" s="1929"/>
      <c r="U11" s="1929"/>
      <c r="V11" s="1928"/>
      <c r="W11" s="1929"/>
      <c r="X11" s="1929"/>
      <c r="Y11" s="1929"/>
      <c r="Z11" s="1928"/>
      <c r="AA11" s="1929"/>
      <c r="AB11" s="1929"/>
      <c r="AC11" s="1929"/>
      <c r="AD11" s="1928"/>
      <c r="AE11" s="1929"/>
      <c r="AF11" s="1929"/>
      <c r="AG11" s="1929"/>
      <c r="AH11" s="1928"/>
      <c r="AI11" s="1929"/>
      <c r="AJ11" s="1929"/>
      <c r="AK11" s="1929"/>
      <c r="AL11" s="1928"/>
      <c r="AM11" s="1929"/>
      <c r="AN11" s="1929"/>
      <c r="AO11" s="1929"/>
      <c r="AP11" s="1928"/>
      <c r="AQ11" s="1929"/>
      <c r="AR11" s="1929"/>
      <c r="AS11" s="1929"/>
      <c r="AT11" s="1928"/>
      <c r="AU11" s="1929"/>
      <c r="AV11" s="1929"/>
      <c r="AW11" s="1929"/>
      <c r="AX11" s="1928"/>
      <c r="AY11" s="1929"/>
      <c r="AZ11" s="1929"/>
      <c r="BA11" s="1929"/>
      <c r="BB11" s="1928"/>
      <c r="BC11" s="1929"/>
      <c r="BD11" s="1929"/>
      <c r="BE11" s="1929"/>
      <c r="BF11" s="1928"/>
      <c r="BG11" s="1929"/>
      <c r="BH11" s="1929"/>
      <c r="BI11" s="1929"/>
      <c r="BJ11" s="1928"/>
      <c r="BK11" s="1929"/>
      <c r="BL11" s="1929"/>
      <c r="BM11" s="1929"/>
      <c r="BN11" s="1928"/>
      <c r="BO11" s="1929"/>
      <c r="BP11" s="1929"/>
      <c r="BQ11" s="1929"/>
      <c r="BR11" s="1928"/>
      <c r="BS11" s="1929"/>
      <c r="BT11" s="1929"/>
      <c r="BU11" s="1929"/>
      <c r="BV11" s="1928"/>
      <c r="BW11" s="1929"/>
      <c r="BX11" s="1929"/>
      <c r="BY11" s="1929"/>
      <c r="BZ11" s="1928"/>
      <c r="CA11" s="1929"/>
      <c r="CB11" s="1929"/>
      <c r="CC11" s="1929"/>
      <c r="CD11" s="1928"/>
      <c r="CE11" s="1929"/>
      <c r="CF11" s="1929"/>
      <c r="CG11" s="1929"/>
      <c r="CH11" s="1928"/>
      <c r="CI11" s="1929"/>
      <c r="CJ11" s="1929"/>
      <c r="CK11" s="1929"/>
      <c r="CL11" s="1928"/>
      <c r="CM11" s="1929"/>
      <c r="CN11" s="1929"/>
      <c r="CO11" s="1929"/>
      <c r="CP11" s="1928"/>
      <c r="CQ11" s="1929"/>
      <c r="CR11" s="1929"/>
      <c r="CS11" s="1929"/>
      <c r="CT11" s="1928"/>
      <c r="CU11" s="1929"/>
      <c r="CV11" s="1929"/>
      <c r="CW11" s="1929"/>
      <c r="CX11" s="1928"/>
      <c r="CY11" s="1929"/>
      <c r="CZ11" s="1929"/>
      <c r="DA11" s="1929"/>
      <c r="DB11" s="1928"/>
      <c r="DC11" s="1929"/>
      <c r="DD11" s="1929"/>
      <c r="DE11" s="1929"/>
      <c r="DF11" s="1928"/>
      <c r="DG11" s="1929"/>
      <c r="DH11" s="1929"/>
      <c r="DI11" s="1929"/>
      <c r="DJ11" s="1928"/>
      <c r="DK11" s="1929"/>
      <c r="DL11" s="1929"/>
      <c r="DM11" s="1929"/>
      <c r="DN11" s="1928"/>
      <c r="DO11" s="1929"/>
      <c r="DP11" s="1929"/>
      <c r="DQ11" s="1929"/>
      <c r="DR11" s="1928"/>
      <c r="DS11" s="1929"/>
      <c r="DT11" s="1929"/>
      <c r="DU11" s="1929"/>
      <c r="DV11" s="1928"/>
      <c r="DW11" s="1929"/>
      <c r="DX11" s="1929"/>
      <c r="DY11" s="1929"/>
      <c r="DZ11" s="1928"/>
      <c r="EA11" s="1929"/>
      <c r="EB11" s="1929"/>
      <c r="EC11" s="1929"/>
      <c r="ED11" s="1928"/>
      <c r="EE11" s="1929"/>
      <c r="EF11" s="1929"/>
      <c r="EG11" s="1929"/>
      <c r="EH11" s="1928"/>
      <c r="EI11" s="1929"/>
      <c r="EJ11" s="1929"/>
      <c r="EK11" s="1929"/>
      <c r="EL11" s="1928"/>
      <c r="EM11" s="1929"/>
      <c r="EN11" s="1929"/>
      <c r="EO11" s="1929"/>
      <c r="EP11" s="1928"/>
      <c r="EQ11" s="1929"/>
      <c r="ER11" s="1929"/>
      <c r="ES11" s="1929"/>
      <c r="ET11" s="1928"/>
      <c r="EU11" s="1929"/>
      <c r="EV11" s="1929"/>
      <c r="EW11" s="1929"/>
      <c r="EX11" s="1928"/>
      <c r="EY11" s="1929"/>
      <c r="EZ11" s="1929"/>
      <c r="FA11" s="1929"/>
      <c r="FB11" s="1928"/>
      <c r="FC11" s="1929"/>
      <c r="FD11" s="1929"/>
      <c r="FE11" s="1929"/>
      <c r="FF11" s="1928"/>
      <c r="FG11" s="1929"/>
      <c r="FH11" s="1929"/>
      <c r="FI11" s="1929"/>
      <c r="FJ11" s="1928"/>
      <c r="FK11" s="1929"/>
      <c r="FL11" s="1929"/>
      <c r="FM11" s="1929"/>
      <c r="FN11" s="1928"/>
      <c r="FO11" s="1929"/>
      <c r="FP11" s="1929"/>
      <c r="FQ11" s="1929"/>
      <c r="FR11" s="1928"/>
      <c r="FS11" s="1929"/>
      <c r="FT11" s="1929"/>
      <c r="FU11" s="1929"/>
      <c r="FV11" s="1928"/>
      <c r="FW11" s="1929"/>
      <c r="FX11" s="1929"/>
      <c r="FY11" s="1929"/>
      <c r="FZ11" s="1928"/>
      <c r="GA11" s="1929"/>
      <c r="GB11" s="1929"/>
      <c r="GC11" s="1929"/>
      <c r="GD11" s="1928"/>
      <c r="GE11" s="1929"/>
      <c r="GF11" s="1929"/>
      <c r="GG11" s="1929"/>
      <c r="GH11" s="1928"/>
      <c r="GI11" s="1929"/>
      <c r="GJ11" s="1929"/>
      <c r="GK11" s="1929"/>
      <c r="GL11" s="1928"/>
      <c r="GM11" s="1929"/>
      <c r="GN11" s="1929"/>
      <c r="GO11" s="1929"/>
      <c r="GP11" s="1928"/>
      <c r="GQ11" s="1929"/>
      <c r="GR11" s="1929"/>
      <c r="GS11" s="1929"/>
      <c r="GT11" s="1928"/>
      <c r="GU11" s="1929"/>
      <c r="GV11" s="1929"/>
      <c r="GW11" s="1929"/>
      <c r="GX11" s="1928"/>
      <c r="GY11" s="1929"/>
      <c r="GZ11" s="1929"/>
      <c r="HA11" s="1929"/>
      <c r="HB11" s="1928"/>
      <c r="HC11" s="1929"/>
      <c r="HD11" s="1929"/>
      <c r="HE11" s="1929"/>
      <c r="HF11" s="1928"/>
      <c r="HG11" s="1929"/>
      <c r="HH11" s="1929"/>
      <c r="HI11" s="1929"/>
      <c r="HJ11" s="1928"/>
      <c r="HK11" s="1929"/>
      <c r="HL11" s="1929"/>
      <c r="HM11" s="1929"/>
      <c r="HN11" s="1928"/>
      <c r="HO11" s="1929"/>
      <c r="HP11" s="1929"/>
      <c r="HQ11" s="1929"/>
      <c r="HR11" s="1928"/>
      <c r="HS11" s="1929"/>
      <c r="HT11" s="1929"/>
      <c r="HU11" s="1929"/>
      <c r="HV11" s="1928"/>
      <c r="HW11" s="1929"/>
      <c r="HX11" s="1929"/>
      <c r="HY11" s="1929"/>
      <c r="HZ11" s="1928"/>
      <c r="IA11" s="1929"/>
      <c r="IB11" s="1929"/>
      <c r="IC11" s="1929"/>
      <c r="ID11" s="1928"/>
      <c r="IE11" s="1929"/>
      <c r="IF11" s="1929"/>
      <c r="IG11" s="1929"/>
      <c r="IH11" s="1928"/>
      <c r="II11" s="1929"/>
      <c r="IJ11" s="1929"/>
      <c r="IK11" s="1929"/>
      <c r="IL11" s="1928"/>
      <c r="IM11" s="1929"/>
      <c r="IN11" s="1929"/>
      <c r="IO11" s="1929"/>
      <c r="IP11" s="1928"/>
      <c r="IQ11" s="1929"/>
      <c r="IR11" s="1929"/>
      <c r="IS11" s="1929"/>
      <c r="IT11" s="1928"/>
      <c r="IU11" s="1929"/>
      <c r="IV11" s="1929"/>
      <c r="IW11" s="1929"/>
      <c r="IX11" s="1928"/>
      <c r="IY11" s="1929"/>
      <c r="IZ11" s="1929"/>
      <c r="JA11" s="1929"/>
      <c r="JB11" s="1928"/>
      <c r="JC11" s="1929"/>
      <c r="JD11" s="1929"/>
      <c r="JE11" s="1929"/>
      <c r="JF11" s="1928"/>
      <c r="JG11" s="1929"/>
      <c r="JH11" s="1929"/>
      <c r="JI11" s="1929"/>
      <c r="JJ11" s="1928"/>
      <c r="JK11" s="1929"/>
      <c r="JL11" s="1929"/>
      <c r="JM11" s="1929"/>
      <c r="JN11" s="1928"/>
      <c r="JO11" s="1929"/>
      <c r="JP11" s="1929"/>
      <c r="JQ11" s="1929"/>
      <c r="JR11" s="1928"/>
      <c r="JS11" s="1929"/>
      <c r="JT11" s="1929"/>
      <c r="JU11" s="1929"/>
      <c r="JV11" s="1928"/>
      <c r="JW11" s="1929"/>
      <c r="JX11" s="1929"/>
      <c r="JY11" s="1929"/>
      <c r="JZ11" s="1928"/>
      <c r="KA11" s="1929"/>
      <c r="KB11" s="1929"/>
      <c r="KC11" s="1929"/>
      <c r="KD11" s="1928"/>
      <c r="KE11" s="1929"/>
      <c r="KF11" s="1929"/>
      <c r="KG11" s="1929"/>
      <c r="KH11" s="1928"/>
      <c r="KI11" s="1929"/>
      <c r="KJ11" s="1929"/>
      <c r="KK11" s="1929"/>
      <c r="KL11" s="1928"/>
      <c r="KM11" s="1929"/>
      <c r="KN11" s="1929"/>
      <c r="KO11" s="1929"/>
      <c r="KP11" s="1928"/>
      <c r="KQ11" s="1929"/>
      <c r="KR11" s="1929"/>
      <c r="KS11" s="1929"/>
      <c r="KT11" s="1928"/>
      <c r="KU11" s="1929"/>
      <c r="KV11" s="1929"/>
      <c r="KW11" s="1929"/>
      <c r="KX11" s="1928"/>
      <c r="KY11" s="1929"/>
      <c r="KZ11" s="1929"/>
      <c r="LA11" s="1929"/>
      <c r="LG11" s="894"/>
      <c r="LH11" s="895"/>
      <c r="LI11" s="895"/>
      <c r="LJ11" s="895"/>
      <c r="LK11" s="894"/>
      <c r="LL11" s="895"/>
      <c r="LM11" s="895"/>
      <c r="LN11" s="895"/>
      <c r="LO11" s="894"/>
      <c r="LP11" s="895"/>
      <c r="LQ11" s="895"/>
      <c r="LR11" s="895"/>
      <c r="LS11" s="894"/>
      <c r="LT11" s="895"/>
      <c r="LU11" s="895"/>
      <c r="LV11" s="895"/>
      <c r="LW11" s="894"/>
      <c r="LX11" s="895"/>
      <c r="LY11" s="895"/>
      <c r="LZ11" s="895"/>
      <c r="MA11" s="894"/>
      <c r="MB11" s="895"/>
      <c r="MC11" s="895"/>
      <c r="MD11" s="895"/>
      <c r="ME11" s="894"/>
      <c r="MF11" s="895"/>
      <c r="MG11" s="895"/>
      <c r="MH11" s="895"/>
      <c r="MI11" s="894"/>
      <c r="MJ11" s="895"/>
      <c r="MK11" s="895"/>
      <c r="ML11" s="895"/>
      <c r="MM11" s="894"/>
      <c r="MN11" s="895"/>
      <c r="MO11" s="895"/>
      <c r="MP11" s="895"/>
      <c r="MQ11" s="894"/>
      <c r="MR11" s="895"/>
      <c r="MS11" s="895"/>
      <c r="MT11" s="895"/>
      <c r="MU11" s="894"/>
      <c r="MV11" s="895"/>
      <c r="MW11" s="895"/>
      <c r="MX11" s="895"/>
      <c r="MY11" s="894"/>
      <c r="MZ11" s="895"/>
      <c r="NA11" s="895"/>
      <c r="NB11" s="895"/>
      <c r="NC11" s="894"/>
      <c r="ND11" s="895"/>
      <c r="NE11" s="895"/>
      <c r="NF11" s="895"/>
      <c r="NG11" s="894"/>
      <c r="NH11" s="895"/>
      <c r="NI11" s="895"/>
      <c r="NJ11" s="895"/>
      <c r="NK11" s="894"/>
      <c r="NL11" s="895"/>
      <c r="NM11" s="895"/>
      <c r="NN11" s="895"/>
      <c r="NO11" s="894"/>
      <c r="NP11" s="895"/>
      <c r="NQ11" s="895"/>
      <c r="NR11" s="895"/>
      <c r="NS11" s="894"/>
      <c r="NT11" s="895"/>
      <c r="NU11" s="895"/>
      <c r="NV11" s="895"/>
      <c r="NW11" s="894"/>
      <c r="NX11" s="895"/>
      <c r="NY11" s="895"/>
      <c r="NZ11" s="895"/>
      <c r="OA11" s="894"/>
      <c r="OB11" s="895"/>
      <c r="OC11" s="895"/>
      <c r="OD11" s="895"/>
      <c r="OE11" s="894"/>
      <c r="OF11" s="895"/>
      <c r="OG11" s="895"/>
      <c r="OH11" s="895"/>
      <c r="OI11" s="894"/>
      <c r="OJ11" s="895"/>
      <c r="OK11" s="895"/>
      <c r="OL11" s="895"/>
      <c r="OM11" s="894"/>
      <c r="ON11" s="895"/>
      <c r="OO11" s="895"/>
      <c r="OP11" s="895"/>
      <c r="OQ11" s="894"/>
      <c r="OR11" s="895"/>
      <c r="OS11" s="895"/>
      <c r="OT11" s="895"/>
      <c r="OU11" s="894"/>
      <c r="OV11" s="895"/>
      <c r="OW11" s="895"/>
      <c r="OX11" s="895"/>
      <c r="OY11" s="894"/>
      <c r="OZ11" s="895"/>
      <c r="PA11" s="895"/>
      <c r="PB11" s="895"/>
      <c r="PC11" s="894"/>
      <c r="PD11" s="895"/>
      <c r="PE11" s="895"/>
      <c r="PF11" s="895"/>
      <c r="PG11" s="894"/>
      <c r="PH11" s="895"/>
      <c r="PI11" s="895"/>
      <c r="PJ11" s="895"/>
      <c r="PK11" s="894"/>
      <c r="PL11" s="895"/>
      <c r="PM11" s="895"/>
      <c r="PN11" s="895"/>
      <c r="PO11" s="894"/>
      <c r="PP11" s="895"/>
      <c r="PQ11" s="895"/>
      <c r="PR11" s="895"/>
      <c r="PS11" s="894"/>
      <c r="PT11" s="895"/>
      <c r="PU11" s="895"/>
      <c r="PV11" s="895"/>
      <c r="PW11" s="894"/>
      <c r="PX11" s="895"/>
      <c r="PY11" s="895"/>
      <c r="PZ11" s="895"/>
      <c r="QA11" s="894"/>
      <c r="QB11" s="895"/>
      <c r="QC11" s="895"/>
      <c r="QD11" s="895"/>
      <c r="QE11" s="894"/>
      <c r="QF11" s="895"/>
      <c r="QG11" s="895"/>
      <c r="QH11" s="895"/>
      <c r="QI11" s="894"/>
      <c r="QJ11" s="895"/>
      <c r="QK11" s="895"/>
      <c r="QL11" s="895"/>
      <c r="QM11" s="894"/>
      <c r="QN11" s="895"/>
      <c r="QO11" s="895"/>
      <c r="QP11" s="895"/>
      <c r="QQ11" s="894"/>
      <c r="QR11" s="895"/>
      <c r="QS11" s="895"/>
      <c r="QT11" s="895"/>
      <c r="QU11" s="894"/>
      <c r="QV11" s="895"/>
      <c r="QW11" s="895"/>
      <c r="QX11" s="895"/>
      <c r="QY11" s="894"/>
      <c r="QZ11" s="895"/>
      <c r="RA11" s="895"/>
      <c r="RB11" s="895"/>
      <c r="RC11" s="894"/>
      <c r="RD11" s="895"/>
      <c r="RE11" s="895"/>
      <c r="RF11" s="895"/>
      <c r="RG11" s="894"/>
      <c r="RH11" s="895"/>
      <c r="RI11" s="895"/>
      <c r="RJ11" s="895"/>
      <c r="RK11" s="894"/>
      <c r="RL11" s="895"/>
      <c r="RM11" s="895"/>
      <c r="RN11" s="895"/>
      <c r="RO11" s="894"/>
      <c r="RP11" s="895"/>
      <c r="RQ11" s="895"/>
      <c r="RR11" s="895"/>
      <c r="RS11" s="894"/>
      <c r="RT11" s="895"/>
      <c r="RU11" s="895"/>
      <c r="RV11" s="895"/>
      <c r="RW11" s="894"/>
      <c r="RX11" s="895"/>
      <c r="RY11" s="895"/>
      <c r="RZ11" s="895"/>
      <c r="SA11" s="894"/>
      <c r="SB11" s="895"/>
      <c r="SC11" s="895"/>
      <c r="SD11" s="895"/>
      <c r="SE11" s="894"/>
      <c r="SF11" s="895"/>
      <c r="SG11" s="895"/>
      <c r="SH11" s="895"/>
      <c r="SI11" s="894"/>
      <c r="SJ11" s="895"/>
      <c r="SK11" s="895"/>
      <c r="SL11" s="895"/>
      <c r="SM11" s="894"/>
      <c r="SN11" s="895"/>
      <c r="SO11" s="895"/>
      <c r="SP11" s="895"/>
      <c r="SQ11" s="894"/>
      <c r="SR11" s="895"/>
      <c r="SS11" s="895"/>
      <c r="ST11" s="895"/>
      <c r="SU11" s="894"/>
      <c r="SV11" s="895"/>
      <c r="SW11" s="895"/>
      <c r="SX11" s="895"/>
      <c r="SY11" s="894"/>
      <c r="SZ11" s="895"/>
      <c r="TA11" s="895"/>
      <c r="TB11" s="895"/>
      <c r="TC11" s="894"/>
      <c r="TD11" s="895"/>
      <c r="TE11" s="895"/>
      <c r="TF11" s="895"/>
      <c r="TG11" s="894"/>
      <c r="TH11" s="895"/>
      <c r="TI11" s="895"/>
      <c r="TJ11" s="895"/>
      <c r="TK11" s="894"/>
      <c r="TL11" s="895"/>
      <c r="TM11" s="895"/>
      <c r="TN11" s="895"/>
      <c r="TO11" s="894"/>
      <c r="TP11" s="895"/>
      <c r="TQ11" s="895"/>
      <c r="TR11" s="895"/>
      <c r="TS11" s="894"/>
      <c r="TT11" s="895"/>
      <c r="TU11" s="895"/>
      <c r="TV11" s="895"/>
      <c r="TW11" s="894"/>
      <c r="TX11" s="895"/>
      <c r="TY11" s="895"/>
      <c r="TZ11" s="895"/>
      <c r="UA11" s="894"/>
      <c r="UB11" s="895"/>
      <c r="UC11" s="895"/>
      <c r="UD11" s="895"/>
      <c r="UE11" s="894"/>
      <c r="UF11" s="895"/>
      <c r="UG11" s="895"/>
      <c r="UH11" s="895"/>
      <c r="UI11" s="894"/>
      <c r="UJ11" s="895"/>
      <c r="UK11" s="895"/>
      <c r="UL11" s="895"/>
      <c r="UM11" s="894"/>
      <c r="UN11" s="895"/>
      <c r="UO11" s="895"/>
      <c r="UP11" s="895"/>
      <c r="UQ11" s="894"/>
      <c r="UR11" s="895"/>
      <c r="US11" s="895"/>
      <c r="UT11" s="895"/>
      <c r="UU11" s="894"/>
      <c r="UV11" s="895"/>
      <c r="UW11" s="895"/>
      <c r="UX11" s="895"/>
      <c r="UY11" s="894"/>
      <c r="UZ11" s="895"/>
      <c r="VA11" s="895"/>
      <c r="VB11" s="895"/>
      <c r="VC11" s="894"/>
      <c r="VD11" s="895"/>
      <c r="VE11" s="895"/>
      <c r="VF11" s="895"/>
      <c r="VG11" s="894"/>
      <c r="VH11" s="895"/>
      <c r="VI11" s="895"/>
      <c r="VJ11" s="895"/>
      <c r="VK11" s="894"/>
      <c r="VL11" s="895"/>
      <c r="VM11" s="895"/>
      <c r="VN11" s="895"/>
      <c r="VO11" s="894"/>
      <c r="VP11" s="895"/>
      <c r="VQ11" s="895"/>
      <c r="VR11" s="895"/>
      <c r="VS11" s="894"/>
      <c r="VT11" s="895"/>
      <c r="VU11" s="895"/>
      <c r="VV11" s="895"/>
      <c r="VW11" s="894"/>
      <c r="VX11" s="895"/>
      <c r="VY11" s="895"/>
      <c r="VZ11" s="895"/>
      <c r="WA11" s="894"/>
      <c r="WB11" s="895"/>
      <c r="WC11" s="895"/>
      <c r="WD11" s="895"/>
      <c r="WE11" s="894"/>
      <c r="WF11" s="895"/>
      <c r="WG11" s="895"/>
      <c r="WH11" s="895"/>
      <c r="WI11" s="894"/>
      <c r="WJ11" s="895"/>
      <c r="WK11" s="895"/>
      <c r="WL11" s="895"/>
      <c r="WM11" s="894"/>
      <c r="WN11" s="895"/>
      <c r="WO11" s="895"/>
      <c r="WP11" s="895"/>
      <c r="WQ11" s="894"/>
      <c r="WR11" s="895"/>
      <c r="WS11" s="895"/>
      <c r="WT11" s="895"/>
      <c r="WU11" s="894"/>
      <c r="WV11" s="895"/>
      <c r="WW11" s="895"/>
      <c r="WX11" s="895"/>
      <c r="WY11" s="894"/>
      <c r="WZ11" s="895"/>
      <c r="XA11" s="895"/>
      <c r="XB11" s="895"/>
    </row>
    <row r="12" spans="1:627" ht="30" customHeight="1" thickBot="1">
      <c r="A12" s="1915"/>
      <c r="B12" s="1915"/>
      <c r="C12" s="1927"/>
      <c r="D12" s="863"/>
      <c r="E12" s="863"/>
      <c r="F12" s="863"/>
      <c r="G12" s="1915"/>
      <c r="H12" s="1915"/>
      <c r="I12" s="1915"/>
      <c r="J12" s="1930" t="s">
        <v>11949</v>
      </c>
      <c r="K12" s="1931"/>
      <c r="L12" s="1931"/>
      <c r="M12" s="1932"/>
      <c r="N12" s="1933" t="s">
        <v>11950</v>
      </c>
      <c r="O12" s="1934"/>
      <c r="P12" s="1934"/>
      <c r="Q12" s="1935"/>
      <c r="R12" s="1934" t="s">
        <v>11951</v>
      </c>
      <c r="S12" s="1934"/>
      <c r="T12" s="1935"/>
      <c r="U12" s="1936"/>
      <c r="V12" s="1933" t="s">
        <v>11951</v>
      </c>
      <c r="W12" s="1934"/>
      <c r="X12" s="1935"/>
      <c r="Y12" s="1935"/>
      <c r="Z12" s="1933" t="s">
        <v>11951</v>
      </c>
      <c r="AA12" s="1934"/>
      <c r="AB12" s="1935"/>
      <c r="AC12" s="1935"/>
      <c r="AD12" s="1933" t="s">
        <v>11951</v>
      </c>
      <c r="AE12" s="1934"/>
      <c r="AF12" s="1935"/>
      <c r="AG12" s="1935"/>
      <c r="AH12" s="1933" t="s">
        <v>11951</v>
      </c>
      <c r="AI12" s="1934"/>
      <c r="AJ12" s="1935"/>
      <c r="AK12" s="1935"/>
      <c r="AL12" s="1933" t="s">
        <v>11952</v>
      </c>
      <c r="AM12" s="1934"/>
      <c r="AN12" s="1935"/>
      <c r="AO12" s="1935"/>
      <c r="AP12" s="1933" t="s">
        <v>11952</v>
      </c>
      <c r="AQ12" s="1934"/>
      <c r="AR12" s="1935"/>
      <c r="AS12" s="1935"/>
      <c r="AT12" s="1933" t="s">
        <v>11952</v>
      </c>
      <c r="AU12" s="1934"/>
      <c r="AV12" s="1935"/>
      <c r="AW12" s="1935"/>
      <c r="AX12" s="1933" t="s">
        <v>11952</v>
      </c>
      <c r="AY12" s="1934"/>
      <c r="AZ12" s="1935"/>
      <c r="BA12" s="1935"/>
      <c r="BB12" s="1933" t="s">
        <v>11952</v>
      </c>
      <c r="BC12" s="1934"/>
      <c r="BD12" s="1935"/>
      <c r="BE12" s="1935"/>
      <c r="BF12" s="1933" t="s">
        <v>11952</v>
      </c>
      <c r="BG12" s="1934"/>
      <c r="BH12" s="1935"/>
      <c r="BI12" s="1935"/>
      <c r="BJ12" s="1933" t="s">
        <v>11952</v>
      </c>
      <c r="BK12" s="1934"/>
      <c r="BL12" s="1935"/>
      <c r="BM12" s="1935"/>
      <c r="BN12" s="1933" t="s">
        <v>11952</v>
      </c>
      <c r="BO12" s="1934"/>
      <c r="BP12" s="1935"/>
      <c r="BQ12" s="1935"/>
      <c r="BR12" s="1933" t="s">
        <v>11952</v>
      </c>
      <c r="BS12" s="1934"/>
      <c r="BT12" s="1935"/>
      <c r="BU12" s="1935"/>
      <c r="BV12" s="1933" t="s">
        <v>11952</v>
      </c>
      <c r="BW12" s="1934"/>
      <c r="BX12" s="1935"/>
      <c r="BY12" s="1935"/>
      <c r="BZ12" s="1933" t="s">
        <v>11952</v>
      </c>
      <c r="CA12" s="1934"/>
      <c r="CB12" s="1935"/>
      <c r="CC12" s="1935"/>
      <c r="CD12" s="1933" t="s">
        <v>11953</v>
      </c>
      <c r="CE12" s="1934"/>
      <c r="CF12" s="1935"/>
      <c r="CG12" s="1935"/>
      <c r="CH12" s="1933" t="s">
        <v>11953</v>
      </c>
      <c r="CI12" s="1934"/>
      <c r="CJ12" s="1935"/>
      <c r="CK12" s="1935"/>
      <c r="CL12" s="1933" t="s">
        <v>11953</v>
      </c>
      <c r="CM12" s="1934"/>
      <c r="CN12" s="1935"/>
      <c r="CO12" s="1935"/>
      <c r="CP12" s="1933" t="s">
        <v>11953</v>
      </c>
      <c r="CQ12" s="1934"/>
      <c r="CR12" s="1935"/>
      <c r="CS12" s="1935"/>
      <c r="CT12" s="1933" t="s">
        <v>11953</v>
      </c>
      <c r="CU12" s="1934"/>
      <c r="CV12" s="1935"/>
      <c r="CW12" s="1935"/>
      <c r="CX12" s="1933" t="s">
        <v>11953</v>
      </c>
      <c r="CY12" s="1934"/>
      <c r="CZ12" s="1935"/>
      <c r="DA12" s="1935"/>
      <c r="DB12" s="1933" t="s">
        <v>11953</v>
      </c>
      <c r="DC12" s="1934"/>
      <c r="DD12" s="1935"/>
      <c r="DE12" s="1935"/>
      <c r="DF12" s="1933" t="s">
        <v>11954</v>
      </c>
      <c r="DG12" s="1934"/>
      <c r="DH12" s="1935"/>
      <c r="DI12" s="1935"/>
      <c r="DJ12" s="1933" t="s">
        <v>11954</v>
      </c>
      <c r="DK12" s="1934"/>
      <c r="DL12" s="1935"/>
      <c r="DM12" s="1935"/>
      <c r="DN12" s="1933" t="s">
        <v>11954</v>
      </c>
      <c r="DO12" s="1934"/>
      <c r="DP12" s="1935"/>
      <c r="DQ12" s="1935"/>
      <c r="DR12" s="1933" t="s">
        <v>11954</v>
      </c>
      <c r="DS12" s="1934"/>
      <c r="DT12" s="1935"/>
      <c r="DU12" s="1935"/>
      <c r="DV12" s="1933" t="s">
        <v>11954</v>
      </c>
      <c r="DW12" s="1934"/>
      <c r="DX12" s="1935"/>
      <c r="DY12" s="1935"/>
      <c r="DZ12" s="1933" t="s">
        <v>11954</v>
      </c>
      <c r="EA12" s="1934"/>
      <c r="EB12" s="1935"/>
      <c r="EC12" s="1935"/>
      <c r="ED12" s="1933" t="s">
        <v>11954</v>
      </c>
      <c r="EE12" s="1934"/>
      <c r="EF12" s="1935"/>
      <c r="EG12" s="1935"/>
      <c r="EH12" s="1933" t="s">
        <v>11954</v>
      </c>
      <c r="EI12" s="1934"/>
      <c r="EJ12" s="1935"/>
      <c r="EK12" s="1935"/>
      <c r="EL12" s="1933" t="s">
        <v>11955</v>
      </c>
      <c r="EM12" s="1934"/>
      <c r="EN12" s="1935"/>
      <c r="EO12" s="1935"/>
      <c r="EP12" s="1933" t="s">
        <v>11955</v>
      </c>
      <c r="EQ12" s="1934"/>
      <c r="ER12" s="1935"/>
      <c r="ES12" s="1935"/>
      <c r="ET12" s="1933" t="s">
        <v>11955</v>
      </c>
      <c r="EU12" s="1934"/>
      <c r="EV12" s="1935"/>
      <c r="EW12" s="1935"/>
      <c r="EX12" s="1933" t="s">
        <v>11956</v>
      </c>
      <c r="EY12" s="1934"/>
      <c r="EZ12" s="1935"/>
      <c r="FA12" s="1935"/>
      <c r="FB12" s="1933" t="s">
        <v>11956</v>
      </c>
      <c r="FC12" s="1934"/>
      <c r="FD12" s="1935"/>
      <c r="FE12" s="1935"/>
      <c r="FF12" s="1937" t="s">
        <v>11957</v>
      </c>
      <c r="FG12" s="1934"/>
      <c r="FH12" s="1935"/>
      <c r="FI12" s="1935"/>
      <c r="FJ12" s="1937" t="s">
        <v>11957</v>
      </c>
      <c r="FK12" s="1934"/>
      <c r="FL12" s="1935"/>
      <c r="FM12" s="1935"/>
      <c r="FN12" s="1937" t="s">
        <v>11957</v>
      </c>
      <c r="FO12" s="1934"/>
      <c r="FP12" s="1935"/>
      <c r="FQ12" s="1935"/>
      <c r="FR12" s="1937" t="s">
        <v>11958</v>
      </c>
      <c r="FS12" s="1934"/>
      <c r="FT12" s="1935"/>
      <c r="FU12" s="1935"/>
      <c r="FV12" s="1937" t="s">
        <v>11958</v>
      </c>
      <c r="FW12" s="1934"/>
      <c r="FX12" s="1935"/>
      <c r="FY12" s="1935"/>
      <c r="FZ12" s="1937" t="s">
        <v>11958</v>
      </c>
      <c r="GA12" s="1934"/>
      <c r="GB12" s="1935"/>
      <c r="GC12" s="1935"/>
      <c r="GD12" s="1933" t="s">
        <v>11959</v>
      </c>
      <c r="GE12" s="1934"/>
      <c r="GF12" s="1935"/>
      <c r="GG12" s="1935"/>
      <c r="GH12" s="1933" t="s">
        <v>11959</v>
      </c>
      <c r="GI12" s="1934"/>
      <c r="GJ12" s="1935"/>
      <c r="GK12" s="1935"/>
      <c r="GL12" s="1933" t="s">
        <v>11959</v>
      </c>
      <c r="GM12" s="1934"/>
      <c r="GN12" s="1935"/>
      <c r="GO12" s="1935"/>
      <c r="GP12" s="1933" t="s">
        <v>11959</v>
      </c>
      <c r="GQ12" s="1934"/>
      <c r="GR12" s="1935"/>
      <c r="GS12" s="1935"/>
      <c r="GT12" s="1933" t="s">
        <v>11959</v>
      </c>
      <c r="GU12" s="1934"/>
      <c r="GV12" s="1935"/>
      <c r="GW12" s="1935"/>
      <c r="GX12" s="1933" t="s">
        <v>11959</v>
      </c>
      <c r="GY12" s="1934"/>
      <c r="GZ12" s="1935"/>
      <c r="HA12" s="1935"/>
      <c r="HB12" s="1933" t="s">
        <v>11960</v>
      </c>
      <c r="HC12" s="1934"/>
      <c r="HD12" s="1935"/>
      <c r="HE12" s="1935"/>
      <c r="HF12" s="1933" t="s">
        <v>11960</v>
      </c>
      <c r="HG12" s="1934"/>
      <c r="HH12" s="1935"/>
      <c r="HI12" s="1935"/>
      <c r="HJ12" s="1933" t="s">
        <v>11960</v>
      </c>
      <c r="HK12" s="1934"/>
      <c r="HL12" s="1935"/>
      <c r="HM12" s="1935"/>
      <c r="HN12" s="1933" t="s">
        <v>11960</v>
      </c>
      <c r="HO12" s="1934"/>
      <c r="HP12" s="1935"/>
      <c r="HQ12" s="1935"/>
      <c r="HR12" s="1933" t="s">
        <v>11960</v>
      </c>
      <c r="HS12" s="1934"/>
      <c r="HT12" s="1935"/>
      <c r="HU12" s="1935"/>
      <c r="HV12" s="1933" t="s">
        <v>11961</v>
      </c>
      <c r="HW12" s="1934"/>
      <c r="HX12" s="1935"/>
      <c r="HY12" s="1935"/>
      <c r="HZ12" s="1933" t="s">
        <v>11961</v>
      </c>
      <c r="IA12" s="1934"/>
      <c r="IB12" s="1935"/>
      <c r="IC12" s="1935"/>
      <c r="ID12" s="1933" t="s">
        <v>11961</v>
      </c>
      <c r="IE12" s="1934"/>
      <c r="IF12" s="1935"/>
      <c r="IG12" s="1935"/>
      <c r="IH12" s="1933" t="s">
        <v>11961</v>
      </c>
      <c r="II12" s="1934"/>
      <c r="IJ12" s="1935"/>
      <c r="IK12" s="1935"/>
      <c r="IL12" s="1933" t="s">
        <v>11961</v>
      </c>
      <c r="IM12" s="1934"/>
      <c r="IN12" s="1935"/>
      <c r="IO12" s="1935"/>
      <c r="IP12" s="1933" t="s">
        <v>11961</v>
      </c>
      <c r="IQ12" s="1934"/>
      <c r="IR12" s="1935"/>
      <c r="IS12" s="1935"/>
      <c r="IT12" s="1933" t="s">
        <v>11961</v>
      </c>
      <c r="IU12" s="1934"/>
      <c r="IV12" s="1935"/>
      <c r="IW12" s="1935"/>
      <c r="IX12" s="1933" t="s">
        <v>11961</v>
      </c>
      <c r="IY12" s="1934"/>
      <c r="IZ12" s="1935"/>
      <c r="JA12" s="1935"/>
      <c r="JB12" s="1933" t="s">
        <v>11961</v>
      </c>
      <c r="JC12" s="1934"/>
      <c r="JD12" s="1935"/>
      <c r="JE12" s="1935"/>
      <c r="JF12" s="1933" t="s">
        <v>11961</v>
      </c>
      <c r="JG12" s="1934"/>
      <c r="JH12" s="1935"/>
      <c r="JI12" s="1935"/>
      <c r="JJ12" s="1933" t="s">
        <v>11962</v>
      </c>
      <c r="JK12" s="1934"/>
      <c r="JL12" s="1935"/>
      <c r="JM12" s="1935"/>
      <c r="JN12" s="1933" t="s">
        <v>11962</v>
      </c>
      <c r="JO12" s="1934"/>
      <c r="JP12" s="1935"/>
      <c r="JQ12" s="1935"/>
      <c r="JR12" s="1933" t="s">
        <v>11962</v>
      </c>
      <c r="JS12" s="1934"/>
      <c r="JT12" s="1935"/>
      <c r="JU12" s="1935"/>
      <c r="JV12" s="1933" t="s">
        <v>11963</v>
      </c>
      <c r="JW12" s="1934"/>
      <c r="JX12" s="1935"/>
      <c r="JY12" s="1935"/>
      <c r="JZ12" s="1933" t="s">
        <v>11963</v>
      </c>
      <c r="KA12" s="1934"/>
      <c r="KB12" s="1935"/>
      <c r="KC12" s="1935"/>
      <c r="KD12" s="1933" t="s">
        <v>11963</v>
      </c>
      <c r="KE12" s="1934"/>
      <c r="KF12" s="1935"/>
      <c r="KG12" s="1935"/>
      <c r="KH12" s="1933" t="s">
        <v>11964</v>
      </c>
      <c r="KI12" s="1934"/>
      <c r="KJ12" s="1935"/>
      <c r="KK12" s="1935"/>
      <c r="KL12" s="1933" t="s">
        <v>11964</v>
      </c>
      <c r="KM12" s="1934"/>
      <c r="KN12" s="1935"/>
      <c r="KO12" s="1935"/>
      <c r="KP12" s="1933" t="s">
        <v>11964</v>
      </c>
      <c r="KQ12" s="1934"/>
      <c r="KR12" s="1935"/>
      <c r="KS12" s="1935"/>
      <c r="KT12" s="1933" t="s">
        <v>11964</v>
      </c>
      <c r="KU12" s="1934"/>
      <c r="KV12" s="1935"/>
      <c r="KW12" s="1935"/>
      <c r="KX12" s="1933" t="s">
        <v>11964</v>
      </c>
      <c r="KY12" s="1934"/>
      <c r="KZ12" s="1935"/>
      <c r="LA12" s="1935"/>
      <c r="LG12" s="863"/>
      <c r="LH12" s="1915"/>
      <c r="LI12" s="1915"/>
      <c r="LJ12" s="1915"/>
      <c r="LK12" s="1930" t="s">
        <v>11949</v>
      </c>
      <c r="LL12" s="1931"/>
      <c r="LM12" s="1931"/>
      <c r="LN12" s="1932"/>
      <c r="LO12" s="1933" t="s">
        <v>11950</v>
      </c>
      <c r="LP12" s="1934"/>
      <c r="LQ12" s="1934"/>
      <c r="LR12" s="1935"/>
      <c r="LS12" s="1934" t="s">
        <v>11951</v>
      </c>
      <c r="LT12" s="1934"/>
      <c r="LU12" s="1935"/>
      <c r="LV12" s="1936"/>
      <c r="LW12" s="1933" t="s">
        <v>11951</v>
      </c>
      <c r="LX12" s="1934"/>
      <c r="LY12" s="1935"/>
      <c r="LZ12" s="1935"/>
      <c r="MA12" s="1933" t="s">
        <v>11951</v>
      </c>
      <c r="MB12" s="1934"/>
      <c r="MC12" s="1935"/>
      <c r="MD12" s="1935"/>
      <c r="ME12" s="1933" t="s">
        <v>11951</v>
      </c>
      <c r="MF12" s="1934"/>
      <c r="MG12" s="1935"/>
      <c r="MH12" s="1935"/>
      <c r="MI12" s="1933" t="s">
        <v>11951</v>
      </c>
      <c r="MJ12" s="1934"/>
      <c r="MK12" s="1935"/>
      <c r="ML12" s="1935"/>
      <c r="MM12" s="1933" t="s">
        <v>11952</v>
      </c>
      <c r="MN12" s="1934"/>
      <c r="MO12" s="1935"/>
      <c r="MP12" s="1935"/>
      <c r="MQ12" s="1933" t="s">
        <v>11952</v>
      </c>
      <c r="MR12" s="1934"/>
      <c r="MS12" s="1935"/>
      <c r="MT12" s="1935"/>
      <c r="MU12" s="1933" t="s">
        <v>11952</v>
      </c>
      <c r="MV12" s="1934"/>
      <c r="MW12" s="1935"/>
      <c r="MX12" s="1935"/>
      <c r="MY12" s="1933" t="s">
        <v>11952</v>
      </c>
      <c r="MZ12" s="1934"/>
      <c r="NA12" s="1935"/>
      <c r="NB12" s="1935"/>
      <c r="NC12" s="1933" t="s">
        <v>11952</v>
      </c>
      <c r="ND12" s="1934"/>
      <c r="NE12" s="1935"/>
      <c r="NF12" s="1935"/>
      <c r="NG12" s="1933" t="s">
        <v>11952</v>
      </c>
      <c r="NH12" s="1934"/>
      <c r="NI12" s="1935"/>
      <c r="NJ12" s="1935"/>
      <c r="NK12" s="1933" t="s">
        <v>11952</v>
      </c>
      <c r="NL12" s="1934"/>
      <c r="NM12" s="1935"/>
      <c r="NN12" s="1935"/>
      <c r="NO12" s="1933" t="s">
        <v>11952</v>
      </c>
      <c r="NP12" s="1934"/>
      <c r="NQ12" s="1935"/>
      <c r="NR12" s="1935"/>
      <c r="NS12" s="1933" t="s">
        <v>11952</v>
      </c>
      <c r="NT12" s="1934"/>
      <c r="NU12" s="1935"/>
      <c r="NV12" s="1935"/>
      <c r="NW12" s="1933" t="s">
        <v>11952</v>
      </c>
      <c r="NX12" s="1934"/>
      <c r="NY12" s="1935"/>
      <c r="NZ12" s="1935"/>
      <c r="OA12" s="1933" t="s">
        <v>11952</v>
      </c>
      <c r="OB12" s="1934"/>
      <c r="OC12" s="1935"/>
      <c r="OD12" s="1935"/>
      <c r="OE12" s="1933" t="s">
        <v>11953</v>
      </c>
      <c r="OF12" s="1934"/>
      <c r="OG12" s="1935"/>
      <c r="OH12" s="1935"/>
      <c r="OI12" s="1933" t="s">
        <v>11953</v>
      </c>
      <c r="OJ12" s="1934"/>
      <c r="OK12" s="1935"/>
      <c r="OL12" s="1935"/>
      <c r="OM12" s="1933" t="s">
        <v>11953</v>
      </c>
      <c r="ON12" s="1934"/>
      <c r="OO12" s="1935"/>
      <c r="OP12" s="1935"/>
      <c r="OQ12" s="1933" t="s">
        <v>11953</v>
      </c>
      <c r="OR12" s="1934"/>
      <c r="OS12" s="1935"/>
      <c r="OT12" s="1935"/>
      <c r="OU12" s="1933" t="s">
        <v>11953</v>
      </c>
      <c r="OV12" s="1934"/>
      <c r="OW12" s="1935"/>
      <c r="OX12" s="1935"/>
      <c r="OY12" s="1933" t="s">
        <v>11953</v>
      </c>
      <c r="OZ12" s="1934"/>
      <c r="PA12" s="1935"/>
      <c r="PB12" s="1935"/>
      <c r="PC12" s="1933" t="s">
        <v>11953</v>
      </c>
      <c r="PD12" s="1934"/>
      <c r="PE12" s="1935"/>
      <c r="PF12" s="1935"/>
      <c r="PG12" s="1933" t="s">
        <v>11954</v>
      </c>
      <c r="PH12" s="1934"/>
      <c r="PI12" s="1935"/>
      <c r="PJ12" s="1935"/>
      <c r="PK12" s="1933" t="s">
        <v>11954</v>
      </c>
      <c r="PL12" s="1934"/>
      <c r="PM12" s="1935"/>
      <c r="PN12" s="1935"/>
      <c r="PO12" s="1933" t="s">
        <v>11954</v>
      </c>
      <c r="PP12" s="1934"/>
      <c r="PQ12" s="1935"/>
      <c r="PR12" s="1935"/>
      <c r="PS12" s="1933" t="s">
        <v>11954</v>
      </c>
      <c r="PT12" s="1934"/>
      <c r="PU12" s="1935"/>
      <c r="PV12" s="1935"/>
      <c r="PW12" s="1933" t="s">
        <v>11954</v>
      </c>
      <c r="PX12" s="1934"/>
      <c r="PY12" s="1935"/>
      <c r="PZ12" s="1935"/>
      <c r="QA12" s="1933" t="s">
        <v>11954</v>
      </c>
      <c r="QB12" s="1934"/>
      <c r="QC12" s="1935"/>
      <c r="QD12" s="1935"/>
      <c r="QE12" s="1933" t="s">
        <v>11954</v>
      </c>
      <c r="QF12" s="1934"/>
      <c r="QG12" s="1935"/>
      <c r="QH12" s="1935"/>
      <c r="QI12" s="1933" t="s">
        <v>11954</v>
      </c>
      <c r="QJ12" s="1934"/>
      <c r="QK12" s="1935"/>
      <c r="QL12" s="1935"/>
      <c r="QM12" s="1933" t="s">
        <v>11955</v>
      </c>
      <c r="QN12" s="1934"/>
      <c r="QO12" s="1935"/>
      <c r="QP12" s="1935"/>
      <c r="QQ12" s="1933" t="s">
        <v>11955</v>
      </c>
      <c r="QR12" s="1934"/>
      <c r="QS12" s="1935"/>
      <c r="QT12" s="1935"/>
      <c r="QU12" s="1933" t="s">
        <v>11955</v>
      </c>
      <c r="QV12" s="1934"/>
      <c r="QW12" s="1935"/>
      <c r="QX12" s="1935"/>
      <c r="QY12" s="1933" t="s">
        <v>11956</v>
      </c>
      <c r="QZ12" s="1934"/>
      <c r="RA12" s="1935"/>
      <c r="RB12" s="1935"/>
      <c r="RC12" s="1933" t="s">
        <v>11956</v>
      </c>
      <c r="RD12" s="1934"/>
      <c r="RE12" s="1935"/>
      <c r="RF12" s="1935"/>
      <c r="RG12" s="1937" t="s">
        <v>11957</v>
      </c>
      <c r="RH12" s="1934"/>
      <c r="RI12" s="1935"/>
      <c r="RJ12" s="1935"/>
      <c r="RK12" s="1937" t="s">
        <v>11957</v>
      </c>
      <c r="RL12" s="1934"/>
      <c r="RM12" s="1935"/>
      <c r="RN12" s="1935"/>
      <c r="RO12" s="1937" t="s">
        <v>11957</v>
      </c>
      <c r="RP12" s="1934"/>
      <c r="RQ12" s="1935"/>
      <c r="RR12" s="1935"/>
      <c r="RS12" s="1937" t="s">
        <v>11958</v>
      </c>
      <c r="RT12" s="1934"/>
      <c r="RU12" s="1935"/>
      <c r="RV12" s="1935"/>
      <c r="RW12" s="1937" t="s">
        <v>11958</v>
      </c>
      <c r="RX12" s="1934"/>
      <c r="RY12" s="1935"/>
      <c r="RZ12" s="1935"/>
      <c r="SA12" s="1937" t="s">
        <v>11958</v>
      </c>
      <c r="SB12" s="1934"/>
      <c r="SC12" s="1935"/>
      <c r="SD12" s="1935"/>
      <c r="SE12" s="1933" t="s">
        <v>11959</v>
      </c>
      <c r="SF12" s="1934"/>
      <c r="SG12" s="1935"/>
      <c r="SH12" s="1935"/>
      <c r="SI12" s="1933" t="s">
        <v>11959</v>
      </c>
      <c r="SJ12" s="1934"/>
      <c r="SK12" s="1935"/>
      <c r="SL12" s="1935"/>
      <c r="SM12" s="1933" t="s">
        <v>11959</v>
      </c>
      <c r="SN12" s="1934"/>
      <c r="SO12" s="1935"/>
      <c r="SP12" s="1935"/>
      <c r="SQ12" s="1933" t="s">
        <v>11959</v>
      </c>
      <c r="SR12" s="1934"/>
      <c r="SS12" s="1935"/>
      <c r="ST12" s="1935"/>
      <c r="SU12" s="1933" t="s">
        <v>11959</v>
      </c>
      <c r="SV12" s="1934"/>
      <c r="SW12" s="1935"/>
      <c r="SX12" s="1935"/>
      <c r="SY12" s="1933" t="s">
        <v>11959</v>
      </c>
      <c r="SZ12" s="1934"/>
      <c r="TA12" s="1935"/>
      <c r="TB12" s="1935"/>
      <c r="TC12" s="1933" t="s">
        <v>11960</v>
      </c>
      <c r="TD12" s="1934"/>
      <c r="TE12" s="1935"/>
      <c r="TF12" s="1935"/>
      <c r="TG12" s="1933" t="s">
        <v>11960</v>
      </c>
      <c r="TH12" s="1934"/>
      <c r="TI12" s="1935"/>
      <c r="TJ12" s="1935"/>
      <c r="TK12" s="1933" t="s">
        <v>11960</v>
      </c>
      <c r="TL12" s="1934"/>
      <c r="TM12" s="1935"/>
      <c r="TN12" s="1935"/>
      <c r="TO12" s="1933" t="s">
        <v>11960</v>
      </c>
      <c r="TP12" s="1934"/>
      <c r="TQ12" s="1935"/>
      <c r="TR12" s="1935"/>
      <c r="TS12" s="1933" t="s">
        <v>11960</v>
      </c>
      <c r="TT12" s="1934"/>
      <c r="TU12" s="1935"/>
      <c r="TV12" s="1935"/>
      <c r="TW12" s="1933" t="s">
        <v>11961</v>
      </c>
      <c r="TX12" s="1934"/>
      <c r="TY12" s="1935"/>
      <c r="TZ12" s="1935"/>
      <c r="UA12" s="1933" t="s">
        <v>11961</v>
      </c>
      <c r="UB12" s="1934"/>
      <c r="UC12" s="1935"/>
      <c r="UD12" s="1935"/>
      <c r="UE12" s="1933" t="s">
        <v>11961</v>
      </c>
      <c r="UF12" s="1934"/>
      <c r="UG12" s="1935"/>
      <c r="UH12" s="1935"/>
      <c r="UI12" s="1933" t="s">
        <v>11961</v>
      </c>
      <c r="UJ12" s="1934"/>
      <c r="UK12" s="1935"/>
      <c r="UL12" s="1935"/>
      <c r="UM12" s="1933" t="s">
        <v>11961</v>
      </c>
      <c r="UN12" s="1934"/>
      <c r="UO12" s="1935"/>
      <c r="UP12" s="1935"/>
      <c r="UQ12" s="1933" t="s">
        <v>11961</v>
      </c>
      <c r="UR12" s="1934"/>
      <c r="US12" s="1935"/>
      <c r="UT12" s="1935"/>
      <c r="UU12" s="1933" t="s">
        <v>11961</v>
      </c>
      <c r="UV12" s="1934"/>
      <c r="UW12" s="1935"/>
      <c r="UX12" s="1935"/>
      <c r="UY12" s="1933" t="s">
        <v>11961</v>
      </c>
      <c r="UZ12" s="1934"/>
      <c r="VA12" s="1935"/>
      <c r="VB12" s="1935"/>
      <c r="VC12" s="1933" t="s">
        <v>11961</v>
      </c>
      <c r="VD12" s="1934"/>
      <c r="VE12" s="1935"/>
      <c r="VF12" s="1935"/>
      <c r="VG12" s="1933" t="s">
        <v>11961</v>
      </c>
      <c r="VH12" s="1934"/>
      <c r="VI12" s="1935"/>
      <c r="VJ12" s="1935"/>
      <c r="VK12" s="1933" t="s">
        <v>11962</v>
      </c>
      <c r="VL12" s="1934"/>
      <c r="VM12" s="1935"/>
      <c r="VN12" s="1935"/>
      <c r="VO12" s="1933" t="s">
        <v>11962</v>
      </c>
      <c r="VP12" s="1934"/>
      <c r="VQ12" s="1935"/>
      <c r="VR12" s="1935"/>
      <c r="VS12" s="1933" t="s">
        <v>11962</v>
      </c>
      <c r="VT12" s="1934"/>
      <c r="VU12" s="1935"/>
      <c r="VV12" s="1935"/>
      <c r="VW12" s="1933" t="s">
        <v>11963</v>
      </c>
      <c r="VX12" s="1934"/>
      <c r="VY12" s="1935"/>
      <c r="VZ12" s="1935"/>
      <c r="WA12" s="1933" t="s">
        <v>11963</v>
      </c>
      <c r="WB12" s="1934"/>
      <c r="WC12" s="1935"/>
      <c r="WD12" s="1935"/>
      <c r="WE12" s="1933" t="s">
        <v>11963</v>
      </c>
      <c r="WF12" s="1934"/>
      <c r="WG12" s="1935"/>
      <c r="WH12" s="1935"/>
      <c r="WI12" s="1933" t="s">
        <v>11964</v>
      </c>
      <c r="WJ12" s="1934"/>
      <c r="WK12" s="1935"/>
      <c r="WL12" s="1935"/>
      <c r="WM12" s="1933" t="s">
        <v>11964</v>
      </c>
      <c r="WN12" s="1934"/>
      <c r="WO12" s="1935"/>
      <c r="WP12" s="1935"/>
      <c r="WQ12" s="1933" t="s">
        <v>11964</v>
      </c>
      <c r="WR12" s="1934"/>
      <c r="WS12" s="1935"/>
      <c r="WT12" s="1935"/>
      <c r="WU12" s="1933" t="s">
        <v>11964</v>
      </c>
      <c r="WV12" s="1934"/>
      <c r="WW12" s="1935"/>
      <c r="WX12" s="1935"/>
      <c r="WY12" s="1933" t="s">
        <v>11964</v>
      </c>
      <c r="WZ12" s="1934"/>
      <c r="XA12" s="1935"/>
      <c r="XB12" s="1935"/>
    </row>
    <row r="13" spans="1:627" ht="15.75" customHeight="1">
      <c r="A13" s="876"/>
      <c r="B13" s="876"/>
      <c r="C13" s="877"/>
      <c r="D13" s="864"/>
      <c r="E13" s="864"/>
      <c r="F13" s="864"/>
      <c r="G13" s="876"/>
      <c r="H13" s="876"/>
      <c r="I13" s="876"/>
      <c r="J13" s="1930" t="s">
        <v>1135</v>
      </c>
      <c r="K13" s="1931"/>
      <c r="L13" s="1931"/>
      <c r="M13" s="1932"/>
      <c r="N13" s="1930" t="s">
        <v>11965</v>
      </c>
      <c r="O13" s="1931"/>
      <c r="P13" s="1931"/>
      <c r="Q13" s="1932"/>
      <c r="R13" s="1930" t="s">
        <v>11966</v>
      </c>
      <c r="S13" s="1931"/>
      <c r="T13" s="1931"/>
      <c r="U13" s="1932"/>
      <c r="V13" s="1930" t="s">
        <v>11967</v>
      </c>
      <c r="W13" s="1931"/>
      <c r="X13" s="1931"/>
      <c r="Y13" s="1932"/>
      <c r="Z13" s="1930" t="s">
        <v>11968</v>
      </c>
      <c r="AA13" s="1931"/>
      <c r="AB13" s="1931"/>
      <c r="AC13" s="1932"/>
      <c r="AD13" s="1930" t="s">
        <v>11969</v>
      </c>
      <c r="AE13" s="1931"/>
      <c r="AF13" s="1931"/>
      <c r="AG13" s="1932"/>
      <c r="AH13" s="1930" t="s">
        <v>11970</v>
      </c>
      <c r="AI13" s="1931"/>
      <c r="AJ13" s="1931"/>
      <c r="AK13" s="1932"/>
      <c r="AL13" s="1930" t="s">
        <v>11971</v>
      </c>
      <c r="AM13" s="1931"/>
      <c r="AN13" s="1931"/>
      <c r="AO13" s="1932"/>
      <c r="AP13" s="1930" t="s">
        <v>11972</v>
      </c>
      <c r="AQ13" s="1931"/>
      <c r="AR13" s="1931"/>
      <c r="AS13" s="1932"/>
      <c r="AT13" s="1930" t="s">
        <v>11973</v>
      </c>
      <c r="AU13" s="1931"/>
      <c r="AV13" s="1931"/>
      <c r="AW13" s="1932"/>
      <c r="AX13" s="1930" t="s">
        <v>11974</v>
      </c>
      <c r="AY13" s="1931"/>
      <c r="AZ13" s="1931"/>
      <c r="BA13" s="1932"/>
      <c r="BB13" s="1930" t="s">
        <v>11975</v>
      </c>
      <c r="BC13" s="1931"/>
      <c r="BD13" s="1931"/>
      <c r="BE13" s="1932"/>
      <c r="BF13" s="1930" t="s">
        <v>11976</v>
      </c>
      <c r="BG13" s="1931"/>
      <c r="BH13" s="1931"/>
      <c r="BI13" s="1932"/>
      <c r="BJ13" s="1930" t="s">
        <v>11977</v>
      </c>
      <c r="BK13" s="1931"/>
      <c r="BL13" s="1931"/>
      <c r="BM13" s="1932"/>
      <c r="BN13" s="1930" t="s">
        <v>11978</v>
      </c>
      <c r="BO13" s="1931"/>
      <c r="BP13" s="1931"/>
      <c r="BQ13" s="1932"/>
      <c r="BR13" s="1930" t="s">
        <v>11979</v>
      </c>
      <c r="BS13" s="1931"/>
      <c r="BT13" s="1931"/>
      <c r="BU13" s="1932"/>
      <c r="BV13" s="1930" t="s">
        <v>11980</v>
      </c>
      <c r="BW13" s="1931"/>
      <c r="BX13" s="1931"/>
      <c r="BY13" s="1932"/>
      <c r="BZ13" s="1930" t="s">
        <v>11981</v>
      </c>
      <c r="CA13" s="1931"/>
      <c r="CB13" s="1931"/>
      <c r="CC13" s="1932"/>
      <c r="CD13" s="1930" t="s">
        <v>1116</v>
      </c>
      <c r="CE13" s="1931"/>
      <c r="CF13" s="1931"/>
      <c r="CG13" s="1932"/>
      <c r="CH13" s="1930" t="s">
        <v>11982</v>
      </c>
      <c r="CI13" s="1931"/>
      <c r="CJ13" s="1931"/>
      <c r="CK13" s="1932"/>
      <c r="CL13" s="1930" t="s">
        <v>11983</v>
      </c>
      <c r="CM13" s="1931"/>
      <c r="CN13" s="1931"/>
      <c r="CO13" s="1932"/>
      <c r="CP13" s="1930" t="s">
        <v>11984</v>
      </c>
      <c r="CQ13" s="1931"/>
      <c r="CR13" s="1931"/>
      <c r="CS13" s="1932"/>
      <c r="CT13" s="1930" t="s">
        <v>11985</v>
      </c>
      <c r="CU13" s="1931"/>
      <c r="CV13" s="1931"/>
      <c r="CW13" s="1932"/>
      <c r="CX13" s="1930" t="s">
        <v>11986</v>
      </c>
      <c r="CY13" s="1931"/>
      <c r="CZ13" s="1931"/>
      <c r="DA13" s="1932"/>
      <c r="DB13" s="1930" t="s">
        <v>11987</v>
      </c>
      <c r="DC13" s="1931"/>
      <c r="DD13" s="1931"/>
      <c r="DE13" s="1932"/>
      <c r="DF13" s="1930" t="s">
        <v>11988</v>
      </c>
      <c r="DG13" s="1931"/>
      <c r="DH13" s="1931"/>
      <c r="DI13" s="1932"/>
      <c r="DJ13" s="1930" t="s">
        <v>11989</v>
      </c>
      <c r="DK13" s="1931"/>
      <c r="DL13" s="1931"/>
      <c r="DM13" s="1932"/>
      <c r="DN13" s="1930" t="s">
        <v>11990</v>
      </c>
      <c r="DO13" s="1931"/>
      <c r="DP13" s="1931"/>
      <c r="DQ13" s="1932"/>
      <c r="DR13" s="1930" t="s">
        <v>11991</v>
      </c>
      <c r="DS13" s="1931"/>
      <c r="DT13" s="1931"/>
      <c r="DU13" s="1932"/>
      <c r="DV13" s="1930" t="s">
        <v>11992</v>
      </c>
      <c r="DW13" s="1931"/>
      <c r="DX13" s="1931"/>
      <c r="DY13" s="1932"/>
      <c r="DZ13" s="1930" t="s">
        <v>11993</v>
      </c>
      <c r="EA13" s="1931"/>
      <c r="EB13" s="1931"/>
      <c r="EC13" s="1932"/>
      <c r="ED13" s="1930" t="s">
        <v>11994</v>
      </c>
      <c r="EE13" s="1931"/>
      <c r="EF13" s="1931"/>
      <c r="EG13" s="1932"/>
      <c r="EH13" s="1930" t="s">
        <v>11995</v>
      </c>
      <c r="EI13" s="1931"/>
      <c r="EJ13" s="1931"/>
      <c r="EK13" s="1932"/>
      <c r="EL13" s="1930" t="s">
        <v>11996</v>
      </c>
      <c r="EM13" s="1931"/>
      <c r="EN13" s="1931"/>
      <c r="EO13" s="1932"/>
      <c r="EP13" s="1930" t="s">
        <v>11997</v>
      </c>
      <c r="EQ13" s="1931"/>
      <c r="ER13" s="1931"/>
      <c r="ES13" s="1932"/>
      <c r="ET13" s="1930" t="s">
        <v>11998</v>
      </c>
      <c r="EU13" s="1931"/>
      <c r="EV13" s="1931"/>
      <c r="EW13" s="1932"/>
      <c r="EX13" s="1930" t="s">
        <v>11999</v>
      </c>
      <c r="EY13" s="1931"/>
      <c r="EZ13" s="1931"/>
      <c r="FA13" s="1932"/>
      <c r="FB13" s="1930" t="s">
        <v>12000</v>
      </c>
      <c r="FC13" s="1931"/>
      <c r="FD13" s="1931"/>
      <c r="FE13" s="1932"/>
      <c r="FF13" s="1930" t="s">
        <v>12001</v>
      </c>
      <c r="FG13" s="1931"/>
      <c r="FH13" s="1931"/>
      <c r="FI13" s="1932"/>
      <c r="FJ13" s="1930" t="s">
        <v>12002</v>
      </c>
      <c r="FK13" s="1931"/>
      <c r="FL13" s="1931"/>
      <c r="FM13" s="1932"/>
      <c r="FN13" s="1930" t="s">
        <v>12003</v>
      </c>
      <c r="FO13" s="1931"/>
      <c r="FP13" s="1931"/>
      <c r="FQ13" s="1932"/>
      <c r="FR13" s="1930" t="s">
        <v>12004</v>
      </c>
      <c r="FS13" s="1931"/>
      <c r="FT13" s="1931"/>
      <c r="FU13" s="1932"/>
      <c r="FV13" s="1930" t="s">
        <v>12005</v>
      </c>
      <c r="FW13" s="1931"/>
      <c r="FX13" s="1931"/>
      <c r="FY13" s="1932"/>
      <c r="FZ13" s="1930" t="s">
        <v>12006</v>
      </c>
      <c r="GA13" s="1931"/>
      <c r="GB13" s="1931"/>
      <c r="GC13" s="1932"/>
      <c r="GD13" s="1930" t="s">
        <v>12007</v>
      </c>
      <c r="GE13" s="1931"/>
      <c r="GF13" s="1931"/>
      <c r="GG13" s="1932"/>
      <c r="GH13" s="1930" t="s">
        <v>12008</v>
      </c>
      <c r="GI13" s="1931"/>
      <c r="GJ13" s="1931"/>
      <c r="GK13" s="1932"/>
      <c r="GL13" s="1930" t="s">
        <v>12009</v>
      </c>
      <c r="GM13" s="1931"/>
      <c r="GN13" s="1931"/>
      <c r="GO13" s="1932"/>
      <c r="GP13" s="1930" t="s">
        <v>12010</v>
      </c>
      <c r="GQ13" s="1931"/>
      <c r="GR13" s="1931"/>
      <c r="GS13" s="1932"/>
      <c r="GT13" s="1930" t="s">
        <v>12011</v>
      </c>
      <c r="GU13" s="1931"/>
      <c r="GV13" s="1931"/>
      <c r="GW13" s="1932"/>
      <c r="GX13" s="1930" t="s">
        <v>12012</v>
      </c>
      <c r="GY13" s="1931"/>
      <c r="GZ13" s="1931"/>
      <c r="HA13" s="1932"/>
      <c r="HB13" s="1930" t="s">
        <v>12013</v>
      </c>
      <c r="HC13" s="1931"/>
      <c r="HD13" s="1931"/>
      <c r="HE13" s="1932"/>
      <c r="HF13" s="1930" t="s">
        <v>12014</v>
      </c>
      <c r="HG13" s="1931"/>
      <c r="HH13" s="1931"/>
      <c r="HI13" s="1932"/>
      <c r="HJ13" s="1930" t="s">
        <v>12015</v>
      </c>
      <c r="HK13" s="1931"/>
      <c r="HL13" s="1931"/>
      <c r="HM13" s="1932"/>
      <c r="HN13" s="1930" t="s">
        <v>12016</v>
      </c>
      <c r="HO13" s="1931"/>
      <c r="HP13" s="1931"/>
      <c r="HQ13" s="1932"/>
      <c r="HR13" s="1930" t="s">
        <v>12017</v>
      </c>
      <c r="HS13" s="1931"/>
      <c r="HT13" s="1931"/>
      <c r="HU13" s="1932"/>
      <c r="HV13" s="1930" t="s">
        <v>12018</v>
      </c>
      <c r="HW13" s="1931"/>
      <c r="HX13" s="1931"/>
      <c r="HY13" s="1932"/>
      <c r="HZ13" s="1930" t="s">
        <v>12019</v>
      </c>
      <c r="IA13" s="1931"/>
      <c r="IB13" s="1931"/>
      <c r="IC13" s="1932"/>
      <c r="ID13" s="1930" t="s">
        <v>12020</v>
      </c>
      <c r="IE13" s="1931"/>
      <c r="IF13" s="1931"/>
      <c r="IG13" s="1932"/>
      <c r="IH13" s="1930" t="s">
        <v>12021</v>
      </c>
      <c r="II13" s="1931"/>
      <c r="IJ13" s="1931"/>
      <c r="IK13" s="1932"/>
      <c r="IL13" s="1930" t="s">
        <v>12022</v>
      </c>
      <c r="IM13" s="1931"/>
      <c r="IN13" s="1931"/>
      <c r="IO13" s="1932"/>
      <c r="IP13" s="1930" t="s">
        <v>12023</v>
      </c>
      <c r="IQ13" s="1931"/>
      <c r="IR13" s="1931"/>
      <c r="IS13" s="1932"/>
      <c r="IT13" s="1930" t="s">
        <v>12024</v>
      </c>
      <c r="IU13" s="1931"/>
      <c r="IV13" s="1931"/>
      <c r="IW13" s="1932"/>
      <c r="IX13" s="1930" t="s">
        <v>12025</v>
      </c>
      <c r="IY13" s="1931"/>
      <c r="IZ13" s="1931"/>
      <c r="JA13" s="1932"/>
      <c r="JB13" s="1930" t="s">
        <v>12026</v>
      </c>
      <c r="JC13" s="1931"/>
      <c r="JD13" s="1931"/>
      <c r="JE13" s="1932"/>
      <c r="JF13" s="1930" t="s">
        <v>12027</v>
      </c>
      <c r="JG13" s="1931"/>
      <c r="JH13" s="1931"/>
      <c r="JI13" s="1932"/>
      <c r="JJ13" s="1930" t="s">
        <v>12028</v>
      </c>
      <c r="JK13" s="1931"/>
      <c r="JL13" s="1931"/>
      <c r="JM13" s="1932"/>
      <c r="JN13" s="1930" t="s">
        <v>12029</v>
      </c>
      <c r="JO13" s="1931"/>
      <c r="JP13" s="1931"/>
      <c r="JQ13" s="1932"/>
      <c r="JR13" s="1930" t="s">
        <v>12030</v>
      </c>
      <c r="JS13" s="1931"/>
      <c r="JT13" s="1931"/>
      <c r="JU13" s="1932"/>
      <c r="JV13" s="1930" t="s">
        <v>12031</v>
      </c>
      <c r="JW13" s="1931"/>
      <c r="JX13" s="1931"/>
      <c r="JY13" s="1932"/>
      <c r="JZ13" s="1930" t="s">
        <v>12032</v>
      </c>
      <c r="KA13" s="1931"/>
      <c r="KB13" s="1931"/>
      <c r="KC13" s="1932"/>
      <c r="KD13" s="1930" t="s">
        <v>12033</v>
      </c>
      <c r="KE13" s="1931"/>
      <c r="KF13" s="1931"/>
      <c r="KG13" s="1932"/>
      <c r="KH13" s="1930" t="s">
        <v>12034</v>
      </c>
      <c r="KI13" s="1931"/>
      <c r="KJ13" s="1931"/>
      <c r="KK13" s="1932"/>
      <c r="KL13" s="1930" t="s">
        <v>12035</v>
      </c>
      <c r="KM13" s="1931"/>
      <c r="KN13" s="1931"/>
      <c r="KO13" s="1932"/>
      <c r="KP13" s="1930" t="s">
        <v>12036</v>
      </c>
      <c r="KQ13" s="1931"/>
      <c r="KR13" s="1931"/>
      <c r="KS13" s="1932"/>
      <c r="KT13" s="1930" t="s">
        <v>12037</v>
      </c>
      <c r="KU13" s="1931"/>
      <c r="KV13" s="1931"/>
      <c r="KW13" s="1932"/>
      <c r="KX13" s="1930" t="s">
        <v>12038</v>
      </c>
      <c r="KY13" s="1931"/>
      <c r="KZ13" s="1931"/>
      <c r="LA13" s="1932"/>
      <c r="LG13" s="864"/>
      <c r="LH13" s="876"/>
      <c r="LI13" s="876"/>
      <c r="LJ13" s="876"/>
      <c r="LK13" s="1930" t="s">
        <v>1135</v>
      </c>
      <c r="LL13" s="1931"/>
      <c r="LM13" s="1931"/>
      <c r="LN13" s="1932"/>
      <c r="LO13" s="1930" t="s">
        <v>11965</v>
      </c>
      <c r="LP13" s="1931"/>
      <c r="LQ13" s="1931"/>
      <c r="LR13" s="1932"/>
      <c r="LS13" s="1930" t="s">
        <v>11966</v>
      </c>
      <c r="LT13" s="1931"/>
      <c r="LU13" s="1931"/>
      <c r="LV13" s="1932"/>
      <c r="LW13" s="1930" t="s">
        <v>11967</v>
      </c>
      <c r="LX13" s="1931"/>
      <c r="LY13" s="1931"/>
      <c r="LZ13" s="1932"/>
      <c r="MA13" s="1930" t="s">
        <v>11968</v>
      </c>
      <c r="MB13" s="1931"/>
      <c r="MC13" s="1931"/>
      <c r="MD13" s="1932"/>
      <c r="ME13" s="1930" t="s">
        <v>11969</v>
      </c>
      <c r="MF13" s="1931"/>
      <c r="MG13" s="1931"/>
      <c r="MH13" s="1932"/>
      <c r="MI13" s="1930" t="s">
        <v>11970</v>
      </c>
      <c r="MJ13" s="1931"/>
      <c r="MK13" s="1931"/>
      <c r="ML13" s="1932"/>
      <c r="MM13" s="1930" t="s">
        <v>11971</v>
      </c>
      <c r="MN13" s="1931"/>
      <c r="MO13" s="1931"/>
      <c r="MP13" s="1932"/>
      <c r="MQ13" s="1930" t="s">
        <v>11972</v>
      </c>
      <c r="MR13" s="1931"/>
      <c r="MS13" s="1931"/>
      <c r="MT13" s="1932"/>
      <c r="MU13" s="1930" t="s">
        <v>11973</v>
      </c>
      <c r="MV13" s="1931"/>
      <c r="MW13" s="1931"/>
      <c r="MX13" s="1932"/>
      <c r="MY13" s="1930" t="s">
        <v>11974</v>
      </c>
      <c r="MZ13" s="1931"/>
      <c r="NA13" s="1931"/>
      <c r="NB13" s="1932"/>
      <c r="NC13" s="1930" t="s">
        <v>11975</v>
      </c>
      <c r="ND13" s="1931"/>
      <c r="NE13" s="1931"/>
      <c r="NF13" s="1932"/>
      <c r="NG13" s="1930" t="s">
        <v>11976</v>
      </c>
      <c r="NH13" s="1931"/>
      <c r="NI13" s="1931"/>
      <c r="NJ13" s="1932"/>
      <c r="NK13" s="1930" t="s">
        <v>11977</v>
      </c>
      <c r="NL13" s="1931"/>
      <c r="NM13" s="1931"/>
      <c r="NN13" s="1932"/>
      <c r="NO13" s="1930" t="s">
        <v>11978</v>
      </c>
      <c r="NP13" s="1931"/>
      <c r="NQ13" s="1931"/>
      <c r="NR13" s="1932"/>
      <c r="NS13" s="1930" t="s">
        <v>11979</v>
      </c>
      <c r="NT13" s="1931"/>
      <c r="NU13" s="1931"/>
      <c r="NV13" s="1932"/>
      <c r="NW13" s="1930" t="s">
        <v>11980</v>
      </c>
      <c r="NX13" s="1931"/>
      <c r="NY13" s="1931"/>
      <c r="NZ13" s="1932"/>
      <c r="OA13" s="1930" t="s">
        <v>11981</v>
      </c>
      <c r="OB13" s="1931"/>
      <c r="OC13" s="1931"/>
      <c r="OD13" s="1932"/>
      <c r="OE13" s="1930" t="s">
        <v>1116</v>
      </c>
      <c r="OF13" s="1931"/>
      <c r="OG13" s="1931"/>
      <c r="OH13" s="1932"/>
      <c r="OI13" s="1930" t="s">
        <v>11982</v>
      </c>
      <c r="OJ13" s="1931"/>
      <c r="OK13" s="1931"/>
      <c r="OL13" s="1932"/>
      <c r="OM13" s="1930" t="s">
        <v>11983</v>
      </c>
      <c r="ON13" s="1931"/>
      <c r="OO13" s="1931"/>
      <c r="OP13" s="1932"/>
      <c r="OQ13" s="1930" t="s">
        <v>11984</v>
      </c>
      <c r="OR13" s="1931"/>
      <c r="OS13" s="1931"/>
      <c r="OT13" s="1932"/>
      <c r="OU13" s="1930" t="s">
        <v>11985</v>
      </c>
      <c r="OV13" s="1931"/>
      <c r="OW13" s="1931"/>
      <c r="OX13" s="1932"/>
      <c r="OY13" s="1930" t="s">
        <v>11986</v>
      </c>
      <c r="OZ13" s="1931"/>
      <c r="PA13" s="1931"/>
      <c r="PB13" s="1932"/>
      <c r="PC13" s="1930" t="s">
        <v>11987</v>
      </c>
      <c r="PD13" s="1931"/>
      <c r="PE13" s="1931"/>
      <c r="PF13" s="1932"/>
      <c r="PG13" s="1930" t="s">
        <v>11988</v>
      </c>
      <c r="PH13" s="1931"/>
      <c r="PI13" s="1931"/>
      <c r="PJ13" s="1932"/>
      <c r="PK13" s="1930" t="s">
        <v>11989</v>
      </c>
      <c r="PL13" s="1931"/>
      <c r="PM13" s="1931"/>
      <c r="PN13" s="1932"/>
      <c r="PO13" s="1930" t="s">
        <v>11990</v>
      </c>
      <c r="PP13" s="1931"/>
      <c r="PQ13" s="1931"/>
      <c r="PR13" s="1932"/>
      <c r="PS13" s="1930" t="s">
        <v>11991</v>
      </c>
      <c r="PT13" s="1931"/>
      <c r="PU13" s="1931"/>
      <c r="PV13" s="1932"/>
      <c r="PW13" s="1930" t="s">
        <v>11992</v>
      </c>
      <c r="PX13" s="1931"/>
      <c r="PY13" s="1931"/>
      <c r="PZ13" s="1932"/>
      <c r="QA13" s="1930" t="s">
        <v>11993</v>
      </c>
      <c r="QB13" s="1931"/>
      <c r="QC13" s="1931"/>
      <c r="QD13" s="1932"/>
      <c r="QE13" s="1930" t="s">
        <v>11994</v>
      </c>
      <c r="QF13" s="1931"/>
      <c r="QG13" s="1931"/>
      <c r="QH13" s="1932"/>
      <c r="QI13" s="1930" t="s">
        <v>11995</v>
      </c>
      <c r="QJ13" s="1931"/>
      <c r="QK13" s="1931"/>
      <c r="QL13" s="1932"/>
      <c r="QM13" s="1930" t="s">
        <v>11996</v>
      </c>
      <c r="QN13" s="1931"/>
      <c r="QO13" s="1931"/>
      <c r="QP13" s="1932"/>
      <c r="QQ13" s="1930" t="s">
        <v>11997</v>
      </c>
      <c r="QR13" s="1931"/>
      <c r="QS13" s="1931"/>
      <c r="QT13" s="1932"/>
      <c r="QU13" s="1930" t="s">
        <v>11998</v>
      </c>
      <c r="QV13" s="1931"/>
      <c r="QW13" s="1931"/>
      <c r="QX13" s="1932"/>
      <c r="QY13" s="1930" t="s">
        <v>11999</v>
      </c>
      <c r="QZ13" s="1931"/>
      <c r="RA13" s="1931"/>
      <c r="RB13" s="1932"/>
      <c r="RC13" s="1930" t="s">
        <v>12000</v>
      </c>
      <c r="RD13" s="1931"/>
      <c r="RE13" s="1931"/>
      <c r="RF13" s="1932"/>
      <c r="RG13" s="1930" t="s">
        <v>12001</v>
      </c>
      <c r="RH13" s="1931"/>
      <c r="RI13" s="1931"/>
      <c r="RJ13" s="1932"/>
      <c r="RK13" s="1930" t="s">
        <v>12002</v>
      </c>
      <c r="RL13" s="1931"/>
      <c r="RM13" s="1931"/>
      <c r="RN13" s="1932"/>
      <c r="RO13" s="1930" t="s">
        <v>12003</v>
      </c>
      <c r="RP13" s="1931"/>
      <c r="RQ13" s="1931"/>
      <c r="RR13" s="1932"/>
      <c r="RS13" s="1930" t="s">
        <v>12004</v>
      </c>
      <c r="RT13" s="1931"/>
      <c r="RU13" s="1931"/>
      <c r="RV13" s="1932"/>
      <c r="RW13" s="1930" t="s">
        <v>12005</v>
      </c>
      <c r="RX13" s="1931"/>
      <c r="RY13" s="1931"/>
      <c r="RZ13" s="1932"/>
      <c r="SA13" s="1930" t="s">
        <v>12006</v>
      </c>
      <c r="SB13" s="1931"/>
      <c r="SC13" s="1931"/>
      <c r="SD13" s="1932"/>
      <c r="SE13" s="1930" t="s">
        <v>12007</v>
      </c>
      <c r="SF13" s="1931"/>
      <c r="SG13" s="1931"/>
      <c r="SH13" s="1932"/>
      <c r="SI13" s="1930" t="s">
        <v>12008</v>
      </c>
      <c r="SJ13" s="1931"/>
      <c r="SK13" s="1931"/>
      <c r="SL13" s="1932"/>
      <c r="SM13" s="1930" t="s">
        <v>12009</v>
      </c>
      <c r="SN13" s="1931"/>
      <c r="SO13" s="1931"/>
      <c r="SP13" s="1932"/>
      <c r="SQ13" s="1930" t="s">
        <v>12010</v>
      </c>
      <c r="SR13" s="1931"/>
      <c r="SS13" s="1931"/>
      <c r="ST13" s="1932"/>
      <c r="SU13" s="1930" t="s">
        <v>12011</v>
      </c>
      <c r="SV13" s="1931"/>
      <c r="SW13" s="1931"/>
      <c r="SX13" s="1932"/>
      <c r="SY13" s="1930" t="s">
        <v>12012</v>
      </c>
      <c r="SZ13" s="1931"/>
      <c r="TA13" s="1931"/>
      <c r="TB13" s="1932"/>
      <c r="TC13" s="1930" t="s">
        <v>12013</v>
      </c>
      <c r="TD13" s="1931"/>
      <c r="TE13" s="1931"/>
      <c r="TF13" s="1932"/>
      <c r="TG13" s="1930" t="s">
        <v>12014</v>
      </c>
      <c r="TH13" s="1931"/>
      <c r="TI13" s="1931"/>
      <c r="TJ13" s="1932"/>
      <c r="TK13" s="1930" t="s">
        <v>12015</v>
      </c>
      <c r="TL13" s="1931"/>
      <c r="TM13" s="1931"/>
      <c r="TN13" s="1932"/>
      <c r="TO13" s="1930" t="s">
        <v>12016</v>
      </c>
      <c r="TP13" s="1931"/>
      <c r="TQ13" s="1931"/>
      <c r="TR13" s="1932"/>
      <c r="TS13" s="1930" t="s">
        <v>12017</v>
      </c>
      <c r="TT13" s="1931"/>
      <c r="TU13" s="1931"/>
      <c r="TV13" s="1932"/>
      <c r="TW13" s="1930" t="s">
        <v>12018</v>
      </c>
      <c r="TX13" s="1931"/>
      <c r="TY13" s="1931"/>
      <c r="TZ13" s="1932"/>
      <c r="UA13" s="1930" t="s">
        <v>12019</v>
      </c>
      <c r="UB13" s="1931"/>
      <c r="UC13" s="1931"/>
      <c r="UD13" s="1932"/>
      <c r="UE13" s="1930" t="s">
        <v>12020</v>
      </c>
      <c r="UF13" s="1931"/>
      <c r="UG13" s="1931"/>
      <c r="UH13" s="1932"/>
      <c r="UI13" s="1930" t="s">
        <v>12021</v>
      </c>
      <c r="UJ13" s="1931"/>
      <c r="UK13" s="1931"/>
      <c r="UL13" s="1932"/>
      <c r="UM13" s="1930" t="s">
        <v>12022</v>
      </c>
      <c r="UN13" s="1931"/>
      <c r="UO13" s="1931"/>
      <c r="UP13" s="1932"/>
      <c r="UQ13" s="1930" t="s">
        <v>12023</v>
      </c>
      <c r="UR13" s="1931"/>
      <c r="US13" s="1931"/>
      <c r="UT13" s="1932"/>
      <c r="UU13" s="1930" t="s">
        <v>12024</v>
      </c>
      <c r="UV13" s="1931"/>
      <c r="UW13" s="1931"/>
      <c r="UX13" s="1932"/>
      <c r="UY13" s="1930" t="s">
        <v>12025</v>
      </c>
      <c r="UZ13" s="1931"/>
      <c r="VA13" s="1931"/>
      <c r="VB13" s="1932"/>
      <c r="VC13" s="1930" t="s">
        <v>12026</v>
      </c>
      <c r="VD13" s="1931"/>
      <c r="VE13" s="1931"/>
      <c r="VF13" s="1932"/>
      <c r="VG13" s="1930" t="s">
        <v>12027</v>
      </c>
      <c r="VH13" s="1931"/>
      <c r="VI13" s="1931"/>
      <c r="VJ13" s="1932"/>
      <c r="VK13" s="1930" t="s">
        <v>12028</v>
      </c>
      <c r="VL13" s="1931"/>
      <c r="VM13" s="1931"/>
      <c r="VN13" s="1932"/>
      <c r="VO13" s="1930" t="s">
        <v>12029</v>
      </c>
      <c r="VP13" s="1931"/>
      <c r="VQ13" s="1931"/>
      <c r="VR13" s="1932"/>
      <c r="VS13" s="1930" t="s">
        <v>12030</v>
      </c>
      <c r="VT13" s="1931"/>
      <c r="VU13" s="1931"/>
      <c r="VV13" s="1932"/>
      <c r="VW13" s="1930" t="s">
        <v>12031</v>
      </c>
      <c r="VX13" s="1931"/>
      <c r="VY13" s="1931"/>
      <c r="VZ13" s="1932"/>
      <c r="WA13" s="1930" t="s">
        <v>12032</v>
      </c>
      <c r="WB13" s="1931"/>
      <c r="WC13" s="1931"/>
      <c r="WD13" s="1932"/>
      <c r="WE13" s="1930" t="s">
        <v>12033</v>
      </c>
      <c r="WF13" s="1931"/>
      <c r="WG13" s="1931"/>
      <c r="WH13" s="1932"/>
      <c r="WI13" s="1930" t="s">
        <v>12034</v>
      </c>
      <c r="WJ13" s="1931"/>
      <c r="WK13" s="1931"/>
      <c r="WL13" s="1932"/>
      <c r="WM13" s="1930" t="s">
        <v>12035</v>
      </c>
      <c r="WN13" s="1931"/>
      <c r="WO13" s="1931"/>
      <c r="WP13" s="1932"/>
      <c r="WQ13" s="1930" t="s">
        <v>12036</v>
      </c>
      <c r="WR13" s="1931"/>
      <c r="WS13" s="1931"/>
      <c r="WT13" s="1932"/>
      <c r="WU13" s="1930" t="s">
        <v>12037</v>
      </c>
      <c r="WV13" s="1931"/>
      <c r="WW13" s="1931"/>
      <c r="WX13" s="1932"/>
      <c r="WY13" s="1930" t="s">
        <v>12038</v>
      </c>
      <c r="WZ13" s="1931"/>
      <c r="XA13" s="1931"/>
      <c r="XB13" s="1932"/>
    </row>
    <row r="14" spans="1:627" s="3177" customFormat="1" ht="150" customHeight="1" thickBot="1">
      <c r="A14" s="1938"/>
      <c r="B14" s="1938"/>
      <c r="C14" s="1939"/>
      <c r="D14" s="1939"/>
      <c r="E14" s="1939"/>
      <c r="F14" s="1939"/>
      <c r="G14" s="1938"/>
      <c r="H14" s="1938"/>
      <c r="I14" s="1938"/>
      <c r="J14" s="1940" t="s">
        <v>12039</v>
      </c>
      <c r="K14" s="1941"/>
      <c r="L14" s="1941"/>
      <c r="M14" s="1942"/>
      <c r="N14" s="1940" t="s">
        <v>12040</v>
      </c>
      <c r="O14" s="1941"/>
      <c r="P14" s="1941"/>
      <c r="Q14" s="1942"/>
      <c r="R14" s="1940" t="s">
        <v>12041</v>
      </c>
      <c r="S14" s="1941"/>
      <c r="T14" s="1941"/>
      <c r="U14" s="1942"/>
      <c r="V14" s="1940" t="s">
        <v>12042</v>
      </c>
      <c r="W14" s="1941"/>
      <c r="X14" s="1941"/>
      <c r="Y14" s="1942"/>
      <c r="Z14" s="1940" t="s">
        <v>12043</v>
      </c>
      <c r="AA14" s="1941"/>
      <c r="AB14" s="1941"/>
      <c r="AC14" s="1942"/>
      <c r="AD14" s="1940" t="s">
        <v>12044</v>
      </c>
      <c r="AE14" s="1941"/>
      <c r="AF14" s="1941"/>
      <c r="AG14" s="1942"/>
      <c r="AH14" s="1940" t="s">
        <v>12045</v>
      </c>
      <c r="AI14" s="1941"/>
      <c r="AJ14" s="1941"/>
      <c r="AK14" s="1942"/>
      <c r="AL14" s="1940" t="s">
        <v>12046</v>
      </c>
      <c r="AM14" s="1941"/>
      <c r="AN14" s="1941"/>
      <c r="AO14" s="1942"/>
      <c r="AP14" s="1940" t="s">
        <v>12047</v>
      </c>
      <c r="AQ14" s="1941"/>
      <c r="AR14" s="1941"/>
      <c r="AS14" s="1942"/>
      <c r="AT14" s="1940" t="s">
        <v>12048</v>
      </c>
      <c r="AU14" s="1941"/>
      <c r="AV14" s="1941"/>
      <c r="AW14" s="1942"/>
      <c r="AX14" s="1940" t="s">
        <v>12044</v>
      </c>
      <c r="AY14" s="1941"/>
      <c r="AZ14" s="1941"/>
      <c r="BA14" s="1942"/>
      <c r="BB14" s="1940" t="s">
        <v>12049</v>
      </c>
      <c r="BC14" s="1941"/>
      <c r="BD14" s="1941"/>
      <c r="BE14" s="1942"/>
      <c r="BF14" s="1940" t="s">
        <v>12050</v>
      </c>
      <c r="BG14" s="1941"/>
      <c r="BH14" s="1941"/>
      <c r="BI14" s="1942"/>
      <c r="BJ14" s="1940" t="s">
        <v>12051</v>
      </c>
      <c r="BK14" s="1941"/>
      <c r="BL14" s="1941"/>
      <c r="BM14" s="1942"/>
      <c r="BN14" s="1940" t="s">
        <v>12052</v>
      </c>
      <c r="BO14" s="1941"/>
      <c r="BP14" s="1941"/>
      <c r="BQ14" s="1942"/>
      <c r="BR14" s="1940" t="s">
        <v>12053</v>
      </c>
      <c r="BS14" s="1941"/>
      <c r="BT14" s="1941"/>
      <c r="BU14" s="1942"/>
      <c r="BV14" s="1940" t="s">
        <v>12054</v>
      </c>
      <c r="BW14" s="1941"/>
      <c r="BX14" s="1941"/>
      <c r="BY14" s="1942"/>
      <c r="BZ14" s="1940" t="s">
        <v>12055</v>
      </c>
      <c r="CA14" s="1941"/>
      <c r="CB14" s="1941"/>
      <c r="CC14" s="1942"/>
      <c r="CD14" s="1940" t="s">
        <v>12056</v>
      </c>
      <c r="CE14" s="1941"/>
      <c r="CF14" s="1941"/>
      <c r="CG14" s="1942"/>
      <c r="CH14" s="1940" t="s">
        <v>12057</v>
      </c>
      <c r="CI14" s="1941"/>
      <c r="CJ14" s="1941"/>
      <c r="CK14" s="1942"/>
      <c r="CL14" s="1940" t="s">
        <v>12058</v>
      </c>
      <c r="CM14" s="1941"/>
      <c r="CN14" s="1941"/>
      <c r="CO14" s="1942"/>
      <c r="CP14" s="1940" t="s">
        <v>12059</v>
      </c>
      <c r="CQ14" s="1941"/>
      <c r="CR14" s="1941"/>
      <c r="CS14" s="1942"/>
      <c r="CT14" s="1940" t="s">
        <v>12060</v>
      </c>
      <c r="CU14" s="1941"/>
      <c r="CV14" s="1941"/>
      <c r="CW14" s="1942"/>
      <c r="CX14" s="1940" t="s">
        <v>12061</v>
      </c>
      <c r="CY14" s="1941"/>
      <c r="CZ14" s="1941"/>
      <c r="DA14" s="1942"/>
      <c r="DB14" s="1940" t="s">
        <v>12062</v>
      </c>
      <c r="DC14" s="1941"/>
      <c r="DD14" s="1941"/>
      <c r="DE14" s="1942"/>
      <c r="DF14" s="1940" t="s">
        <v>12063</v>
      </c>
      <c r="DG14" s="1941"/>
      <c r="DH14" s="1941"/>
      <c r="DI14" s="1942"/>
      <c r="DJ14" s="1940" t="s">
        <v>12064</v>
      </c>
      <c r="DK14" s="1941"/>
      <c r="DL14" s="1941"/>
      <c r="DM14" s="1942"/>
      <c r="DN14" s="1940" t="s">
        <v>12065</v>
      </c>
      <c r="DO14" s="1941"/>
      <c r="DP14" s="1941"/>
      <c r="DQ14" s="1942"/>
      <c r="DR14" s="1940" t="s">
        <v>12066</v>
      </c>
      <c r="DS14" s="1941"/>
      <c r="DT14" s="1941"/>
      <c r="DU14" s="1942"/>
      <c r="DV14" s="1940" t="s">
        <v>12067</v>
      </c>
      <c r="DW14" s="1941"/>
      <c r="DX14" s="1941"/>
      <c r="DY14" s="1942"/>
      <c r="DZ14" s="1940" t="s">
        <v>12068</v>
      </c>
      <c r="EA14" s="1941"/>
      <c r="EB14" s="1941"/>
      <c r="EC14" s="1942"/>
      <c r="ED14" s="1940" t="s">
        <v>12069</v>
      </c>
      <c r="EE14" s="1941"/>
      <c r="EF14" s="1941"/>
      <c r="EG14" s="1942"/>
      <c r="EH14" s="1940" t="s">
        <v>12070</v>
      </c>
      <c r="EI14" s="1941"/>
      <c r="EJ14" s="1941"/>
      <c r="EK14" s="1942"/>
      <c r="EL14" s="1940" t="s">
        <v>12071</v>
      </c>
      <c r="EM14" s="1941"/>
      <c r="EN14" s="1941"/>
      <c r="EO14" s="1942"/>
      <c r="EP14" s="1940" t="s">
        <v>12072</v>
      </c>
      <c r="EQ14" s="1941"/>
      <c r="ER14" s="1941"/>
      <c r="ES14" s="1942"/>
      <c r="ET14" s="1940" t="s">
        <v>12073</v>
      </c>
      <c r="EU14" s="1941"/>
      <c r="EV14" s="1941"/>
      <c r="EW14" s="1942"/>
      <c r="EX14" s="1940" t="s">
        <v>12074</v>
      </c>
      <c r="EY14" s="1941"/>
      <c r="EZ14" s="1941"/>
      <c r="FA14" s="1942"/>
      <c r="FB14" s="1940" t="s">
        <v>12075</v>
      </c>
      <c r="FC14" s="1941"/>
      <c r="FD14" s="1941"/>
      <c r="FE14" s="1942"/>
      <c r="FF14" s="1940" t="s">
        <v>12076</v>
      </c>
      <c r="FG14" s="1941"/>
      <c r="FH14" s="1941"/>
      <c r="FI14" s="1942"/>
      <c r="FJ14" s="1940" t="s">
        <v>12077</v>
      </c>
      <c r="FK14" s="1941"/>
      <c r="FL14" s="1941"/>
      <c r="FM14" s="1942"/>
      <c r="FN14" s="1940" t="s">
        <v>12078</v>
      </c>
      <c r="FO14" s="1941"/>
      <c r="FP14" s="1941"/>
      <c r="FQ14" s="1942"/>
      <c r="FR14" s="1940" t="s">
        <v>12079</v>
      </c>
      <c r="FS14" s="1941"/>
      <c r="FT14" s="1941"/>
      <c r="FU14" s="1942"/>
      <c r="FV14" s="1940" t="s">
        <v>12080</v>
      </c>
      <c r="FW14" s="1941"/>
      <c r="FX14" s="1941"/>
      <c r="FY14" s="1942"/>
      <c r="FZ14" s="1940" t="s">
        <v>12081</v>
      </c>
      <c r="GA14" s="1941"/>
      <c r="GB14" s="1941"/>
      <c r="GC14" s="1942"/>
      <c r="GD14" s="1940" t="s">
        <v>12082</v>
      </c>
      <c r="GE14" s="1941"/>
      <c r="GF14" s="1941"/>
      <c r="GG14" s="1942"/>
      <c r="GH14" s="1940" t="s">
        <v>12083</v>
      </c>
      <c r="GI14" s="1941"/>
      <c r="GJ14" s="1941"/>
      <c r="GK14" s="1942"/>
      <c r="GL14" s="1940" t="s">
        <v>12084</v>
      </c>
      <c r="GM14" s="1941"/>
      <c r="GN14" s="1941"/>
      <c r="GO14" s="1942"/>
      <c r="GP14" s="1940" t="s">
        <v>12085</v>
      </c>
      <c r="GQ14" s="1941"/>
      <c r="GR14" s="1941"/>
      <c r="GS14" s="1942"/>
      <c r="GT14" s="1940" t="s">
        <v>12086</v>
      </c>
      <c r="GU14" s="1941"/>
      <c r="GV14" s="1941"/>
      <c r="GW14" s="1942"/>
      <c r="GX14" s="1940" t="s">
        <v>12087</v>
      </c>
      <c r="GY14" s="1941"/>
      <c r="GZ14" s="1941"/>
      <c r="HA14" s="1942"/>
      <c r="HB14" s="1940" t="s">
        <v>12088</v>
      </c>
      <c r="HC14" s="1941"/>
      <c r="HD14" s="1941"/>
      <c r="HE14" s="1942"/>
      <c r="HF14" s="1940" t="s">
        <v>12089</v>
      </c>
      <c r="HG14" s="1941"/>
      <c r="HH14" s="1941"/>
      <c r="HI14" s="1942"/>
      <c r="HJ14" s="1940" t="s">
        <v>12090</v>
      </c>
      <c r="HK14" s="1941"/>
      <c r="HL14" s="1941"/>
      <c r="HM14" s="1942"/>
      <c r="HN14" s="1940" t="s">
        <v>12091</v>
      </c>
      <c r="HO14" s="1941"/>
      <c r="HP14" s="1941"/>
      <c r="HQ14" s="1942"/>
      <c r="HR14" s="1940" t="s">
        <v>12092</v>
      </c>
      <c r="HS14" s="1941"/>
      <c r="HT14" s="1941"/>
      <c r="HU14" s="1942"/>
      <c r="HV14" s="1940" t="s">
        <v>12093</v>
      </c>
      <c r="HW14" s="1941"/>
      <c r="HX14" s="1941"/>
      <c r="HY14" s="1942"/>
      <c r="HZ14" s="1940" t="s">
        <v>12094</v>
      </c>
      <c r="IA14" s="1941"/>
      <c r="IB14" s="1941"/>
      <c r="IC14" s="1942"/>
      <c r="ID14" s="1940" t="s">
        <v>12095</v>
      </c>
      <c r="IE14" s="1941"/>
      <c r="IF14" s="1941"/>
      <c r="IG14" s="1942"/>
      <c r="IH14" s="1940" t="s">
        <v>12096</v>
      </c>
      <c r="II14" s="1941"/>
      <c r="IJ14" s="1941"/>
      <c r="IK14" s="1942"/>
      <c r="IL14" s="1940" t="s">
        <v>12097</v>
      </c>
      <c r="IM14" s="1941"/>
      <c r="IN14" s="1941"/>
      <c r="IO14" s="1942"/>
      <c r="IP14" s="1940" t="s">
        <v>12098</v>
      </c>
      <c r="IQ14" s="1941"/>
      <c r="IR14" s="1941"/>
      <c r="IS14" s="1942"/>
      <c r="IT14" s="1940" t="s">
        <v>12099</v>
      </c>
      <c r="IU14" s="1941"/>
      <c r="IV14" s="1941"/>
      <c r="IW14" s="1942"/>
      <c r="IX14" s="1940" t="s">
        <v>12100</v>
      </c>
      <c r="IY14" s="1941"/>
      <c r="IZ14" s="1941"/>
      <c r="JA14" s="1942"/>
      <c r="JB14" s="1940" t="s">
        <v>12101</v>
      </c>
      <c r="JC14" s="1941"/>
      <c r="JD14" s="1941"/>
      <c r="JE14" s="1942"/>
      <c r="JF14" s="1940" t="s">
        <v>12102</v>
      </c>
      <c r="JG14" s="1941"/>
      <c r="JH14" s="1941"/>
      <c r="JI14" s="1942"/>
      <c r="JJ14" s="1940" t="s">
        <v>12103</v>
      </c>
      <c r="JK14" s="1941"/>
      <c r="JL14" s="1941"/>
      <c r="JM14" s="1942"/>
      <c r="JN14" s="1940" t="s">
        <v>12104</v>
      </c>
      <c r="JO14" s="1941"/>
      <c r="JP14" s="1941"/>
      <c r="JQ14" s="1942"/>
      <c r="JR14" s="1940" t="s">
        <v>12105</v>
      </c>
      <c r="JS14" s="1941"/>
      <c r="JT14" s="1941"/>
      <c r="JU14" s="1942"/>
      <c r="JV14" s="1940" t="s">
        <v>12106</v>
      </c>
      <c r="JW14" s="1941"/>
      <c r="JX14" s="1941"/>
      <c r="JY14" s="1942"/>
      <c r="JZ14" s="1940" t="s">
        <v>12107</v>
      </c>
      <c r="KA14" s="1941"/>
      <c r="KB14" s="1941"/>
      <c r="KC14" s="1942"/>
      <c r="KD14" s="1940" t="s">
        <v>12108</v>
      </c>
      <c r="KE14" s="1941"/>
      <c r="KF14" s="1941"/>
      <c r="KG14" s="1942"/>
      <c r="KH14" s="1940" t="s">
        <v>12109</v>
      </c>
      <c r="KI14" s="1941"/>
      <c r="KJ14" s="1941"/>
      <c r="KK14" s="1942"/>
      <c r="KL14" s="1940" t="s">
        <v>12110</v>
      </c>
      <c r="KM14" s="1941"/>
      <c r="KN14" s="1941"/>
      <c r="KO14" s="1942"/>
      <c r="KP14" s="1940" t="s">
        <v>12111</v>
      </c>
      <c r="KQ14" s="1941"/>
      <c r="KR14" s="1941"/>
      <c r="KS14" s="1942"/>
      <c r="KT14" s="1940" t="s">
        <v>12112</v>
      </c>
      <c r="KU14" s="1941"/>
      <c r="KV14" s="1941"/>
      <c r="KW14" s="1942"/>
      <c r="KX14" s="1940" t="s">
        <v>12113</v>
      </c>
      <c r="KY14" s="1941"/>
      <c r="KZ14" s="1941"/>
      <c r="LA14" s="1942"/>
      <c r="LE14" s="586"/>
      <c r="LG14" s="1939"/>
      <c r="LH14" s="1938"/>
      <c r="LI14" s="1938"/>
      <c r="LJ14" s="1938"/>
      <c r="LK14" s="1940" t="s">
        <v>12039</v>
      </c>
      <c r="LL14" s="1941"/>
      <c r="LM14" s="1941"/>
      <c r="LN14" s="1942"/>
      <c r="LO14" s="1940" t="s">
        <v>12040</v>
      </c>
      <c r="LP14" s="1941"/>
      <c r="LQ14" s="1941"/>
      <c r="LR14" s="1942"/>
      <c r="LS14" s="1940" t="s">
        <v>12041</v>
      </c>
      <c r="LT14" s="1941"/>
      <c r="LU14" s="1941"/>
      <c r="LV14" s="1942"/>
      <c r="LW14" s="1940" t="s">
        <v>12042</v>
      </c>
      <c r="LX14" s="1941"/>
      <c r="LY14" s="1941"/>
      <c r="LZ14" s="1942"/>
      <c r="MA14" s="1940" t="s">
        <v>12043</v>
      </c>
      <c r="MB14" s="1941"/>
      <c r="MC14" s="1941"/>
      <c r="MD14" s="1942"/>
      <c r="ME14" s="1940" t="s">
        <v>12044</v>
      </c>
      <c r="MF14" s="1941"/>
      <c r="MG14" s="1941"/>
      <c r="MH14" s="1942"/>
      <c r="MI14" s="1940" t="s">
        <v>12045</v>
      </c>
      <c r="MJ14" s="1941"/>
      <c r="MK14" s="1941"/>
      <c r="ML14" s="1942"/>
      <c r="MM14" s="1940" t="s">
        <v>12046</v>
      </c>
      <c r="MN14" s="1941"/>
      <c r="MO14" s="1941"/>
      <c r="MP14" s="1942"/>
      <c r="MQ14" s="1940" t="s">
        <v>12047</v>
      </c>
      <c r="MR14" s="1941"/>
      <c r="MS14" s="1941"/>
      <c r="MT14" s="1942"/>
      <c r="MU14" s="1940" t="s">
        <v>12048</v>
      </c>
      <c r="MV14" s="1941"/>
      <c r="MW14" s="1941"/>
      <c r="MX14" s="1942"/>
      <c r="MY14" s="1940" t="s">
        <v>12044</v>
      </c>
      <c r="MZ14" s="1941"/>
      <c r="NA14" s="1941"/>
      <c r="NB14" s="1942"/>
      <c r="NC14" s="1940" t="s">
        <v>12049</v>
      </c>
      <c r="ND14" s="1941"/>
      <c r="NE14" s="1941"/>
      <c r="NF14" s="1942"/>
      <c r="NG14" s="1940" t="s">
        <v>12050</v>
      </c>
      <c r="NH14" s="1941"/>
      <c r="NI14" s="1941"/>
      <c r="NJ14" s="1942"/>
      <c r="NK14" s="1940" t="s">
        <v>12051</v>
      </c>
      <c r="NL14" s="1941"/>
      <c r="NM14" s="1941"/>
      <c r="NN14" s="1942"/>
      <c r="NO14" s="1940" t="s">
        <v>12052</v>
      </c>
      <c r="NP14" s="1941"/>
      <c r="NQ14" s="1941"/>
      <c r="NR14" s="1942"/>
      <c r="NS14" s="1940" t="s">
        <v>12053</v>
      </c>
      <c r="NT14" s="1941"/>
      <c r="NU14" s="1941"/>
      <c r="NV14" s="1942"/>
      <c r="NW14" s="1940" t="s">
        <v>12054</v>
      </c>
      <c r="NX14" s="1941"/>
      <c r="NY14" s="1941"/>
      <c r="NZ14" s="1942"/>
      <c r="OA14" s="1940" t="s">
        <v>12055</v>
      </c>
      <c r="OB14" s="1941"/>
      <c r="OC14" s="1941"/>
      <c r="OD14" s="1942"/>
      <c r="OE14" s="1940" t="s">
        <v>12056</v>
      </c>
      <c r="OF14" s="1941"/>
      <c r="OG14" s="1941"/>
      <c r="OH14" s="1942"/>
      <c r="OI14" s="1940" t="s">
        <v>12057</v>
      </c>
      <c r="OJ14" s="1941"/>
      <c r="OK14" s="1941"/>
      <c r="OL14" s="1942"/>
      <c r="OM14" s="1940" t="s">
        <v>12058</v>
      </c>
      <c r="ON14" s="1941"/>
      <c r="OO14" s="1941"/>
      <c r="OP14" s="1942"/>
      <c r="OQ14" s="1940" t="s">
        <v>12059</v>
      </c>
      <c r="OR14" s="1941"/>
      <c r="OS14" s="1941"/>
      <c r="OT14" s="1942"/>
      <c r="OU14" s="1940" t="s">
        <v>12060</v>
      </c>
      <c r="OV14" s="1941"/>
      <c r="OW14" s="1941"/>
      <c r="OX14" s="1942"/>
      <c r="OY14" s="1940" t="s">
        <v>12114</v>
      </c>
      <c r="OZ14" s="1941"/>
      <c r="PA14" s="1941"/>
      <c r="PB14" s="1942"/>
      <c r="PC14" s="1940" t="s">
        <v>12062</v>
      </c>
      <c r="PD14" s="1941"/>
      <c r="PE14" s="1941"/>
      <c r="PF14" s="1942"/>
      <c r="PG14" s="1940" t="s">
        <v>12063</v>
      </c>
      <c r="PH14" s="1941"/>
      <c r="PI14" s="1941"/>
      <c r="PJ14" s="1942"/>
      <c r="PK14" s="1940" t="s">
        <v>12064</v>
      </c>
      <c r="PL14" s="1941"/>
      <c r="PM14" s="1941"/>
      <c r="PN14" s="1942"/>
      <c r="PO14" s="1940" t="s">
        <v>12065</v>
      </c>
      <c r="PP14" s="1941"/>
      <c r="PQ14" s="1941"/>
      <c r="PR14" s="1942"/>
      <c r="PS14" s="1940" t="s">
        <v>12066</v>
      </c>
      <c r="PT14" s="1941"/>
      <c r="PU14" s="1941"/>
      <c r="PV14" s="1942"/>
      <c r="PW14" s="1940" t="s">
        <v>12067</v>
      </c>
      <c r="PX14" s="1941"/>
      <c r="PY14" s="1941"/>
      <c r="PZ14" s="1942"/>
      <c r="QA14" s="1940" t="s">
        <v>12068</v>
      </c>
      <c r="QB14" s="1941"/>
      <c r="QC14" s="1941"/>
      <c r="QD14" s="1942"/>
      <c r="QE14" s="1940" t="s">
        <v>12069</v>
      </c>
      <c r="QF14" s="1941"/>
      <c r="QG14" s="1941"/>
      <c r="QH14" s="1942"/>
      <c r="QI14" s="1940" t="s">
        <v>12070</v>
      </c>
      <c r="QJ14" s="1941"/>
      <c r="QK14" s="1941"/>
      <c r="QL14" s="1942"/>
      <c r="QM14" s="1940" t="s">
        <v>12071</v>
      </c>
      <c r="QN14" s="1941"/>
      <c r="QO14" s="1941"/>
      <c r="QP14" s="1942"/>
      <c r="QQ14" s="1940" t="s">
        <v>12072</v>
      </c>
      <c r="QR14" s="1941"/>
      <c r="QS14" s="1941"/>
      <c r="QT14" s="1942"/>
      <c r="QU14" s="1940" t="s">
        <v>12073</v>
      </c>
      <c r="QV14" s="1941"/>
      <c r="QW14" s="1941"/>
      <c r="QX14" s="1942"/>
      <c r="QY14" s="1940" t="s">
        <v>12074</v>
      </c>
      <c r="QZ14" s="1941"/>
      <c r="RA14" s="1941"/>
      <c r="RB14" s="1942"/>
      <c r="RC14" s="1940" t="s">
        <v>12075</v>
      </c>
      <c r="RD14" s="1941"/>
      <c r="RE14" s="1941"/>
      <c r="RF14" s="1942"/>
      <c r="RG14" s="1940" t="s">
        <v>12076</v>
      </c>
      <c r="RH14" s="1941"/>
      <c r="RI14" s="1941"/>
      <c r="RJ14" s="1942"/>
      <c r="RK14" s="1940" t="s">
        <v>12077</v>
      </c>
      <c r="RL14" s="1941"/>
      <c r="RM14" s="1941"/>
      <c r="RN14" s="1942"/>
      <c r="RO14" s="1940" t="s">
        <v>12078</v>
      </c>
      <c r="RP14" s="1941"/>
      <c r="RQ14" s="1941"/>
      <c r="RR14" s="1942"/>
      <c r="RS14" s="1940" t="s">
        <v>12079</v>
      </c>
      <c r="RT14" s="1941"/>
      <c r="RU14" s="1941"/>
      <c r="RV14" s="1942"/>
      <c r="RW14" s="1940" t="s">
        <v>12080</v>
      </c>
      <c r="RX14" s="1941"/>
      <c r="RY14" s="1941"/>
      <c r="RZ14" s="1942"/>
      <c r="SA14" s="1940" t="s">
        <v>12081</v>
      </c>
      <c r="SB14" s="1941"/>
      <c r="SC14" s="1941"/>
      <c r="SD14" s="1942"/>
      <c r="SE14" s="1940" t="s">
        <v>12082</v>
      </c>
      <c r="SF14" s="1941"/>
      <c r="SG14" s="1941"/>
      <c r="SH14" s="1942"/>
      <c r="SI14" s="1940" t="s">
        <v>12083</v>
      </c>
      <c r="SJ14" s="1941"/>
      <c r="SK14" s="1941"/>
      <c r="SL14" s="1942"/>
      <c r="SM14" s="1940" t="s">
        <v>12084</v>
      </c>
      <c r="SN14" s="1941"/>
      <c r="SO14" s="1941"/>
      <c r="SP14" s="1942"/>
      <c r="SQ14" s="1940" t="s">
        <v>12085</v>
      </c>
      <c r="SR14" s="1941"/>
      <c r="SS14" s="1941"/>
      <c r="ST14" s="1942"/>
      <c r="SU14" s="1940" t="s">
        <v>12086</v>
      </c>
      <c r="SV14" s="1941"/>
      <c r="SW14" s="1941"/>
      <c r="SX14" s="1942"/>
      <c r="SY14" s="1940" t="s">
        <v>12087</v>
      </c>
      <c r="SZ14" s="1941"/>
      <c r="TA14" s="1941"/>
      <c r="TB14" s="1942"/>
      <c r="TC14" s="1940" t="s">
        <v>12088</v>
      </c>
      <c r="TD14" s="1941"/>
      <c r="TE14" s="1941"/>
      <c r="TF14" s="1942"/>
      <c r="TG14" s="1940" t="s">
        <v>12089</v>
      </c>
      <c r="TH14" s="1941"/>
      <c r="TI14" s="1941"/>
      <c r="TJ14" s="1942"/>
      <c r="TK14" s="1940" t="s">
        <v>12090</v>
      </c>
      <c r="TL14" s="1941"/>
      <c r="TM14" s="1941"/>
      <c r="TN14" s="1942"/>
      <c r="TO14" s="1940" t="s">
        <v>12091</v>
      </c>
      <c r="TP14" s="1941"/>
      <c r="TQ14" s="1941"/>
      <c r="TR14" s="1942"/>
      <c r="TS14" s="1940" t="s">
        <v>12092</v>
      </c>
      <c r="TT14" s="1941"/>
      <c r="TU14" s="1941"/>
      <c r="TV14" s="1942"/>
      <c r="TW14" s="1940" t="s">
        <v>12093</v>
      </c>
      <c r="TX14" s="1941"/>
      <c r="TY14" s="1941"/>
      <c r="TZ14" s="1942"/>
      <c r="UA14" s="1940" t="s">
        <v>12094</v>
      </c>
      <c r="UB14" s="1941"/>
      <c r="UC14" s="1941"/>
      <c r="UD14" s="1942"/>
      <c r="UE14" s="1940" t="s">
        <v>12095</v>
      </c>
      <c r="UF14" s="1941"/>
      <c r="UG14" s="1941"/>
      <c r="UH14" s="1942"/>
      <c r="UI14" s="1940" t="s">
        <v>12096</v>
      </c>
      <c r="UJ14" s="1941"/>
      <c r="UK14" s="1941"/>
      <c r="UL14" s="1942"/>
      <c r="UM14" s="1940" t="s">
        <v>12097</v>
      </c>
      <c r="UN14" s="1941"/>
      <c r="UO14" s="1941"/>
      <c r="UP14" s="1942"/>
      <c r="UQ14" s="1940" t="s">
        <v>12098</v>
      </c>
      <c r="UR14" s="1941"/>
      <c r="US14" s="1941"/>
      <c r="UT14" s="1942"/>
      <c r="UU14" s="1940" t="s">
        <v>12099</v>
      </c>
      <c r="UV14" s="1941"/>
      <c r="UW14" s="1941"/>
      <c r="UX14" s="1942"/>
      <c r="UY14" s="1940" t="s">
        <v>12100</v>
      </c>
      <c r="UZ14" s="1941"/>
      <c r="VA14" s="1941"/>
      <c r="VB14" s="1942"/>
      <c r="VC14" s="1940" t="s">
        <v>12101</v>
      </c>
      <c r="VD14" s="1941"/>
      <c r="VE14" s="1941"/>
      <c r="VF14" s="1942"/>
      <c r="VG14" s="1940" t="s">
        <v>12102</v>
      </c>
      <c r="VH14" s="1941"/>
      <c r="VI14" s="1941"/>
      <c r="VJ14" s="1942"/>
      <c r="VK14" s="1940" t="s">
        <v>12103</v>
      </c>
      <c r="VL14" s="1941"/>
      <c r="VM14" s="1941"/>
      <c r="VN14" s="1942"/>
      <c r="VO14" s="1940" t="s">
        <v>12104</v>
      </c>
      <c r="VP14" s="1941"/>
      <c r="VQ14" s="1941"/>
      <c r="VR14" s="1942"/>
      <c r="VS14" s="1940" t="s">
        <v>12105</v>
      </c>
      <c r="VT14" s="1941"/>
      <c r="VU14" s="1941"/>
      <c r="VV14" s="1942"/>
      <c r="VW14" s="1940" t="s">
        <v>12106</v>
      </c>
      <c r="VX14" s="1941"/>
      <c r="VY14" s="1941"/>
      <c r="VZ14" s="1942"/>
      <c r="WA14" s="1940" t="s">
        <v>12107</v>
      </c>
      <c r="WB14" s="1941"/>
      <c r="WC14" s="1941"/>
      <c r="WD14" s="1942"/>
      <c r="WE14" s="1940" t="s">
        <v>12108</v>
      </c>
      <c r="WF14" s="1941"/>
      <c r="WG14" s="1941"/>
      <c r="WH14" s="1942"/>
      <c r="WI14" s="1940" t="s">
        <v>12109</v>
      </c>
      <c r="WJ14" s="1941"/>
      <c r="WK14" s="1941"/>
      <c r="WL14" s="1942"/>
      <c r="WM14" s="1940" t="s">
        <v>12110</v>
      </c>
      <c r="WN14" s="1941"/>
      <c r="WO14" s="1941"/>
      <c r="WP14" s="1942"/>
      <c r="WQ14" s="1940" t="s">
        <v>12111</v>
      </c>
      <c r="WR14" s="1941"/>
      <c r="WS14" s="1941"/>
      <c r="WT14" s="1942"/>
      <c r="WU14" s="1940" t="s">
        <v>12112</v>
      </c>
      <c r="WV14" s="1941"/>
      <c r="WW14" s="1941"/>
      <c r="WX14" s="1942"/>
      <c r="WY14" s="1940" t="s">
        <v>12113</v>
      </c>
      <c r="WZ14" s="1941"/>
      <c r="XA14" s="1941"/>
      <c r="XB14" s="1942"/>
      <c r="XC14" s="586"/>
    </row>
    <row r="15" spans="1:627" ht="15" customHeight="1">
      <c r="A15" s="1920"/>
      <c r="B15" s="878" t="s">
        <v>2449</v>
      </c>
      <c r="C15" s="1943" t="s">
        <v>47</v>
      </c>
      <c r="D15" s="865" t="s">
        <v>2396</v>
      </c>
      <c r="E15" s="865" t="s">
        <v>2397</v>
      </c>
      <c r="F15" s="873" t="s">
        <v>30</v>
      </c>
      <c r="G15" s="873" t="s">
        <v>31</v>
      </c>
      <c r="H15" s="873" t="s">
        <v>32</v>
      </c>
      <c r="I15" s="874" t="s">
        <v>33</v>
      </c>
      <c r="J15" s="1851" t="s">
        <v>30</v>
      </c>
      <c r="K15" s="1852" t="s">
        <v>31</v>
      </c>
      <c r="L15" s="1852" t="s">
        <v>32</v>
      </c>
      <c r="M15" s="1853" t="s">
        <v>33</v>
      </c>
      <c r="N15" s="1851" t="str">
        <f>$J$15</f>
        <v>2016-17</v>
      </c>
      <c r="O15" s="1852" t="str">
        <f>$K$15</f>
        <v>2017-18</v>
      </c>
      <c r="P15" s="1852" t="str">
        <f>$L$15</f>
        <v>2018-19</v>
      </c>
      <c r="Q15" s="1853" t="str">
        <f>$M$15</f>
        <v>2019-20</v>
      </c>
      <c r="R15" s="1851" t="str">
        <f>$J$15</f>
        <v>2016-17</v>
      </c>
      <c r="S15" s="1852" t="str">
        <f>$K$15</f>
        <v>2017-18</v>
      </c>
      <c r="T15" s="1852" t="str">
        <f>$L$15</f>
        <v>2018-19</v>
      </c>
      <c r="U15" s="1853" t="str">
        <f>$M$15</f>
        <v>2019-20</v>
      </c>
      <c r="V15" s="1851" t="str">
        <f>$J$15</f>
        <v>2016-17</v>
      </c>
      <c r="W15" s="1852" t="str">
        <f>$K$15</f>
        <v>2017-18</v>
      </c>
      <c r="X15" s="1852" t="str">
        <f>$L$15</f>
        <v>2018-19</v>
      </c>
      <c r="Y15" s="1853" t="str">
        <f>$M$15</f>
        <v>2019-20</v>
      </c>
      <c r="Z15" s="1851" t="str">
        <f>$J$15</f>
        <v>2016-17</v>
      </c>
      <c r="AA15" s="1852" t="str">
        <f>$K$15</f>
        <v>2017-18</v>
      </c>
      <c r="AB15" s="1852" t="str">
        <f>$L$15</f>
        <v>2018-19</v>
      </c>
      <c r="AC15" s="1853" t="str">
        <f>$M$15</f>
        <v>2019-20</v>
      </c>
      <c r="AD15" s="1851" t="str">
        <f>$J$15</f>
        <v>2016-17</v>
      </c>
      <c r="AE15" s="1852" t="str">
        <f>$K$15</f>
        <v>2017-18</v>
      </c>
      <c r="AF15" s="1852" t="str">
        <f>$L$15</f>
        <v>2018-19</v>
      </c>
      <c r="AG15" s="1853" t="str">
        <f>$M$15</f>
        <v>2019-20</v>
      </c>
      <c r="AH15" s="1851" t="str">
        <f>$J$15</f>
        <v>2016-17</v>
      </c>
      <c r="AI15" s="1852" t="str">
        <f>$K$15</f>
        <v>2017-18</v>
      </c>
      <c r="AJ15" s="1852" t="str">
        <f>$L$15</f>
        <v>2018-19</v>
      </c>
      <c r="AK15" s="1853" t="str">
        <f>$M$15</f>
        <v>2019-20</v>
      </c>
      <c r="AL15" s="1851" t="str">
        <f>$J$15</f>
        <v>2016-17</v>
      </c>
      <c r="AM15" s="1852" t="str">
        <f>$K$15</f>
        <v>2017-18</v>
      </c>
      <c r="AN15" s="1852" t="str">
        <f>$L$15</f>
        <v>2018-19</v>
      </c>
      <c r="AO15" s="1853" t="str">
        <f>$M$15</f>
        <v>2019-20</v>
      </c>
      <c r="AP15" s="1851" t="str">
        <f>$J$15</f>
        <v>2016-17</v>
      </c>
      <c r="AQ15" s="1852" t="str">
        <f>$K$15</f>
        <v>2017-18</v>
      </c>
      <c r="AR15" s="1852" t="str">
        <f>$L$15</f>
        <v>2018-19</v>
      </c>
      <c r="AS15" s="1853" t="str">
        <f>$M$15</f>
        <v>2019-20</v>
      </c>
      <c r="AT15" s="601" t="str">
        <f>$J$15</f>
        <v>2016-17</v>
      </c>
      <c r="AU15" s="873" t="str">
        <f>$K$15</f>
        <v>2017-18</v>
      </c>
      <c r="AV15" s="873" t="str">
        <f>$L$15</f>
        <v>2018-19</v>
      </c>
      <c r="AW15" s="875" t="str">
        <f>$M$15</f>
        <v>2019-20</v>
      </c>
      <c r="AX15" s="601" t="str">
        <f>$J$15</f>
        <v>2016-17</v>
      </c>
      <c r="AY15" s="873" t="str">
        <f>$K$15</f>
        <v>2017-18</v>
      </c>
      <c r="AZ15" s="873" t="str">
        <f>$L$15</f>
        <v>2018-19</v>
      </c>
      <c r="BA15" s="875" t="str">
        <f>$M$15</f>
        <v>2019-20</v>
      </c>
      <c r="BB15" s="601" t="str">
        <f>$J$15</f>
        <v>2016-17</v>
      </c>
      <c r="BC15" s="873" t="str">
        <f>$K$15</f>
        <v>2017-18</v>
      </c>
      <c r="BD15" s="873" t="str">
        <f>$L$15</f>
        <v>2018-19</v>
      </c>
      <c r="BE15" s="875" t="str">
        <f>$M$15</f>
        <v>2019-20</v>
      </c>
      <c r="BF15" s="601" t="str">
        <f>$J$15</f>
        <v>2016-17</v>
      </c>
      <c r="BG15" s="873" t="str">
        <f>$K$15</f>
        <v>2017-18</v>
      </c>
      <c r="BH15" s="873" t="str">
        <f>$L$15</f>
        <v>2018-19</v>
      </c>
      <c r="BI15" s="875" t="str">
        <f>$M$15</f>
        <v>2019-20</v>
      </c>
      <c r="BJ15" s="601" t="str">
        <f>$J$15</f>
        <v>2016-17</v>
      </c>
      <c r="BK15" s="873" t="str">
        <f>$K$15</f>
        <v>2017-18</v>
      </c>
      <c r="BL15" s="873" t="str">
        <f>$L$15</f>
        <v>2018-19</v>
      </c>
      <c r="BM15" s="875" t="str">
        <f>$M$15</f>
        <v>2019-20</v>
      </c>
      <c r="BN15" s="601" t="str">
        <f>$J$15</f>
        <v>2016-17</v>
      </c>
      <c r="BO15" s="873" t="str">
        <f>$K$15</f>
        <v>2017-18</v>
      </c>
      <c r="BP15" s="873" t="str">
        <f>$L$15</f>
        <v>2018-19</v>
      </c>
      <c r="BQ15" s="875" t="str">
        <f>$M$15</f>
        <v>2019-20</v>
      </c>
      <c r="BR15" s="601" t="str">
        <f>$J$15</f>
        <v>2016-17</v>
      </c>
      <c r="BS15" s="873" t="str">
        <f>$K$15</f>
        <v>2017-18</v>
      </c>
      <c r="BT15" s="873" t="str">
        <f>$L$15</f>
        <v>2018-19</v>
      </c>
      <c r="BU15" s="875" t="str">
        <f>$M$15</f>
        <v>2019-20</v>
      </c>
      <c r="BV15" s="601" t="str">
        <f>$J$15</f>
        <v>2016-17</v>
      </c>
      <c r="BW15" s="873" t="str">
        <f>$K$15</f>
        <v>2017-18</v>
      </c>
      <c r="BX15" s="873" t="str">
        <f>$L$15</f>
        <v>2018-19</v>
      </c>
      <c r="BY15" s="875" t="str">
        <f>$M$15</f>
        <v>2019-20</v>
      </c>
      <c r="BZ15" s="601" t="str">
        <f>$J$15</f>
        <v>2016-17</v>
      </c>
      <c r="CA15" s="873" t="str">
        <f>$K$15</f>
        <v>2017-18</v>
      </c>
      <c r="CB15" s="873" t="str">
        <f>$L$15</f>
        <v>2018-19</v>
      </c>
      <c r="CC15" s="875" t="str">
        <f>$M$15</f>
        <v>2019-20</v>
      </c>
      <c r="CD15" s="601" t="str">
        <f>$J$15</f>
        <v>2016-17</v>
      </c>
      <c r="CE15" s="873" t="str">
        <f>$K$15</f>
        <v>2017-18</v>
      </c>
      <c r="CF15" s="873" t="str">
        <f>$L$15</f>
        <v>2018-19</v>
      </c>
      <c r="CG15" s="875" t="str">
        <f>$M$15</f>
        <v>2019-20</v>
      </c>
      <c r="CH15" s="601" t="str">
        <f>$J$15</f>
        <v>2016-17</v>
      </c>
      <c r="CI15" s="873" t="str">
        <f>$K$15</f>
        <v>2017-18</v>
      </c>
      <c r="CJ15" s="873" t="str">
        <f>$L$15</f>
        <v>2018-19</v>
      </c>
      <c r="CK15" s="875" t="str">
        <f>$M$15</f>
        <v>2019-20</v>
      </c>
      <c r="CL15" s="601" t="str">
        <f>$J$15</f>
        <v>2016-17</v>
      </c>
      <c r="CM15" s="873" t="str">
        <f>$K$15</f>
        <v>2017-18</v>
      </c>
      <c r="CN15" s="873" t="str">
        <f>$L$15</f>
        <v>2018-19</v>
      </c>
      <c r="CO15" s="875" t="str">
        <f>$M$15</f>
        <v>2019-20</v>
      </c>
      <c r="CP15" s="601" t="str">
        <f>$J$15</f>
        <v>2016-17</v>
      </c>
      <c r="CQ15" s="873" t="str">
        <f>$K$15</f>
        <v>2017-18</v>
      </c>
      <c r="CR15" s="873" t="str">
        <f>$L$15</f>
        <v>2018-19</v>
      </c>
      <c r="CS15" s="875" t="str">
        <f>$M$15</f>
        <v>2019-20</v>
      </c>
      <c r="CT15" s="601" t="str">
        <f>$J$15</f>
        <v>2016-17</v>
      </c>
      <c r="CU15" s="873" t="str">
        <f>$K$15</f>
        <v>2017-18</v>
      </c>
      <c r="CV15" s="873" t="str">
        <f>$L$15</f>
        <v>2018-19</v>
      </c>
      <c r="CW15" s="875" t="str">
        <f>$M$15</f>
        <v>2019-20</v>
      </c>
      <c r="CX15" s="601" t="str">
        <f>$J$15</f>
        <v>2016-17</v>
      </c>
      <c r="CY15" s="873" t="str">
        <f>$K$15</f>
        <v>2017-18</v>
      </c>
      <c r="CZ15" s="873" t="str">
        <f>$L$15</f>
        <v>2018-19</v>
      </c>
      <c r="DA15" s="875" t="str">
        <f>$M$15</f>
        <v>2019-20</v>
      </c>
      <c r="DB15" s="601" t="str">
        <f>$J$15</f>
        <v>2016-17</v>
      </c>
      <c r="DC15" s="873" t="str">
        <f>$K$15</f>
        <v>2017-18</v>
      </c>
      <c r="DD15" s="873" t="str">
        <f>$L$15</f>
        <v>2018-19</v>
      </c>
      <c r="DE15" s="875" t="str">
        <f>$M$15</f>
        <v>2019-20</v>
      </c>
      <c r="DF15" s="601" t="str">
        <f>$J$15</f>
        <v>2016-17</v>
      </c>
      <c r="DG15" s="873" t="str">
        <f>$K$15</f>
        <v>2017-18</v>
      </c>
      <c r="DH15" s="873" t="str">
        <f>$L$15</f>
        <v>2018-19</v>
      </c>
      <c r="DI15" s="875" t="str">
        <f>$M$15</f>
        <v>2019-20</v>
      </c>
      <c r="DJ15" s="601" t="str">
        <f>$J$15</f>
        <v>2016-17</v>
      </c>
      <c r="DK15" s="873" t="str">
        <f>$K$15</f>
        <v>2017-18</v>
      </c>
      <c r="DL15" s="873" t="str">
        <f>$L$15</f>
        <v>2018-19</v>
      </c>
      <c r="DM15" s="875" t="str">
        <f>$M$15</f>
        <v>2019-20</v>
      </c>
      <c r="DN15" s="601" t="str">
        <f>$J$15</f>
        <v>2016-17</v>
      </c>
      <c r="DO15" s="873" t="str">
        <f>$K$15</f>
        <v>2017-18</v>
      </c>
      <c r="DP15" s="873" t="str">
        <f>$L$15</f>
        <v>2018-19</v>
      </c>
      <c r="DQ15" s="875" t="str">
        <f>$M$15</f>
        <v>2019-20</v>
      </c>
      <c r="DR15" s="601" t="str">
        <f>$J$15</f>
        <v>2016-17</v>
      </c>
      <c r="DS15" s="873" t="str">
        <f>$K$15</f>
        <v>2017-18</v>
      </c>
      <c r="DT15" s="873" t="str">
        <f>$L$15</f>
        <v>2018-19</v>
      </c>
      <c r="DU15" s="875" t="str">
        <f>$M$15</f>
        <v>2019-20</v>
      </c>
      <c r="DV15" s="601" t="str">
        <f>$J$15</f>
        <v>2016-17</v>
      </c>
      <c r="DW15" s="873" t="str">
        <f>$K$15</f>
        <v>2017-18</v>
      </c>
      <c r="DX15" s="873" t="str">
        <f>$L$15</f>
        <v>2018-19</v>
      </c>
      <c r="DY15" s="875" t="str">
        <f>$M$15</f>
        <v>2019-20</v>
      </c>
      <c r="DZ15" s="601" t="str">
        <f>$J$15</f>
        <v>2016-17</v>
      </c>
      <c r="EA15" s="873" t="str">
        <f>$K$15</f>
        <v>2017-18</v>
      </c>
      <c r="EB15" s="873" t="str">
        <f>$L$15</f>
        <v>2018-19</v>
      </c>
      <c r="EC15" s="875" t="str">
        <f>$M$15</f>
        <v>2019-20</v>
      </c>
      <c r="ED15" s="601" t="str">
        <f>$J$15</f>
        <v>2016-17</v>
      </c>
      <c r="EE15" s="873" t="str">
        <f>$K$15</f>
        <v>2017-18</v>
      </c>
      <c r="EF15" s="873" t="str">
        <f>$L$15</f>
        <v>2018-19</v>
      </c>
      <c r="EG15" s="875" t="str">
        <f>$M$15</f>
        <v>2019-20</v>
      </c>
      <c r="EH15" s="601" t="str">
        <f>$J$15</f>
        <v>2016-17</v>
      </c>
      <c r="EI15" s="873" t="str">
        <f>$K$15</f>
        <v>2017-18</v>
      </c>
      <c r="EJ15" s="873" t="str">
        <f>$L$15</f>
        <v>2018-19</v>
      </c>
      <c r="EK15" s="875" t="str">
        <f>$M$15</f>
        <v>2019-20</v>
      </c>
      <c r="EL15" s="601" t="str">
        <f>$J$15</f>
        <v>2016-17</v>
      </c>
      <c r="EM15" s="873" t="str">
        <f>$K$15</f>
        <v>2017-18</v>
      </c>
      <c r="EN15" s="873" t="str">
        <f>$L$15</f>
        <v>2018-19</v>
      </c>
      <c r="EO15" s="875" t="str">
        <f>$M$15</f>
        <v>2019-20</v>
      </c>
      <c r="EP15" s="601" t="str">
        <f>$J$15</f>
        <v>2016-17</v>
      </c>
      <c r="EQ15" s="873" t="str">
        <f>$K$15</f>
        <v>2017-18</v>
      </c>
      <c r="ER15" s="873" t="str">
        <f>$L$15</f>
        <v>2018-19</v>
      </c>
      <c r="ES15" s="875" t="str">
        <f>$M$15</f>
        <v>2019-20</v>
      </c>
      <c r="ET15" s="601" t="str">
        <f>$J$15</f>
        <v>2016-17</v>
      </c>
      <c r="EU15" s="873" t="str">
        <f>$K$15</f>
        <v>2017-18</v>
      </c>
      <c r="EV15" s="873" t="str">
        <f>$L$15</f>
        <v>2018-19</v>
      </c>
      <c r="EW15" s="875" t="str">
        <f>$M$15</f>
        <v>2019-20</v>
      </c>
      <c r="EX15" s="601" t="str">
        <f>$J$15</f>
        <v>2016-17</v>
      </c>
      <c r="EY15" s="873" t="str">
        <f>$K$15</f>
        <v>2017-18</v>
      </c>
      <c r="EZ15" s="873" t="str">
        <f>$L$15</f>
        <v>2018-19</v>
      </c>
      <c r="FA15" s="875" t="str">
        <f>$M$15</f>
        <v>2019-20</v>
      </c>
      <c r="FB15" s="601" t="str">
        <f>$J$15</f>
        <v>2016-17</v>
      </c>
      <c r="FC15" s="873" t="str">
        <f>$K$15</f>
        <v>2017-18</v>
      </c>
      <c r="FD15" s="873" t="str">
        <f>$L$15</f>
        <v>2018-19</v>
      </c>
      <c r="FE15" s="875" t="str">
        <f>$M$15</f>
        <v>2019-20</v>
      </c>
      <c r="FF15" s="601" t="str">
        <f>$J$15</f>
        <v>2016-17</v>
      </c>
      <c r="FG15" s="873" t="str">
        <f>$K$15</f>
        <v>2017-18</v>
      </c>
      <c r="FH15" s="873" t="str">
        <f>$L$15</f>
        <v>2018-19</v>
      </c>
      <c r="FI15" s="875" t="str">
        <f>$M$15</f>
        <v>2019-20</v>
      </c>
      <c r="FJ15" s="601" t="str">
        <f>$J$15</f>
        <v>2016-17</v>
      </c>
      <c r="FK15" s="873" t="str">
        <f>$K$15</f>
        <v>2017-18</v>
      </c>
      <c r="FL15" s="873" t="str">
        <f>$L$15</f>
        <v>2018-19</v>
      </c>
      <c r="FM15" s="875" t="str">
        <f>$M$15</f>
        <v>2019-20</v>
      </c>
      <c r="FN15" s="601" t="str">
        <f>$J$15</f>
        <v>2016-17</v>
      </c>
      <c r="FO15" s="873" t="str">
        <f>$K$15</f>
        <v>2017-18</v>
      </c>
      <c r="FP15" s="873" t="str">
        <f>$L$15</f>
        <v>2018-19</v>
      </c>
      <c r="FQ15" s="875" t="str">
        <f>$M$15</f>
        <v>2019-20</v>
      </c>
      <c r="FR15" s="601" t="str">
        <f>$J$15</f>
        <v>2016-17</v>
      </c>
      <c r="FS15" s="873" t="str">
        <f>$K$15</f>
        <v>2017-18</v>
      </c>
      <c r="FT15" s="873" t="str">
        <f>$L$15</f>
        <v>2018-19</v>
      </c>
      <c r="FU15" s="875" t="str">
        <f>$M$15</f>
        <v>2019-20</v>
      </c>
      <c r="FV15" s="601" t="str">
        <f>$J$15</f>
        <v>2016-17</v>
      </c>
      <c r="FW15" s="873" t="str">
        <f>$K$15</f>
        <v>2017-18</v>
      </c>
      <c r="FX15" s="873" t="str">
        <f>$L$15</f>
        <v>2018-19</v>
      </c>
      <c r="FY15" s="875" t="str">
        <f>$M$15</f>
        <v>2019-20</v>
      </c>
      <c r="FZ15" s="601" t="str">
        <f>$J$15</f>
        <v>2016-17</v>
      </c>
      <c r="GA15" s="873" t="str">
        <f>$K$15</f>
        <v>2017-18</v>
      </c>
      <c r="GB15" s="873" t="str">
        <f>$L$15</f>
        <v>2018-19</v>
      </c>
      <c r="GC15" s="875" t="str">
        <f>$M$15</f>
        <v>2019-20</v>
      </c>
      <c r="GD15" s="601" t="str">
        <f>$J$15</f>
        <v>2016-17</v>
      </c>
      <c r="GE15" s="873" t="str">
        <f>$K$15</f>
        <v>2017-18</v>
      </c>
      <c r="GF15" s="873" t="str">
        <f>$L$15</f>
        <v>2018-19</v>
      </c>
      <c r="GG15" s="875" t="str">
        <f>$M$15</f>
        <v>2019-20</v>
      </c>
      <c r="GH15" s="601" t="str">
        <f>$J$15</f>
        <v>2016-17</v>
      </c>
      <c r="GI15" s="873" t="str">
        <f>$K$15</f>
        <v>2017-18</v>
      </c>
      <c r="GJ15" s="873" t="str">
        <f>$L$15</f>
        <v>2018-19</v>
      </c>
      <c r="GK15" s="875" t="str">
        <f>$M$15</f>
        <v>2019-20</v>
      </c>
      <c r="GL15" s="601" t="str">
        <f>$J$15</f>
        <v>2016-17</v>
      </c>
      <c r="GM15" s="873" t="str">
        <f>$K$15</f>
        <v>2017-18</v>
      </c>
      <c r="GN15" s="873" t="str">
        <f>$L$15</f>
        <v>2018-19</v>
      </c>
      <c r="GO15" s="875" t="str">
        <f>$M$15</f>
        <v>2019-20</v>
      </c>
      <c r="GP15" s="601" t="str">
        <f>$J$15</f>
        <v>2016-17</v>
      </c>
      <c r="GQ15" s="873" t="str">
        <f>$K$15</f>
        <v>2017-18</v>
      </c>
      <c r="GR15" s="873" t="str">
        <f>$L$15</f>
        <v>2018-19</v>
      </c>
      <c r="GS15" s="875" t="str">
        <f>$M$15</f>
        <v>2019-20</v>
      </c>
      <c r="GT15" s="601" t="str">
        <f>$J$15</f>
        <v>2016-17</v>
      </c>
      <c r="GU15" s="873" t="str">
        <f>$K$15</f>
        <v>2017-18</v>
      </c>
      <c r="GV15" s="873" t="str">
        <f>$L$15</f>
        <v>2018-19</v>
      </c>
      <c r="GW15" s="875" t="str">
        <f>$M$15</f>
        <v>2019-20</v>
      </c>
      <c r="GX15" s="601" t="str">
        <f>$J$15</f>
        <v>2016-17</v>
      </c>
      <c r="GY15" s="873" t="str">
        <f>$K$15</f>
        <v>2017-18</v>
      </c>
      <c r="GZ15" s="873" t="str">
        <f>$L$15</f>
        <v>2018-19</v>
      </c>
      <c r="HA15" s="875" t="str">
        <f>$M$15</f>
        <v>2019-20</v>
      </c>
      <c r="HB15" s="601" t="str">
        <f>$J$15</f>
        <v>2016-17</v>
      </c>
      <c r="HC15" s="873" t="str">
        <f>$K$15</f>
        <v>2017-18</v>
      </c>
      <c r="HD15" s="873" t="str">
        <f>$L$15</f>
        <v>2018-19</v>
      </c>
      <c r="HE15" s="875" t="str">
        <f>$M$15</f>
        <v>2019-20</v>
      </c>
      <c r="HF15" s="601" t="str">
        <f>$J$15</f>
        <v>2016-17</v>
      </c>
      <c r="HG15" s="873" t="str">
        <f>$K$15</f>
        <v>2017-18</v>
      </c>
      <c r="HH15" s="873" t="str">
        <f>$L$15</f>
        <v>2018-19</v>
      </c>
      <c r="HI15" s="875" t="str">
        <f>$M$15</f>
        <v>2019-20</v>
      </c>
      <c r="HJ15" s="601" t="str">
        <f>$J$15</f>
        <v>2016-17</v>
      </c>
      <c r="HK15" s="873" t="str">
        <f>$K$15</f>
        <v>2017-18</v>
      </c>
      <c r="HL15" s="873" t="str">
        <f>$L$15</f>
        <v>2018-19</v>
      </c>
      <c r="HM15" s="875" t="str">
        <f>$M$15</f>
        <v>2019-20</v>
      </c>
      <c r="HN15" s="601" t="str">
        <f>$J$15</f>
        <v>2016-17</v>
      </c>
      <c r="HO15" s="873" t="str">
        <f>$K$15</f>
        <v>2017-18</v>
      </c>
      <c r="HP15" s="873" t="str">
        <f>$L$15</f>
        <v>2018-19</v>
      </c>
      <c r="HQ15" s="875" t="str">
        <f>$M$15</f>
        <v>2019-20</v>
      </c>
      <c r="HR15" s="601" t="str">
        <f>$J$15</f>
        <v>2016-17</v>
      </c>
      <c r="HS15" s="873" t="str">
        <f>$K$15</f>
        <v>2017-18</v>
      </c>
      <c r="HT15" s="873" t="str">
        <f>$L$15</f>
        <v>2018-19</v>
      </c>
      <c r="HU15" s="875" t="str">
        <f>$M$15</f>
        <v>2019-20</v>
      </c>
      <c r="HV15" s="601" t="str">
        <f>$J$15</f>
        <v>2016-17</v>
      </c>
      <c r="HW15" s="873" t="str">
        <f>$K$15</f>
        <v>2017-18</v>
      </c>
      <c r="HX15" s="873" t="str">
        <f>$L$15</f>
        <v>2018-19</v>
      </c>
      <c r="HY15" s="875" t="str">
        <f>$M$15</f>
        <v>2019-20</v>
      </c>
      <c r="HZ15" s="601" t="str">
        <f>$J$15</f>
        <v>2016-17</v>
      </c>
      <c r="IA15" s="873" t="str">
        <f>$K$15</f>
        <v>2017-18</v>
      </c>
      <c r="IB15" s="873" t="str">
        <f>$L$15</f>
        <v>2018-19</v>
      </c>
      <c r="IC15" s="875" t="str">
        <f>$M$15</f>
        <v>2019-20</v>
      </c>
      <c r="ID15" s="601" t="str">
        <f>$J$15</f>
        <v>2016-17</v>
      </c>
      <c r="IE15" s="873" t="str">
        <f>$K$15</f>
        <v>2017-18</v>
      </c>
      <c r="IF15" s="873" t="str">
        <f>$L$15</f>
        <v>2018-19</v>
      </c>
      <c r="IG15" s="875" t="str">
        <f>$M$15</f>
        <v>2019-20</v>
      </c>
      <c r="IH15" s="601" t="str">
        <f>$J$15</f>
        <v>2016-17</v>
      </c>
      <c r="II15" s="873" t="str">
        <f>$K$15</f>
        <v>2017-18</v>
      </c>
      <c r="IJ15" s="873" t="str">
        <f>$L$15</f>
        <v>2018-19</v>
      </c>
      <c r="IK15" s="875" t="str">
        <f>$M$15</f>
        <v>2019-20</v>
      </c>
      <c r="IL15" s="601" t="str">
        <f>$J$15</f>
        <v>2016-17</v>
      </c>
      <c r="IM15" s="873" t="str">
        <f>$K$15</f>
        <v>2017-18</v>
      </c>
      <c r="IN15" s="873" t="str">
        <f>$L$15</f>
        <v>2018-19</v>
      </c>
      <c r="IO15" s="875" t="str">
        <f>$M$15</f>
        <v>2019-20</v>
      </c>
      <c r="IP15" s="601" t="str">
        <f>$J$15</f>
        <v>2016-17</v>
      </c>
      <c r="IQ15" s="873" t="str">
        <f>$K$15</f>
        <v>2017-18</v>
      </c>
      <c r="IR15" s="873" t="str">
        <f>$L$15</f>
        <v>2018-19</v>
      </c>
      <c r="IS15" s="875" t="str">
        <f>$M$15</f>
        <v>2019-20</v>
      </c>
      <c r="IT15" s="601" t="str">
        <f>$J$15</f>
        <v>2016-17</v>
      </c>
      <c r="IU15" s="873" t="str">
        <f>$K$15</f>
        <v>2017-18</v>
      </c>
      <c r="IV15" s="873" t="str">
        <f>$L$15</f>
        <v>2018-19</v>
      </c>
      <c r="IW15" s="875" t="str">
        <f>$M$15</f>
        <v>2019-20</v>
      </c>
      <c r="IX15" s="601" t="str">
        <f>$J$15</f>
        <v>2016-17</v>
      </c>
      <c r="IY15" s="873" t="str">
        <f>$K$15</f>
        <v>2017-18</v>
      </c>
      <c r="IZ15" s="873" t="str">
        <f>$L$15</f>
        <v>2018-19</v>
      </c>
      <c r="JA15" s="875" t="str">
        <f>$M$15</f>
        <v>2019-20</v>
      </c>
      <c r="JB15" s="601" t="str">
        <f>$J$15</f>
        <v>2016-17</v>
      </c>
      <c r="JC15" s="873" t="str">
        <f>$K$15</f>
        <v>2017-18</v>
      </c>
      <c r="JD15" s="873" t="str">
        <f>$L$15</f>
        <v>2018-19</v>
      </c>
      <c r="JE15" s="875" t="str">
        <f>$M$15</f>
        <v>2019-20</v>
      </c>
      <c r="JF15" s="601" t="str">
        <f>$J$15</f>
        <v>2016-17</v>
      </c>
      <c r="JG15" s="873" t="str">
        <f>$K$15</f>
        <v>2017-18</v>
      </c>
      <c r="JH15" s="873" t="str">
        <f>$L$15</f>
        <v>2018-19</v>
      </c>
      <c r="JI15" s="875" t="str">
        <f>$M$15</f>
        <v>2019-20</v>
      </c>
      <c r="JJ15" s="601" t="str">
        <f>$J$15</f>
        <v>2016-17</v>
      </c>
      <c r="JK15" s="873" t="str">
        <f>$K$15</f>
        <v>2017-18</v>
      </c>
      <c r="JL15" s="873" t="str">
        <f>$L$15</f>
        <v>2018-19</v>
      </c>
      <c r="JM15" s="875" t="str">
        <f>$M$15</f>
        <v>2019-20</v>
      </c>
      <c r="JN15" s="601" t="str">
        <f>$J$15</f>
        <v>2016-17</v>
      </c>
      <c r="JO15" s="873" t="str">
        <f>$K$15</f>
        <v>2017-18</v>
      </c>
      <c r="JP15" s="873" t="str">
        <f>$L$15</f>
        <v>2018-19</v>
      </c>
      <c r="JQ15" s="875" t="str">
        <f>$M$15</f>
        <v>2019-20</v>
      </c>
      <c r="JR15" s="601" t="str">
        <f>$J$15</f>
        <v>2016-17</v>
      </c>
      <c r="JS15" s="873" t="str">
        <f>$K$15</f>
        <v>2017-18</v>
      </c>
      <c r="JT15" s="873" t="str">
        <f>$L$15</f>
        <v>2018-19</v>
      </c>
      <c r="JU15" s="875" t="str">
        <f>$M$15</f>
        <v>2019-20</v>
      </c>
      <c r="JV15" s="601" t="str">
        <f>$J$15</f>
        <v>2016-17</v>
      </c>
      <c r="JW15" s="873" t="str">
        <f>$K$15</f>
        <v>2017-18</v>
      </c>
      <c r="JX15" s="873" t="str">
        <f>$L$15</f>
        <v>2018-19</v>
      </c>
      <c r="JY15" s="875" t="str">
        <f>$M$15</f>
        <v>2019-20</v>
      </c>
      <c r="JZ15" s="601" t="str">
        <f>$J$15</f>
        <v>2016-17</v>
      </c>
      <c r="KA15" s="873" t="str">
        <f>$K$15</f>
        <v>2017-18</v>
      </c>
      <c r="KB15" s="873" t="str">
        <f>$L$15</f>
        <v>2018-19</v>
      </c>
      <c r="KC15" s="875" t="str">
        <f>$M$15</f>
        <v>2019-20</v>
      </c>
      <c r="KD15" s="601" t="str">
        <f>$J$15</f>
        <v>2016-17</v>
      </c>
      <c r="KE15" s="873" t="str">
        <f>$K$15</f>
        <v>2017-18</v>
      </c>
      <c r="KF15" s="873" t="str">
        <f>$L$15</f>
        <v>2018-19</v>
      </c>
      <c r="KG15" s="875" t="str">
        <f>$M$15</f>
        <v>2019-20</v>
      </c>
      <c r="KH15" s="601" t="str">
        <f>$J$15</f>
        <v>2016-17</v>
      </c>
      <c r="KI15" s="873" t="str">
        <f>$K$15</f>
        <v>2017-18</v>
      </c>
      <c r="KJ15" s="873" t="str">
        <f>$L$15</f>
        <v>2018-19</v>
      </c>
      <c r="KK15" s="875" t="str">
        <f>$M$15</f>
        <v>2019-20</v>
      </c>
      <c r="KL15" s="601" t="str">
        <f>$J$15</f>
        <v>2016-17</v>
      </c>
      <c r="KM15" s="873" t="str">
        <f>$K$15</f>
        <v>2017-18</v>
      </c>
      <c r="KN15" s="873" t="str">
        <f>$L$15</f>
        <v>2018-19</v>
      </c>
      <c r="KO15" s="875" t="str">
        <f>$M$15</f>
        <v>2019-20</v>
      </c>
      <c r="KP15" s="601" t="str">
        <f>$J$15</f>
        <v>2016-17</v>
      </c>
      <c r="KQ15" s="873" t="str">
        <f>$K$15</f>
        <v>2017-18</v>
      </c>
      <c r="KR15" s="873" t="str">
        <f>$L$15</f>
        <v>2018-19</v>
      </c>
      <c r="KS15" s="875" t="str">
        <f>$M$15</f>
        <v>2019-20</v>
      </c>
      <c r="KT15" s="601" t="str">
        <f>$J$15</f>
        <v>2016-17</v>
      </c>
      <c r="KU15" s="873" t="str">
        <f>$K$15</f>
        <v>2017-18</v>
      </c>
      <c r="KV15" s="873" t="str">
        <f>$L$15</f>
        <v>2018-19</v>
      </c>
      <c r="KW15" s="875" t="str">
        <f>$M$15</f>
        <v>2019-20</v>
      </c>
      <c r="KX15" s="601" t="str">
        <f>$J$15</f>
        <v>2016-17</v>
      </c>
      <c r="KY15" s="873" t="str">
        <f>$K$15</f>
        <v>2017-18</v>
      </c>
      <c r="KZ15" s="873" t="str">
        <f>$L$15</f>
        <v>2018-19</v>
      </c>
      <c r="LA15" s="875" t="str">
        <f>$M$15</f>
        <v>2019-20</v>
      </c>
      <c r="LF15" s="1943" t="s">
        <v>47</v>
      </c>
      <c r="LG15" s="873" t="s">
        <v>30</v>
      </c>
      <c r="LH15" s="873" t="s">
        <v>31</v>
      </c>
      <c r="LI15" s="873" t="s">
        <v>32</v>
      </c>
      <c r="LJ15" s="874" t="s">
        <v>33</v>
      </c>
      <c r="LK15" s="1851" t="s">
        <v>30</v>
      </c>
      <c r="LL15" s="1852" t="s">
        <v>31</v>
      </c>
      <c r="LM15" s="1852" t="s">
        <v>32</v>
      </c>
      <c r="LN15" s="1853" t="s">
        <v>33</v>
      </c>
      <c r="LO15" s="1851" t="str">
        <f>$J$15</f>
        <v>2016-17</v>
      </c>
      <c r="LP15" s="1852" t="str">
        <f>$K$15</f>
        <v>2017-18</v>
      </c>
      <c r="LQ15" s="1852" t="str">
        <f>$L$15</f>
        <v>2018-19</v>
      </c>
      <c r="LR15" s="1853" t="str">
        <f>$M$15</f>
        <v>2019-20</v>
      </c>
      <c r="LS15" s="1851" t="str">
        <f>$J$15</f>
        <v>2016-17</v>
      </c>
      <c r="LT15" s="1852" t="str">
        <f>$K$15</f>
        <v>2017-18</v>
      </c>
      <c r="LU15" s="1852" t="str">
        <f>$L$15</f>
        <v>2018-19</v>
      </c>
      <c r="LV15" s="1853" t="str">
        <f>$M$15</f>
        <v>2019-20</v>
      </c>
      <c r="LW15" s="1851" t="str">
        <f>$J$15</f>
        <v>2016-17</v>
      </c>
      <c r="LX15" s="1852" t="str">
        <f>$K$15</f>
        <v>2017-18</v>
      </c>
      <c r="LY15" s="1852" t="str">
        <f>$L$15</f>
        <v>2018-19</v>
      </c>
      <c r="LZ15" s="1853" t="str">
        <f>$M$15</f>
        <v>2019-20</v>
      </c>
      <c r="MA15" s="1851" t="str">
        <f>$J$15</f>
        <v>2016-17</v>
      </c>
      <c r="MB15" s="1852" t="str">
        <f>$K$15</f>
        <v>2017-18</v>
      </c>
      <c r="MC15" s="1852" t="str">
        <f>$L$15</f>
        <v>2018-19</v>
      </c>
      <c r="MD15" s="1853" t="str">
        <f>$M$15</f>
        <v>2019-20</v>
      </c>
      <c r="ME15" s="1851" t="str">
        <f>$J$15</f>
        <v>2016-17</v>
      </c>
      <c r="MF15" s="1852" t="str">
        <f>$K$15</f>
        <v>2017-18</v>
      </c>
      <c r="MG15" s="1852" t="str">
        <f>$L$15</f>
        <v>2018-19</v>
      </c>
      <c r="MH15" s="1853" t="str">
        <f>$M$15</f>
        <v>2019-20</v>
      </c>
      <c r="MI15" s="1851" t="str">
        <f>$J$15</f>
        <v>2016-17</v>
      </c>
      <c r="MJ15" s="1852" t="str">
        <f>$K$15</f>
        <v>2017-18</v>
      </c>
      <c r="MK15" s="1852" t="str">
        <f>$L$15</f>
        <v>2018-19</v>
      </c>
      <c r="ML15" s="1853" t="str">
        <f>$M$15</f>
        <v>2019-20</v>
      </c>
      <c r="MM15" s="1851" t="str">
        <f>$J$15</f>
        <v>2016-17</v>
      </c>
      <c r="MN15" s="1852" t="str">
        <f>$K$15</f>
        <v>2017-18</v>
      </c>
      <c r="MO15" s="1852" t="str">
        <f>$L$15</f>
        <v>2018-19</v>
      </c>
      <c r="MP15" s="1853" t="str">
        <f>$M$15</f>
        <v>2019-20</v>
      </c>
      <c r="MQ15" s="1851" t="str">
        <f>$J$15</f>
        <v>2016-17</v>
      </c>
      <c r="MR15" s="1852" t="str">
        <f>$K$15</f>
        <v>2017-18</v>
      </c>
      <c r="MS15" s="1852" t="str">
        <f>$L$15</f>
        <v>2018-19</v>
      </c>
      <c r="MT15" s="1853" t="str">
        <f>$M$15</f>
        <v>2019-20</v>
      </c>
      <c r="MU15" s="601" t="str">
        <f>$J$15</f>
        <v>2016-17</v>
      </c>
      <c r="MV15" s="873" t="str">
        <f>$K$15</f>
        <v>2017-18</v>
      </c>
      <c r="MW15" s="873" t="str">
        <f>$L$15</f>
        <v>2018-19</v>
      </c>
      <c r="MX15" s="875" t="str">
        <f>$M$15</f>
        <v>2019-20</v>
      </c>
      <c r="MY15" s="601" t="str">
        <f>$J$15</f>
        <v>2016-17</v>
      </c>
      <c r="MZ15" s="873" t="str">
        <f>$K$15</f>
        <v>2017-18</v>
      </c>
      <c r="NA15" s="873" t="str">
        <f>$L$15</f>
        <v>2018-19</v>
      </c>
      <c r="NB15" s="875" t="str">
        <f>$M$15</f>
        <v>2019-20</v>
      </c>
      <c r="NC15" s="601" t="str">
        <f>$J$15</f>
        <v>2016-17</v>
      </c>
      <c r="ND15" s="873" t="str">
        <f>$K$15</f>
        <v>2017-18</v>
      </c>
      <c r="NE15" s="873" t="str">
        <f>$L$15</f>
        <v>2018-19</v>
      </c>
      <c r="NF15" s="875" t="str">
        <f>$M$15</f>
        <v>2019-20</v>
      </c>
      <c r="NG15" s="601" t="str">
        <f>$J$15</f>
        <v>2016-17</v>
      </c>
      <c r="NH15" s="873" t="str">
        <f>$K$15</f>
        <v>2017-18</v>
      </c>
      <c r="NI15" s="873" t="str">
        <f>$L$15</f>
        <v>2018-19</v>
      </c>
      <c r="NJ15" s="875" t="str">
        <f>$M$15</f>
        <v>2019-20</v>
      </c>
      <c r="NK15" s="601" t="str">
        <f>$J$15</f>
        <v>2016-17</v>
      </c>
      <c r="NL15" s="873" t="str">
        <f>$K$15</f>
        <v>2017-18</v>
      </c>
      <c r="NM15" s="873" t="str">
        <f>$L$15</f>
        <v>2018-19</v>
      </c>
      <c r="NN15" s="875" t="str">
        <f>$M$15</f>
        <v>2019-20</v>
      </c>
      <c r="NO15" s="601" t="str">
        <f>$J$15</f>
        <v>2016-17</v>
      </c>
      <c r="NP15" s="873" t="str">
        <f>$K$15</f>
        <v>2017-18</v>
      </c>
      <c r="NQ15" s="873" t="str">
        <f>$L$15</f>
        <v>2018-19</v>
      </c>
      <c r="NR15" s="875" t="str">
        <f>$M$15</f>
        <v>2019-20</v>
      </c>
      <c r="NS15" s="601" t="str">
        <f>$J$15</f>
        <v>2016-17</v>
      </c>
      <c r="NT15" s="873" t="str">
        <f>$K$15</f>
        <v>2017-18</v>
      </c>
      <c r="NU15" s="873" t="str">
        <f>$L$15</f>
        <v>2018-19</v>
      </c>
      <c r="NV15" s="875" t="str">
        <f>$M$15</f>
        <v>2019-20</v>
      </c>
      <c r="NW15" s="601" t="str">
        <f>$J$15</f>
        <v>2016-17</v>
      </c>
      <c r="NX15" s="873" t="str">
        <f>$K$15</f>
        <v>2017-18</v>
      </c>
      <c r="NY15" s="873" t="str">
        <f>$L$15</f>
        <v>2018-19</v>
      </c>
      <c r="NZ15" s="875" t="str">
        <f>$M$15</f>
        <v>2019-20</v>
      </c>
      <c r="OA15" s="601" t="str">
        <f>$J$15</f>
        <v>2016-17</v>
      </c>
      <c r="OB15" s="873" t="str">
        <f>$K$15</f>
        <v>2017-18</v>
      </c>
      <c r="OC15" s="873" t="str">
        <f>$L$15</f>
        <v>2018-19</v>
      </c>
      <c r="OD15" s="875" t="str">
        <f>$M$15</f>
        <v>2019-20</v>
      </c>
      <c r="OE15" s="601" t="str">
        <f>$J$15</f>
        <v>2016-17</v>
      </c>
      <c r="OF15" s="873" t="str">
        <f>$K$15</f>
        <v>2017-18</v>
      </c>
      <c r="OG15" s="873" t="str">
        <f>$L$15</f>
        <v>2018-19</v>
      </c>
      <c r="OH15" s="875" t="str">
        <f>$M$15</f>
        <v>2019-20</v>
      </c>
      <c r="OI15" s="601" t="str">
        <f>$J$15</f>
        <v>2016-17</v>
      </c>
      <c r="OJ15" s="873" t="str">
        <f>$K$15</f>
        <v>2017-18</v>
      </c>
      <c r="OK15" s="873" t="str">
        <f>$L$15</f>
        <v>2018-19</v>
      </c>
      <c r="OL15" s="875" t="str">
        <f>$M$15</f>
        <v>2019-20</v>
      </c>
      <c r="OM15" s="601" t="str">
        <f>$J$15</f>
        <v>2016-17</v>
      </c>
      <c r="ON15" s="873" t="str">
        <f>$K$15</f>
        <v>2017-18</v>
      </c>
      <c r="OO15" s="873" t="str">
        <f>$L$15</f>
        <v>2018-19</v>
      </c>
      <c r="OP15" s="875" t="str">
        <f>$M$15</f>
        <v>2019-20</v>
      </c>
      <c r="OQ15" s="601" t="str">
        <f>$J$15</f>
        <v>2016-17</v>
      </c>
      <c r="OR15" s="873" t="str">
        <f>$K$15</f>
        <v>2017-18</v>
      </c>
      <c r="OS15" s="873" t="str">
        <f>$L$15</f>
        <v>2018-19</v>
      </c>
      <c r="OT15" s="875" t="str">
        <f>$M$15</f>
        <v>2019-20</v>
      </c>
      <c r="OU15" s="601" t="str">
        <f>$J$15</f>
        <v>2016-17</v>
      </c>
      <c r="OV15" s="873" t="str">
        <f>$K$15</f>
        <v>2017-18</v>
      </c>
      <c r="OW15" s="873" t="str">
        <f>$L$15</f>
        <v>2018-19</v>
      </c>
      <c r="OX15" s="875" t="str">
        <f>$M$15</f>
        <v>2019-20</v>
      </c>
      <c r="OY15" s="601" t="str">
        <f>$J$15</f>
        <v>2016-17</v>
      </c>
      <c r="OZ15" s="873" t="str">
        <f>$K$15</f>
        <v>2017-18</v>
      </c>
      <c r="PA15" s="873" t="str">
        <f>$L$15</f>
        <v>2018-19</v>
      </c>
      <c r="PB15" s="875" t="str">
        <f>$M$15</f>
        <v>2019-20</v>
      </c>
      <c r="PC15" s="601" t="str">
        <f>$J$15</f>
        <v>2016-17</v>
      </c>
      <c r="PD15" s="873" t="str">
        <f>$K$15</f>
        <v>2017-18</v>
      </c>
      <c r="PE15" s="873" t="str">
        <f>$L$15</f>
        <v>2018-19</v>
      </c>
      <c r="PF15" s="875" t="str">
        <f>$M$15</f>
        <v>2019-20</v>
      </c>
      <c r="PG15" s="601" t="str">
        <f>$J$15</f>
        <v>2016-17</v>
      </c>
      <c r="PH15" s="873" t="str">
        <f>$K$15</f>
        <v>2017-18</v>
      </c>
      <c r="PI15" s="873" t="str">
        <f>$L$15</f>
        <v>2018-19</v>
      </c>
      <c r="PJ15" s="875" t="str">
        <f>$M$15</f>
        <v>2019-20</v>
      </c>
      <c r="PK15" s="601" t="str">
        <f>$J$15</f>
        <v>2016-17</v>
      </c>
      <c r="PL15" s="873" t="str">
        <f>$K$15</f>
        <v>2017-18</v>
      </c>
      <c r="PM15" s="873" t="str">
        <f>$L$15</f>
        <v>2018-19</v>
      </c>
      <c r="PN15" s="875" t="str">
        <f>$M$15</f>
        <v>2019-20</v>
      </c>
      <c r="PO15" s="601" t="str">
        <f>$J$15</f>
        <v>2016-17</v>
      </c>
      <c r="PP15" s="873" t="str">
        <f>$K$15</f>
        <v>2017-18</v>
      </c>
      <c r="PQ15" s="873" t="str">
        <f>$L$15</f>
        <v>2018-19</v>
      </c>
      <c r="PR15" s="875" t="str">
        <f>$M$15</f>
        <v>2019-20</v>
      </c>
      <c r="PS15" s="601" t="str">
        <f>$J$15</f>
        <v>2016-17</v>
      </c>
      <c r="PT15" s="873" t="str">
        <f>$K$15</f>
        <v>2017-18</v>
      </c>
      <c r="PU15" s="873" t="str">
        <f>$L$15</f>
        <v>2018-19</v>
      </c>
      <c r="PV15" s="875" t="str">
        <f>$M$15</f>
        <v>2019-20</v>
      </c>
      <c r="PW15" s="601" t="str">
        <f>$J$15</f>
        <v>2016-17</v>
      </c>
      <c r="PX15" s="873" t="str">
        <f>$K$15</f>
        <v>2017-18</v>
      </c>
      <c r="PY15" s="873" t="str">
        <f>$L$15</f>
        <v>2018-19</v>
      </c>
      <c r="PZ15" s="875" t="str">
        <f>$M$15</f>
        <v>2019-20</v>
      </c>
      <c r="QA15" s="601" t="str">
        <f>$J$15</f>
        <v>2016-17</v>
      </c>
      <c r="QB15" s="873" t="str">
        <f>$K$15</f>
        <v>2017-18</v>
      </c>
      <c r="QC15" s="873" t="str">
        <f>$L$15</f>
        <v>2018-19</v>
      </c>
      <c r="QD15" s="875" t="str">
        <f>$M$15</f>
        <v>2019-20</v>
      </c>
      <c r="QE15" s="601" t="str">
        <f>$J$15</f>
        <v>2016-17</v>
      </c>
      <c r="QF15" s="873" t="str">
        <f>$K$15</f>
        <v>2017-18</v>
      </c>
      <c r="QG15" s="873" t="str">
        <f>$L$15</f>
        <v>2018-19</v>
      </c>
      <c r="QH15" s="875" t="str">
        <f>$M$15</f>
        <v>2019-20</v>
      </c>
      <c r="QI15" s="601" t="str">
        <f>$J$15</f>
        <v>2016-17</v>
      </c>
      <c r="QJ15" s="873" t="str">
        <f>$K$15</f>
        <v>2017-18</v>
      </c>
      <c r="QK15" s="873" t="str">
        <f>$L$15</f>
        <v>2018-19</v>
      </c>
      <c r="QL15" s="875" t="str">
        <f>$M$15</f>
        <v>2019-20</v>
      </c>
      <c r="QM15" s="601" t="str">
        <f>$J$15</f>
        <v>2016-17</v>
      </c>
      <c r="QN15" s="873" t="str">
        <f>$K$15</f>
        <v>2017-18</v>
      </c>
      <c r="QO15" s="873" t="str">
        <f>$L$15</f>
        <v>2018-19</v>
      </c>
      <c r="QP15" s="875" t="str">
        <f>$M$15</f>
        <v>2019-20</v>
      </c>
      <c r="QQ15" s="601" t="str">
        <f>$J$15</f>
        <v>2016-17</v>
      </c>
      <c r="QR15" s="873" t="str">
        <f>$K$15</f>
        <v>2017-18</v>
      </c>
      <c r="QS15" s="873" t="str">
        <f>$L$15</f>
        <v>2018-19</v>
      </c>
      <c r="QT15" s="875" t="str">
        <f>$M$15</f>
        <v>2019-20</v>
      </c>
      <c r="QU15" s="601" t="str">
        <f>$J$15</f>
        <v>2016-17</v>
      </c>
      <c r="QV15" s="873" t="str">
        <f>$K$15</f>
        <v>2017-18</v>
      </c>
      <c r="QW15" s="873" t="str">
        <f>$L$15</f>
        <v>2018-19</v>
      </c>
      <c r="QX15" s="875" t="str">
        <f>$M$15</f>
        <v>2019-20</v>
      </c>
      <c r="QY15" s="601" t="str">
        <f>$J$15</f>
        <v>2016-17</v>
      </c>
      <c r="QZ15" s="873" t="str">
        <f>$K$15</f>
        <v>2017-18</v>
      </c>
      <c r="RA15" s="873" t="str">
        <f>$L$15</f>
        <v>2018-19</v>
      </c>
      <c r="RB15" s="875" t="str">
        <f>$M$15</f>
        <v>2019-20</v>
      </c>
      <c r="RC15" s="601" t="str">
        <f>$J$15</f>
        <v>2016-17</v>
      </c>
      <c r="RD15" s="873" t="str">
        <f>$K$15</f>
        <v>2017-18</v>
      </c>
      <c r="RE15" s="873" t="str">
        <f>$L$15</f>
        <v>2018-19</v>
      </c>
      <c r="RF15" s="875" t="str">
        <f>$M$15</f>
        <v>2019-20</v>
      </c>
      <c r="RG15" s="601" t="str">
        <f>$J$15</f>
        <v>2016-17</v>
      </c>
      <c r="RH15" s="873" t="str">
        <f>$K$15</f>
        <v>2017-18</v>
      </c>
      <c r="RI15" s="873" t="str">
        <f>$L$15</f>
        <v>2018-19</v>
      </c>
      <c r="RJ15" s="875" t="str">
        <f>$M$15</f>
        <v>2019-20</v>
      </c>
      <c r="RK15" s="601" t="str">
        <f>$J$15</f>
        <v>2016-17</v>
      </c>
      <c r="RL15" s="873" t="str">
        <f>$K$15</f>
        <v>2017-18</v>
      </c>
      <c r="RM15" s="873" t="str">
        <f>$L$15</f>
        <v>2018-19</v>
      </c>
      <c r="RN15" s="875" t="str">
        <f>$M$15</f>
        <v>2019-20</v>
      </c>
      <c r="RO15" s="601" t="str">
        <f>$J$15</f>
        <v>2016-17</v>
      </c>
      <c r="RP15" s="873" t="str">
        <f>$K$15</f>
        <v>2017-18</v>
      </c>
      <c r="RQ15" s="873" t="str">
        <f>$L$15</f>
        <v>2018-19</v>
      </c>
      <c r="RR15" s="875" t="str">
        <f>$M$15</f>
        <v>2019-20</v>
      </c>
      <c r="RS15" s="601" t="str">
        <f>$J$15</f>
        <v>2016-17</v>
      </c>
      <c r="RT15" s="873" t="str">
        <f>$K$15</f>
        <v>2017-18</v>
      </c>
      <c r="RU15" s="873" t="str">
        <f>$L$15</f>
        <v>2018-19</v>
      </c>
      <c r="RV15" s="875" t="str">
        <f>$M$15</f>
        <v>2019-20</v>
      </c>
      <c r="RW15" s="601" t="str">
        <f>$J$15</f>
        <v>2016-17</v>
      </c>
      <c r="RX15" s="873" t="str">
        <f>$K$15</f>
        <v>2017-18</v>
      </c>
      <c r="RY15" s="873" t="str">
        <f>$L$15</f>
        <v>2018-19</v>
      </c>
      <c r="RZ15" s="875" t="str">
        <f>$M$15</f>
        <v>2019-20</v>
      </c>
      <c r="SA15" s="601" t="str">
        <f>$J$15</f>
        <v>2016-17</v>
      </c>
      <c r="SB15" s="873" t="str">
        <f>$K$15</f>
        <v>2017-18</v>
      </c>
      <c r="SC15" s="873" t="str">
        <f>$L$15</f>
        <v>2018-19</v>
      </c>
      <c r="SD15" s="875" t="str">
        <f>$M$15</f>
        <v>2019-20</v>
      </c>
      <c r="SE15" s="601" t="str">
        <f>$J$15</f>
        <v>2016-17</v>
      </c>
      <c r="SF15" s="873" t="str">
        <f>$K$15</f>
        <v>2017-18</v>
      </c>
      <c r="SG15" s="873" t="str">
        <f>$L$15</f>
        <v>2018-19</v>
      </c>
      <c r="SH15" s="875" t="str">
        <f>$M$15</f>
        <v>2019-20</v>
      </c>
      <c r="SI15" s="601" t="str">
        <f>$J$15</f>
        <v>2016-17</v>
      </c>
      <c r="SJ15" s="873" t="str">
        <f>$K$15</f>
        <v>2017-18</v>
      </c>
      <c r="SK15" s="873" t="str">
        <f>$L$15</f>
        <v>2018-19</v>
      </c>
      <c r="SL15" s="875" t="str">
        <f>$M$15</f>
        <v>2019-20</v>
      </c>
      <c r="SM15" s="601" t="str">
        <f>$J$15</f>
        <v>2016-17</v>
      </c>
      <c r="SN15" s="873" t="str">
        <f>$K$15</f>
        <v>2017-18</v>
      </c>
      <c r="SO15" s="873" t="str">
        <f>$L$15</f>
        <v>2018-19</v>
      </c>
      <c r="SP15" s="875" t="str">
        <f>$M$15</f>
        <v>2019-20</v>
      </c>
      <c r="SQ15" s="601" t="str">
        <f>$J$15</f>
        <v>2016-17</v>
      </c>
      <c r="SR15" s="873" t="str">
        <f>$K$15</f>
        <v>2017-18</v>
      </c>
      <c r="SS15" s="873" t="str">
        <f>$L$15</f>
        <v>2018-19</v>
      </c>
      <c r="ST15" s="875" t="str">
        <f>$M$15</f>
        <v>2019-20</v>
      </c>
      <c r="SU15" s="601" t="str">
        <f>$J$15</f>
        <v>2016-17</v>
      </c>
      <c r="SV15" s="873" t="str">
        <f>$K$15</f>
        <v>2017-18</v>
      </c>
      <c r="SW15" s="873" t="str">
        <f>$L$15</f>
        <v>2018-19</v>
      </c>
      <c r="SX15" s="875" t="str">
        <f>$M$15</f>
        <v>2019-20</v>
      </c>
      <c r="SY15" s="601" t="str">
        <f>$J$15</f>
        <v>2016-17</v>
      </c>
      <c r="SZ15" s="873" t="str">
        <f>$K$15</f>
        <v>2017-18</v>
      </c>
      <c r="TA15" s="873" t="str">
        <f>$L$15</f>
        <v>2018-19</v>
      </c>
      <c r="TB15" s="875" t="str">
        <f>$M$15</f>
        <v>2019-20</v>
      </c>
      <c r="TC15" s="601" t="str">
        <f>$J$15</f>
        <v>2016-17</v>
      </c>
      <c r="TD15" s="873" t="str">
        <f>$K$15</f>
        <v>2017-18</v>
      </c>
      <c r="TE15" s="873" t="str">
        <f>$L$15</f>
        <v>2018-19</v>
      </c>
      <c r="TF15" s="875" t="str">
        <f>$M$15</f>
        <v>2019-20</v>
      </c>
      <c r="TG15" s="601" t="str">
        <f>$J$15</f>
        <v>2016-17</v>
      </c>
      <c r="TH15" s="873" t="str">
        <f>$K$15</f>
        <v>2017-18</v>
      </c>
      <c r="TI15" s="873" t="str">
        <f>$L$15</f>
        <v>2018-19</v>
      </c>
      <c r="TJ15" s="875" t="str">
        <f>$M$15</f>
        <v>2019-20</v>
      </c>
      <c r="TK15" s="601" t="str">
        <f>$J$15</f>
        <v>2016-17</v>
      </c>
      <c r="TL15" s="873" t="str">
        <f>$K$15</f>
        <v>2017-18</v>
      </c>
      <c r="TM15" s="873" t="str">
        <f>$L$15</f>
        <v>2018-19</v>
      </c>
      <c r="TN15" s="875" t="str">
        <f>$M$15</f>
        <v>2019-20</v>
      </c>
      <c r="TO15" s="601" t="str">
        <f>$J$15</f>
        <v>2016-17</v>
      </c>
      <c r="TP15" s="873" t="str">
        <f>$K$15</f>
        <v>2017-18</v>
      </c>
      <c r="TQ15" s="873" t="str">
        <f>$L$15</f>
        <v>2018-19</v>
      </c>
      <c r="TR15" s="875" t="str">
        <f>$M$15</f>
        <v>2019-20</v>
      </c>
      <c r="TS15" s="601" t="str">
        <f>$J$15</f>
        <v>2016-17</v>
      </c>
      <c r="TT15" s="873" t="str">
        <f>$K$15</f>
        <v>2017-18</v>
      </c>
      <c r="TU15" s="873" t="str">
        <f>$L$15</f>
        <v>2018-19</v>
      </c>
      <c r="TV15" s="875" t="str">
        <f>$M$15</f>
        <v>2019-20</v>
      </c>
      <c r="TW15" s="601" t="str">
        <f>$J$15</f>
        <v>2016-17</v>
      </c>
      <c r="TX15" s="873" t="str">
        <f>$K$15</f>
        <v>2017-18</v>
      </c>
      <c r="TY15" s="873" t="str">
        <f>$L$15</f>
        <v>2018-19</v>
      </c>
      <c r="TZ15" s="875" t="str">
        <f>$M$15</f>
        <v>2019-20</v>
      </c>
      <c r="UA15" s="601" t="str">
        <f>$J$15</f>
        <v>2016-17</v>
      </c>
      <c r="UB15" s="873" t="str">
        <f>$K$15</f>
        <v>2017-18</v>
      </c>
      <c r="UC15" s="873" t="str">
        <f>$L$15</f>
        <v>2018-19</v>
      </c>
      <c r="UD15" s="875" t="str">
        <f>$M$15</f>
        <v>2019-20</v>
      </c>
      <c r="UE15" s="601" t="str">
        <f>$J$15</f>
        <v>2016-17</v>
      </c>
      <c r="UF15" s="873" t="str">
        <f>$K$15</f>
        <v>2017-18</v>
      </c>
      <c r="UG15" s="873" t="str">
        <f>$L$15</f>
        <v>2018-19</v>
      </c>
      <c r="UH15" s="875" t="str">
        <f>$M$15</f>
        <v>2019-20</v>
      </c>
      <c r="UI15" s="601" t="str">
        <f>$J$15</f>
        <v>2016-17</v>
      </c>
      <c r="UJ15" s="873" t="str">
        <f>$K$15</f>
        <v>2017-18</v>
      </c>
      <c r="UK15" s="873" t="str">
        <f>$L$15</f>
        <v>2018-19</v>
      </c>
      <c r="UL15" s="875" t="str">
        <f>$M$15</f>
        <v>2019-20</v>
      </c>
      <c r="UM15" s="601" t="str">
        <f>$J$15</f>
        <v>2016-17</v>
      </c>
      <c r="UN15" s="873" t="str">
        <f>$K$15</f>
        <v>2017-18</v>
      </c>
      <c r="UO15" s="873" t="str">
        <f>$L$15</f>
        <v>2018-19</v>
      </c>
      <c r="UP15" s="875" t="str">
        <f>$M$15</f>
        <v>2019-20</v>
      </c>
      <c r="UQ15" s="601" t="str">
        <f>$J$15</f>
        <v>2016-17</v>
      </c>
      <c r="UR15" s="873" t="str">
        <f>$K$15</f>
        <v>2017-18</v>
      </c>
      <c r="US15" s="873" t="str">
        <f>$L$15</f>
        <v>2018-19</v>
      </c>
      <c r="UT15" s="875" t="str">
        <f>$M$15</f>
        <v>2019-20</v>
      </c>
      <c r="UU15" s="601" t="str">
        <f>$J$15</f>
        <v>2016-17</v>
      </c>
      <c r="UV15" s="873" t="str">
        <f>$K$15</f>
        <v>2017-18</v>
      </c>
      <c r="UW15" s="873" t="str">
        <f>$L$15</f>
        <v>2018-19</v>
      </c>
      <c r="UX15" s="875" t="str">
        <f>$M$15</f>
        <v>2019-20</v>
      </c>
      <c r="UY15" s="601" t="str">
        <f>$J$15</f>
        <v>2016-17</v>
      </c>
      <c r="UZ15" s="873" t="str">
        <f>$K$15</f>
        <v>2017-18</v>
      </c>
      <c r="VA15" s="873" t="str">
        <f>$L$15</f>
        <v>2018-19</v>
      </c>
      <c r="VB15" s="875" t="str">
        <f>$M$15</f>
        <v>2019-20</v>
      </c>
      <c r="VC15" s="601" t="str">
        <f>$J$15</f>
        <v>2016-17</v>
      </c>
      <c r="VD15" s="873" t="str">
        <f>$K$15</f>
        <v>2017-18</v>
      </c>
      <c r="VE15" s="873" t="str">
        <f>$L$15</f>
        <v>2018-19</v>
      </c>
      <c r="VF15" s="875" t="str">
        <f>$M$15</f>
        <v>2019-20</v>
      </c>
      <c r="VG15" s="601" t="str">
        <f>$J$15</f>
        <v>2016-17</v>
      </c>
      <c r="VH15" s="873" t="str">
        <f>$K$15</f>
        <v>2017-18</v>
      </c>
      <c r="VI15" s="873" t="str">
        <f>$L$15</f>
        <v>2018-19</v>
      </c>
      <c r="VJ15" s="875" t="str">
        <f>$M$15</f>
        <v>2019-20</v>
      </c>
      <c r="VK15" s="601" t="str">
        <f>$J$15</f>
        <v>2016-17</v>
      </c>
      <c r="VL15" s="873" t="str">
        <f>$K$15</f>
        <v>2017-18</v>
      </c>
      <c r="VM15" s="873" t="str">
        <f>$L$15</f>
        <v>2018-19</v>
      </c>
      <c r="VN15" s="875" t="str">
        <f>$M$15</f>
        <v>2019-20</v>
      </c>
      <c r="VO15" s="601" t="str">
        <f>$J$15</f>
        <v>2016-17</v>
      </c>
      <c r="VP15" s="873" t="str">
        <f>$K$15</f>
        <v>2017-18</v>
      </c>
      <c r="VQ15" s="873" t="str">
        <f>$L$15</f>
        <v>2018-19</v>
      </c>
      <c r="VR15" s="875" t="str">
        <f>$M$15</f>
        <v>2019-20</v>
      </c>
      <c r="VS15" s="601" t="str">
        <f>$J$15</f>
        <v>2016-17</v>
      </c>
      <c r="VT15" s="873" t="str">
        <f>$K$15</f>
        <v>2017-18</v>
      </c>
      <c r="VU15" s="873" t="str">
        <f>$L$15</f>
        <v>2018-19</v>
      </c>
      <c r="VV15" s="875" t="str">
        <f>$M$15</f>
        <v>2019-20</v>
      </c>
      <c r="VW15" s="601" t="str">
        <f>$J$15</f>
        <v>2016-17</v>
      </c>
      <c r="VX15" s="873" t="str">
        <f>$K$15</f>
        <v>2017-18</v>
      </c>
      <c r="VY15" s="873" t="str">
        <f>$L$15</f>
        <v>2018-19</v>
      </c>
      <c r="VZ15" s="875" t="str">
        <f>$M$15</f>
        <v>2019-20</v>
      </c>
      <c r="WA15" s="601" t="str">
        <f>$J$15</f>
        <v>2016-17</v>
      </c>
      <c r="WB15" s="873" t="str">
        <f>$K$15</f>
        <v>2017-18</v>
      </c>
      <c r="WC15" s="873" t="str">
        <f>$L$15</f>
        <v>2018-19</v>
      </c>
      <c r="WD15" s="875" t="str">
        <f>$M$15</f>
        <v>2019-20</v>
      </c>
      <c r="WE15" s="601" t="str">
        <f>$J$15</f>
        <v>2016-17</v>
      </c>
      <c r="WF15" s="873" t="str">
        <f>$K$15</f>
        <v>2017-18</v>
      </c>
      <c r="WG15" s="873" t="str">
        <f>$L$15</f>
        <v>2018-19</v>
      </c>
      <c r="WH15" s="875" t="str">
        <f>$M$15</f>
        <v>2019-20</v>
      </c>
      <c r="WI15" s="601" t="str">
        <f>$J$15</f>
        <v>2016-17</v>
      </c>
      <c r="WJ15" s="873" t="str">
        <f>$K$15</f>
        <v>2017-18</v>
      </c>
      <c r="WK15" s="873" t="str">
        <f>$L$15</f>
        <v>2018-19</v>
      </c>
      <c r="WL15" s="875" t="str">
        <f>$M$15</f>
        <v>2019-20</v>
      </c>
      <c r="WM15" s="601" t="str">
        <f>$J$15</f>
        <v>2016-17</v>
      </c>
      <c r="WN15" s="873" t="str">
        <f>$K$15</f>
        <v>2017-18</v>
      </c>
      <c r="WO15" s="873" t="str">
        <f>$L$15</f>
        <v>2018-19</v>
      </c>
      <c r="WP15" s="875" t="str">
        <f>$M$15</f>
        <v>2019-20</v>
      </c>
      <c r="WQ15" s="601" t="str">
        <f>$J$15</f>
        <v>2016-17</v>
      </c>
      <c r="WR15" s="873" t="str">
        <f>$K$15</f>
        <v>2017-18</v>
      </c>
      <c r="WS15" s="873" t="str">
        <f>$L$15</f>
        <v>2018-19</v>
      </c>
      <c r="WT15" s="875" t="str">
        <f>$M$15</f>
        <v>2019-20</v>
      </c>
      <c r="WU15" s="601" t="str">
        <f>$J$15</f>
        <v>2016-17</v>
      </c>
      <c r="WV15" s="873" t="str">
        <f>$K$15</f>
        <v>2017-18</v>
      </c>
      <c r="WW15" s="873" t="str">
        <f>$L$15</f>
        <v>2018-19</v>
      </c>
      <c r="WX15" s="875" t="str">
        <f>$M$15</f>
        <v>2019-20</v>
      </c>
      <c r="WY15" s="601" t="str">
        <f>$J$15</f>
        <v>2016-17</v>
      </c>
      <c r="WZ15" s="873" t="str">
        <f>$K$15</f>
        <v>2017-18</v>
      </c>
      <c r="XA15" s="873" t="str">
        <f>$L$15</f>
        <v>2018-19</v>
      </c>
      <c r="XB15" s="875" t="str">
        <f>$M$15</f>
        <v>2019-20</v>
      </c>
    </row>
    <row r="16" spans="1:627" ht="16.5" customHeight="1">
      <c r="B16" s="885">
        <v>1</v>
      </c>
      <c r="C16" s="1429"/>
      <c r="D16" s="869" t="s">
        <v>2731</v>
      </c>
      <c r="E16" s="871">
        <v>1</v>
      </c>
      <c r="F16" s="1944"/>
      <c r="G16" s="1944">
        <f>'[1]3S'!G16</f>
        <v>102.34759129893581</v>
      </c>
      <c r="H16" s="1945">
        <f>'[1]3S'!H16</f>
        <v>98.049247478594012</v>
      </c>
      <c r="I16" s="1946"/>
      <c r="J16" s="2171"/>
      <c r="K16" s="1944" t="str">
        <f>'[1]3S'!K16</f>
        <v>Green</v>
      </c>
      <c r="L16" s="1945" t="str">
        <f>'[1]3S'!L16</f>
        <v>Green</v>
      </c>
      <c r="M16" s="1949"/>
      <c r="N16" s="1947"/>
      <c r="O16" s="1944" t="str">
        <f>'[1]3S'!O16</f>
        <v>Red</v>
      </c>
      <c r="P16" s="1945" t="str">
        <f>'[1]3S'!P16</f>
        <v>Amber</v>
      </c>
      <c r="Q16" s="1949"/>
      <c r="R16" s="1947"/>
      <c r="S16" s="1944" t="str">
        <f>'[1]3S'!S16</f>
        <v>Amber</v>
      </c>
      <c r="T16" s="1945" t="str">
        <f>'[1]3S'!T16</f>
        <v>Amber</v>
      </c>
      <c r="U16" s="1949"/>
      <c r="V16" s="1947"/>
      <c r="W16" s="1944" t="str">
        <f>'[1]3S'!W16</f>
        <v>Green</v>
      </c>
      <c r="X16" s="1945" t="str">
        <f>'[1]3S'!X16</f>
        <v>Green</v>
      </c>
      <c r="Y16" s="1949"/>
      <c r="Z16" s="1947"/>
      <c r="AA16" s="1944" t="str">
        <f>'[1]3S'!AA16</f>
        <v>Green</v>
      </c>
      <c r="AB16" s="1945" t="str">
        <f>'[1]3S'!AB16</f>
        <v>Green</v>
      </c>
      <c r="AC16" s="1949"/>
      <c r="AD16" s="1947"/>
      <c r="AE16" s="1944" t="str">
        <f>'[1]3S'!AE16</f>
        <v>Amber</v>
      </c>
      <c r="AF16" s="1945" t="str">
        <f>'[1]3S'!AF16</f>
        <v>Green</v>
      </c>
      <c r="AG16" s="1949"/>
      <c r="AH16" s="1947"/>
      <c r="AI16" s="1944" t="str">
        <f>'[1]3S'!AI16</f>
        <v>Green</v>
      </c>
      <c r="AJ16" s="1945" t="str">
        <f>'[1]3S'!AJ16</f>
        <v>Green</v>
      </c>
      <c r="AK16" s="1949"/>
      <c r="AL16" s="1947"/>
      <c r="AM16" s="1944" t="str">
        <f>'[1]3S'!AM16</f>
        <v>Green</v>
      </c>
      <c r="AN16" s="1945" t="str">
        <f>'[1]3S'!AN16</f>
        <v>Green</v>
      </c>
      <c r="AO16" s="1949"/>
      <c r="AP16" s="1947"/>
      <c r="AQ16" s="1944" t="str">
        <f>'[1]3S'!AQ16</f>
        <v>Green</v>
      </c>
      <c r="AR16" s="1945" t="str">
        <f>'[1]3S'!AR16</f>
        <v>Green</v>
      </c>
      <c r="AS16" s="1949"/>
      <c r="AT16" s="1947"/>
      <c r="AU16" s="1944" t="str">
        <f>'[1]3S'!AU16</f>
        <v>Green</v>
      </c>
      <c r="AV16" s="1945" t="str">
        <f>'[1]3S'!AV16</f>
        <v>Green</v>
      </c>
      <c r="AW16" s="1949"/>
      <c r="AX16" s="1947"/>
      <c r="AY16" s="1944" t="str">
        <f>'[1]3S'!AY16</f>
        <v>Amber</v>
      </c>
      <c r="AZ16" s="1945" t="str">
        <f>'[1]3S'!AZ16</f>
        <v>Green</v>
      </c>
      <c r="BA16" s="1949"/>
      <c r="BB16" s="1947"/>
      <c r="BC16" s="1944" t="str">
        <f>'[1]3S'!BC16</f>
        <v>Red</v>
      </c>
      <c r="BD16" s="1945" t="str">
        <f>'[1]3S'!BD16</f>
        <v>Red</v>
      </c>
      <c r="BE16" s="1949"/>
      <c r="BF16" s="1947"/>
      <c r="BG16" s="1944" t="str">
        <f>'[1]3S'!BG16</f>
        <v>Green</v>
      </c>
      <c r="BH16" s="1945" t="str">
        <f>'[1]3S'!BH16</f>
        <v>Green</v>
      </c>
      <c r="BI16" s="1949"/>
      <c r="BJ16" s="1947"/>
      <c r="BK16" s="1944" t="str">
        <f>'[1]3S'!BK16</f>
        <v>Green</v>
      </c>
      <c r="BL16" s="1945" t="str">
        <f>'[1]3S'!BL16</f>
        <v>Green</v>
      </c>
      <c r="BM16" s="1949"/>
      <c r="BN16" s="1947"/>
      <c r="BO16" s="1944" t="str">
        <f>'[1]3S'!BO16</f>
        <v>Green</v>
      </c>
      <c r="BP16" s="1945" t="str">
        <f>'[1]3S'!BP16</f>
        <v>Green</v>
      </c>
      <c r="BQ16" s="1949"/>
      <c r="BR16" s="1947"/>
      <c r="BS16" s="1944" t="str">
        <f>'[1]3S'!BS16</f>
        <v>Green</v>
      </c>
      <c r="BT16" s="1945" t="str">
        <f>'[1]3S'!BT16</f>
        <v>Green</v>
      </c>
      <c r="BU16" s="1949"/>
      <c r="BV16" s="1947"/>
      <c r="BW16" s="1944" t="str">
        <f>'[1]3S'!BW16</f>
        <v>Green</v>
      </c>
      <c r="BX16" s="1945" t="str">
        <f>'[1]3S'!BX16</f>
        <v>Green</v>
      </c>
      <c r="BY16" s="1949"/>
      <c r="BZ16" s="1947"/>
      <c r="CA16" s="1944" t="str">
        <f>'[1]3S'!CA16</f>
        <v>Red</v>
      </c>
      <c r="CB16" s="1945" t="str">
        <f>'[1]3S'!CB16</f>
        <v>Amber</v>
      </c>
      <c r="CC16" s="1949"/>
      <c r="CD16" s="1947"/>
      <c r="CE16" s="1944" t="str">
        <f>'[1]3S'!CE16</f>
        <v>Green</v>
      </c>
      <c r="CF16" s="1945" t="str">
        <f>'[1]3S'!CF16</f>
        <v>Green</v>
      </c>
      <c r="CG16" s="1949"/>
      <c r="CH16" s="1947"/>
      <c r="CI16" s="1944" t="str">
        <f>'[1]3S'!CI16</f>
        <v>Green</v>
      </c>
      <c r="CJ16" s="1945" t="str">
        <f>'[1]3S'!CJ16</f>
        <v>Green</v>
      </c>
      <c r="CK16" s="1949"/>
      <c r="CL16" s="1947"/>
      <c r="CM16" s="1944" t="str">
        <f>'[1]3S'!CM16</f>
        <v>Amber</v>
      </c>
      <c r="CN16" s="1945" t="str">
        <f>'[1]3S'!CN16</f>
        <v>Amber</v>
      </c>
      <c r="CO16" s="1949"/>
      <c r="CP16" s="1947"/>
      <c r="CQ16" s="1944" t="str">
        <f>'[1]3S'!CQ16</f>
        <v>Amber</v>
      </c>
      <c r="CR16" s="1945" t="str">
        <f>'[1]3S'!CR16</f>
        <v>Amber</v>
      </c>
      <c r="CS16" s="1949"/>
      <c r="CT16" s="1947"/>
      <c r="CU16" s="1944" t="str">
        <f>'[1]3S'!CU16</f>
        <v>Amber</v>
      </c>
      <c r="CV16" s="1945" t="str">
        <f>'[1]3S'!CV16</f>
        <v>Amber</v>
      </c>
      <c r="CW16" s="1949"/>
      <c r="CX16" s="1947"/>
      <c r="CY16" s="1944" t="str">
        <f>'[1]3S'!CY16</f>
        <v>Amber</v>
      </c>
      <c r="CZ16" s="1945" t="str">
        <f>'[1]3S'!CZ16</f>
        <v>Green</v>
      </c>
      <c r="DA16" s="1949"/>
      <c r="DB16" s="1947"/>
      <c r="DC16" s="1944" t="str">
        <f>'[1]3S'!DC16</f>
        <v>Amber</v>
      </c>
      <c r="DD16" s="1945" t="str">
        <f>'[1]3S'!DD16</f>
        <v>Amber</v>
      </c>
      <c r="DE16" s="1949"/>
      <c r="DF16" s="1947"/>
      <c r="DG16" s="1944" t="str">
        <f>'[1]3S'!DG16</f>
        <v>Amber</v>
      </c>
      <c r="DH16" s="1945" t="str">
        <f>'[1]3S'!DH16</f>
        <v>Amber</v>
      </c>
      <c r="DI16" s="1949"/>
      <c r="DJ16" s="1947"/>
      <c r="DK16" s="1944" t="str">
        <f>'[1]3S'!DK16</f>
        <v>Green</v>
      </c>
      <c r="DL16" s="1945" t="str">
        <f>'[1]3S'!DL16</f>
        <v>Green</v>
      </c>
      <c r="DM16" s="1949"/>
      <c r="DN16" s="1947"/>
      <c r="DO16" s="1944" t="str">
        <f>'[1]3S'!DO16</f>
        <v>Amber</v>
      </c>
      <c r="DP16" s="1945" t="str">
        <f>'[1]3S'!DP16</f>
        <v>Amber</v>
      </c>
      <c r="DQ16" s="1949"/>
      <c r="DR16" s="1947"/>
      <c r="DS16" s="1944" t="str">
        <f>'[1]3S'!DS16</f>
        <v>Green</v>
      </c>
      <c r="DT16" s="1945" t="str">
        <f>'[1]3S'!DT16</f>
        <v>Green</v>
      </c>
      <c r="DU16" s="1949"/>
      <c r="DV16" s="1947"/>
      <c r="DW16" s="1944" t="str">
        <f>'[1]3S'!DW16</f>
        <v>Amber</v>
      </c>
      <c r="DX16" s="1945" t="str">
        <f>'[1]3S'!DX16</f>
        <v>Amber</v>
      </c>
      <c r="DY16" s="1949"/>
      <c r="DZ16" s="1947"/>
      <c r="EA16" s="1944" t="str">
        <f>'[1]3S'!EA16</f>
        <v>Amber</v>
      </c>
      <c r="EB16" s="1945" t="str">
        <f>'[1]3S'!EB16</f>
        <v>Amber</v>
      </c>
      <c r="EC16" s="1949"/>
      <c r="ED16" s="1947"/>
      <c r="EE16" s="1944" t="str">
        <f>'[1]3S'!EE16</f>
        <v>Green</v>
      </c>
      <c r="EF16" s="1945" t="str">
        <f>'[1]3S'!EF16</f>
        <v>Green</v>
      </c>
      <c r="EG16" s="1949"/>
      <c r="EH16" s="1947"/>
      <c r="EI16" s="1944" t="str">
        <f>'[1]3S'!EI16</f>
        <v>Amber</v>
      </c>
      <c r="EJ16" s="1945" t="str">
        <f>'[1]3S'!EJ16</f>
        <v>Amber</v>
      </c>
      <c r="EK16" s="1949"/>
      <c r="EL16" s="1947"/>
      <c r="EM16" s="1944" t="str">
        <f>'[1]3S'!EM16</f>
        <v>Red</v>
      </c>
      <c r="EN16" s="1945" t="str">
        <f>'[1]3S'!EN16</f>
        <v>Amber</v>
      </c>
      <c r="EO16" s="1949"/>
      <c r="EP16" s="1947"/>
      <c r="EQ16" s="1944" t="str">
        <f>'[1]3S'!EQ16</f>
        <v>Red</v>
      </c>
      <c r="ER16" s="1945" t="str">
        <f>'[1]3S'!ER16</f>
        <v>Amber</v>
      </c>
      <c r="ES16" s="1949"/>
      <c r="ET16" s="1947"/>
      <c r="EU16" s="1944" t="str">
        <f>'[1]3S'!EU16</f>
        <v>Green</v>
      </c>
      <c r="EV16" s="1945" t="str">
        <f>'[1]3S'!EV16</f>
        <v>Green</v>
      </c>
      <c r="EW16" s="1949"/>
      <c r="EX16" s="1947"/>
      <c r="EY16" s="1944" t="str">
        <f>'[1]3S'!EY16</f>
        <v>Green</v>
      </c>
      <c r="EZ16" s="1945" t="str">
        <f>'[1]3S'!EZ16</f>
        <v>Green</v>
      </c>
      <c r="FA16" s="1949"/>
      <c r="FB16" s="1947"/>
      <c r="FC16" s="1944" t="str">
        <f>'[1]3S'!FC16</f>
        <v>Green</v>
      </c>
      <c r="FD16" s="1945" t="str">
        <f>'[1]3S'!FD16</f>
        <v>Green</v>
      </c>
      <c r="FE16" s="1949"/>
      <c r="FF16" s="1947"/>
      <c r="FG16" s="1944" t="str">
        <f>'[1]3S'!FG16</f>
        <v>Green</v>
      </c>
      <c r="FH16" s="1945" t="str">
        <f>'[1]3S'!FH16</f>
        <v>Green</v>
      </c>
      <c r="FI16" s="1949"/>
      <c r="FJ16" s="1947"/>
      <c r="FK16" s="1944" t="str">
        <f>'[1]3S'!FK16</f>
        <v>Amber</v>
      </c>
      <c r="FL16" s="1945" t="str">
        <f>'[1]3S'!FL16</f>
        <v>Amber</v>
      </c>
      <c r="FM16" s="1949"/>
      <c r="FN16" s="1947"/>
      <c r="FO16" s="1944" t="str">
        <f>'[1]3S'!FO16</f>
        <v>Green</v>
      </c>
      <c r="FP16" s="1945" t="str">
        <f>'[1]3S'!FP16</f>
        <v>Green</v>
      </c>
      <c r="FQ16" s="1949"/>
      <c r="FR16" s="1947"/>
      <c r="FS16" s="1944" t="str">
        <f>'[1]3S'!FS16</f>
        <v>Green</v>
      </c>
      <c r="FT16" s="1945" t="str">
        <f>'[1]3S'!FT16</f>
        <v>Green</v>
      </c>
      <c r="FU16" s="1949"/>
      <c r="FV16" s="1947"/>
      <c r="FW16" s="1944" t="str">
        <f>'[1]3S'!FW16</f>
        <v>Amber</v>
      </c>
      <c r="FX16" s="1945" t="str">
        <f>'[1]3S'!FX16</f>
        <v>Green</v>
      </c>
      <c r="FY16" s="1949"/>
      <c r="FZ16" s="1947"/>
      <c r="GA16" s="1944" t="str">
        <f>'[1]3S'!GA16</f>
        <v>Amber</v>
      </c>
      <c r="GB16" s="1945" t="str">
        <f>'[1]3S'!GB16</f>
        <v>Amber</v>
      </c>
      <c r="GC16" s="1949"/>
      <c r="GD16" s="1947"/>
      <c r="GE16" s="1944" t="str">
        <f>'[1]3S'!GE16</f>
        <v>Green</v>
      </c>
      <c r="GF16" s="1945" t="str">
        <f>'[1]3S'!GF16</f>
        <v>Green</v>
      </c>
      <c r="GG16" s="1949"/>
      <c r="GH16" s="1947"/>
      <c r="GI16" s="1944" t="str">
        <f>'[1]3S'!GI16</f>
        <v>Green</v>
      </c>
      <c r="GJ16" s="1945" t="str">
        <f>'[1]3S'!GJ16</f>
        <v>Green</v>
      </c>
      <c r="GK16" s="1949"/>
      <c r="GL16" s="1947"/>
      <c r="GM16" s="1944" t="str">
        <f>'[1]3S'!GM16</f>
        <v>Green</v>
      </c>
      <c r="GN16" s="1945" t="str">
        <f>'[1]3S'!GN16</f>
        <v>Green</v>
      </c>
      <c r="GO16" s="1949"/>
      <c r="GP16" s="1947"/>
      <c r="GQ16" s="1944" t="str">
        <f>'[1]3S'!GQ16</f>
        <v>Green</v>
      </c>
      <c r="GR16" s="1945" t="str">
        <f>'[1]3S'!GR16</f>
        <v>Green</v>
      </c>
      <c r="GS16" s="1949"/>
      <c r="GT16" s="1947"/>
      <c r="GU16" s="1944" t="str">
        <f>'[1]3S'!GU16</f>
        <v>Amber</v>
      </c>
      <c r="GV16" s="1945" t="str">
        <f>'[1]3S'!GV16</f>
        <v>Green</v>
      </c>
      <c r="GW16" s="1949"/>
      <c r="GX16" s="1947"/>
      <c r="GY16" s="1944" t="str">
        <f>'[1]3S'!GY16</f>
        <v>Amber</v>
      </c>
      <c r="GZ16" s="1945" t="str">
        <f>'[1]3S'!GZ16</f>
        <v>Green</v>
      </c>
      <c r="HA16" s="1949"/>
      <c r="HB16" s="1947"/>
      <c r="HC16" s="1944" t="str">
        <f>'[1]3S'!HC16</f>
        <v>Green</v>
      </c>
      <c r="HD16" s="1945" t="str">
        <f>'[1]3S'!HD16</f>
        <v>Green</v>
      </c>
      <c r="HE16" s="1949"/>
      <c r="HF16" s="1947"/>
      <c r="HG16" s="1944" t="str">
        <f>'[1]3S'!HG16</f>
        <v>Green</v>
      </c>
      <c r="HH16" s="1945" t="str">
        <f>'[1]3S'!HH16</f>
        <v>Green</v>
      </c>
      <c r="HI16" s="1949"/>
      <c r="HJ16" s="1947"/>
      <c r="HK16" s="1944" t="str">
        <f>'[1]3S'!HK16</f>
        <v>Green</v>
      </c>
      <c r="HL16" s="1945" t="str">
        <f>'[1]3S'!HL16</f>
        <v>Green</v>
      </c>
      <c r="HM16" s="1949"/>
      <c r="HN16" s="1947"/>
      <c r="HO16" s="1944" t="str">
        <f>'[1]3S'!HO16</f>
        <v>Green</v>
      </c>
      <c r="HP16" s="1945" t="str">
        <f>'[1]3S'!HP16</f>
        <v>Green</v>
      </c>
      <c r="HQ16" s="1949"/>
      <c r="HR16" s="1947"/>
      <c r="HS16" s="1944" t="str">
        <f>'[1]3S'!HS16</f>
        <v>Green</v>
      </c>
      <c r="HT16" s="1945" t="str">
        <f>'[1]3S'!HT16</f>
        <v>Green</v>
      </c>
      <c r="HU16" s="1949"/>
      <c r="HV16" s="1947"/>
      <c r="HW16" s="1944" t="str">
        <f>'[1]3S'!HW16</f>
        <v>Amber</v>
      </c>
      <c r="HX16" s="1945" t="str">
        <f>'[1]3S'!HX16</f>
        <v>Amber</v>
      </c>
      <c r="HY16" s="1949"/>
      <c r="HZ16" s="1947"/>
      <c r="IA16" s="1944" t="str">
        <f>'[1]3S'!IA16</f>
        <v>Green</v>
      </c>
      <c r="IB16" s="1945" t="str">
        <f>'[1]3S'!IB16</f>
        <v>Green</v>
      </c>
      <c r="IC16" s="1949"/>
      <c r="ID16" s="1947"/>
      <c r="IE16" s="1944" t="str">
        <f>'[1]3S'!IE16</f>
        <v>Amber</v>
      </c>
      <c r="IF16" s="1945" t="str">
        <f>'[1]3S'!IF16</f>
        <v>Amber</v>
      </c>
      <c r="IG16" s="1949"/>
      <c r="IH16" s="1947"/>
      <c r="II16" s="1944" t="str">
        <f>'[1]3S'!II16</f>
        <v>Amber</v>
      </c>
      <c r="IJ16" s="1945" t="str">
        <f>'[1]3S'!IJ16</f>
        <v>Amber</v>
      </c>
      <c r="IK16" s="1949"/>
      <c r="IL16" s="1947"/>
      <c r="IM16" s="1944" t="str">
        <f>'[1]3S'!IM16</f>
        <v>Green</v>
      </c>
      <c r="IN16" s="1945" t="str">
        <f>'[1]3S'!IN16</f>
        <v>Green</v>
      </c>
      <c r="IO16" s="1949"/>
      <c r="IP16" s="1947"/>
      <c r="IQ16" s="1944" t="str">
        <f>'[1]3S'!IQ16</f>
        <v>Amber</v>
      </c>
      <c r="IR16" s="1945" t="str">
        <f>'[1]3S'!IR16</f>
        <v>Amber</v>
      </c>
      <c r="IS16" s="1949"/>
      <c r="IT16" s="1947"/>
      <c r="IU16" s="1944" t="str">
        <f>'[1]3S'!IU16</f>
        <v>Amber</v>
      </c>
      <c r="IV16" s="1945" t="str">
        <f>'[1]3S'!IV16</f>
        <v>Amber</v>
      </c>
      <c r="IW16" s="1949"/>
      <c r="IX16" s="1947"/>
      <c r="IY16" s="1944" t="str">
        <f>'[1]3S'!IY16</f>
        <v>Amber</v>
      </c>
      <c r="IZ16" s="1945" t="str">
        <f>'[1]3S'!IZ16</f>
        <v>Amber</v>
      </c>
      <c r="JA16" s="1949"/>
      <c r="JB16" s="1947"/>
      <c r="JC16" s="1944" t="str">
        <f>'[1]3S'!JC16</f>
        <v>Green</v>
      </c>
      <c r="JD16" s="1945" t="str">
        <f>'[1]3S'!JD16</f>
        <v>Green</v>
      </c>
      <c r="JE16" s="1949"/>
      <c r="JF16" s="1947"/>
      <c r="JG16" s="1944" t="str">
        <f>'[1]3S'!JG16</f>
        <v>Green</v>
      </c>
      <c r="JH16" s="1945" t="str">
        <f>'[1]3S'!JH16</f>
        <v>Green</v>
      </c>
      <c r="JI16" s="1949"/>
      <c r="JJ16" s="1947"/>
      <c r="JK16" s="1944" t="str">
        <f>'[1]3S'!JK16</f>
        <v>Amber</v>
      </c>
      <c r="JL16" s="1945" t="str">
        <f>'[1]3S'!JL16</f>
        <v>Amber</v>
      </c>
      <c r="JM16" s="1949"/>
      <c r="JN16" s="1947"/>
      <c r="JO16" s="1944" t="str">
        <f>'[1]3S'!JO16</f>
        <v>Green</v>
      </c>
      <c r="JP16" s="1945" t="str">
        <f>'[1]3S'!JP16</f>
        <v>Green</v>
      </c>
      <c r="JQ16" s="1949"/>
      <c r="JR16" s="1947"/>
      <c r="JS16" s="1944" t="str">
        <f>'[1]3S'!JS16</f>
        <v>Red</v>
      </c>
      <c r="JT16" s="1945" t="str">
        <f>'[1]3S'!JT16</f>
        <v>Amber</v>
      </c>
      <c r="JU16" s="1949"/>
      <c r="JV16" s="1947"/>
      <c r="JW16" s="1944" t="str">
        <f>'[1]3S'!JW16</f>
        <v>Green</v>
      </c>
      <c r="JX16" s="1945" t="str">
        <f>'[1]3S'!JX16</f>
        <v>Green</v>
      </c>
      <c r="JY16" s="1949"/>
      <c r="JZ16" s="1947"/>
      <c r="KA16" s="1944" t="str">
        <f>'[1]3S'!KA16</f>
        <v>Red</v>
      </c>
      <c r="KB16" s="1945" t="str">
        <f>'[1]3S'!KB16</f>
        <v>Amber</v>
      </c>
      <c r="KC16" s="1949"/>
      <c r="KD16" s="1947"/>
      <c r="KE16" s="1944" t="str">
        <f>'[1]3S'!KE16</f>
        <v>Green</v>
      </c>
      <c r="KF16" s="1945" t="str">
        <f>'[1]3S'!KF16</f>
        <v>Green</v>
      </c>
      <c r="KG16" s="1949"/>
      <c r="KH16" s="1947"/>
      <c r="KI16" s="1944" t="str">
        <f>'[1]3S'!KI16</f>
        <v>Amber</v>
      </c>
      <c r="KJ16" s="1945" t="str">
        <f>'[1]3S'!KJ16</f>
        <v>Amber</v>
      </c>
      <c r="KK16" s="1949"/>
      <c r="KL16" s="1947"/>
      <c r="KM16" s="1944" t="str">
        <f>'[1]3S'!KM16</f>
        <v>Amber</v>
      </c>
      <c r="KN16" s="1945" t="str">
        <f>'[1]3S'!KN16</f>
        <v>Amber</v>
      </c>
      <c r="KO16" s="1949"/>
      <c r="KP16" s="1947"/>
      <c r="KQ16" s="1944" t="str">
        <f>'[1]3S'!KQ16</f>
        <v>Amber</v>
      </c>
      <c r="KR16" s="1945" t="str">
        <f>'[1]3S'!KR16</f>
        <v>Amber</v>
      </c>
      <c r="KS16" s="1949"/>
      <c r="KT16" s="1947"/>
      <c r="KU16" s="1944" t="str">
        <f>'[1]3S'!KU16</f>
        <v>Amber</v>
      </c>
      <c r="KV16" s="1945" t="str">
        <f>'[1]3S'!KV16</f>
        <v>Amber</v>
      </c>
      <c r="KW16" s="1949"/>
      <c r="KX16" s="1947"/>
      <c r="KY16" s="1944" t="str">
        <f>'[1]3S'!KY16</f>
        <v>Green</v>
      </c>
      <c r="KZ16" s="1945" t="str">
        <f>'[1]3S'!KZ16</f>
        <v>Green</v>
      </c>
      <c r="LA16" s="1949"/>
      <c r="LC16" s="521">
        <f xml:space="preserve"> IF( SUM( LE16:XC16 ) = 0, 0, $LG$3 )</f>
        <v>0</v>
      </c>
      <c r="LF16" s="1641">
        <f>SUM(LG16:XC16)</f>
        <v>0</v>
      </c>
      <c r="LI16" s="98">
        <f>IF(ISBLANK($C16), 0, IF(ISNUMBER(H16), 0, 1))</f>
        <v>0</v>
      </c>
      <c r="LM16" s="98">
        <f>IF(ISBLANK($C16), 0, IF(ISBLANK(L16), 1, 0))</f>
        <v>0</v>
      </c>
      <c r="LQ16" s="98">
        <f>IF(ISBLANK($C16), 0, IF(ISBLANK(P16), 1, 0))</f>
        <v>0</v>
      </c>
      <c r="LU16" s="98">
        <f>IF(ISBLANK($C16), 0, IF(ISBLANK(T16), 1, 0))</f>
        <v>0</v>
      </c>
      <c r="LY16" s="98">
        <f>IF(ISBLANK($C16), 0, IF(ISBLANK(X16), 1, 0))</f>
        <v>0</v>
      </c>
      <c r="MC16" s="98">
        <f>IF(ISBLANK($C16), 0, IF(ISBLANK(AB16), 1, 0))</f>
        <v>0</v>
      </c>
      <c r="MG16" s="98">
        <f>IF(ISBLANK($C16), 0, IF(ISBLANK(AF16), 1, 0))</f>
        <v>0</v>
      </c>
      <c r="MK16" s="98">
        <f>IF(ISBLANK($C16), 0, IF(ISBLANK(AJ16), 1, 0))</f>
        <v>0</v>
      </c>
      <c r="MO16" s="98">
        <f>IF(ISBLANK($C16), 0, IF(ISBLANK(AN16), 1, 0))</f>
        <v>0</v>
      </c>
      <c r="MS16" s="98">
        <f>IF(ISBLANK($C16), 0, IF(ISBLANK(AR16), 1, 0))</f>
        <v>0</v>
      </c>
      <c r="MW16" s="98">
        <f>IF(ISBLANK($C16), 0, IF(ISBLANK(AV16), 1, 0))</f>
        <v>0</v>
      </c>
      <c r="NA16" s="98">
        <f>IF(ISBLANK($C16), 0, IF(ISBLANK(AZ16), 1, 0))</f>
        <v>0</v>
      </c>
      <c r="NE16" s="98">
        <f>IF(ISBLANK($C16), 0, IF(ISBLANK(BD16), 1, 0))</f>
        <v>0</v>
      </c>
      <c r="NI16" s="98">
        <f>IF(ISBLANK($C16), 0, IF(ISBLANK(BH16), 1, 0))</f>
        <v>0</v>
      </c>
      <c r="NM16" s="98">
        <f>IF(ISBLANK($C16), 0, IF(ISBLANK(BL16), 1, 0))</f>
        <v>0</v>
      </c>
      <c r="NQ16" s="98">
        <f>IF(ISBLANK($C16), 0, IF(ISBLANK(BP16), 1, 0))</f>
        <v>0</v>
      </c>
      <c r="NU16" s="98">
        <f>IF(ISBLANK($C16), 0, IF(ISBLANK(BT16), 1, 0))</f>
        <v>0</v>
      </c>
      <c r="NY16" s="98">
        <f>IF(ISBLANK($C16), 0, IF(ISBLANK(BX16), 1, 0))</f>
        <v>0</v>
      </c>
      <c r="OC16" s="98">
        <f>IF(ISBLANK($C16), 0, IF(ISBLANK(CB16), 1, 0))</f>
        <v>0</v>
      </c>
      <c r="OG16" s="98">
        <f>IF(ISBLANK($C16), 0, IF(ISBLANK(CF16), 1, 0))</f>
        <v>0</v>
      </c>
      <c r="OK16" s="98">
        <f>IF(ISBLANK($C16), 0, IF(ISBLANK(CJ16), 1, 0))</f>
        <v>0</v>
      </c>
      <c r="OO16" s="98">
        <f>IF(ISBLANK($C16), 0, IF(ISBLANK(CN16), 1, 0))</f>
        <v>0</v>
      </c>
      <c r="OS16" s="98">
        <f>IF(ISBLANK($C16), 0, IF(ISBLANK(CR16), 1, 0))</f>
        <v>0</v>
      </c>
      <c r="OW16" s="98">
        <f>IF(ISBLANK($C16), 0, IF(ISBLANK(CV16), 1, 0))</f>
        <v>0</v>
      </c>
      <c r="PA16" s="98">
        <f>IF(ISBLANK($C16), 0, IF(ISBLANK(CZ16), 1, 0))</f>
        <v>0</v>
      </c>
      <c r="PE16" s="98">
        <f>IF(ISBLANK($C16), 0, IF(ISBLANK(DD16), 1, 0))</f>
        <v>0</v>
      </c>
      <c r="PI16" s="98">
        <f>IF(ISBLANK($C16), 0, IF(ISBLANK(DH16), 1, 0))</f>
        <v>0</v>
      </c>
      <c r="PM16" s="98">
        <f>IF(ISBLANK($C16), 0, IF(ISBLANK(DL16), 1, 0))</f>
        <v>0</v>
      </c>
      <c r="PQ16" s="98">
        <f>IF(ISBLANK($C16), 0, IF(ISBLANK(DP16), 1, 0))</f>
        <v>0</v>
      </c>
      <c r="PU16" s="98">
        <f>IF(ISBLANK($C16), 0, IF(ISBLANK(DT16), 1, 0))</f>
        <v>0</v>
      </c>
      <c r="PY16" s="98">
        <f>IF(ISBLANK($C16), 0, IF(ISBLANK(DX16), 1, 0))</f>
        <v>0</v>
      </c>
      <c r="QC16" s="98">
        <f>IF(ISBLANK($C16), 0, IF(ISBLANK(EB16), 1, 0))</f>
        <v>0</v>
      </c>
      <c r="QG16" s="98">
        <f>IF(ISBLANK($C16), 0, IF(ISBLANK(EF16), 1, 0))</f>
        <v>0</v>
      </c>
      <c r="QK16" s="98">
        <f>IF(ISBLANK($C16), 0, IF(ISBLANK(EJ16), 1, 0))</f>
        <v>0</v>
      </c>
      <c r="QO16" s="98">
        <f>IF(ISBLANK($C16), 0, IF(ISBLANK(EN16), 1, 0))</f>
        <v>0</v>
      </c>
      <c r="QS16" s="98">
        <f>IF(ISBLANK($C16), 0, IF(ISBLANK(ER16), 1, 0))</f>
        <v>0</v>
      </c>
      <c r="QW16" s="98">
        <f>IF(ISBLANK($C16), 0, IF(ISBLANK(EV16), 1, 0))</f>
        <v>0</v>
      </c>
      <c r="RA16" s="98">
        <f>IF(ISBLANK($C16), 0, IF(ISBLANK(EZ16), 1, 0))</f>
        <v>0</v>
      </c>
      <c r="RE16" s="98">
        <f>IF(ISBLANK($C16), 0, IF(ISBLANK(FD16), 1, 0))</f>
        <v>0</v>
      </c>
      <c r="RI16" s="98">
        <f>IF(ISBLANK($C16), 0, IF(ISBLANK(FH16), 1, 0))</f>
        <v>0</v>
      </c>
      <c r="RM16" s="98">
        <f>IF(ISBLANK($C16), 0, IF(ISBLANK(FL16), 1, 0))</f>
        <v>0</v>
      </c>
      <c r="RQ16" s="98">
        <f>IF(ISBLANK($C16), 0, IF(ISBLANK(FP16), 1, 0))</f>
        <v>0</v>
      </c>
      <c r="RU16" s="98">
        <f>IF(ISBLANK($C16), 0, IF(ISBLANK(FT16), 1, 0))</f>
        <v>0</v>
      </c>
      <c r="RY16" s="98">
        <f>IF(ISBLANK($C16), 0, IF(ISBLANK(FX16), 1, 0))</f>
        <v>0</v>
      </c>
      <c r="SC16" s="98">
        <f>IF(ISBLANK($C16), 0, IF(ISBLANK(GB16), 1, 0))</f>
        <v>0</v>
      </c>
      <c r="SG16" s="98">
        <f>IF(ISBLANK($C16), 0, IF(ISBLANK(GF16), 1, 0))</f>
        <v>0</v>
      </c>
      <c r="SK16" s="98">
        <f>IF(ISBLANK($C16), 0, IF(ISBLANK(GJ16), 1, 0))</f>
        <v>0</v>
      </c>
      <c r="SO16" s="98">
        <f>IF(ISBLANK($C16), 0, IF(ISBLANK(GN16), 1, 0))</f>
        <v>0</v>
      </c>
      <c r="SS16" s="98">
        <f>IF(ISBLANK($C16), 0, IF(ISBLANK(GR16), 1, 0))</f>
        <v>0</v>
      </c>
      <c r="SW16" s="98">
        <f>IF(ISBLANK($C16), 0, IF(ISBLANK(GV16), 1, 0))</f>
        <v>0</v>
      </c>
      <c r="TA16" s="98">
        <f>IF(ISBLANK($C16), 0, IF(ISBLANK(GZ16), 1, 0))</f>
        <v>0</v>
      </c>
      <c r="TE16" s="98">
        <f>IF(ISBLANK($C16), 0, IF(ISBLANK(HD16), 1, 0))</f>
        <v>0</v>
      </c>
      <c r="TI16" s="98">
        <f>IF(ISBLANK($C16), 0, IF(ISBLANK(HH16), 1, 0))</f>
        <v>0</v>
      </c>
      <c r="TM16" s="98">
        <f>IF(ISBLANK($C16), 0, IF(ISBLANK(HL16), 1, 0))</f>
        <v>0</v>
      </c>
      <c r="TQ16" s="98">
        <f>IF(ISBLANK($C16), 0, IF(ISBLANK(HP16), 1, 0))</f>
        <v>0</v>
      </c>
      <c r="TU16" s="98">
        <f>IF(ISBLANK($C16), 0, IF(ISBLANK(HT16), 1, 0))</f>
        <v>0</v>
      </c>
      <c r="TY16" s="98">
        <f>IF(ISBLANK($C16), 0, IF(ISBLANK(HX16), 1, 0))</f>
        <v>0</v>
      </c>
      <c r="UC16" s="98">
        <f>IF(ISBLANK($C16), 0, IF(ISBLANK(IB16), 1, 0))</f>
        <v>0</v>
      </c>
      <c r="UG16" s="98">
        <f>IF(ISBLANK($C16), 0, IF(ISBLANK(IF16), 1, 0))</f>
        <v>0</v>
      </c>
      <c r="UK16" s="98">
        <f>IF(ISBLANK($C16), 0, IF(ISBLANK(IJ16), 1, 0))</f>
        <v>0</v>
      </c>
      <c r="UO16" s="98">
        <f>IF(ISBLANK($C16), 0, IF(ISBLANK(IN16), 1, 0))</f>
        <v>0</v>
      </c>
      <c r="US16" s="98">
        <f>IF(ISBLANK($C16), 0, IF(ISBLANK(IR16), 1, 0))</f>
        <v>0</v>
      </c>
      <c r="UW16" s="98">
        <f>IF(ISBLANK($C16), 0, IF(ISBLANK(IV16), 1, 0))</f>
        <v>0</v>
      </c>
      <c r="VA16" s="98">
        <f>IF(ISBLANK($C16), 0, IF(ISBLANK(IZ16), 1, 0))</f>
        <v>0</v>
      </c>
      <c r="VE16" s="98">
        <f>IF(ISBLANK($C16), 0, IF(ISBLANK(JD16), 1, 0))</f>
        <v>0</v>
      </c>
      <c r="VI16" s="98">
        <f>IF(ISBLANK($C16), 0, IF(ISBLANK(JH16), 1, 0))</f>
        <v>0</v>
      </c>
      <c r="VM16" s="98">
        <f>IF(ISBLANK($C16), 0, IF(ISBLANK(JL16), 1, 0))</f>
        <v>0</v>
      </c>
      <c r="VQ16" s="98">
        <f>IF(ISBLANK($C16), 0, IF(ISBLANK(JP16), 1, 0))</f>
        <v>0</v>
      </c>
      <c r="VU16" s="98">
        <f>IF(ISBLANK($C16), 0, IF(ISBLANK(JT16), 1, 0))</f>
        <v>0</v>
      </c>
      <c r="VY16" s="98">
        <f>IF(ISBLANK($C16), 0, IF(ISBLANK(JX16), 1, 0))</f>
        <v>0</v>
      </c>
      <c r="WC16" s="98">
        <f>IF(ISBLANK($C16), 0, IF(ISBLANK(KB16), 1, 0))</f>
        <v>0</v>
      </c>
      <c r="WG16" s="98">
        <f>IF(ISBLANK($C16), 0, IF(ISBLANK(KF16), 1, 0))</f>
        <v>0</v>
      </c>
      <c r="WK16" s="98">
        <f>IF(ISBLANK($C16), 0, IF(ISBLANK(KJ16), 1, 0))</f>
        <v>0</v>
      </c>
      <c r="WO16" s="98">
        <f>IF(ISBLANK($C16), 0, IF(ISBLANK(KN16), 1, 0))</f>
        <v>0</v>
      </c>
      <c r="WS16" s="98">
        <f>IF(ISBLANK($C16), 0, IF(ISBLANK(KR16), 1, 0))</f>
        <v>0</v>
      </c>
      <c r="WW16" s="98">
        <f>IF(ISBLANK($C16), 0, IF(ISBLANK(KV16), 1, 0))</f>
        <v>0</v>
      </c>
      <c r="XA16" s="98">
        <f>IF(ISBLANK($C16), 0, IF(ISBLANK(KZ16), 1, 0))</f>
        <v>0</v>
      </c>
    </row>
    <row r="17" spans="2:625" ht="15" customHeight="1">
      <c r="B17" s="885">
        <v>2</v>
      </c>
      <c r="C17" s="1429"/>
      <c r="D17" s="869" t="s">
        <v>2731</v>
      </c>
      <c r="E17" s="871">
        <v>1</v>
      </c>
      <c r="F17" s="1944"/>
      <c r="G17" s="1944"/>
      <c r="H17" s="1945"/>
      <c r="I17" s="1946"/>
      <c r="J17" s="2171"/>
      <c r="K17" s="2173"/>
      <c r="L17" s="1948"/>
      <c r="M17" s="1949"/>
      <c r="N17" s="1947"/>
      <c r="O17" s="2173"/>
      <c r="P17" s="1948"/>
      <c r="Q17" s="1949"/>
      <c r="R17" s="1947"/>
      <c r="S17" s="2173"/>
      <c r="T17" s="1948"/>
      <c r="U17" s="1949"/>
      <c r="V17" s="1947"/>
      <c r="W17" s="2173"/>
      <c r="X17" s="1948"/>
      <c r="Y17" s="1949"/>
      <c r="Z17" s="1947"/>
      <c r="AA17" s="2173"/>
      <c r="AB17" s="1948"/>
      <c r="AC17" s="1949"/>
      <c r="AD17" s="1947"/>
      <c r="AE17" s="2173"/>
      <c r="AF17" s="1948"/>
      <c r="AG17" s="1949"/>
      <c r="AH17" s="1947"/>
      <c r="AI17" s="2173"/>
      <c r="AJ17" s="1948"/>
      <c r="AK17" s="1949"/>
      <c r="AL17" s="1947"/>
      <c r="AM17" s="2173"/>
      <c r="AN17" s="1948"/>
      <c r="AO17" s="1949"/>
      <c r="AP17" s="1947"/>
      <c r="AQ17" s="2173"/>
      <c r="AR17" s="1948"/>
      <c r="AS17" s="1949"/>
      <c r="AT17" s="1947"/>
      <c r="AU17" s="2173"/>
      <c r="AV17" s="1948"/>
      <c r="AW17" s="1949"/>
      <c r="AX17" s="1947"/>
      <c r="AY17" s="2173"/>
      <c r="AZ17" s="1948"/>
      <c r="BA17" s="1949"/>
      <c r="BB17" s="1947"/>
      <c r="BC17" s="2173"/>
      <c r="BD17" s="1948"/>
      <c r="BE17" s="1949"/>
      <c r="BF17" s="1947"/>
      <c r="BG17" s="2173"/>
      <c r="BH17" s="1948"/>
      <c r="BI17" s="1949"/>
      <c r="BJ17" s="1947"/>
      <c r="BK17" s="2173"/>
      <c r="BL17" s="1948"/>
      <c r="BM17" s="1949"/>
      <c r="BN17" s="1947"/>
      <c r="BO17" s="2173"/>
      <c r="BP17" s="1948"/>
      <c r="BQ17" s="1949"/>
      <c r="BR17" s="1947"/>
      <c r="BS17" s="2173"/>
      <c r="BT17" s="1948"/>
      <c r="BU17" s="1949"/>
      <c r="BV17" s="1947"/>
      <c r="BW17" s="2173"/>
      <c r="BX17" s="1948"/>
      <c r="BY17" s="1949"/>
      <c r="BZ17" s="1947"/>
      <c r="CA17" s="2173"/>
      <c r="CB17" s="1948"/>
      <c r="CC17" s="1949"/>
      <c r="CD17" s="1947"/>
      <c r="CE17" s="2173"/>
      <c r="CF17" s="1948"/>
      <c r="CG17" s="1949"/>
      <c r="CH17" s="1947"/>
      <c r="CI17" s="2173"/>
      <c r="CJ17" s="1948"/>
      <c r="CK17" s="1949"/>
      <c r="CL17" s="1947"/>
      <c r="CM17" s="2173"/>
      <c r="CN17" s="1948"/>
      <c r="CO17" s="1949"/>
      <c r="CP17" s="1947"/>
      <c r="CQ17" s="2173"/>
      <c r="CR17" s="1948"/>
      <c r="CS17" s="1949"/>
      <c r="CT17" s="1947"/>
      <c r="CU17" s="2173"/>
      <c r="CV17" s="1948"/>
      <c r="CW17" s="1949"/>
      <c r="CX17" s="1947"/>
      <c r="CY17" s="2173"/>
      <c r="CZ17" s="1948"/>
      <c r="DA17" s="1949"/>
      <c r="DB17" s="1947"/>
      <c r="DC17" s="2173"/>
      <c r="DD17" s="1948"/>
      <c r="DE17" s="1949"/>
      <c r="DF17" s="1947"/>
      <c r="DG17" s="2173"/>
      <c r="DH17" s="1948"/>
      <c r="DI17" s="1949"/>
      <c r="DJ17" s="1947"/>
      <c r="DK17" s="2173"/>
      <c r="DL17" s="1948"/>
      <c r="DM17" s="1949"/>
      <c r="DN17" s="1947"/>
      <c r="DO17" s="2173"/>
      <c r="DP17" s="1948"/>
      <c r="DQ17" s="1949"/>
      <c r="DR17" s="1947"/>
      <c r="DS17" s="2173"/>
      <c r="DT17" s="1948"/>
      <c r="DU17" s="1949"/>
      <c r="DV17" s="1947"/>
      <c r="DW17" s="2173"/>
      <c r="DX17" s="1948"/>
      <c r="DY17" s="1949"/>
      <c r="DZ17" s="1947"/>
      <c r="EA17" s="2173"/>
      <c r="EB17" s="1948"/>
      <c r="EC17" s="1949"/>
      <c r="ED17" s="1947"/>
      <c r="EE17" s="2173"/>
      <c r="EF17" s="1948"/>
      <c r="EG17" s="1949"/>
      <c r="EH17" s="1947"/>
      <c r="EI17" s="2173"/>
      <c r="EJ17" s="1948"/>
      <c r="EK17" s="1949"/>
      <c r="EL17" s="1947"/>
      <c r="EM17" s="2173"/>
      <c r="EN17" s="1948"/>
      <c r="EO17" s="1949"/>
      <c r="EP17" s="1947"/>
      <c r="EQ17" s="2173"/>
      <c r="ER17" s="1948"/>
      <c r="ES17" s="1949"/>
      <c r="ET17" s="1947"/>
      <c r="EU17" s="2173"/>
      <c r="EV17" s="1948"/>
      <c r="EW17" s="1949"/>
      <c r="EX17" s="1947"/>
      <c r="EY17" s="2173"/>
      <c r="EZ17" s="1948"/>
      <c r="FA17" s="1949"/>
      <c r="FB17" s="1947"/>
      <c r="FC17" s="2173"/>
      <c r="FD17" s="1948"/>
      <c r="FE17" s="1949"/>
      <c r="FF17" s="1947"/>
      <c r="FG17" s="2173"/>
      <c r="FH17" s="1948"/>
      <c r="FI17" s="1949"/>
      <c r="FJ17" s="1947"/>
      <c r="FK17" s="2173"/>
      <c r="FL17" s="1948"/>
      <c r="FM17" s="1949"/>
      <c r="FN17" s="1947"/>
      <c r="FO17" s="2173"/>
      <c r="FP17" s="1948"/>
      <c r="FQ17" s="1949"/>
      <c r="FR17" s="1947"/>
      <c r="FS17" s="2173"/>
      <c r="FT17" s="1948"/>
      <c r="FU17" s="1949"/>
      <c r="FV17" s="1947"/>
      <c r="FW17" s="2173"/>
      <c r="FX17" s="1948"/>
      <c r="FY17" s="1949"/>
      <c r="FZ17" s="1947"/>
      <c r="GA17" s="2173"/>
      <c r="GB17" s="1948"/>
      <c r="GC17" s="1949"/>
      <c r="GD17" s="1947"/>
      <c r="GE17" s="2173"/>
      <c r="GF17" s="1948"/>
      <c r="GG17" s="1949"/>
      <c r="GH17" s="1947"/>
      <c r="GI17" s="2173"/>
      <c r="GJ17" s="1948"/>
      <c r="GK17" s="1949"/>
      <c r="GL17" s="1947"/>
      <c r="GM17" s="2173"/>
      <c r="GN17" s="1948"/>
      <c r="GO17" s="1949"/>
      <c r="GP17" s="1947"/>
      <c r="GQ17" s="2173"/>
      <c r="GR17" s="1948"/>
      <c r="GS17" s="1949"/>
      <c r="GT17" s="1947"/>
      <c r="GU17" s="2173"/>
      <c r="GV17" s="1948"/>
      <c r="GW17" s="1949"/>
      <c r="GX17" s="1947"/>
      <c r="GY17" s="2173"/>
      <c r="GZ17" s="1948"/>
      <c r="HA17" s="1949"/>
      <c r="HB17" s="1947"/>
      <c r="HC17" s="2173"/>
      <c r="HD17" s="1948"/>
      <c r="HE17" s="1949"/>
      <c r="HF17" s="1947"/>
      <c r="HG17" s="2173"/>
      <c r="HH17" s="1948"/>
      <c r="HI17" s="1949"/>
      <c r="HJ17" s="1947"/>
      <c r="HK17" s="2173"/>
      <c r="HL17" s="1948"/>
      <c r="HM17" s="1949"/>
      <c r="HN17" s="1947"/>
      <c r="HO17" s="2173"/>
      <c r="HP17" s="1948"/>
      <c r="HQ17" s="1949"/>
      <c r="HR17" s="1947"/>
      <c r="HS17" s="2173"/>
      <c r="HT17" s="1948"/>
      <c r="HU17" s="1949"/>
      <c r="HV17" s="1947"/>
      <c r="HW17" s="2173"/>
      <c r="HX17" s="1948"/>
      <c r="HY17" s="1949"/>
      <c r="HZ17" s="1947"/>
      <c r="IA17" s="2173"/>
      <c r="IB17" s="1948"/>
      <c r="IC17" s="1949"/>
      <c r="ID17" s="1947"/>
      <c r="IE17" s="2173"/>
      <c r="IF17" s="1948"/>
      <c r="IG17" s="1949"/>
      <c r="IH17" s="1947"/>
      <c r="II17" s="2173"/>
      <c r="IJ17" s="1948"/>
      <c r="IK17" s="1949"/>
      <c r="IL17" s="1947"/>
      <c r="IM17" s="2173"/>
      <c r="IN17" s="1948"/>
      <c r="IO17" s="1949"/>
      <c r="IP17" s="1947"/>
      <c r="IQ17" s="2173"/>
      <c r="IR17" s="1948"/>
      <c r="IS17" s="1949"/>
      <c r="IT17" s="1947"/>
      <c r="IU17" s="2173"/>
      <c r="IV17" s="1948"/>
      <c r="IW17" s="1949"/>
      <c r="IX17" s="1947"/>
      <c r="IY17" s="2173"/>
      <c r="IZ17" s="1948"/>
      <c r="JA17" s="1949"/>
      <c r="JB17" s="1947"/>
      <c r="JC17" s="2173"/>
      <c r="JD17" s="1948"/>
      <c r="JE17" s="1949"/>
      <c r="JF17" s="1947"/>
      <c r="JG17" s="2173"/>
      <c r="JH17" s="1948"/>
      <c r="JI17" s="1949"/>
      <c r="JJ17" s="1947"/>
      <c r="JK17" s="2173"/>
      <c r="JL17" s="1948"/>
      <c r="JM17" s="1949"/>
      <c r="JN17" s="1947"/>
      <c r="JO17" s="2173"/>
      <c r="JP17" s="1948"/>
      <c r="JQ17" s="1949"/>
      <c r="JR17" s="1947"/>
      <c r="JS17" s="2173"/>
      <c r="JT17" s="1948"/>
      <c r="JU17" s="1949"/>
      <c r="JV17" s="1947"/>
      <c r="JW17" s="2173"/>
      <c r="JX17" s="1948"/>
      <c r="JY17" s="1949"/>
      <c r="JZ17" s="1947"/>
      <c r="KA17" s="2173"/>
      <c r="KB17" s="1948"/>
      <c r="KC17" s="1949"/>
      <c r="KD17" s="1947"/>
      <c r="KE17" s="2173"/>
      <c r="KF17" s="1948"/>
      <c r="KG17" s="1949"/>
      <c r="KH17" s="1947"/>
      <c r="KI17" s="2173"/>
      <c r="KJ17" s="1948"/>
      <c r="KK17" s="1949"/>
      <c r="KL17" s="1947"/>
      <c r="KM17" s="2173"/>
      <c r="KN17" s="1948"/>
      <c r="KO17" s="1949"/>
      <c r="KP17" s="1947"/>
      <c r="KQ17" s="2173"/>
      <c r="KR17" s="1948"/>
      <c r="KS17" s="1949"/>
      <c r="KT17" s="1947"/>
      <c r="KU17" s="2173"/>
      <c r="KV17" s="1948"/>
      <c r="KW17" s="1949"/>
      <c r="KX17" s="1947"/>
      <c r="KY17" s="2173"/>
      <c r="KZ17" s="1948"/>
      <c r="LA17" s="1949"/>
      <c r="LC17" s="521">
        <f xml:space="preserve"> IF( SUM( LE17:XC17 ) = 0, 0, $LG$3 )</f>
        <v>0</v>
      </c>
      <c r="LF17" s="1641">
        <f t="shared" ref="LF17:LF19" si="0">SUM(LG17:XC17)</f>
        <v>0</v>
      </c>
      <c r="LI17" s="98">
        <f t="shared" ref="LI17:LI19" si="1">IF(ISBLANK($C17), 0, IF(ISNUMBER(H17), 0, 1))</f>
        <v>0</v>
      </c>
      <c r="LM17" s="98">
        <f t="shared" ref="LM17:LM19" si="2">IF(ISBLANK($C17), 0, IF(ISBLANK(L17), 1, 0))</f>
        <v>0</v>
      </c>
      <c r="LQ17" s="98">
        <f t="shared" ref="LQ17:LQ19" si="3">IF(ISBLANK($C17), 0, IF(ISBLANK(P17), 1, 0))</f>
        <v>0</v>
      </c>
      <c r="LU17" s="98">
        <f t="shared" ref="LU17:LU19" si="4">IF(ISBLANK($C17), 0, IF(ISBLANK(T17), 1, 0))</f>
        <v>0</v>
      </c>
      <c r="LY17" s="98">
        <f t="shared" ref="LY17:LY19" si="5">IF(ISBLANK($C17), 0, IF(ISBLANK(X17), 1, 0))</f>
        <v>0</v>
      </c>
      <c r="MC17" s="98">
        <f t="shared" ref="MC17:MC19" si="6">IF(ISBLANK($C17), 0, IF(ISBLANK(AB17), 1, 0))</f>
        <v>0</v>
      </c>
      <c r="MG17" s="98">
        <f t="shared" ref="MG17:MG19" si="7">IF(ISBLANK($C17), 0, IF(ISBLANK(AF17), 1, 0))</f>
        <v>0</v>
      </c>
      <c r="MK17" s="98">
        <f t="shared" ref="MK17:MK19" si="8">IF(ISBLANK($C17), 0, IF(ISBLANK(AJ17), 1, 0))</f>
        <v>0</v>
      </c>
      <c r="MO17" s="98">
        <f t="shared" ref="MO17:MO19" si="9">IF(ISBLANK($C17), 0, IF(ISBLANK(AN17), 1, 0))</f>
        <v>0</v>
      </c>
      <c r="MS17" s="98">
        <f t="shared" ref="MS17:MS19" si="10">IF(ISBLANK($C17), 0, IF(ISBLANK(AR17), 1, 0))</f>
        <v>0</v>
      </c>
      <c r="MW17" s="98">
        <f t="shared" ref="MW17:MW19" si="11">IF(ISBLANK($C17), 0, IF(ISBLANK(AV17), 1, 0))</f>
        <v>0</v>
      </c>
      <c r="NA17" s="98">
        <f t="shared" ref="NA17:NA19" si="12">IF(ISBLANK($C17), 0, IF(ISBLANK(AZ17), 1, 0))</f>
        <v>0</v>
      </c>
      <c r="NE17" s="98">
        <f t="shared" ref="NE17:NE19" si="13">IF(ISBLANK($C17), 0, IF(ISBLANK(BD17), 1, 0))</f>
        <v>0</v>
      </c>
      <c r="NI17" s="98">
        <f t="shared" ref="NI17:NI19" si="14">IF(ISBLANK($C17), 0, IF(ISBLANK(BH17), 1, 0))</f>
        <v>0</v>
      </c>
      <c r="NM17" s="98">
        <f t="shared" ref="NM17:NM19" si="15">IF(ISBLANK($C17), 0, IF(ISBLANK(BL17), 1, 0))</f>
        <v>0</v>
      </c>
      <c r="NQ17" s="98">
        <f t="shared" ref="NQ17:NQ19" si="16">IF(ISBLANK($C17), 0, IF(ISBLANK(BP17), 1, 0))</f>
        <v>0</v>
      </c>
      <c r="NU17" s="98">
        <f t="shared" ref="NU17:NU19" si="17">IF(ISBLANK($C17), 0, IF(ISBLANK(BT17), 1, 0))</f>
        <v>0</v>
      </c>
      <c r="NY17" s="98">
        <f t="shared" ref="NY17:NY19" si="18">IF(ISBLANK($C17), 0, IF(ISBLANK(BX17), 1, 0))</f>
        <v>0</v>
      </c>
      <c r="OC17" s="98">
        <f t="shared" ref="OC17:OC19" si="19">IF(ISBLANK($C17), 0, IF(ISBLANK(CB17), 1, 0))</f>
        <v>0</v>
      </c>
      <c r="OG17" s="98">
        <f t="shared" ref="OG17:OG19" si="20">IF(ISBLANK($C17), 0, IF(ISBLANK(CF17), 1, 0))</f>
        <v>0</v>
      </c>
      <c r="OK17" s="98">
        <f t="shared" ref="OK17:OK19" si="21">IF(ISBLANK($C17), 0, IF(ISBLANK(CJ17), 1, 0))</f>
        <v>0</v>
      </c>
      <c r="OO17" s="98">
        <f t="shared" ref="OO17:OO19" si="22">IF(ISBLANK($C17), 0, IF(ISBLANK(CN17), 1, 0))</f>
        <v>0</v>
      </c>
      <c r="OS17" s="98">
        <f t="shared" ref="OS17:OS19" si="23">IF(ISBLANK($C17), 0, IF(ISBLANK(CR17), 1, 0))</f>
        <v>0</v>
      </c>
      <c r="OW17" s="98">
        <f t="shared" ref="OW17:OW19" si="24">IF(ISBLANK($C17), 0, IF(ISBLANK(CV17), 1, 0))</f>
        <v>0</v>
      </c>
      <c r="PA17" s="98">
        <f t="shared" ref="PA17:PA19" si="25">IF(ISBLANK($C17), 0, IF(ISBLANK(CZ17), 1, 0))</f>
        <v>0</v>
      </c>
      <c r="PE17" s="98">
        <f t="shared" ref="PE17:PE19" si="26">IF(ISBLANK($C17), 0, IF(ISBLANK(DD17), 1, 0))</f>
        <v>0</v>
      </c>
      <c r="PI17" s="98">
        <f t="shared" ref="PI17:PI19" si="27">IF(ISBLANK($C17), 0, IF(ISBLANK(DH17), 1, 0))</f>
        <v>0</v>
      </c>
      <c r="PM17" s="98">
        <f t="shared" ref="PM17:PM19" si="28">IF(ISBLANK($C17), 0, IF(ISBLANK(DL17), 1, 0))</f>
        <v>0</v>
      </c>
      <c r="PQ17" s="98">
        <f t="shared" ref="PQ17:PQ19" si="29">IF(ISBLANK($C17), 0, IF(ISBLANK(DP17), 1, 0))</f>
        <v>0</v>
      </c>
      <c r="PU17" s="98">
        <f t="shared" ref="PU17:PU19" si="30">IF(ISBLANK($C17), 0, IF(ISBLANK(DT17), 1, 0))</f>
        <v>0</v>
      </c>
      <c r="PY17" s="98">
        <f t="shared" ref="PY17:PY19" si="31">IF(ISBLANK($C17), 0, IF(ISBLANK(DX17), 1, 0))</f>
        <v>0</v>
      </c>
      <c r="QC17" s="98">
        <f t="shared" ref="QC17:QC19" si="32">IF(ISBLANK($C17), 0, IF(ISBLANK(EB17), 1, 0))</f>
        <v>0</v>
      </c>
      <c r="QG17" s="98">
        <f t="shared" ref="QG17:QG19" si="33">IF(ISBLANK($C17), 0, IF(ISBLANK(EF17), 1, 0))</f>
        <v>0</v>
      </c>
      <c r="QK17" s="98">
        <f t="shared" ref="QK17:QK19" si="34">IF(ISBLANK($C17), 0, IF(ISBLANK(EJ17), 1, 0))</f>
        <v>0</v>
      </c>
      <c r="QO17" s="98">
        <f t="shared" ref="QO17:QO19" si="35">IF(ISBLANK($C17), 0, IF(ISBLANK(EN17), 1, 0))</f>
        <v>0</v>
      </c>
      <c r="QS17" s="98">
        <f t="shared" ref="QS17:QS19" si="36">IF(ISBLANK($C17), 0, IF(ISBLANK(ER17), 1, 0))</f>
        <v>0</v>
      </c>
      <c r="QW17" s="98">
        <f t="shared" ref="QW17:QW19" si="37">IF(ISBLANK($C17), 0, IF(ISBLANK(EV17), 1, 0))</f>
        <v>0</v>
      </c>
      <c r="RA17" s="98">
        <f t="shared" ref="RA17:RA19" si="38">IF(ISBLANK($C17), 0, IF(ISBLANK(EZ17), 1, 0))</f>
        <v>0</v>
      </c>
      <c r="RE17" s="98">
        <f t="shared" ref="RE17:RE19" si="39">IF(ISBLANK($C17), 0, IF(ISBLANK(FD17), 1, 0))</f>
        <v>0</v>
      </c>
      <c r="RI17" s="98">
        <f t="shared" ref="RI17:RI19" si="40">IF(ISBLANK($C17), 0, IF(ISBLANK(FH17), 1, 0))</f>
        <v>0</v>
      </c>
      <c r="RM17" s="98">
        <f t="shared" ref="RM17:RM19" si="41">IF(ISBLANK($C17), 0, IF(ISBLANK(FL17), 1, 0))</f>
        <v>0</v>
      </c>
      <c r="RQ17" s="98">
        <f t="shared" ref="RQ17:RQ19" si="42">IF(ISBLANK($C17), 0, IF(ISBLANK(FP17), 1, 0))</f>
        <v>0</v>
      </c>
      <c r="RU17" s="98">
        <f t="shared" ref="RU17:RU19" si="43">IF(ISBLANK($C17), 0, IF(ISBLANK(FT17), 1, 0))</f>
        <v>0</v>
      </c>
      <c r="RY17" s="98">
        <f t="shared" ref="RY17:RY19" si="44">IF(ISBLANK($C17), 0, IF(ISBLANK(FX17), 1, 0))</f>
        <v>0</v>
      </c>
      <c r="SC17" s="98">
        <f t="shared" ref="SC17:SC19" si="45">IF(ISBLANK($C17), 0, IF(ISBLANK(GB17), 1, 0))</f>
        <v>0</v>
      </c>
      <c r="SG17" s="98">
        <f t="shared" ref="SG17:SG19" si="46">IF(ISBLANK($C17), 0, IF(ISBLANK(GF17), 1, 0))</f>
        <v>0</v>
      </c>
      <c r="SK17" s="98">
        <f t="shared" ref="SK17:SK19" si="47">IF(ISBLANK($C17), 0, IF(ISBLANK(GJ17), 1, 0))</f>
        <v>0</v>
      </c>
      <c r="SO17" s="98">
        <f t="shared" ref="SO17:SO19" si="48">IF(ISBLANK($C17), 0, IF(ISBLANK(GN17), 1, 0))</f>
        <v>0</v>
      </c>
      <c r="SS17" s="98">
        <f t="shared" ref="SS17:SS19" si="49">IF(ISBLANK($C17), 0, IF(ISBLANK(GR17), 1, 0))</f>
        <v>0</v>
      </c>
      <c r="SW17" s="98">
        <f t="shared" ref="SW17:SW19" si="50">IF(ISBLANK($C17), 0, IF(ISBLANK(GV17), 1, 0))</f>
        <v>0</v>
      </c>
      <c r="TA17" s="98">
        <f t="shared" ref="TA17:TA19" si="51">IF(ISBLANK($C17), 0, IF(ISBLANK(GZ17), 1, 0))</f>
        <v>0</v>
      </c>
      <c r="TE17" s="98">
        <f t="shared" ref="TE17:TE19" si="52">IF(ISBLANK($C17), 0, IF(ISBLANK(HD17), 1, 0))</f>
        <v>0</v>
      </c>
      <c r="TI17" s="98">
        <f t="shared" ref="TI17:TI19" si="53">IF(ISBLANK($C17), 0, IF(ISBLANK(HH17), 1, 0))</f>
        <v>0</v>
      </c>
      <c r="TM17" s="98">
        <f t="shared" ref="TM17:TM19" si="54">IF(ISBLANK($C17), 0, IF(ISBLANK(HL17), 1, 0))</f>
        <v>0</v>
      </c>
      <c r="TQ17" s="98">
        <f t="shared" ref="TQ17:TQ19" si="55">IF(ISBLANK($C17), 0, IF(ISBLANK(HP17), 1, 0))</f>
        <v>0</v>
      </c>
      <c r="TU17" s="98">
        <f t="shared" ref="TU17:TU19" si="56">IF(ISBLANK($C17), 0, IF(ISBLANK(HT17), 1, 0))</f>
        <v>0</v>
      </c>
      <c r="TY17" s="98">
        <f t="shared" ref="TY17:TY19" si="57">IF(ISBLANK($C17), 0, IF(ISBLANK(HX17), 1, 0))</f>
        <v>0</v>
      </c>
      <c r="UC17" s="98">
        <f t="shared" ref="UC17:UC19" si="58">IF(ISBLANK($C17), 0, IF(ISBLANK(IB17), 1, 0))</f>
        <v>0</v>
      </c>
      <c r="UG17" s="98">
        <f t="shared" ref="UG17:UG19" si="59">IF(ISBLANK($C17), 0, IF(ISBLANK(IF17), 1, 0))</f>
        <v>0</v>
      </c>
      <c r="UK17" s="98">
        <f t="shared" ref="UK17:UK19" si="60">IF(ISBLANK($C17), 0, IF(ISBLANK(IJ17), 1, 0))</f>
        <v>0</v>
      </c>
      <c r="UO17" s="98">
        <f t="shared" ref="UO17:UO19" si="61">IF(ISBLANK($C17), 0, IF(ISBLANK(IN17), 1, 0))</f>
        <v>0</v>
      </c>
      <c r="US17" s="98">
        <f t="shared" ref="US17:US19" si="62">IF(ISBLANK($C17), 0, IF(ISBLANK(IR17), 1, 0))</f>
        <v>0</v>
      </c>
      <c r="UW17" s="98">
        <f t="shared" ref="UW17:UW19" si="63">IF(ISBLANK($C17), 0, IF(ISBLANK(IV17), 1, 0))</f>
        <v>0</v>
      </c>
      <c r="VA17" s="98">
        <f t="shared" ref="VA17:VA19" si="64">IF(ISBLANK($C17), 0, IF(ISBLANK(IZ17), 1, 0))</f>
        <v>0</v>
      </c>
      <c r="VE17" s="98">
        <f t="shared" ref="VE17:VE19" si="65">IF(ISBLANK($C17), 0, IF(ISBLANK(JD17), 1, 0))</f>
        <v>0</v>
      </c>
      <c r="VI17" s="98">
        <f t="shared" ref="VI17:VI19" si="66">IF(ISBLANK($C17), 0, IF(ISBLANK(JH17), 1, 0))</f>
        <v>0</v>
      </c>
      <c r="VM17" s="98">
        <f t="shared" ref="VM17:VM19" si="67">IF(ISBLANK($C17), 0, IF(ISBLANK(JL17), 1, 0))</f>
        <v>0</v>
      </c>
      <c r="VQ17" s="98">
        <f t="shared" ref="VQ17:VQ19" si="68">IF(ISBLANK($C17), 0, IF(ISBLANK(JP17), 1, 0))</f>
        <v>0</v>
      </c>
      <c r="VU17" s="98">
        <f t="shared" ref="VU17:VU19" si="69">IF(ISBLANK($C17), 0, IF(ISBLANK(JT17), 1, 0))</f>
        <v>0</v>
      </c>
      <c r="VY17" s="98">
        <f t="shared" ref="VY17:VY19" si="70">IF(ISBLANK($C17), 0, IF(ISBLANK(JX17), 1, 0))</f>
        <v>0</v>
      </c>
      <c r="WC17" s="98">
        <f t="shared" ref="WC17:WC19" si="71">IF(ISBLANK($C17), 0, IF(ISBLANK(KB17), 1, 0))</f>
        <v>0</v>
      </c>
      <c r="WG17" s="98">
        <f t="shared" ref="WG17:WG19" si="72">IF(ISBLANK($C17), 0, IF(ISBLANK(KF17), 1, 0))</f>
        <v>0</v>
      </c>
      <c r="WK17" s="98">
        <f t="shared" ref="WK17:WK19" si="73">IF(ISBLANK($C17), 0, IF(ISBLANK(KJ17), 1, 0))</f>
        <v>0</v>
      </c>
      <c r="WO17" s="98">
        <f t="shared" ref="WO17:WO19" si="74">IF(ISBLANK($C17), 0, IF(ISBLANK(KN17), 1, 0))</f>
        <v>0</v>
      </c>
      <c r="WS17" s="98">
        <f t="shared" ref="WS17:WS19" si="75">IF(ISBLANK($C17), 0, IF(ISBLANK(KR17), 1, 0))</f>
        <v>0</v>
      </c>
      <c r="WW17" s="98">
        <f t="shared" ref="WW17:WW19" si="76">IF(ISBLANK($C17), 0, IF(ISBLANK(KV17), 1, 0))</f>
        <v>0</v>
      </c>
      <c r="XA17" s="98">
        <f t="shared" ref="XA17:XA19" si="77">IF(ISBLANK($C17), 0, IF(ISBLANK(KZ17), 1, 0))</f>
        <v>0</v>
      </c>
    </row>
    <row r="18" spans="2:625" ht="15" customHeight="1">
      <c r="B18" s="885">
        <v>3</v>
      </c>
      <c r="C18" s="1429"/>
      <c r="D18" s="869" t="s">
        <v>2731</v>
      </c>
      <c r="E18" s="871">
        <v>1</v>
      </c>
      <c r="F18" s="1944"/>
      <c r="G18" s="1944"/>
      <c r="H18" s="1945"/>
      <c r="I18" s="1946"/>
      <c r="J18" s="2171"/>
      <c r="K18" s="2173"/>
      <c r="L18" s="1948"/>
      <c r="M18" s="1949"/>
      <c r="N18" s="1947"/>
      <c r="O18" s="2173"/>
      <c r="P18" s="1948"/>
      <c r="Q18" s="1949"/>
      <c r="R18" s="1947"/>
      <c r="S18" s="2173"/>
      <c r="T18" s="1948"/>
      <c r="U18" s="1949"/>
      <c r="V18" s="1947"/>
      <c r="W18" s="2173"/>
      <c r="X18" s="1948"/>
      <c r="Y18" s="1949"/>
      <c r="Z18" s="1947"/>
      <c r="AA18" s="2173"/>
      <c r="AB18" s="1948"/>
      <c r="AC18" s="1949"/>
      <c r="AD18" s="1947"/>
      <c r="AE18" s="2173"/>
      <c r="AF18" s="1948"/>
      <c r="AG18" s="1949"/>
      <c r="AH18" s="1947"/>
      <c r="AI18" s="2173"/>
      <c r="AJ18" s="1948"/>
      <c r="AK18" s="1949"/>
      <c r="AL18" s="1947"/>
      <c r="AM18" s="2173"/>
      <c r="AN18" s="1948"/>
      <c r="AO18" s="1949"/>
      <c r="AP18" s="1947"/>
      <c r="AQ18" s="2173"/>
      <c r="AR18" s="1948"/>
      <c r="AS18" s="1949"/>
      <c r="AT18" s="1947"/>
      <c r="AU18" s="2173"/>
      <c r="AV18" s="1948"/>
      <c r="AW18" s="1949"/>
      <c r="AX18" s="1947"/>
      <c r="AY18" s="2173"/>
      <c r="AZ18" s="1948"/>
      <c r="BA18" s="1949"/>
      <c r="BB18" s="1947"/>
      <c r="BC18" s="2173"/>
      <c r="BD18" s="1948"/>
      <c r="BE18" s="1949"/>
      <c r="BF18" s="1947"/>
      <c r="BG18" s="2173"/>
      <c r="BH18" s="1948"/>
      <c r="BI18" s="1949"/>
      <c r="BJ18" s="1947"/>
      <c r="BK18" s="2173"/>
      <c r="BL18" s="1948"/>
      <c r="BM18" s="1949"/>
      <c r="BN18" s="1947"/>
      <c r="BO18" s="2173"/>
      <c r="BP18" s="1948"/>
      <c r="BQ18" s="1949"/>
      <c r="BR18" s="1947"/>
      <c r="BS18" s="2173"/>
      <c r="BT18" s="1948"/>
      <c r="BU18" s="1949"/>
      <c r="BV18" s="1947"/>
      <c r="BW18" s="2173"/>
      <c r="BX18" s="1948"/>
      <c r="BY18" s="1949"/>
      <c r="BZ18" s="1947"/>
      <c r="CA18" s="2173"/>
      <c r="CB18" s="1948"/>
      <c r="CC18" s="1949"/>
      <c r="CD18" s="1947"/>
      <c r="CE18" s="2173"/>
      <c r="CF18" s="1948"/>
      <c r="CG18" s="1949"/>
      <c r="CH18" s="1947"/>
      <c r="CI18" s="2173"/>
      <c r="CJ18" s="1948"/>
      <c r="CK18" s="1949"/>
      <c r="CL18" s="1947"/>
      <c r="CM18" s="2173"/>
      <c r="CN18" s="1948"/>
      <c r="CO18" s="1949"/>
      <c r="CP18" s="1947"/>
      <c r="CQ18" s="2173"/>
      <c r="CR18" s="1948"/>
      <c r="CS18" s="1949"/>
      <c r="CT18" s="1947"/>
      <c r="CU18" s="2173"/>
      <c r="CV18" s="1948"/>
      <c r="CW18" s="1949"/>
      <c r="CX18" s="1947"/>
      <c r="CY18" s="2173"/>
      <c r="CZ18" s="1948"/>
      <c r="DA18" s="1949"/>
      <c r="DB18" s="1947"/>
      <c r="DC18" s="2173"/>
      <c r="DD18" s="1948"/>
      <c r="DE18" s="1949"/>
      <c r="DF18" s="1947"/>
      <c r="DG18" s="2173"/>
      <c r="DH18" s="1948"/>
      <c r="DI18" s="1949"/>
      <c r="DJ18" s="1947"/>
      <c r="DK18" s="2173"/>
      <c r="DL18" s="1948"/>
      <c r="DM18" s="1949"/>
      <c r="DN18" s="1947"/>
      <c r="DO18" s="2173"/>
      <c r="DP18" s="1948"/>
      <c r="DQ18" s="1949"/>
      <c r="DR18" s="1947"/>
      <c r="DS18" s="2173"/>
      <c r="DT18" s="1948"/>
      <c r="DU18" s="1949"/>
      <c r="DV18" s="1947"/>
      <c r="DW18" s="2173"/>
      <c r="DX18" s="1948"/>
      <c r="DY18" s="1949"/>
      <c r="DZ18" s="1947"/>
      <c r="EA18" s="2173"/>
      <c r="EB18" s="1948"/>
      <c r="EC18" s="1949"/>
      <c r="ED18" s="1947"/>
      <c r="EE18" s="2173"/>
      <c r="EF18" s="1948"/>
      <c r="EG18" s="1949"/>
      <c r="EH18" s="1947"/>
      <c r="EI18" s="2173"/>
      <c r="EJ18" s="1948"/>
      <c r="EK18" s="1949"/>
      <c r="EL18" s="1947"/>
      <c r="EM18" s="2173"/>
      <c r="EN18" s="1948"/>
      <c r="EO18" s="1949"/>
      <c r="EP18" s="1947"/>
      <c r="EQ18" s="2173"/>
      <c r="ER18" s="1948"/>
      <c r="ES18" s="1949"/>
      <c r="ET18" s="1947"/>
      <c r="EU18" s="2173"/>
      <c r="EV18" s="1948"/>
      <c r="EW18" s="1949"/>
      <c r="EX18" s="1947"/>
      <c r="EY18" s="2173"/>
      <c r="EZ18" s="1948"/>
      <c r="FA18" s="1949"/>
      <c r="FB18" s="1947"/>
      <c r="FC18" s="2173"/>
      <c r="FD18" s="1948"/>
      <c r="FE18" s="1949"/>
      <c r="FF18" s="1947"/>
      <c r="FG18" s="2173"/>
      <c r="FH18" s="1948"/>
      <c r="FI18" s="1949"/>
      <c r="FJ18" s="1947"/>
      <c r="FK18" s="2173"/>
      <c r="FL18" s="1948"/>
      <c r="FM18" s="1949"/>
      <c r="FN18" s="1947"/>
      <c r="FO18" s="2173"/>
      <c r="FP18" s="1948"/>
      <c r="FQ18" s="1949"/>
      <c r="FR18" s="1947"/>
      <c r="FS18" s="2173"/>
      <c r="FT18" s="1948"/>
      <c r="FU18" s="1949"/>
      <c r="FV18" s="1947"/>
      <c r="FW18" s="2173"/>
      <c r="FX18" s="1948"/>
      <c r="FY18" s="1949"/>
      <c r="FZ18" s="1947"/>
      <c r="GA18" s="2173"/>
      <c r="GB18" s="1948"/>
      <c r="GC18" s="1949"/>
      <c r="GD18" s="1947"/>
      <c r="GE18" s="2173"/>
      <c r="GF18" s="1948"/>
      <c r="GG18" s="1949"/>
      <c r="GH18" s="1947"/>
      <c r="GI18" s="2173"/>
      <c r="GJ18" s="1948"/>
      <c r="GK18" s="1949"/>
      <c r="GL18" s="1947"/>
      <c r="GM18" s="2173"/>
      <c r="GN18" s="1948"/>
      <c r="GO18" s="1949"/>
      <c r="GP18" s="1947"/>
      <c r="GQ18" s="2173"/>
      <c r="GR18" s="1948"/>
      <c r="GS18" s="1949"/>
      <c r="GT18" s="1947"/>
      <c r="GU18" s="2173"/>
      <c r="GV18" s="1948"/>
      <c r="GW18" s="1949"/>
      <c r="GX18" s="1947"/>
      <c r="GY18" s="2173"/>
      <c r="GZ18" s="1948"/>
      <c r="HA18" s="1949"/>
      <c r="HB18" s="1947"/>
      <c r="HC18" s="2173"/>
      <c r="HD18" s="1948"/>
      <c r="HE18" s="1949"/>
      <c r="HF18" s="1947"/>
      <c r="HG18" s="2173"/>
      <c r="HH18" s="1948"/>
      <c r="HI18" s="1949"/>
      <c r="HJ18" s="1947"/>
      <c r="HK18" s="2173"/>
      <c r="HL18" s="1948"/>
      <c r="HM18" s="1949"/>
      <c r="HN18" s="1947"/>
      <c r="HO18" s="2173"/>
      <c r="HP18" s="1948"/>
      <c r="HQ18" s="1949"/>
      <c r="HR18" s="1947"/>
      <c r="HS18" s="2173"/>
      <c r="HT18" s="1948"/>
      <c r="HU18" s="1949"/>
      <c r="HV18" s="1947"/>
      <c r="HW18" s="2173"/>
      <c r="HX18" s="1948"/>
      <c r="HY18" s="1949"/>
      <c r="HZ18" s="1947"/>
      <c r="IA18" s="2173"/>
      <c r="IB18" s="1948"/>
      <c r="IC18" s="1949"/>
      <c r="ID18" s="1947"/>
      <c r="IE18" s="2173"/>
      <c r="IF18" s="1948"/>
      <c r="IG18" s="1949"/>
      <c r="IH18" s="1947"/>
      <c r="II18" s="2173"/>
      <c r="IJ18" s="1948"/>
      <c r="IK18" s="1949"/>
      <c r="IL18" s="1947"/>
      <c r="IM18" s="2173"/>
      <c r="IN18" s="1948"/>
      <c r="IO18" s="1949"/>
      <c r="IP18" s="1947"/>
      <c r="IQ18" s="2173"/>
      <c r="IR18" s="1948"/>
      <c r="IS18" s="1949"/>
      <c r="IT18" s="1947"/>
      <c r="IU18" s="2173"/>
      <c r="IV18" s="1948"/>
      <c r="IW18" s="1949"/>
      <c r="IX18" s="1947"/>
      <c r="IY18" s="2173"/>
      <c r="IZ18" s="1948"/>
      <c r="JA18" s="1949"/>
      <c r="JB18" s="1947"/>
      <c r="JC18" s="2173"/>
      <c r="JD18" s="1948"/>
      <c r="JE18" s="1949"/>
      <c r="JF18" s="1947"/>
      <c r="JG18" s="2173"/>
      <c r="JH18" s="1948"/>
      <c r="JI18" s="1949"/>
      <c r="JJ18" s="1947"/>
      <c r="JK18" s="2173"/>
      <c r="JL18" s="1948"/>
      <c r="JM18" s="1949"/>
      <c r="JN18" s="1947"/>
      <c r="JO18" s="2173"/>
      <c r="JP18" s="1948"/>
      <c r="JQ18" s="1949"/>
      <c r="JR18" s="1947"/>
      <c r="JS18" s="2173"/>
      <c r="JT18" s="1948"/>
      <c r="JU18" s="1949"/>
      <c r="JV18" s="1947"/>
      <c r="JW18" s="2173"/>
      <c r="JX18" s="1948"/>
      <c r="JY18" s="1949"/>
      <c r="JZ18" s="1947"/>
      <c r="KA18" s="2173"/>
      <c r="KB18" s="1948"/>
      <c r="KC18" s="1949"/>
      <c r="KD18" s="1947"/>
      <c r="KE18" s="2173"/>
      <c r="KF18" s="1948"/>
      <c r="KG18" s="1949"/>
      <c r="KH18" s="1947"/>
      <c r="KI18" s="2173"/>
      <c r="KJ18" s="1948"/>
      <c r="KK18" s="1949"/>
      <c r="KL18" s="1947"/>
      <c r="KM18" s="2173"/>
      <c r="KN18" s="1948"/>
      <c r="KO18" s="1949"/>
      <c r="KP18" s="1947"/>
      <c r="KQ18" s="2173"/>
      <c r="KR18" s="1948"/>
      <c r="KS18" s="1949"/>
      <c r="KT18" s="1947"/>
      <c r="KU18" s="2173"/>
      <c r="KV18" s="1948"/>
      <c r="KW18" s="1949"/>
      <c r="KX18" s="1947"/>
      <c r="KY18" s="2173"/>
      <c r="KZ18" s="1948"/>
      <c r="LA18" s="1949"/>
      <c r="LC18" s="521">
        <f xml:space="preserve"> IF( SUM( LE18:XC18 ) = 0, 0, $LG$3 )</f>
        <v>0</v>
      </c>
      <c r="LF18" s="1641">
        <f t="shared" si="0"/>
        <v>0</v>
      </c>
      <c r="LI18" s="98">
        <f t="shared" si="1"/>
        <v>0</v>
      </c>
      <c r="LM18" s="98">
        <f t="shared" si="2"/>
        <v>0</v>
      </c>
      <c r="LQ18" s="98">
        <f t="shared" si="3"/>
        <v>0</v>
      </c>
      <c r="LU18" s="98">
        <f t="shared" si="4"/>
        <v>0</v>
      </c>
      <c r="LY18" s="98">
        <f t="shared" si="5"/>
        <v>0</v>
      </c>
      <c r="MC18" s="98">
        <f t="shared" si="6"/>
        <v>0</v>
      </c>
      <c r="MG18" s="98">
        <f t="shared" si="7"/>
        <v>0</v>
      </c>
      <c r="MK18" s="98">
        <f t="shared" si="8"/>
        <v>0</v>
      </c>
      <c r="MO18" s="98">
        <f t="shared" si="9"/>
        <v>0</v>
      </c>
      <c r="MS18" s="98">
        <f t="shared" si="10"/>
        <v>0</v>
      </c>
      <c r="MW18" s="98">
        <f t="shared" si="11"/>
        <v>0</v>
      </c>
      <c r="NA18" s="98">
        <f t="shared" si="12"/>
        <v>0</v>
      </c>
      <c r="NE18" s="98">
        <f t="shared" si="13"/>
        <v>0</v>
      </c>
      <c r="NI18" s="98">
        <f t="shared" si="14"/>
        <v>0</v>
      </c>
      <c r="NM18" s="98">
        <f t="shared" si="15"/>
        <v>0</v>
      </c>
      <c r="NQ18" s="98">
        <f t="shared" si="16"/>
        <v>0</v>
      </c>
      <c r="NU18" s="98">
        <f t="shared" si="17"/>
        <v>0</v>
      </c>
      <c r="NY18" s="98">
        <f t="shared" si="18"/>
        <v>0</v>
      </c>
      <c r="OC18" s="98">
        <f t="shared" si="19"/>
        <v>0</v>
      </c>
      <c r="OG18" s="98">
        <f t="shared" si="20"/>
        <v>0</v>
      </c>
      <c r="OK18" s="98">
        <f t="shared" si="21"/>
        <v>0</v>
      </c>
      <c r="OO18" s="98">
        <f t="shared" si="22"/>
        <v>0</v>
      </c>
      <c r="OS18" s="98">
        <f t="shared" si="23"/>
        <v>0</v>
      </c>
      <c r="OW18" s="98">
        <f t="shared" si="24"/>
        <v>0</v>
      </c>
      <c r="PA18" s="98">
        <f t="shared" si="25"/>
        <v>0</v>
      </c>
      <c r="PE18" s="98">
        <f t="shared" si="26"/>
        <v>0</v>
      </c>
      <c r="PI18" s="98">
        <f t="shared" si="27"/>
        <v>0</v>
      </c>
      <c r="PM18" s="98">
        <f t="shared" si="28"/>
        <v>0</v>
      </c>
      <c r="PQ18" s="98">
        <f t="shared" si="29"/>
        <v>0</v>
      </c>
      <c r="PU18" s="98">
        <f t="shared" si="30"/>
        <v>0</v>
      </c>
      <c r="PY18" s="98">
        <f t="shared" si="31"/>
        <v>0</v>
      </c>
      <c r="QC18" s="98">
        <f t="shared" si="32"/>
        <v>0</v>
      </c>
      <c r="QG18" s="98">
        <f t="shared" si="33"/>
        <v>0</v>
      </c>
      <c r="QK18" s="98">
        <f t="shared" si="34"/>
        <v>0</v>
      </c>
      <c r="QO18" s="98">
        <f t="shared" si="35"/>
        <v>0</v>
      </c>
      <c r="QS18" s="98">
        <f t="shared" si="36"/>
        <v>0</v>
      </c>
      <c r="QW18" s="98">
        <f t="shared" si="37"/>
        <v>0</v>
      </c>
      <c r="RA18" s="98">
        <f t="shared" si="38"/>
        <v>0</v>
      </c>
      <c r="RE18" s="98">
        <f t="shared" si="39"/>
        <v>0</v>
      </c>
      <c r="RI18" s="98">
        <f t="shared" si="40"/>
        <v>0</v>
      </c>
      <c r="RM18" s="98">
        <f t="shared" si="41"/>
        <v>0</v>
      </c>
      <c r="RQ18" s="98">
        <f t="shared" si="42"/>
        <v>0</v>
      </c>
      <c r="RU18" s="98">
        <f t="shared" si="43"/>
        <v>0</v>
      </c>
      <c r="RY18" s="98">
        <f t="shared" si="44"/>
        <v>0</v>
      </c>
      <c r="SC18" s="98">
        <f t="shared" si="45"/>
        <v>0</v>
      </c>
      <c r="SG18" s="98">
        <f t="shared" si="46"/>
        <v>0</v>
      </c>
      <c r="SK18" s="98">
        <f t="shared" si="47"/>
        <v>0</v>
      </c>
      <c r="SO18" s="98">
        <f t="shared" si="48"/>
        <v>0</v>
      </c>
      <c r="SS18" s="98">
        <f t="shared" si="49"/>
        <v>0</v>
      </c>
      <c r="SW18" s="98">
        <f t="shared" si="50"/>
        <v>0</v>
      </c>
      <c r="TA18" s="98">
        <f t="shared" si="51"/>
        <v>0</v>
      </c>
      <c r="TE18" s="98">
        <f t="shared" si="52"/>
        <v>0</v>
      </c>
      <c r="TI18" s="98">
        <f t="shared" si="53"/>
        <v>0</v>
      </c>
      <c r="TM18" s="98">
        <f t="shared" si="54"/>
        <v>0</v>
      </c>
      <c r="TQ18" s="98">
        <f t="shared" si="55"/>
        <v>0</v>
      </c>
      <c r="TU18" s="98">
        <f t="shared" si="56"/>
        <v>0</v>
      </c>
      <c r="TY18" s="98">
        <f t="shared" si="57"/>
        <v>0</v>
      </c>
      <c r="UC18" s="98">
        <f t="shared" si="58"/>
        <v>0</v>
      </c>
      <c r="UG18" s="98">
        <f t="shared" si="59"/>
        <v>0</v>
      </c>
      <c r="UK18" s="98">
        <f t="shared" si="60"/>
        <v>0</v>
      </c>
      <c r="UO18" s="98">
        <f t="shared" si="61"/>
        <v>0</v>
      </c>
      <c r="US18" s="98">
        <f t="shared" si="62"/>
        <v>0</v>
      </c>
      <c r="UW18" s="98">
        <f t="shared" si="63"/>
        <v>0</v>
      </c>
      <c r="VA18" s="98">
        <f t="shared" si="64"/>
        <v>0</v>
      </c>
      <c r="VE18" s="98">
        <f t="shared" si="65"/>
        <v>0</v>
      </c>
      <c r="VI18" s="98">
        <f t="shared" si="66"/>
        <v>0</v>
      </c>
      <c r="VM18" s="98">
        <f t="shared" si="67"/>
        <v>0</v>
      </c>
      <c r="VQ18" s="98">
        <f t="shared" si="68"/>
        <v>0</v>
      </c>
      <c r="VU18" s="98">
        <f t="shared" si="69"/>
        <v>0</v>
      </c>
      <c r="VY18" s="98">
        <f t="shared" si="70"/>
        <v>0</v>
      </c>
      <c r="WC18" s="98">
        <f t="shared" si="71"/>
        <v>0</v>
      </c>
      <c r="WG18" s="98">
        <f t="shared" si="72"/>
        <v>0</v>
      </c>
      <c r="WK18" s="98">
        <f t="shared" si="73"/>
        <v>0</v>
      </c>
      <c r="WO18" s="98">
        <f t="shared" si="74"/>
        <v>0</v>
      </c>
      <c r="WS18" s="98">
        <f t="shared" si="75"/>
        <v>0</v>
      </c>
      <c r="WW18" s="98">
        <f t="shared" si="76"/>
        <v>0</v>
      </c>
      <c r="XA18" s="98">
        <f t="shared" si="77"/>
        <v>0</v>
      </c>
    </row>
    <row r="19" spans="2:625" ht="15" thickBot="1">
      <c r="B19" s="880">
        <v>4</v>
      </c>
      <c r="C19" s="1428"/>
      <c r="D19" s="870" t="s">
        <v>2731</v>
      </c>
      <c r="E19" s="872">
        <v>1</v>
      </c>
      <c r="F19" s="1950"/>
      <c r="G19" s="1950"/>
      <c r="H19" s="1951"/>
      <c r="I19" s="1952"/>
      <c r="J19" s="2172"/>
      <c r="K19" s="2174"/>
      <c r="L19" s="1954"/>
      <c r="M19" s="1955"/>
      <c r="N19" s="1953"/>
      <c r="O19" s="2174"/>
      <c r="P19" s="1954"/>
      <c r="Q19" s="1955"/>
      <c r="R19" s="1953"/>
      <c r="S19" s="2174"/>
      <c r="T19" s="1954"/>
      <c r="U19" s="1955"/>
      <c r="V19" s="1953"/>
      <c r="W19" s="2174"/>
      <c r="X19" s="1954"/>
      <c r="Y19" s="1955"/>
      <c r="Z19" s="1953"/>
      <c r="AA19" s="2174"/>
      <c r="AB19" s="1954"/>
      <c r="AC19" s="1955"/>
      <c r="AD19" s="1953"/>
      <c r="AE19" s="2174"/>
      <c r="AF19" s="1954"/>
      <c r="AG19" s="1955"/>
      <c r="AH19" s="1953"/>
      <c r="AI19" s="2174"/>
      <c r="AJ19" s="1954"/>
      <c r="AK19" s="1955"/>
      <c r="AL19" s="1953"/>
      <c r="AM19" s="2174"/>
      <c r="AN19" s="1954"/>
      <c r="AO19" s="1955"/>
      <c r="AP19" s="1953"/>
      <c r="AQ19" s="2174"/>
      <c r="AR19" s="1954"/>
      <c r="AS19" s="1955"/>
      <c r="AT19" s="1953"/>
      <c r="AU19" s="2174"/>
      <c r="AV19" s="1954"/>
      <c r="AW19" s="1955"/>
      <c r="AX19" s="1953"/>
      <c r="AY19" s="2174"/>
      <c r="AZ19" s="1954"/>
      <c r="BA19" s="1955"/>
      <c r="BB19" s="1953"/>
      <c r="BC19" s="2174"/>
      <c r="BD19" s="1954"/>
      <c r="BE19" s="1955"/>
      <c r="BF19" s="1953"/>
      <c r="BG19" s="2174"/>
      <c r="BH19" s="1954"/>
      <c r="BI19" s="1955"/>
      <c r="BJ19" s="1953"/>
      <c r="BK19" s="2174"/>
      <c r="BL19" s="1954"/>
      <c r="BM19" s="1955"/>
      <c r="BN19" s="1953"/>
      <c r="BO19" s="2174"/>
      <c r="BP19" s="1954"/>
      <c r="BQ19" s="1955"/>
      <c r="BR19" s="1953"/>
      <c r="BS19" s="2174"/>
      <c r="BT19" s="1954"/>
      <c r="BU19" s="1955"/>
      <c r="BV19" s="1953"/>
      <c r="BW19" s="2174"/>
      <c r="BX19" s="1954"/>
      <c r="BY19" s="1955"/>
      <c r="BZ19" s="1953"/>
      <c r="CA19" s="2174"/>
      <c r="CB19" s="1954"/>
      <c r="CC19" s="1955"/>
      <c r="CD19" s="1953"/>
      <c r="CE19" s="2174"/>
      <c r="CF19" s="1954"/>
      <c r="CG19" s="1955"/>
      <c r="CH19" s="1953"/>
      <c r="CI19" s="2174"/>
      <c r="CJ19" s="1954"/>
      <c r="CK19" s="1955"/>
      <c r="CL19" s="1953"/>
      <c r="CM19" s="2174"/>
      <c r="CN19" s="1954"/>
      <c r="CO19" s="1955"/>
      <c r="CP19" s="1953"/>
      <c r="CQ19" s="2174"/>
      <c r="CR19" s="1954"/>
      <c r="CS19" s="1955"/>
      <c r="CT19" s="1953"/>
      <c r="CU19" s="2174"/>
      <c r="CV19" s="1954"/>
      <c r="CW19" s="1955"/>
      <c r="CX19" s="1953"/>
      <c r="CY19" s="2174"/>
      <c r="CZ19" s="1954"/>
      <c r="DA19" s="1955"/>
      <c r="DB19" s="1953"/>
      <c r="DC19" s="2174"/>
      <c r="DD19" s="1954"/>
      <c r="DE19" s="1955"/>
      <c r="DF19" s="1953"/>
      <c r="DG19" s="2174"/>
      <c r="DH19" s="1954"/>
      <c r="DI19" s="1955"/>
      <c r="DJ19" s="1953"/>
      <c r="DK19" s="2174"/>
      <c r="DL19" s="1954"/>
      <c r="DM19" s="1955"/>
      <c r="DN19" s="1953"/>
      <c r="DO19" s="2174"/>
      <c r="DP19" s="1954"/>
      <c r="DQ19" s="1955"/>
      <c r="DR19" s="1953"/>
      <c r="DS19" s="2174"/>
      <c r="DT19" s="1954"/>
      <c r="DU19" s="1955"/>
      <c r="DV19" s="1953"/>
      <c r="DW19" s="2174"/>
      <c r="DX19" s="1954"/>
      <c r="DY19" s="1955"/>
      <c r="DZ19" s="1953"/>
      <c r="EA19" s="2174"/>
      <c r="EB19" s="1954"/>
      <c r="EC19" s="1955"/>
      <c r="ED19" s="1953"/>
      <c r="EE19" s="2174"/>
      <c r="EF19" s="1954"/>
      <c r="EG19" s="1955"/>
      <c r="EH19" s="1953"/>
      <c r="EI19" s="2174"/>
      <c r="EJ19" s="1954"/>
      <c r="EK19" s="1955"/>
      <c r="EL19" s="1953"/>
      <c r="EM19" s="2174"/>
      <c r="EN19" s="1954"/>
      <c r="EO19" s="1955"/>
      <c r="EP19" s="1953"/>
      <c r="EQ19" s="2174"/>
      <c r="ER19" s="1954"/>
      <c r="ES19" s="1955"/>
      <c r="ET19" s="1953"/>
      <c r="EU19" s="2174"/>
      <c r="EV19" s="1954"/>
      <c r="EW19" s="1955"/>
      <c r="EX19" s="1953"/>
      <c r="EY19" s="2174"/>
      <c r="EZ19" s="1954"/>
      <c r="FA19" s="1955"/>
      <c r="FB19" s="1953"/>
      <c r="FC19" s="2174"/>
      <c r="FD19" s="1954"/>
      <c r="FE19" s="1955"/>
      <c r="FF19" s="1953"/>
      <c r="FG19" s="2174"/>
      <c r="FH19" s="1954"/>
      <c r="FI19" s="1955"/>
      <c r="FJ19" s="1953"/>
      <c r="FK19" s="2174"/>
      <c r="FL19" s="1954"/>
      <c r="FM19" s="1955"/>
      <c r="FN19" s="1953"/>
      <c r="FO19" s="2174"/>
      <c r="FP19" s="1954"/>
      <c r="FQ19" s="1955"/>
      <c r="FR19" s="1953"/>
      <c r="FS19" s="2174"/>
      <c r="FT19" s="1954"/>
      <c r="FU19" s="1955"/>
      <c r="FV19" s="1953"/>
      <c r="FW19" s="2174"/>
      <c r="FX19" s="1954"/>
      <c r="FY19" s="1955"/>
      <c r="FZ19" s="1953"/>
      <c r="GA19" s="2174"/>
      <c r="GB19" s="1954"/>
      <c r="GC19" s="1955"/>
      <c r="GD19" s="1953"/>
      <c r="GE19" s="2174"/>
      <c r="GF19" s="1954"/>
      <c r="GG19" s="1955"/>
      <c r="GH19" s="1953"/>
      <c r="GI19" s="2174"/>
      <c r="GJ19" s="1954"/>
      <c r="GK19" s="1955"/>
      <c r="GL19" s="1953"/>
      <c r="GM19" s="2174"/>
      <c r="GN19" s="1954"/>
      <c r="GO19" s="1955"/>
      <c r="GP19" s="1953"/>
      <c r="GQ19" s="2174"/>
      <c r="GR19" s="1954"/>
      <c r="GS19" s="1955"/>
      <c r="GT19" s="1953"/>
      <c r="GU19" s="2174"/>
      <c r="GV19" s="1954"/>
      <c r="GW19" s="1955"/>
      <c r="GX19" s="1953"/>
      <c r="GY19" s="2174"/>
      <c r="GZ19" s="1954"/>
      <c r="HA19" s="1955"/>
      <c r="HB19" s="1953"/>
      <c r="HC19" s="2174"/>
      <c r="HD19" s="1954"/>
      <c r="HE19" s="1955"/>
      <c r="HF19" s="1953"/>
      <c r="HG19" s="2174"/>
      <c r="HH19" s="1954"/>
      <c r="HI19" s="1955"/>
      <c r="HJ19" s="1953"/>
      <c r="HK19" s="2174"/>
      <c r="HL19" s="1954"/>
      <c r="HM19" s="1955"/>
      <c r="HN19" s="1953"/>
      <c r="HO19" s="2174"/>
      <c r="HP19" s="1954"/>
      <c r="HQ19" s="1955"/>
      <c r="HR19" s="1953"/>
      <c r="HS19" s="2174"/>
      <c r="HT19" s="1954"/>
      <c r="HU19" s="1955"/>
      <c r="HV19" s="1953"/>
      <c r="HW19" s="2174"/>
      <c r="HX19" s="1954"/>
      <c r="HY19" s="1955"/>
      <c r="HZ19" s="1953"/>
      <c r="IA19" s="2174"/>
      <c r="IB19" s="1954"/>
      <c r="IC19" s="1955"/>
      <c r="ID19" s="1953"/>
      <c r="IE19" s="2174"/>
      <c r="IF19" s="1954"/>
      <c r="IG19" s="1955"/>
      <c r="IH19" s="1953"/>
      <c r="II19" s="2174"/>
      <c r="IJ19" s="1954"/>
      <c r="IK19" s="1955"/>
      <c r="IL19" s="1953"/>
      <c r="IM19" s="2174"/>
      <c r="IN19" s="1954"/>
      <c r="IO19" s="1955"/>
      <c r="IP19" s="1953"/>
      <c r="IQ19" s="2174"/>
      <c r="IR19" s="1954"/>
      <c r="IS19" s="1955"/>
      <c r="IT19" s="1953"/>
      <c r="IU19" s="2174"/>
      <c r="IV19" s="1954"/>
      <c r="IW19" s="1955"/>
      <c r="IX19" s="1953"/>
      <c r="IY19" s="2174"/>
      <c r="IZ19" s="1954"/>
      <c r="JA19" s="1955"/>
      <c r="JB19" s="1953"/>
      <c r="JC19" s="2174"/>
      <c r="JD19" s="1954"/>
      <c r="JE19" s="1955"/>
      <c r="JF19" s="1953"/>
      <c r="JG19" s="2174"/>
      <c r="JH19" s="1954"/>
      <c r="JI19" s="1955"/>
      <c r="JJ19" s="1953"/>
      <c r="JK19" s="2174"/>
      <c r="JL19" s="1954"/>
      <c r="JM19" s="1955"/>
      <c r="JN19" s="1953"/>
      <c r="JO19" s="2174"/>
      <c r="JP19" s="1954"/>
      <c r="JQ19" s="1955"/>
      <c r="JR19" s="1953"/>
      <c r="JS19" s="2174"/>
      <c r="JT19" s="1954"/>
      <c r="JU19" s="1955"/>
      <c r="JV19" s="1953"/>
      <c r="JW19" s="2174"/>
      <c r="JX19" s="1954"/>
      <c r="JY19" s="1955"/>
      <c r="JZ19" s="1953"/>
      <c r="KA19" s="2174"/>
      <c r="KB19" s="1954"/>
      <c r="KC19" s="1955"/>
      <c r="KD19" s="1953"/>
      <c r="KE19" s="2174"/>
      <c r="KF19" s="1954"/>
      <c r="KG19" s="1955"/>
      <c r="KH19" s="1953"/>
      <c r="KI19" s="2174"/>
      <c r="KJ19" s="1954"/>
      <c r="KK19" s="1955"/>
      <c r="KL19" s="1953"/>
      <c r="KM19" s="2174"/>
      <c r="KN19" s="1954"/>
      <c r="KO19" s="1955"/>
      <c r="KP19" s="1953"/>
      <c r="KQ19" s="2174"/>
      <c r="KR19" s="1954"/>
      <c r="KS19" s="1955"/>
      <c r="KT19" s="1953"/>
      <c r="KU19" s="2174"/>
      <c r="KV19" s="1954"/>
      <c r="KW19" s="1955"/>
      <c r="KX19" s="1953"/>
      <c r="KY19" s="2174"/>
      <c r="KZ19" s="1954"/>
      <c r="LA19" s="1955"/>
      <c r="LC19" s="521">
        <f xml:space="preserve"> IF( SUM( LE19:XC19 ) = 0, 0, $LG$3 )</f>
        <v>0</v>
      </c>
      <c r="LF19" s="1641">
        <f t="shared" si="0"/>
        <v>0</v>
      </c>
      <c r="LI19" s="98">
        <f t="shared" si="1"/>
        <v>0</v>
      </c>
      <c r="LM19" s="98">
        <f t="shared" si="2"/>
        <v>0</v>
      </c>
      <c r="LQ19" s="98">
        <f t="shared" si="3"/>
        <v>0</v>
      </c>
      <c r="LU19" s="98">
        <f t="shared" si="4"/>
        <v>0</v>
      </c>
      <c r="LY19" s="98">
        <f t="shared" si="5"/>
        <v>0</v>
      </c>
      <c r="MC19" s="98">
        <f t="shared" si="6"/>
        <v>0</v>
      </c>
      <c r="MG19" s="98">
        <f t="shared" si="7"/>
        <v>0</v>
      </c>
      <c r="MK19" s="98">
        <f t="shared" si="8"/>
        <v>0</v>
      </c>
      <c r="MO19" s="98">
        <f t="shared" si="9"/>
        <v>0</v>
      </c>
      <c r="MS19" s="98">
        <f t="shared" si="10"/>
        <v>0</v>
      </c>
      <c r="MW19" s="98">
        <f t="shared" si="11"/>
        <v>0</v>
      </c>
      <c r="NA19" s="98">
        <f t="shared" si="12"/>
        <v>0</v>
      </c>
      <c r="NE19" s="98">
        <f t="shared" si="13"/>
        <v>0</v>
      </c>
      <c r="NI19" s="98">
        <f t="shared" si="14"/>
        <v>0</v>
      </c>
      <c r="NM19" s="98">
        <f t="shared" si="15"/>
        <v>0</v>
      </c>
      <c r="NQ19" s="98">
        <f t="shared" si="16"/>
        <v>0</v>
      </c>
      <c r="NU19" s="98">
        <f t="shared" si="17"/>
        <v>0</v>
      </c>
      <c r="NY19" s="98">
        <f t="shared" si="18"/>
        <v>0</v>
      </c>
      <c r="OC19" s="98">
        <f t="shared" si="19"/>
        <v>0</v>
      </c>
      <c r="OG19" s="98">
        <f t="shared" si="20"/>
        <v>0</v>
      </c>
      <c r="OK19" s="98">
        <f t="shared" si="21"/>
        <v>0</v>
      </c>
      <c r="OO19" s="98">
        <f t="shared" si="22"/>
        <v>0</v>
      </c>
      <c r="OS19" s="98">
        <f t="shared" si="23"/>
        <v>0</v>
      </c>
      <c r="OW19" s="98">
        <f t="shared" si="24"/>
        <v>0</v>
      </c>
      <c r="PA19" s="98">
        <f t="shared" si="25"/>
        <v>0</v>
      </c>
      <c r="PE19" s="98">
        <f t="shared" si="26"/>
        <v>0</v>
      </c>
      <c r="PI19" s="98">
        <f t="shared" si="27"/>
        <v>0</v>
      </c>
      <c r="PM19" s="98">
        <f t="shared" si="28"/>
        <v>0</v>
      </c>
      <c r="PQ19" s="98">
        <f t="shared" si="29"/>
        <v>0</v>
      </c>
      <c r="PU19" s="98">
        <f t="shared" si="30"/>
        <v>0</v>
      </c>
      <c r="PY19" s="98">
        <f t="shared" si="31"/>
        <v>0</v>
      </c>
      <c r="QC19" s="98">
        <f t="shared" si="32"/>
        <v>0</v>
      </c>
      <c r="QG19" s="98">
        <f t="shared" si="33"/>
        <v>0</v>
      </c>
      <c r="QK19" s="98">
        <f t="shared" si="34"/>
        <v>0</v>
      </c>
      <c r="QO19" s="98">
        <f t="shared" si="35"/>
        <v>0</v>
      </c>
      <c r="QS19" s="98">
        <f t="shared" si="36"/>
        <v>0</v>
      </c>
      <c r="QW19" s="98">
        <f t="shared" si="37"/>
        <v>0</v>
      </c>
      <c r="RA19" s="98">
        <f t="shared" si="38"/>
        <v>0</v>
      </c>
      <c r="RE19" s="98">
        <f t="shared" si="39"/>
        <v>0</v>
      </c>
      <c r="RI19" s="98">
        <f t="shared" si="40"/>
        <v>0</v>
      </c>
      <c r="RM19" s="98">
        <f t="shared" si="41"/>
        <v>0</v>
      </c>
      <c r="RQ19" s="98">
        <f t="shared" si="42"/>
        <v>0</v>
      </c>
      <c r="RU19" s="98">
        <f t="shared" si="43"/>
        <v>0</v>
      </c>
      <c r="RY19" s="98">
        <f t="shared" si="44"/>
        <v>0</v>
      </c>
      <c r="SC19" s="98">
        <f t="shared" si="45"/>
        <v>0</v>
      </c>
      <c r="SG19" s="98">
        <f t="shared" si="46"/>
        <v>0</v>
      </c>
      <c r="SK19" s="98">
        <f t="shared" si="47"/>
        <v>0</v>
      </c>
      <c r="SO19" s="98">
        <f t="shared" si="48"/>
        <v>0</v>
      </c>
      <c r="SS19" s="98">
        <f t="shared" si="49"/>
        <v>0</v>
      </c>
      <c r="SW19" s="98">
        <f t="shared" si="50"/>
        <v>0</v>
      </c>
      <c r="TA19" s="98">
        <f t="shared" si="51"/>
        <v>0</v>
      </c>
      <c r="TE19" s="98">
        <f t="shared" si="52"/>
        <v>0</v>
      </c>
      <c r="TI19" s="98">
        <f t="shared" si="53"/>
        <v>0</v>
      </c>
      <c r="TM19" s="98">
        <f t="shared" si="54"/>
        <v>0</v>
      </c>
      <c r="TQ19" s="98">
        <f t="shared" si="55"/>
        <v>0</v>
      </c>
      <c r="TU19" s="98">
        <f t="shared" si="56"/>
        <v>0</v>
      </c>
      <c r="TY19" s="98">
        <f t="shared" si="57"/>
        <v>0</v>
      </c>
      <c r="UC19" s="98">
        <f t="shared" si="58"/>
        <v>0</v>
      </c>
      <c r="UG19" s="98">
        <f t="shared" si="59"/>
        <v>0</v>
      </c>
      <c r="UK19" s="98">
        <f t="shared" si="60"/>
        <v>0</v>
      </c>
      <c r="UO19" s="98">
        <f t="shared" si="61"/>
        <v>0</v>
      </c>
      <c r="US19" s="98">
        <f t="shared" si="62"/>
        <v>0</v>
      </c>
      <c r="UW19" s="98">
        <f t="shared" si="63"/>
        <v>0</v>
      </c>
      <c r="VA19" s="98">
        <f t="shared" si="64"/>
        <v>0</v>
      </c>
      <c r="VE19" s="98">
        <f t="shared" si="65"/>
        <v>0</v>
      </c>
      <c r="VI19" s="98">
        <f t="shared" si="66"/>
        <v>0</v>
      </c>
      <c r="VM19" s="98">
        <f t="shared" si="67"/>
        <v>0</v>
      </c>
      <c r="VQ19" s="98">
        <f t="shared" si="68"/>
        <v>0</v>
      </c>
      <c r="VU19" s="98">
        <f t="shared" si="69"/>
        <v>0</v>
      </c>
      <c r="VY19" s="98">
        <f t="shared" si="70"/>
        <v>0</v>
      </c>
      <c r="WC19" s="98">
        <f t="shared" si="71"/>
        <v>0</v>
      </c>
      <c r="WG19" s="98">
        <f t="shared" si="72"/>
        <v>0</v>
      </c>
      <c r="WK19" s="98">
        <f t="shared" si="73"/>
        <v>0</v>
      </c>
      <c r="WO19" s="98">
        <f t="shared" si="74"/>
        <v>0</v>
      </c>
      <c r="WS19" s="98">
        <f t="shared" si="75"/>
        <v>0</v>
      </c>
      <c r="WW19" s="98">
        <f t="shared" si="76"/>
        <v>0</v>
      </c>
      <c r="XA19" s="98">
        <f t="shared" si="77"/>
        <v>0</v>
      </c>
    </row>
    <row r="20" spans="2:625" ht="15" thickBot="1">
      <c r="J20" s="1956"/>
      <c r="K20" s="1956"/>
      <c r="L20" s="1956"/>
      <c r="M20" s="1956"/>
      <c r="N20" s="1956"/>
      <c r="O20" s="1956"/>
      <c r="P20" s="1956"/>
      <c r="Q20" s="1956"/>
      <c r="R20" s="1956"/>
      <c r="S20" s="1956"/>
      <c r="T20" s="1956"/>
      <c r="U20" s="1956"/>
      <c r="V20" s="1956"/>
      <c r="W20" s="1956"/>
      <c r="X20" s="1956"/>
      <c r="Y20" s="1956"/>
      <c r="Z20" s="1956"/>
      <c r="AA20" s="1956"/>
      <c r="AB20" s="1956"/>
      <c r="AC20" s="1956"/>
      <c r="AD20" s="1956"/>
      <c r="AE20" s="1956"/>
      <c r="AF20" s="1956"/>
      <c r="AG20" s="1956"/>
      <c r="AH20" s="1956"/>
      <c r="AI20" s="1956"/>
      <c r="AJ20" s="1956"/>
      <c r="AK20" s="1956"/>
      <c r="AL20" s="1956"/>
      <c r="AM20" s="1956"/>
      <c r="AN20" s="1956"/>
      <c r="AO20" s="1956"/>
      <c r="AP20" s="1956"/>
      <c r="AQ20" s="1956"/>
      <c r="AR20" s="1956"/>
      <c r="AS20" s="1956"/>
    </row>
    <row r="21" spans="2:625" ht="18.75" customHeight="1">
      <c r="J21" s="1933" t="s">
        <v>12115</v>
      </c>
      <c r="K21" s="1934"/>
      <c r="L21" s="1934"/>
      <c r="M21" s="1935"/>
      <c r="N21" s="1933" t="s">
        <v>12116</v>
      </c>
      <c r="O21" s="1934"/>
      <c r="P21" s="1934"/>
      <c r="Q21" s="1935"/>
      <c r="R21" s="1933" t="s">
        <v>12116</v>
      </c>
      <c r="S21" s="1934"/>
      <c r="T21" s="1934"/>
      <c r="U21" s="1935"/>
      <c r="V21" s="1933" t="s">
        <v>12116</v>
      </c>
      <c r="W21" s="1934"/>
      <c r="X21" s="1934"/>
      <c r="Y21" s="1935"/>
      <c r="Z21" s="1933" t="s">
        <v>12117</v>
      </c>
      <c r="AA21" s="1934"/>
      <c r="AB21" s="1934"/>
      <c r="AC21" s="1935"/>
      <c r="AD21" s="1933" t="s">
        <v>12117</v>
      </c>
      <c r="AE21" s="1934"/>
      <c r="AF21" s="1934"/>
      <c r="AG21" s="1935"/>
      <c r="AH21" s="1933" t="s">
        <v>12117</v>
      </c>
      <c r="AI21" s="1934"/>
      <c r="AJ21" s="1934"/>
      <c r="AK21" s="1935"/>
      <c r="AL21" s="1933" t="s">
        <v>12118</v>
      </c>
      <c r="AM21" s="1934"/>
      <c r="AN21" s="1934"/>
      <c r="AO21" s="1935"/>
      <c r="AP21" s="1933" t="s">
        <v>12119</v>
      </c>
      <c r="AQ21" s="1934"/>
      <c r="AR21" s="1934"/>
      <c r="AS21" s="1935"/>
      <c r="AT21" s="1933" t="s">
        <v>12120</v>
      </c>
      <c r="AU21" s="1934"/>
      <c r="AV21" s="1934"/>
      <c r="AW21" s="1935"/>
      <c r="AX21" s="1933" t="s">
        <v>12121</v>
      </c>
      <c r="AY21" s="1934"/>
      <c r="AZ21" s="1934"/>
      <c r="BA21" s="1935"/>
      <c r="BB21" s="1933" t="s">
        <v>12122</v>
      </c>
      <c r="BC21" s="1934"/>
      <c r="BD21" s="1934"/>
      <c r="BE21" s="1935"/>
      <c r="BF21" s="1933" t="s">
        <v>12123</v>
      </c>
      <c r="BG21" s="1934"/>
      <c r="BH21" s="1934"/>
      <c r="BI21" s="1935"/>
      <c r="CU21" s="86"/>
      <c r="CV21" s="86"/>
      <c r="CW21" s="86"/>
      <c r="CX21" s="86"/>
      <c r="CY21" s="86"/>
      <c r="CZ21" s="86"/>
      <c r="DA21" s="86"/>
      <c r="DB21" s="86"/>
      <c r="LK21" s="1933" t="s">
        <v>12115</v>
      </c>
      <c r="LL21" s="1934"/>
      <c r="LM21" s="1934"/>
      <c r="LN21" s="1935"/>
      <c r="LO21" s="1933" t="s">
        <v>12116</v>
      </c>
      <c r="LP21" s="1934"/>
      <c r="LQ21" s="1934"/>
      <c r="LR21" s="1935"/>
      <c r="LS21" s="1933" t="s">
        <v>12116</v>
      </c>
      <c r="LT21" s="1934"/>
      <c r="LU21" s="1934"/>
      <c r="LV21" s="1935"/>
      <c r="LW21" s="1933" t="s">
        <v>12116</v>
      </c>
      <c r="LX21" s="1934"/>
      <c r="LY21" s="1934"/>
      <c r="LZ21" s="1935"/>
      <c r="MA21" s="1933" t="s">
        <v>12117</v>
      </c>
      <c r="MB21" s="1934"/>
      <c r="MC21" s="1934"/>
      <c r="MD21" s="1935"/>
      <c r="ME21" s="1933" t="s">
        <v>12117</v>
      </c>
      <c r="MF21" s="1934"/>
      <c r="MG21" s="1934"/>
      <c r="MH21" s="1935"/>
      <c r="MI21" s="1933" t="s">
        <v>12117</v>
      </c>
      <c r="MJ21" s="1934"/>
      <c r="MK21" s="1934"/>
      <c r="ML21" s="1935"/>
      <c r="MM21" s="1933" t="s">
        <v>12118</v>
      </c>
      <c r="MN21" s="1934"/>
      <c r="MO21" s="1934"/>
      <c r="MP21" s="1935"/>
      <c r="MQ21" s="1933" t="s">
        <v>12119</v>
      </c>
      <c r="MR21" s="1934"/>
      <c r="MS21" s="1934"/>
      <c r="MT21" s="1935"/>
      <c r="MU21" s="1933" t="s">
        <v>12120</v>
      </c>
      <c r="MV21" s="1934"/>
      <c r="MW21" s="1934"/>
      <c r="MX21" s="1935"/>
      <c r="MY21" s="1933" t="s">
        <v>12121</v>
      </c>
      <c r="MZ21" s="1934"/>
      <c r="NA21" s="1934"/>
      <c r="NB21" s="1935"/>
      <c r="NC21" s="1933" t="s">
        <v>12122</v>
      </c>
      <c r="ND21" s="1934"/>
      <c r="NE21" s="1934"/>
      <c r="NF21" s="1935"/>
      <c r="NG21" s="1933" t="s">
        <v>12123</v>
      </c>
      <c r="NH21" s="1934"/>
      <c r="NI21" s="1934"/>
      <c r="NJ21" s="1935"/>
    </row>
    <row r="22" spans="2:625" ht="18.75" customHeight="1" thickBot="1">
      <c r="B22" s="876"/>
      <c r="C22" s="877"/>
      <c r="D22" s="864"/>
      <c r="E22" s="864"/>
      <c r="F22" s="864"/>
      <c r="G22" s="1957"/>
      <c r="H22" s="1957"/>
      <c r="I22" s="1957"/>
      <c r="J22" s="1958" t="s">
        <v>1135</v>
      </c>
      <c r="K22" s="1959"/>
      <c r="L22" s="1959"/>
      <c r="M22" s="1960"/>
      <c r="N22" s="1958" t="s">
        <v>12124</v>
      </c>
      <c r="O22" s="1959"/>
      <c r="P22" s="1959"/>
      <c r="Q22" s="1960"/>
      <c r="R22" s="1958" t="s">
        <v>12125</v>
      </c>
      <c r="S22" s="1959"/>
      <c r="T22" s="1959"/>
      <c r="U22" s="1960"/>
      <c r="V22" s="1958" t="s">
        <v>12126</v>
      </c>
      <c r="W22" s="1959"/>
      <c r="X22" s="1959"/>
      <c r="Y22" s="1960"/>
      <c r="Z22" s="1958" t="s">
        <v>12127</v>
      </c>
      <c r="AA22" s="1959"/>
      <c r="AB22" s="1959"/>
      <c r="AC22" s="1960"/>
      <c r="AD22" s="1958" t="s">
        <v>12128</v>
      </c>
      <c r="AE22" s="1959"/>
      <c r="AF22" s="1959"/>
      <c r="AG22" s="1960"/>
      <c r="AH22" s="1958" t="s">
        <v>12129</v>
      </c>
      <c r="AI22" s="1959"/>
      <c r="AJ22" s="1959"/>
      <c r="AK22" s="1960"/>
      <c r="AL22" s="1958" t="s">
        <v>11971</v>
      </c>
      <c r="AM22" s="1959"/>
      <c r="AN22" s="1959"/>
      <c r="AO22" s="1960"/>
      <c r="AP22" s="1958" t="s">
        <v>1116</v>
      </c>
      <c r="AQ22" s="1959"/>
      <c r="AR22" s="1959"/>
      <c r="AS22" s="1960"/>
      <c r="AT22" s="1958" t="s">
        <v>11988</v>
      </c>
      <c r="AU22" s="1959"/>
      <c r="AV22" s="1959"/>
      <c r="AW22" s="1960"/>
      <c r="AX22" s="1958" t="s">
        <v>11996</v>
      </c>
      <c r="AY22" s="1959"/>
      <c r="AZ22" s="1959"/>
      <c r="BA22" s="1960"/>
      <c r="BB22" s="1958" t="s">
        <v>11999</v>
      </c>
      <c r="BC22" s="1959"/>
      <c r="BD22" s="1959"/>
      <c r="BE22" s="1960"/>
      <c r="BF22" s="1958" t="s">
        <v>12001</v>
      </c>
      <c r="BG22" s="1959"/>
      <c r="BH22" s="1959"/>
      <c r="BI22" s="1960"/>
      <c r="CU22" s="86"/>
      <c r="CV22" s="86"/>
      <c r="CW22" s="86"/>
      <c r="CX22" s="86"/>
      <c r="CY22" s="86"/>
      <c r="CZ22" s="86"/>
      <c r="DA22" s="86"/>
      <c r="DB22" s="86"/>
      <c r="LG22" s="864"/>
      <c r="LH22" s="1957"/>
      <c r="LI22" s="1957"/>
      <c r="LJ22" s="1957"/>
      <c r="LK22" s="1958" t="s">
        <v>1135</v>
      </c>
      <c r="LL22" s="1959"/>
      <c r="LM22" s="1959"/>
      <c r="LN22" s="1960"/>
      <c r="LO22" s="1958" t="s">
        <v>12124</v>
      </c>
      <c r="LP22" s="1959"/>
      <c r="LQ22" s="1959"/>
      <c r="LR22" s="1960"/>
      <c r="LS22" s="1958" t="s">
        <v>12125</v>
      </c>
      <c r="LT22" s="1959"/>
      <c r="LU22" s="1959"/>
      <c r="LV22" s="1960"/>
      <c r="LW22" s="1958" t="s">
        <v>12126</v>
      </c>
      <c r="LX22" s="1959"/>
      <c r="LY22" s="1959"/>
      <c r="LZ22" s="1960"/>
      <c r="MA22" s="1958" t="s">
        <v>12127</v>
      </c>
      <c r="MB22" s="1959"/>
      <c r="MC22" s="1959"/>
      <c r="MD22" s="1960"/>
      <c r="ME22" s="1958" t="s">
        <v>12128</v>
      </c>
      <c r="MF22" s="1959"/>
      <c r="MG22" s="1959"/>
      <c r="MH22" s="1960"/>
      <c r="MI22" s="1958" t="s">
        <v>12129</v>
      </c>
      <c r="MJ22" s="1959"/>
      <c r="MK22" s="1959"/>
      <c r="ML22" s="1960"/>
      <c r="MM22" s="1958" t="s">
        <v>11971</v>
      </c>
      <c r="MN22" s="1959"/>
      <c r="MO22" s="1959"/>
      <c r="MP22" s="1960"/>
      <c r="MQ22" s="1958" t="s">
        <v>1116</v>
      </c>
      <c r="MR22" s="1959"/>
      <c r="MS22" s="1959"/>
      <c r="MT22" s="1960"/>
      <c r="MU22" s="1958" t="s">
        <v>11988</v>
      </c>
      <c r="MV22" s="1959"/>
      <c r="MW22" s="1959"/>
      <c r="MX22" s="1960"/>
      <c r="MY22" s="1958" t="s">
        <v>11996</v>
      </c>
      <c r="MZ22" s="1959"/>
      <c r="NA22" s="1959"/>
      <c r="NB22" s="1960"/>
      <c r="NC22" s="1958" t="s">
        <v>11999</v>
      </c>
      <c r="ND22" s="1959"/>
      <c r="NE22" s="1959"/>
      <c r="NF22" s="1960"/>
      <c r="NG22" s="1958" t="s">
        <v>12001</v>
      </c>
      <c r="NH22" s="1959"/>
      <c r="NI22" s="1959"/>
      <c r="NJ22" s="1960"/>
    </row>
    <row r="23" spans="2:625" ht="15" customHeight="1">
      <c r="B23" s="878" t="s">
        <v>2458</v>
      </c>
      <c r="C23" s="879" t="s">
        <v>86</v>
      </c>
      <c r="D23" s="865" t="str">
        <f t="shared" ref="D23:I23" si="78">D15</f>
        <v>Units</v>
      </c>
      <c r="E23" s="865" t="str">
        <f t="shared" si="78"/>
        <v>DPs</v>
      </c>
      <c r="F23" s="865" t="str">
        <f t="shared" si="78"/>
        <v>2016-17</v>
      </c>
      <c r="G23" s="865" t="str">
        <f t="shared" si="78"/>
        <v>2017-18</v>
      </c>
      <c r="H23" s="865" t="str">
        <f t="shared" si="78"/>
        <v>2018-19</v>
      </c>
      <c r="I23" s="866" t="str">
        <f t="shared" si="78"/>
        <v>2019-20</v>
      </c>
      <c r="J23" s="1854" t="str">
        <f>$J$15</f>
        <v>2016-17</v>
      </c>
      <c r="K23" s="1855" t="str">
        <f>$K$15</f>
        <v>2017-18</v>
      </c>
      <c r="L23" s="1855" t="str">
        <f>$L$15</f>
        <v>2018-19</v>
      </c>
      <c r="M23" s="1856" t="str">
        <f>$M$15</f>
        <v>2019-20</v>
      </c>
      <c r="N23" s="1854" t="str">
        <f>$J$15</f>
        <v>2016-17</v>
      </c>
      <c r="O23" s="1855" t="str">
        <f>$K$15</f>
        <v>2017-18</v>
      </c>
      <c r="P23" s="1855" t="str">
        <f>$L$15</f>
        <v>2018-19</v>
      </c>
      <c r="Q23" s="1856" t="str">
        <f>$M$15</f>
        <v>2019-20</v>
      </c>
      <c r="R23" s="1854" t="str">
        <f>$J$15</f>
        <v>2016-17</v>
      </c>
      <c r="S23" s="1855" t="str">
        <f>$K$15</f>
        <v>2017-18</v>
      </c>
      <c r="T23" s="1855" t="str">
        <f>$L$15</f>
        <v>2018-19</v>
      </c>
      <c r="U23" s="1856" t="str">
        <f>$M$15</f>
        <v>2019-20</v>
      </c>
      <c r="V23" s="1854" t="str">
        <f>$J$15</f>
        <v>2016-17</v>
      </c>
      <c r="W23" s="1855" t="str">
        <f>$K$15</f>
        <v>2017-18</v>
      </c>
      <c r="X23" s="1855" t="str">
        <f>$L$15</f>
        <v>2018-19</v>
      </c>
      <c r="Y23" s="1856" t="str">
        <f>$M$15</f>
        <v>2019-20</v>
      </c>
      <c r="Z23" s="1854" t="str">
        <f>$J$15</f>
        <v>2016-17</v>
      </c>
      <c r="AA23" s="1855" t="str">
        <f>$K$15</f>
        <v>2017-18</v>
      </c>
      <c r="AB23" s="1855" t="str">
        <f>$L$15</f>
        <v>2018-19</v>
      </c>
      <c r="AC23" s="1856" t="str">
        <f>$M$15</f>
        <v>2019-20</v>
      </c>
      <c r="AD23" s="1854" t="str">
        <f>$J$15</f>
        <v>2016-17</v>
      </c>
      <c r="AE23" s="1855" t="str">
        <f>$K$15</f>
        <v>2017-18</v>
      </c>
      <c r="AF23" s="1855" t="str">
        <f>$L$15</f>
        <v>2018-19</v>
      </c>
      <c r="AG23" s="1856" t="str">
        <f>$M$15</f>
        <v>2019-20</v>
      </c>
      <c r="AH23" s="1854" t="str">
        <f>$J$15</f>
        <v>2016-17</v>
      </c>
      <c r="AI23" s="1855" t="str">
        <f>$K$15</f>
        <v>2017-18</v>
      </c>
      <c r="AJ23" s="1855" t="str">
        <f>$L$15</f>
        <v>2018-19</v>
      </c>
      <c r="AK23" s="1856" t="str">
        <f>$M$15</f>
        <v>2019-20</v>
      </c>
      <c r="AL23" s="1854" t="str">
        <f>$J$15</f>
        <v>2016-17</v>
      </c>
      <c r="AM23" s="1855" t="str">
        <f>$K$15</f>
        <v>2017-18</v>
      </c>
      <c r="AN23" s="1855" t="str">
        <f>$L$15</f>
        <v>2018-19</v>
      </c>
      <c r="AO23" s="1856" t="str">
        <f>$M$15</f>
        <v>2019-20</v>
      </c>
      <c r="AP23" s="1854" t="str">
        <f>$J$15</f>
        <v>2016-17</v>
      </c>
      <c r="AQ23" s="1855" t="str">
        <f>$K$15</f>
        <v>2017-18</v>
      </c>
      <c r="AR23" s="1855" t="str">
        <f>$L$15</f>
        <v>2018-19</v>
      </c>
      <c r="AS23" s="1856" t="str">
        <f>$M$15</f>
        <v>2019-20</v>
      </c>
      <c r="AT23" s="1854" t="str">
        <f>$J$15</f>
        <v>2016-17</v>
      </c>
      <c r="AU23" s="1855" t="str">
        <f>$K$15</f>
        <v>2017-18</v>
      </c>
      <c r="AV23" s="1855" t="str">
        <f>$L$15</f>
        <v>2018-19</v>
      </c>
      <c r="AW23" s="1856" t="str">
        <f>$M$15</f>
        <v>2019-20</v>
      </c>
      <c r="AX23" s="1854" t="str">
        <f>$J$15</f>
        <v>2016-17</v>
      </c>
      <c r="AY23" s="1855" t="str">
        <f>$K$15</f>
        <v>2017-18</v>
      </c>
      <c r="AZ23" s="1855" t="str">
        <f>$L$15</f>
        <v>2018-19</v>
      </c>
      <c r="BA23" s="1856" t="str">
        <f>$M$15</f>
        <v>2019-20</v>
      </c>
      <c r="BB23" s="1854" t="str">
        <f>$J$15</f>
        <v>2016-17</v>
      </c>
      <c r="BC23" s="1855" t="str">
        <f>$K$15</f>
        <v>2017-18</v>
      </c>
      <c r="BD23" s="1855" t="str">
        <f>$L$15</f>
        <v>2018-19</v>
      </c>
      <c r="BE23" s="1856" t="str">
        <f>$M$15</f>
        <v>2019-20</v>
      </c>
      <c r="BF23" s="1854" t="str">
        <f>$J$15</f>
        <v>2016-17</v>
      </c>
      <c r="BG23" s="1855" t="str">
        <f>$K$15</f>
        <v>2017-18</v>
      </c>
      <c r="BH23" s="1855" t="str">
        <f>$L$15</f>
        <v>2018-19</v>
      </c>
      <c r="BI23" s="1856" t="str">
        <f>$M$15</f>
        <v>2019-20</v>
      </c>
      <c r="CU23" s="86"/>
      <c r="CV23" s="86"/>
      <c r="CW23" s="86"/>
      <c r="CX23" s="86"/>
      <c r="CY23" s="86"/>
      <c r="CZ23" s="86"/>
      <c r="DA23" s="86"/>
      <c r="DB23" s="86"/>
      <c r="LF23" s="879" t="s">
        <v>86</v>
      </c>
      <c r="LG23" s="865" t="str">
        <f t="shared" ref="LG23:LJ23" si="79">LG15</f>
        <v>2016-17</v>
      </c>
      <c r="LH23" s="865" t="str">
        <f t="shared" si="79"/>
        <v>2017-18</v>
      </c>
      <c r="LI23" s="865" t="str">
        <f t="shared" si="79"/>
        <v>2018-19</v>
      </c>
      <c r="LJ23" s="866" t="str">
        <f t="shared" si="79"/>
        <v>2019-20</v>
      </c>
      <c r="LK23" s="1854" t="str">
        <f>$J$15</f>
        <v>2016-17</v>
      </c>
      <c r="LL23" s="1855" t="str">
        <f>$K$15</f>
        <v>2017-18</v>
      </c>
      <c r="LM23" s="1855" t="str">
        <f>$L$15</f>
        <v>2018-19</v>
      </c>
      <c r="LN23" s="1856" t="str">
        <f>$M$15</f>
        <v>2019-20</v>
      </c>
      <c r="LO23" s="1854" t="str">
        <f>$J$15</f>
        <v>2016-17</v>
      </c>
      <c r="LP23" s="1855" t="str">
        <f>$K$15</f>
        <v>2017-18</v>
      </c>
      <c r="LQ23" s="1855" t="str">
        <f>$L$15</f>
        <v>2018-19</v>
      </c>
      <c r="LR23" s="1856" t="str">
        <f>$M$15</f>
        <v>2019-20</v>
      </c>
      <c r="LS23" s="1854" t="str">
        <f>$J$15</f>
        <v>2016-17</v>
      </c>
      <c r="LT23" s="1855" t="str">
        <f>$K$15</f>
        <v>2017-18</v>
      </c>
      <c r="LU23" s="1855" t="str">
        <f>$L$15</f>
        <v>2018-19</v>
      </c>
      <c r="LV23" s="1856" t="str">
        <f>$M$15</f>
        <v>2019-20</v>
      </c>
      <c r="LW23" s="1854" t="str">
        <f>$J$15</f>
        <v>2016-17</v>
      </c>
      <c r="LX23" s="1855" t="str">
        <f>$K$15</f>
        <v>2017-18</v>
      </c>
      <c r="LY23" s="1855" t="str">
        <f>$L$15</f>
        <v>2018-19</v>
      </c>
      <c r="LZ23" s="1856" t="str">
        <f>$M$15</f>
        <v>2019-20</v>
      </c>
      <c r="MA23" s="1854" t="str">
        <f>$J$15</f>
        <v>2016-17</v>
      </c>
      <c r="MB23" s="1855" t="str">
        <f>$K$15</f>
        <v>2017-18</v>
      </c>
      <c r="MC23" s="1855" t="str">
        <f>$L$15</f>
        <v>2018-19</v>
      </c>
      <c r="MD23" s="1856" t="str">
        <f>$M$15</f>
        <v>2019-20</v>
      </c>
      <c r="ME23" s="1854" t="str">
        <f>$J$15</f>
        <v>2016-17</v>
      </c>
      <c r="MF23" s="1855" t="str">
        <f>$K$15</f>
        <v>2017-18</v>
      </c>
      <c r="MG23" s="1855" t="str">
        <f>$L$15</f>
        <v>2018-19</v>
      </c>
      <c r="MH23" s="1856" t="str">
        <f>$M$15</f>
        <v>2019-20</v>
      </c>
      <c r="MI23" s="1854" t="str">
        <f>$J$15</f>
        <v>2016-17</v>
      </c>
      <c r="MJ23" s="1855" t="str">
        <f>$K$15</f>
        <v>2017-18</v>
      </c>
      <c r="MK23" s="1855" t="str">
        <f>$L$15</f>
        <v>2018-19</v>
      </c>
      <c r="ML23" s="1856" t="str">
        <f>$M$15</f>
        <v>2019-20</v>
      </c>
      <c r="MM23" s="1854" t="str">
        <f>$J$15</f>
        <v>2016-17</v>
      </c>
      <c r="MN23" s="1855" t="str">
        <f>$K$15</f>
        <v>2017-18</v>
      </c>
      <c r="MO23" s="1855" t="str">
        <f>$L$15</f>
        <v>2018-19</v>
      </c>
      <c r="MP23" s="1856" t="str">
        <f>$M$15</f>
        <v>2019-20</v>
      </c>
      <c r="MQ23" s="1854" t="str">
        <f>$J$15</f>
        <v>2016-17</v>
      </c>
      <c r="MR23" s="1855" t="str">
        <f>$K$15</f>
        <v>2017-18</v>
      </c>
      <c r="MS23" s="1855" t="str">
        <f>$L$15</f>
        <v>2018-19</v>
      </c>
      <c r="MT23" s="1856" t="str">
        <f>$M$15</f>
        <v>2019-20</v>
      </c>
      <c r="MU23" s="1854" t="str">
        <f>$J$15</f>
        <v>2016-17</v>
      </c>
      <c r="MV23" s="1855" t="str">
        <f>$K$15</f>
        <v>2017-18</v>
      </c>
      <c r="MW23" s="1855" t="str">
        <f>$L$15</f>
        <v>2018-19</v>
      </c>
      <c r="MX23" s="1856" t="str">
        <f>$M$15</f>
        <v>2019-20</v>
      </c>
      <c r="MY23" s="1854" t="str">
        <f>$J$15</f>
        <v>2016-17</v>
      </c>
      <c r="MZ23" s="1855" t="str">
        <f>$K$15</f>
        <v>2017-18</v>
      </c>
      <c r="NA23" s="1855" t="str">
        <f>$L$15</f>
        <v>2018-19</v>
      </c>
      <c r="NB23" s="1856" t="str">
        <f>$M$15</f>
        <v>2019-20</v>
      </c>
      <c r="NC23" s="1854" t="str">
        <f>$J$15</f>
        <v>2016-17</v>
      </c>
      <c r="ND23" s="1855" t="str">
        <f>$K$15</f>
        <v>2017-18</v>
      </c>
      <c r="NE23" s="1855" t="str">
        <f>$L$15</f>
        <v>2018-19</v>
      </c>
      <c r="NF23" s="1856" t="str">
        <f>$M$15</f>
        <v>2019-20</v>
      </c>
      <c r="NG23" s="1854" t="str">
        <f>$J$15</f>
        <v>2016-17</v>
      </c>
      <c r="NH23" s="1855" t="str">
        <f>$K$15</f>
        <v>2017-18</v>
      </c>
      <c r="NI23" s="1855" t="str">
        <f>$L$15</f>
        <v>2018-19</v>
      </c>
      <c r="NJ23" s="1856" t="str">
        <f>$M$15</f>
        <v>2019-20</v>
      </c>
    </row>
    <row r="24" spans="2:625" ht="30" customHeight="1" thickBot="1">
      <c r="B24" s="880">
        <v>5</v>
      </c>
      <c r="C24" s="881" t="s">
        <v>3930</v>
      </c>
      <c r="D24" s="868" t="s">
        <v>3931</v>
      </c>
      <c r="E24" s="882" t="s">
        <v>2148</v>
      </c>
      <c r="F24" s="1961"/>
      <c r="G24" s="3184">
        <f>'[1]3S'!G24</f>
        <v>1.4866666666666667E-2</v>
      </c>
      <c r="H24" s="3185">
        <f>'[1]3S'!H24</f>
        <v>6.2499999999999995E-3</v>
      </c>
      <c r="I24" s="1962"/>
      <c r="J24" s="1953"/>
      <c r="K24" s="1944" t="str">
        <f>'[1]3S'!K24</f>
        <v>Green</v>
      </c>
      <c r="L24" s="1945" t="str">
        <f>'[1]3S'!L24</f>
        <v>Green</v>
      </c>
      <c r="M24" s="1955"/>
      <c r="N24" s="1953"/>
      <c r="O24" s="1944" t="str">
        <f>'[1]3S'!O24</f>
        <v>Green</v>
      </c>
      <c r="P24" s="1945" t="str">
        <f>'[1]3S'!P24</f>
        <v>Green</v>
      </c>
      <c r="Q24" s="1955"/>
      <c r="R24" s="1953"/>
      <c r="S24" s="1944" t="str">
        <f>'[1]3S'!S24</f>
        <v>Green</v>
      </c>
      <c r="T24" s="1945" t="str">
        <f>'[1]3S'!T24</f>
        <v>Green</v>
      </c>
      <c r="U24" s="1955"/>
      <c r="V24" s="1953"/>
      <c r="W24" s="1944" t="str">
        <f>'[1]3S'!W24</f>
        <v>Red</v>
      </c>
      <c r="X24" s="1945" t="str">
        <f>'[1]3S'!X24</f>
        <v>Green</v>
      </c>
      <c r="Y24" s="1955"/>
      <c r="Z24" s="1953"/>
      <c r="AA24" s="1944" t="str">
        <f>'[1]3S'!AA24</f>
        <v>Green</v>
      </c>
      <c r="AB24" s="1945" t="str">
        <f>'[1]3S'!AB24</f>
        <v>Green</v>
      </c>
      <c r="AC24" s="1955"/>
      <c r="AD24" s="1953"/>
      <c r="AE24" s="1944" t="str">
        <f>'[1]3S'!AE24</f>
        <v>Green</v>
      </c>
      <c r="AF24" s="1945" t="str">
        <f>'[1]3S'!AF24</f>
        <v>Green</v>
      </c>
      <c r="AG24" s="1955"/>
      <c r="AH24" s="1953"/>
      <c r="AI24" s="1944" t="str">
        <f>'[1]3S'!AI24</f>
        <v>Red</v>
      </c>
      <c r="AJ24" s="1945" t="str">
        <f>'[1]3S'!AJ24</f>
        <v>Green</v>
      </c>
      <c r="AK24" s="1955"/>
      <c r="AL24" s="1953"/>
      <c r="AM24" s="1944" t="str">
        <f>'[1]3S'!AM24</f>
        <v>Green</v>
      </c>
      <c r="AN24" s="1945" t="str">
        <f>'[1]3S'!AN24</f>
        <v>Green</v>
      </c>
      <c r="AO24" s="1955"/>
      <c r="AP24" s="1953"/>
      <c r="AQ24" s="1944" t="str">
        <f>'[1]3S'!AQ24</f>
        <v>Green</v>
      </c>
      <c r="AR24" s="1945" t="str">
        <f>'[1]3S'!AR24</f>
        <v>Green</v>
      </c>
      <c r="AS24" s="1955"/>
      <c r="AT24" s="1953"/>
      <c r="AU24" s="1944" t="str">
        <f>'[1]3S'!AU24</f>
        <v>Green</v>
      </c>
      <c r="AV24" s="1945" t="str">
        <f>'[1]3S'!AV24</f>
        <v>Green</v>
      </c>
      <c r="AW24" s="1955"/>
      <c r="AX24" s="1953"/>
      <c r="AY24" s="1944" t="str">
        <f>'[1]3S'!AY24</f>
        <v>Green</v>
      </c>
      <c r="AZ24" s="1945" t="str">
        <f>'[1]3S'!AZ24</f>
        <v>Green</v>
      </c>
      <c r="BA24" s="1955"/>
      <c r="BB24" s="1953"/>
      <c r="BC24" s="1944" t="str">
        <f>'[1]3S'!BC24</f>
        <v>Green</v>
      </c>
      <c r="BD24" s="1945" t="str">
        <f>'[1]3S'!BD24</f>
        <v>Green</v>
      </c>
      <c r="BE24" s="1955"/>
      <c r="BF24" s="1953"/>
      <c r="BG24" s="1944" t="str">
        <f>'[1]3S'!BG24</f>
        <v>Green</v>
      </c>
      <c r="BH24" s="1945" t="str">
        <f>'[1]3S'!BH24</f>
        <v>Green</v>
      </c>
      <c r="BI24" s="1955"/>
      <c r="CU24" s="86"/>
      <c r="CV24" s="86"/>
      <c r="CW24" s="86"/>
      <c r="CX24" s="86"/>
      <c r="CY24" s="86"/>
      <c r="CZ24" s="86"/>
      <c r="DA24" s="86"/>
      <c r="DB24" s="86"/>
      <c r="LC24" s="521">
        <f xml:space="preserve"> IF( SUM( LE24:XC24 ) = 0, 0, $LG$3 )</f>
        <v>0</v>
      </c>
      <c r="LF24" s="1641">
        <f>SUM(LG24:XC24)</f>
        <v>0</v>
      </c>
      <c r="LI24" s="98">
        <f>IF(ISNUMBER(H24),0,1)</f>
        <v>0</v>
      </c>
      <c r="LM24" s="98">
        <f>IF(ISBLANK(L24),1,0)</f>
        <v>0</v>
      </c>
      <c r="LQ24" s="98">
        <f>IF(ISBLANK(P24),1,0)</f>
        <v>0</v>
      </c>
      <c r="LU24" s="98">
        <f>IF(ISBLANK(T24),1,0)</f>
        <v>0</v>
      </c>
      <c r="LY24" s="98">
        <f>IF(ISBLANK(X24),1,0)</f>
        <v>0</v>
      </c>
      <c r="MC24" s="98">
        <f>IF(ISBLANK(AB24),1,0)</f>
        <v>0</v>
      </c>
      <c r="MG24" s="98">
        <f>IF(ISBLANK(AF24),1,0)</f>
        <v>0</v>
      </c>
      <c r="MK24" s="98">
        <f>IF(ISBLANK(AJ24),1,0)</f>
        <v>0</v>
      </c>
      <c r="MO24" s="98">
        <f>IF(ISBLANK(AN24),1,0)</f>
        <v>0</v>
      </c>
      <c r="MS24" s="98">
        <f>IF(ISBLANK(AR24),1,0)</f>
        <v>0</v>
      </c>
      <c r="MW24" s="98">
        <f>IF(ISBLANK(AV24),1,0)</f>
        <v>0</v>
      </c>
      <c r="NA24" s="98">
        <f>IF(ISBLANK(AZ24),1,0)</f>
        <v>0</v>
      </c>
      <c r="NE24" s="98">
        <f>IF(ISBLANK(BD24),1,0)</f>
        <v>0</v>
      </c>
      <c r="NI24" s="98">
        <f>IF(ISBLANK(BH24),1,0)</f>
        <v>0</v>
      </c>
    </row>
    <row r="25" spans="2:625" ht="15.75" customHeight="1" thickBot="1">
      <c r="J25" s="1956"/>
      <c r="K25" s="1956"/>
      <c r="L25" s="1956"/>
      <c r="M25" s="1956"/>
      <c r="N25" s="1956"/>
      <c r="O25" s="1956"/>
      <c r="P25" s="1956"/>
      <c r="Q25" s="1956"/>
      <c r="R25" s="1956"/>
      <c r="S25" s="1956"/>
      <c r="T25" s="1956"/>
      <c r="U25" s="1956"/>
      <c r="V25" s="1956"/>
      <c r="W25" s="1956"/>
      <c r="X25" s="1956"/>
      <c r="Y25" s="1956"/>
      <c r="Z25" s="1956"/>
      <c r="AA25" s="1956"/>
      <c r="AB25" s="1956"/>
      <c r="AC25" s="1956"/>
      <c r="AD25" s="1956"/>
      <c r="AE25" s="1956"/>
      <c r="AF25" s="1956"/>
      <c r="AG25" s="1956"/>
      <c r="AH25" s="1956"/>
      <c r="AI25" s="1956"/>
      <c r="AJ25" s="1956"/>
      <c r="AK25" s="1956"/>
      <c r="AL25" s="1956"/>
      <c r="AM25" s="1956"/>
      <c r="AN25" s="1956"/>
      <c r="AO25" s="1956"/>
      <c r="AP25" s="1956"/>
      <c r="AQ25" s="1956"/>
      <c r="AR25" s="1956"/>
      <c r="AS25" s="1956"/>
      <c r="CU25" s="86"/>
      <c r="CV25" s="86"/>
      <c r="CW25" s="86"/>
      <c r="CX25" s="86"/>
      <c r="CY25" s="86"/>
      <c r="CZ25" s="86"/>
      <c r="DA25" s="86"/>
      <c r="DB25" s="86"/>
    </row>
    <row r="26" spans="2:625" ht="18.75" customHeight="1">
      <c r="J26" s="1933" t="s">
        <v>12130</v>
      </c>
      <c r="K26" s="1934"/>
      <c r="L26" s="1934"/>
      <c r="M26" s="1935"/>
      <c r="N26" s="1933" t="s">
        <v>12131</v>
      </c>
      <c r="O26" s="1934"/>
      <c r="P26" s="1934"/>
      <c r="Q26" s="1935"/>
      <c r="R26" s="1933" t="s">
        <v>12132</v>
      </c>
      <c r="S26" s="1934"/>
      <c r="T26" s="1934"/>
      <c r="U26" s="1935"/>
      <c r="V26" s="1933" t="s">
        <v>12133</v>
      </c>
      <c r="W26" s="1934"/>
      <c r="X26" s="1934"/>
      <c r="Y26" s="1935"/>
      <c r="Z26" s="1956"/>
      <c r="AA26" s="1956"/>
      <c r="AB26" s="1956"/>
      <c r="AC26" s="1956"/>
      <c r="AD26" s="1956"/>
      <c r="AE26" s="1956"/>
      <c r="AF26" s="1956"/>
      <c r="AG26" s="1956"/>
      <c r="AH26" s="1956"/>
      <c r="AI26" s="1956"/>
      <c r="AJ26" s="1956"/>
      <c r="AK26" s="1956"/>
      <c r="AL26" s="1956"/>
      <c r="AM26" s="1956"/>
      <c r="AN26" s="1956"/>
      <c r="AO26" s="1956"/>
      <c r="AP26" s="1956"/>
      <c r="AQ26" s="1956"/>
      <c r="AR26" s="1956"/>
      <c r="AS26" s="1956"/>
      <c r="CU26" s="86"/>
      <c r="CV26" s="86"/>
      <c r="CW26" s="86"/>
      <c r="CX26" s="86"/>
      <c r="CY26" s="86"/>
      <c r="CZ26" s="86"/>
      <c r="DA26" s="86"/>
      <c r="DB26" s="86"/>
      <c r="LK26" s="1933" t="s">
        <v>12130</v>
      </c>
      <c r="LL26" s="1934"/>
      <c r="LM26" s="1934"/>
      <c r="LN26" s="1935"/>
      <c r="LO26" s="1933" t="s">
        <v>12131</v>
      </c>
      <c r="LP26" s="1934"/>
      <c r="LQ26" s="1934"/>
      <c r="LR26" s="1935"/>
      <c r="LS26" s="1933" t="s">
        <v>12132</v>
      </c>
      <c r="LT26" s="1934"/>
      <c r="LU26" s="1934"/>
      <c r="LV26" s="1935"/>
      <c r="LW26" s="1933" t="s">
        <v>12133</v>
      </c>
      <c r="LX26" s="1934"/>
      <c r="LY26" s="1934"/>
      <c r="LZ26" s="1935"/>
    </row>
    <row r="27" spans="2:625" ht="18.75" customHeight="1" thickBot="1">
      <c r="B27" s="876"/>
      <c r="C27" s="877"/>
      <c r="D27" s="864"/>
      <c r="E27" s="864"/>
      <c r="F27" s="864"/>
      <c r="G27" s="1957"/>
      <c r="H27" s="1957"/>
      <c r="I27" s="1957"/>
      <c r="J27" s="1958" t="s">
        <v>1135</v>
      </c>
      <c r="K27" s="1959"/>
      <c r="L27" s="1959"/>
      <c r="M27" s="1960"/>
      <c r="N27" s="1958" t="s">
        <v>11965</v>
      </c>
      <c r="O27" s="1959"/>
      <c r="P27" s="1959"/>
      <c r="Q27" s="1960"/>
      <c r="R27" s="1958" t="s">
        <v>11966</v>
      </c>
      <c r="S27" s="1959"/>
      <c r="T27" s="1959"/>
      <c r="U27" s="1960"/>
      <c r="V27" s="1958" t="s">
        <v>11971</v>
      </c>
      <c r="W27" s="1959"/>
      <c r="X27" s="1959"/>
      <c r="Y27" s="1960"/>
      <c r="Z27" s="1956"/>
      <c r="AA27" s="1956"/>
      <c r="AB27" s="1956"/>
      <c r="AC27" s="1956"/>
      <c r="AD27" s="1956"/>
      <c r="AE27" s="1956"/>
      <c r="AF27" s="1956"/>
      <c r="AG27" s="1956"/>
      <c r="AH27" s="1956"/>
      <c r="AI27" s="1956"/>
      <c r="AJ27" s="1956"/>
      <c r="AK27" s="1956"/>
      <c r="AL27" s="1956"/>
      <c r="AM27" s="1956"/>
      <c r="AN27" s="1956"/>
      <c r="AO27" s="1956"/>
      <c r="AP27" s="1956"/>
      <c r="AQ27" s="1956"/>
      <c r="AR27" s="1956"/>
      <c r="AS27" s="1956"/>
      <c r="CU27" s="86"/>
      <c r="CV27" s="86"/>
      <c r="CW27" s="86"/>
      <c r="CX27" s="86"/>
      <c r="CY27" s="86"/>
      <c r="CZ27" s="86"/>
      <c r="DA27" s="86"/>
      <c r="DB27" s="86"/>
      <c r="LG27" s="864"/>
      <c r="LH27" s="1957"/>
      <c r="LI27" s="1957"/>
      <c r="LJ27" s="1957"/>
      <c r="LK27" s="1958" t="s">
        <v>1135</v>
      </c>
      <c r="LL27" s="1959"/>
      <c r="LM27" s="1959"/>
      <c r="LN27" s="1960"/>
      <c r="LO27" s="1958" t="s">
        <v>11965</v>
      </c>
      <c r="LP27" s="1959"/>
      <c r="LQ27" s="1959"/>
      <c r="LR27" s="1960"/>
      <c r="LS27" s="1958" t="s">
        <v>11966</v>
      </c>
      <c r="LT27" s="1959"/>
      <c r="LU27" s="1959"/>
      <c r="LV27" s="1960"/>
      <c r="LW27" s="1958" t="s">
        <v>11971</v>
      </c>
      <c r="LX27" s="1959"/>
      <c r="LY27" s="1959"/>
      <c r="LZ27" s="1960"/>
    </row>
    <row r="28" spans="2:625" ht="15" customHeight="1">
      <c r="B28" s="878" t="s">
        <v>2464</v>
      </c>
      <c r="C28" s="879" t="s">
        <v>3429</v>
      </c>
      <c r="D28" s="865" t="s">
        <v>2396</v>
      </c>
      <c r="E28" s="865" t="s">
        <v>2397</v>
      </c>
      <c r="F28" s="865" t="str">
        <f>F15</f>
        <v>2016-17</v>
      </c>
      <c r="G28" s="865" t="str">
        <f t="shared" ref="G28:Y28" si="80">G15</f>
        <v>2017-18</v>
      </c>
      <c r="H28" s="865" t="str">
        <f t="shared" si="80"/>
        <v>2018-19</v>
      </c>
      <c r="I28" s="866" t="str">
        <f t="shared" si="80"/>
        <v>2019-20</v>
      </c>
      <c r="J28" s="1854" t="str">
        <f>$J$15</f>
        <v>2016-17</v>
      </c>
      <c r="K28" s="1855" t="str">
        <f>$K$15</f>
        <v>2017-18</v>
      </c>
      <c r="L28" s="1855" t="str">
        <f>$L$15</f>
        <v>2018-19</v>
      </c>
      <c r="M28" s="1856" t="str">
        <f>$M$15</f>
        <v>2019-20</v>
      </c>
      <c r="N28" s="1854" t="str">
        <f t="shared" si="80"/>
        <v>2016-17</v>
      </c>
      <c r="O28" s="1855" t="str">
        <f t="shared" si="80"/>
        <v>2017-18</v>
      </c>
      <c r="P28" s="1855" t="str">
        <f t="shared" si="80"/>
        <v>2018-19</v>
      </c>
      <c r="Q28" s="1856" t="str">
        <f t="shared" si="80"/>
        <v>2019-20</v>
      </c>
      <c r="R28" s="1854" t="str">
        <f t="shared" si="80"/>
        <v>2016-17</v>
      </c>
      <c r="S28" s="1855" t="str">
        <f t="shared" si="80"/>
        <v>2017-18</v>
      </c>
      <c r="T28" s="1855" t="str">
        <f t="shared" si="80"/>
        <v>2018-19</v>
      </c>
      <c r="U28" s="1856" t="str">
        <f t="shared" si="80"/>
        <v>2019-20</v>
      </c>
      <c r="V28" s="1854" t="str">
        <f t="shared" si="80"/>
        <v>2016-17</v>
      </c>
      <c r="W28" s="1855" t="str">
        <f t="shared" si="80"/>
        <v>2017-18</v>
      </c>
      <c r="X28" s="1855" t="str">
        <f t="shared" si="80"/>
        <v>2018-19</v>
      </c>
      <c r="Y28" s="1856" t="str">
        <f t="shared" si="80"/>
        <v>2019-20</v>
      </c>
      <c r="Z28" s="1956"/>
      <c r="AA28" s="1956"/>
      <c r="AB28" s="1956"/>
      <c r="AC28" s="1956"/>
      <c r="AD28" s="1956"/>
      <c r="AE28" s="1956"/>
      <c r="AF28" s="1956"/>
      <c r="AG28" s="1956"/>
      <c r="AH28" s="1956"/>
      <c r="AI28" s="1956"/>
      <c r="AJ28" s="1956"/>
      <c r="AK28" s="1956"/>
      <c r="AL28" s="1956"/>
      <c r="AM28" s="1956"/>
      <c r="AN28" s="1956"/>
      <c r="AO28" s="1956"/>
      <c r="AP28" s="1956"/>
      <c r="AQ28" s="1956"/>
      <c r="AR28" s="1956"/>
      <c r="AS28" s="1956"/>
      <c r="CU28" s="86"/>
      <c r="CV28" s="86"/>
      <c r="CW28" s="86"/>
      <c r="CX28" s="86"/>
      <c r="CY28" s="86"/>
      <c r="CZ28" s="86"/>
      <c r="DA28" s="86"/>
      <c r="DB28" s="86"/>
      <c r="LF28" s="879" t="s">
        <v>3429</v>
      </c>
      <c r="LG28" s="865" t="str">
        <f>LG15</f>
        <v>2016-17</v>
      </c>
      <c r="LH28" s="865" t="str">
        <f t="shared" ref="LH28:LJ28" si="81">LH15</f>
        <v>2017-18</v>
      </c>
      <c r="LI28" s="865" t="str">
        <f t="shared" si="81"/>
        <v>2018-19</v>
      </c>
      <c r="LJ28" s="866" t="str">
        <f t="shared" si="81"/>
        <v>2019-20</v>
      </c>
      <c r="LK28" s="1854" t="str">
        <f>$J$15</f>
        <v>2016-17</v>
      </c>
      <c r="LL28" s="1855" t="str">
        <f>$K$15</f>
        <v>2017-18</v>
      </c>
      <c r="LM28" s="1855" t="str">
        <f>$L$15</f>
        <v>2018-19</v>
      </c>
      <c r="LN28" s="1856" t="str">
        <f>$M$15</f>
        <v>2019-20</v>
      </c>
      <c r="LO28" s="1854" t="str">
        <f t="shared" ref="LO28:LZ28" si="82">LO15</f>
        <v>2016-17</v>
      </c>
      <c r="LP28" s="1855" t="str">
        <f t="shared" si="82"/>
        <v>2017-18</v>
      </c>
      <c r="LQ28" s="1855" t="str">
        <f t="shared" si="82"/>
        <v>2018-19</v>
      </c>
      <c r="LR28" s="1856" t="str">
        <f t="shared" si="82"/>
        <v>2019-20</v>
      </c>
      <c r="LS28" s="1854" t="str">
        <f t="shared" si="82"/>
        <v>2016-17</v>
      </c>
      <c r="LT28" s="1855" t="str">
        <f t="shared" si="82"/>
        <v>2017-18</v>
      </c>
      <c r="LU28" s="1855" t="str">
        <f t="shared" si="82"/>
        <v>2018-19</v>
      </c>
      <c r="LV28" s="1856" t="str">
        <f t="shared" si="82"/>
        <v>2019-20</v>
      </c>
      <c r="LW28" s="1854" t="str">
        <f t="shared" si="82"/>
        <v>2016-17</v>
      </c>
      <c r="LX28" s="1855" t="str">
        <f t="shared" si="82"/>
        <v>2017-18</v>
      </c>
      <c r="LY28" s="1855" t="str">
        <f t="shared" si="82"/>
        <v>2018-19</v>
      </c>
      <c r="LZ28" s="1856" t="str">
        <f t="shared" si="82"/>
        <v>2019-20</v>
      </c>
    </row>
    <row r="29" spans="2:625" ht="15" thickBot="1">
      <c r="B29" s="880">
        <v>6</v>
      </c>
      <c r="C29" s="881" t="s">
        <v>11217</v>
      </c>
      <c r="D29" s="868" t="s">
        <v>48</v>
      </c>
      <c r="E29" s="882" t="s">
        <v>3936</v>
      </c>
      <c r="F29" s="1963"/>
      <c r="G29" s="3186">
        <f>'[1]3S'!G29</f>
        <v>162.07044999873384</v>
      </c>
      <c r="H29" s="2397">
        <f>'[1]3S'!H29</f>
        <v>162.78365877130352</v>
      </c>
      <c r="I29" s="2398"/>
      <c r="J29" s="1953"/>
      <c r="K29" s="1944" t="str">
        <f>'[1]3S'!K29</f>
        <v>Green</v>
      </c>
      <c r="L29" s="1945" t="str">
        <f>'[1]3S'!L29</f>
        <v>Green</v>
      </c>
      <c r="M29" s="1955"/>
      <c r="N29" s="1953"/>
      <c r="O29" s="1944" t="str">
        <f>'[1]3S'!O29</f>
        <v>Green</v>
      </c>
      <c r="P29" s="1945" t="str">
        <f>'[1]3S'!P29</f>
        <v>Green</v>
      </c>
      <c r="Q29" s="1955"/>
      <c r="R29" s="1953"/>
      <c r="S29" s="1944" t="str">
        <f>'[1]3S'!S29</f>
        <v>Green</v>
      </c>
      <c r="T29" s="1945" t="str">
        <f>'[1]3S'!T29</f>
        <v>Green</v>
      </c>
      <c r="U29" s="1955"/>
      <c r="V29" s="1953"/>
      <c r="W29" s="1944" t="str">
        <f>'[1]3S'!W29</f>
        <v>Green</v>
      </c>
      <c r="X29" s="1945" t="str">
        <f>'[1]3S'!X29</f>
        <v>Green</v>
      </c>
      <c r="Y29" s="1955"/>
      <c r="Z29" s="1956"/>
      <c r="AA29" s="1956"/>
      <c r="AB29" s="1956"/>
      <c r="AC29" s="1956"/>
      <c r="AD29" s="1956"/>
      <c r="AE29" s="1956"/>
      <c r="AF29" s="1956"/>
      <c r="AG29" s="1956"/>
      <c r="AH29" s="1956"/>
      <c r="AI29" s="1956"/>
      <c r="AJ29" s="1956"/>
      <c r="AK29" s="1956"/>
      <c r="AL29" s="1956"/>
      <c r="AM29" s="1956"/>
      <c r="AN29" s="1956"/>
      <c r="AO29" s="1956"/>
      <c r="AP29" s="1956"/>
      <c r="AQ29" s="1956"/>
      <c r="AR29" s="1956"/>
      <c r="AS29" s="1956"/>
      <c r="CU29" s="86"/>
      <c r="CV29" s="86"/>
      <c r="CW29" s="86"/>
      <c r="CX29" s="86"/>
      <c r="CY29" s="86"/>
      <c r="CZ29" s="86"/>
      <c r="DA29" s="86"/>
      <c r="DB29" s="86"/>
      <c r="LC29" s="521">
        <f xml:space="preserve"> IF( SUM( LE29:XC29 ) = 0, 0, $LG$3 )</f>
        <v>0</v>
      </c>
      <c r="LF29" s="1641">
        <f>SUM(LG29:XC29)</f>
        <v>0</v>
      </c>
      <c r="LI29" s="98">
        <f>IF(ISNUMBER(H29),0,1)</f>
        <v>0</v>
      </c>
      <c r="LM29" s="98">
        <f>IF(ISBLANK(L29),1,0)</f>
        <v>0</v>
      </c>
      <c r="LQ29" s="98">
        <f>IF(ISBLANK(P29),1,0)</f>
        <v>0</v>
      </c>
      <c r="LU29" s="98">
        <f>IF(ISBLANK(T29),1,0)</f>
        <v>0</v>
      </c>
      <c r="LY29" s="98">
        <f>IF(ISBLANK(X29),1,0)</f>
        <v>0</v>
      </c>
    </row>
    <row r="30" spans="2:625" ht="15.75" customHeight="1" thickBot="1">
      <c r="J30" s="1956"/>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M30" s="1956"/>
      <c r="AN30" s="1956"/>
      <c r="AO30" s="1956"/>
      <c r="AP30" s="1956"/>
      <c r="AQ30" s="1956"/>
      <c r="AR30" s="1956"/>
      <c r="AS30" s="1956"/>
      <c r="CU30" s="86"/>
      <c r="CV30" s="86"/>
      <c r="CW30" s="86"/>
      <c r="CX30" s="86"/>
      <c r="CY30" s="86"/>
      <c r="CZ30" s="86"/>
      <c r="DA30" s="86"/>
      <c r="DB30" s="86"/>
    </row>
    <row r="31" spans="2:625" ht="18.75" customHeight="1">
      <c r="J31" s="1933" t="s">
        <v>12134</v>
      </c>
      <c r="K31" s="1934"/>
      <c r="L31" s="1934"/>
      <c r="M31" s="1935"/>
      <c r="N31" s="1933" t="s">
        <v>12134</v>
      </c>
      <c r="O31" s="1934"/>
      <c r="P31" s="1934"/>
      <c r="Q31" s="1935"/>
      <c r="R31" s="1933" t="s">
        <v>12134</v>
      </c>
      <c r="S31" s="1934"/>
      <c r="T31" s="1934"/>
      <c r="U31" s="1935"/>
      <c r="V31" s="1933" t="s">
        <v>12135</v>
      </c>
      <c r="W31" s="1934"/>
      <c r="X31" s="1934"/>
      <c r="Y31" s="1935"/>
      <c r="Z31" s="1933" t="s">
        <v>12136</v>
      </c>
      <c r="AA31" s="1934"/>
      <c r="AB31" s="1934"/>
      <c r="AC31" s="1935"/>
      <c r="AD31" s="1933" t="s">
        <v>12137</v>
      </c>
      <c r="AE31" s="1934"/>
      <c r="AF31" s="1934"/>
      <c r="AG31" s="1935"/>
      <c r="AH31" s="1933" t="s">
        <v>12137</v>
      </c>
      <c r="AI31" s="1934"/>
      <c r="AJ31" s="1934"/>
      <c r="AK31" s="1935"/>
      <c r="AL31" s="1933" t="s">
        <v>12137</v>
      </c>
      <c r="AM31" s="1934"/>
      <c r="AN31" s="1934"/>
      <c r="AO31" s="1935"/>
      <c r="AP31" s="1933" t="s">
        <v>12138</v>
      </c>
      <c r="AQ31" s="1934"/>
      <c r="AR31" s="1934"/>
      <c r="AS31" s="1935"/>
      <c r="AT31" s="1933" t="s">
        <v>12138</v>
      </c>
      <c r="AU31" s="1934"/>
      <c r="AV31" s="1934"/>
      <c r="AW31" s="1935"/>
      <c r="AX31" s="1933" t="s">
        <v>12139</v>
      </c>
      <c r="AY31" s="1934"/>
      <c r="AZ31" s="1934"/>
      <c r="BA31" s="1935"/>
      <c r="BB31" s="1933" t="s">
        <v>12139</v>
      </c>
      <c r="BC31" s="1934"/>
      <c r="BD31" s="1934"/>
      <c r="BE31" s="1935"/>
      <c r="CU31" s="86"/>
      <c r="CV31" s="86"/>
      <c r="CW31" s="86"/>
      <c r="CX31" s="86"/>
      <c r="CY31" s="86"/>
      <c r="CZ31" s="86"/>
      <c r="DA31" s="86"/>
      <c r="DB31" s="86"/>
      <c r="LK31" s="1933" t="s">
        <v>12134</v>
      </c>
      <c r="LL31" s="1934"/>
      <c r="LM31" s="1934"/>
      <c r="LN31" s="1935"/>
      <c r="LO31" s="1933" t="s">
        <v>12134</v>
      </c>
      <c r="LP31" s="1934"/>
      <c r="LQ31" s="1934"/>
      <c r="LR31" s="1935"/>
      <c r="LS31" s="1933" t="s">
        <v>12134</v>
      </c>
      <c r="LT31" s="1934"/>
      <c r="LU31" s="1934"/>
      <c r="LV31" s="1935"/>
      <c r="LW31" s="1933" t="s">
        <v>12135</v>
      </c>
      <c r="LX31" s="1934"/>
      <c r="LY31" s="1934"/>
      <c r="LZ31" s="1935"/>
      <c r="MA31" s="1933" t="s">
        <v>12136</v>
      </c>
      <c r="MB31" s="1934"/>
      <c r="MC31" s="1934"/>
      <c r="MD31" s="1935"/>
      <c r="ME31" s="1933" t="s">
        <v>12137</v>
      </c>
      <c r="MF31" s="1934"/>
      <c r="MG31" s="1934"/>
      <c r="MH31" s="1935"/>
      <c r="MI31" s="1933" t="s">
        <v>12137</v>
      </c>
      <c r="MJ31" s="1934"/>
      <c r="MK31" s="1934"/>
      <c r="ML31" s="1935"/>
      <c r="MM31" s="1933" t="s">
        <v>12137</v>
      </c>
      <c r="MN31" s="1934"/>
      <c r="MO31" s="1934"/>
      <c r="MP31" s="1935"/>
      <c r="MQ31" s="1933" t="s">
        <v>12138</v>
      </c>
      <c r="MR31" s="1934"/>
      <c r="MS31" s="1934"/>
      <c r="MT31" s="1935"/>
      <c r="MU31" s="1933" t="s">
        <v>12138</v>
      </c>
      <c r="MV31" s="1934"/>
      <c r="MW31" s="1934"/>
      <c r="MX31" s="1935"/>
      <c r="MY31" s="1933" t="s">
        <v>12139</v>
      </c>
      <c r="MZ31" s="1934"/>
      <c r="NA31" s="1934"/>
      <c r="NB31" s="1935"/>
      <c r="NC31" s="1933" t="s">
        <v>12139</v>
      </c>
      <c r="ND31" s="1934"/>
      <c r="NE31" s="1934"/>
      <c r="NF31" s="1935"/>
    </row>
    <row r="32" spans="2:625" ht="18.75" customHeight="1" thickBot="1">
      <c r="B32" s="876"/>
      <c r="C32" s="877"/>
      <c r="D32" s="864"/>
      <c r="E32" s="864"/>
      <c r="F32" s="864"/>
      <c r="G32" s="1957"/>
      <c r="H32" s="1957"/>
      <c r="I32" s="1957"/>
      <c r="J32" s="1958" t="s">
        <v>12140</v>
      </c>
      <c r="K32" s="1959"/>
      <c r="L32" s="1959"/>
      <c r="M32" s="1960"/>
      <c r="N32" s="1958" t="s">
        <v>12141</v>
      </c>
      <c r="O32" s="1959"/>
      <c r="P32" s="1959"/>
      <c r="Q32" s="1960"/>
      <c r="R32" s="1958" t="s">
        <v>12142</v>
      </c>
      <c r="S32" s="1959"/>
      <c r="T32" s="1959"/>
      <c r="U32" s="1960"/>
      <c r="V32" s="1958" t="s">
        <v>12143</v>
      </c>
      <c r="W32" s="1959"/>
      <c r="X32" s="1959"/>
      <c r="Y32" s="1960"/>
      <c r="Z32" s="1958" t="s">
        <v>12144</v>
      </c>
      <c r="AA32" s="1959"/>
      <c r="AB32" s="1959"/>
      <c r="AC32" s="1960"/>
      <c r="AD32" s="1958" t="s">
        <v>12145</v>
      </c>
      <c r="AE32" s="1959"/>
      <c r="AF32" s="1959"/>
      <c r="AG32" s="1960"/>
      <c r="AH32" s="1958" t="s">
        <v>12146</v>
      </c>
      <c r="AI32" s="1959"/>
      <c r="AJ32" s="1959"/>
      <c r="AK32" s="1960"/>
      <c r="AL32" s="1958" t="s">
        <v>12147</v>
      </c>
      <c r="AM32" s="1959"/>
      <c r="AN32" s="1959"/>
      <c r="AO32" s="1960"/>
      <c r="AP32" s="1958" t="s">
        <v>12148</v>
      </c>
      <c r="AQ32" s="1959"/>
      <c r="AR32" s="1959"/>
      <c r="AS32" s="1960"/>
      <c r="AT32" s="1958" t="s">
        <v>12149</v>
      </c>
      <c r="AU32" s="1959"/>
      <c r="AV32" s="1959"/>
      <c r="AW32" s="1960"/>
      <c r="AX32" s="1958" t="s">
        <v>12150</v>
      </c>
      <c r="AY32" s="1959"/>
      <c r="AZ32" s="1959"/>
      <c r="BA32" s="1960"/>
      <c r="BB32" s="1958" t="s">
        <v>12151</v>
      </c>
      <c r="BC32" s="1959"/>
      <c r="BD32" s="1959"/>
      <c r="BE32" s="1960"/>
      <c r="CU32" s="86"/>
      <c r="CV32" s="86"/>
      <c r="CW32" s="86"/>
      <c r="CX32" s="86"/>
      <c r="CY32" s="86"/>
      <c r="CZ32" s="86"/>
      <c r="DA32" s="86"/>
      <c r="DB32" s="86"/>
      <c r="LG32" s="864"/>
      <c r="LH32" s="1957"/>
      <c r="LI32" s="1957"/>
      <c r="LJ32" s="1957"/>
      <c r="LK32" s="1958" t="s">
        <v>12140</v>
      </c>
      <c r="LL32" s="1959"/>
      <c r="LM32" s="1959"/>
      <c r="LN32" s="1960"/>
      <c r="LO32" s="1958" t="s">
        <v>12141</v>
      </c>
      <c r="LP32" s="1959"/>
      <c r="LQ32" s="1959"/>
      <c r="LR32" s="1960"/>
      <c r="LS32" s="1958" t="s">
        <v>12142</v>
      </c>
      <c r="LT32" s="1959"/>
      <c r="LU32" s="1959"/>
      <c r="LV32" s="1960"/>
      <c r="LW32" s="1958" t="s">
        <v>12143</v>
      </c>
      <c r="LX32" s="1959"/>
      <c r="LY32" s="1959"/>
      <c r="LZ32" s="1960"/>
      <c r="MA32" s="1958" t="s">
        <v>12144</v>
      </c>
      <c r="MB32" s="1959"/>
      <c r="MC32" s="1959"/>
      <c r="MD32" s="1960"/>
      <c r="ME32" s="1958" t="s">
        <v>12145</v>
      </c>
      <c r="MF32" s="1959"/>
      <c r="MG32" s="1959"/>
      <c r="MH32" s="1960"/>
      <c r="MI32" s="1958" t="s">
        <v>12146</v>
      </c>
      <c r="MJ32" s="1959"/>
      <c r="MK32" s="1959"/>
      <c r="ML32" s="1960"/>
      <c r="MM32" s="1958" t="s">
        <v>12147</v>
      </c>
      <c r="MN32" s="1959"/>
      <c r="MO32" s="1959"/>
      <c r="MP32" s="1960"/>
      <c r="MQ32" s="1958" t="s">
        <v>12148</v>
      </c>
      <c r="MR32" s="1959"/>
      <c r="MS32" s="1959"/>
      <c r="MT32" s="1960"/>
      <c r="MU32" s="1958" t="s">
        <v>12149</v>
      </c>
      <c r="MV32" s="1959"/>
      <c r="MW32" s="1959"/>
      <c r="MX32" s="1960"/>
      <c r="MY32" s="1958" t="s">
        <v>12150</v>
      </c>
      <c r="MZ32" s="1959"/>
      <c r="NA32" s="1959"/>
      <c r="NB32" s="1960"/>
      <c r="NC32" s="1958" t="s">
        <v>12151</v>
      </c>
      <c r="ND32" s="1959"/>
      <c r="NE32" s="1959"/>
      <c r="NF32" s="1960"/>
    </row>
    <row r="33" spans="2:418" ht="15" customHeight="1">
      <c r="B33" s="878" t="s">
        <v>2473</v>
      </c>
      <c r="C33" s="879" t="s">
        <v>4941</v>
      </c>
      <c r="D33" s="865" t="s">
        <v>2396</v>
      </c>
      <c r="E33" s="865" t="s">
        <v>2397</v>
      </c>
      <c r="F33" s="865" t="str">
        <f>F15</f>
        <v>2016-17</v>
      </c>
      <c r="G33" s="865" t="str">
        <f t="shared" ref="G33:I33" si="83">G15</f>
        <v>2017-18</v>
      </c>
      <c r="H33" s="865" t="str">
        <f t="shared" si="83"/>
        <v>2018-19</v>
      </c>
      <c r="I33" s="866" t="str">
        <f t="shared" si="83"/>
        <v>2019-20</v>
      </c>
      <c r="J33" s="1854" t="str">
        <f>$J$15</f>
        <v>2016-17</v>
      </c>
      <c r="K33" s="1855" t="str">
        <f>$K$15</f>
        <v>2017-18</v>
      </c>
      <c r="L33" s="1855" t="str">
        <f>$L$15</f>
        <v>2018-19</v>
      </c>
      <c r="M33" s="1856" t="str">
        <f>$M$15</f>
        <v>2019-20</v>
      </c>
      <c r="N33" s="1854" t="str">
        <f>$J$15</f>
        <v>2016-17</v>
      </c>
      <c r="O33" s="1855" t="str">
        <f>$K$15</f>
        <v>2017-18</v>
      </c>
      <c r="P33" s="1855" t="str">
        <f>$L$15</f>
        <v>2018-19</v>
      </c>
      <c r="Q33" s="1856" t="str">
        <f>$M$15</f>
        <v>2019-20</v>
      </c>
      <c r="R33" s="1854" t="str">
        <f>$J$15</f>
        <v>2016-17</v>
      </c>
      <c r="S33" s="1855" t="str">
        <f>$K$15</f>
        <v>2017-18</v>
      </c>
      <c r="T33" s="1855" t="str">
        <f>$L$15</f>
        <v>2018-19</v>
      </c>
      <c r="U33" s="1856" t="str">
        <f>$M$15</f>
        <v>2019-20</v>
      </c>
      <c r="V33" s="1854" t="str">
        <f>$J$15</f>
        <v>2016-17</v>
      </c>
      <c r="W33" s="1855" t="str">
        <f>$K$15</f>
        <v>2017-18</v>
      </c>
      <c r="X33" s="1855" t="str">
        <f>$L$15</f>
        <v>2018-19</v>
      </c>
      <c r="Y33" s="1856" t="str">
        <f>$M$15</f>
        <v>2019-20</v>
      </c>
      <c r="Z33" s="1854" t="str">
        <f>$J$15</f>
        <v>2016-17</v>
      </c>
      <c r="AA33" s="1855" t="str">
        <f>$K$15</f>
        <v>2017-18</v>
      </c>
      <c r="AB33" s="1855" t="str">
        <f>$L$15</f>
        <v>2018-19</v>
      </c>
      <c r="AC33" s="1856" t="str">
        <f>$M$15</f>
        <v>2019-20</v>
      </c>
      <c r="AD33" s="1854" t="str">
        <f>$J$15</f>
        <v>2016-17</v>
      </c>
      <c r="AE33" s="1855" t="str">
        <f>$K$15</f>
        <v>2017-18</v>
      </c>
      <c r="AF33" s="1855" t="str">
        <f>$L$15</f>
        <v>2018-19</v>
      </c>
      <c r="AG33" s="1856" t="str">
        <f>$M$15</f>
        <v>2019-20</v>
      </c>
      <c r="AH33" s="1854" t="str">
        <f>$J$15</f>
        <v>2016-17</v>
      </c>
      <c r="AI33" s="1855" t="str">
        <f>$K$15</f>
        <v>2017-18</v>
      </c>
      <c r="AJ33" s="1855" t="str">
        <f>$L$15</f>
        <v>2018-19</v>
      </c>
      <c r="AK33" s="1856" t="str">
        <f>$M$15</f>
        <v>2019-20</v>
      </c>
      <c r="AL33" s="1854" t="str">
        <f>$J$15</f>
        <v>2016-17</v>
      </c>
      <c r="AM33" s="1855" t="str">
        <f>$K$15</f>
        <v>2017-18</v>
      </c>
      <c r="AN33" s="1855" t="str">
        <f>$L$15</f>
        <v>2018-19</v>
      </c>
      <c r="AO33" s="1856" t="str">
        <f>$M$15</f>
        <v>2019-20</v>
      </c>
      <c r="AP33" s="1854" t="str">
        <f>$J$15</f>
        <v>2016-17</v>
      </c>
      <c r="AQ33" s="1855" t="str">
        <f>$K$15</f>
        <v>2017-18</v>
      </c>
      <c r="AR33" s="1855" t="str">
        <f>$L$15</f>
        <v>2018-19</v>
      </c>
      <c r="AS33" s="1856" t="str">
        <f>$M$15</f>
        <v>2019-20</v>
      </c>
      <c r="AT33" s="1854" t="str">
        <f>$J$15</f>
        <v>2016-17</v>
      </c>
      <c r="AU33" s="1855" t="str">
        <f>$K$15</f>
        <v>2017-18</v>
      </c>
      <c r="AV33" s="1855" t="str">
        <f>$L$15</f>
        <v>2018-19</v>
      </c>
      <c r="AW33" s="1856" t="str">
        <f>$M$15</f>
        <v>2019-20</v>
      </c>
      <c r="AX33" s="1854" t="str">
        <f>$J$15</f>
        <v>2016-17</v>
      </c>
      <c r="AY33" s="1855" t="str">
        <f>$K$15</f>
        <v>2017-18</v>
      </c>
      <c r="AZ33" s="1855" t="str">
        <f>$L$15</f>
        <v>2018-19</v>
      </c>
      <c r="BA33" s="1856" t="str">
        <f>$M$15</f>
        <v>2019-20</v>
      </c>
      <c r="BB33" s="1854" t="str">
        <f>$J$15</f>
        <v>2016-17</v>
      </c>
      <c r="BC33" s="1855" t="str">
        <f>$K$15</f>
        <v>2017-18</v>
      </c>
      <c r="BD33" s="1855" t="str">
        <f>$L$15</f>
        <v>2018-19</v>
      </c>
      <c r="BE33" s="1856" t="str">
        <f>$M$15</f>
        <v>2019-20</v>
      </c>
      <c r="CU33" s="86"/>
      <c r="CV33" s="86"/>
      <c r="CW33" s="86"/>
      <c r="CX33" s="86"/>
      <c r="CY33" s="86"/>
      <c r="CZ33" s="86"/>
      <c r="DA33" s="86"/>
      <c r="DB33" s="86"/>
      <c r="LF33" s="879" t="s">
        <v>4941</v>
      </c>
      <c r="LG33" s="865" t="str">
        <f>LG15</f>
        <v>2016-17</v>
      </c>
      <c r="LH33" s="865" t="str">
        <f t="shared" ref="LH33:LJ33" si="84">LH15</f>
        <v>2017-18</v>
      </c>
      <c r="LI33" s="865" t="str">
        <f t="shared" si="84"/>
        <v>2018-19</v>
      </c>
      <c r="LJ33" s="866" t="str">
        <f t="shared" si="84"/>
        <v>2019-20</v>
      </c>
      <c r="LK33" s="1854" t="str">
        <f>$J$15</f>
        <v>2016-17</v>
      </c>
      <c r="LL33" s="1855" t="str">
        <f>$K$15</f>
        <v>2017-18</v>
      </c>
      <c r="LM33" s="1855" t="str">
        <f>$L$15</f>
        <v>2018-19</v>
      </c>
      <c r="LN33" s="1856" t="str">
        <f>$M$15</f>
        <v>2019-20</v>
      </c>
      <c r="LO33" s="1854" t="str">
        <f>$J$15</f>
        <v>2016-17</v>
      </c>
      <c r="LP33" s="1855" t="str">
        <f>$K$15</f>
        <v>2017-18</v>
      </c>
      <c r="LQ33" s="1855" t="str">
        <f>$L$15</f>
        <v>2018-19</v>
      </c>
      <c r="LR33" s="1856" t="str">
        <f>$M$15</f>
        <v>2019-20</v>
      </c>
      <c r="LS33" s="1854" t="str">
        <f>$J$15</f>
        <v>2016-17</v>
      </c>
      <c r="LT33" s="1855" t="str">
        <f>$K$15</f>
        <v>2017-18</v>
      </c>
      <c r="LU33" s="1855" t="str">
        <f>$L$15</f>
        <v>2018-19</v>
      </c>
      <c r="LV33" s="1856" t="str">
        <f>$M$15</f>
        <v>2019-20</v>
      </c>
      <c r="LW33" s="1854" t="str">
        <f>$J$15</f>
        <v>2016-17</v>
      </c>
      <c r="LX33" s="1855" t="str">
        <f>$K$15</f>
        <v>2017-18</v>
      </c>
      <c r="LY33" s="1855" t="str">
        <f>$L$15</f>
        <v>2018-19</v>
      </c>
      <c r="LZ33" s="1856" t="str">
        <f>$M$15</f>
        <v>2019-20</v>
      </c>
      <c r="MA33" s="1854" t="str">
        <f>$J$15</f>
        <v>2016-17</v>
      </c>
      <c r="MB33" s="1855" t="str">
        <f>$K$15</f>
        <v>2017-18</v>
      </c>
      <c r="MC33" s="1855" t="str">
        <f>$L$15</f>
        <v>2018-19</v>
      </c>
      <c r="MD33" s="1856" t="str">
        <f>$M$15</f>
        <v>2019-20</v>
      </c>
      <c r="ME33" s="1854" t="str">
        <f>$J$15</f>
        <v>2016-17</v>
      </c>
      <c r="MF33" s="1855" t="str">
        <f>$K$15</f>
        <v>2017-18</v>
      </c>
      <c r="MG33" s="1855" t="str">
        <f>$L$15</f>
        <v>2018-19</v>
      </c>
      <c r="MH33" s="1856" t="str">
        <f>$M$15</f>
        <v>2019-20</v>
      </c>
      <c r="MI33" s="1854" t="str">
        <f>$J$15</f>
        <v>2016-17</v>
      </c>
      <c r="MJ33" s="1855" t="str">
        <f>$K$15</f>
        <v>2017-18</v>
      </c>
      <c r="MK33" s="1855" t="str">
        <f>$L$15</f>
        <v>2018-19</v>
      </c>
      <c r="ML33" s="1856" t="str">
        <f>$M$15</f>
        <v>2019-20</v>
      </c>
      <c r="MM33" s="1854" t="str">
        <f>$J$15</f>
        <v>2016-17</v>
      </c>
      <c r="MN33" s="1855" t="str">
        <f>$K$15</f>
        <v>2017-18</v>
      </c>
      <c r="MO33" s="1855" t="str">
        <f>$L$15</f>
        <v>2018-19</v>
      </c>
      <c r="MP33" s="1856" t="str">
        <f>$M$15</f>
        <v>2019-20</v>
      </c>
      <c r="MQ33" s="1854" t="str">
        <f>$J$15</f>
        <v>2016-17</v>
      </c>
      <c r="MR33" s="1855" t="str">
        <f>$K$15</f>
        <v>2017-18</v>
      </c>
      <c r="MS33" s="1855" t="str">
        <f>$L$15</f>
        <v>2018-19</v>
      </c>
      <c r="MT33" s="1856" t="str">
        <f>$M$15</f>
        <v>2019-20</v>
      </c>
      <c r="MU33" s="1854" t="str">
        <f>$J$15</f>
        <v>2016-17</v>
      </c>
      <c r="MV33" s="1855" t="str">
        <f>$K$15</f>
        <v>2017-18</v>
      </c>
      <c r="MW33" s="1855" t="str">
        <f>$L$15</f>
        <v>2018-19</v>
      </c>
      <c r="MX33" s="1856" t="str">
        <f>$M$15</f>
        <v>2019-20</v>
      </c>
      <c r="MY33" s="1854" t="str">
        <f>$J$15</f>
        <v>2016-17</v>
      </c>
      <c r="MZ33" s="1855" t="str">
        <f>$K$15</f>
        <v>2017-18</v>
      </c>
      <c r="NA33" s="1855" t="str">
        <f>$L$15</f>
        <v>2018-19</v>
      </c>
      <c r="NB33" s="1856" t="str">
        <f>$M$15</f>
        <v>2019-20</v>
      </c>
      <c r="NC33" s="1854" t="str">
        <f>$J$15</f>
        <v>2016-17</v>
      </c>
      <c r="ND33" s="1855" t="str">
        <f>$K$15</f>
        <v>2017-18</v>
      </c>
      <c r="NE33" s="1855" t="str">
        <f>$L$15</f>
        <v>2018-19</v>
      </c>
      <c r="NF33" s="1856" t="str">
        <f>$M$15</f>
        <v>2019-20</v>
      </c>
    </row>
    <row r="34" spans="2:418" ht="15" thickBot="1">
      <c r="B34" s="880">
        <v>7</v>
      </c>
      <c r="C34" s="881" t="s">
        <v>4948</v>
      </c>
      <c r="D34" s="868" t="s">
        <v>76</v>
      </c>
      <c r="E34" s="882" t="s">
        <v>3938</v>
      </c>
      <c r="F34" s="1964"/>
      <c r="G34" s="3187">
        <f>'[1]3S'!G34</f>
        <v>1.2E-2</v>
      </c>
      <c r="H34" s="1965">
        <f>'[1]3S'!H34</f>
        <v>1.18E-2</v>
      </c>
      <c r="I34" s="2399"/>
      <c r="J34" s="1953"/>
      <c r="K34" s="1944" t="str">
        <f>'[1]3S'!K34</f>
        <v>Green</v>
      </c>
      <c r="L34" s="1945" t="str">
        <f>'[1]3S'!L34</f>
        <v>Green</v>
      </c>
      <c r="M34" s="1955"/>
      <c r="N34" s="1953"/>
      <c r="O34" s="1944" t="str">
        <f>'[1]3S'!O34</f>
        <v>Amber</v>
      </c>
      <c r="P34" s="1945" t="str">
        <f>'[1]3S'!P34</f>
        <v>Green</v>
      </c>
      <c r="Q34" s="1955"/>
      <c r="R34" s="1953"/>
      <c r="S34" s="1944" t="str">
        <f>'[1]3S'!S34</f>
        <v>Amber</v>
      </c>
      <c r="T34" s="1945" t="str">
        <f>'[1]3S'!T34</f>
        <v>Green</v>
      </c>
      <c r="U34" s="1955"/>
      <c r="V34" s="1953"/>
      <c r="W34" s="1944" t="str">
        <f>'[1]3S'!W34</f>
        <v>Red</v>
      </c>
      <c r="X34" s="1945" t="str">
        <f>'[1]3S'!X34</f>
        <v>Green</v>
      </c>
      <c r="Y34" s="1955"/>
      <c r="Z34" s="1953"/>
      <c r="AA34" s="1944" t="str">
        <f>'[1]3S'!AA34</f>
        <v>Amber</v>
      </c>
      <c r="AB34" s="1945" t="str">
        <f>'[1]3S'!AB34</f>
        <v>Green</v>
      </c>
      <c r="AC34" s="1955"/>
      <c r="AD34" s="1953"/>
      <c r="AE34" s="1944" t="str">
        <f>'[1]3S'!AE34</f>
        <v>Amber</v>
      </c>
      <c r="AF34" s="1945" t="str">
        <f>'[1]3S'!AF34</f>
        <v>Green</v>
      </c>
      <c r="AG34" s="1955"/>
      <c r="AH34" s="1953"/>
      <c r="AI34" s="1944" t="str">
        <f>'[1]3S'!AI34</f>
        <v>Amber</v>
      </c>
      <c r="AJ34" s="1945" t="str">
        <f>'[1]3S'!AJ34</f>
        <v>Green</v>
      </c>
      <c r="AK34" s="1955"/>
      <c r="AL34" s="1953"/>
      <c r="AM34" s="1944" t="str">
        <f>'[1]3S'!AM34</f>
        <v>Red</v>
      </c>
      <c r="AN34" s="1945" t="str">
        <f>'[1]3S'!AN34</f>
        <v>Green</v>
      </c>
      <c r="AO34" s="1955"/>
      <c r="AP34" s="1953"/>
      <c r="AQ34" s="1944" t="str">
        <f>'[1]3S'!AQ34</f>
        <v>Red</v>
      </c>
      <c r="AR34" s="1945" t="str">
        <f>'[1]3S'!AR34</f>
        <v>Green</v>
      </c>
      <c r="AS34" s="1955"/>
      <c r="AT34" s="1953"/>
      <c r="AU34" s="1944" t="str">
        <f>'[1]3S'!AU34</f>
        <v>Amber</v>
      </c>
      <c r="AV34" s="1945" t="str">
        <f>'[1]3S'!AV34</f>
        <v>Green</v>
      </c>
      <c r="AW34" s="1955"/>
      <c r="AX34" s="1953"/>
      <c r="AY34" s="1944" t="str">
        <f>'[1]3S'!AY34</f>
        <v>Green</v>
      </c>
      <c r="AZ34" s="1945" t="str">
        <f>'[1]3S'!AZ34</f>
        <v>Green</v>
      </c>
      <c r="BA34" s="1955"/>
      <c r="BB34" s="1953"/>
      <c r="BC34" s="1944" t="str">
        <f>'[1]3S'!BC34</f>
        <v>Red</v>
      </c>
      <c r="BD34" s="1945" t="str">
        <f>'[1]3S'!BD34</f>
        <v>Green</v>
      </c>
      <c r="BE34" s="1955"/>
      <c r="CU34" s="86"/>
      <c r="CV34" s="86"/>
      <c r="CW34" s="86"/>
      <c r="CX34" s="86"/>
      <c r="CY34" s="86"/>
      <c r="CZ34" s="86"/>
      <c r="DA34" s="86"/>
      <c r="DB34" s="86"/>
      <c r="LC34" s="521">
        <f xml:space="preserve"> IF( SUM( LE34:XC34 ) = 0, 0, $LG$3 )</f>
        <v>0</v>
      </c>
      <c r="LF34" s="1641">
        <f>SUM(LG34:XC34)</f>
        <v>0</v>
      </c>
      <c r="LI34" s="98">
        <f>IF(ISNUMBER(H34),0,1)</f>
        <v>0</v>
      </c>
      <c r="LM34" s="98">
        <f>IF(ISBLANK(L34),1,0)</f>
        <v>0</v>
      </c>
      <c r="LQ34" s="98">
        <f>IF(ISBLANK(P34),1,0)</f>
        <v>0</v>
      </c>
      <c r="LU34" s="98">
        <f>IF(ISBLANK(T34),1,0)</f>
        <v>0</v>
      </c>
      <c r="LY34" s="98">
        <f>IF(ISBLANK(X34),1,0)</f>
        <v>0</v>
      </c>
      <c r="MC34" s="98">
        <f>IF(ISBLANK(AB34),1,0)</f>
        <v>0</v>
      </c>
      <c r="MG34" s="98">
        <f>IF(ISBLANK(AF34),1,0)</f>
        <v>0</v>
      </c>
      <c r="MK34" s="98">
        <f>IF(ISBLANK(AJ34),1,0)</f>
        <v>0</v>
      </c>
      <c r="MO34" s="98">
        <f>IF(ISBLANK(AN34),1,0)</f>
        <v>0</v>
      </c>
      <c r="MS34" s="98">
        <f>IF(ISBLANK(AR34),1,0)</f>
        <v>0</v>
      </c>
      <c r="MW34" s="98">
        <f>IF(ISBLANK(AV34),1,0)</f>
        <v>0</v>
      </c>
      <c r="NA34" s="98">
        <f>IF(ISBLANK(AZ34),1,0)</f>
        <v>0</v>
      </c>
      <c r="NE34" s="98">
        <f>IF(ISBLANK(BD34),1,0)</f>
        <v>0</v>
      </c>
    </row>
    <row r="35" spans="2:418" ht="15.75" customHeight="1" thickBot="1">
      <c r="J35" s="1956"/>
      <c r="K35" s="1956"/>
      <c r="L35" s="1956"/>
      <c r="M35" s="1956"/>
      <c r="N35" s="1956"/>
      <c r="O35" s="1956"/>
      <c r="P35" s="1956"/>
      <c r="Q35" s="1956"/>
      <c r="R35" s="1956"/>
      <c r="S35" s="1956"/>
      <c r="T35" s="1956"/>
      <c r="U35" s="1956"/>
      <c r="V35" s="1956"/>
      <c r="W35" s="1956"/>
      <c r="X35" s="1956"/>
      <c r="Y35" s="1956"/>
      <c r="Z35" s="1956"/>
      <c r="AA35" s="1956"/>
      <c r="AB35" s="1956"/>
      <c r="AC35" s="1956"/>
      <c r="AD35" s="1956"/>
      <c r="AE35" s="1956"/>
      <c r="AF35" s="1956"/>
      <c r="AG35" s="1956"/>
      <c r="AH35" s="1956"/>
      <c r="AI35" s="1956"/>
      <c r="AJ35" s="1956"/>
      <c r="AK35" s="1956"/>
      <c r="AL35" s="1956"/>
      <c r="AM35" s="1956"/>
      <c r="AN35" s="1956"/>
      <c r="AO35" s="1956"/>
      <c r="AP35" s="1956"/>
      <c r="AQ35" s="1956"/>
      <c r="AR35" s="1956"/>
      <c r="AS35" s="1956"/>
      <c r="CU35" s="86"/>
      <c r="CV35" s="86"/>
      <c r="CW35" s="86"/>
      <c r="CX35" s="86"/>
      <c r="CY35" s="86"/>
      <c r="CZ35" s="86"/>
      <c r="DA35" s="86"/>
      <c r="DB35" s="86"/>
    </row>
    <row r="36" spans="2:418" ht="31.5" customHeight="1" thickBot="1">
      <c r="J36" s="1930" t="s">
        <v>12152</v>
      </c>
      <c r="K36" s="1931"/>
      <c r="L36" s="1931"/>
      <c r="M36" s="1932"/>
      <c r="N36" s="1933" t="s">
        <v>12152</v>
      </c>
      <c r="O36" s="1934"/>
      <c r="P36" s="1934"/>
      <c r="Q36" s="1935"/>
      <c r="R36" s="1934" t="s">
        <v>12152</v>
      </c>
      <c r="S36" s="1934"/>
      <c r="T36" s="1935"/>
      <c r="U36" s="1936"/>
      <c r="V36" s="1933" t="s">
        <v>12152</v>
      </c>
      <c r="W36" s="1934"/>
      <c r="X36" s="1935"/>
      <c r="Y36" s="1935"/>
      <c r="Z36" s="1933" t="s">
        <v>12153</v>
      </c>
      <c r="AA36" s="1934"/>
      <c r="AB36" s="1935"/>
      <c r="AC36" s="1935"/>
      <c r="AD36" s="1933" t="s">
        <v>12153</v>
      </c>
      <c r="AE36" s="1934"/>
      <c r="AF36" s="1935"/>
      <c r="AG36" s="1935"/>
      <c r="AH36" s="1933" t="s">
        <v>12153</v>
      </c>
      <c r="AI36" s="1934"/>
      <c r="AJ36" s="1935"/>
      <c r="AK36" s="1935"/>
      <c r="AL36" s="1937" t="s">
        <v>12154</v>
      </c>
      <c r="AM36" s="1934"/>
      <c r="AN36" s="1935"/>
      <c r="AO36" s="1935"/>
      <c r="AP36" s="1937" t="s">
        <v>12154</v>
      </c>
      <c r="AQ36" s="1934"/>
      <c r="AR36" s="1935"/>
      <c r="AS36" s="1935"/>
      <c r="AT36" s="1937" t="s">
        <v>12154</v>
      </c>
      <c r="AU36" s="1934"/>
      <c r="AV36" s="1935"/>
      <c r="AW36" s="1935"/>
      <c r="AX36" s="1937" t="s">
        <v>12154</v>
      </c>
      <c r="AY36" s="1934"/>
      <c r="AZ36" s="1935"/>
      <c r="BA36" s="1935"/>
      <c r="BB36" s="1937" t="s">
        <v>12154</v>
      </c>
      <c r="BC36" s="1934"/>
      <c r="BD36" s="1935"/>
      <c r="BE36" s="1935"/>
      <c r="BF36" s="1937" t="s">
        <v>12155</v>
      </c>
      <c r="BG36" s="1934"/>
      <c r="BH36" s="1935"/>
      <c r="BI36" s="1935"/>
      <c r="BJ36" s="1937" t="s">
        <v>12156</v>
      </c>
      <c r="BK36" s="1934"/>
      <c r="BL36" s="1935"/>
      <c r="BM36" s="1935"/>
      <c r="BN36" s="1937" t="s">
        <v>12156</v>
      </c>
      <c r="BO36" s="1934"/>
      <c r="BP36" s="1935"/>
      <c r="BQ36" s="1935"/>
      <c r="BR36" s="1937" t="s">
        <v>12156</v>
      </c>
      <c r="BS36" s="1934"/>
      <c r="BT36" s="1935"/>
      <c r="BU36" s="1935"/>
      <c r="BV36" s="1937" t="s">
        <v>12156</v>
      </c>
      <c r="BW36" s="1934"/>
      <c r="BX36" s="1935"/>
      <c r="BY36" s="1935"/>
      <c r="BZ36" s="1937" t="s">
        <v>12156</v>
      </c>
      <c r="CA36" s="1934"/>
      <c r="CB36" s="1935"/>
      <c r="CC36" s="1935"/>
      <c r="CD36" s="1937" t="s">
        <v>12156</v>
      </c>
      <c r="CE36" s="1934"/>
      <c r="CF36" s="1935"/>
      <c r="CG36" s="1935"/>
      <c r="CH36" s="1937" t="s">
        <v>12156</v>
      </c>
      <c r="CI36" s="1934"/>
      <c r="CJ36" s="1935"/>
      <c r="CK36" s="1935"/>
      <c r="CL36" s="1937" t="s">
        <v>12156</v>
      </c>
      <c r="CM36" s="1934"/>
      <c r="CN36" s="1935"/>
      <c r="CO36" s="1935"/>
      <c r="CP36" s="1937" t="s">
        <v>12156</v>
      </c>
      <c r="CQ36" s="1934"/>
      <c r="CR36" s="1935"/>
      <c r="CS36" s="1935"/>
      <c r="CT36" s="1937" t="s">
        <v>12156</v>
      </c>
      <c r="CU36" s="1934"/>
      <c r="CV36" s="1935"/>
      <c r="CW36" s="1935"/>
      <c r="CX36" s="1937" t="s">
        <v>12156</v>
      </c>
      <c r="CY36" s="1934"/>
      <c r="CZ36" s="1935"/>
      <c r="DA36" s="1935"/>
      <c r="LK36" s="1930" t="s">
        <v>12152</v>
      </c>
      <c r="LL36" s="1931"/>
      <c r="LM36" s="1931"/>
      <c r="LN36" s="1932"/>
      <c r="LO36" s="1933" t="s">
        <v>12152</v>
      </c>
      <c r="LP36" s="1934"/>
      <c r="LQ36" s="1934"/>
      <c r="LR36" s="1935"/>
      <c r="LS36" s="1934" t="s">
        <v>12152</v>
      </c>
      <c r="LT36" s="1934"/>
      <c r="LU36" s="1935"/>
      <c r="LV36" s="1936"/>
      <c r="LW36" s="1933" t="s">
        <v>12152</v>
      </c>
      <c r="LX36" s="1934"/>
      <c r="LY36" s="1935"/>
      <c r="LZ36" s="1935"/>
      <c r="MA36" s="1933" t="s">
        <v>12153</v>
      </c>
      <c r="MB36" s="1934"/>
      <c r="MC36" s="1935"/>
      <c r="MD36" s="1935"/>
      <c r="ME36" s="1933" t="s">
        <v>12153</v>
      </c>
      <c r="MF36" s="1934"/>
      <c r="MG36" s="1935"/>
      <c r="MH36" s="1935"/>
      <c r="MI36" s="1933" t="s">
        <v>12153</v>
      </c>
      <c r="MJ36" s="1934"/>
      <c r="MK36" s="1935"/>
      <c r="ML36" s="1935"/>
      <c r="MM36" s="1937" t="s">
        <v>12154</v>
      </c>
      <c r="MN36" s="1934"/>
      <c r="MO36" s="1935"/>
      <c r="MP36" s="1935"/>
      <c r="MQ36" s="1937" t="s">
        <v>12154</v>
      </c>
      <c r="MR36" s="1934"/>
      <c r="MS36" s="1935"/>
      <c r="MT36" s="1935"/>
      <c r="MU36" s="1937" t="s">
        <v>12154</v>
      </c>
      <c r="MV36" s="1934"/>
      <c r="MW36" s="1935"/>
      <c r="MX36" s="1935"/>
      <c r="MY36" s="1937" t="s">
        <v>12154</v>
      </c>
      <c r="MZ36" s="1934"/>
      <c r="NA36" s="1935"/>
      <c r="NB36" s="1935"/>
      <c r="NC36" s="1937" t="s">
        <v>12154</v>
      </c>
      <c r="ND36" s="1934"/>
      <c r="NE36" s="1935"/>
      <c r="NF36" s="1935"/>
      <c r="NG36" s="1937" t="s">
        <v>12155</v>
      </c>
      <c r="NH36" s="1934"/>
      <c r="NI36" s="1935"/>
      <c r="NJ36" s="1935"/>
      <c r="NK36" s="1937" t="s">
        <v>12156</v>
      </c>
      <c r="NL36" s="1934"/>
      <c r="NM36" s="1935"/>
      <c r="NN36" s="1935"/>
      <c r="NO36" s="1937" t="s">
        <v>12156</v>
      </c>
      <c r="NP36" s="1934"/>
      <c r="NQ36" s="1935"/>
      <c r="NR36" s="1935"/>
      <c r="NS36" s="1937" t="s">
        <v>12156</v>
      </c>
      <c r="NT36" s="1934"/>
      <c r="NU36" s="1935"/>
      <c r="NV36" s="1935"/>
      <c r="NW36" s="1937" t="s">
        <v>12156</v>
      </c>
      <c r="NX36" s="1934"/>
      <c r="NY36" s="1935"/>
      <c r="NZ36" s="1935"/>
      <c r="OA36" s="1937" t="s">
        <v>12156</v>
      </c>
      <c r="OB36" s="1934"/>
      <c r="OC36" s="1935"/>
      <c r="OD36" s="1935"/>
      <c r="OE36" s="1937" t="s">
        <v>12156</v>
      </c>
      <c r="OF36" s="1934"/>
      <c r="OG36" s="1935"/>
      <c r="OH36" s="1935"/>
      <c r="OI36" s="1937" t="s">
        <v>12156</v>
      </c>
      <c r="OJ36" s="1934"/>
      <c r="OK36" s="1935"/>
      <c r="OL36" s="1935"/>
      <c r="OM36" s="1937" t="s">
        <v>12156</v>
      </c>
      <c r="ON36" s="1934"/>
      <c r="OO36" s="1935"/>
      <c r="OP36" s="1935"/>
      <c r="OQ36" s="1937" t="s">
        <v>12156</v>
      </c>
      <c r="OR36" s="1934"/>
      <c r="OS36" s="1935"/>
      <c r="OT36" s="1935"/>
      <c r="OU36" s="1937" t="s">
        <v>12156</v>
      </c>
      <c r="OV36" s="1934"/>
      <c r="OW36" s="1935"/>
      <c r="OX36" s="1935"/>
      <c r="OY36" s="1937" t="s">
        <v>12156</v>
      </c>
      <c r="OZ36" s="1934"/>
      <c r="PA36" s="1935"/>
      <c r="PB36" s="1935"/>
    </row>
    <row r="37" spans="2:418" ht="18.75" customHeight="1">
      <c r="J37" s="1930" t="s">
        <v>1135</v>
      </c>
      <c r="K37" s="1931"/>
      <c r="L37" s="1931"/>
      <c r="M37" s="1932"/>
      <c r="N37" s="1930" t="s">
        <v>12157</v>
      </c>
      <c r="O37" s="1931"/>
      <c r="P37" s="1931"/>
      <c r="Q37" s="1932"/>
      <c r="R37" s="1930" t="s">
        <v>12158</v>
      </c>
      <c r="S37" s="1931"/>
      <c r="T37" s="1931"/>
      <c r="U37" s="1932"/>
      <c r="V37" s="1930" t="s">
        <v>12159</v>
      </c>
      <c r="W37" s="1931"/>
      <c r="X37" s="1931"/>
      <c r="Y37" s="1932"/>
      <c r="Z37" s="1930" t="s">
        <v>11965</v>
      </c>
      <c r="AA37" s="1931"/>
      <c r="AB37" s="1931"/>
      <c r="AC37" s="1932"/>
      <c r="AD37" s="1930" t="s">
        <v>12160</v>
      </c>
      <c r="AE37" s="1931"/>
      <c r="AF37" s="1931"/>
      <c r="AG37" s="1932"/>
      <c r="AH37" s="1930" t="s">
        <v>12161</v>
      </c>
      <c r="AI37" s="1931"/>
      <c r="AJ37" s="1931"/>
      <c r="AK37" s="1932"/>
      <c r="AL37" s="1930" t="s">
        <v>11966</v>
      </c>
      <c r="AM37" s="1931"/>
      <c r="AN37" s="1931"/>
      <c r="AO37" s="1932"/>
      <c r="AP37" s="1930" t="s">
        <v>11967</v>
      </c>
      <c r="AQ37" s="1931"/>
      <c r="AR37" s="1931"/>
      <c r="AS37" s="1932"/>
      <c r="AT37" s="1930" t="s">
        <v>11968</v>
      </c>
      <c r="AU37" s="1931"/>
      <c r="AV37" s="1931"/>
      <c r="AW37" s="1932"/>
      <c r="AX37" s="1930" t="s">
        <v>11969</v>
      </c>
      <c r="AY37" s="1931"/>
      <c r="AZ37" s="1931"/>
      <c r="BA37" s="1932"/>
      <c r="BB37" s="1930" t="s">
        <v>11970</v>
      </c>
      <c r="BC37" s="1931"/>
      <c r="BD37" s="1931"/>
      <c r="BE37" s="1932"/>
      <c r="BF37" s="1930" t="s">
        <v>11971</v>
      </c>
      <c r="BG37" s="1931"/>
      <c r="BH37" s="1931"/>
      <c r="BI37" s="1932"/>
      <c r="BJ37" s="1930" t="s">
        <v>11972</v>
      </c>
      <c r="BK37" s="1931"/>
      <c r="BL37" s="1931"/>
      <c r="BM37" s="1932"/>
      <c r="BN37" s="1930" t="s">
        <v>11973</v>
      </c>
      <c r="BO37" s="1931"/>
      <c r="BP37" s="1931"/>
      <c r="BQ37" s="1932"/>
      <c r="BR37" s="1930" t="s">
        <v>11974</v>
      </c>
      <c r="BS37" s="1931"/>
      <c r="BT37" s="1931"/>
      <c r="BU37" s="1932"/>
      <c r="BV37" s="1930" t="s">
        <v>11975</v>
      </c>
      <c r="BW37" s="1931"/>
      <c r="BX37" s="1931"/>
      <c r="BY37" s="1932"/>
      <c r="BZ37" s="1930" t="s">
        <v>11976</v>
      </c>
      <c r="CA37" s="1931"/>
      <c r="CB37" s="1931"/>
      <c r="CC37" s="1932"/>
      <c r="CD37" s="1930" t="s">
        <v>11977</v>
      </c>
      <c r="CE37" s="1931"/>
      <c r="CF37" s="1931"/>
      <c r="CG37" s="1932"/>
      <c r="CH37" s="1930" t="s">
        <v>11978</v>
      </c>
      <c r="CI37" s="1931"/>
      <c r="CJ37" s="1931"/>
      <c r="CK37" s="1932"/>
      <c r="CL37" s="1930" t="s">
        <v>11979</v>
      </c>
      <c r="CM37" s="1931"/>
      <c r="CN37" s="1931"/>
      <c r="CO37" s="1932"/>
      <c r="CP37" s="1930" t="s">
        <v>11980</v>
      </c>
      <c r="CQ37" s="1931"/>
      <c r="CR37" s="1931"/>
      <c r="CS37" s="1932"/>
      <c r="CT37" s="1930" t="s">
        <v>11981</v>
      </c>
      <c r="CU37" s="1931"/>
      <c r="CV37" s="1931"/>
      <c r="CW37" s="1932"/>
      <c r="CX37" s="1930" t="s">
        <v>12162</v>
      </c>
      <c r="CY37" s="1931"/>
      <c r="CZ37" s="1931"/>
      <c r="DA37" s="1932"/>
      <c r="LK37" s="1930" t="s">
        <v>1135</v>
      </c>
      <c r="LL37" s="1931"/>
      <c r="LM37" s="1931"/>
      <c r="LN37" s="1932"/>
      <c r="LO37" s="1930" t="s">
        <v>12157</v>
      </c>
      <c r="LP37" s="1931"/>
      <c r="LQ37" s="1931"/>
      <c r="LR37" s="1932"/>
      <c r="LS37" s="1930" t="s">
        <v>12158</v>
      </c>
      <c r="LT37" s="1931"/>
      <c r="LU37" s="1931"/>
      <c r="LV37" s="1932"/>
      <c r="LW37" s="1930" t="s">
        <v>12159</v>
      </c>
      <c r="LX37" s="1931"/>
      <c r="LY37" s="1931"/>
      <c r="LZ37" s="1932"/>
      <c r="MA37" s="1930" t="s">
        <v>11965</v>
      </c>
      <c r="MB37" s="1931"/>
      <c r="MC37" s="1931"/>
      <c r="MD37" s="1932"/>
      <c r="ME37" s="1930" t="s">
        <v>12160</v>
      </c>
      <c r="MF37" s="1931"/>
      <c r="MG37" s="1931"/>
      <c r="MH37" s="1932"/>
      <c r="MI37" s="1930" t="s">
        <v>12161</v>
      </c>
      <c r="MJ37" s="1931"/>
      <c r="MK37" s="1931"/>
      <c r="ML37" s="1932"/>
      <c r="MM37" s="1930" t="s">
        <v>11966</v>
      </c>
      <c r="MN37" s="1931"/>
      <c r="MO37" s="1931"/>
      <c r="MP37" s="1932"/>
      <c r="MQ37" s="1930" t="s">
        <v>11967</v>
      </c>
      <c r="MR37" s="1931"/>
      <c r="MS37" s="1931"/>
      <c r="MT37" s="1932"/>
      <c r="MU37" s="1930" t="s">
        <v>11968</v>
      </c>
      <c r="MV37" s="1931"/>
      <c r="MW37" s="1931"/>
      <c r="MX37" s="1932"/>
      <c r="MY37" s="1930" t="s">
        <v>11969</v>
      </c>
      <c r="MZ37" s="1931"/>
      <c r="NA37" s="1931"/>
      <c r="NB37" s="1932"/>
      <c r="NC37" s="1930" t="s">
        <v>11970</v>
      </c>
      <c r="ND37" s="1931"/>
      <c r="NE37" s="1931"/>
      <c r="NF37" s="1932"/>
      <c r="NG37" s="1930" t="s">
        <v>11971</v>
      </c>
      <c r="NH37" s="1931"/>
      <c r="NI37" s="1931"/>
      <c r="NJ37" s="1932"/>
      <c r="NK37" s="1930" t="s">
        <v>11972</v>
      </c>
      <c r="NL37" s="1931"/>
      <c r="NM37" s="1931"/>
      <c r="NN37" s="1932"/>
      <c r="NO37" s="1930" t="s">
        <v>11973</v>
      </c>
      <c r="NP37" s="1931"/>
      <c r="NQ37" s="1931"/>
      <c r="NR37" s="1932"/>
      <c r="NS37" s="1930" t="s">
        <v>11974</v>
      </c>
      <c r="NT37" s="1931"/>
      <c r="NU37" s="1931"/>
      <c r="NV37" s="1932"/>
      <c r="NW37" s="1930" t="s">
        <v>11975</v>
      </c>
      <c r="NX37" s="1931"/>
      <c r="NY37" s="1931"/>
      <c r="NZ37" s="1932"/>
      <c r="OA37" s="1930" t="s">
        <v>11976</v>
      </c>
      <c r="OB37" s="1931"/>
      <c r="OC37" s="1931"/>
      <c r="OD37" s="1932"/>
      <c r="OE37" s="1930" t="s">
        <v>11977</v>
      </c>
      <c r="OF37" s="1931"/>
      <c r="OG37" s="1931"/>
      <c r="OH37" s="1932"/>
      <c r="OI37" s="1930" t="s">
        <v>11978</v>
      </c>
      <c r="OJ37" s="1931"/>
      <c r="OK37" s="1931"/>
      <c r="OL37" s="1932"/>
      <c r="OM37" s="1930" t="s">
        <v>11979</v>
      </c>
      <c r="ON37" s="1931"/>
      <c r="OO37" s="1931"/>
      <c r="OP37" s="1932"/>
      <c r="OQ37" s="1930" t="s">
        <v>11980</v>
      </c>
      <c r="OR37" s="1931"/>
      <c r="OS37" s="1931"/>
      <c r="OT37" s="1932"/>
      <c r="OU37" s="1930" t="s">
        <v>11981</v>
      </c>
      <c r="OV37" s="1931"/>
      <c r="OW37" s="1931"/>
      <c r="OX37" s="1932"/>
      <c r="OY37" s="1930" t="s">
        <v>12162</v>
      </c>
      <c r="OZ37" s="1931"/>
      <c r="PA37" s="1931"/>
      <c r="PB37" s="1932"/>
    </row>
    <row r="38" spans="2:418" ht="150" customHeight="1" thickBot="1">
      <c r="B38" s="876"/>
      <c r="C38" s="877"/>
      <c r="D38" s="864"/>
      <c r="E38" s="864"/>
      <c r="F38" s="864"/>
      <c r="G38" s="1957"/>
      <c r="H38" s="1957"/>
      <c r="I38" s="1957"/>
      <c r="J38" s="1940" t="s">
        <v>12163</v>
      </c>
      <c r="K38" s="1941"/>
      <c r="L38" s="1941"/>
      <c r="M38" s="1942"/>
      <c r="N38" s="1940" t="s">
        <v>12164</v>
      </c>
      <c r="O38" s="1941"/>
      <c r="P38" s="1941"/>
      <c r="Q38" s="1942"/>
      <c r="R38" s="1940" t="s">
        <v>12165</v>
      </c>
      <c r="S38" s="1941"/>
      <c r="T38" s="1941"/>
      <c r="U38" s="1942"/>
      <c r="V38" s="1940" t="s">
        <v>12166</v>
      </c>
      <c r="W38" s="1941"/>
      <c r="X38" s="1941"/>
      <c r="Y38" s="1942"/>
      <c r="Z38" s="1940" t="s">
        <v>12167</v>
      </c>
      <c r="AA38" s="1941"/>
      <c r="AB38" s="1941"/>
      <c r="AC38" s="1942"/>
      <c r="AD38" s="1940" t="s">
        <v>12168</v>
      </c>
      <c r="AE38" s="1941"/>
      <c r="AF38" s="1941"/>
      <c r="AG38" s="1942"/>
      <c r="AH38" s="1940" t="s">
        <v>12169</v>
      </c>
      <c r="AI38" s="1941"/>
      <c r="AJ38" s="1941"/>
      <c r="AK38" s="1942"/>
      <c r="AL38" s="1940" t="s">
        <v>12170</v>
      </c>
      <c r="AM38" s="1941"/>
      <c r="AN38" s="1941"/>
      <c r="AO38" s="1942"/>
      <c r="AP38" s="1940" t="s">
        <v>12171</v>
      </c>
      <c r="AQ38" s="1941"/>
      <c r="AR38" s="1941"/>
      <c r="AS38" s="1942"/>
      <c r="AT38" s="1940" t="s">
        <v>12172</v>
      </c>
      <c r="AU38" s="1941"/>
      <c r="AV38" s="1941"/>
      <c r="AW38" s="1942"/>
      <c r="AX38" s="1940" t="s">
        <v>12173</v>
      </c>
      <c r="AY38" s="1941"/>
      <c r="AZ38" s="1941"/>
      <c r="BA38" s="1942"/>
      <c r="BB38" s="1940" t="s">
        <v>12092</v>
      </c>
      <c r="BC38" s="1941"/>
      <c r="BD38" s="1941"/>
      <c r="BE38" s="1942"/>
      <c r="BF38" s="1940" t="s">
        <v>12174</v>
      </c>
      <c r="BG38" s="1941"/>
      <c r="BH38" s="1941"/>
      <c r="BI38" s="1942"/>
      <c r="BJ38" s="1940" t="s">
        <v>12175</v>
      </c>
      <c r="BK38" s="1941"/>
      <c r="BL38" s="1941"/>
      <c r="BM38" s="1942"/>
      <c r="BN38" s="1940" t="s">
        <v>12176</v>
      </c>
      <c r="BO38" s="1941"/>
      <c r="BP38" s="1941"/>
      <c r="BQ38" s="1942"/>
      <c r="BR38" s="1940" t="s">
        <v>12177</v>
      </c>
      <c r="BS38" s="1941"/>
      <c r="BT38" s="1941"/>
      <c r="BU38" s="1942"/>
      <c r="BV38" s="1940" t="s">
        <v>12097</v>
      </c>
      <c r="BW38" s="1941"/>
      <c r="BX38" s="1941"/>
      <c r="BY38" s="1942"/>
      <c r="BZ38" s="1940" t="s">
        <v>12178</v>
      </c>
      <c r="CA38" s="1941"/>
      <c r="CB38" s="1941"/>
      <c r="CC38" s="1942"/>
      <c r="CD38" s="1940" t="s">
        <v>12099</v>
      </c>
      <c r="CE38" s="1941"/>
      <c r="CF38" s="1941"/>
      <c r="CG38" s="1942"/>
      <c r="CH38" s="1940" t="s">
        <v>12100</v>
      </c>
      <c r="CI38" s="1941"/>
      <c r="CJ38" s="1941"/>
      <c r="CK38" s="1942"/>
      <c r="CL38" s="1940" t="s">
        <v>12101</v>
      </c>
      <c r="CM38" s="1941"/>
      <c r="CN38" s="1941"/>
      <c r="CO38" s="1942"/>
      <c r="CP38" s="1940" t="s">
        <v>12102</v>
      </c>
      <c r="CQ38" s="1941"/>
      <c r="CR38" s="1941"/>
      <c r="CS38" s="1942"/>
      <c r="CT38" s="1940" t="s">
        <v>12179</v>
      </c>
      <c r="CU38" s="1941"/>
      <c r="CV38" s="1941"/>
      <c r="CW38" s="1942"/>
      <c r="CX38" s="1940" t="s">
        <v>12092</v>
      </c>
      <c r="CY38" s="1941"/>
      <c r="CZ38" s="1941"/>
      <c r="DA38" s="1942"/>
      <c r="LG38" s="864"/>
      <c r="LH38" s="1957"/>
      <c r="LI38" s="1957"/>
      <c r="LJ38" s="1957"/>
      <c r="LK38" s="1940" t="s">
        <v>12163</v>
      </c>
      <c r="LL38" s="1941"/>
      <c r="LM38" s="1941"/>
      <c r="LN38" s="1942"/>
      <c r="LO38" s="1940" t="s">
        <v>12164</v>
      </c>
      <c r="LP38" s="1941"/>
      <c r="LQ38" s="1941"/>
      <c r="LR38" s="1942"/>
      <c r="LS38" s="1940" t="s">
        <v>12165</v>
      </c>
      <c r="LT38" s="1941"/>
      <c r="LU38" s="1941"/>
      <c r="LV38" s="1942"/>
      <c r="LW38" s="1940" t="s">
        <v>12166</v>
      </c>
      <c r="LX38" s="1941"/>
      <c r="LY38" s="1941"/>
      <c r="LZ38" s="1942"/>
      <c r="MA38" s="1940" t="s">
        <v>12167</v>
      </c>
      <c r="MB38" s="1941"/>
      <c r="MC38" s="1941"/>
      <c r="MD38" s="1942"/>
      <c r="ME38" s="1940" t="s">
        <v>12168</v>
      </c>
      <c r="MF38" s="1941"/>
      <c r="MG38" s="1941"/>
      <c r="MH38" s="1942"/>
      <c r="MI38" s="1940" t="s">
        <v>12169</v>
      </c>
      <c r="MJ38" s="1941"/>
      <c r="MK38" s="1941"/>
      <c r="ML38" s="1942"/>
      <c r="MM38" s="1940" t="s">
        <v>12170</v>
      </c>
      <c r="MN38" s="1941"/>
      <c r="MO38" s="1941"/>
      <c r="MP38" s="1942"/>
      <c r="MQ38" s="1940" t="s">
        <v>12171</v>
      </c>
      <c r="MR38" s="1941"/>
      <c r="MS38" s="1941"/>
      <c r="MT38" s="1942"/>
      <c r="MU38" s="1940" t="s">
        <v>12180</v>
      </c>
      <c r="MV38" s="1941"/>
      <c r="MW38" s="1941"/>
      <c r="MX38" s="1942"/>
      <c r="MY38" s="1940" t="s">
        <v>12173</v>
      </c>
      <c r="MZ38" s="1941"/>
      <c r="NA38" s="1941"/>
      <c r="NB38" s="1942"/>
      <c r="NC38" s="1940" t="s">
        <v>12092</v>
      </c>
      <c r="ND38" s="1941"/>
      <c r="NE38" s="1941"/>
      <c r="NF38" s="1942"/>
      <c r="NG38" s="1940" t="s">
        <v>12093</v>
      </c>
      <c r="NH38" s="1941"/>
      <c r="NI38" s="1941"/>
      <c r="NJ38" s="1942"/>
      <c r="NK38" s="1940" t="s">
        <v>12181</v>
      </c>
      <c r="NL38" s="1941"/>
      <c r="NM38" s="1941"/>
      <c r="NN38" s="1942"/>
      <c r="NO38" s="1940" t="s">
        <v>12176</v>
      </c>
      <c r="NP38" s="1941"/>
      <c r="NQ38" s="1941"/>
      <c r="NR38" s="1942"/>
      <c r="NS38" s="1940" t="s">
        <v>12182</v>
      </c>
      <c r="NT38" s="1941"/>
      <c r="NU38" s="1941"/>
      <c r="NV38" s="1942"/>
      <c r="NW38" s="1940" t="s">
        <v>12097</v>
      </c>
      <c r="NX38" s="1941"/>
      <c r="NY38" s="1941"/>
      <c r="NZ38" s="1942"/>
      <c r="OA38" s="1940" t="s">
        <v>12098</v>
      </c>
      <c r="OB38" s="1941"/>
      <c r="OC38" s="1941"/>
      <c r="OD38" s="1942"/>
      <c r="OE38" s="1940" t="s">
        <v>12099</v>
      </c>
      <c r="OF38" s="1941"/>
      <c r="OG38" s="1941"/>
      <c r="OH38" s="1942"/>
      <c r="OI38" s="1940" t="s">
        <v>12100</v>
      </c>
      <c r="OJ38" s="1941"/>
      <c r="OK38" s="1941"/>
      <c r="OL38" s="1942"/>
      <c r="OM38" s="1940" t="s">
        <v>12101</v>
      </c>
      <c r="ON38" s="1941"/>
      <c r="OO38" s="1941"/>
      <c r="OP38" s="1942"/>
      <c r="OQ38" s="1940" t="s">
        <v>12102</v>
      </c>
      <c r="OR38" s="1941"/>
      <c r="OS38" s="1941"/>
      <c r="OT38" s="1942"/>
      <c r="OU38" s="1940" t="s">
        <v>12179</v>
      </c>
      <c r="OV38" s="1941"/>
      <c r="OW38" s="1941"/>
      <c r="OX38" s="1942"/>
      <c r="OY38" s="1940" t="s">
        <v>12092</v>
      </c>
      <c r="OZ38" s="1941"/>
      <c r="PA38" s="1941"/>
      <c r="PB38" s="1942"/>
    </row>
    <row r="39" spans="2:418" ht="15" customHeight="1">
      <c r="B39" s="878" t="s">
        <v>2480</v>
      </c>
      <c r="C39" s="879" t="s">
        <v>4947</v>
      </c>
      <c r="D39" s="865" t="s">
        <v>2396</v>
      </c>
      <c r="E39" s="865" t="s">
        <v>2397</v>
      </c>
      <c r="F39" s="865" t="str">
        <f>F15</f>
        <v>2016-17</v>
      </c>
      <c r="G39" s="865" t="str">
        <f t="shared" ref="G39:I39" si="85">G15</f>
        <v>2017-18</v>
      </c>
      <c r="H39" s="865" t="str">
        <f t="shared" si="85"/>
        <v>2018-19</v>
      </c>
      <c r="I39" s="867" t="str">
        <f t="shared" si="85"/>
        <v>2019-20</v>
      </c>
      <c r="J39" s="1854" t="str">
        <f>$J$15</f>
        <v>2016-17</v>
      </c>
      <c r="K39" s="1855" t="str">
        <f>$K$15</f>
        <v>2017-18</v>
      </c>
      <c r="L39" s="1855" t="str">
        <f>$L$15</f>
        <v>2018-19</v>
      </c>
      <c r="M39" s="1856" t="str">
        <f>$M$15</f>
        <v>2019-20</v>
      </c>
      <c r="N39" s="1854" t="str">
        <f>$J$15</f>
        <v>2016-17</v>
      </c>
      <c r="O39" s="1855" t="str">
        <f>$K$15</f>
        <v>2017-18</v>
      </c>
      <c r="P39" s="1855" t="str">
        <f>$L$15</f>
        <v>2018-19</v>
      </c>
      <c r="Q39" s="1856" t="str">
        <f>$M$15</f>
        <v>2019-20</v>
      </c>
      <c r="R39" s="1854" t="str">
        <f>$J$15</f>
        <v>2016-17</v>
      </c>
      <c r="S39" s="1855" t="str">
        <f>$K$15</f>
        <v>2017-18</v>
      </c>
      <c r="T39" s="1855" t="str">
        <f>$L$15</f>
        <v>2018-19</v>
      </c>
      <c r="U39" s="1856" t="str">
        <f>$M$15</f>
        <v>2019-20</v>
      </c>
      <c r="V39" s="1854" t="str">
        <f>$J$15</f>
        <v>2016-17</v>
      </c>
      <c r="W39" s="1855" t="str">
        <f>$K$15</f>
        <v>2017-18</v>
      </c>
      <c r="X39" s="1855" t="str">
        <f>$L$15</f>
        <v>2018-19</v>
      </c>
      <c r="Y39" s="1856" t="str">
        <f>$M$15</f>
        <v>2019-20</v>
      </c>
      <c r="Z39" s="1854" t="str">
        <f>$J$15</f>
        <v>2016-17</v>
      </c>
      <c r="AA39" s="1855" t="str">
        <f>$K$15</f>
        <v>2017-18</v>
      </c>
      <c r="AB39" s="1855" t="str">
        <f>$L$15</f>
        <v>2018-19</v>
      </c>
      <c r="AC39" s="1856" t="str">
        <f>$M$15</f>
        <v>2019-20</v>
      </c>
      <c r="AD39" s="1854" t="str">
        <f>$J$15</f>
        <v>2016-17</v>
      </c>
      <c r="AE39" s="1855" t="str">
        <f>$K$15</f>
        <v>2017-18</v>
      </c>
      <c r="AF39" s="1855" t="str">
        <f>$L$15</f>
        <v>2018-19</v>
      </c>
      <c r="AG39" s="1856" t="str">
        <f>$M$15</f>
        <v>2019-20</v>
      </c>
      <c r="AH39" s="1854" t="str">
        <f>$J$15</f>
        <v>2016-17</v>
      </c>
      <c r="AI39" s="1855" t="str">
        <f>$K$15</f>
        <v>2017-18</v>
      </c>
      <c r="AJ39" s="1855" t="str">
        <f>$L$15</f>
        <v>2018-19</v>
      </c>
      <c r="AK39" s="1856" t="str">
        <f>$M$15</f>
        <v>2019-20</v>
      </c>
      <c r="AL39" s="1854" t="str">
        <f>$J$15</f>
        <v>2016-17</v>
      </c>
      <c r="AM39" s="1855" t="str">
        <f>$K$15</f>
        <v>2017-18</v>
      </c>
      <c r="AN39" s="1855" t="str">
        <f>$L$15</f>
        <v>2018-19</v>
      </c>
      <c r="AO39" s="1856" t="str">
        <f>$M$15</f>
        <v>2019-20</v>
      </c>
      <c r="AP39" s="1854" t="str">
        <f>$J$15</f>
        <v>2016-17</v>
      </c>
      <c r="AQ39" s="1855" t="str">
        <f>$K$15</f>
        <v>2017-18</v>
      </c>
      <c r="AR39" s="1855" t="str">
        <f>$L$15</f>
        <v>2018-19</v>
      </c>
      <c r="AS39" s="1856" t="str">
        <f>$M$15</f>
        <v>2019-20</v>
      </c>
      <c r="AT39" s="1854" t="str">
        <f>$J$15</f>
        <v>2016-17</v>
      </c>
      <c r="AU39" s="1855" t="str">
        <f>$K$15</f>
        <v>2017-18</v>
      </c>
      <c r="AV39" s="1855" t="str">
        <f>$L$15</f>
        <v>2018-19</v>
      </c>
      <c r="AW39" s="1856" t="str">
        <f>$M$15</f>
        <v>2019-20</v>
      </c>
      <c r="AX39" s="1854" t="str">
        <f>$J$15</f>
        <v>2016-17</v>
      </c>
      <c r="AY39" s="1855" t="str">
        <f>$K$15</f>
        <v>2017-18</v>
      </c>
      <c r="AZ39" s="1855" t="str">
        <f>$L$15</f>
        <v>2018-19</v>
      </c>
      <c r="BA39" s="1856" t="str">
        <f>$M$15</f>
        <v>2019-20</v>
      </c>
      <c r="BB39" s="1854" t="str">
        <f>$J$15</f>
        <v>2016-17</v>
      </c>
      <c r="BC39" s="1855" t="str">
        <f>$K$15</f>
        <v>2017-18</v>
      </c>
      <c r="BD39" s="1855" t="str">
        <f>$L$15</f>
        <v>2018-19</v>
      </c>
      <c r="BE39" s="1856" t="str">
        <f>$M$15</f>
        <v>2019-20</v>
      </c>
      <c r="BF39" s="1854" t="str">
        <f>$J$15</f>
        <v>2016-17</v>
      </c>
      <c r="BG39" s="1855" t="str">
        <f>$K$15</f>
        <v>2017-18</v>
      </c>
      <c r="BH39" s="1855" t="str">
        <f>$L$15</f>
        <v>2018-19</v>
      </c>
      <c r="BI39" s="1856" t="str">
        <f>$M$15</f>
        <v>2019-20</v>
      </c>
      <c r="BJ39" s="1854" t="str">
        <f>$J$15</f>
        <v>2016-17</v>
      </c>
      <c r="BK39" s="1855" t="str">
        <f>$K$15</f>
        <v>2017-18</v>
      </c>
      <c r="BL39" s="1855" t="str">
        <f>$L$15</f>
        <v>2018-19</v>
      </c>
      <c r="BM39" s="1856" t="str">
        <f>$M$15</f>
        <v>2019-20</v>
      </c>
      <c r="BN39" s="1854" t="str">
        <f>$J$15</f>
        <v>2016-17</v>
      </c>
      <c r="BO39" s="1855" t="str">
        <f>$K$15</f>
        <v>2017-18</v>
      </c>
      <c r="BP39" s="1855" t="str">
        <f>$L$15</f>
        <v>2018-19</v>
      </c>
      <c r="BQ39" s="1856" t="str">
        <f>$M$15</f>
        <v>2019-20</v>
      </c>
      <c r="BR39" s="1854" t="str">
        <f>$J$15</f>
        <v>2016-17</v>
      </c>
      <c r="BS39" s="1855" t="str">
        <f>$K$15</f>
        <v>2017-18</v>
      </c>
      <c r="BT39" s="1855" t="str">
        <f>$L$15</f>
        <v>2018-19</v>
      </c>
      <c r="BU39" s="1856" t="str">
        <f>$M$15</f>
        <v>2019-20</v>
      </c>
      <c r="BV39" s="1854" t="str">
        <f>$J$15</f>
        <v>2016-17</v>
      </c>
      <c r="BW39" s="1855" t="str">
        <f>$K$15</f>
        <v>2017-18</v>
      </c>
      <c r="BX39" s="1855" t="str">
        <f>$L$15</f>
        <v>2018-19</v>
      </c>
      <c r="BY39" s="1856" t="str">
        <f>$M$15</f>
        <v>2019-20</v>
      </c>
      <c r="BZ39" s="1854" t="str">
        <f>$J$15</f>
        <v>2016-17</v>
      </c>
      <c r="CA39" s="1855" t="str">
        <f>$K$15</f>
        <v>2017-18</v>
      </c>
      <c r="CB39" s="1855" t="str">
        <f>$L$15</f>
        <v>2018-19</v>
      </c>
      <c r="CC39" s="1856" t="str">
        <f>$M$15</f>
        <v>2019-20</v>
      </c>
      <c r="CD39" s="1854" t="str">
        <f>$J$15</f>
        <v>2016-17</v>
      </c>
      <c r="CE39" s="1855" t="str">
        <f>$K$15</f>
        <v>2017-18</v>
      </c>
      <c r="CF39" s="1855" t="str">
        <f>$L$15</f>
        <v>2018-19</v>
      </c>
      <c r="CG39" s="1856" t="str">
        <f>$M$15</f>
        <v>2019-20</v>
      </c>
      <c r="CH39" s="1854" t="str">
        <f>$J$15</f>
        <v>2016-17</v>
      </c>
      <c r="CI39" s="1855" t="str">
        <f>$K$15</f>
        <v>2017-18</v>
      </c>
      <c r="CJ39" s="1855" t="str">
        <f>$L$15</f>
        <v>2018-19</v>
      </c>
      <c r="CK39" s="1856" t="str">
        <f>$M$15</f>
        <v>2019-20</v>
      </c>
      <c r="CL39" s="1854" t="str">
        <f>$J$15</f>
        <v>2016-17</v>
      </c>
      <c r="CM39" s="1855" t="str">
        <f>$K$15</f>
        <v>2017-18</v>
      </c>
      <c r="CN39" s="1855" t="str">
        <f>$L$15</f>
        <v>2018-19</v>
      </c>
      <c r="CO39" s="1856" t="str">
        <f>$M$15</f>
        <v>2019-20</v>
      </c>
      <c r="CP39" s="1854" t="str">
        <f>$J$15</f>
        <v>2016-17</v>
      </c>
      <c r="CQ39" s="1855" t="str">
        <f>$K$15</f>
        <v>2017-18</v>
      </c>
      <c r="CR39" s="1855" t="str">
        <f>$L$15</f>
        <v>2018-19</v>
      </c>
      <c r="CS39" s="1856" t="str">
        <f>$M$15</f>
        <v>2019-20</v>
      </c>
      <c r="CT39" s="1854" t="str">
        <f>$J$15</f>
        <v>2016-17</v>
      </c>
      <c r="CU39" s="1855" t="str">
        <f>$K$15</f>
        <v>2017-18</v>
      </c>
      <c r="CV39" s="1855" t="str">
        <f>$L$15</f>
        <v>2018-19</v>
      </c>
      <c r="CW39" s="1856" t="str">
        <f>$M$15</f>
        <v>2019-20</v>
      </c>
      <c r="CX39" s="1854" t="str">
        <f>$J$15</f>
        <v>2016-17</v>
      </c>
      <c r="CY39" s="1855" t="str">
        <f>$K$15</f>
        <v>2017-18</v>
      </c>
      <c r="CZ39" s="1855" t="str">
        <f>$L$15</f>
        <v>2018-19</v>
      </c>
      <c r="DA39" s="1856" t="str">
        <f>$M$15</f>
        <v>2019-20</v>
      </c>
      <c r="LF39" s="879" t="s">
        <v>4947</v>
      </c>
      <c r="LG39" s="865" t="str">
        <f>LG15</f>
        <v>2016-17</v>
      </c>
      <c r="LH39" s="865" t="str">
        <f t="shared" ref="LH39:LJ39" si="86">LH15</f>
        <v>2017-18</v>
      </c>
      <c r="LI39" s="865" t="str">
        <f t="shared" si="86"/>
        <v>2018-19</v>
      </c>
      <c r="LJ39" s="866" t="str">
        <f t="shared" si="86"/>
        <v>2019-20</v>
      </c>
      <c r="LK39" s="1854" t="str">
        <f>$J$15</f>
        <v>2016-17</v>
      </c>
      <c r="LL39" s="1855" t="str">
        <f>$K$15</f>
        <v>2017-18</v>
      </c>
      <c r="LM39" s="1855" t="str">
        <f>$L$15</f>
        <v>2018-19</v>
      </c>
      <c r="LN39" s="1856" t="str">
        <f>$M$15</f>
        <v>2019-20</v>
      </c>
      <c r="LO39" s="1854" t="str">
        <f>$J$15</f>
        <v>2016-17</v>
      </c>
      <c r="LP39" s="1855" t="str">
        <f>$K$15</f>
        <v>2017-18</v>
      </c>
      <c r="LQ39" s="1855" t="str">
        <f>$L$15</f>
        <v>2018-19</v>
      </c>
      <c r="LR39" s="1856" t="str">
        <f>$M$15</f>
        <v>2019-20</v>
      </c>
      <c r="LS39" s="1854" t="str">
        <f>$J$15</f>
        <v>2016-17</v>
      </c>
      <c r="LT39" s="1855" t="str">
        <f>$K$15</f>
        <v>2017-18</v>
      </c>
      <c r="LU39" s="1855" t="str">
        <f>$L$15</f>
        <v>2018-19</v>
      </c>
      <c r="LV39" s="1856" t="str">
        <f>$M$15</f>
        <v>2019-20</v>
      </c>
      <c r="LW39" s="1854" t="str">
        <f>$J$15</f>
        <v>2016-17</v>
      </c>
      <c r="LX39" s="1855" t="str">
        <f>$K$15</f>
        <v>2017-18</v>
      </c>
      <c r="LY39" s="1855" t="str">
        <f>$L$15</f>
        <v>2018-19</v>
      </c>
      <c r="LZ39" s="1856" t="str">
        <f>$M$15</f>
        <v>2019-20</v>
      </c>
      <c r="MA39" s="1854" t="str">
        <f>$J$15</f>
        <v>2016-17</v>
      </c>
      <c r="MB39" s="1855" t="str">
        <f>$K$15</f>
        <v>2017-18</v>
      </c>
      <c r="MC39" s="1855" t="str">
        <f>$L$15</f>
        <v>2018-19</v>
      </c>
      <c r="MD39" s="1856" t="str">
        <f>$M$15</f>
        <v>2019-20</v>
      </c>
      <c r="ME39" s="1854" t="str">
        <f>$J$15</f>
        <v>2016-17</v>
      </c>
      <c r="MF39" s="1855" t="str">
        <f>$K$15</f>
        <v>2017-18</v>
      </c>
      <c r="MG39" s="1855" t="str">
        <f>$L$15</f>
        <v>2018-19</v>
      </c>
      <c r="MH39" s="1856" t="str">
        <f>$M$15</f>
        <v>2019-20</v>
      </c>
      <c r="MI39" s="1854" t="str">
        <f>$J$15</f>
        <v>2016-17</v>
      </c>
      <c r="MJ39" s="1855" t="str">
        <f>$K$15</f>
        <v>2017-18</v>
      </c>
      <c r="MK39" s="1855" t="str">
        <f>$L$15</f>
        <v>2018-19</v>
      </c>
      <c r="ML39" s="1856" t="str">
        <f>$M$15</f>
        <v>2019-20</v>
      </c>
      <c r="MM39" s="1854" t="str">
        <f>$J$15</f>
        <v>2016-17</v>
      </c>
      <c r="MN39" s="1855" t="str">
        <f>$K$15</f>
        <v>2017-18</v>
      </c>
      <c r="MO39" s="1855" t="str">
        <f>$L$15</f>
        <v>2018-19</v>
      </c>
      <c r="MP39" s="1856" t="str">
        <f>$M$15</f>
        <v>2019-20</v>
      </c>
      <c r="MQ39" s="1854" t="str">
        <f>$J$15</f>
        <v>2016-17</v>
      </c>
      <c r="MR39" s="1855" t="str">
        <f>$K$15</f>
        <v>2017-18</v>
      </c>
      <c r="MS39" s="1855" t="str">
        <f>$L$15</f>
        <v>2018-19</v>
      </c>
      <c r="MT39" s="1856" t="str">
        <f>$M$15</f>
        <v>2019-20</v>
      </c>
      <c r="MU39" s="1854" t="str">
        <f>$J$15</f>
        <v>2016-17</v>
      </c>
      <c r="MV39" s="1855" t="str">
        <f>$K$15</f>
        <v>2017-18</v>
      </c>
      <c r="MW39" s="1855" t="str">
        <f>$L$15</f>
        <v>2018-19</v>
      </c>
      <c r="MX39" s="1856" t="str">
        <f>$M$15</f>
        <v>2019-20</v>
      </c>
      <c r="MY39" s="1854" t="str">
        <f>$J$15</f>
        <v>2016-17</v>
      </c>
      <c r="MZ39" s="1855" t="str">
        <f>$K$15</f>
        <v>2017-18</v>
      </c>
      <c r="NA39" s="1855" t="str">
        <f>$L$15</f>
        <v>2018-19</v>
      </c>
      <c r="NB39" s="1856" t="str">
        <f>$M$15</f>
        <v>2019-20</v>
      </c>
      <c r="NC39" s="1854" t="str">
        <f>$J$15</f>
        <v>2016-17</v>
      </c>
      <c r="ND39" s="1855" t="str">
        <f>$K$15</f>
        <v>2017-18</v>
      </c>
      <c r="NE39" s="1855" t="str">
        <f>$L$15</f>
        <v>2018-19</v>
      </c>
      <c r="NF39" s="1856" t="str">
        <f>$M$15</f>
        <v>2019-20</v>
      </c>
      <c r="NG39" s="1854" t="str">
        <f>$J$15</f>
        <v>2016-17</v>
      </c>
      <c r="NH39" s="1855" t="str">
        <f>$K$15</f>
        <v>2017-18</v>
      </c>
      <c r="NI39" s="1855" t="str">
        <f>$L$15</f>
        <v>2018-19</v>
      </c>
      <c r="NJ39" s="1856" t="str">
        <f>$M$15</f>
        <v>2019-20</v>
      </c>
      <c r="NK39" s="1854" t="str">
        <f>$J$15</f>
        <v>2016-17</v>
      </c>
      <c r="NL39" s="1855" t="str">
        <f>$K$15</f>
        <v>2017-18</v>
      </c>
      <c r="NM39" s="1855" t="str">
        <f>$L$15</f>
        <v>2018-19</v>
      </c>
      <c r="NN39" s="1856" t="str">
        <f>$M$15</f>
        <v>2019-20</v>
      </c>
      <c r="NO39" s="1854" t="str">
        <f>$J$15</f>
        <v>2016-17</v>
      </c>
      <c r="NP39" s="1855" t="str">
        <f>$K$15</f>
        <v>2017-18</v>
      </c>
      <c r="NQ39" s="1855" t="str">
        <f>$L$15</f>
        <v>2018-19</v>
      </c>
      <c r="NR39" s="1856" t="str">
        <f>$M$15</f>
        <v>2019-20</v>
      </c>
      <c r="NS39" s="1854" t="str">
        <f>$J$15</f>
        <v>2016-17</v>
      </c>
      <c r="NT39" s="1855" t="str">
        <f>$K$15</f>
        <v>2017-18</v>
      </c>
      <c r="NU39" s="1855" t="str">
        <f>$L$15</f>
        <v>2018-19</v>
      </c>
      <c r="NV39" s="1856" t="str">
        <f>$M$15</f>
        <v>2019-20</v>
      </c>
      <c r="NW39" s="1854" t="str">
        <f>$J$15</f>
        <v>2016-17</v>
      </c>
      <c r="NX39" s="1855" t="str">
        <f>$K$15</f>
        <v>2017-18</v>
      </c>
      <c r="NY39" s="1855" t="str">
        <f>$L$15</f>
        <v>2018-19</v>
      </c>
      <c r="NZ39" s="1856" t="str">
        <f>$M$15</f>
        <v>2019-20</v>
      </c>
      <c r="OA39" s="1854" t="str">
        <f>$J$15</f>
        <v>2016-17</v>
      </c>
      <c r="OB39" s="1855" t="str">
        <f>$K$15</f>
        <v>2017-18</v>
      </c>
      <c r="OC39" s="1855" t="str">
        <f>$L$15</f>
        <v>2018-19</v>
      </c>
      <c r="OD39" s="1856" t="str">
        <f>$M$15</f>
        <v>2019-20</v>
      </c>
      <c r="OE39" s="1854" t="str">
        <f>$J$15</f>
        <v>2016-17</v>
      </c>
      <c r="OF39" s="1855" t="str">
        <f>$K$15</f>
        <v>2017-18</v>
      </c>
      <c r="OG39" s="1855" t="str">
        <f>$L$15</f>
        <v>2018-19</v>
      </c>
      <c r="OH39" s="1856" t="str">
        <f>$M$15</f>
        <v>2019-20</v>
      </c>
      <c r="OI39" s="1854" t="str">
        <f>$J$15</f>
        <v>2016-17</v>
      </c>
      <c r="OJ39" s="1855" t="str">
        <f>$K$15</f>
        <v>2017-18</v>
      </c>
      <c r="OK39" s="1855" t="str">
        <f>$L$15</f>
        <v>2018-19</v>
      </c>
      <c r="OL39" s="1856" t="str">
        <f>$M$15</f>
        <v>2019-20</v>
      </c>
      <c r="OM39" s="1854" t="str">
        <f>$J$15</f>
        <v>2016-17</v>
      </c>
      <c r="ON39" s="1855" t="str">
        <f>$K$15</f>
        <v>2017-18</v>
      </c>
      <c r="OO39" s="1855" t="str">
        <f>$L$15</f>
        <v>2018-19</v>
      </c>
      <c r="OP39" s="1856" t="str">
        <f>$M$15</f>
        <v>2019-20</v>
      </c>
      <c r="OQ39" s="1854" t="str">
        <f>$J$15</f>
        <v>2016-17</v>
      </c>
      <c r="OR39" s="1855" t="str">
        <f>$K$15</f>
        <v>2017-18</v>
      </c>
      <c r="OS39" s="1855" t="str">
        <f>$L$15</f>
        <v>2018-19</v>
      </c>
      <c r="OT39" s="1856" t="str">
        <f>$M$15</f>
        <v>2019-20</v>
      </c>
      <c r="OU39" s="1854" t="str">
        <f>$J$15</f>
        <v>2016-17</v>
      </c>
      <c r="OV39" s="1855" t="str">
        <f>$K$15</f>
        <v>2017-18</v>
      </c>
      <c r="OW39" s="1855" t="str">
        <f>$L$15</f>
        <v>2018-19</v>
      </c>
      <c r="OX39" s="1856" t="str">
        <f>$M$15</f>
        <v>2019-20</v>
      </c>
      <c r="OY39" s="1854" t="str">
        <f>$J$15</f>
        <v>2016-17</v>
      </c>
      <c r="OZ39" s="1855" t="str">
        <f>$K$15</f>
        <v>2017-18</v>
      </c>
      <c r="PA39" s="1855" t="str">
        <f>$L$15</f>
        <v>2018-19</v>
      </c>
      <c r="PB39" s="1856" t="str">
        <f>$M$15</f>
        <v>2019-20</v>
      </c>
    </row>
    <row r="40" spans="2:418" ht="15" thickBot="1">
      <c r="B40" s="880">
        <v>8</v>
      </c>
      <c r="C40" s="881" t="s">
        <v>4942</v>
      </c>
      <c r="D40" s="868" t="s">
        <v>11218</v>
      </c>
      <c r="E40" s="882" t="s">
        <v>4940</v>
      </c>
      <c r="F40" s="1966"/>
      <c r="G40" s="3188">
        <f>'[1]3S'!G40</f>
        <v>138.32</v>
      </c>
      <c r="H40" s="3189">
        <f>'[1]3S'!H40</f>
        <v>154.15</v>
      </c>
      <c r="I40" s="2401"/>
      <c r="J40" s="1953"/>
      <c r="K40" s="1944" t="str">
        <f>'[1]3S'!K40</f>
        <v>Green</v>
      </c>
      <c r="L40" s="1945" t="str">
        <f>'[1]3S'!L40</f>
        <v>Green</v>
      </c>
      <c r="M40" s="1955"/>
      <c r="N40" s="1953"/>
      <c r="O40" s="1944" t="str">
        <f>'[1]3S'!O40</f>
        <v>Amber</v>
      </c>
      <c r="P40" s="1945" t="str">
        <f>'[1]3S'!P40</f>
        <v>Green</v>
      </c>
      <c r="Q40" s="1955"/>
      <c r="R40" s="1953"/>
      <c r="S40" s="1944" t="str">
        <f>'[1]3S'!S40</f>
        <v>Green</v>
      </c>
      <c r="T40" s="1945" t="str">
        <f>'[1]3S'!T40</f>
        <v>Green</v>
      </c>
      <c r="U40" s="1955"/>
      <c r="V40" s="1953"/>
      <c r="W40" s="1944" t="str">
        <f>'[1]3S'!W40</f>
        <v>Green</v>
      </c>
      <c r="X40" s="1945" t="str">
        <f>'[1]3S'!X40</f>
        <v>Green</v>
      </c>
      <c r="Y40" s="1955"/>
      <c r="Z40" s="1953"/>
      <c r="AA40" s="1944" t="str">
        <f>'[1]3S'!AA40</f>
        <v>Amber</v>
      </c>
      <c r="AB40" s="1945" t="str">
        <f>'[1]3S'!AB40</f>
        <v>Amber</v>
      </c>
      <c r="AC40" s="1955"/>
      <c r="AD40" s="1953"/>
      <c r="AE40" s="1944" t="str">
        <f>'[1]3S'!AE40</f>
        <v>Green</v>
      </c>
      <c r="AF40" s="1945" t="str">
        <f>'[1]3S'!AF40</f>
        <v>Green</v>
      </c>
      <c r="AG40" s="1955"/>
      <c r="AH40" s="1953"/>
      <c r="AI40" s="1944" t="str">
        <f>'[1]3S'!AI40</f>
        <v>Green</v>
      </c>
      <c r="AJ40" s="1945" t="str">
        <f>'[1]3S'!AJ40</f>
        <v>Green</v>
      </c>
      <c r="AK40" s="1955"/>
      <c r="AL40" s="1953"/>
      <c r="AM40" s="1944" t="str">
        <f>'[1]3S'!AM40</f>
        <v>Amber</v>
      </c>
      <c r="AN40" s="1945" t="str">
        <f>'[1]3S'!AN40</f>
        <v>Amber</v>
      </c>
      <c r="AO40" s="1955"/>
      <c r="AP40" s="1953"/>
      <c r="AQ40" s="1944" t="str">
        <f>'[1]3S'!AQ40</f>
        <v>Amber</v>
      </c>
      <c r="AR40" s="1945" t="str">
        <f>'[1]3S'!AR40</f>
        <v>Amber</v>
      </c>
      <c r="AS40" s="1955"/>
      <c r="AT40" s="1953"/>
      <c r="AU40" s="1944" t="str">
        <f>'[1]3S'!AU40</f>
        <v>Green</v>
      </c>
      <c r="AV40" s="1945" t="str">
        <f>'[1]3S'!AV40</f>
        <v>Green</v>
      </c>
      <c r="AW40" s="1955"/>
      <c r="AX40" s="1953"/>
      <c r="AY40" s="1944" t="str">
        <f>'[1]3S'!AY40</f>
        <v>Green</v>
      </c>
      <c r="AZ40" s="1945" t="str">
        <f>'[1]3S'!AZ40</f>
        <v>Green</v>
      </c>
      <c r="BA40" s="1955"/>
      <c r="BB40" s="1953"/>
      <c r="BC40" s="1944" t="str">
        <f>'[1]3S'!BC40</f>
        <v>Green</v>
      </c>
      <c r="BD40" s="1945" t="str">
        <f>'[1]3S'!BD40</f>
        <v>Green</v>
      </c>
      <c r="BE40" s="1955"/>
      <c r="BF40" s="1953"/>
      <c r="BG40" s="1944" t="str">
        <f>'[1]3S'!BG40</f>
        <v>Amber</v>
      </c>
      <c r="BH40" s="1945" t="str">
        <f>'[1]3S'!BH40</f>
        <v>Amber</v>
      </c>
      <c r="BI40" s="1955"/>
      <c r="BJ40" s="1953"/>
      <c r="BK40" s="1944" t="str">
        <f>'[1]3S'!BK40</f>
        <v>Green</v>
      </c>
      <c r="BL40" s="1945" t="str">
        <f>'[1]3S'!BL40</f>
        <v>Green</v>
      </c>
      <c r="BM40" s="1955"/>
      <c r="BN40" s="1953"/>
      <c r="BO40" s="1944" t="str">
        <f>'[1]3S'!BO40</f>
        <v>Red</v>
      </c>
      <c r="BP40" s="1945" t="str">
        <f>'[1]3S'!BP40</f>
        <v>Amber</v>
      </c>
      <c r="BQ40" s="1955"/>
      <c r="BR40" s="1953"/>
      <c r="BS40" s="1944" t="str">
        <f>'[1]3S'!BS40</f>
        <v>Red</v>
      </c>
      <c r="BT40" s="1945" t="e">
        <f>'[1]3S'!BT40</f>
        <v>#REF!</v>
      </c>
      <c r="BU40" s="1955"/>
      <c r="BV40" s="1953"/>
      <c r="BW40" s="1944" t="str">
        <f>'[1]3S'!BW40</f>
        <v>Amber</v>
      </c>
      <c r="BX40" s="1945" t="str">
        <f>'[1]3S'!BX40</f>
        <v>Amber</v>
      </c>
      <c r="BY40" s="1955"/>
      <c r="BZ40" s="1953"/>
      <c r="CA40" s="1944" t="str">
        <f>'[1]3S'!CA40</f>
        <v>Green</v>
      </c>
      <c r="CB40" s="1945" t="str">
        <f>'[1]3S'!CB40</f>
        <v>Green</v>
      </c>
      <c r="CC40" s="1955"/>
      <c r="CD40" s="1953"/>
      <c r="CE40" s="1944" t="str">
        <f>'[1]3S'!CE40</f>
        <v>Green</v>
      </c>
      <c r="CF40" s="1945" t="str">
        <f>'[1]3S'!CF40</f>
        <v>Amber</v>
      </c>
      <c r="CG40" s="1955"/>
      <c r="CH40" s="1953"/>
      <c r="CI40" s="1944" t="str">
        <f>'[1]3S'!CI40</f>
        <v>Red</v>
      </c>
      <c r="CJ40" s="1945" t="str">
        <f>'[1]3S'!CJ40</f>
        <v>Amber</v>
      </c>
      <c r="CK40" s="1955"/>
      <c r="CL40" s="1953"/>
      <c r="CM40" s="1944" t="e">
        <f>'[1]3S'!CM40</f>
        <v>#REF!</v>
      </c>
      <c r="CN40" s="1945" t="e">
        <f>'[1]3S'!CN40</f>
        <v>#REF!</v>
      </c>
      <c r="CO40" s="1955"/>
      <c r="CP40" s="1953"/>
      <c r="CQ40" s="1944" t="str">
        <f>'[1]3S'!CQ40</f>
        <v>Green</v>
      </c>
      <c r="CR40" s="1945" t="str">
        <f>'[1]3S'!CR40</f>
        <v>Green</v>
      </c>
      <c r="CS40" s="1955"/>
      <c r="CT40" s="1953"/>
      <c r="CU40" s="1944" t="str">
        <f>'[1]3S'!CU40</f>
        <v>Green</v>
      </c>
      <c r="CV40" s="1945" t="str">
        <f>'[1]3S'!CV40</f>
        <v>Green</v>
      </c>
      <c r="CW40" s="1955"/>
      <c r="CX40" s="1953"/>
      <c r="CY40" s="1944" t="str">
        <f>'[1]3S'!CY40</f>
        <v>Green</v>
      </c>
      <c r="CZ40" s="1945" t="str">
        <f>'[1]3S'!CZ40</f>
        <v>Green</v>
      </c>
      <c r="DA40" s="1955"/>
      <c r="LC40" s="521">
        <f xml:space="preserve"> IF( SUM( LE40:XC40 ) = 0, 0, $LG$3 )</f>
        <v>0</v>
      </c>
      <c r="LF40" s="1641">
        <f>SUM(LG40:XC40)</f>
        <v>0</v>
      </c>
      <c r="LI40" s="98">
        <f>IF(ISNUMBER(H40),0,1)</f>
        <v>0</v>
      </c>
      <c r="LM40" s="98">
        <f>IF(ISBLANK(L40),1,0)</f>
        <v>0</v>
      </c>
      <c r="LQ40" s="98">
        <f>IF(ISBLANK(P40),1,0)</f>
        <v>0</v>
      </c>
      <c r="LU40" s="98">
        <f>IF(ISBLANK(T40),1,0)</f>
        <v>0</v>
      </c>
      <c r="LY40" s="98">
        <f>IF(ISBLANK(X40),1,0)</f>
        <v>0</v>
      </c>
      <c r="MC40" s="98">
        <f>IF(ISBLANK(AB40),1,0)</f>
        <v>0</v>
      </c>
      <c r="MG40" s="98">
        <f>IF(ISBLANK(AF40),1,0)</f>
        <v>0</v>
      </c>
      <c r="MK40" s="98">
        <f>IF(ISBLANK(AJ40),1,0)</f>
        <v>0</v>
      </c>
      <c r="MO40" s="98">
        <f>IF(ISBLANK(AN40),1,0)</f>
        <v>0</v>
      </c>
      <c r="MS40" s="98">
        <f>IF(ISBLANK(AR40),1,0)</f>
        <v>0</v>
      </c>
      <c r="MW40" s="98">
        <f>IF(ISBLANK(AV40),1,0)</f>
        <v>0</v>
      </c>
      <c r="NA40" s="98">
        <f>IF(ISBLANK(AZ40),1,0)</f>
        <v>0</v>
      </c>
      <c r="NE40" s="98">
        <f>IF(ISBLANK(BD40),1,0)</f>
        <v>0</v>
      </c>
      <c r="NI40" s="98">
        <f>IF(ISBLANK(BH40),1,0)</f>
        <v>0</v>
      </c>
      <c r="NM40" s="98">
        <f>IF(ISBLANK(BL40),1,0)</f>
        <v>0</v>
      </c>
      <c r="NQ40" s="98">
        <f>IF(ISBLANK(BP40),1,0)</f>
        <v>0</v>
      </c>
      <c r="NU40" s="98">
        <f>IF(ISBLANK(BT40),1,0)</f>
        <v>0</v>
      </c>
      <c r="NY40" s="98">
        <f>IF(ISBLANK(BX40),1,0)</f>
        <v>0</v>
      </c>
      <c r="OC40" s="98">
        <f>IF(ISBLANK(CB40),1,0)</f>
        <v>0</v>
      </c>
      <c r="OG40" s="98">
        <f>IF(ISBLANK(CF40),1,0)</f>
        <v>0</v>
      </c>
      <c r="OK40" s="98">
        <f>IF(ISBLANK(CJ40),1,0)</f>
        <v>0</v>
      </c>
      <c r="OO40" s="98">
        <f>IF(ISBLANK(CN40),1,0)</f>
        <v>0</v>
      </c>
      <c r="OS40" s="98">
        <f>IF(ISBLANK(CR40),1,0)</f>
        <v>0</v>
      </c>
      <c r="OW40" s="98">
        <f>IF(ISBLANK(CV40),1,0)</f>
        <v>0</v>
      </c>
      <c r="PA40" s="98">
        <f>IF(ISBLANK(CZ40),1,0)</f>
        <v>0</v>
      </c>
    </row>
    <row r="41" spans="2:418" ht="15.75" customHeight="1">
      <c r="J41" s="1956"/>
      <c r="K41" s="1956"/>
      <c r="L41" s="1956"/>
      <c r="M41" s="1956"/>
      <c r="N41" s="1956"/>
      <c r="O41" s="1956"/>
      <c r="P41" s="1956"/>
      <c r="Q41" s="1956"/>
      <c r="R41" s="1956"/>
      <c r="S41" s="1956"/>
      <c r="T41" s="1956"/>
      <c r="U41" s="1956"/>
      <c r="V41" s="1956"/>
      <c r="W41" s="1956"/>
      <c r="X41" s="1956"/>
      <c r="Y41" s="1956"/>
      <c r="Z41" s="1956"/>
      <c r="AA41" s="1956"/>
      <c r="AB41" s="1956"/>
      <c r="AC41" s="1956"/>
      <c r="AD41" s="1956"/>
      <c r="AE41" s="1956"/>
      <c r="AF41" s="1956"/>
      <c r="AG41" s="1956"/>
      <c r="AH41" s="1956"/>
      <c r="AI41" s="1956"/>
      <c r="AJ41" s="1956"/>
      <c r="AK41" s="1956"/>
      <c r="AL41" s="1956"/>
      <c r="AM41" s="1956"/>
      <c r="AN41" s="1956"/>
      <c r="AO41" s="1956"/>
      <c r="AP41" s="1956"/>
      <c r="AQ41" s="1956"/>
      <c r="AR41" s="1956"/>
      <c r="AS41" s="1956"/>
      <c r="CW41" s="86"/>
      <c r="CX41" s="86"/>
      <c r="CY41" s="86"/>
      <c r="CZ41" s="86"/>
      <c r="DA41" s="86"/>
      <c r="DB41" s="86"/>
      <c r="DC41" s="86"/>
      <c r="DD41" s="86"/>
    </row>
    <row r="42" spans="2:418" ht="18.75" customHeight="1" thickBot="1">
      <c r="J42" s="1956"/>
      <c r="K42" s="1956"/>
      <c r="L42" s="1956"/>
      <c r="M42" s="1956"/>
      <c r="N42" s="1956"/>
      <c r="O42" s="1956"/>
      <c r="P42" s="1956"/>
      <c r="Q42" s="1956"/>
      <c r="R42" s="1956"/>
      <c r="S42" s="1956"/>
      <c r="T42" s="1956"/>
      <c r="U42" s="1956"/>
      <c r="V42" s="1956"/>
      <c r="W42" s="1956"/>
      <c r="X42" s="1956"/>
      <c r="Y42" s="1956"/>
      <c r="Z42" s="1956"/>
      <c r="AA42" s="1956"/>
      <c r="AB42" s="1956"/>
      <c r="AC42" s="1956"/>
      <c r="AD42" s="1956"/>
      <c r="AE42" s="1956"/>
      <c r="AF42" s="1956"/>
      <c r="AG42" s="1956"/>
      <c r="AH42" s="1956"/>
      <c r="AI42" s="1956"/>
      <c r="AJ42" s="1956"/>
      <c r="AK42" s="1956"/>
      <c r="AL42" s="1956"/>
      <c r="AM42" s="1956"/>
      <c r="AN42" s="1956"/>
      <c r="AO42" s="1956"/>
      <c r="AP42" s="1956"/>
      <c r="AQ42" s="1956"/>
      <c r="AR42" s="1956"/>
      <c r="AS42" s="1956"/>
      <c r="CW42" s="86"/>
      <c r="CX42" s="86"/>
      <c r="CY42" s="86"/>
      <c r="CZ42" s="86"/>
      <c r="DA42" s="86"/>
      <c r="DB42" s="86"/>
      <c r="DC42" s="86"/>
      <c r="DD42" s="86"/>
    </row>
    <row r="43" spans="2:418" ht="18.75" customHeight="1" thickBot="1">
      <c r="B43" s="876"/>
      <c r="C43" s="877"/>
      <c r="D43" s="864"/>
      <c r="E43" s="864"/>
      <c r="F43" s="864"/>
      <c r="G43" s="1957"/>
      <c r="H43" s="1957"/>
      <c r="I43" s="1957"/>
      <c r="J43" s="1956"/>
      <c r="K43" s="1956"/>
      <c r="L43" s="2428" t="s">
        <v>13484</v>
      </c>
      <c r="M43" s="2429"/>
      <c r="N43" s="1956"/>
      <c r="O43" s="1956"/>
      <c r="P43" s="1956"/>
      <c r="Q43" s="1956"/>
      <c r="R43" s="1956"/>
      <c r="S43" s="1956"/>
      <c r="T43" s="1956"/>
      <c r="U43" s="1956"/>
      <c r="V43" s="1956"/>
      <c r="W43" s="1956"/>
      <c r="X43" s="1956"/>
      <c r="Y43" s="1956"/>
      <c r="Z43" s="1956"/>
      <c r="AA43" s="1956"/>
      <c r="AB43" s="1956"/>
      <c r="AC43" s="1956"/>
      <c r="AD43" s="1956"/>
      <c r="AE43" s="1956"/>
      <c r="AF43" s="1956"/>
      <c r="AG43" s="1956"/>
      <c r="AH43" s="1956"/>
      <c r="AI43" s="1956"/>
      <c r="AJ43" s="1956"/>
      <c r="AK43" s="1956"/>
      <c r="AL43" s="1956"/>
      <c r="AM43" s="1956"/>
      <c r="AN43" s="1956"/>
      <c r="AO43" s="1956"/>
      <c r="AP43" s="1956"/>
      <c r="AQ43" s="1956"/>
      <c r="AR43" s="1956"/>
      <c r="AS43" s="1956"/>
      <c r="CW43" s="86"/>
      <c r="CX43" s="86"/>
      <c r="CY43" s="86"/>
      <c r="CZ43" s="86"/>
      <c r="DA43" s="86"/>
      <c r="DB43" s="86"/>
      <c r="DC43" s="86"/>
      <c r="DD43" s="86"/>
      <c r="LM43" s="2428" t="s">
        <v>13484</v>
      </c>
      <c r="LN43" s="2429"/>
    </row>
    <row r="44" spans="2:418" ht="30" customHeight="1">
      <c r="B44" s="878" t="s">
        <v>2718</v>
      </c>
      <c r="C44" s="879" t="s">
        <v>4943</v>
      </c>
      <c r="D44" s="865" t="s">
        <v>2396</v>
      </c>
      <c r="E44" s="865" t="s">
        <v>2397</v>
      </c>
      <c r="F44" s="865" t="str">
        <f>F15</f>
        <v>2016-17</v>
      </c>
      <c r="G44" s="865" t="str">
        <f t="shared" ref="G44:I44" si="87">G15</f>
        <v>2017-18</v>
      </c>
      <c r="H44" s="865" t="str">
        <f t="shared" si="87"/>
        <v>2018-19</v>
      </c>
      <c r="I44" s="867" t="str">
        <f t="shared" si="87"/>
        <v>2019-20</v>
      </c>
      <c r="J44" s="1956"/>
      <c r="K44" s="1956"/>
      <c r="L44" s="2426" t="str">
        <f>H15</f>
        <v>2018-19</v>
      </c>
      <c r="M44" s="2427" t="str">
        <f>I15</f>
        <v>2019-20</v>
      </c>
      <c r="N44" s="1956"/>
      <c r="O44" s="1956"/>
      <c r="P44" s="1956"/>
      <c r="Q44" s="1956"/>
      <c r="R44" s="1956"/>
      <c r="S44" s="1956"/>
      <c r="T44" s="1956"/>
      <c r="U44" s="1956"/>
      <c r="V44" s="1956"/>
      <c r="W44" s="1956"/>
      <c r="X44" s="1956"/>
      <c r="Y44" s="1956"/>
      <c r="Z44" s="1956"/>
      <c r="AA44" s="1956"/>
      <c r="AB44" s="1956"/>
      <c r="AC44" s="1956"/>
      <c r="AD44" s="1956"/>
      <c r="AE44" s="1956"/>
      <c r="AF44" s="1956"/>
      <c r="AG44" s="1956"/>
      <c r="AH44" s="1956"/>
      <c r="AI44" s="1956"/>
      <c r="AJ44" s="1956"/>
      <c r="AK44" s="1956"/>
      <c r="AL44" s="1956"/>
      <c r="AM44" s="1956"/>
      <c r="AN44" s="1956"/>
      <c r="AO44" s="1956"/>
      <c r="AP44" s="1956"/>
      <c r="AQ44" s="1956"/>
      <c r="AR44" s="1956"/>
      <c r="AS44" s="1956"/>
      <c r="CW44" s="86"/>
      <c r="CX44" s="86"/>
      <c r="CY44" s="86"/>
      <c r="CZ44" s="86"/>
      <c r="DA44" s="86"/>
      <c r="DB44" s="86"/>
      <c r="DC44" s="86"/>
      <c r="DD44" s="86"/>
      <c r="LF44" s="879" t="s">
        <v>4943</v>
      </c>
      <c r="LG44" s="865" t="str">
        <f>LG15</f>
        <v>2016-17</v>
      </c>
      <c r="LH44" s="865" t="str">
        <f t="shared" ref="LH44:LJ44" si="88">LH15</f>
        <v>2017-18</v>
      </c>
      <c r="LI44" s="865" t="str">
        <f t="shared" si="88"/>
        <v>2018-19</v>
      </c>
      <c r="LJ44" s="867" t="str">
        <f t="shared" si="88"/>
        <v>2019-20</v>
      </c>
      <c r="LM44" s="865" t="str">
        <f t="shared" ref="LM44:LN44" si="89">LM15</f>
        <v>2018-19</v>
      </c>
      <c r="LN44" s="867" t="str">
        <f t="shared" si="89"/>
        <v>2019-20</v>
      </c>
    </row>
    <row r="45" spans="2:418" ht="30" customHeight="1" thickBot="1">
      <c r="B45" s="880">
        <v>9</v>
      </c>
      <c r="C45" s="881" t="s">
        <v>11219</v>
      </c>
      <c r="D45" s="868" t="s">
        <v>76</v>
      </c>
      <c r="E45" s="882" t="s">
        <v>3938</v>
      </c>
      <c r="F45" s="1964"/>
      <c r="G45" s="3187">
        <f>'[1]3S'!G45</f>
        <v>0</v>
      </c>
      <c r="H45" s="1965">
        <f>'[1]3S'!H45</f>
        <v>0</v>
      </c>
      <c r="I45" s="1967"/>
      <c r="J45" s="1956"/>
      <c r="K45" s="1956"/>
      <c r="L45" s="1944" t="e">
        <f>'[1]3S'!L45</f>
        <v>#REF!</v>
      </c>
      <c r="M45" s="1945" t="e">
        <f>'[1]3S'!M45</f>
        <v>#REF!</v>
      </c>
      <c r="N45" s="1956"/>
      <c r="O45" s="1956"/>
      <c r="P45" s="1956"/>
      <c r="Q45" s="1956"/>
      <c r="R45" s="1956"/>
      <c r="S45" s="1956"/>
      <c r="T45" s="1956"/>
      <c r="U45" s="1956"/>
      <c r="V45" s="1956"/>
      <c r="W45" s="1956"/>
      <c r="X45" s="1956"/>
      <c r="Y45" s="1956"/>
      <c r="Z45" s="1956"/>
      <c r="AA45" s="1956"/>
      <c r="AB45" s="1956"/>
      <c r="AC45" s="1956"/>
      <c r="AD45" s="1956"/>
      <c r="AE45" s="1956"/>
      <c r="AF45" s="1956"/>
      <c r="AG45" s="1956"/>
      <c r="AH45" s="1956"/>
      <c r="AI45" s="1956"/>
      <c r="AJ45" s="1956"/>
      <c r="AK45" s="1956"/>
      <c r="AL45" s="1956"/>
      <c r="AM45" s="1956"/>
      <c r="AN45" s="1956"/>
      <c r="AO45" s="1956"/>
      <c r="AP45" s="1956"/>
      <c r="AQ45" s="1956"/>
      <c r="AR45" s="1956"/>
      <c r="AS45" s="1956"/>
      <c r="CW45" s="86"/>
      <c r="CX45" s="86"/>
      <c r="CY45" s="86"/>
      <c r="CZ45" s="86"/>
      <c r="DA45" s="86"/>
      <c r="DB45" s="86"/>
      <c r="DC45" s="86"/>
      <c r="DD45" s="86"/>
      <c r="LC45" s="521" t="str">
        <f xml:space="preserve"> IF( SUM( LE45:XC45 ) = 0, 0, $LG$3 )</f>
        <v>Please complete all cells in row</v>
      </c>
      <c r="LF45" s="1641">
        <f>SUM(LG45:XC45)</f>
        <v>1</v>
      </c>
      <c r="LI45" s="98">
        <f>IF(ISNUMBER(H45),0,1)</f>
        <v>0</v>
      </c>
      <c r="LM45" s="98">
        <f>IF(ISNUMBER(L45),0,1)</f>
        <v>1</v>
      </c>
    </row>
    <row r="46" spans="2:418" ht="15" thickBot="1">
      <c r="J46" s="1956"/>
      <c r="K46" s="1956"/>
      <c r="L46" s="1956"/>
      <c r="M46" s="1956"/>
      <c r="N46" s="1956"/>
      <c r="O46" s="1956"/>
      <c r="P46" s="1956"/>
      <c r="Q46" s="1956"/>
      <c r="R46" s="1956"/>
      <c r="S46" s="1956"/>
      <c r="T46" s="1956"/>
      <c r="U46" s="1956"/>
      <c r="V46" s="1956"/>
      <c r="W46" s="1956"/>
      <c r="X46" s="1956"/>
      <c r="Y46" s="1956"/>
      <c r="Z46" s="1956"/>
      <c r="AA46" s="1956"/>
      <c r="AB46" s="1956"/>
      <c r="AC46" s="1956"/>
      <c r="AD46" s="1956"/>
      <c r="AE46" s="1956"/>
      <c r="AF46" s="1956"/>
      <c r="AG46" s="1956"/>
      <c r="AH46" s="1956"/>
      <c r="AI46" s="1956"/>
      <c r="AJ46" s="1956"/>
      <c r="AK46" s="1956"/>
      <c r="AL46" s="1956"/>
      <c r="AM46" s="1956"/>
      <c r="AN46" s="1956"/>
      <c r="AO46" s="1956"/>
      <c r="AP46" s="1956"/>
      <c r="AQ46" s="1956"/>
      <c r="AR46" s="1956"/>
      <c r="AS46" s="1956"/>
      <c r="CW46" s="86"/>
      <c r="CX46" s="86"/>
      <c r="CY46" s="86"/>
      <c r="CZ46" s="86"/>
      <c r="DA46" s="86"/>
      <c r="DB46" s="86"/>
      <c r="DC46" s="86"/>
      <c r="DD46" s="86"/>
    </row>
    <row r="47" spans="2:418" ht="18.75" customHeight="1">
      <c r="J47" s="1933" t="s">
        <v>12183</v>
      </c>
      <c r="K47" s="1934"/>
      <c r="L47" s="1934"/>
      <c r="M47" s="1935"/>
      <c r="N47" s="1933" t="s">
        <v>12184</v>
      </c>
      <c r="O47" s="1934"/>
      <c r="P47" s="1934"/>
      <c r="Q47" s="1935"/>
      <c r="R47" s="1933" t="s">
        <v>12184</v>
      </c>
      <c r="S47" s="1934"/>
      <c r="T47" s="1934"/>
      <c r="U47" s="1935"/>
      <c r="V47" s="1933" t="s">
        <v>12184</v>
      </c>
      <c r="W47" s="1934"/>
      <c r="X47" s="1934"/>
      <c r="Y47" s="1935"/>
      <c r="Z47" s="1933" t="s">
        <v>12184</v>
      </c>
      <c r="AA47" s="1934"/>
      <c r="AB47" s="1934"/>
      <c r="AC47" s="1935"/>
      <c r="AD47" s="1933" t="s">
        <v>12184</v>
      </c>
      <c r="AE47" s="1934"/>
      <c r="AF47" s="1934"/>
      <c r="AG47" s="1935"/>
      <c r="AH47" s="1933" t="s">
        <v>12185</v>
      </c>
      <c r="AI47" s="1934"/>
      <c r="AJ47" s="1934"/>
      <c r="AK47" s="1935"/>
      <c r="AL47" s="1933" t="s">
        <v>12185</v>
      </c>
      <c r="AM47" s="1934"/>
      <c r="AN47" s="1934"/>
      <c r="AO47" s="1935"/>
      <c r="AP47" s="1933" t="s">
        <v>12186</v>
      </c>
      <c r="AQ47" s="1934"/>
      <c r="AR47" s="1934"/>
      <c r="AS47" s="1935"/>
      <c r="AT47" s="1933" t="s">
        <v>12187</v>
      </c>
      <c r="AU47" s="1934"/>
      <c r="AV47" s="1934"/>
      <c r="AW47" s="1935"/>
      <c r="AX47" s="1933" t="s">
        <v>12188</v>
      </c>
      <c r="AY47" s="1934"/>
      <c r="AZ47" s="1934"/>
      <c r="BA47" s="1935"/>
      <c r="CW47" s="86"/>
      <c r="CX47" s="86"/>
      <c r="CY47" s="86"/>
      <c r="CZ47" s="86"/>
      <c r="DA47" s="86"/>
      <c r="DB47" s="86"/>
      <c r="DC47" s="86"/>
      <c r="DD47" s="86"/>
      <c r="LK47" s="1933" t="s">
        <v>12183</v>
      </c>
      <c r="LL47" s="1934"/>
      <c r="LM47" s="1934"/>
      <c r="LN47" s="1935"/>
      <c r="LO47" s="1933" t="s">
        <v>12184</v>
      </c>
      <c r="LP47" s="1934"/>
      <c r="LQ47" s="1934"/>
      <c r="LR47" s="1935"/>
      <c r="LS47" s="1933" t="s">
        <v>12184</v>
      </c>
      <c r="LT47" s="1934"/>
      <c r="LU47" s="1934"/>
      <c r="LV47" s="1935"/>
      <c r="LW47" s="1933" t="s">
        <v>12184</v>
      </c>
      <c r="LX47" s="1934"/>
      <c r="LY47" s="1934"/>
      <c r="LZ47" s="1935"/>
      <c r="MA47" s="1933" t="s">
        <v>12184</v>
      </c>
      <c r="MB47" s="1934"/>
      <c r="MC47" s="1934"/>
      <c r="MD47" s="1935"/>
      <c r="ME47" s="1933" t="s">
        <v>12184</v>
      </c>
      <c r="MF47" s="1934"/>
      <c r="MG47" s="1934"/>
      <c r="MH47" s="1935"/>
      <c r="MI47" s="1933" t="s">
        <v>12185</v>
      </c>
      <c r="MJ47" s="1934"/>
      <c r="MK47" s="1934"/>
      <c r="ML47" s="1935"/>
      <c r="MM47" s="1933" t="s">
        <v>12185</v>
      </c>
      <c r="MN47" s="1934"/>
      <c r="MO47" s="1934"/>
      <c r="MP47" s="1935"/>
      <c r="MQ47" s="1933" t="s">
        <v>12186</v>
      </c>
      <c r="MR47" s="1934"/>
      <c r="MS47" s="1934"/>
      <c r="MT47" s="1935"/>
      <c r="MU47" s="1933" t="s">
        <v>12187</v>
      </c>
      <c r="MV47" s="1934"/>
      <c r="MW47" s="1934"/>
      <c r="MX47" s="1935"/>
      <c r="MY47" s="1933" t="s">
        <v>12188</v>
      </c>
      <c r="MZ47" s="1934"/>
      <c r="NA47" s="1934"/>
      <c r="NB47" s="1935"/>
    </row>
    <row r="48" spans="2:418" ht="30" customHeight="1" thickBot="1">
      <c r="B48" s="883"/>
      <c r="C48" s="884"/>
      <c r="D48" s="883"/>
      <c r="E48" s="883"/>
      <c r="F48" s="1968"/>
      <c r="G48" s="1968"/>
      <c r="H48" s="1968"/>
      <c r="I48" s="1968"/>
      <c r="J48" s="1958" t="s">
        <v>1135</v>
      </c>
      <c r="K48" s="1959"/>
      <c r="L48" s="1959"/>
      <c r="M48" s="1960"/>
      <c r="N48" s="1958" t="s">
        <v>12189</v>
      </c>
      <c r="O48" s="1959"/>
      <c r="P48" s="1959"/>
      <c r="Q48" s="1960"/>
      <c r="R48" s="1958" t="s">
        <v>12190</v>
      </c>
      <c r="S48" s="1959"/>
      <c r="T48" s="1959"/>
      <c r="U48" s="1960"/>
      <c r="V48" s="1969" t="s">
        <v>12191</v>
      </c>
      <c r="W48" s="1959"/>
      <c r="X48" s="1959"/>
      <c r="Y48" s="1960"/>
      <c r="Z48" s="1958" t="s">
        <v>12192</v>
      </c>
      <c r="AA48" s="1959"/>
      <c r="AB48" s="1959"/>
      <c r="AC48" s="1960"/>
      <c r="AD48" s="1958" t="s">
        <v>12193</v>
      </c>
      <c r="AE48" s="1959"/>
      <c r="AF48" s="1959"/>
      <c r="AG48" s="1960"/>
      <c r="AH48" s="1958" t="s">
        <v>12194</v>
      </c>
      <c r="AI48" s="1959"/>
      <c r="AJ48" s="1959"/>
      <c r="AK48" s="1960"/>
      <c r="AL48" s="1958" t="s">
        <v>12195</v>
      </c>
      <c r="AM48" s="1959"/>
      <c r="AN48" s="1959"/>
      <c r="AO48" s="1960"/>
      <c r="AP48" s="1958" t="s">
        <v>11971</v>
      </c>
      <c r="AQ48" s="1959"/>
      <c r="AR48" s="1959"/>
      <c r="AS48" s="1960"/>
      <c r="AT48" s="1958" t="s">
        <v>1116</v>
      </c>
      <c r="AU48" s="1959"/>
      <c r="AV48" s="1959"/>
      <c r="AW48" s="1960"/>
      <c r="AX48" s="1958" t="s">
        <v>11988</v>
      </c>
      <c r="AY48" s="1959"/>
      <c r="AZ48" s="1959"/>
      <c r="BA48" s="1960"/>
      <c r="CW48" s="86"/>
      <c r="CX48" s="86"/>
      <c r="CY48" s="86"/>
      <c r="CZ48" s="86"/>
      <c r="DA48" s="86"/>
      <c r="DB48" s="86"/>
      <c r="DC48" s="86"/>
      <c r="DD48" s="86"/>
      <c r="LG48" s="1968"/>
      <c r="LH48" s="1968"/>
      <c r="LI48" s="1968"/>
      <c r="LJ48" s="1968"/>
      <c r="LK48" s="1958" t="s">
        <v>1135</v>
      </c>
      <c r="LL48" s="1959"/>
      <c r="LM48" s="1959"/>
      <c r="LN48" s="1960"/>
      <c r="LO48" s="1958" t="s">
        <v>12189</v>
      </c>
      <c r="LP48" s="1959"/>
      <c r="LQ48" s="1959"/>
      <c r="LR48" s="1960"/>
      <c r="LS48" s="1958" t="s">
        <v>12190</v>
      </c>
      <c r="LT48" s="1959"/>
      <c r="LU48" s="1959"/>
      <c r="LV48" s="1960"/>
      <c r="LW48" s="1969" t="s">
        <v>12191</v>
      </c>
      <c r="LX48" s="1959"/>
      <c r="LY48" s="1959"/>
      <c r="LZ48" s="1960"/>
      <c r="MA48" s="1958" t="s">
        <v>12192</v>
      </c>
      <c r="MB48" s="1959"/>
      <c r="MC48" s="1959"/>
      <c r="MD48" s="1960"/>
      <c r="ME48" s="1958" t="s">
        <v>12193</v>
      </c>
      <c r="MF48" s="1959"/>
      <c r="MG48" s="1959"/>
      <c r="MH48" s="1960"/>
      <c r="MI48" s="1958" t="s">
        <v>12194</v>
      </c>
      <c r="MJ48" s="1959"/>
      <c r="MK48" s="1959"/>
      <c r="ML48" s="1960"/>
      <c r="MM48" s="1958" t="s">
        <v>12195</v>
      </c>
      <c r="MN48" s="1959"/>
      <c r="MO48" s="1959"/>
      <c r="MP48" s="1960"/>
      <c r="MQ48" s="1958" t="s">
        <v>11971</v>
      </c>
      <c r="MR48" s="1959"/>
      <c r="MS48" s="1959"/>
      <c r="MT48" s="1960"/>
      <c r="MU48" s="1958" t="s">
        <v>1116</v>
      </c>
      <c r="MV48" s="1959"/>
      <c r="MW48" s="1959"/>
      <c r="MX48" s="1960"/>
      <c r="MY48" s="1958" t="s">
        <v>11988</v>
      </c>
      <c r="MZ48" s="1959"/>
      <c r="NA48" s="1959"/>
      <c r="NB48" s="1960"/>
    </row>
    <row r="49" spans="2:366">
      <c r="B49" s="878" t="s">
        <v>2719</v>
      </c>
      <c r="C49" s="879" t="s">
        <v>3932</v>
      </c>
      <c r="D49" s="865" t="str">
        <f t="shared" ref="D49:I49" si="90">D15</f>
        <v>Units</v>
      </c>
      <c r="E49" s="865" t="str">
        <f t="shared" si="90"/>
        <v>DPs</v>
      </c>
      <c r="F49" s="865" t="str">
        <f t="shared" si="90"/>
        <v>2016-17</v>
      </c>
      <c r="G49" s="865" t="str">
        <f t="shared" si="90"/>
        <v>2017-18</v>
      </c>
      <c r="H49" s="865" t="str">
        <f t="shared" si="90"/>
        <v>2018-19</v>
      </c>
      <c r="I49" s="866" t="str">
        <f t="shared" si="90"/>
        <v>2019-20</v>
      </c>
      <c r="J49" s="1854" t="str">
        <f>$J$15</f>
        <v>2016-17</v>
      </c>
      <c r="K49" s="1855" t="str">
        <f>$K$15</f>
        <v>2017-18</v>
      </c>
      <c r="L49" s="1855" t="str">
        <f>$L$15</f>
        <v>2018-19</v>
      </c>
      <c r="M49" s="1856" t="str">
        <f>$M$15</f>
        <v>2019-20</v>
      </c>
      <c r="N49" s="1854" t="str">
        <f>$J$15</f>
        <v>2016-17</v>
      </c>
      <c r="O49" s="1855" t="str">
        <f>$K$15</f>
        <v>2017-18</v>
      </c>
      <c r="P49" s="1855" t="str">
        <f>$L$15</f>
        <v>2018-19</v>
      </c>
      <c r="Q49" s="1856" t="str">
        <f>$M$15</f>
        <v>2019-20</v>
      </c>
      <c r="R49" s="1854" t="str">
        <f>$J$15</f>
        <v>2016-17</v>
      </c>
      <c r="S49" s="1855" t="str">
        <f>$K$15</f>
        <v>2017-18</v>
      </c>
      <c r="T49" s="1855" t="str">
        <f>$L$15</f>
        <v>2018-19</v>
      </c>
      <c r="U49" s="1856" t="str">
        <f>$M$15</f>
        <v>2019-20</v>
      </c>
      <c r="V49" s="1854" t="str">
        <f>$J$15</f>
        <v>2016-17</v>
      </c>
      <c r="W49" s="1855" t="str">
        <f>$K$15</f>
        <v>2017-18</v>
      </c>
      <c r="X49" s="1855" t="str">
        <f>$L$15</f>
        <v>2018-19</v>
      </c>
      <c r="Y49" s="1856" t="str">
        <f>$M$15</f>
        <v>2019-20</v>
      </c>
      <c r="Z49" s="1854" t="str">
        <f>$J$15</f>
        <v>2016-17</v>
      </c>
      <c r="AA49" s="1855" t="str">
        <f>$K$15</f>
        <v>2017-18</v>
      </c>
      <c r="AB49" s="1855" t="str">
        <f>$L$15</f>
        <v>2018-19</v>
      </c>
      <c r="AC49" s="1856" t="str">
        <f>$M$15</f>
        <v>2019-20</v>
      </c>
      <c r="AD49" s="1854" t="str">
        <f>$J$15</f>
        <v>2016-17</v>
      </c>
      <c r="AE49" s="1855" t="str">
        <f>$K$15</f>
        <v>2017-18</v>
      </c>
      <c r="AF49" s="1855" t="str">
        <f>$L$15</f>
        <v>2018-19</v>
      </c>
      <c r="AG49" s="1856" t="str">
        <f>$M$15</f>
        <v>2019-20</v>
      </c>
      <c r="AH49" s="1854" t="str">
        <f>$J$15</f>
        <v>2016-17</v>
      </c>
      <c r="AI49" s="1855" t="str">
        <f>$K$15</f>
        <v>2017-18</v>
      </c>
      <c r="AJ49" s="1855" t="str">
        <f>$L$15</f>
        <v>2018-19</v>
      </c>
      <c r="AK49" s="1856" t="str">
        <f>$M$15</f>
        <v>2019-20</v>
      </c>
      <c r="AL49" s="1854" t="str">
        <f>$J$15</f>
        <v>2016-17</v>
      </c>
      <c r="AM49" s="1855" t="str">
        <f>$K$15</f>
        <v>2017-18</v>
      </c>
      <c r="AN49" s="1855" t="str">
        <f>$L$15</f>
        <v>2018-19</v>
      </c>
      <c r="AO49" s="1856" t="str">
        <f>$M$15</f>
        <v>2019-20</v>
      </c>
      <c r="AP49" s="1854" t="str">
        <f>$J$15</f>
        <v>2016-17</v>
      </c>
      <c r="AQ49" s="1855" t="str">
        <f>$K$15</f>
        <v>2017-18</v>
      </c>
      <c r="AR49" s="1855" t="str">
        <f>$L$15</f>
        <v>2018-19</v>
      </c>
      <c r="AS49" s="1856" t="str">
        <f>$M$15</f>
        <v>2019-20</v>
      </c>
      <c r="AT49" s="1854" t="str">
        <f>$J$15</f>
        <v>2016-17</v>
      </c>
      <c r="AU49" s="1855" t="str">
        <f>$K$15</f>
        <v>2017-18</v>
      </c>
      <c r="AV49" s="1855" t="str">
        <f>$L$15</f>
        <v>2018-19</v>
      </c>
      <c r="AW49" s="1856" t="str">
        <f>$M$15</f>
        <v>2019-20</v>
      </c>
      <c r="AX49" s="1854" t="str">
        <f>$J$15</f>
        <v>2016-17</v>
      </c>
      <c r="AY49" s="1855" t="str">
        <f>$K$15</f>
        <v>2017-18</v>
      </c>
      <c r="AZ49" s="1855" t="str">
        <f>$L$15</f>
        <v>2018-19</v>
      </c>
      <c r="BA49" s="1856" t="str">
        <f>$M$15</f>
        <v>2019-20</v>
      </c>
      <c r="CW49" s="86"/>
      <c r="CX49" s="86"/>
      <c r="CY49" s="86"/>
      <c r="CZ49" s="86"/>
      <c r="DA49" s="86"/>
      <c r="DB49" s="86"/>
      <c r="DC49" s="86"/>
      <c r="DD49" s="86"/>
      <c r="LF49" s="879" t="s">
        <v>3932</v>
      </c>
      <c r="LG49" s="865" t="str">
        <f t="shared" ref="LG49:LJ49" si="91">LG15</f>
        <v>2016-17</v>
      </c>
      <c r="LH49" s="865" t="str">
        <f t="shared" si="91"/>
        <v>2017-18</v>
      </c>
      <c r="LI49" s="865" t="str">
        <f t="shared" si="91"/>
        <v>2018-19</v>
      </c>
      <c r="LJ49" s="866" t="str">
        <f t="shared" si="91"/>
        <v>2019-20</v>
      </c>
      <c r="LK49" s="1854" t="str">
        <f>$J$15</f>
        <v>2016-17</v>
      </c>
      <c r="LL49" s="1855" t="str">
        <f>$K$15</f>
        <v>2017-18</v>
      </c>
      <c r="LM49" s="1855" t="str">
        <f>$L$15</f>
        <v>2018-19</v>
      </c>
      <c r="LN49" s="1856" t="str">
        <f>$M$15</f>
        <v>2019-20</v>
      </c>
      <c r="LO49" s="1854" t="str">
        <f>$J$15</f>
        <v>2016-17</v>
      </c>
      <c r="LP49" s="1855" t="str">
        <f>$K$15</f>
        <v>2017-18</v>
      </c>
      <c r="LQ49" s="1855" t="str">
        <f>$L$15</f>
        <v>2018-19</v>
      </c>
      <c r="LR49" s="1856" t="str">
        <f>$M$15</f>
        <v>2019-20</v>
      </c>
      <c r="LS49" s="1854" t="str">
        <f>$J$15</f>
        <v>2016-17</v>
      </c>
      <c r="LT49" s="1855" t="str">
        <f>$K$15</f>
        <v>2017-18</v>
      </c>
      <c r="LU49" s="1855" t="str">
        <f>$L$15</f>
        <v>2018-19</v>
      </c>
      <c r="LV49" s="1856" t="str">
        <f>$M$15</f>
        <v>2019-20</v>
      </c>
      <c r="LW49" s="1854" t="str">
        <f>$J$15</f>
        <v>2016-17</v>
      </c>
      <c r="LX49" s="1855" t="str">
        <f>$K$15</f>
        <v>2017-18</v>
      </c>
      <c r="LY49" s="1855" t="str">
        <f>$L$15</f>
        <v>2018-19</v>
      </c>
      <c r="LZ49" s="1856" t="str">
        <f>$M$15</f>
        <v>2019-20</v>
      </c>
      <c r="MA49" s="1854" t="str">
        <f>$J$15</f>
        <v>2016-17</v>
      </c>
      <c r="MB49" s="1855" t="str">
        <f>$K$15</f>
        <v>2017-18</v>
      </c>
      <c r="MC49" s="1855" t="str">
        <f>$L$15</f>
        <v>2018-19</v>
      </c>
      <c r="MD49" s="1856" t="str">
        <f>$M$15</f>
        <v>2019-20</v>
      </c>
      <c r="ME49" s="1854" t="str">
        <f>$J$15</f>
        <v>2016-17</v>
      </c>
      <c r="MF49" s="1855" t="str">
        <f>$K$15</f>
        <v>2017-18</v>
      </c>
      <c r="MG49" s="1855" t="str">
        <f>$L$15</f>
        <v>2018-19</v>
      </c>
      <c r="MH49" s="1856" t="str">
        <f>$M$15</f>
        <v>2019-20</v>
      </c>
      <c r="MI49" s="1854" t="str">
        <f>$J$15</f>
        <v>2016-17</v>
      </c>
      <c r="MJ49" s="1855" t="str">
        <f>$K$15</f>
        <v>2017-18</v>
      </c>
      <c r="MK49" s="1855" t="str">
        <f>$L$15</f>
        <v>2018-19</v>
      </c>
      <c r="ML49" s="1856" t="str">
        <f>$M$15</f>
        <v>2019-20</v>
      </c>
      <c r="MM49" s="1854" t="str">
        <f>$J$15</f>
        <v>2016-17</v>
      </c>
      <c r="MN49" s="1855" t="str">
        <f>$K$15</f>
        <v>2017-18</v>
      </c>
      <c r="MO49" s="1855" t="str">
        <f>$L$15</f>
        <v>2018-19</v>
      </c>
      <c r="MP49" s="1856" t="str">
        <f>$M$15</f>
        <v>2019-20</v>
      </c>
      <c r="MQ49" s="1854" t="str">
        <f>$J$15</f>
        <v>2016-17</v>
      </c>
      <c r="MR49" s="1855" t="str">
        <f>$K$15</f>
        <v>2017-18</v>
      </c>
      <c r="MS49" s="1855" t="str">
        <f>$L$15</f>
        <v>2018-19</v>
      </c>
      <c r="MT49" s="1856" t="str">
        <f>$M$15</f>
        <v>2019-20</v>
      </c>
      <c r="MU49" s="1854" t="str">
        <f>$J$15</f>
        <v>2016-17</v>
      </c>
      <c r="MV49" s="1855" t="str">
        <f>$K$15</f>
        <v>2017-18</v>
      </c>
      <c r="MW49" s="1855" t="str">
        <f>$L$15</f>
        <v>2018-19</v>
      </c>
      <c r="MX49" s="1856" t="str">
        <f>$M$15</f>
        <v>2019-20</v>
      </c>
      <c r="MY49" s="1854" t="str">
        <f>$J$15</f>
        <v>2016-17</v>
      </c>
      <c r="MZ49" s="1855" t="str">
        <f>$K$15</f>
        <v>2017-18</v>
      </c>
      <c r="NA49" s="1855" t="str">
        <f>$L$15</f>
        <v>2018-19</v>
      </c>
      <c r="NB49" s="1856" t="str">
        <f>$M$15</f>
        <v>2019-20</v>
      </c>
    </row>
    <row r="50" spans="2:366" ht="15" thickBot="1">
      <c r="B50" s="880">
        <v>10</v>
      </c>
      <c r="C50" s="881" t="s">
        <v>13476</v>
      </c>
      <c r="D50" s="868" t="s">
        <v>48</v>
      </c>
      <c r="E50" s="868">
        <v>0</v>
      </c>
      <c r="F50" s="1966"/>
      <c r="G50" s="3190">
        <f>'[1]3S'!G50</f>
        <v>141</v>
      </c>
      <c r="H50" s="2400">
        <f>'[1]3S'!H50</f>
        <v>93</v>
      </c>
      <c r="I50" s="2401"/>
      <c r="J50" s="1953"/>
      <c r="K50" s="1944" t="str">
        <f>'[1]3S'!K50</f>
        <v>Green</v>
      </c>
      <c r="L50" s="1945" t="str">
        <f>'[1]3S'!L50</f>
        <v>Green</v>
      </c>
      <c r="M50" s="1955"/>
      <c r="N50" s="1953"/>
      <c r="O50" s="1944" t="str">
        <f>'[1]3S'!O50</f>
        <v>Green</v>
      </c>
      <c r="P50" s="1945" t="str">
        <f>'[1]3S'!P50</f>
        <v>Green</v>
      </c>
      <c r="Q50" s="1955"/>
      <c r="R50" s="1953"/>
      <c r="S50" s="1944" t="str">
        <f>'[1]3S'!S50</f>
        <v>Amber</v>
      </c>
      <c r="T50" s="1945" t="str">
        <f>'[1]3S'!T50</f>
        <v>Green</v>
      </c>
      <c r="U50" s="1955"/>
      <c r="V50" s="1953"/>
      <c r="W50" s="1944" t="str">
        <f>'[1]3S'!W50</f>
        <v>Green</v>
      </c>
      <c r="X50" s="1945" t="str">
        <f>'[1]3S'!X50</f>
        <v>Green</v>
      </c>
      <c r="Y50" s="1955"/>
      <c r="Z50" s="1953"/>
      <c r="AA50" s="1944" t="str">
        <f>'[1]3S'!AA50</f>
        <v>Amber</v>
      </c>
      <c r="AB50" s="1945" t="str">
        <f>'[1]3S'!AB50</f>
        <v>Amber</v>
      </c>
      <c r="AC50" s="1955"/>
      <c r="AD50" s="1953"/>
      <c r="AE50" s="1944" t="str">
        <f>'[1]3S'!AE50</f>
        <v>Amber</v>
      </c>
      <c r="AF50" s="1945" t="str">
        <f>'[1]3S'!AF50</f>
        <v>Green</v>
      </c>
      <c r="AG50" s="1955"/>
      <c r="AH50" s="1953"/>
      <c r="AI50" s="1944" t="str">
        <f>'[1]3S'!AI50</f>
        <v>Green</v>
      </c>
      <c r="AJ50" s="1945" t="str">
        <f>'[1]3S'!AJ50</f>
        <v>Green</v>
      </c>
      <c r="AK50" s="1955"/>
      <c r="AL50" s="1953"/>
      <c r="AM50" s="1944" t="str">
        <f>'[1]3S'!AM50</f>
        <v>Green</v>
      </c>
      <c r="AN50" s="1945" t="str">
        <f>'[1]3S'!AN50</f>
        <v>Green</v>
      </c>
      <c r="AO50" s="1955"/>
      <c r="AP50" s="1953"/>
      <c r="AQ50" s="1944" t="str">
        <f>'[1]3S'!AQ50</f>
        <v>Green</v>
      </c>
      <c r="AR50" s="1945" t="str">
        <f>'[1]3S'!AR50</f>
        <v>Green</v>
      </c>
      <c r="AS50" s="1955"/>
      <c r="AT50" s="1953"/>
      <c r="AU50" s="1944" t="str">
        <f>'[1]3S'!AU50</f>
        <v>Green</v>
      </c>
      <c r="AV50" s="1945" t="str">
        <f>'[1]3S'!AV50</f>
        <v>Green</v>
      </c>
      <c r="AW50" s="1955"/>
      <c r="AX50" s="1953"/>
      <c r="AY50" s="1944" t="str">
        <f>'[1]3S'!AY50</f>
        <v>Green</v>
      </c>
      <c r="AZ50" s="1945" t="str">
        <f>'[1]3S'!AZ50</f>
        <v>Green</v>
      </c>
      <c r="BA50" s="1955"/>
      <c r="CW50" s="86"/>
      <c r="CX50" s="86"/>
      <c r="CY50" s="86"/>
      <c r="CZ50" s="86"/>
      <c r="DA50" s="86"/>
      <c r="DB50" s="86"/>
      <c r="DC50" s="86"/>
      <c r="DD50" s="86"/>
      <c r="LC50" s="521">
        <f xml:space="preserve"> IF( SUM( LE50:XC50 ) = 0, 0, $LG$3 )</f>
        <v>0</v>
      </c>
      <c r="LF50" s="1641">
        <f>SUM(LG50:XC50)</f>
        <v>0</v>
      </c>
      <c r="LI50" s="98">
        <f>IF(ISNUMBER(H50),0,1)</f>
        <v>0</v>
      </c>
      <c r="LM50" s="98">
        <f>IF(ISBLANK(L50),1,0)</f>
        <v>0</v>
      </c>
      <c r="LQ50" s="98">
        <f>IF(ISBLANK(P50),1,0)</f>
        <v>0</v>
      </c>
      <c r="LU50" s="98">
        <f>IF(ISBLANK(T50),1,0)</f>
        <v>0</v>
      </c>
      <c r="LY50" s="98">
        <f>IF(ISBLANK(X50),1,0)</f>
        <v>0</v>
      </c>
      <c r="MC50" s="98">
        <f>IF(ISBLANK(AB50),1,0)</f>
        <v>0</v>
      </c>
      <c r="MG50" s="98">
        <f>IF(ISBLANK(AF50),1,0)</f>
        <v>0</v>
      </c>
      <c r="MK50" s="98">
        <f>IF(ISBLANK(AJ50),1,0)</f>
        <v>0</v>
      </c>
      <c r="MO50" s="98">
        <f>IF(ISBLANK(AN50),1,0)</f>
        <v>0</v>
      </c>
      <c r="MS50" s="98">
        <f>IF(ISBLANK(AR50),1,0)</f>
        <v>0</v>
      </c>
      <c r="MW50" s="98">
        <f>IF(ISBLANK(AV50),1,0)</f>
        <v>0</v>
      </c>
      <c r="NA50" s="98">
        <f>IF(ISBLANK(AZ50),1,0)</f>
        <v>0</v>
      </c>
    </row>
    <row r="51" spans="2:366">
      <c r="J51" s="1956"/>
      <c r="K51" s="1956"/>
      <c r="L51" s="1956"/>
      <c r="M51" s="1956"/>
      <c r="N51" s="1956"/>
      <c r="O51" s="1956"/>
      <c r="P51" s="1956"/>
      <c r="Q51" s="1956"/>
      <c r="R51" s="1956"/>
      <c r="S51" s="1956"/>
      <c r="T51" s="1956"/>
      <c r="U51" s="1956"/>
      <c r="V51" s="1956"/>
      <c r="W51" s="1956"/>
      <c r="X51" s="1956"/>
      <c r="Y51" s="1956"/>
      <c r="Z51" s="1956"/>
      <c r="AA51" s="1956"/>
      <c r="AB51" s="1956"/>
      <c r="AC51" s="1956"/>
      <c r="AD51" s="1956"/>
      <c r="AE51" s="1956"/>
      <c r="AF51" s="1956"/>
      <c r="AG51" s="1956"/>
      <c r="AH51" s="1956"/>
      <c r="AI51" s="1956"/>
      <c r="AJ51" s="1956"/>
      <c r="AK51" s="1956"/>
      <c r="AL51" s="1956"/>
      <c r="AM51" s="1956"/>
      <c r="AN51" s="1956"/>
      <c r="AO51" s="1956"/>
      <c r="AP51" s="1956"/>
      <c r="AQ51" s="1956"/>
      <c r="AR51" s="1956"/>
      <c r="AS51" s="1956"/>
      <c r="CW51" s="86"/>
      <c r="CX51" s="86"/>
      <c r="CY51" s="86"/>
      <c r="CZ51" s="86"/>
      <c r="DA51" s="86"/>
      <c r="DB51" s="86"/>
      <c r="DC51" s="86"/>
      <c r="DD51" s="86"/>
    </row>
    <row r="52" spans="2:366" ht="18.75" customHeight="1" thickBot="1">
      <c r="J52" s="1956"/>
      <c r="K52" s="1956"/>
      <c r="L52" s="1956"/>
      <c r="M52" s="1956"/>
      <c r="N52" s="1956"/>
      <c r="O52" s="1956"/>
      <c r="P52" s="1956"/>
      <c r="Q52" s="1956"/>
      <c r="R52" s="1956"/>
      <c r="S52" s="1956"/>
      <c r="T52" s="1956"/>
      <c r="U52" s="1956"/>
      <c r="V52" s="1956"/>
      <c r="W52" s="1956"/>
      <c r="X52" s="1956"/>
      <c r="Y52" s="1956"/>
      <c r="Z52" s="1956"/>
      <c r="AA52" s="1956"/>
      <c r="AB52" s="1956"/>
      <c r="AC52" s="1956"/>
      <c r="AD52" s="1956"/>
      <c r="AE52" s="1956"/>
      <c r="AF52" s="1956"/>
      <c r="AG52" s="1956"/>
      <c r="AH52" s="1956"/>
      <c r="AI52" s="1956"/>
      <c r="AJ52" s="1956"/>
      <c r="AK52" s="1956"/>
      <c r="AL52" s="1956"/>
      <c r="AM52" s="1956"/>
      <c r="AN52" s="1956"/>
      <c r="AO52" s="1956"/>
      <c r="AP52" s="1956"/>
      <c r="AQ52" s="1956"/>
      <c r="AR52" s="1956"/>
      <c r="AS52" s="1956"/>
      <c r="CW52" s="86"/>
      <c r="CX52" s="86"/>
      <c r="CY52" s="86"/>
      <c r="CZ52" s="86"/>
      <c r="DA52" s="86"/>
      <c r="DB52" s="86"/>
      <c r="DC52" s="86"/>
      <c r="DD52" s="86"/>
    </row>
    <row r="53" spans="2:366" ht="18.75" customHeight="1">
      <c r="J53" s="1933" t="str">
        <f>J47</f>
        <v>1. Assets causing flooding</v>
      </c>
      <c r="K53" s="1934"/>
      <c r="L53" s="1934"/>
      <c r="M53" s="1935"/>
      <c r="N53" s="1933" t="str">
        <f>N47</f>
        <v>2. Severe weather</v>
      </c>
      <c r="O53" s="1934"/>
      <c r="P53" s="1934"/>
      <c r="Q53" s="1935"/>
      <c r="R53" s="1933" t="str">
        <f>R47</f>
        <v>2. Severe weather</v>
      </c>
      <c r="S53" s="1934"/>
      <c r="T53" s="1934"/>
      <c r="U53" s="1935"/>
      <c r="V53" s="1933" t="str">
        <f>V47</f>
        <v>2. Severe weather</v>
      </c>
      <c r="W53" s="1934"/>
      <c r="X53" s="1934"/>
      <c r="Y53" s="1935"/>
      <c r="Z53" s="1933" t="str">
        <f>Z47</f>
        <v>2. Severe weather</v>
      </c>
      <c r="AA53" s="1934"/>
      <c r="AB53" s="1934"/>
      <c r="AC53" s="1935"/>
      <c r="AD53" s="1933" t="str">
        <f>AD47</f>
        <v>2. Severe weather</v>
      </c>
      <c r="AE53" s="1934"/>
      <c r="AF53" s="1934"/>
      <c r="AG53" s="1935"/>
      <c r="AH53" s="1933" t="str">
        <f>AH47</f>
        <v>3. Internal or external flooding</v>
      </c>
      <c r="AI53" s="1934"/>
      <c r="AJ53" s="1934"/>
      <c r="AK53" s="1935"/>
      <c r="AL53" s="1933" t="str">
        <f>AL47</f>
        <v>3. Internal or external flooding</v>
      </c>
      <c r="AM53" s="1934"/>
      <c r="AN53" s="1934"/>
      <c r="AO53" s="1935"/>
      <c r="AP53" s="1933" t="str">
        <f>AP47</f>
        <v>4. Repeat incidents</v>
      </c>
      <c r="AQ53" s="1934"/>
      <c r="AR53" s="1934"/>
      <c r="AS53" s="1935"/>
      <c r="AT53" s="1933" t="str">
        <f>AT47</f>
        <v>5. Neighbouring properties</v>
      </c>
      <c r="AU53" s="1934"/>
      <c r="AV53" s="1934"/>
      <c r="AW53" s="1935"/>
      <c r="AX53" s="1933" t="str">
        <f>AX47</f>
        <v>6. Records</v>
      </c>
      <c r="AY53" s="1934"/>
      <c r="AZ53" s="1934"/>
      <c r="BA53" s="1935"/>
      <c r="LK53" s="1933" t="str">
        <f>LK47</f>
        <v>1. Assets causing flooding</v>
      </c>
      <c r="LL53" s="1934"/>
      <c r="LM53" s="1934"/>
      <c r="LN53" s="1935"/>
      <c r="LO53" s="1933" t="str">
        <f>LO47</f>
        <v>2. Severe weather</v>
      </c>
      <c r="LP53" s="1934"/>
      <c r="LQ53" s="1934"/>
      <c r="LR53" s="1935"/>
      <c r="LS53" s="1933" t="str">
        <f>LS47</f>
        <v>2. Severe weather</v>
      </c>
      <c r="LT53" s="1934"/>
      <c r="LU53" s="1934"/>
      <c r="LV53" s="1935"/>
      <c r="LW53" s="1933" t="str">
        <f>LW47</f>
        <v>2. Severe weather</v>
      </c>
      <c r="LX53" s="1934"/>
      <c r="LY53" s="1934"/>
      <c r="LZ53" s="1935"/>
      <c r="MA53" s="1933" t="str">
        <f>MA47</f>
        <v>2. Severe weather</v>
      </c>
      <c r="MB53" s="1934"/>
      <c r="MC53" s="1934"/>
      <c r="MD53" s="1935"/>
      <c r="ME53" s="1933" t="str">
        <f>ME47</f>
        <v>2. Severe weather</v>
      </c>
      <c r="MF53" s="1934"/>
      <c r="MG53" s="1934"/>
      <c r="MH53" s="1935"/>
      <c r="MI53" s="1933" t="str">
        <f>MI47</f>
        <v>3. Internal or external flooding</v>
      </c>
      <c r="MJ53" s="1934"/>
      <c r="MK53" s="1934"/>
      <c r="ML53" s="1935"/>
      <c r="MM53" s="1933" t="str">
        <f>MM47</f>
        <v>3. Internal or external flooding</v>
      </c>
      <c r="MN53" s="1934"/>
      <c r="MO53" s="1934"/>
      <c r="MP53" s="1935"/>
      <c r="MQ53" s="1933" t="str">
        <f>MQ47</f>
        <v>4. Repeat incidents</v>
      </c>
      <c r="MR53" s="1934"/>
      <c r="MS53" s="1934"/>
      <c r="MT53" s="1935"/>
      <c r="MU53" s="1933" t="str">
        <f>MU47</f>
        <v>5. Neighbouring properties</v>
      </c>
      <c r="MV53" s="1934"/>
      <c r="MW53" s="1934"/>
      <c r="MX53" s="1935"/>
      <c r="MY53" s="1933" t="str">
        <f>MY47</f>
        <v>6. Records</v>
      </c>
      <c r="MZ53" s="1934"/>
      <c r="NA53" s="1934"/>
      <c r="NB53" s="1935"/>
    </row>
    <row r="54" spans="2:366" ht="30" customHeight="1" thickBot="1">
      <c r="B54" s="883"/>
      <c r="C54" s="884"/>
      <c r="D54" s="883"/>
      <c r="E54" s="883"/>
      <c r="F54" s="1968"/>
      <c r="G54" s="1968"/>
      <c r="H54" s="1968"/>
      <c r="I54" s="1968"/>
      <c r="J54" s="1958" t="str">
        <f>J48</f>
        <v>1a</v>
      </c>
      <c r="K54" s="1959"/>
      <c r="L54" s="1959"/>
      <c r="M54" s="1960"/>
      <c r="N54" s="1958" t="str">
        <f>N48</f>
        <v>2a (individual rainfall events &gt; 1 in 20 years)</v>
      </c>
      <c r="O54" s="1959"/>
      <c r="P54" s="1959"/>
      <c r="Q54" s="1960"/>
      <c r="R54" s="1958" t="str">
        <f>R48</f>
        <v>2b (multiple rainfall events)</v>
      </c>
      <c r="S54" s="1959"/>
      <c r="T54" s="1959"/>
      <c r="U54" s="1960"/>
      <c r="V54" s="1969" t="str">
        <f>V48</f>
        <v>2c (surface water run-off not originated from public sewer)</v>
      </c>
      <c r="W54" s="1959"/>
      <c r="X54" s="1959"/>
      <c r="Y54" s="1960"/>
      <c r="Z54" s="1958" t="str">
        <f>Z48</f>
        <v>2d (river levels &gt; 1 in 100 year return period)</v>
      </c>
      <c r="AA54" s="1959"/>
      <c r="AB54" s="1959"/>
      <c r="AC54" s="1960"/>
      <c r="AD54" s="1958" t="str">
        <f>AD48</f>
        <v>2e (flood estimation handbook - FEH13)</v>
      </c>
      <c r="AE54" s="1959"/>
      <c r="AF54" s="1959"/>
      <c r="AG54" s="1960"/>
      <c r="AH54" s="1958" t="str">
        <f>AH48</f>
        <v>3a (internal)</v>
      </c>
      <c r="AI54" s="1959"/>
      <c r="AJ54" s="1959"/>
      <c r="AK54" s="1960"/>
      <c r="AL54" s="1958" t="str">
        <f>AL48</f>
        <v>3b (external)</v>
      </c>
      <c r="AM54" s="1959"/>
      <c r="AN54" s="1959"/>
      <c r="AO54" s="1960"/>
      <c r="AP54" s="1958" t="str">
        <f>AP48</f>
        <v>4a</v>
      </c>
      <c r="AQ54" s="1959"/>
      <c r="AR54" s="1959"/>
      <c r="AS54" s="1960"/>
      <c r="AT54" s="1958" t="str">
        <f>AT48</f>
        <v>5a</v>
      </c>
      <c r="AU54" s="1959"/>
      <c r="AV54" s="1959"/>
      <c r="AW54" s="1960"/>
      <c r="AX54" s="1958" t="str">
        <f>AX48</f>
        <v>6a</v>
      </c>
      <c r="AY54" s="1959"/>
      <c r="AZ54" s="1959"/>
      <c r="BA54" s="1960"/>
      <c r="LG54" s="1968"/>
      <c r="LH54" s="1968"/>
      <c r="LI54" s="1968"/>
      <c r="LJ54" s="1968"/>
      <c r="LK54" s="1958" t="str">
        <f>LK48</f>
        <v>1a</v>
      </c>
      <c r="LL54" s="1959"/>
      <c r="LM54" s="1959"/>
      <c r="LN54" s="1960"/>
      <c r="LO54" s="1958" t="str">
        <f>LO48</f>
        <v>2a (individual rainfall events &gt; 1 in 20 years)</v>
      </c>
      <c r="LP54" s="1959"/>
      <c r="LQ54" s="1959"/>
      <c r="LR54" s="1960"/>
      <c r="LS54" s="1958" t="str">
        <f>LS48</f>
        <v>2b (multiple rainfall events)</v>
      </c>
      <c r="LT54" s="1959"/>
      <c r="LU54" s="1959"/>
      <c r="LV54" s="1960"/>
      <c r="LW54" s="1969" t="str">
        <f>LW48</f>
        <v>2c (surface water run-off not originated from public sewer)</v>
      </c>
      <c r="LX54" s="1959"/>
      <c r="LY54" s="1959"/>
      <c r="LZ54" s="1960"/>
      <c r="MA54" s="1958" t="str">
        <f>MA48</f>
        <v>2d (river levels &gt; 1 in 100 year return period)</v>
      </c>
      <c r="MB54" s="1959"/>
      <c r="MC54" s="1959"/>
      <c r="MD54" s="1960"/>
      <c r="ME54" s="1958" t="str">
        <f>ME48</f>
        <v>2e (flood estimation handbook - FEH13)</v>
      </c>
      <c r="MF54" s="1959"/>
      <c r="MG54" s="1959"/>
      <c r="MH54" s="1960"/>
      <c r="MI54" s="1958" t="str">
        <f>MI48</f>
        <v>3a (internal)</v>
      </c>
      <c r="MJ54" s="1959"/>
      <c r="MK54" s="1959"/>
      <c r="ML54" s="1960"/>
      <c r="MM54" s="1958" t="str">
        <f>MM48</f>
        <v>3b (external)</v>
      </c>
      <c r="MN54" s="1959"/>
      <c r="MO54" s="1959"/>
      <c r="MP54" s="1960"/>
      <c r="MQ54" s="1958" t="str">
        <f>MQ48</f>
        <v>4a</v>
      </c>
      <c r="MR54" s="1959"/>
      <c r="MS54" s="1959"/>
      <c r="MT54" s="1960"/>
      <c r="MU54" s="1958" t="str">
        <f>MU48</f>
        <v>5a</v>
      </c>
      <c r="MV54" s="1959"/>
      <c r="MW54" s="1959"/>
      <c r="MX54" s="1960"/>
      <c r="MY54" s="1958" t="str">
        <f>MY48</f>
        <v>6a</v>
      </c>
      <c r="MZ54" s="1959"/>
      <c r="NA54" s="1959"/>
      <c r="NB54" s="1960"/>
    </row>
    <row r="55" spans="2:366">
      <c r="B55" s="886" t="s">
        <v>2720</v>
      </c>
      <c r="C55" s="879" t="s">
        <v>3933</v>
      </c>
      <c r="D55" s="865" t="str">
        <f t="shared" ref="D55:I55" si="92">D15</f>
        <v>Units</v>
      </c>
      <c r="E55" s="865" t="str">
        <f t="shared" si="92"/>
        <v>DPs</v>
      </c>
      <c r="F55" s="865" t="str">
        <f t="shared" si="92"/>
        <v>2016-17</v>
      </c>
      <c r="G55" s="865" t="str">
        <f t="shared" si="92"/>
        <v>2017-18</v>
      </c>
      <c r="H55" s="865" t="str">
        <f t="shared" si="92"/>
        <v>2018-19</v>
      </c>
      <c r="I55" s="866" t="str">
        <f t="shared" si="92"/>
        <v>2019-20</v>
      </c>
      <c r="J55" s="1854" t="str">
        <f>$J$15</f>
        <v>2016-17</v>
      </c>
      <c r="K55" s="1855" t="str">
        <f>$K$15</f>
        <v>2017-18</v>
      </c>
      <c r="L55" s="1855" t="str">
        <f>$L$15</f>
        <v>2018-19</v>
      </c>
      <c r="M55" s="1856" t="str">
        <f>$M$15</f>
        <v>2019-20</v>
      </c>
      <c r="N55" s="1854" t="str">
        <f>$J$15</f>
        <v>2016-17</v>
      </c>
      <c r="O55" s="1855" t="str">
        <f>$K$15</f>
        <v>2017-18</v>
      </c>
      <c r="P55" s="1855" t="str">
        <f>$L$15</f>
        <v>2018-19</v>
      </c>
      <c r="Q55" s="1856" t="str">
        <f>$M$15</f>
        <v>2019-20</v>
      </c>
      <c r="R55" s="1854" t="str">
        <f>$J$15</f>
        <v>2016-17</v>
      </c>
      <c r="S55" s="1855" t="str">
        <f>$K$15</f>
        <v>2017-18</v>
      </c>
      <c r="T55" s="1855" t="str">
        <f>$L$15</f>
        <v>2018-19</v>
      </c>
      <c r="U55" s="1856" t="str">
        <f>$M$15</f>
        <v>2019-20</v>
      </c>
      <c r="V55" s="1854" t="str">
        <f>$J$15</f>
        <v>2016-17</v>
      </c>
      <c r="W55" s="1855" t="str">
        <f>$K$15</f>
        <v>2017-18</v>
      </c>
      <c r="X55" s="1855" t="str">
        <f>$L$15</f>
        <v>2018-19</v>
      </c>
      <c r="Y55" s="1856" t="str">
        <f>$M$15</f>
        <v>2019-20</v>
      </c>
      <c r="Z55" s="1854" t="str">
        <f>$J$15</f>
        <v>2016-17</v>
      </c>
      <c r="AA55" s="1855" t="str">
        <f>$K$15</f>
        <v>2017-18</v>
      </c>
      <c r="AB55" s="1855" t="str">
        <f>$L$15</f>
        <v>2018-19</v>
      </c>
      <c r="AC55" s="1856" t="str">
        <f>$M$15</f>
        <v>2019-20</v>
      </c>
      <c r="AD55" s="1854" t="str">
        <f>$J$15</f>
        <v>2016-17</v>
      </c>
      <c r="AE55" s="1855" t="str">
        <f>$K$15</f>
        <v>2017-18</v>
      </c>
      <c r="AF55" s="1855" t="str">
        <f>$L$15</f>
        <v>2018-19</v>
      </c>
      <c r="AG55" s="1856" t="str">
        <f>$M$15</f>
        <v>2019-20</v>
      </c>
      <c r="AH55" s="1854" t="str">
        <f>$J$15</f>
        <v>2016-17</v>
      </c>
      <c r="AI55" s="1855" t="str">
        <f>$K$15</f>
        <v>2017-18</v>
      </c>
      <c r="AJ55" s="1855" t="str">
        <f>$L$15</f>
        <v>2018-19</v>
      </c>
      <c r="AK55" s="1856" t="str">
        <f>$M$15</f>
        <v>2019-20</v>
      </c>
      <c r="AL55" s="1854" t="str">
        <f>$J$15</f>
        <v>2016-17</v>
      </c>
      <c r="AM55" s="1855" t="str">
        <f>$K$15</f>
        <v>2017-18</v>
      </c>
      <c r="AN55" s="1855" t="str">
        <f>$L$15</f>
        <v>2018-19</v>
      </c>
      <c r="AO55" s="1856" t="str">
        <f>$M$15</f>
        <v>2019-20</v>
      </c>
      <c r="AP55" s="1854" t="str">
        <f>$J$15</f>
        <v>2016-17</v>
      </c>
      <c r="AQ55" s="1855" t="str">
        <f>$K$15</f>
        <v>2017-18</v>
      </c>
      <c r="AR55" s="1855" t="str">
        <f>$L$15</f>
        <v>2018-19</v>
      </c>
      <c r="AS55" s="1856" t="str">
        <f>$M$15</f>
        <v>2019-20</v>
      </c>
      <c r="AT55" s="1854" t="str">
        <f>$J$15</f>
        <v>2016-17</v>
      </c>
      <c r="AU55" s="1855" t="str">
        <f>$K$15</f>
        <v>2017-18</v>
      </c>
      <c r="AV55" s="1855" t="str">
        <f>$L$15</f>
        <v>2018-19</v>
      </c>
      <c r="AW55" s="1856" t="str">
        <f>$M$15</f>
        <v>2019-20</v>
      </c>
      <c r="AX55" s="1854" t="str">
        <f>$J$15</f>
        <v>2016-17</v>
      </c>
      <c r="AY55" s="1855" t="str">
        <f>$K$15</f>
        <v>2017-18</v>
      </c>
      <c r="AZ55" s="1855" t="str">
        <f>$L$15</f>
        <v>2018-19</v>
      </c>
      <c r="BA55" s="1856" t="str">
        <f>$M$15</f>
        <v>2019-20</v>
      </c>
      <c r="LF55" s="879" t="s">
        <v>3933</v>
      </c>
      <c r="LG55" s="865" t="str">
        <f t="shared" ref="LG55:LJ55" si="93">LG15</f>
        <v>2016-17</v>
      </c>
      <c r="LH55" s="865" t="str">
        <f t="shared" si="93"/>
        <v>2017-18</v>
      </c>
      <c r="LI55" s="865" t="str">
        <f t="shared" si="93"/>
        <v>2018-19</v>
      </c>
      <c r="LJ55" s="866" t="str">
        <f t="shared" si="93"/>
        <v>2019-20</v>
      </c>
      <c r="LK55" s="1854" t="str">
        <f>$J$15</f>
        <v>2016-17</v>
      </c>
      <c r="LL55" s="1855" t="str">
        <f>$K$15</f>
        <v>2017-18</v>
      </c>
      <c r="LM55" s="1855" t="str">
        <f>$L$15</f>
        <v>2018-19</v>
      </c>
      <c r="LN55" s="1856" t="str">
        <f>$M$15</f>
        <v>2019-20</v>
      </c>
      <c r="LO55" s="1854" t="str">
        <f>$J$15</f>
        <v>2016-17</v>
      </c>
      <c r="LP55" s="1855" t="str">
        <f>$K$15</f>
        <v>2017-18</v>
      </c>
      <c r="LQ55" s="1855" t="str">
        <f>$L$15</f>
        <v>2018-19</v>
      </c>
      <c r="LR55" s="1856" t="str">
        <f>$M$15</f>
        <v>2019-20</v>
      </c>
      <c r="LS55" s="1854" t="str">
        <f>$J$15</f>
        <v>2016-17</v>
      </c>
      <c r="LT55" s="1855" t="str">
        <f>$K$15</f>
        <v>2017-18</v>
      </c>
      <c r="LU55" s="1855" t="str">
        <f>$L$15</f>
        <v>2018-19</v>
      </c>
      <c r="LV55" s="1856" t="str">
        <f>$M$15</f>
        <v>2019-20</v>
      </c>
      <c r="LW55" s="1854" t="str">
        <f>$J$15</f>
        <v>2016-17</v>
      </c>
      <c r="LX55" s="1855" t="str">
        <f>$K$15</f>
        <v>2017-18</v>
      </c>
      <c r="LY55" s="1855" t="str">
        <f>$L$15</f>
        <v>2018-19</v>
      </c>
      <c r="LZ55" s="1856" t="str">
        <f>$M$15</f>
        <v>2019-20</v>
      </c>
      <c r="MA55" s="1854" t="str">
        <f>$J$15</f>
        <v>2016-17</v>
      </c>
      <c r="MB55" s="1855" t="str">
        <f>$K$15</f>
        <v>2017-18</v>
      </c>
      <c r="MC55" s="1855" t="str">
        <f>$L$15</f>
        <v>2018-19</v>
      </c>
      <c r="MD55" s="1856" t="str">
        <f>$M$15</f>
        <v>2019-20</v>
      </c>
      <c r="ME55" s="1854" t="str">
        <f>$J$15</f>
        <v>2016-17</v>
      </c>
      <c r="MF55" s="1855" t="str">
        <f>$K$15</f>
        <v>2017-18</v>
      </c>
      <c r="MG55" s="1855" t="str">
        <f>$L$15</f>
        <v>2018-19</v>
      </c>
      <c r="MH55" s="1856" t="str">
        <f>$M$15</f>
        <v>2019-20</v>
      </c>
      <c r="MI55" s="1854" t="str">
        <f>$J$15</f>
        <v>2016-17</v>
      </c>
      <c r="MJ55" s="1855" t="str">
        <f>$K$15</f>
        <v>2017-18</v>
      </c>
      <c r="MK55" s="1855" t="str">
        <f>$L$15</f>
        <v>2018-19</v>
      </c>
      <c r="ML55" s="1856" t="str">
        <f>$M$15</f>
        <v>2019-20</v>
      </c>
      <c r="MM55" s="1854" t="str">
        <f>$J$15</f>
        <v>2016-17</v>
      </c>
      <c r="MN55" s="1855" t="str">
        <f>$K$15</f>
        <v>2017-18</v>
      </c>
      <c r="MO55" s="1855" t="str">
        <f>$L$15</f>
        <v>2018-19</v>
      </c>
      <c r="MP55" s="1856" t="str">
        <f>$M$15</f>
        <v>2019-20</v>
      </c>
      <c r="MQ55" s="1854" t="str">
        <f>$J$15</f>
        <v>2016-17</v>
      </c>
      <c r="MR55" s="1855" t="str">
        <f>$K$15</f>
        <v>2017-18</v>
      </c>
      <c r="MS55" s="1855" t="str">
        <f>$L$15</f>
        <v>2018-19</v>
      </c>
      <c r="MT55" s="1856" t="str">
        <f>$M$15</f>
        <v>2019-20</v>
      </c>
      <c r="MU55" s="1854" t="str">
        <f>$J$15</f>
        <v>2016-17</v>
      </c>
      <c r="MV55" s="1855" t="str">
        <f>$K$15</f>
        <v>2017-18</v>
      </c>
      <c r="MW55" s="1855" t="str">
        <f>$L$15</f>
        <v>2018-19</v>
      </c>
      <c r="MX55" s="1856" t="str">
        <f>$M$15</f>
        <v>2019-20</v>
      </c>
      <c r="MY55" s="1854" t="str">
        <f>$J$15</f>
        <v>2016-17</v>
      </c>
      <c r="MZ55" s="1855" t="str">
        <f>$K$15</f>
        <v>2017-18</v>
      </c>
      <c r="NA55" s="1855" t="str">
        <f>$L$15</f>
        <v>2018-19</v>
      </c>
      <c r="NB55" s="1856" t="str">
        <f>$M$15</f>
        <v>2019-20</v>
      </c>
    </row>
    <row r="56" spans="2:366" ht="15" thickBot="1">
      <c r="B56" s="887">
        <v>11</v>
      </c>
      <c r="C56" s="881" t="s">
        <v>13477</v>
      </c>
      <c r="D56" s="868" t="s">
        <v>48</v>
      </c>
      <c r="E56" s="868">
        <v>0</v>
      </c>
      <c r="F56" s="1966"/>
      <c r="G56" s="3190">
        <f>'[1]3S'!G56</f>
        <v>1955</v>
      </c>
      <c r="H56" s="2400">
        <f>'[1]3S'!H56</f>
        <v>1843</v>
      </c>
      <c r="I56" s="2401"/>
      <c r="J56" s="1953"/>
      <c r="K56" s="1944" t="str">
        <f>'[1]3S'!K56</f>
        <v>Amber</v>
      </c>
      <c r="L56" s="1945" t="str">
        <f>'[1]3S'!L56</f>
        <v>Green</v>
      </c>
      <c r="M56" s="1955"/>
      <c r="N56" s="1953"/>
      <c r="O56" s="1944" t="str">
        <f>'[1]3S'!O56</f>
        <v>Amber</v>
      </c>
      <c r="P56" s="1945" t="str">
        <f>'[1]3S'!P56</f>
        <v>Green</v>
      </c>
      <c r="Q56" s="1955"/>
      <c r="R56" s="1953"/>
      <c r="S56" s="1944" t="str">
        <f>'[1]3S'!S56</f>
        <v>Amber</v>
      </c>
      <c r="T56" s="1945" t="str">
        <f>'[1]3S'!T56</f>
        <v>Green</v>
      </c>
      <c r="U56" s="1955"/>
      <c r="V56" s="1953"/>
      <c r="W56" s="1944" t="str">
        <f>'[1]3S'!W56</f>
        <v>Green</v>
      </c>
      <c r="X56" s="1945" t="str">
        <f>'[1]3S'!X56</f>
        <v>Green</v>
      </c>
      <c r="Y56" s="1955"/>
      <c r="Z56" s="1953"/>
      <c r="AA56" s="1944" t="str">
        <f>'[1]3S'!AA56</f>
        <v>Amber</v>
      </c>
      <c r="AB56" s="1945" t="str">
        <f>'[1]3S'!AB56</f>
        <v>Amber</v>
      </c>
      <c r="AC56" s="1955"/>
      <c r="AD56" s="1953"/>
      <c r="AE56" s="1944" t="str">
        <f>'[1]3S'!AE56</f>
        <v>Amber</v>
      </c>
      <c r="AF56" s="1945" t="str">
        <f>'[1]3S'!AF56</f>
        <v>Green</v>
      </c>
      <c r="AG56" s="1955"/>
      <c r="AH56" s="1953"/>
      <c r="AI56" s="1944" t="str">
        <f>'[1]3S'!AI56</f>
        <v>Green</v>
      </c>
      <c r="AJ56" s="1945" t="str">
        <f>'[1]3S'!AJ56</f>
        <v>Green</v>
      </c>
      <c r="AK56" s="1955"/>
      <c r="AL56" s="1953"/>
      <c r="AM56" s="1944" t="str">
        <f>'[1]3S'!AM56</f>
        <v>Green</v>
      </c>
      <c r="AN56" s="1945" t="str">
        <f>'[1]3S'!AN56</f>
        <v>Green</v>
      </c>
      <c r="AO56" s="1955"/>
      <c r="AP56" s="1953"/>
      <c r="AQ56" s="1944" t="str">
        <f>'[1]3S'!AQ56</f>
        <v>Green</v>
      </c>
      <c r="AR56" s="1945" t="str">
        <f>'[1]3S'!AR56</f>
        <v>Green</v>
      </c>
      <c r="AS56" s="1955"/>
      <c r="AT56" s="1953"/>
      <c r="AU56" s="1944" t="str">
        <f>'[1]3S'!AU56</f>
        <v>Green</v>
      </c>
      <c r="AV56" s="1945" t="str">
        <f>'[1]3S'!AV56</f>
        <v>Green</v>
      </c>
      <c r="AW56" s="1955"/>
      <c r="AX56" s="1953"/>
      <c r="AY56" s="1944" t="str">
        <f>'[1]3S'!AY56</f>
        <v>Green</v>
      </c>
      <c r="AZ56" s="1945" t="str">
        <f>'[1]3S'!AZ56</f>
        <v>Green</v>
      </c>
      <c r="BA56" s="1955"/>
      <c r="LC56" s="521">
        <f xml:space="preserve"> IF( SUM( LE56:XC56 ) = 0, 0, $LG$3 )</f>
        <v>0</v>
      </c>
      <c r="LF56" s="1641">
        <f>SUM(LG56:XC56)</f>
        <v>0</v>
      </c>
      <c r="LI56" s="98">
        <f>IF(ISNUMBER(H56),0,1)</f>
        <v>0</v>
      </c>
      <c r="LM56" s="98">
        <f>IF(ISBLANK(L56),1,0)</f>
        <v>0</v>
      </c>
      <c r="LQ56" s="98">
        <f>IF(ISBLANK(P56),1,0)</f>
        <v>0</v>
      </c>
      <c r="LU56" s="98">
        <f>IF(ISBLANK(T56),1,0)</f>
        <v>0</v>
      </c>
      <c r="LY56" s="98">
        <f>IF(ISBLANK(X56),1,0)</f>
        <v>0</v>
      </c>
      <c r="MC56" s="98">
        <f>IF(ISBLANK(AB56),1,0)</f>
        <v>0</v>
      </c>
      <c r="MG56" s="98">
        <f>IF(ISBLANK(AF56),1,0)</f>
        <v>0</v>
      </c>
      <c r="MK56" s="98">
        <f>IF(ISBLANK(AJ56),1,0)</f>
        <v>0</v>
      </c>
      <c r="MO56" s="98">
        <f>IF(ISBLANK(AN56),1,0)</f>
        <v>0</v>
      </c>
      <c r="MS56" s="98">
        <f>IF(ISBLANK(AR56),1,0)</f>
        <v>0</v>
      </c>
      <c r="MW56" s="98">
        <f>IF(ISBLANK(AV56),1,0)</f>
        <v>0</v>
      </c>
      <c r="NA56" s="98">
        <f>IF(ISBLANK(AZ56),1,0)</f>
        <v>0</v>
      </c>
    </row>
    <row r="57" spans="2:366" ht="15.75" customHeight="1" thickBot="1">
      <c r="J57" s="1956"/>
      <c r="K57" s="1956"/>
      <c r="L57" s="1956"/>
      <c r="M57" s="1956"/>
      <c r="N57" s="1956"/>
      <c r="O57" s="1956"/>
      <c r="P57" s="1956"/>
      <c r="Q57" s="1956"/>
      <c r="R57" s="1956"/>
      <c r="S57" s="1956"/>
      <c r="T57" s="1956"/>
      <c r="U57" s="1956"/>
      <c r="V57" s="1956"/>
      <c r="W57" s="1956"/>
      <c r="X57" s="1956"/>
      <c r="Y57" s="1956"/>
      <c r="Z57" s="1956"/>
      <c r="AA57" s="1956"/>
      <c r="AB57" s="1956"/>
      <c r="AC57" s="1956"/>
      <c r="AD57" s="1956"/>
      <c r="AE57" s="1956"/>
      <c r="AF57" s="1956"/>
      <c r="AG57" s="1956"/>
      <c r="AH57" s="1956"/>
      <c r="AI57" s="1956"/>
      <c r="AJ57" s="1956"/>
      <c r="AK57" s="1956"/>
      <c r="AL57" s="1956"/>
      <c r="AM57" s="1956"/>
      <c r="AN57" s="1956"/>
      <c r="AO57" s="1956"/>
      <c r="AP57" s="1956"/>
      <c r="AQ57" s="1956"/>
      <c r="AR57" s="1956"/>
      <c r="AS57" s="1956"/>
    </row>
    <row r="58" spans="2:366" ht="15.75" customHeight="1">
      <c r="J58" s="1933" t="s">
        <v>12196</v>
      </c>
      <c r="K58" s="1934"/>
      <c r="L58" s="1934"/>
      <c r="M58" s="1935"/>
      <c r="N58" s="1933" t="s">
        <v>12197</v>
      </c>
      <c r="O58" s="1934"/>
      <c r="P58" s="1934"/>
      <c r="Q58" s="1935"/>
      <c r="R58" s="1933" t="s">
        <v>12197</v>
      </c>
      <c r="S58" s="1934"/>
      <c r="T58" s="1934"/>
      <c r="U58" s="1935"/>
      <c r="V58" s="1956"/>
      <c r="W58" s="1956"/>
      <c r="X58" s="1956"/>
      <c r="Y58" s="1956"/>
      <c r="Z58" s="1956"/>
      <c r="AA58" s="1956"/>
      <c r="AB58" s="1956"/>
      <c r="AC58" s="1956"/>
      <c r="AD58" s="1956"/>
      <c r="AE58" s="1956"/>
      <c r="AF58" s="1956"/>
      <c r="AG58" s="1956"/>
      <c r="AH58" s="1956"/>
      <c r="AI58" s="1956"/>
      <c r="AJ58" s="1956"/>
      <c r="AK58" s="1956"/>
      <c r="AL58" s="1956"/>
      <c r="AM58" s="1956"/>
      <c r="AN58" s="1956"/>
      <c r="AO58" s="1956"/>
      <c r="AP58" s="1956"/>
      <c r="AQ58" s="1956"/>
      <c r="AR58" s="1956"/>
      <c r="AS58" s="1956"/>
      <c r="LK58" s="1933" t="s">
        <v>12196</v>
      </c>
      <c r="LL58" s="1934"/>
      <c r="LM58" s="1934"/>
      <c r="LN58" s="1935"/>
      <c r="LO58" s="1933" t="s">
        <v>12197</v>
      </c>
      <c r="LP58" s="1934"/>
      <c r="LQ58" s="1934"/>
      <c r="LR58" s="1935"/>
      <c r="LS58" s="1933" t="s">
        <v>12197</v>
      </c>
      <c r="LT58" s="1934"/>
      <c r="LU58" s="1934"/>
      <c r="LV58" s="1935"/>
    </row>
    <row r="59" spans="2:366" ht="30" customHeight="1" thickBot="1">
      <c r="B59" s="876"/>
      <c r="C59" s="877"/>
      <c r="D59" s="864"/>
      <c r="E59" s="864"/>
      <c r="F59" s="864"/>
      <c r="G59" s="1957"/>
      <c r="H59" s="1957"/>
      <c r="I59" s="1957"/>
      <c r="J59" s="1958" t="s">
        <v>1135</v>
      </c>
      <c r="K59" s="1959"/>
      <c r="L59" s="1959"/>
      <c r="M59" s="1960"/>
      <c r="N59" s="1958" t="s">
        <v>12198</v>
      </c>
      <c r="O59" s="1959"/>
      <c r="P59" s="1959"/>
      <c r="Q59" s="1960"/>
      <c r="R59" s="1969" t="s">
        <v>12199</v>
      </c>
      <c r="S59" s="1959"/>
      <c r="T59" s="1959"/>
      <c r="U59" s="1960"/>
      <c r="V59" s="1956"/>
      <c r="W59" s="1956"/>
      <c r="X59" s="1956"/>
      <c r="Y59" s="1956"/>
      <c r="Z59" s="1956"/>
      <c r="AA59" s="1956"/>
      <c r="AB59" s="1956"/>
      <c r="AC59" s="1956"/>
      <c r="AD59" s="1956"/>
      <c r="AE59" s="1956"/>
      <c r="AF59" s="1956"/>
      <c r="AG59" s="1956"/>
      <c r="AH59" s="1956"/>
      <c r="AI59" s="1956"/>
      <c r="AJ59" s="1956"/>
      <c r="AK59" s="1956"/>
      <c r="AL59" s="1956"/>
      <c r="AM59" s="1956"/>
      <c r="AN59" s="1956"/>
      <c r="AO59" s="1956"/>
      <c r="AP59" s="1956"/>
      <c r="AQ59" s="1956"/>
      <c r="AR59" s="1956"/>
      <c r="AS59" s="1956"/>
      <c r="LG59" s="864"/>
      <c r="LH59" s="1957"/>
      <c r="LI59" s="1957"/>
      <c r="LJ59" s="1957"/>
      <c r="LK59" s="1958" t="s">
        <v>1135</v>
      </c>
      <c r="LL59" s="1959"/>
      <c r="LM59" s="1959"/>
      <c r="LN59" s="1960"/>
      <c r="LO59" s="1958" t="s">
        <v>12198</v>
      </c>
      <c r="LP59" s="1959"/>
      <c r="LQ59" s="1959"/>
      <c r="LR59" s="1960"/>
      <c r="LS59" s="1969" t="s">
        <v>12199</v>
      </c>
      <c r="LT59" s="1959"/>
      <c r="LU59" s="1959"/>
      <c r="LV59" s="1960"/>
    </row>
    <row r="60" spans="2:366" ht="15" customHeight="1">
      <c r="B60" s="878" t="s">
        <v>2721</v>
      </c>
      <c r="C60" s="879" t="s">
        <v>3382</v>
      </c>
      <c r="D60" s="865" t="s">
        <v>2396</v>
      </c>
      <c r="E60" s="865" t="s">
        <v>2397</v>
      </c>
      <c r="F60" s="865" t="str">
        <f t="shared" ref="F60:I60" si="94">F15</f>
        <v>2016-17</v>
      </c>
      <c r="G60" s="865" t="str">
        <f t="shared" si="94"/>
        <v>2017-18</v>
      </c>
      <c r="H60" s="865" t="str">
        <f t="shared" si="94"/>
        <v>2018-19</v>
      </c>
      <c r="I60" s="865" t="str">
        <f t="shared" si="94"/>
        <v>2019-20</v>
      </c>
      <c r="J60" s="1854" t="str">
        <f>$J$15</f>
        <v>2016-17</v>
      </c>
      <c r="K60" s="1855" t="str">
        <f>$K$15</f>
        <v>2017-18</v>
      </c>
      <c r="L60" s="1855" t="str">
        <f>$L$15</f>
        <v>2018-19</v>
      </c>
      <c r="M60" s="1856" t="str">
        <f>$M$15</f>
        <v>2019-20</v>
      </c>
      <c r="N60" s="1854" t="str">
        <f>$J$15</f>
        <v>2016-17</v>
      </c>
      <c r="O60" s="1855" t="str">
        <f>$K$15</f>
        <v>2017-18</v>
      </c>
      <c r="P60" s="1855" t="str">
        <f>$L$15</f>
        <v>2018-19</v>
      </c>
      <c r="Q60" s="1856" t="str">
        <f>$M$15</f>
        <v>2019-20</v>
      </c>
      <c r="R60" s="1854" t="str">
        <f>$J$15</f>
        <v>2016-17</v>
      </c>
      <c r="S60" s="1855" t="str">
        <f>$K$15</f>
        <v>2017-18</v>
      </c>
      <c r="T60" s="1855" t="str">
        <f>$L$15</f>
        <v>2018-19</v>
      </c>
      <c r="U60" s="1856" t="str">
        <f>$M$15</f>
        <v>2019-20</v>
      </c>
      <c r="V60" s="1956"/>
      <c r="W60" s="1956"/>
      <c r="X60" s="1956"/>
      <c r="Y60" s="1956"/>
      <c r="Z60" s="1956"/>
      <c r="AA60" s="1956"/>
      <c r="AB60" s="1956"/>
      <c r="AC60" s="1956"/>
      <c r="AD60" s="1956"/>
      <c r="AE60" s="1956"/>
      <c r="AF60" s="1956"/>
      <c r="AG60" s="1956"/>
      <c r="AH60" s="1956"/>
      <c r="AI60" s="1956"/>
      <c r="AJ60" s="1956"/>
      <c r="AK60" s="1956"/>
      <c r="AL60" s="1956"/>
      <c r="AM60" s="1956"/>
      <c r="AN60" s="1956"/>
      <c r="AO60" s="1956"/>
      <c r="AP60" s="1956"/>
      <c r="AQ60" s="1956"/>
      <c r="AR60" s="1956"/>
      <c r="AS60" s="1956"/>
      <c r="LF60" s="879" t="s">
        <v>3382</v>
      </c>
      <c r="LG60" s="865" t="str">
        <f t="shared" ref="LG60:LJ60" si="95">LG15</f>
        <v>2016-17</v>
      </c>
      <c r="LH60" s="865" t="str">
        <f t="shared" si="95"/>
        <v>2017-18</v>
      </c>
      <c r="LI60" s="865" t="str">
        <f t="shared" si="95"/>
        <v>2018-19</v>
      </c>
      <c r="LJ60" s="865" t="str">
        <f t="shared" si="95"/>
        <v>2019-20</v>
      </c>
      <c r="LK60" s="1854" t="str">
        <f>$J$15</f>
        <v>2016-17</v>
      </c>
      <c r="LL60" s="1855" t="str">
        <f>$K$15</f>
        <v>2017-18</v>
      </c>
      <c r="LM60" s="1855" t="str">
        <f>$L$15</f>
        <v>2018-19</v>
      </c>
      <c r="LN60" s="1856" t="str">
        <f>$M$15</f>
        <v>2019-20</v>
      </c>
      <c r="LO60" s="1854" t="str">
        <f>$J$15</f>
        <v>2016-17</v>
      </c>
      <c r="LP60" s="1855" t="str">
        <f>$K$15</f>
        <v>2017-18</v>
      </c>
      <c r="LQ60" s="1855" t="str">
        <f>$L$15</f>
        <v>2018-19</v>
      </c>
      <c r="LR60" s="1856" t="str">
        <f>$M$15</f>
        <v>2019-20</v>
      </c>
      <c r="LS60" s="1854" t="str">
        <f>$J$15</f>
        <v>2016-17</v>
      </c>
      <c r="LT60" s="1855" t="str">
        <f>$K$15</f>
        <v>2017-18</v>
      </c>
      <c r="LU60" s="1855" t="str">
        <f>$L$15</f>
        <v>2018-19</v>
      </c>
      <c r="LV60" s="1856" t="str">
        <f>$M$15</f>
        <v>2019-20</v>
      </c>
    </row>
    <row r="61" spans="2:366" ht="15" thickBot="1">
      <c r="B61" s="880">
        <v>12</v>
      </c>
      <c r="C61" s="881" t="s">
        <v>11220</v>
      </c>
      <c r="D61" s="868" t="s">
        <v>48</v>
      </c>
      <c r="E61" s="882" t="s">
        <v>3936</v>
      </c>
      <c r="F61" s="1963"/>
      <c r="G61" s="3186">
        <f>'[1]3S'!G61</f>
        <v>18.012859285439355</v>
      </c>
      <c r="H61" s="2397">
        <f>'[1]3S'!H61</f>
        <v>19.27</v>
      </c>
      <c r="I61" s="2398"/>
      <c r="J61" s="1953"/>
      <c r="K61" s="1944" t="str">
        <f>'[1]3S'!K61</f>
        <v>Green</v>
      </c>
      <c r="L61" s="1945" t="str">
        <f>'[1]3S'!L61</f>
        <v>Green</v>
      </c>
      <c r="M61" s="1955"/>
      <c r="N61" s="1953"/>
      <c r="O61" s="1944" t="str">
        <f>'[1]3S'!O61</f>
        <v>Green</v>
      </c>
      <c r="P61" s="1945" t="str">
        <f>'[1]3S'!P61</f>
        <v>Green</v>
      </c>
      <c r="Q61" s="1955"/>
      <c r="R61" s="1953"/>
      <c r="S61" s="1944" t="str">
        <f>'[1]3S'!S61</f>
        <v>Green</v>
      </c>
      <c r="T61" s="1945" t="str">
        <f>'[1]3S'!T61</f>
        <v>Green</v>
      </c>
      <c r="U61" s="1955"/>
      <c r="V61" s="1956"/>
      <c r="W61" s="1956"/>
      <c r="X61" s="1956"/>
      <c r="Y61" s="1956"/>
      <c r="Z61" s="1956"/>
      <c r="AA61" s="1956"/>
      <c r="AB61" s="1956"/>
      <c r="AC61" s="1956"/>
      <c r="AD61" s="1956"/>
      <c r="AE61" s="1956"/>
      <c r="AF61" s="1956"/>
      <c r="AG61" s="1956"/>
      <c r="AH61" s="1956"/>
      <c r="AI61" s="1956"/>
      <c r="AJ61" s="1956"/>
      <c r="AK61" s="1956"/>
      <c r="AL61" s="1956"/>
      <c r="AM61" s="1956"/>
      <c r="AN61" s="1956"/>
      <c r="AO61" s="1956"/>
      <c r="AP61" s="1956"/>
      <c r="AQ61" s="1956"/>
      <c r="AR61" s="1956"/>
      <c r="AS61" s="1956"/>
      <c r="LC61" s="521">
        <f xml:space="preserve"> IF( SUM( LE61:XC61 ) = 0, 0, $LG$3 )</f>
        <v>0</v>
      </c>
      <c r="LF61" s="1641">
        <f>SUM(LG61:XC61)</f>
        <v>0</v>
      </c>
      <c r="LI61" s="98">
        <f>IF(ISNUMBER(H61),0,1)</f>
        <v>0</v>
      </c>
      <c r="LM61" s="98">
        <f>IF(ISBLANK(L61),1,0)</f>
        <v>0</v>
      </c>
      <c r="LQ61" s="98">
        <f>IF(ISBLANK(P61),1,0)</f>
        <v>0</v>
      </c>
      <c r="LU61" s="98">
        <f>IF(ISBLANK(T61),1,0)</f>
        <v>0</v>
      </c>
    </row>
    <row r="62" spans="2:366" ht="15.75" customHeight="1">
      <c r="J62" s="1956"/>
      <c r="K62" s="1956"/>
      <c r="L62" s="1956"/>
      <c r="M62" s="1956"/>
      <c r="N62" s="1956"/>
      <c r="O62" s="1956"/>
      <c r="P62" s="1956"/>
      <c r="Q62" s="1956"/>
      <c r="R62" s="1956"/>
      <c r="S62" s="1956"/>
      <c r="T62" s="1956"/>
      <c r="U62" s="1956"/>
      <c r="V62" s="1956"/>
      <c r="W62" s="1956"/>
      <c r="X62" s="1956"/>
      <c r="Y62" s="1956"/>
      <c r="Z62" s="1956"/>
      <c r="AA62" s="1956"/>
      <c r="AB62" s="1956"/>
      <c r="AC62" s="1956"/>
      <c r="AD62" s="1956"/>
      <c r="AE62" s="1956"/>
      <c r="AF62" s="1956"/>
      <c r="AG62" s="1956"/>
      <c r="AH62" s="1956"/>
      <c r="AI62" s="1956"/>
      <c r="AJ62" s="1956"/>
      <c r="AK62" s="1956"/>
      <c r="AL62" s="1956"/>
      <c r="AM62" s="1956"/>
      <c r="AN62" s="1956"/>
      <c r="AO62" s="1956"/>
      <c r="AP62" s="1956"/>
      <c r="AQ62" s="1956"/>
      <c r="AR62" s="1956"/>
      <c r="AS62" s="1956"/>
    </row>
    <row r="63" spans="2:366" ht="18.75" customHeight="1" thickBot="1">
      <c r="J63" s="1956"/>
      <c r="K63" s="1956"/>
      <c r="L63" s="1956"/>
      <c r="M63" s="1956"/>
      <c r="N63" s="1956"/>
      <c r="O63" s="1956"/>
      <c r="P63" s="1956"/>
      <c r="Q63" s="1956"/>
      <c r="R63" s="1956"/>
      <c r="S63" s="1956"/>
      <c r="T63" s="1956"/>
      <c r="U63" s="1956"/>
      <c r="V63" s="1956"/>
      <c r="W63" s="1956"/>
      <c r="X63" s="1956"/>
      <c r="Y63" s="1956"/>
      <c r="Z63" s="1956"/>
      <c r="AA63" s="1956"/>
      <c r="AB63" s="1956"/>
      <c r="AC63" s="1956"/>
      <c r="AD63" s="1956"/>
      <c r="AE63" s="1956"/>
      <c r="AF63" s="1956"/>
      <c r="AG63" s="1956"/>
      <c r="AH63" s="1956"/>
      <c r="AI63" s="1956"/>
      <c r="AJ63" s="1956"/>
      <c r="AK63" s="1956"/>
      <c r="AL63" s="1956"/>
      <c r="AM63" s="1956"/>
      <c r="AN63" s="1956"/>
      <c r="AO63" s="1956"/>
      <c r="AP63" s="1956"/>
      <c r="AQ63" s="1956"/>
      <c r="AR63" s="1956"/>
      <c r="AS63" s="1956"/>
    </row>
    <row r="64" spans="2:366" ht="17.25" customHeight="1" thickBot="1">
      <c r="B64" s="876"/>
      <c r="C64" s="877"/>
      <c r="D64" s="864"/>
      <c r="E64" s="864"/>
      <c r="F64" s="864"/>
      <c r="G64" s="1957"/>
      <c r="H64" s="1957"/>
      <c r="I64" s="1957"/>
      <c r="J64" s="1956"/>
      <c r="K64" s="1956"/>
      <c r="L64" s="2428" t="s">
        <v>13482</v>
      </c>
      <c r="M64" s="2429"/>
      <c r="N64" s="1956"/>
      <c r="O64" s="1956"/>
      <c r="P64" s="1956"/>
      <c r="Q64" s="1956"/>
      <c r="R64" s="1956"/>
      <c r="S64" s="1956"/>
      <c r="T64" s="1956"/>
      <c r="U64" s="1956"/>
      <c r="V64" s="1956"/>
      <c r="W64" s="1956"/>
      <c r="X64" s="1956"/>
      <c r="Y64" s="1956"/>
      <c r="Z64" s="1956"/>
      <c r="AA64" s="1956"/>
      <c r="AB64" s="1956"/>
      <c r="AC64" s="1956"/>
      <c r="AD64" s="1956"/>
      <c r="AE64" s="1956"/>
      <c r="AF64" s="1956"/>
      <c r="AG64" s="1956"/>
      <c r="AH64" s="1956"/>
      <c r="AI64" s="1956"/>
      <c r="AJ64" s="1956"/>
      <c r="AK64" s="1956"/>
      <c r="AL64" s="1956"/>
      <c r="AM64" s="1956"/>
      <c r="AN64" s="1956"/>
      <c r="AO64" s="1956"/>
      <c r="AP64" s="1956"/>
      <c r="AQ64" s="1956"/>
      <c r="AR64" s="1956"/>
      <c r="AS64" s="1956"/>
      <c r="LM64" s="2428" t="s">
        <v>13482</v>
      </c>
      <c r="LN64" s="2429"/>
    </row>
    <row r="65" spans="1:627" ht="30" customHeight="1">
      <c r="B65" s="878" t="s">
        <v>2722</v>
      </c>
      <c r="C65" s="879" t="s">
        <v>4944</v>
      </c>
      <c r="D65" s="865" t="s">
        <v>2396</v>
      </c>
      <c r="E65" s="865" t="s">
        <v>2397</v>
      </c>
      <c r="F65" s="865" t="str">
        <f>F15</f>
        <v>2016-17</v>
      </c>
      <c r="G65" s="865" t="str">
        <f t="shared" ref="G65:I65" si="96">G15</f>
        <v>2017-18</v>
      </c>
      <c r="H65" s="865" t="str">
        <f t="shared" si="96"/>
        <v>2018-19</v>
      </c>
      <c r="I65" s="867" t="str">
        <f t="shared" si="96"/>
        <v>2019-20</v>
      </c>
      <c r="J65" s="1956"/>
      <c r="K65" s="1956"/>
      <c r="L65" s="2426" t="str">
        <f>H15</f>
        <v>2018-19</v>
      </c>
      <c r="M65" s="2427" t="str">
        <f>I15</f>
        <v>2019-20</v>
      </c>
      <c r="N65" s="1956"/>
      <c r="O65" s="1956"/>
      <c r="P65" s="1956"/>
      <c r="Q65" s="1956"/>
      <c r="R65" s="1956"/>
      <c r="S65" s="1956"/>
      <c r="T65" s="1956"/>
      <c r="U65" s="1956"/>
      <c r="V65" s="1956"/>
      <c r="W65" s="1956"/>
      <c r="X65" s="1956"/>
      <c r="Y65" s="1956"/>
      <c r="Z65" s="1956"/>
      <c r="AA65" s="1956"/>
      <c r="AB65" s="1956"/>
      <c r="AC65" s="1956"/>
      <c r="AD65" s="1956"/>
      <c r="AE65" s="1956"/>
      <c r="AF65" s="1956"/>
      <c r="AG65" s="1956"/>
      <c r="AH65" s="1956"/>
      <c r="AI65" s="1956"/>
      <c r="AJ65" s="1956"/>
      <c r="AK65" s="1956"/>
      <c r="AL65" s="1956"/>
      <c r="AM65" s="1956"/>
      <c r="AN65" s="1956"/>
      <c r="AO65" s="1956"/>
      <c r="AP65" s="1956"/>
      <c r="AQ65" s="1956"/>
      <c r="AR65" s="1956"/>
      <c r="AS65" s="1956"/>
      <c r="LE65" s="530"/>
      <c r="LF65" s="879" t="s">
        <v>4944</v>
      </c>
      <c r="LG65" s="865" t="str">
        <f>LG15</f>
        <v>2016-17</v>
      </c>
      <c r="LH65" s="865" t="str">
        <f t="shared" ref="LH65:LJ65" si="97">LH15</f>
        <v>2017-18</v>
      </c>
      <c r="LI65" s="865" t="str">
        <f t="shared" si="97"/>
        <v>2018-19</v>
      </c>
      <c r="LJ65" s="867" t="str">
        <f t="shared" si="97"/>
        <v>2019-20</v>
      </c>
      <c r="LM65" s="2426" t="str">
        <f>LI15</f>
        <v>2018-19</v>
      </c>
      <c r="LN65" s="2427" t="str">
        <f>LJ15</f>
        <v>2019-20</v>
      </c>
      <c r="XC65" s="530"/>
    </row>
    <row r="66" spans="1:627" ht="15" customHeight="1" thickBot="1">
      <c r="B66" s="880">
        <v>13</v>
      </c>
      <c r="C66" s="881" t="s">
        <v>11221</v>
      </c>
      <c r="D66" s="868" t="s">
        <v>76</v>
      </c>
      <c r="E66" s="882" t="s">
        <v>3938</v>
      </c>
      <c r="F66" s="1964"/>
      <c r="G66" s="3187">
        <f>'[1]3S'!G66</f>
        <v>0.6734</v>
      </c>
      <c r="H66" s="1965">
        <f>'[1]3S'!H66</f>
        <v>0.56020000000000003</v>
      </c>
      <c r="I66" s="1967"/>
      <c r="J66" s="1956"/>
      <c r="K66" s="1956"/>
      <c r="L66" s="1944"/>
      <c r="M66" s="1945"/>
      <c r="N66" s="1956"/>
      <c r="O66" s="1956"/>
      <c r="P66" s="1956"/>
      <c r="Q66" s="1956"/>
      <c r="R66" s="1956"/>
      <c r="S66" s="1956"/>
      <c r="T66" s="1956"/>
      <c r="U66" s="1956"/>
      <c r="V66" s="1956"/>
      <c r="W66" s="1956"/>
      <c r="X66" s="1956"/>
      <c r="Y66" s="1956"/>
      <c r="Z66" s="1956"/>
      <c r="AA66" s="1956"/>
      <c r="AB66" s="1956"/>
      <c r="AC66" s="1956"/>
      <c r="AD66" s="1956"/>
      <c r="AE66" s="1956"/>
      <c r="AF66" s="1956"/>
      <c r="AG66" s="1956"/>
      <c r="AH66" s="1956"/>
      <c r="AI66" s="1956"/>
      <c r="AJ66" s="1956"/>
      <c r="AK66" s="1956"/>
      <c r="AL66" s="1956"/>
      <c r="AM66" s="1956"/>
      <c r="AN66" s="1956"/>
      <c r="AO66" s="1956"/>
      <c r="AP66" s="1956"/>
      <c r="AQ66" s="1956"/>
      <c r="AR66" s="1956"/>
      <c r="AS66" s="1956"/>
      <c r="LC66" s="521" t="str">
        <f xml:space="preserve"> IF( SUM( LE66:XC66 ) = 0, 0, $LG$3 )</f>
        <v>Please complete all cells in row</v>
      </c>
      <c r="LF66" s="1641">
        <f>SUM(LG66:XC66)</f>
        <v>1</v>
      </c>
      <c r="LI66" s="98">
        <f>IF(ISNUMBER(H66),0,1)</f>
        <v>0</v>
      </c>
      <c r="LM66" s="2434">
        <f>IF(ISBLANK(L66),1,0)</f>
        <v>1</v>
      </c>
      <c r="LN66" s="1955"/>
    </row>
    <row r="67" spans="1:627"/>
    <row r="68" spans="1:627" ht="15" thickBot="1"/>
    <row r="69" spans="1:627" ht="15" customHeight="1">
      <c r="B69" s="878" t="s">
        <v>2723</v>
      </c>
      <c r="C69" s="879" t="s">
        <v>13472</v>
      </c>
      <c r="D69" s="865" t="s">
        <v>2396</v>
      </c>
      <c r="E69" s="865" t="s">
        <v>2397</v>
      </c>
      <c r="F69" s="865" t="str">
        <f>F15</f>
        <v>2016-17</v>
      </c>
      <c r="G69" s="865" t="str">
        <f t="shared" ref="G69:I69" si="98">G15</f>
        <v>2017-18</v>
      </c>
      <c r="H69" s="865" t="str">
        <f t="shared" si="98"/>
        <v>2018-19</v>
      </c>
      <c r="I69" s="867" t="str">
        <f t="shared" si="98"/>
        <v>2019-20</v>
      </c>
      <c r="J69" s="1956"/>
      <c r="K69" s="1956"/>
      <c r="L69" s="1956"/>
      <c r="M69" s="1956"/>
      <c r="N69" s="1956"/>
      <c r="O69" s="1956"/>
      <c r="P69" s="1956"/>
      <c r="Q69" s="1956"/>
      <c r="R69" s="1956"/>
      <c r="S69" s="1956"/>
      <c r="T69" s="1956"/>
      <c r="U69" s="1956"/>
      <c r="V69" s="1956"/>
      <c r="W69" s="1956"/>
      <c r="X69" s="1956"/>
      <c r="Y69" s="1956"/>
      <c r="Z69" s="1956"/>
      <c r="AA69" s="1956"/>
      <c r="AB69" s="1956"/>
      <c r="AC69" s="1956"/>
      <c r="AD69" s="1956"/>
      <c r="AE69" s="1956"/>
      <c r="AF69" s="1956"/>
      <c r="AG69" s="1956"/>
      <c r="AH69" s="1956"/>
      <c r="AI69" s="1956"/>
      <c r="AJ69" s="1956"/>
      <c r="AK69" s="1956"/>
      <c r="AL69" s="1956"/>
      <c r="AM69" s="1956"/>
      <c r="AN69" s="1956"/>
      <c r="AO69" s="1956"/>
      <c r="AP69" s="1956"/>
      <c r="AQ69" s="1956"/>
      <c r="AR69" s="1956"/>
      <c r="AS69" s="1956"/>
      <c r="LE69" s="530"/>
      <c r="LF69" s="879" t="s">
        <v>13472</v>
      </c>
      <c r="LG69" s="865" t="s">
        <v>30</v>
      </c>
      <c r="LH69" s="865" t="s">
        <v>31</v>
      </c>
      <c r="LI69" s="865" t="s">
        <v>32</v>
      </c>
      <c r="LJ69" s="867" t="s">
        <v>33</v>
      </c>
      <c r="XC69" s="530"/>
    </row>
    <row r="70" spans="1:627" ht="15" customHeight="1">
      <c r="B70" s="885">
        <v>14</v>
      </c>
      <c r="C70" s="2402" t="s">
        <v>13473</v>
      </c>
      <c r="D70" s="2403" t="s">
        <v>76</v>
      </c>
      <c r="E70" s="2404" t="s">
        <v>3936</v>
      </c>
      <c r="F70" s="2405"/>
      <c r="G70" s="3191">
        <f>'[1]3S'!G71</f>
        <v>0</v>
      </c>
      <c r="H70" s="3192">
        <f>'[1]3S'!H71</f>
        <v>2.3E-2</v>
      </c>
      <c r="I70" s="2406"/>
      <c r="J70" s="1956"/>
      <c r="K70" s="1956"/>
      <c r="L70" s="1956"/>
      <c r="M70" s="1956"/>
      <c r="N70" s="1956"/>
      <c r="O70" s="1956"/>
      <c r="P70" s="1956"/>
      <c r="Q70" s="1956"/>
      <c r="R70" s="1956"/>
      <c r="S70" s="1956"/>
      <c r="T70" s="1956"/>
      <c r="U70" s="1956"/>
      <c r="V70" s="1956"/>
      <c r="W70" s="1956"/>
      <c r="X70" s="1956"/>
      <c r="Y70" s="1956"/>
      <c r="Z70" s="1956"/>
      <c r="AA70" s="1956"/>
      <c r="AB70" s="1956"/>
      <c r="AC70" s="1956"/>
      <c r="AD70" s="1956"/>
      <c r="AE70" s="1956"/>
      <c r="AF70" s="1956"/>
      <c r="AG70" s="1956"/>
      <c r="AH70" s="1956"/>
      <c r="AI70" s="1956"/>
      <c r="AJ70" s="1956"/>
      <c r="AK70" s="1956"/>
      <c r="AL70" s="1956"/>
      <c r="AM70" s="1956"/>
      <c r="AN70" s="1956"/>
      <c r="AO70" s="1956"/>
      <c r="AP70" s="1956"/>
      <c r="AQ70" s="1956"/>
      <c r="AR70" s="1956"/>
      <c r="AS70" s="1956"/>
      <c r="LC70" s="521">
        <f t="shared" ref="LC70:LC71" si="99" xml:space="preserve"> IF( SUM( LE70:XC70 ) = 0, 0, $LG$3 )</f>
        <v>0</v>
      </c>
      <c r="LF70" s="1641">
        <f>SUM(LG70:XC70)</f>
        <v>0</v>
      </c>
      <c r="LI70" s="98">
        <f t="shared" ref="LI70:LI71" si="100">IF(ISNUMBER(H70),0,1)</f>
        <v>0</v>
      </c>
    </row>
    <row r="71" spans="1:627" ht="30" customHeight="1" thickBot="1">
      <c r="B71" s="880">
        <v>15</v>
      </c>
      <c r="C71" s="881" t="s">
        <v>13478</v>
      </c>
      <c r="D71" s="868" t="s">
        <v>76</v>
      </c>
      <c r="E71" s="882" t="s">
        <v>3936</v>
      </c>
      <c r="F71" s="2407"/>
      <c r="G71" s="1964">
        <f>'[1]3S'!G72</f>
        <v>0</v>
      </c>
      <c r="H71" s="2408">
        <f>'[1]3S'!H72</f>
        <v>0.63300000000000001</v>
      </c>
      <c r="I71" s="2409"/>
      <c r="J71" s="1956"/>
      <c r="K71" s="1956"/>
      <c r="L71" s="1956"/>
      <c r="M71" s="1956"/>
      <c r="N71" s="1956"/>
      <c r="O71" s="1956"/>
      <c r="P71" s="1956"/>
      <c r="Q71" s="1956"/>
      <c r="R71" s="1956"/>
      <c r="S71" s="1956"/>
      <c r="T71" s="1956"/>
      <c r="U71" s="1956"/>
      <c r="V71" s="1956"/>
      <c r="W71" s="1956"/>
      <c r="X71" s="1956"/>
      <c r="Y71" s="1956"/>
      <c r="Z71" s="1956"/>
      <c r="AA71" s="1956"/>
      <c r="AB71" s="1956"/>
      <c r="AC71" s="1956"/>
      <c r="AD71" s="1956"/>
      <c r="AE71" s="1956"/>
      <c r="AF71" s="1956"/>
      <c r="AG71" s="1956"/>
      <c r="AH71" s="1956"/>
      <c r="AI71" s="1956"/>
      <c r="AJ71" s="1956"/>
      <c r="AK71" s="1956"/>
      <c r="AL71" s="1956"/>
      <c r="AM71" s="1956"/>
      <c r="AN71" s="1956"/>
      <c r="AO71" s="1956"/>
      <c r="AP71" s="1956"/>
      <c r="AQ71" s="1956"/>
      <c r="AR71" s="1956"/>
      <c r="AS71" s="1956"/>
      <c r="LC71" s="521">
        <f t="shared" si="99"/>
        <v>0</v>
      </c>
      <c r="LF71" s="1641">
        <f>SUM(LG71:XC71)</f>
        <v>0</v>
      </c>
      <c r="LI71" s="98">
        <f t="shared" si="100"/>
        <v>0</v>
      </c>
    </row>
    <row r="72" spans="1:627"/>
    <row r="73" spans="1:627">
      <c r="B73" s="3175" t="s">
        <v>11222</v>
      </c>
      <c r="C73" s="3175"/>
    </row>
    <row r="74" spans="1:627" ht="10.5" customHeight="1">
      <c r="B74" s="146"/>
      <c r="C74" s="146"/>
    </row>
    <row r="75" spans="1:627" ht="17.45" customHeight="1">
      <c r="B75" s="1970"/>
      <c r="C75" s="148" t="s">
        <v>2421</v>
      </c>
    </row>
    <row r="76" spans="1:627" ht="14.1" customHeight="1" thickBot="1">
      <c r="B76" s="146"/>
      <c r="C76" s="147"/>
    </row>
    <row r="77" spans="1:627" ht="15" thickBot="1">
      <c r="B77" s="3340" t="s">
        <v>12572</v>
      </c>
      <c r="C77" s="3341"/>
      <c r="D77" s="3341"/>
      <c r="E77" s="3341"/>
      <c r="F77" s="3342"/>
    </row>
    <row r="78" spans="1:627" ht="15" thickBot="1"/>
    <row r="79" spans="1:627" ht="15" thickBot="1">
      <c r="A79" s="115"/>
      <c r="B79" s="1973" t="s">
        <v>12200</v>
      </c>
      <c r="C79" s="152"/>
      <c r="D79" s="153"/>
      <c r="E79" s="153"/>
      <c r="F79" s="153"/>
      <c r="G79" s="153"/>
      <c r="H79" s="153"/>
      <c r="I79" s="752"/>
      <c r="J79" s="153"/>
      <c r="K79" s="153"/>
      <c r="L79" s="153"/>
      <c r="M79" s="153"/>
      <c r="N79" s="153"/>
      <c r="O79" s="153"/>
      <c r="P79" s="153"/>
      <c r="Q79" s="153"/>
      <c r="R79" s="153"/>
      <c r="S79" s="259"/>
      <c r="T79" s="1857"/>
      <c r="U79" s="1857"/>
      <c r="V79" s="1857"/>
      <c r="W79" s="1857"/>
      <c r="X79" s="1857"/>
      <c r="Y79" s="1857"/>
      <c r="Z79" s="1857"/>
      <c r="AA79" s="1857"/>
      <c r="AB79" s="1857"/>
      <c r="AC79" s="1857"/>
      <c r="AD79" s="1857"/>
      <c r="AE79" s="1857"/>
      <c r="AF79" s="1857"/>
      <c r="AG79" s="1857"/>
      <c r="AH79" s="1857"/>
      <c r="AI79" s="1857"/>
      <c r="AJ79" s="1857"/>
      <c r="AK79" s="1857"/>
      <c r="AL79" s="1857"/>
      <c r="AM79" s="1857"/>
      <c r="AN79" s="1857"/>
      <c r="AO79" s="1857"/>
      <c r="AP79" s="1857"/>
      <c r="AQ79" s="1857"/>
      <c r="AR79" s="1857"/>
      <c r="AS79" s="1857"/>
      <c r="AT79" s="1857"/>
      <c r="AU79" s="1857"/>
      <c r="AV79" s="1857"/>
      <c r="AW79" s="1857"/>
      <c r="AX79" s="1857"/>
      <c r="AY79" s="1857"/>
      <c r="AZ79" s="1857"/>
      <c r="BA79" s="1857"/>
      <c r="BB79" s="1857"/>
      <c r="BC79" s="1857"/>
      <c r="BD79" s="1857"/>
      <c r="BE79" s="1857"/>
      <c r="BF79" s="1857"/>
      <c r="BG79" s="1857"/>
      <c r="BH79" s="1857"/>
      <c r="BI79" s="1857"/>
      <c r="BJ79" s="1857"/>
      <c r="BK79" s="1857"/>
      <c r="BL79" s="1857"/>
      <c r="BM79" s="1857"/>
      <c r="BN79" s="1857"/>
      <c r="BO79" s="1857"/>
      <c r="BP79" s="1857"/>
      <c r="BQ79" s="1857"/>
      <c r="BR79" s="1857"/>
      <c r="BS79" s="1857"/>
      <c r="BT79" s="1857"/>
      <c r="BU79" s="1857"/>
      <c r="BV79" s="1857"/>
      <c r="BW79" s="1857"/>
      <c r="BX79" s="1857"/>
      <c r="BY79" s="1857"/>
      <c r="BZ79" s="1857"/>
      <c r="CA79" s="1857"/>
      <c r="CB79" s="1857"/>
      <c r="CC79" s="1857"/>
      <c r="CD79" s="1857"/>
      <c r="CE79" s="1857"/>
      <c r="CF79" s="1857"/>
      <c r="CG79" s="1857"/>
      <c r="CH79" s="1857"/>
      <c r="CI79" s="1857"/>
      <c r="CJ79" s="1857"/>
      <c r="CK79" s="1857"/>
      <c r="CL79" s="1857"/>
      <c r="CM79" s="1857"/>
      <c r="CN79" s="1857"/>
      <c r="CO79" s="1857"/>
      <c r="CP79" s="1857"/>
      <c r="CQ79" s="1857"/>
      <c r="CR79" s="1857"/>
      <c r="CS79" s="1857"/>
      <c r="CT79" s="1857"/>
      <c r="CU79" s="1857"/>
      <c r="CV79" s="1857"/>
      <c r="CW79" s="1857"/>
      <c r="CX79" s="1857"/>
      <c r="CY79" s="1857"/>
      <c r="CZ79" s="1857"/>
      <c r="DA79" s="1857"/>
      <c r="DB79" s="1857"/>
      <c r="DC79" s="1857"/>
      <c r="DD79" s="1857"/>
      <c r="DE79" s="1857"/>
      <c r="DF79" s="1857"/>
      <c r="DG79" s="1857"/>
      <c r="DH79" s="1857"/>
      <c r="DI79" s="1857"/>
      <c r="DJ79" s="1857"/>
      <c r="DK79" s="1857"/>
      <c r="DL79" s="1857"/>
      <c r="DM79" s="1857"/>
      <c r="DN79" s="1857"/>
      <c r="DO79" s="1857"/>
      <c r="DP79" s="1857"/>
      <c r="DQ79" s="1857"/>
      <c r="DR79" s="1857"/>
      <c r="DS79" s="1857"/>
      <c r="DT79" s="1857"/>
      <c r="DU79" s="1857"/>
      <c r="DV79" s="1857"/>
      <c r="DW79" s="1857"/>
      <c r="DX79" s="1857"/>
      <c r="DY79" s="1857"/>
      <c r="DZ79" s="1857"/>
      <c r="EA79" s="1857"/>
      <c r="EB79" s="1857"/>
      <c r="EC79" s="1857"/>
      <c r="ED79" s="1857"/>
      <c r="EE79" s="1857"/>
      <c r="EF79" s="1857"/>
      <c r="EG79" s="1857"/>
      <c r="EH79" s="1857"/>
      <c r="EI79" s="1857"/>
      <c r="EJ79" s="1857"/>
      <c r="EK79" s="1857"/>
      <c r="EL79" s="1857"/>
      <c r="EM79" s="1857"/>
      <c r="EN79" s="1857"/>
      <c r="EO79" s="1857"/>
      <c r="EP79" s="1857"/>
      <c r="EQ79" s="1857"/>
      <c r="ER79" s="1857"/>
      <c r="ES79" s="1857"/>
      <c r="ET79" s="1857"/>
      <c r="EU79" s="1857"/>
      <c r="EV79" s="1857"/>
      <c r="EW79" s="1857"/>
      <c r="EX79" s="1857"/>
      <c r="EY79" s="1857"/>
      <c r="EZ79" s="1857"/>
      <c r="FA79" s="1857"/>
      <c r="FB79" s="1857"/>
      <c r="FC79" s="1857"/>
      <c r="FD79" s="1857"/>
      <c r="FE79" s="1857"/>
      <c r="FF79" s="1857"/>
      <c r="FG79" s="1857"/>
      <c r="FH79" s="1857"/>
      <c r="FI79" s="1857"/>
      <c r="FJ79" s="1857"/>
      <c r="FK79" s="1857"/>
      <c r="FL79" s="1857"/>
      <c r="FM79" s="1857"/>
      <c r="FN79" s="1857"/>
      <c r="FO79" s="1857"/>
      <c r="FP79" s="1857"/>
      <c r="FQ79" s="1857"/>
      <c r="FR79" s="1857"/>
      <c r="FS79" s="1857"/>
      <c r="FT79" s="1857"/>
      <c r="FU79" s="1857"/>
      <c r="FV79" s="1857"/>
      <c r="FW79" s="1857"/>
      <c r="FX79" s="1857"/>
      <c r="FY79" s="1857"/>
      <c r="FZ79" s="1857"/>
      <c r="GA79" s="1857"/>
      <c r="GB79" s="1857"/>
      <c r="GC79" s="1857"/>
      <c r="GD79" s="1857"/>
      <c r="GE79" s="1857"/>
      <c r="GF79" s="1857"/>
      <c r="GG79" s="1857"/>
      <c r="GH79" s="1857"/>
      <c r="GI79" s="1857"/>
      <c r="GJ79" s="1857"/>
      <c r="GK79" s="1857"/>
      <c r="GL79" s="1857"/>
      <c r="GM79" s="1857"/>
      <c r="GN79" s="1857"/>
      <c r="GO79" s="1857"/>
      <c r="GP79" s="1857"/>
      <c r="GQ79" s="1857"/>
      <c r="GR79" s="1857"/>
      <c r="GS79" s="1857"/>
      <c r="GT79" s="1857"/>
      <c r="GU79" s="1857"/>
      <c r="GV79" s="1857"/>
      <c r="GW79" s="1857"/>
      <c r="GX79" s="1857"/>
      <c r="GY79" s="1857"/>
      <c r="GZ79" s="1857"/>
      <c r="HA79" s="1857"/>
      <c r="HB79" s="1857"/>
      <c r="HC79" s="1857"/>
      <c r="HD79" s="1857"/>
      <c r="HE79" s="1857"/>
      <c r="HF79" s="1857"/>
      <c r="HG79" s="1857"/>
      <c r="HH79" s="1857"/>
      <c r="HI79" s="1857"/>
      <c r="HJ79" s="1857"/>
      <c r="HK79" s="1857"/>
      <c r="HL79" s="1857"/>
      <c r="HM79" s="1857"/>
      <c r="HN79" s="1857"/>
      <c r="HO79" s="1857"/>
      <c r="HP79" s="1857"/>
      <c r="HQ79" s="1857"/>
      <c r="HR79" s="1857"/>
      <c r="HS79" s="1857"/>
      <c r="HT79" s="1857"/>
      <c r="HU79" s="1857"/>
      <c r="HV79" s="1857"/>
      <c r="HW79" s="1857"/>
      <c r="HX79" s="1857"/>
      <c r="HY79" s="1857"/>
      <c r="HZ79" s="1857"/>
      <c r="IA79" s="1857"/>
      <c r="IB79" s="1857"/>
      <c r="IC79" s="1857"/>
      <c r="ID79" s="1857"/>
      <c r="IE79" s="1857"/>
      <c r="IF79" s="1857"/>
      <c r="IG79" s="1857"/>
      <c r="IH79" s="1857"/>
      <c r="II79" s="1857"/>
      <c r="IJ79" s="1857"/>
      <c r="IK79" s="1857"/>
      <c r="IL79" s="1857"/>
      <c r="IM79" s="1857"/>
      <c r="IN79" s="1857"/>
      <c r="IO79" s="1857"/>
      <c r="IP79" s="1857"/>
      <c r="IQ79" s="1857"/>
      <c r="IR79" s="1857"/>
      <c r="IS79" s="1857"/>
      <c r="IT79" s="1857"/>
      <c r="IU79" s="1857"/>
      <c r="IV79" s="1857"/>
      <c r="IW79" s="1857"/>
      <c r="IX79" s="1857"/>
      <c r="IY79" s="1857"/>
      <c r="IZ79" s="1857"/>
      <c r="JA79" s="1857"/>
      <c r="JB79" s="1857"/>
      <c r="JC79" s="1857"/>
      <c r="JD79" s="1857"/>
      <c r="JE79" s="1857"/>
      <c r="JF79" s="1857"/>
      <c r="JG79" s="1857"/>
      <c r="JH79" s="1857"/>
      <c r="JI79" s="1857"/>
      <c r="JJ79" s="1857"/>
      <c r="JK79" s="1857"/>
      <c r="JL79" s="1857"/>
      <c r="JM79" s="1857"/>
      <c r="JN79" s="1857"/>
      <c r="JO79" s="1857"/>
      <c r="JP79" s="1857"/>
      <c r="JQ79" s="1857"/>
      <c r="JR79" s="1857"/>
      <c r="JS79" s="1857"/>
      <c r="JT79" s="1857"/>
      <c r="JU79" s="1857"/>
      <c r="JV79" s="1857"/>
      <c r="JW79" s="1857"/>
      <c r="JX79" s="1857"/>
      <c r="JY79" s="1857"/>
      <c r="JZ79" s="1857"/>
      <c r="KA79" s="1857"/>
      <c r="KB79" s="1857"/>
      <c r="KC79" s="1857"/>
      <c r="KD79" s="1857"/>
      <c r="KE79" s="1857"/>
      <c r="KF79" s="1857"/>
      <c r="KG79" s="1857"/>
      <c r="KH79" s="1857"/>
      <c r="KI79" s="1857"/>
      <c r="KJ79" s="1857"/>
      <c r="KK79" s="1857"/>
      <c r="KL79" s="1857"/>
      <c r="KM79" s="1857"/>
      <c r="KN79" s="1857"/>
      <c r="KO79" s="1857"/>
      <c r="KP79" s="1857"/>
      <c r="KQ79" s="1857"/>
      <c r="KR79" s="1857"/>
      <c r="KS79" s="1857"/>
      <c r="KT79" s="1857"/>
      <c r="KU79" s="1857"/>
      <c r="KV79" s="1857"/>
      <c r="KW79" s="1857"/>
    </row>
    <row r="80" spans="1:627" s="115" customFormat="1" ht="15" thickBot="1">
      <c r="A80" s="496"/>
      <c r="B80" s="1971"/>
      <c r="C80" s="1972"/>
      <c r="D80" s="1972"/>
      <c r="E80" s="1971"/>
      <c r="F80" s="496"/>
      <c r="G80" s="496"/>
      <c r="H80" s="496"/>
      <c r="I80" s="496"/>
      <c r="J80" s="496"/>
      <c r="K80" s="496"/>
      <c r="L80" s="496"/>
      <c r="M80" s="496"/>
      <c r="N80" s="496"/>
      <c r="O80" s="496"/>
      <c r="P80" s="496"/>
      <c r="Q80" s="496"/>
      <c r="R80" s="496"/>
      <c r="S80" s="496"/>
      <c r="T80" s="496"/>
      <c r="U80" s="496"/>
      <c r="V80" s="496"/>
      <c r="W80" s="496"/>
      <c r="X80" s="496"/>
      <c r="Y80" s="496"/>
      <c r="Z80" s="496"/>
      <c r="AA80" s="496"/>
      <c r="AB80" s="496"/>
      <c r="AC80" s="496"/>
      <c r="AD80" s="496"/>
      <c r="AE80" s="496"/>
      <c r="AF80" s="496"/>
      <c r="AG80" s="496"/>
      <c r="AH80" s="496"/>
      <c r="AI80" s="496"/>
      <c r="AJ80" s="496"/>
      <c r="AK80" s="496"/>
      <c r="AL80" s="496"/>
      <c r="AM80" s="496"/>
      <c r="AN80" s="496"/>
      <c r="AO80" s="496"/>
      <c r="AP80" s="496"/>
      <c r="AQ80" s="496"/>
      <c r="AR80" s="496"/>
      <c r="AS80" s="496"/>
      <c r="AT80" s="496"/>
      <c r="AU80" s="496"/>
      <c r="AV80" s="496"/>
      <c r="AW80" s="496"/>
      <c r="AX80" s="496"/>
      <c r="AY80" s="496"/>
      <c r="AZ80" s="496"/>
      <c r="BA80" s="496"/>
      <c r="BB80" s="496"/>
      <c r="BC80" s="496"/>
      <c r="BD80" s="496"/>
      <c r="BE80" s="496"/>
      <c r="BF80" s="496"/>
      <c r="BG80" s="496"/>
      <c r="BH80" s="496"/>
      <c r="BI80" s="496"/>
      <c r="BJ80" s="496"/>
      <c r="BK80" s="496"/>
      <c r="BL80" s="496"/>
      <c r="BM80" s="496"/>
      <c r="BN80" s="496"/>
      <c r="BO80" s="496"/>
      <c r="BP80" s="496"/>
      <c r="BQ80" s="496"/>
      <c r="BR80" s="496"/>
      <c r="BS80" s="496"/>
      <c r="BT80" s="496"/>
      <c r="BU80" s="496"/>
      <c r="BV80" s="496"/>
      <c r="BW80" s="496"/>
      <c r="BX80" s="496"/>
      <c r="BY80" s="496"/>
      <c r="BZ80" s="496"/>
      <c r="CA80" s="496"/>
      <c r="CB80" s="496"/>
      <c r="CC80" s="496"/>
      <c r="CD80" s="496"/>
      <c r="CE80" s="496"/>
      <c r="CF80" s="496"/>
      <c r="CG80" s="496"/>
      <c r="CH80" s="496"/>
      <c r="CI80" s="496"/>
      <c r="CJ80" s="496"/>
      <c r="CK80" s="496"/>
      <c r="CL80" s="496"/>
      <c r="CM80" s="496"/>
      <c r="CN80" s="496"/>
      <c r="CO80" s="496"/>
      <c r="CP80" s="496"/>
      <c r="CQ80" s="496"/>
      <c r="CR80" s="496"/>
      <c r="CS80" s="496"/>
      <c r="CT80" s="496"/>
      <c r="CU80" s="496"/>
      <c r="CV80" s="496"/>
      <c r="CW80" s="496"/>
      <c r="CX80" s="496"/>
      <c r="CY80" s="496"/>
      <c r="CZ80" s="496"/>
      <c r="DA80" s="496"/>
      <c r="DB80" s="496"/>
      <c r="DC80" s="496"/>
      <c r="DD80" s="496"/>
      <c r="DE80" s="496"/>
      <c r="DF80" s="496"/>
      <c r="DG80" s="496"/>
      <c r="DH80" s="496"/>
      <c r="DI80" s="496"/>
      <c r="DJ80" s="496"/>
      <c r="DK80" s="496"/>
      <c r="DL80" s="496"/>
      <c r="DM80" s="496"/>
      <c r="DN80" s="496"/>
      <c r="DO80" s="496"/>
      <c r="DP80" s="496"/>
      <c r="DQ80" s="496"/>
      <c r="DR80" s="496"/>
      <c r="DS80" s="496"/>
      <c r="DT80" s="496"/>
      <c r="DU80" s="496"/>
      <c r="DV80" s="496"/>
      <c r="DW80" s="496"/>
      <c r="DX80" s="496"/>
      <c r="DY80" s="496"/>
      <c r="DZ80" s="496"/>
      <c r="EA80" s="496"/>
      <c r="EB80" s="496"/>
      <c r="EC80" s="496"/>
      <c r="ED80" s="496"/>
      <c r="EE80" s="496"/>
      <c r="EF80" s="496"/>
      <c r="EG80" s="496"/>
      <c r="EH80" s="496"/>
      <c r="EI80" s="496"/>
      <c r="EJ80" s="496"/>
      <c r="EK80" s="496"/>
      <c r="EL80" s="496"/>
      <c r="EM80" s="496"/>
      <c r="EN80" s="496"/>
      <c r="EO80" s="496"/>
      <c r="EP80" s="496"/>
      <c r="EQ80" s="496"/>
      <c r="ER80" s="496"/>
      <c r="ES80" s="496"/>
      <c r="ET80" s="496"/>
      <c r="EU80" s="496"/>
      <c r="EV80" s="496"/>
      <c r="EW80" s="496"/>
      <c r="EX80" s="496"/>
      <c r="EY80" s="496"/>
      <c r="EZ80" s="496"/>
      <c r="FA80" s="496"/>
      <c r="FB80" s="496"/>
      <c r="FC80" s="496"/>
      <c r="FD80" s="496"/>
      <c r="FE80" s="496"/>
      <c r="FF80" s="496"/>
      <c r="FG80" s="496"/>
      <c r="FH80" s="496"/>
      <c r="FI80" s="496"/>
      <c r="FJ80" s="496"/>
      <c r="FK80" s="496"/>
      <c r="FL80" s="496"/>
      <c r="FM80" s="496"/>
      <c r="FN80" s="496"/>
      <c r="FO80" s="496"/>
      <c r="FP80" s="496"/>
      <c r="FQ80" s="496"/>
      <c r="FR80" s="496"/>
      <c r="FS80" s="496"/>
      <c r="FT80" s="496"/>
      <c r="FU80" s="496"/>
      <c r="FV80" s="496"/>
      <c r="FW80" s="496"/>
      <c r="FX80" s="496"/>
      <c r="FY80" s="496"/>
      <c r="FZ80" s="496"/>
      <c r="GA80" s="496"/>
      <c r="GB80" s="496"/>
      <c r="GC80" s="496"/>
      <c r="GD80" s="496"/>
      <c r="GE80" s="496"/>
      <c r="GF80" s="496"/>
      <c r="GG80" s="496"/>
      <c r="GH80" s="496"/>
      <c r="GI80" s="496"/>
      <c r="GJ80" s="496"/>
      <c r="GK80" s="496"/>
      <c r="GL80" s="496"/>
      <c r="GM80" s="496"/>
      <c r="GN80" s="496"/>
      <c r="GO80" s="496"/>
      <c r="GP80" s="496"/>
      <c r="GQ80" s="496"/>
      <c r="GR80" s="496"/>
      <c r="GS80" s="496"/>
      <c r="GT80" s="496"/>
      <c r="GU80" s="496"/>
      <c r="GV80" s="496"/>
      <c r="GW80" s="496"/>
      <c r="GX80" s="496"/>
      <c r="GY80" s="496"/>
      <c r="GZ80" s="496"/>
      <c r="HA80" s="496"/>
      <c r="HB80" s="496"/>
      <c r="HC80" s="496"/>
      <c r="HD80" s="496"/>
      <c r="HE80" s="496"/>
      <c r="HF80" s="496"/>
      <c r="HG80" s="496"/>
      <c r="HH80" s="496"/>
      <c r="HI80" s="496"/>
      <c r="HJ80" s="496"/>
      <c r="HK80" s="496"/>
      <c r="HL80" s="496"/>
      <c r="HM80" s="496"/>
      <c r="HN80" s="496"/>
      <c r="HO80" s="496"/>
      <c r="HP80" s="496"/>
      <c r="HQ80" s="496"/>
      <c r="HR80" s="496"/>
      <c r="HS80" s="496"/>
      <c r="HT80" s="496"/>
      <c r="HU80" s="496"/>
      <c r="HV80" s="496"/>
      <c r="HW80" s="496"/>
      <c r="HX80" s="496"/>
      <c r="HY80" s="496"/>
      <c r="HZ80" s="496"/>
      <c r="IA80" s="496"/>
      <c r="IB80" s="496"/>
      <c r="IC80" s="496"/>
      <c r="ID80" s="496"/>
      <c r="IE80" s="496"/>
      <c r="IF80" s="496"/>
      <c r="IG80" s="496"/>
      <c r="IH80" s="496"/>
      <c r="II80" s="496"/>
      <c r="IJ80" s="496"/>
      <c r="IK80" s="496"/>
      <c r="IL80" s="496"/>
      <c r="IM80" s="496"/>
      <c r="IN80" s="496"/>
      <c r="IO80" s="496"/>
      <c r="IP80" s="496"/>
      <c r="IQ80" s="496"/>
      <c r="IR80" s="496"/>
      <c r="IS80" s="496"/>
      <c r="IT80" s="496"/>
      <c r="IU80" s="496"/>
      <c r="IV80" s="496"/>
      <c r="IW80" s="496"/>
      <c r="IX80" s="496"/>
      <c r="IY80" s="496"/>
      <c r="IZ80" s="496"/>
      <c r="JA80" s="496"/>
      <c r="JB80" s="496"/>
      <c r="JC80" s="496"/>
      <c r="JD80" s="496"/>
      <c r="JE80" s="496"/>
      <c r="JF80" s="496"/>
      <c r="JG80" s="496"/>
      <c r="JH80" s="496"/>
      <c r="JI80" s="496"/>
      <c r="JJ80" s="496"/>
      <c r="JK80" s="496"/>
      <c r="JL80" s="496"/>
      <c r="JM80" s="496"/>
      <c r="JN80" s="496"/>
      <c r="JO80" s="496"/>
      <c r="JP80" s="496"/>
      <c r="JQ80" s="496"/>
      <c r="JR80" s="496"/>
      <c r="JS80" s="496"/>
      <c r="JT80" s="496"/>
      <c r="JU80" s="496"/>
      <c r="JV80" s="496"/>
      <c r="JW80" s="496"/>
      <c r="JX80" s="496"/>
      <c r="JY80" s="496"/>
      <c r="JZ80" s="496"/>
      <c r="KA80" s="496"/>
      <c r="KB80" s="496"/>
      <c r="KC80" s="496"/>
      <c r="KD80" s="496"/>
      <c r="KE80" s="496"/>
      <c r="KF80" s="496"/>
      <c r="KG80" s="496"/>
      <c r="KH80" s="496"/>
      <c r="KI80" s="496"/>
      <c r="KJ80" s="496"/>
      <c r="KK80" s="496"/>
      <c r="KL80" s="496"/>
      <c r="KM80" s="496"/>
      <c r="KN80" s="496"/>
      <c r="KO80" s="496"/>
      <c r="KP80" s="496"/>
      <c r="KQ80" s="496"/>
      <c r="KR80" s="496"/>
      <c r="KS80" s="496"/>
      <c r="KT80" s="496"/>
      <c r="KU80" s="496"/>
      <c r="KV80" s="496"/>
      <c r="KW80" s="496"/>
      <c r="LE80" s="586"/>
      <c r="XC80" s="586"/>
    </row>
    <row r="81" spans="2:19" ht="15" thickBot="1">
      <c r="B81" s="888" t="s">
        <v>2717</v>
      </c>
      <c r="C81" s="889" t="s">
        <v>3934</v>
      </c>
      <c r="D81" s="3379" t="s">
        <v>3935</v>
      </c>
      <c r="E81" s="3364"/>
      <c r="F81" s="3364"/>
      <c r="G81" s="3364"/>
      <c r="H81" s="3364"/>
      <c r="I81" s="3364"/>
      <c r="J81" s="3364"/>
      <c r="K81" s="3364"/>
      <c r="L81" s="3364"/>
      <c r="M81" s="3364"/>
      <c r="N81" s="3364"/>
      <c r="O81" s="3364"/>
      <c r="P81" s="3364"/>
      <c r="Q81" s="3364"/>
      <c r="R81" s="3364"/>
      <c r="S81" s="3365"/>
    </row>
    <row r="82" spans="2:19" ht="15" thickBot="1">
      <c r="B82" s="1974"/>
      <c r="C82" s="1975"/>
      <c r="D82" s="1975"/>
    </row>
    <row r="83" spans="2:19" ht="15" thickBot="1">
      <c r="B83" s="890" t="s">
        <v>2449</v>
      </c>
      <c r="C83" s="891" t="str">
        <f>C15</f>
        <v>Leakage</v>
      </c>
      <c r="D83" s="1975"/>
    </row>
    <row r="84" spans="2:19" ht="30" customHeight="1">
      <c r="B84" s="1976" t="s">
        <v>3936</v>
      </c>
      <c r="C84" s="1977" t="s">
        <v>3937</v>
      </c>
      <c r="D84" s="3380" t="s">
        <v>12201</v>
      </c>
      <c r="E84" s="3381"/>
      <c r="F84" s="3381"/>
      <c r="G84" s="3381"/>
      <c r="H84" s="3381"/>
      <c r="I84" s="3381"/>
      <c r="J84" s="3381"/>
      <c r="K84" s="3381"/>
      <c r="L84" s="3381"/>
      <c r="M84" s="3381"/>
      <c r="N84" s="3381"/>
      <c r="O84" s="3381"/>
      <c r="P84" s="3381"/>
      <c r="Q84" s="3381"/>
      <c r="R84" s="3381"/>
      <c r="S84" s="3382"/>
    </row>
    <row r="85" spans="2:19" ht="15" customHeight="1">
      <c r="B85" s="1976" t="s">
        <v>3938</v>
      </c>
      <c r="C85" s="1977" t="s">
        <v>3939</v>
      </c>
      <c r="D85" s="3383" t="s">
        <v>3940</v>
      </c>
      <c r="E85" s="3384"/>
      <c r="F85" s="3384"/>
      <c r="G85" s="3384"/>
      <c r="H85" s="3384"/>
      <c r="I85" s="3384"/>
      <c r="J85" s="3384"/>
      <c r="K85" s="3384"/>
      <c r="L85" s="3384"/>
      <c r="M85" s="3384"/>
      <c r="N85" s="3384"/>
      <c r="O85" s="3384"/>
      <c r="P85" s="3384"/>
      <c r="Q85" s="3384"/>
      <c r="R85" s="3384"/>
      <c r="S85" s="3385"/>
    </row>
    <row r="86" spans="2:19" ht="15.75" customHeight="1">
      <c r="B86" s="1976" t="s">
        <v>3941</v>
      </c>
      <c r="C86" s="1977" t="s">
        <v>3942</v>
      </c>
      <c r="D86" s="3383" t="s">
        <v>3943</v>
      </c>
      <c r="E86" s="3384"/>
      <c r="F86" s="3384"/>
      <c r="G86" s="3384"/>
      <c r="H86" s="3384"/>
      <c r="I86" s="3384"/>
      <c r="J86" s="3384"/>
      <c r="K86" s="3384"/>
      <c r="L86" s="3384"/>
      <c r="M86" s="3384"/>
      <c r="N86" s="3384"/>
      <c r="O86" s="3384"/>
      <c r="P86" s="3384"/>
      <c r="Q86" s="3384"/>
      <c r="R86" s="3384"/>
      <c r="S86" s="3385"/>
    </row>
    <row r="87" spans="2:19" ht="15" thickBot="1">
      <c r="B87" s="1978" t="s">
        <v>3944</v>
      </c>
      <c r="C87" s="1979" t="s">
        <v>3945</v>
      </c>
      <c r="D87" s="3372" t="s">
        <v>3946</v>
      </c>
      <c r="E87" s="3373"/>
      <c r="F87" s="3373"/>
      <c r="G87" s="3373"/>
      <c r="H87" s="3373"/>
      <c r="I87" s="3373"/>
      <c r="J87" s="3373"/>
      <c r="K87" s="3373"/>
      <c r="L87" s="3373"/>
      <c r="M87" s="3373"/>
      <c r="N87" s="3373"/>
      <c r="O87" s="3373"/>
      <c r="P87" s="3373"/>
      <c r="Q87" s="3373"/>
      <c r="R87" s="3373"/>
      <c r="S87" s="3374"/>
    </row>
    <row r="88" spans="2:19" ht="15" thickBot="1">
      <c r="B88" s="1974"/>
      <c r="C88" s="1975"/>
      <c r="D88" s="1975"/>
    </row>
    <row r="89" spans="2:19" ht="15" thickBot="1">
      <c r="B89" s="890" t="s">
        <v>2458</v>
      </c>
      <c r="C89" s="891" t="str">
        <f>C23</f>
        <v>Supply interruptions</v>
      </c>
      <c r="D89" s="1975"/>
    </row>
    <row r="90" spans="2:19" ht="30.75" customHeight="1" thickBot="1">
      <c r="B90" s="1980" t="s">
        <v>3958</v>
      </c>
      <c r="C90" s="1981" t="str">
        <f>C24</f>
        <v>All supply interruptions &gt; 3 hours</v>
      </c>
      <c r="D90" s="3353" t="s">
        <v>12202</v>
      </c>
      <c r="E90" s="3354"/>
      <c r="F90" s="3354"/>
      <c r="G90" s="3354"/>
      <c r="H90" s="3354"/>
      <c r="I90" s="3354"/>
      <c r="J90" s="3354"/>
      <c r="K90" s="3354"/>
      <c r="L90" s="3354"/>
      <c r="M90" s="3354"/>
      <c r="N90" s="3354"/>
      <c r="O90" s="3354"/>
      <c r="P90" s="3354"/>
      <c r="Q90" s="3354"/>
      <c r="R90" s="3354"/>
      <c r="S90" s="3355"/>
    </row>
    <row r="91" spans="2:19" ht="15" thickBot="1">
      <c r="B91" s="1974"/>
      <c r="C91" s="1975"/>
      <c r="D91" s="1975"/>
      <c r="E91" s="1982"/>
      <c r="F91" s="1982"/>
      <c r="G91" s="1982"/>
      <c r="H91" s="1982"/>
      <c r="I91" s="1982"/>
      <c r="J91" s="1982"/>
      <c r="K91" s="1982"/>
      <c r="L91" s="1982"/>
      <c r="M91" s="1982"/>
      <c r="N91" s="1982"/>
      <c r="O91" s="1982"/>
      <c r="P91" s="1982"/>
      <c r="Q91" s="1982"/>
      <c r="R91" s="1982"/>
      <c r="S91" s="1982"/>
    </row>
    <row r="92" spans="2:19" ht="15" thickBot="1">
      <c r="B92" s="890" t="s">
        <v>2464</v>
      </c>
      <c r="C92" s="891" t="str">
        <f>C28</f>
        <v>Mains bursts</v>
      </c>
      <c r="D92" s="1975"/>
    </row>
    <row r="93" spans="2:19" ht="15" thickBot="1">
      <c r="B93" s="1980" t="s">
        <v>3959</v>
      </c>
      <c r="C93" s="1981" t="str">
        <f>C29</f>
        <v>Water mains bursts per 1,000 kilometres of pipe</v>
      </c>
      <c r="D93" s="3353" t="s">
        <v>13481</v>
      </c>
      <c r="E93" s="3354"/>
      <c r="F93" s="3354"/>
      <c r="G93" s="3354"/>
      <c r="H93" s="3354"/>
      <c r="I93" s="3354"/>
      <c r="J93" s="3354"/>
      <c r="K93" s="3354"/>
      <c r="L93" s="3354"/>
      <c r="M93" s="3354"/>
      <c r="N93" s="3354"/>
      <c r="O93" s="3354"/>
      <c r="P93" s="3354"/>
      <c r="Q93" s="3354"/>
      <c r="R93" s="3354"/>
      <c r="S93" s="3355"/>
    </row>
    <row r="94" spans="2:19" ht="15" thickBot="1">
      <c r="B94" s="1974"/>
      <c r="C94" s="1975"/>
      <c r="D94" s="1975"/>
    </row>
    <row r="95" spans="2:19" ht="15" thickBot="1">
      <c r="B95" s="890" t="s">
        <v>2473</v>
      </c>
      <c r="C95" s="891" t="str">
        <f>C33</f>
        <v>Unplanned outage</v>
      </c>
      <c r="D95" s="1975"/>
    </row>
    <row r="96" spans="2:19" ht="15" thickBot="1">
      <c r="B96" s="1980" t="s">
        <v>3960</v>
      </c>
      <c r="C96" s="1981" t="str">
        <f>C34</f>
        <v>Proportion of unplanned outage of the total company production capacity</v>
      </c>
      <c r="D96" s="3353" t="s">
        <v>13481</v>
      </c>
      <c r="E96" s="3354"/>
      <c r="F96" s="3354"/>
      <c r="G96" s="3354"/>
      <c r="H96" s="3354"/>
      <c r="I96" s="3354"/>
      <c r="J96" s="3354"/>
      <c r="K96" s="3354"/>
      <c r="L96" s="3354"/>
      <c r="M96" s="3354"/>
      <c r="N96" s="3354"/>
      <c r="O96" s="3354"/>
      <c r="P96" s="3354"/>
      <c r="Q96" s="3354"/>
      <c r="R96" s="3354"/>
      <c r="S96" s="3355"/>
    </row>
    <row r="97" spans="2:627" ht="15" thickBot="1">
      <c r="B97" s="1974"/>
      <c r="C97" s="1975"/>
      <c r="D97" s="1975"/>
      <c r="E97" s="1982"/>
      <c r="F97" s="1982"/>
      <c r="G97" s="1982"/>
      <c r="H97" s="1982"/>
      <c r="I97" s="1982"/>
      <c r="J97" s="1982"/>
      <c r="K97" s="1982"/>
      <c r="L97" s="1982"/>
      <c r="M97" s="1982"/>
      <c r="N97" s="1982"/>
      <c r="O97" s="1982"/>
      <c r="P97" s="1982"/>
      <c r="Q97" s="1982"/>
      <c r="R97" s="1982"/>
      <c r="S97" s="1982"/>
    </row>
    <row r="98" spans="2:627" ht="15" thickBot="1">
      <c r="B98" s="890" t="s">
        <v>2480</v>
      </c>
      <c r="C98" s="891" t="str">
        <f>C39</f>
        <v>Per capita consumption (PCC)</v>
      </c>
      <c r="D98" s="1975"/>
    </row>
    <row r="99" spans="2:627" ht="15" thickBot="1">
      <c r="B99" s="1980" t="s">
        <v>3961</v>
      </c>
      <c r="C99" s="1981" t="str">
        <f>C40</f>
        <v>Per capita consumption</v>
      </c>
      <c r="D99" s="3353" t="s">
        <v>13481</v>
      </c>
      <c r="E99" s="3354"/>
      <c r="F99" s="3354"/>
      <c r="G99" s="3354"/>
      <c r="H99" s="3354"/>
      <c r="I99" s="3354"/>
      <c r="J99" s="3354"/>
      <c r="K99" s="3354"/>
      <c r="L99" s="3354"/>
      <c r="M99" s="3354"/>
      <c r="N99" s="3354"/>
      <c r="O99" s="3354"/>
      <c r="P99" s="3354"/>
      <c r="Q99" s="3354"/>
      <c r="R99" s="3354"/>
      <c r="S99" s="3355"/>
    </row>
    <row r="100" spans="2:627" ht="15" thickBot="1">
      <c r="B100" s="1974"/>
      <c r="C100" s="1975"/>
      <c r="D100" s="1975"/>
      <c r="E100" s="1982"/>
      <c r="F100" s="1982"/>
      <c r="G100" s="1982"/>
      <c r="H100" s="1982"/>
      <c r="I100" s="1982"/>
      <c r="J100" s="1982"/>
      <c r="K100" s="1982"/>
      <c r="L100" s="1982"/>
      <c r="M100" s="1982"/>
      <c r="N100" s="1982"/>
      <c r="O100" s="1982"/>
      <c r="P100" s="1982"/>
      <c r="Q100" s="1982"/>
      <c r="R100" s="1982"/>
      <c r="S100" s="1982"/>
    </row>
    <row r="101" spans="2:627" ht="15" thickBot="1">
      <c r="B101" s="890" t="s">
        <v>2718</v>
      </c>
      <c r="C101" s="891" t="str">
        <f>C44</f>
        <v>Risk of severe restrictions in a drought</v>
      </c>
      <c r="D101" s="1975"/>
    </row>
    <row r="102" spans="2:627" ht="30" customHeight="1" thickBot="1">
      <c r="B102" s="1980" t="s">
        <v>3962</v>
      </c>
      <c r="C102" s="1981" t="str">
        <f>C45</f>
        <v>Percentage of the population the company serves that would experience severe supply restrictions (for example, standpipes or rota cuts) in a 1 in 200 year drought</v>
      </c>
      <c r="D102" s="3356" t="s">
        <v>13511</v>
      </c>
      <c r="E102" s="3357"/>
      <c r="F102" s="3357"/>
      <c r="G102" s="3357"/>
      <c r="H102" s="3357"/>
      <c r="I102" s="3357"/>
      <c r="J102" s="3357"/>
      <c r="K102" s="3357"/>
      <c r="L102" s="3357"/>
      <c r="M102" s="3357"/>
      <c r="N102" s="3357"/>
      <c r="O102" s="3357"/>
      <c r="P102" s="3357"/>
      <c r="Q102" s="3357"/>
      <c r="R102" s="3357"/>
      <c r="S102" s="3358"/>
    </row>
    <row r="103" spans="2:627" ht="15" customHeight="1" thickBot="1">
      <c r="B103" s="1974"/>
      <c r="C103" s="1975"/>
      <c r="D103" s="1975"/>
    </row>
    <row r="104" spans="2:627" ht="15" thickBot="1">
      <c r="B104" s="890" t="s">
        <v>2719</v>
      </c>
      <c r="C104" s="891" t="str">
        <f>C49</f>
        <v>Internal sewer flooding incidents</v>
      </c>
      <c r="D104" s="1975"/>
    </row>
    <row r="105" spans="2:627" ht="15" thickBot="1">
      <c r="B105" s="1980" t="s">
        <v>3413</v>
      </c>
      <c r="C105" s="1981" t="str">
        <f>C50</f>
        <v>Internal sewer flooding incidents, including sewer flooding due to severe weather events</v>
      </c>
      <c r="D105" s="3359" t="s">
        <v>13481</v>
      </c>
      <c r="E105" s="3360"/>
      <c r="F105" s="3360"/>
      <c r="G105" s="3360"/>
      <c r="H105" s="3360"/>
      <c r="I105" s="3360"/>
      <c r="J105" s="3360"/>
      <c r="K105" s="3360"/>
      <c r="L105" s="3360"/>
      <c r="M105" s="3360"/>
      <c r="N105" s="3360"/>
      <c r="O105" s="3360"/>
      <c r="P105" s="3360"/>
      <c r="Q105" s="3360"/>
      <c r="R105" s="3360"/>
      <c r="S105" s="3361"/>
    </row>
    <row r="106" spans="2:627" ht="15" thickBot="1">
      <c r="B106" s="1983"/>
      <c r="C106" s="1974"/>
      <c r="D106" s="1975"/>
      <c r="E106" s="1974"/>
    </row>
    <row r="107" spans="2:627" ht="15" thickBot="1">
      <c r="B107" s="890" t="s">
        <v>2720</v>
      </c>
      <c r="C107" s="891" t="str">
        <f>C55</f>
        <v>External sewer flooding incidents</v>
      </c>
      <c r="D107" s="1975"/>
    </row>
    <row r="108" spans="2:627" ht="15" thickBot="1">
      <c r="B108" s="1980" t="s">
        <v>3530</v>
      </c>
      <c r="C108" s="1981" t="str">
        <f>C56</f>
        <v>External sewer flooding incidents, including sewer flooding due to severe weather events</v>
      </c>
      <c r="D108" s="3359" t="s">
        <v>13481</v>
      </c>
      <c r="E108" s="3360"/>
      <c r="F108" s="3360"/>
      <c r="G108" s="3360"/>
      <c r="H108" s="3360"/>
      <c r="I108" s="3360"/>
      <c r="J108" s="3360"/>
      <c r="K108" s="3360"/>
      <c r="L108" s="3360"/>
      <c r="M108" s="3360"/>
      <c r="N108" s="3360"/>
      <c r="O108" s="3360"/>
      <c r="P108" s="3360"/>
      <c r="Q108" s="3360"/>
      <c r="R108" s="3360"/>
      <c r="S108" s="3361"/>
    </row>
    <row r="109" spans="2:627" ht="15" thickBot="1">
      <c r="B109" s="1974"/>
      <c r="C109" s="1975"/>
      <c r="D109" s="1975"/>
      <c r="E109" s="1982"/>
      <c r="F109" s="1982"/>
      <c r="G109" s="1982"/>
      <c r="H109" s="1982"/>
      <c r="I109" s="1982"/>
      <c r="J109" s="1982"/>
      <c r="K109" s="1982"/>
      <c r="L109" s="1982"/>
      <c r="M109" s="1982"/>
      <c r="N109" s="1982"/>
      <c r="O109" s="1982"/>
      <c r="P109" s="1982"/>
      <c r="Q109" s="1982"/>
      <c r="R109" s="1982"/>
      <c r="S109" s="1982"/>
      <c r="LE109" s="530"/>
      <c r="XC109" s="530"/>
    </row>
    <row r="110" spans="2:627" ht="15" thickBot="1">
      <c r="B110" s="890" t="s">
        <v>2721</v>
      </c>
      <c r="C110" s="891" t="str">
        <f>C60</f>
        <v>Sewer collapses</v>
      </c>
      <c r="D110" s="1975"/>
      <c r="LE110" s="530"/>
      <c r="XC110" s="530"/>
    </row>
    <row r="111" spans="2:627" ht="15" thickBot="1">
      <c r="B111" s="1980" t="s">
        <v>4945</v>
      </c>
      <c r="C111" s="1981" t="str">
        <f>C61</f>
        <v>Sewer collapses per 1,000 kilometres of sewers</v>
      </c>
      <c r="D111" s="3353" t="s">
        <v>13481</v>
      </c>
      <c r="E111" s="3354"/>
      <c r="F111" s="3354"/>
      <c r="G111" s="3354"/>
      <c r="H111" s="3354"/>
      <c r="I111" s="3354"/>
      <c r="J111" s="3354"/>
      <c r="K111" s="3354"/>
      <c r="L111" s="3354"/>
      <c r="M111" s="3354"/>
      <c r="N111" s="3354"/>
      <c r="O111" s="3354"/>
      <c r="P111" s="3354"/>
      <c r="Q111" s="3354"/>
      <c r="R111" s="3354"/>
      <c r="S111" s="3355"/>
      <c r="LE111" s="528"/>
      <c r="XC111" s="528"/>
    </row>
    <row r="112" spans="2:627" ht="15" thickBot="1">
      <c r="B112" s="1974"/>
      <c r="C112" s="1975"/>
      <c r="D112" s="1975"/>
      <c r="E112" s="1982"/>
      <c r="F112" s="1982"/>
      <c r="G112" s="1982"/>
      <c r="H112" s="1982"/>
      <c r="I112" s="1982"/>
      <c r="J112" s="1982"/>
      <c r="K112" s="1982"/>
      <c r="L112" s="1982"/>
      <c r="M112" s="1982"/>
      <c r="N112" s="1982"/>
      <c r="O112" s="1982"/>
      <c r="P112" s="1982"/>
      <c r="Q112" s="1982"/>
      <c r="R112" s="1982"/>
      <c r="S112" s="1982"/>
    </row>
    <row r="113" spans="1:627" ht="15" thickBot="1">
      <c r="B113" s="890" t="s">
        <v>2722</v>
      </c>
      <c r="C113" s="891" t="str">
        <f>C65</f>
        <v>Risk of sewer flooding in a storm</v>
      </c>
      <c r="D113" s="1975"/>
    </row>
    <row r="114" spans="1:627" ht="15" customHeight="1" thickBot="1">
      <c r="B114" s="1980" t="s">
        <v>4946</v>
      </c>
      <c r="C114" s="1981" t="str">
        <f>C66</f>
        <v>Percentage of population at risk of sewer flooding in a 1-in-50 year storm</v>
      </c>
      <c r="D114" s="3353" t="s">
        <v>13483</v>
      </c>
      <c r="E114" s="3354"/>
      <c r="F114" s="3354"/>
      <c r="G114" s="3354"/>
      <c r="H114" s="3354"/>
      <c r="I114" s="3354"/>
      <c r="J114" s="3354"/>
      <c r="K114" s="3354"/>
      <c r="L114" s="3354"/>
      <c r="M114" s="3354"/>
      <c r="N114" s="3354"/>
      <c r="O114" s="3354"/>
      <c r="P114" s="3354"/>
      <c r="Q114" s="3354"/>
      <c r="R114" s="3354"/>
      <c r="S114" s="3355"/>
    </row>
    <row r="115" spans="1:627" ht="15" thickBot="1"/>
    <row r="116" spans="1:627" ht="15" thickBot="1">
      <c r="B116" s="890" t="s">
        <v>2723</v>
      </c>
      <c r="C116" s="891" t="str">
        <f>C69</f>
        <v>Vulnerability</v>
      </c>
      <c r="D116" s="1975"/>
    </row>
    <row r="117" spans="1:627" ht="15" customHeight="1">
      <c r="B117" s="2410" t="s">
        <v>13474</v>
      </c>
      <c r="C117" s="2411" t="str">
        <f>C70</f>
        <v>Percentage of households registered for priority services (as of 31 March)</v>
      </c>
      <c r="D117" s="3366" t="s">
        <v>13470</v>
      </c>
      <c r="E117" s="3367"/>
      <c r="F117" s="3367"/>
      <c r="G117" s="3367"/>
      <c r="H117" s="3367"/>
      <c r="I117" s="3367"/>
      <c r="J117" s="3367"/>
      <c r="K117" s="3367"/>
      <c r="L117" s="3367"/>
      <c r="M117" s="3367"/>
      <c r="N117" s="3367"/>
      <c r="O117" s="3367"/>
      <c r="P117" s="3367"/>
      <c r="Q117" s="3367"/>
      <c r="R117" s="3367"/>
      <c r="S117" s="3368"/>
    </row>
    <row r="118" spans="1:627" ht="56.25" customHeight="1" thickBot="1">
      <c r="B118" s="2412" t="s">
        <v>13475</v>
      </c>
      <c r="C118" s="2413" t="str">
        <f>C71</f>
        <v>Percentage of households registered on the Priority Services Register contacted over the previous two years to ensure they are still receiving the right support (as of 31 March)</v>
      </c>
      <c r="D118" s="3369" t="s">
        <v>13479</v>
      </c>
      <c r="E118" s="3370"/>
      <c r="F118" s="3370"/>
      <c r="G118" s="3370"/>
      <c r="H118" s="3370"/>
      <c r="I118" s="3370"/>
      <c r="J118" s="3370"/>
      <c r="K118" s="3370"/>
      <c r="L118" s="3370"/>
      <c r="M118" s="3370"/>
      <c r="N118" s="3370"/>
      <c r="O118" s="3370"/>
      <c r="P118" s="3370"/>
      <c r="Q118" s="3370"/>
      <c r="R118" s="3370"/>
      <c r="S118" s="3371"/>
    </row>
    <row r="119" spans="1:627"/>
    <row r="120" spans="1:627"/>
    <row r="121" spans="1:627" ht="15" thickBot="1"/>
    <row r="122" spans="1:627" ht="15" thickBot="1">
      <c r="A122" s="115"/>
      <c r="B122" s="151" t="s">
        <v>12203</v>
      </c>
      <c r="C122" s="152"/>
      <c r="D122" s="153"/>
      <c r="E122" s="153"/>
      <c r="F122" s="153"/>
      <c r="G122" s="153"/>
      <c r="H122" s="153"/>
      <c r="I122" s="752"/>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c r="BI122" s="153"/>
      <c r="BJ122" s="153"/>
      <c r="BK122" s="153"/>
      <c r="BL122" s="153"/>
      <c r="BM122" s="153"/>
      <c r="BN122" s="153"/>
      <c r="BO122" s="153"/>
      <c r="BP122" s="153"/>
      <c r="BQ122" s="153"/>
      <c r="BR122" s="153"/>
      <c r="BS122" s="153"/>
      <c r="BT122" s="153"/>
      <c r="BU122" s="259"/>
      <c r="BV122" s="153"/>
      <c r="BW122" s="153"/>
      <c r="BX122" s="153"/>
      <c r="BY122" s="153"/>
      <c r="BZ122" s="153"/>
      <c r="CA122" s="153"/>
      <c r="CB122" s="153"/>
      <c r="CC122" s="153"/>
      <c r="CD122" s="153"/>
      <c r="CE122" s="153"/>
      <c r="CF122" s="153"/>
      <c r="CG122" s="153"/>
      <c r="CH122" s="153"/>
      <c r="CI122" s="153"/>
      <c r="CJ122" s="153"/>
      <c r="CK122" s="153"/>
      <c r="CL122" s="153"/>
      <c r="CM122" s="153"/>
      <c r="CN122" s="153"/>
      <c r="CO122" s="259"/>
      <c r="CP122" s="153"/>
      <c r="CQ122" s="153"/>
      <c r="CR122" s="153"/>
      <c r="CS122" s="153"/>
      <c r="CT122" s="153"/>
      <c r="CU122" s="153"/>
      <c r="CV122" s="153"/>
      <c r="CW122" s="153"/>
      <c r="CX122" s="153"/>
      <c r="CY122" s="153"/>
      <c r="CZ122" s="153"/>
      <c r="DA122" s="153"/>
      <c r="DB122" s="153"/>
      <c r="DC122" s="153"/>
      <c r="DD122" s="153"/>
      <c r="DE122" s="153"/>
      <c r="DF122" s="153"/>
      <c r="DG122" s="153"/>
      <c r="DH122" s="153"/>
      <c r="DI122" s="259"/>
      <c r="DJ122" s="153"/>
      <c r="DK122" s="153"/>
      <c r="DL122" s="153"/>
      <c r="DM122" s="153"/>
      <c r="DN122" s="153"/>
      <c r="DO122" s="153"/>
      <c r="DP122" s="153"/>
      <c r="DQ122" s="153"/>
      <c r="DR122" s="153"/>
      <c r="DS122" s="153"/>
      <c r="DT122" s="153"/>
      <c r="DU122" s="153"/>
      <c r="DV122" s="153"/>
      <c r="DW122" s="153"/>
      <c r="DX122" s="153"/>
      <c r="DY122" s="153"/>
      <c r="DZ122" s="153"/>
      <c r="EA122" s="153"/>
      <c r="EB122" s="153"/>
      <c r="EC122" s="259"/>
      <c r="ED122" s="153"/>
      <c r="EE122" s="153"/>
      <c r="EF122" s="153"/>
      <c r="EG122" s="153"/>
      <c r="EH122" s="153"/>
      <c r="EI122" s="153"/>
      <c r="EJ122" s="153"/>
      <c r="EK122" s="153"/>
      <c r="EL122" s="153"/>
      <c r="EM122" s="153"/>
      <c r="EN122" s="153"/>
      <c r="EO122" s="153"/>
      <c r="EP122" s="153"/>
      <c r="EQ122" s="153"/>
      <c r="ER122" s="153"/>
      <c r="ES122" s="153"/>
      <c r="ET122" s="153"/>
      <c r="EU122" s="153"/>
      <c r="EV122" s="153"/>
      <c r="EW122" s="259"/>
      <c r="EX122" s="153"/>
      <c r="EY122" s="153"/>
      <c r="EZ122" s="153"/>
      <c r="FA122" s="153"/>
      <c r="FB122" s="153"/>
      <c r="FC122" s="153"/>
      <c r="FD122" s="153"/>
      <c r="FE122" s="153"/>
      <c r="FF122" s="153"/>
      <c r="FG122" s="153"/>
      <c r="FH122" s="153"/>
      <c r="FI122" s="153"/>
      <c r="FJ122" s="153"/>
      <c r="FK122" s="153"/>
      <c r="FL122" s="153"/>
      <c r="FM122" s="153"/>
      <c r="FN122" s="153"/>
      <c r="FO122" s="153"/>
      <c r="FP122" s="153"/>
      <c r="FQ122" s="259"/>
      <c r="FR122" s="153"/>
      <c r="FS122" s="153"/>
      <c r="FT122" s="153"/>
      <c r="FU122" s="153"/>
      <c r="FV122" s="153"/>
      <c r="FW122" s="153"/>
      <c r="FX122" s="153"/>
      <c r="FY122" s="153"/>
      <c r="FZ122" s="153"/>
      <c r="GA122" s="153"/>
      <c r="GB122" s="153"/>
      <c r="GC122" s="153"/>
      <c r="GD122" s="153"/>
      <c r="GE122" s="153"/>
      <c r="GF122" s="153"/>
      <c r="GG122" s="153"/>
      <c r="GH122" s="153"/>
      <c r="GI122" s="153"/>
      <c r="GJ122" s="153"/>
      <c r="GK122" s="259"/>
      <c r="GL122" s="153"/>
      <c r="GM122" s="153"/>
      <c r="GN122" s="153"/>
      <c r="GO122" s="153"/>
      <c r="GP122" s="153"/>
      <c r="GQ122" s="153"/>
      <c r="GR122" s="153"/>
      <c r="GS122" s="153"/>
      <c r="GT122" s="153"/>
      <c r="GU122" s="153"/>
      <c r="GV122" s="153"/>
      <c r="GW122" s="153"/>
      <c r="GX122" s="153"/>
      <c r="GY122" s="153"/>
      <c r="GZ122" s="153"/>
      <c r="HA122" s="153"/>
      <c r="HB122" s="153"/>
      <c r="HC122" s="153"/>
      <c r="HD122" s="153"/>
      <c r="HE122" s="259"/>
      <c r="HF122" s="153"/>
      <c r="HG122" s="153"/>
      <c r="HH122" s="153"/>
      <c r="HI122" s="153"/>
      <c r="HJ122" s="153"/>
      <c r="HK122" s="153"/>
      <c r="HL122" s="153"/>
      <c r="HM122" s="153"/>
      <c r="HN122" s="153"/>
      <c r="HO122" s="153"/>
      <c r="HP122" s="153"/>
      <c r="HQ122" s="153"/>
      <c r="HR122" s="153"/>
      <c r="HS122" s="153"/>
      <c r="HT122" s="153"/>
      <c r="HU122" s="153"/>
      <c r="HV122" s="153"/>
      <c r="HW122" s="153"/>
      <c r="HX122" s="153"/>
      <c r="HY122" s="259"/>
      <c r="HZ122" s="153"/>
      <c r="IA122" s="153"/>
      <c r="IB122" s="153"/>
      <c r="IC122" s="153"/>
      <c r="ID122" s="153"/>
      <c r="IE122" s="153"/>
      <c r="IF122" s="153"/>
      <c r="IG122" s="153"/>
      <c r="IH122" s="153"/>
      <c r="II122" s="153"/>
      <c r="IJ122" s="153"/>
      <c r="IK122" s="153"/>
      <c r="IL122" s="153"/>
      <c r="IM122" s="153"/>
      <c r="IN122" s="153"/>
      <c r="IO122" s="153"/>
      <c r="IP122" s="153"/>
      <c r="IQ122" s="153"/>
      <c r="IR122" s="153"/>
      <c r="IS122" s="259"/>
      <c r="IT122" s="153"/>
      <c r="IU122" s="153"/>
      <c r="IV122" s="153"/>
      <c r="IW122" s="153"/>
      <c r="IX122" s="153"/>
      <c r="IY122" s="153"/>
      <c r="IZ122" s="153"/>
      <c r="JA122" s="153"/>
      <c r="JB122" s="153"/>
      <c r="JC122" s="153"/>
      <c r="JD122" s="153"/>
      <c r="JE122" s="153"/>
      <c r="JF122" s="153"/>
      <c r="JG122" s="153"/>
      <c r="JH122" s="153"/>
      <c r="JI122" s="153"/>
      <c r="JJ122" s="153"/>
      <c r="JK122" s="153"/>
      <c r="JL122" s="153"/>
      <c r="JM122" s="259"/>
      <c r="JN122" s="153"/>
      <c r="JO122" s="153"/>
      <c r="JP122" s="153"/>
      <c r="JQ122" s="153"/>
      <c r="JR122" s="153"/>
      <c r="JS122" s="153"/>
      <c r="JT122" s="153"/>
      <c r="JU122" s="153"/>
      <c r="JV122" s="153"/>
      <c r="JW122" s="153"/>
      <c r="JX122" s="153"/>
      <c r="JY122" s="153"/>
      <c r="JZ122" s="153"/>
      <c r="KA122" s="153"/>
      <c r="KB122" s="153"/>
      <c r="KC122" s="153"/>
      <c r="KD122" s="153"/>
      <c r="KE122" s="153"/>
      <c r="KF122" s="153"/>
      <c r="KG122" s="259"/>
      <c r="KH122" s="153"/>
      <c r="KI122" s="153"/>
      <c r="KJ122" s="153"/>
      <c r="KK122" s="153"/>
      <c r="KL122" s="153"/>
      <c r="KM122" s="153"/>
      <c r="KN122" s="153"/>
      <c r="KO122" s="153"/>
      <c r="KP122" s="153"/>
      <c r="KQ122" s="153"/>
      <c r="KR122" s="153"/>
      <c r="KS122" s="153"/>
      <c r="KT122" s="153"/>
      <c r="KU122" s="153"/>
      <c r="KV122" s="153"/>
      <c r="KW122" s="153"/>
    </row>
    <row r="123" spans="1:627" s="115" customFormat="1" ht="15" thickBot="1">
      <c r="B123" s="75"/>
      <c r="C123" s="160"/>
      <c r="D123" s="75"/>
      <c r="E123" s="75"/>
      <c r="F123" s="75"/>
      <c r="G123" s="75"/>
      <c r="H123" s="75"/>
      <c r="I123" s="173"/>
      <c r="L123" s="75"/>
      <c r="N123" s="71"/>
      <c r="T123" s="75"/>
      <c r="U123" s="496"/>
      <c r="V123" s="71"/>
      <c r="W123" s="71"/>
      <c r="X123" s="71"/>
      <c r="LE123" s="586"/>
      <c r="XC123" s="586"/>
    </row>
    <row r="124" spans="1:627" s="115" customFormat="1" ht="97.5" customHeight="1" thickBot="1">
      <c r="A124" s="185"/>
      <c r="B124" s="3362" t="s">
        <v>13467</v>
      </c>
      <c r="C124" s="3363"/>
      <c r="D124" s="3363"/>
      <c r="E124" s="3363"/>
      <c r="F124" s="3363"/>
      <c r="G124" s="3363"/>
      <c r="H124" s="3363"/>
      <c r="I124" s="3363"/>
      <c r="J124" s="3363"/>
      <c r="K124" s="3363"/>
      <c r="L124" s="3363"/>
      <c r="M124" s="3363"/>
      <c r="N124" s="3363"/>
      <c r="O124" s="3363"/>
      <c r="P124" s="3363"/>
      <c r="Q124" s="3364"/>
      <c r="R124" s="3364"/>
      <c r="S124" s="3365"/>
      <c r="T124" s="75"/>
      <c r="U124" s="75"/>
      <c r="V124" s="783"/>
      <c r="W124" s="71"/>
      <c r="X124" s="71"/>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85"/>
      <c r="BL124" s="185"/>
      <c r="BM124" s="185"/>
      <c r="BN124" s="185"/>
      <c r="BO124" s="185"/>
      <c r="BP124" s="185"/>
      <c r="BQ124" s="185"/>
      <c r="BR124" s="185"/>
      <c r="BS124" s="185"/>
      <c r="BT124" s="185"/>
      <c r="BU124" s="185"/>
      <c r="BV124" s="185"/>
      <c r="BW124" s="185"/>
      <c r="BX124" s="185"/>
      <c r="BY124" s="185"/>
      <c r="BZ124" s="185"/>
      <c r="CA124" s="185"/>
      <c r="CB124" s="185"/>
      <c r="CC124" s="185"/>
      <c r="CD124" s="185"/>
      <c r="CE124" s="185"/>
      <c r="CF124" s="185"/>
      <c r="CG124" s="185"/>
      <c r="CH124" s="185"/>
      <c r="CI124" s="185"/>
      <c r="CJ124" s="185"/>
      <c r="CK124" s="185"/>
      <c r="CL124" s="185"/>
      <c r="CM124" s="185"/>
      <c r="CN124" s="185"/>
      <c r="CO124" s="185"/>
      <c r="CP124" s="185"/>
      <c r="CQ124" s="185"/>
      <c r="CR124" s="185"/>
      <c r="CS124" s="185"/>
      <c r="CT124" s="185"/>
      <c r="CU124" s="185"/>
      <c r="CV124" s="185"/>
      <c r="CW124" s="185"/>
      <c r="CX124" s="185"/>
      <c r="CY124" s="185"/>
      <c r="CZ124" s="185"/>
      <c r="DA124" s="185"/>
      <c r="DB124" s="185"/>
      <c r="DC124" s="185"/>
      <c r="DD124" s="185"/>
      <c r="DE124" s="185"/>
      <c r="DF124" s="185"/>
      <c r="DG124" s="185"/>
      <c r="DH124" s="185"/>
      <c r="DI124" s="185"/>
      <c r="DJ124" s="185"/>
      <c r="DK124" s="185"/>
      <c r="DL124" s="185"/>
      <c r="DM124" s="185"/>
      <c r="DN124" s="185"/>
      <c r="DO124" s="185"/>
      <c r="DP124" s="185"/>
      <c r="DQ124" s="185"/>
      <c r="DR124" s="185"/>
      <c r="DS124" s="185"/>
      <c r="DT124" s="185"/>
      <c r="DU124" s="185"/>
      <c r="DV124" s="185"/>
      <c r="DW124" s="185"/>
      <c r="DX124" s="185"/>
      <c r="DY124" s="185"/>
      <c r="DZ124" s="185"/>
      <c r="EA124" s="185"/>
      <c r="EB124" s="185"/>
      <c r="EC124" s="185"/>
      <c r="ED124" s="185"/>
      <c r="EE124" s="185"/>
      <c r="EF124" s="185"/>
      <c r="EG124" s="185"/>
      <c r="EH124" s="185"/>
      <c r="EI124" s="185"/>
      <c r="EJ124" s="185"/>
      <c r="EK124" s="185"/>
      <c r="EL124" s="185"/>
      <c r="EM124" s="185"/>
      <c r="EN124" s="185"/>
      <c r="EO124" s="185"/>
      <c r="EP124" s="185"/>
      <c r="EQ124" s="185"/>
      <c r="ER124" s="185"/>
      <c r="ES124" s="185"/>
      <c r="ET124" s="185"/>
      <c r="EU124" s="185"/>
      <c r="EV124" s="185"/>
      <c r="EW124" s="185"/>
      <c r="EX124" s="185"/>
      <c r="EY124" s="185"/>
      <c r="EZ124" s="185"/>
      <c r="FA124" s="185"/>
      <c r="FB124" s="185"/>
      <c r="FC124" s="185"/>
      <c r="FD124" s="185"/>
      <c r="FE124" s="185"/>
      <c r="FF124" s="185"/>
      <c r="FG124" s="185"/>
      <c r="FH124" s="185"/>
      <c r="FI124" s="185"/>
      <c r="FJ124" s="185"/>
      <c r="FK124" s="185"/>
      <c r="FL124" s="185"/>
      <c r="FM124" s="185"/>
      <c r="FN124" s="185"/>
      <c r="FO124" s="185"/>
      <c r="FP124" s="185"/>
      <c r="FQ124" s="185"/>
      <c r="FR124" s="185"/>
      <c r="FS124" s="185"/>
      <c r="FT124" s="185"/>
      <c r="FU124" s="185"/>
      <c r="FV124" s="185"/>
      <c r="FW124" s="185"/>
      <c r="FX124" s="185"/>
      <c r="FY124" s="185"/>
      <c r="FZ124" s="185"/>
      <c r="GA124" s="185"/>
      <c r="GB124" s="185"/>
      <c r="GC124" s="185"/>
      <c r="GD124" s="185"/>
      <c r="GE124" s="185"/>
      <c r="GF124" s="185"/>
      <c r="GG124" s="185"/>
      <c r="GH124" s="185"/>
      <c r="GI124" s="185"/>
      <c r="GJ124" s="185"/>
      <c r="GK124" s="185"/>
      <c r="GL124" s="185"/>
      <c r="GM124" s="185"/>
      <c r="GN124" s="185"/>
      <c r="GO124" s="185"/>
      <c r="GP124" s="185"/>
      <c r="GQ124" s="185"/>
      <c r="GR124" s="185"/>
      <c r="GS124" s="185"/>
      <c r="GT124" s="185"/>
      <c r="GU124" s="185"/>
      <c r="GV124" s="185"/>
      <c r="GW124" s="185"/>
      <c r="GX124" s="185"/>
      <c r="GY124" s="185"/>
      <c r="GZ124" s="185"/>
      <c r="HA124" s="185"/>
      <c r="HB124" s="185"/>
      <c r="HC124" s="185"/>
      <c r="HD124" s="185"/>
      <c r="HE124" s="185"/>
      <c r="HF124" s="185"/>
      <c r="HG124" s="185"/>
      <c r="HH124" s="185"/>
      <c r="HI124" s="185"/>
      <c r="HJ124" s="185"/>
      <c r="HK124" s="185"/>
      <c r="HL124" s="185"/>
      <c r="HM124" s="185"/>
      <c r="HN124" s="185"/>
      <c r="HO124" s="185"/>
      <c r="HP124" s="185"/>
      <c r="HQ124" s="185"/>
      <c r="HR124" s="185"/>
      <c r="HS124" s="185"/>
      <c r="HT124" s="185"/>
      <c r="HU124" s="185"/>
      <c r="HV124" s="185"/>
      <c r="HW124" s="185"/>
      <c r="HX124" s="185"/>
      <c r="HY124" s="185"/>
      <c r="HZ124" s="185"/>
      <c r="IA124" s="185"/>
      <c r="IB124" s="185"/>
      <c r="IC124" s="185"/>
      <c r="ID124" s="185"/>
      <c r="IE124" s="185"/>
      <c r="IF124" s="185"/>
      <c r="IG124" s="185"/>
      <c r="IH124" s="185"/>
      <c r="II124" s="185"/>
      <c r="IJ124" s="185"/>
      <c r="IK124" s="185"/>
      <c r="IL124" s="185"/>
      <c r="IM124" s="185"/>
      <c r="IN124" s="185"/>
      <c r="IO124" s="185"/>
      <c r="IP124" s="185"/>
      <c r="IQ124" s="185"/>
      <c r="IR124" s="185"/>
      <c r="IS124" s="185"/>
      <c r="IT124" s="185"/>
      <c r="IU124" s="185"/>
      <c r="IV124" s="185"/>
      <c r="IW124" s="185"/>
      <c r="IX124" s="185"/>
      <c r="IY124" s="185"/>
      <c r="IZ124" s="185"/>
      <c r="JA124" s="185"/>
      <c r="JB124" s="185"/>
      <c r="JC124" s="185"/>
      <c r="JD124" s="185"/>
      <c r="JE124" s="185"/>
      <c r="JF124" s="185"/>
      <c r="JG124" s="185"/>
      <c r="JH124" s="185"/>
      <c r="JI124" s="185"/>
      <c r="JJ124" s="185"/>
      <c r="JK124" s="185"/>
      <c r="JL124" s="185"/>
      <c r="JM124" s="185"/>
      <c r="JN124" s="185"/>
      <c r="JO124" s="185"/>
      <c r="JP124" s="185"/>
      <c r="JQ124" s="185"/>
      <c r="JR124" s="185"/>
      <c r="JS124" s="185"/>
      <c r="JT124" s="185"/>
      <c r="JU124" s="185"/>
      <c r="JV124" s="185"/>
      <c r="JW124" s="185"/>
      <c r="JX124" s="185"/>
      <c r="JY124" s="185"/>
      <c r="JZ124" s="185"/>
      <c r="KA124" s="185"/>
      <c r="KB124" s="185"/>
      <c r="KC124" s="185"/>
      <c r="KD124" s="185"/>
      <c r="KE124" s="185"/>
      <c r="KF124" s="185"/>
      <c r="KG124" s="185"/>
      <c r="KH124" s="185"/>
      <c r="KI124" s="185"/>
      <c r="KJ124" s="185"/>
      <c r="KK124" s="185"/>
      <c r="KL124" s="185"/>
      <c r="KM124" s="185"/>
      <c r="KN124" s="185"/>
      <c r="KO124" s="185"/>
      <c r="KP124" s="185"/>
      <c r="KQ124" s="185"/>
      <c r="KR124" s="185"/>
      <c r="KS124" s="185"/>
      <c r="KT124" s="185"/>
      <c r="KU124" s="185"/>
      <c r="KV124" s="185"/>
      <c r="KW124" s="185"/>
      <c r="LE124" s="586"/>
      <c r="XC124" s="586"/>
    </row>
    <row r="125" spans="1:627" s="185" customFormat="1" ht="15" thickBot="1">
      <c r="A125" s="496"/>
      <c r="B125" s="1983"/>
      <c r="C125" s="1975"/>
      <c r="D125" s="1984"/>
      <c r="E125" s="1984"/>
      <c r="F125" s="1984"/>
      <c r="G125" s="496"/>
      <c r="H125" s="496"/>
      <c r="I125" s="496"/>
      <c r="J125" s="496"/>
      <c r="K125" s="496"/>
      <c r="L125" s="496"/>
      <c r="M125" s="496"/>
      <c r="N125" s="496"/>
      <c r="O125" s="496"/>
      <c r="P125" s="496"/>
      <c r="Q125" s="496"/>
      <c r="R125" s="496"/>
      <c r="S125" s="496"/>
      <c r="T125" s="496"/>
      <c r="U125" s="496"/>
      <c r="V125" s="496"/>
      <c r="W125" s="496"/>
      <c r="X125" s="496"/>
      <c r="Y125" s="496"/>
      <c r="Z125" s="496"/>
      <c r="AA125" s="496"/>
      <c r="AB125" s="496"/>
      <c r="AC125" s="496"/>
      <c r="AD125" s="496"/>
      <c r="AE125" s="496"/>
      <c r="AF125" s="496"/>
      <c r="AG125" s="496"/>
      <c r="AH125" s="496"/>
      <c r="AI125" s="496"/>
      <c r="AJ125" s="496"/>
      <c r="AK125" s="496"/>
      <c r="AL125" s="496"/>
      <c r="AM125" s="496"/>
      <c r="AN125" s="496"/>
      <c r="AO125" s="496"/>
      <c r="AP125" s="496"/>
      <c r="AQ125" s="496"/>
      <c r="AR125" s="496"/>
      <c r="AS125" s="496"/>
      <c r="AT125" s="496"/>
      <c r="AU125" s="496"/>
      <c r="AV125" s="496"/>
      <c r="AW125" s="496"/>
      <c r="AX125" s="496"/>
      <c r="AY125" s="496"/>
      <c r="AZ125" s="496"/>
      <c r="BA125" s="496"/>
      <c r="BB125" s="496"/>
      <c r="BC125" s="496"/>
      <c r="BD125" s="496"/>
      <c r="BE125" s="496"/>
      <c r="BF125" s="496"/>
      <c r="BG125" s="496"/>
      <c r="BH125" s="496"/>
      <c r="BI125" s="496"/>
      <c r="BJ125" s="496"/>
      <c r="BK125" s="496"/>
      <c r="BL125" s="496"/>
      <c r="BM125" s="496"/>
      <c r="BN125" s="496"/>
      <c r="BO125" s="496"/>
      <c r="BP125" s="496"/>
      <c r="BQ125" s="496"/>
      <c r="BR125" s="496"/>
      <c r="BS125" s="496"/>
      <c r="BT125" s="496"/>
      <c r="BU125" s="496"/>
      <c r="BV125" s="496"/>
      <c r="BW125" s="496"/>
      <c r="BX125" s="496"/>
      <c r="BY125" s="496"/>
      <c r="BZ125" s="496"/>
      <c r="CA125" s="496"/>
      <c r="CB125" s="496"/>
      <c r="CC125" s="496"/>
      <c r="CD125" s="496"/>
      <c r="CE125" s="496"/>
      <c r="CF125" s="496"/>
      <c r="CG125" s="496"/>
      <c r="CH125" s="496"/>
      <c r="CI125" s="496"/>
      <c r="CJ125" s="496"/>
      <c r="CK125" s="496"/>
      <c r="CL125" s="496"/>
      <c r="CM125" s="496"/>
      <c r="CN125" s="496"/>
      <c r="CO125" s="496"/>
      <c r="CP125" s="496"/>
      <c r="CQ125" s="496"/>
      <c r="CR125" s="496"/>
      <c r="CS125" s="496"/>
      <c r="CT125" s="496"/>
      <c r="CU125" s="496"/>
      <c r="CV125" s="496"/>
      <c r="CW125" s="496"/>
      <c r="CX125" s="496"/>
      <c r="CY125" s="496"/>
      <c r="CZ125" s="496"/>
      <c r="DA125" s="496"/>
      <c r="DB125" s="496"/>
      <c r="DC125" s="496"/>
      <c r="DD125" s="496"/>
      <c r="DE125" s="496"/>
      <c r="DF125" s="496"/>
      <c r="DG125" s="496"/>
      <c r="DH125" s="496"/>
      <c r="DI125" s="496"/>
      <c r="DJ125" s="496"/>
      <c r="DK125" s="496"/>
      <c r="DL125" s="496"/>
      <c r="DM125" s="496"/>
      <c r="DN125" s="496"/>
      <c r="DO125" s="496"/>
      <c r="DP125" s="496"/>
      <c r="DQ125" s="496"/>
      <c r="DR125" s="496"/>
      <c r="DS125" s="496"/>
      <c r="DT125" s="496"/>
      <c r="DU125" s="496"/>
      <c r="DV125" s="496"/>
      <c r="DW125" s="496"/>
      <c r="DX125" s="496"/>
      <c r="DY125" s="496"/>
      <c r="DZ125" s="496"/>
      <c r="EA125" s="496"/>
      <c r="EB125" s="496"/>
      <c r="EC125" s="496"/>
      <c r="ED125" s="496"/>
      <c r="EE125" s="496"/>
      <c r="EF125" s="496"/>
      <c r="EG125" s="496"/>
      <c r="EH125" s="496"/>
      <c r="EI125" s="496"/>
      <c r="EJ125" s="496"/>
      <c r="EK125" s="496"/>
      <c r="EL125" s="496"/>
      <c r="EM125" s="496"/>
      <c r="EN125" s="496"/>
      <c r="EO125" s="496"/>
      <c r="EP125" s="496"/>
      <c r="EQ125" s="496"/>
      <c r="ER125" s="496"/>
      <c r="ES125" s="496"/>
      <c r="ET125" s="496"/>
      <c r="EU125" s="496"/>
      <c r="EV125" s="496"/>
      <c r="EW125" s="496"/>
      <c r="EX125" s="496"/>
      <c r="EY125" s="496"/>
      <c r="EZ125" s="496"/>
      <c r="FA125" s="496"/>
      <c r="FB125" s="496"/>
      <c r="FC125" s="496"/>
      <c r="FD125" s="496"/>
      <c r="FE125" s="496"/>
      <c r="FF125" s="496"/>
      <c r="FG125" s="496"/>
      <c r="FH125" s="496"/>
      <c r="FI125" s="496"/>
      <c r="FJ125" s="496"/>
      <c r="FK125" s="496"/>
      <c r="FL125" s="496"/>
      <c r="FM125" s="496"/>
      <c r="FN125" s="496"/>
      <c r="FO125" s="496"/>
      <c r="FP125" s="496"/>
      <c r="FQ125" s="496"/>
      <c r="FR125" s="496"/>
      <c r="FS125" s="496"/>
      <c r="FT125" s="496"/>
      <c r="FU125" s="496"/>
      <c r="FV125" s="496"/>
      <c r="FW125" s="496"/>
      <c r="FX125" s="496"/>
      <c r="FY125" s="496"/>
      <c r="FZ125" s="496"/>
      <c r="GA125" s="496"/>
      <c r="GB125" s="496"/>
      <c r="GC125" s="496"/>
      <c r="GD125" s="496"/>
      <c r="GE125" s="496"/>
      <c r="GF125" s="496"/>
      <c r="GG125" s="496"/>
      <c r="GH125" s="496"/>
      <c r="GI125" s="496"/>
      <c r="GJ125" s="496"/>
      <c r="GK125" s="496"/>
      <c r="GL125" s="496"/>
      <c r="GM125" s="496"/>
      <c r="GN125" s="496"/>
      <c r="GO125" s="496"/>
      <c r="GP125" s="496"/>
      <c r="GQ125" s="496"/>
      <c r="GR125" s="496"/>
      <c r="GS125" s="496"/>
      <c r="GT125" s="496"/>
      <c r="GU125" s="496"/>
      <c r="GV125" s="496"/>
      <c r="GW125" s="496"/>
      <c r="GX125" s="496"/>
      <c r="GY125" s="496"/>
      <c r="GZ125" s="496"/>
      <c r="HA125" s="496"/>
      <c r="HB125" s="496"/>
      <c r="HC125" s="496"/>
      <c r="HD125" s="496"/>
      <c r="HE125" s="496"/>
      <c r="HF125" s="496"/>
      <c r="HG125" s="496"/>
      <c r="HH125" s="496"/>
      <c r="HI125" s="496"/>
      <c r="HJ125" s="496"/>
      <c r="HK125" s="496"/>
      <c r="HL125" s="496"/>
      <c r="HM125" s="496"/>
      <c r="HN125" s="496"/>
      <c r="HO125" s="496"/>
      <c r="HP125" s="496"/>
      <c r="HQ125" s="496"/>
      <c r="HR125" s="496"/>
      <c r="HS125" s="496"/>
      <c r="HT125" s="496"/>
      <c r="HU125" s="496"/>
      <c r="HV125" s="496"/>
      <c r="HW125" s="496"/>
      <c r="HX125" s="496"/>
      <c r="HY125" s="496"/>
      <c r="HZ125" s="496"/>
      <c r="IA125" s="496"/>
      <c r="IB125" s="496"/>
      <c r="IC125" s="496"/>
      <c r="ID125" s="496"/>
      <c r="IE125" s="496"/>
      <c r="IF125" s="496"/>
      <c r="IG125" s="496"/>
      <c r="IH125" s="496"/>
      <c r="II125" s="496"/>
      <c r="IJ125" s="496"/>
      <c r="IK125" s="496"/>
      <c r="IL125" s="496"/>
      <c r="IM125" s="496"/>
      <c r="IN125" s="496"/>
      <c r="IO125" s="496"/>
      <c r="IP125" s="496"/>
      <c r="IQ125" s="496"/>
      <c r="IR125" s="496"/>
      <c r="IS125" s="496"/>
      <c r="IT125" s="496"/>
      <c r="IU125" s="496"/>
      <c r="IV125" s="496"/>
      <c r="IW125" s="496"/>
      <c r="IX125" s="496"/>
      <c r="IY125" s="496"/>
      <c r="IZ125" s="496"/>
      <c r="JA125" s="496"/>
      <c r="JB125" s="496"/>
      <c r="JC125" s="496"/>
      <c r="JD125" s="496"/>
      <c r="JE125" s="496"/>
      <c r="JF125" s="496"/>
      <c r="JG125" s="496"/>
      <c r="JH125" s="496"/>
      <c r="JI125" s="496"/>
      <c r="JJ125" s="496"/>
      <c r="JK125" s="496"/>
      <c r="JL125" s="496"/>
      <c r="JM125" s="496"/>
      <c r="JN125" s="496"/>
      <c r="JO125" s="496"/>
      <c r="JP125" s="496"/>
      <c r="JQ125" s="496"/>
      <c r="JR125" s="496"/>
      <c r="JS125" s="496"/>
      <c r="JT125" s="496"/>
      <c r="JU125" s="496"/>
      <c r="JV125" s="496"/>
      <c r="JW125" s="496"/>
      <c r="JX125" s="496"/>
      <c r="JY125" s="496"/>
      <c r="JZ125" s="496"/>
      <c r="KA125" s="496"/>
      <c r="KB125" s="496"/>
      <c r="KC125" s="496"/>
      <c r="KD125" s="496"/>
      <c r="KE125" s="496"/>
      <c r="KF125" s="496"/>
      <c r="KG125" s="496"/>
      <c r="KH125" s="496"/>
      <c r="KI125" s="496"/>
      <c r="KJ125" s="496"/>
      <c r="KK125" s="496"/>
      <c r="KL125" s="496"/>
      <c r="KM125" s="496"/>
      <c r="KN125" s="496"/>
      <c r="KO125" s="496"/>
      <c r="KP125" s="496"/>
      <c r="KQ125" s="496"/>
      <c r="KR125" s="496"/>
      <c r="KS125" s="496"/>
      <c r="KT125" s="496"/>
      <c r="KU125" s="496"/>
      <c r="KV125" s="496"/>
      <c r="KW125" s="496"/>
      <c r="LE125" s="586"/>
      <c r="XC125" s="586"/>
    </row>
    <row r="126" spans="1:627" ht="147.75" customHeight="1">
      <c r="B126" s="3349" t="s">
        <v>13469</v>
      </c>
      <c r="C126" s="3350"/>
      <c r="D126" s="3350"/>
      <c r="E126" s="3350"/>
      <c r="F126" s="3350"/>
      <c r="G126" s="3350"/>
      <c r="H126" s="3350"/>
      <c r="I126" s="3350"/>
      <c r="J126" s="3350"/>
      <c r="K126" s="3350"/>
      <c r="L126" s="3350"/>
      <c r="M126" s="3350"/>
      <c r="N126" s="3350"/>
      <c r="O126" s="3350"/>
      <c r="P126" s="3350"/>
      <c r="Q126" s="3351"/>
      <c r="R126" s="3351"/>
      <c r="S126" s="3352"/>
    </row>
    <row r="127" spans="1:627" ht="18.75" customHeight="1" thickBot="1">
      <c r="B127" s="1985"/>
      <c r="C127" s="1986" t="s">
        <v>12204</v>
      </c>
      <c r="D127" s="1987"/>
      <c r="E127" s="1987"/>
      <c r="F127" s="1987"/>
      <c r="G127" s="1987"/>
      <c r="H127" s="1987"/>
      <c r="I127" s="1987"/>
      <c r="J127" s="1987"/>
      <c r="K127" s="1987"/>
      <c r="L127" s="1987"/>
      <c r="M127" s="1987"/>
      <c r="N127" s="1987"/>
      <c r="O127" s="1987"/>
      <c r="P127" s="1987"/>
      <c r="Q127" s="1987"/>
      <c r="R127" s="1987"/>
      <c r="S127" s="1988"/>
    </row>
    <row r="128" spans="1:627" ht="15" thickBot="1">
      <c r="B128" s="1989"/>
      <c r="C128" s="1971"/>
      <c r="D128" s="1972"/>
      <c r="E128" s="1972"/>
      <c r="F128" s="1971"/>
    </row>
    <row r="129" spans="2:19" ht="240" customHeight="1">
      <c r="B129" s="3349" t="s">
        <v>13468</v>
      </c>
      <c r="C129" s="3350"/>
      <c r="D129" s="3350"/>
      <c r="E129" s="3350"/>
      <c r="F129" s="3350"/>
      <c r="G129" s="3350"/>
      <c r="H129" s="3350"/>
      <c r="I129" s="3350"/>
      <c r="J129" s="3350"/>
      <c r="K129" s="3350"/>
      <c r="L129" s="3350"/>
      <c r="M129" s="3350"/>
      <c r="N129" s="3350"/>
      <c r="O129" s="3350"/>
      <c r="P129" s="3350"/>
      <c r="Q129" s="3351"/>
      <c r="R129" s="3351"/>
      <c r="S129" s="3352"/>
    </row>
    <row r="130" spans="2:19">
      <c r="B130" s="1990"/>
      <c r="C130" s="1971"/>
      <c r="D130" s="1972"/>
      <c r="E130" s="1972"/>
      <c r="F130" s="1971"/>
      <c r="G130" s="145"/>
      <c r="H130" s="145"/>
      <c r="I130" s="145"/>
      <c r="J130" s="145"/>
      <c r="K130" s="145"/>
      <c r="L130" s="145"/>
      <c r="M130" s="145"/>
      <c r="N130" s="145"/>
      <c r="O130" s="145"/>
      <c r="P130" s="145"/>
      <c r="Q130" s="145"/>
      <c r="R130" s="145"/>
      <c r="S130" s="1991"/>
    </row>
    <row r="131" spans="2:19" ht="15">
      <c r="B131" s="1990"/>
      <c r="C131" s="1971"/>
      <c r="D131" s="1992" t="s">
        <v>47</v>
      </c>
      <c r="E131" s="1993"/>
      <c r="F131" s="1971"/>
      <c r="G131" s="145"/>
      <c r="H131" s="145"/>
      <c r="I131" s="145"/>
      <c r="J131" s="145"/>
      <c r="K131" s="145"/>
      <c r="L131" s="145"/>
      <c r="M131" s="145"/>
      <c r="N131" s="145"/>
      <c r="O131" s="145"/>
      <c r="P131" s="145"/>
      <c r="Q131" s="145"/>
      <c r="R131" s="145"/>
      <c r="S131" s="1991"/>
    </row>
    <row r="132" spans="2:19">
      <c r="B132" s="1990"/>
      <c r="C132" s="1971"/>
      <c r="D132" s="2396" t="s">
        <v>3952</v>
      </c>
      <c r="E132" s="2396" t="s">
        <v>3953</v>
      </c>
      <c r="F132" s="1971"/>
      <c r="G132" s="145"/>
      <c r="H132" s="145"/>
      <c r="I132" s="145"/>
      <c r="J132" s="145"/>
      <c r="K132" s="145"/>
      <c r="L132" s="145"/>
      <c r="M132" s="145"/>
      <c r="N132" s="145"/>
      <c r="O132" s="145"/>
      <c r="P132" s="145"/>
      <c r="Q132" s="145"/>
      <c r="R132" s="145"/>
      <c r="S132" s="1991"/>
    </row>
    <row r="133" spans="2:19">
      <c r="B133" s="1990"/>
      <c r="C133" s="1971"/>
      <c r="D133" s="2396" t="s">
        <v>3950</v>
      </c>
      <c r="E133" s="2396" t="s">
        <v>3954</v>
      </c>
      <c r="F133" s="1971"/>
      <c r="G133" s="145"/>
      <c r="H133" s="145"/>
      <c r="I133" s="145"/>
      <c r="J133" s="145"/>
      <c r="K133" s="145"/>
      <c r="L133" s="145"/>
      <c r="M133" s="145"/>
      <c r="N133" s="145"/>
      <c r="O133" s="145"/>
      <c r="P133" s="145"/>
      <c r="Q133" s="145"/>
      <c r="R133" s="145"/>
      <c r="S133" s="1991"/>
    </row>
    <row r="134" spans="2:19">
      <c r="B134" s="1990"/>
      <c r="C134" s="1971"/>
      <c r="D134" s="2396" t="s">
        <v>203</v>
      </c>
      <c r="E134" s="2396" t="s">
        <v>3955</v>
      </c>
      <c r="F134" s="1971"/>
      <c r="G134" s="145"/>
      <c r="H134" s="145"/>
      <c r="I134" s="145"/>
      <c r="J134" s="145"/>
      <c r="K134" s="145"/>
      <c r="L134" s="145"/>
      <c r="M134" s="145"/>
      <c r="N134" s="145"/>
      <c r="O134" s="145"/>
      <c r="P134" s="145"/>
      <c r="Q134" s="145"/>
      <c r="R134" s="145"/>
      <c r="S134" s="1991"/>
    </row>
    <row r="135" spans="2:19">
      <c r="B135" s="1990"/>
      <c r="C135" s="1971"/>
      <c r="D135" s="1993"/>
      <c r="E135" s="1993"/>
      <c r="F135" s="1971"/>
      <c r="G135" s="145"/>
      <c r="H135" s="145"/>
      <c r="I135" s="145"/>
      <c r="J135" s="145"/>
      <c r="K135" s="145"/>
      <c r="L135" s="145"/>
      <c r="M135" s="145"/>
      <c r="N135" s="145"/>
      <c r="O135" s="145"/>
      <c r="P135" s="145"/>
      <c r="Q135" s="145"/>
      <c r="R135" s="145"/>
      <c r="S135" s="1991"/>
    </row>
    <row r="136" spans="2:19" ht="15">
      <c r="B136" s="1990"/>
      <c r="C136" s="1971"/>
      <c r="D136" s="1992" t="s">
        <v>86</v>
      </c>
      <c r="E136" s="1993"/>
      <c r="F136" s="1971"/>
      <c r="G136" s="145"/>
      <c r="H136" s="145"/>
      <c r="I136" s="145"/>
      <c r="J136" s="145"/>
      <c r="K136" s="145"/>
      <c r="L136" s="145"/>
      <c r="M136" s="145"/>
      <c r="N136" s="145"/>
      <c r="O136" s="145"/>
      <c r="P136" s="145"/>
      <c r="Q136" s="145"/>
      <c r="R136" s="145"/>
      <c r="S136" s="1991"/>
    </row>
    <row r="137" spans="2:19">
      <c r="B137" s="1990"/>
      <c r="C137" s="1971"/>
      <c r="D137" s="2396" t="s">
        <v>3952</v>
      </c>
      <c r="E137" s="2396" t="s">
        <v>3956</v>
      </c>
      <c r="F137" s="1971"/>
      <c r="G137" s="145"/>
      <c r="H137" s="145"/>
      <c r="I137" s="145"/>
      <c r="J137" s="145"/>
      <c r="K137" s="145"/>
      <c r="L137" s="145"/>
      <c r="M137" s="145"/>
      <c r="N137" s="145"/>
      <c r="O137" s="145"/>
      <c r="P137" s="145"/>
      <c r="Q137" s="145"/>
      <c r="R137" s="145"/>
      <c r="S137" s="1991"/>
    </row>
    <row r="138" spans="2:19">
      <c r="B138" s="1990"/>
      <c r="C138" s="1971"/>
      <c r="D138" s="2396" t="s">
        <v>3950</v>
      </c>
      <c r="E138" s="2396" t="s">
        <v>3957</v>
      </c>
      <c r="F138" s="1971"/>
      <c r="G138" s="145"/>
      <c r="H138" s="145"/>
      <c r="I138" s="145"/>
      <c r="J138" s="145"/>
      <c r="K138" s="145"/>
      <c r="L138" s="145"/>
      <c r="M138" s="145"/>
      <c r="N138" s="145"/>
      <c r="O138" s="145"/>
      <c r="P138" s="145"/>
      <c r="Q138" s="145"/>
      <c r="R138" s="145"/>
      <c r="S138" s="1991"/>
    </row>
    <row r="139" spans="2:19">
      <c r="B139" s="1990"/>
      <c r="C139" s="1971"/>
      <c r="D139" s="2396" t="s">
        <v>203</v>
      </c>
      <c r="E139" s="2396" t="s">
        <v>3955</v>
      </c>
      <c r="F139" s="1971"/>
      <c r="G139" s="145"/>
      <c r="H139" s="145"/>
      <c r="I139" s="145"/>
      <c r="J139" s="145"/>
      <c r="K139" s="145"/>
      <c r="L139" s="145"/>
      <c r="M139" s="145"/>
      <c r="N139" s="145"/>
      <c r="O139" s="145"/>
      <c r="P139" s="145"/>
      <c r="Q139" s="145"/>
      <c r="R139" s="145"/>
      <c r="S139" s="1991"/>
    </row>
    <row r="140" spans="2:19">
      <c r="B140" s="1990"/>
      <c r="C140" s="1971"/>
      <c r="D140" s="1993"/>
      <c r="E140" s="1993"/>
      <c r="F140" s="1971"/>
      <c r="G140" s="145"/>
      <c r="H140" s="145"/>
      <c r="I140" s="145"/>
      <c r="J140" s="145"/>
      <c r="K140" s="145"/>
      <c r="L140" s="145"/>
      <c r="M140" s="145"/>
      <c r="N140" s="145"/>
      <c r="O140" s="145"/>
      <c r="P140" s="145"/>
      <c r="Q140" s="145"/>
      <c r="R140" s="145"/>
      <c r="S140" s="1991"/>
    </row>
    <row r="141" spans="2:19" ht="15">
      <c r="B141" s="1990"/>
      <c r="C141" s="1971"/>
      <c r="D141" s="1992" t="s">
        <v>3932</v>
      </c>
      <c r="E141" s="1993"/>
      <c r="F141" s="1971"/>
      <c r="G141" s="145"/>
      <c r="H141" s="145"/>
      <c r="I141" s="145"/>
      <c r="J141" s="145"/>
      <c r="K141" s="145"/>
      <c r="L141" s="145"/>
      <c r="M141" s="145"/>
      <c r="N141" s="145"/>
      <c r="O141" s="145"/>
      <c r="P141" s="145"/>
      <c r="Q141" s="145"/>
      <c r="R141" s="145"/>
      <c r="S141" s="1991"/>
    </row>
    <row r="142" spans="2:19">
      <c r="B142" s="1990"/>
      <c r="C142" s="1971"/>
      <c r="D142" s="2396" t="s">
        <v>3952</v>
      </c>
      <c r="E142" s="2396" t="s">
        <v>3956</v>
      </c>
      <c r="F142" s="1971"/>
      <c r="G142" s="145"/>
      <c r="H142" s="145"/>
      <c r="I142" s="145"/>
      <c r="J142" s="145"/>
      <c r="K142" s="145"/>
      <c r="L142" s="145"/>
      <c r="M142" s="145"/>
      <c r="N142" s="145"/>
      <c r="O142" s="145"/>
      <c r="P142" s="145"/>
      <c r="Q142" s="145"/>
      <c r="R142" s="145"/>
      <c r="S142" s="1991"/>
    </row>
    <row r="143" spans="2:19">
      <c r="B143" s="1990"/>
      <c r="C143" s="1971"/>
      <c r="D143" s="2396" t="s">
        <v>3950</v>
      </c>
      <c r="E143" s="2396" t="s">
        <v>3957</v>
      </c>
      <c r="F143" s="1971"/>
      <c r="G143" s="145"/>
      <c r="H143" s="145"/>
      <c r="I143" s="145"/>
      <c r="J143" s="145"/>
      <c r="K143" s="145"/>
      <c r="L143" s="145"/>
      <c r="M143" s="145"/>
      <c r="N143" s="145"/>
      <c r="O143" s="145"/>
      <c r="P143" s="145"/>
      <c r="Q143" s="145"/>
      <c r="R143" s="145"/>
      <c r="S143" s="1991"/>
    </row>
    <row r="144" spans="2:19">
      <c r="B144" s="1990"/>
      <c r="C144" s="1971"/>
      <c r="D144" s="2396" t="s">
        <v>203</v>
      </c>
      <c r="E144" s="2396" t="s">
        <v>3955</v>
      </c>
      <c r="F144" s="1971"/>
      <c r="G144" s="145"/>
      <c r="H144" s="145"/>
      <c r="I144" s="145"/>
      <c r="J144" s="145"/>
      <c r="K144" s="145"/>
      <c r="L144" s="145"/>
      <c r="M144" s="145"/>
      <c r="N144" s="145"/>
      <c r="O144" s="145"/>
      <c r="P144" s="145"/>
      <c r="Q144" s="145"/>
      <c r="R144" s="145"/>
      <c r="S144" s="1991"/>
    </row>
    <row r="145" spans="2:19">
      <c r="B145" s="1990"/>
      <c r="C145" s="1971"/>
      <c r="D145" s="1994"/>
      <c r="E145" s="1994"/>
      <c r="F145" s="1971"/>
      <c r="G145" s="145"/>
      <c r="H145" s="145"/>
      <c r="I145" s="145"/>
      <c r="J145" s="145"/>
      <c r="K145" s="145"/>
      <c r="L145" s="145"/>
      <c r="M145" s="145"/>
      <c r="N145" s="145"/>
      <c r="O145" s="145"/>
      <c r="P145" s="145"/>
      <c r="Q145" s="145"/>
      <c r="R145" s="145"/>
      <c r="S145" s="1991"/>
    </row>
    <row r="146" spans="2:19" ht="15">
      <c r="B146" s="1990"/>
      <c r="C146" s="1971"/>
      <c r="D146" s="1992" t="s">
        <v>3933</v>
      </c>
      <c r="E146" s="1993"/>
      <c r="F146" s="1971"/>
      <c r="G146" s="145"/>
      <c r="H146" s="145"/>
      <c r="I146" s="145"/>
      <c r="J146" s="145"/>
      <c r="K146" s="145"/>
      <c r="L146" s="145"/>
      <c r="M146" s="145"/>
      <c r="N146" s="145"/>
      <c r="O146" s="145"/>
      <c r="P146" s="145"/>
      <c r="Q146" s="145"/>
      <c r="R146" s="145"/>
      <c r="S146" s="1991"/>
    </row>
    <row r="147" spans="2:19">
      <c r="B147" s="1990"/>
      <c r="C147" s="1971"/>
      <c r="D147" s="2396" t="s">
        <v>3952</v>
      </c>
      <c r="E147" s="2396" t="s">
        <v>3956</v>
      </c>
      <c r="F147" s="1971"/>
      <c r="G147" s="145"/>
      <c r="H147" s="145"/>
      <c r="I147" s="145"/>
      <c r="J147" s="145"/>
      <c r="K147" s="145"/>
      <c r="L147" s="145"/>
      <c r="M147" s="145"/>
      <c r="N147" s="145"/>
      <c r="O147" s="145"/>
      <c r="P147" s="145"/>
      <c r="Q147" s="145"/>
      <c r="R147" s="145"/>
      <c r="S147" s="1991"/>
    </row>
    <row r="148" spans="2:19">
      <c r="B148" s="1990"/>
      <c r="C148" s="1971"/>
      <c r="D148" s="2396" t="s">
        <v>3950</v>
      </c>
      <c r="E148" s="2396" t="s">
        <v>3957</v>
      </c>
      <c r="F148" s="1971"/>
      <c r="G148" s="145"/>
      <c r="H148" s="145"/>
      <c r="I148" s="145"/>
      <c r="J148" s="145"/>
      <c r="K148" s="145"/>
      <c r="L148" s="145"/>
      <c r="M148" s="145"/>
      <c r="N148" s="145"/>
      <c r="O148" s="145"/>
      <c r="P148" s="145"/>
      <c r="Q148" s="145"/>
      <c r="R148" s="145"/>
      <c r="S148" s="1991"/>
    </row>
    <row r="149" spans="2:19">
      <c r="B149" s="1990"/>
      <c r="C149" s="1971"/>
      <c r="D149" s="2396" t="s">
        <v>203</v>
      </c>
      <c r="E149" s="2396" t="s">
        <v>3955</v>
      </c>
      <c r="F149" s="1971"/>
      <c r="G149" s="145"/>
      <c r="H149" s="145"/>
      <c r="I149" s="145"/>
      <c r="J149" s="145"/>
      <c r="K149" s="145"/>
      <c r="L149" s="145"/>
      <c r="M149" s="145"/>
      <c r="N149" s="145"/>
      <c r="O149" s="145"/>
      <c r="P149" s="145"/>
      <c r="Q149" s="145"/>
      <c r="R149" s="145"/>
      <c r="S149" s="1991"/>
    </row>
    <row r="150" spans="2:19" ht="15" thickBot="1">
      <c r="B150" s="1995"/>
      <c r="C150" s="1996"/>
      <c r="D150" s="1997"/>
      <c r="E150" s="1997"/>
      <c r="F150" s="1997"/>
      <c r="G150" s="1998"/>
      <c r="H150" s="1998"/>
      <c r="I150" s="1998"/>
      <c r="J150" s="1998"/>
      <c r="K150" s="1998"/>
      <c r="L150" s="1998"/>
      <c r="M150" s="1998"/>
      <c r="N150" s="1998"/>
      <c r="O150" s="1998"/>
      <c r="P150" s="1998"/>
      <c r="Q150" s="1998"/>
      <c r="R150" s="1998"/>
      <c r="S150" s="1999"/>
    </row>
    <row r="151" spans="2:19" ht="15" customHeight="1">
      <c r="B151" s="1989"/>
      <c r="C151" s="2000"/>
      <c r="D151" s="1984"/>
      <c r="E151" s="1984"/>
      <c r="F151" s="1984"/>
      <c r="G151" s="145"/>
      <c r="H151" s="145"/>
      <c r="I151" s="145"/>
      <c r="J151" s="145"/>
      <c r="K151" s="145"/>
      <c r="L151" s="145"/>
      <c r="M151" s="145"/>
      <c r="N151" s="145"/>
      <c r="O151" s="145"/>
      <c r="P151" s="145"/>
      <c r="Q151" s="145"/>
      <c r="R151" s="145"/>
      <c r="S151" s="145"/>
    </row>
    <row r="152" spans="2:19" ht="78.75" hidden="1" customHeight="1">
      <c r="B152" s="1989"/>
      <c r="C152" s="1989"/>
      <c r="D152" s="2001" t="s">
        <v>3947</v>
      </c>
      <c r="E152" s="1972"/>
      <c r="F152" s="2002" t="s">
        <v>3948</v>
      </c>
      <c r="G152" s="1971"/>
    </row>
    <row r="153" spans="2:19" hidden="1">
      <c r="B153" s="1989"/>
      <c r="C153" s="1989"/>
      <c r="D153" s="1971"/>
      <c r="E153" s="1972"/>
      <c r="F153" s="1972"/>
      <c r="G153" s="1971"/>
    </row>
    <row r="154" spans="2:19" ht="15" hidden="1" customHeight="1">
      <c r="B154" s="1989"/>
      <c r="C154" s="1989"/>
      <c r="D154" s="2003" t="s">
        <v>3949</v>
      </c>
      <c r="E154" s="1972"/>
      <c r="F154" s="2004" t="s">
        <v>50</v>
      </c>
      <c r="G154" s="1971"/>
    </row>
    <row r="155" spans="2:19" ht="15" hidden="1" customHeight="1">
      <c r="B155" s="1989"/>
      <c r="C155" s="1989"/>
      <c r="D155" s="2005" t="s">
        <v>3950</v>
      </c>
      <c r="E155" s="1972"/>
      <c r="F155" s="2006" t="s">
        <v>46</v>
      </c>
      <c r="G155" s="1971"/>
    </row>
    <row r="156" spans="2:19" ht="15" hidden="1" customHeight="1">
      <c r="B156" s="1989"/>
      <c r="C156" s="1989"/>
      <c r="D156" s="2005" t="s">
        <v>203</v>
      </c>
      <c r="E156" s="1972"/>
      <c r="F156" s="2006" t="s">
        <v>3951</v>
      </c>
      <c r="G156" s="1971"/>
    </row>
    <row r="157" spans="2:19" ht="15" hidden="1" customHeight="1">
      <c r="B157" s="1989"/>
      <c r="C157" s="1989"/>
      <c r="D157" s="2007"/>
      <c r="E157" s="1972"/>
      <c r="F157" s="2007"/>
      <c r="G157" s="1971"/>
    </row>
    <row r="158" spans="2:19" hidden="1">
      <c r="B158" s="1989"/>
      <c r="C158" s="1971"/>
      <c r="D158" s="1972"/>
      <c r="E158" s="1972"/>
      <c r="F158" s="1971"/>
    </row>
    <row r="159" spans="2:19" hidden="1">
      <c r="B159" s="1993"/>
      <c r="E159" s="1993"/>
      <c r="F159" s="1993"/>
    </row>
    <row r="160" spans="2:19" hidden="1">
      <c r="B160" s="1993"/>
      <c r="E160" s="1993"/>
      <c r="F160" s="1993"/>
    </row>
    <row r="161" spans="2:6" hidden="1">
      <c r="B161" s="1993"/>
      <c r="E161" s="1993"/>
      <c r="F161" s="1993"/>
    </row>
    <row r="162" spans="2:6" hidden="1">
      <c r="B162" s="1993"/>
      <c r="E162" s="1993"/>
      <c r="F162" s="1993"/>
    </row>
    <row r="163" spans="2:6" hidden="1">
      <c r="B163" s="1993"/>
      <c r="E163" s="1993"/>
      <c r="F163" s="1993"/>
    </row>
    <row r="164" spans="2:6" hidden="1">
      <c r="B164" s="1993"/>
      <c r="E164" s="1993"/>
      <c r="F164" s="1993"/>
    </row>
    <row r="165" spans="2:6" hidden="1">
      <c r="B165" s="1993"/>
      <c r="E165" s="1993"/>
      <c r="F165" s="1993"/>
    </row>
    <row r="166" spans="2:6" hidden="1">
      <c r="B166" s="1993"/>
      <c r="E166" s="1993"/>
      <c r="F166" s="1993"/>
    </row>
    <row r="167" spans="2:6" hidden="1">
      <c r="B167" s="1993"/>
      <c r="E167" s="1993"/>
      <c r="F167" s="1993"/>
    </row>
    <row r="168" spans="2:6" hidden="1">
      <c r="B168" s="1993"/>
      <c r="E168" s="1993"/>
      <c r="F168" s="1993"/>
    </row>
    <row r="169" spans="2:6" hidden="1">
      <c r="B169" s="1993"/>
      <c r="E169" s="1993"/>
      <c r="F169" s="1993"/>
    </row>
    <row r="170" spans="2:6" hidden="1">
      <c r="B170" s="1993"/>
      <c r="E170" s="1993"/>
      <c r="F170" s="1993"/>
    </row>
    <row r="171" spans="2:6" hidden="1">
      <c r="B171" s="1993"/>
      <c r="E171" s="1993"/>
      <c r="F171" s="1993"/>
    </row>
    <row r="172" spans="2:6" hidden="1">
      <c r="B172" s="1993"/>
      <c r="E172" s="1993"/>
      <c r="F172" s="1993"/>
    </row>
    <row r="173" spans="2:6" hidden="1">
      <c r="B173" s="1993"/>
      <c r="E173" s="1993"/>
      <c r="F173" s="1993"/>
    </row>
    <row r="174" spans="2:6" hidden="1">
      <c r="B174" s="1993"/>
      <c r="E174" s="1993"/>
      <c r="F174" s="1993"/>
    </row>
    <row r="175" spans="2:6" hidden="1">
      <c r="B175" s="1993"/>
      <c r="E175" s="1993"/>
      <c r="F175" s="1993"/>
    </row>
    <row r="176" spans="2:6" hidden="1">
      <c r="B176" s="1993"/>
      <c r="E176" s="1993"/>
      <c r="F176" s="1993"/>
    </row>
    <row r="177" spans="2:6" hidden="1">
      <c r="B177" s="1993"/>
      <c r="E177" s="1993"/>
      <c r="F177" s="1993"/>
    </row>
  </sheetData>
  <mergeCells count="21">
    <mergeCell ref="D87:S87"/>
    <mergeCell ref="B4:U4"/>
    <mergeCell ref="D81:S81"/>
    <mergeCell ref="D84:S84"/>
    <mergeCell ref="D85:S85"/>
    <mergeCell ref="D86:S86"/>
    <mergeCell ref="B77:F77"/>
    <mergeCell ref="B129:S129"/>
    <mergeCell ref="D90:S90"/>
    <mergeCell ref="D93:S93"/>
    <mergeCell ref="D96:S96"/>
    <mergeCell ref="D99:S99"/>
    <mergeCell ref="D102:S102"/>
    <mergeCell ref="D105:S105"/>
    <mergeCell ref="D108:S108"/>
    <mergeCell ref="D111:S111"/>
    <mergeCell ref="D114:S114"/>
    <mergeCell ref="B124:S124"/>
    <mergeCell ref="B126:S126"/>
    <mergeCell ref="D117:S117"/>
    <mergeCell ref="D118:S118"/>
  </mergeCells>
  <conditionalFormatting sqref="AL24:AS24 J16:CN19 DS16:FT19">
    <cfRule type="expression" dxfId="1883" priority="1804">
      <formula>J16=$D$156</formula>
    </cfRule>
    <cfRule type="expression" dxfId="1882" priority="1805">
      <formula>J16=$D$155</formula>
    </cfRule>
    <cfRule type="expression" dxfId="1881" priority="1806">
      <formula>J16=$D$154</formula>
    </cfRule>
  </conditionalFormatting>
  <conditionalFormatting sqref="J24:AG24">
    <cfRule type="expression" dxfId="1880" priority="1801">
      <formula>J24=$D$156</formula>
    </cfRule>
    <cfRule type="expression" dxfId="1879" priority="1802">
      <formula>J24=$D$155</formula>
    </cfRule>
    <cfRule type="expression" dxfId="1878" priority="1803">
      <formula>J24=$D$154</formula>
    </cfRule>
  </conditionalFormatting>
  <conditionalFormatting sqref="J50:AG50">
    <cfRule type="expression" dxfId="1877" priority="1798">
      <formula>J50=$D$156</formula>
    </cfRule>
    <cfRule type="expression" dxfId="1876" priority="1799">
      <formula>J50=$D$155</formula>
    </cfRule>
    <cfRule type="expression" dxfId="1875" priority="1800">
      <formula>J50=$D$154</formula>
    </cfRule>
  </conditionalFormatting>
  <conditionalFormatting sqref="J56:AG56">
    <cfRule type="expression" dxfId="1874" priority="1795">
      <formula>J56=$D$156</formula>
    </cfRule>
    <cfRule type="expression" dxfId="1873" priority="1796">
      <formula>J56=$D$155</formula>
    </cfRule>
    <cfRule type="expression" dxfId="1872" priority="1797">
      <formula>J56=$D$154</formula>
    </cfRule>
  </conditionalFormatting>
  <conditionalFormatting sqref="J56:K56">
    <cfRule type="expression" dxfId="1871" priority="1791">
      <formula>J56=$D$156</formula>
    </cfRule>
    <cfRule type="expression" dxfId="1870" priority="1792">
      <formula>J56=$D$155</formula>
    </cfRule>
    <cfRule type="expression" dxfId="1869" priority="1793">
      <formula>J56=$D$154</formula>
    </cfRule>
  </conditionalFormatting>
  <conditionalFormatting sqref="N56:O56">
    <cfRule type="expression" dxfId="1868" priority="1788">
      <formula>N56=$D$156</formula>
    </cfRule>
    <cfRule type="expression" dxfId="1867" priority="1789">
      <formula>N56=$D$155</formula>
    </cfRule>
    <cfRule type="expression" dxfId="1866" priority="1790">
      <formula>N56=$D$154</formula>
    </cfRule>
  </conditionalFormatting>
  <conditionalFormatting sqref="R56:S56">
    <cfRule type="expression" dxfId="1865" priority="1785">
      <formula>R56=$D$156</formula>
    </cfRule>
    <cfRule type="expression" dxfId="1864" priority="1786">
      <formula>R56=$D$155</formula>
    </cfRule>
    <cfRule type="expression" dxfId="1863" priority="1787">
      <formula>R56=$D$154</formula>
    </cfRule>
  </conditionalFormatting>
  <conditionalFormatting sqref="V56:W56">
    <cfRule type="expression" dxfId="1862" priority="1782">
      <formula>V56=$D$156</formula>
    </cfRule>
    <cfRule type="expression" dxfId="1861" priority="1783">
      <formula>V56=$D$155</formula>
    </cfRule>
    <cfRule type="expression" dxfId="1860" priority="1784">
      <formula>V56=$D$154</formula>
    </cfRule>
  </conditionalFormatting>
  <conditionalFormatting sqref="Z56:AA56">
    <cfRule type="expression" dxfId="1859" priority="1779">
      <formula>Z56=$D$156</formula>
    </cfRule>
    <cfRule type="expression" dxfId="1858" priority="1780">
      <formula>Z56=$D$155</formula>
    </cfRule>
    <cfRule type="expression" dxfId="1857" priority="1781">
      <formula>Z56=$D$154</formula>
    </cfRule>
  </conditionalFormatting>
  <conditionalFormatting sqref="AD56:AE56">
    <cfRule type="expression" dxfId="1856" priority="1776">
      <formula>AD56=$D$156</formula>
    </cfRule>
    <cfRule type="expression" dxfId="1855" priority="1777">
      <formula>AD56=$D$155</formula>
    </cfRule>
    <cfRule type="expression" dxfId="1854" priority="1778">
      <formula>AD56=$D$154</formula>
    </cfRule>
  </conditionalFormatting>
  <conditionalFormatting sqref="J29:Q29">
    <cfRule type="expression" dxfId="1853" priority="1773">
      <formula>J29=$D$156</formula>
    </cfRule>
    <cfRule type="expression" dxfId="1852" priority="1774">
      <formula>J29=$D$155</formula>
    </cfRule>
    <cfRule type="expression" dxfId="1851" priority="1775">
      <formula>J29=$D$154</formula>
    </cfRule>
  </conditionalFormatting>
  <conditionalFormatting sqref="R29:U29">
    <cfRule type="expression" dxfId="1850" priority="1770">
      <formula>R29=$D$156</formula>
    </cfRule>
    <cfRule type="expression" dxfId="1849" priority="1771">
      <formula>R29=$D$155</formula>
    </cfRule>
    <cfRule type="expression" dxfId="1848" priority="1772">
      <formula>R29=$D$154</formula>
    </cfRule>
  </conditionalFormatting>
  <conditionalFormatting sqref="V29:Y29">
    <cfRule type="expression" dxfId="1847" priority="1767">
      <formula>V29=$D$156</formula>
    </cfRule>
    <cfRule type="expression" dxfId="1846" priority="1768">
      <formula>V29=$D$155</formula>
    </cfRule>
    <cfRule type="expression" dxfId="1845" priority="1769">
      <formula>V29=$D$154</formula>
    </cfRule>
  </conditionalFormatting>
  <conditionalFormatting sqref="J34:Q34">
    <cfRule type="expression" dxfId="1844" priority="1764">
      <formula>J34=$D$156</formula>
    </cfRule>
    <cfRule type="expression" dxfId="1843" priority="1765">
      <formula>J34=$D$155</formula>
    </cfRule>
    <cfRule type="expression" dxfId="1842" priority="1766">
      <formula>J34=$D$154</formula>
    </cfRule>
  </conditionalFormatting>
  <conditionalFormatting sqref="R34:U34">
    <cfRule type="expression" dxfId="1841" priority="1761">
      <formula>R34=$D$156</formula>
    </cfRule>
    <cfRule type="expression" dxfId="1840" priority="1762">
      <formula>R34=$D$155</formula>
    </cfRule>
    <cfRule type="expression" dxfId="1839" priority="1763">
      <formula>R34=$D$154</formula>
    </cfRule>
  </conditionalFormatting>
  <conditionalFormatting sqref="V34:Y34">
    <cfRule type="expression" dxfId="1838" priority="1758">
      <formula>V34=$D$156</formula>
    </cfRule>
    <cfRule type="expression" dxfId="1837" priority="1759">
      <formula>V34=$D$155</formula>
    </cfRule>
    <cfRule type="expression" dxfId="1836" priority="1760">
      <formula>V34=$D$154</formula>
    </cfRule>
  </conditionalFormatting>
  <conditionalFormatting sqref="Z34:AC34">
    <cfRule type="expression" dxfId="1835" priority="1755">
      <formula>Z34=$D$156</formula>
    </cfRule>
    <cfRule type="expression" dxfId="1834" priority="1756">
      <formula>Z34=$D$155</formula>
    </cfRule>
    <cfRule type="expression" dxfId="1833" priority="1757">
      <formula>Z34=$D$154</formula>
    </cfRule>
  </conditionalFormatting>
  <conditionalFormatting sqref="AD34:AG34">
    <cfRule type="expression" dxfId="1832" priority="1752">
      <formula>AD34=$D$156</formula>
    </cfRule>
    <cfRule type="expression" dxfId="1831" priority="1753">
      <formula>AD34=$D$155</formula>
    </cfRule>
    <cfRule type="expression" dxfId="1830" priority="1754">
      <formula>AD34=$D$154</formula>
    </cfRule>
  </conditionalFormatting>
  <conditionalFormatting sqref="R45:U45">
    <cfRule type="expression" dxfId="1829" priority="1740">
      <formula>R45=$D$156</formula>
    </cfRule>
    <cfRule type="expression" dxfId="1828" priority="1741">
      <formula>R45=$D$155</formula>
    </cfRule>
    <cfRule type="expression" dxfId="1827" priority="1742">
      <formula>R45=$D$154</formula>
    </cfRule>
  </conditionalFormatting>
  <conditionalFormatting sqref="V45:Y45">
    <cfRule type="expression" dxfId="1826" priority="1737">
      <formula>V45=$D$156</formula>
    </cfRule>
    <cfRule type="expression" dxfId="1825" priority="1738">
      <formula>V45=$D$155</formula>
    </cfRule>
    <cfRule type="expression" dxfId="1824" priority="1739">
      <formula>V45=$D$154</formula>
    </cfRule>
  </conditionalFormatting>
  <conditionalFormatting sqref="Z45:AC45">
    <cfRule type="expression" dxfId="1823" priority="1734">
      <formula>Z45=$D$156</formula>
    </cfRule>
    <cfRule type="expression" dxfId="1822" priority="1735">
      <formula>Z45=$D$155</formula>
    </cfRule>
    <cfRule type="expression" dxfId="1821" priority="1736">
      <formula>Z45=$D$154</formula>
    </cfRule>
  </conditionalFormatting>
  <conditionalFormatting sqref="AD45:AG45">
    <cfRule type="expression" dxfId="1820" priority="1731">
      <formula>AD45=$D$156</formula>
    </cfRule>
    <cfRule type="expression" dxfId="1819" priority="1732">
      <formula>AD45=$D$155</formula>
    </cfRule>
    <cfRule type="expression" dxfId="1818" priority="1733">
      <formula>AD45=$D$154</formula>
    </cfRule>
  </conditionalFormatting>
  <conditionalFormatting sqref="J45 N45:Q45">
    <cfRule type="expression" dxfId="1817" priority="1743">
      <formula>J45=$D$156</formula>
    </cfRule>
    <cfRule type="expression" dxfId="1816" priority="1744">
      <formula>J45=$D$155</formula>
    </cfRule>
    <cfRule type="expression" dxfId="1815" priority="1745">
      <formula>J45=$D$154</formula>
    </cfRule>
  </conditionalFormatting>
  <conditionalFormatting sqref="J40:Q40">
    <cfRule type="expression" dxfId="1814" priority="1749">
      <formula>J40=$D$156</formula>
    </cfRule>
    <cfRule type="expression" dxfId="1813" priority="1750">
      <formula>J40=$D$155</formula>
    </cfRule>
    <cfRule type="expression" dxfId="1812" priority="1751">
      <formula>J40=$D$154</formula>
    </cfRule>
  </conditionalFormatting>
  <conditionalFormatting sqref="R40:U40">
    <cfRule type="expression" dxfId="1811" priority="1746">
      <formula>R40=$D$156</formula>
    </cfRule>
    <cfRule type="expression" dxfId="1810" priority="1747">
      <formula>R40=$D$155</formula>
    </cfRule>
    <cfRule type="expression" dxfId="1809" priority="1748">
      <formula>R40=$D$154</formula>
    </cfRule>
  </conditionalFormatting>
  <conditionalFormatting sqref="R61:U61">
    <cfRule type="expression" dxfId="1808" priority="1725">
      <formula>R61=$D$156</formula>
    </cfRule>
    <cfRule type="expression" dxfId="1807" priority="1726">
      <formula>R61=$D$155</formula>
    </cfRule>
    <cfRule type="expression" dxfId="1806" priority="1727">
      <formula>R61=$D$154</formula>
    </cfRule>
  </conditionalFormatting>
  <conditionalFormatting sqref="J61:Q61">
    <cfRule type="expression" dxfId="1805" priority="1728">
      <formula>J61=$D$156</formula>
    </cfRule>
    <cfRule type="expression" dxfId="1804" priority="1729">
      <formula>J61=$D$155</formula>
    </cfRule>
    <cfRule type="expression" dxfId="1803" priority="1730">
      <formula>J61=$D$154</formula>
    </cfRule>
  </conditionalFormatting>
  <conditionalFormatting sqref="R66:U66">
    <cfRule type="expression" dxfId="1802" priority="1719">
      <formula>R66=$D$156</formula>
    </cfRule>
    <cfRule type="expression" dxfId="1801" priority="1720">
      <formula>R66=$D$155</formula>
    </cfRule>
    <cfRule type="expression" dxfId="1800" priority="1721">
      <formula>R66=$D$154</formula>
    </cfRule>
  </conditionalFormatting>
  <conditionalFormatting sqref="V66:Y66">
    <cfRule type="expression" dxfId="1799" priority="1716">
      <formula>V66=$D$156</formula>
    </cfRule>
    <cfRule type="expression" dxfId="1798" priority="1717">
      <formula>V66=$D$155</formula>
    </cfRule>
    <cfRule type="expression" dxfId="1797" priority="1718">
      <formula>V66=$D$154</formula>
    </cfRule>
  </conditionalFormatting>
  <conditionalFormatting sqref="Z66:AC66">
    <cfRule type="expression" dxfId="1796" priority="1713">
      <formula>Z66=$D$156</formula>
    </cfRule>
    <cfRule type="expression" dxfId="1795" priority="1714">
      <formula>Z66=$D$155</formula>
    </cfRule>
    <cfRule type="expression" dxfId="1794" priority="1715">
      <formula>Z66=$D$154</formula>
    </cfRule>
  </conditionalFormatting>
  <conditionalFormatting sqref="AD66:AG66">
    <cfRule type="expression" dxfId="1793" priority="1710">
      <formula>AD66=$D$156</formula>
    </cfRule>
    <cfRule type="expression" dxfId="1792" priority="1711">
      <formula>AD66=$D$155</formula>
    </cfRule>
    <cfRule type="expression" dxfId="1791" priority="1712">
      <formula>AD66=$D$154</formula>
    </cfRule>
  </conditionalFormatting>
  <conditionalFormatting sqref="J66 N66:Q66">
    <cfRule type="expression" dxfId="1790" priority="1722">
      <formula>J66=$D$156</formula>
    </cfRule>
    <cfRule type="expression" dxfId="1789" priority="1723">
      <formula>J66=$D$155</formula>
    </cfRule>
    <cfRule type="expression" dxfId="1788" priority="1724">
      <formula>J66=$D$154</formula>
    </cfRule>
  </conditionalFormatting>
  <conditionalFormatting sqref="BV16:CO19">
    <cfRule type="expression" dxfId="1787" priority="1707">
      <formula>BV16=$D$156</formula>
    </cfRule>
    <cfRule type="expression" dxfId="1786" priority="1708">
      <formula>BV16=$D$155</formula>
    </cfRule>
    <cfRule type="expression" dxfId="1785" priority="1709">
      <formula>BV16=$D$154</formula>
    </cfRule>
  </conditionalFormatting>
  <conditionalFormatting sqref="CP16:DI19">
    <cfRule type="expression" dxfId="1784" priority="1704">
      <formula>CP16=$D$156</formula>
    </cfRule>
    <cfRule type="expression" dxfId="1783" priority="1705">
      <formula>CP16=$D$155</formula>
    </cfRule>
    <cfRule type="expression" dxfId="1782" priority="1706">
      <formula>CP16=$D$154</formula>
    </cfRule>
  </conditionalFormatting>
  <conditionalFormatting sqref="DJ16:EC19">
    <cfRule type="expression" dxfId="1781" priority="1701">
      <formula>DJ16=$D$156</formula>
    </cfRule>
    <cfRule type="expression" dxfId="1780" priority="1702">
      <formula>DJ16=$D$155</formula>
    </cfRule>
    <cfRule type="expression" dxfId="1779" priority="1703">
      <formula>DJ16=$D$154</formula>
    </cfRule>
  </conditionalFormatting>
  <conditionalFormatting sqref="ED16:EG19">
    <cfRule type="expression" dxfId="1778" priority="1698">
      <formula>ED16=$D$156</formula>
    </cfRule>
    <cfRule type="expression" dxfId="1777" priority="1699">
      <formula>ED16=$D$155</formula>
    </cfRule>
    <cfRule type="expression" dxfId="1776" priority="1700">
      <formula>ED16=$D$154</formula>
    </cfRule>
  </conditionalFormatting>
  <conditionalFormatting sqref="EX16:FQ19">
    <cfRule type="expression" dxfId="1775" priority="1695">
      <formula>EX16=$D$156</formula>
    </cfRule>
    <cfRule type="expression" dxfId="1774" priority="1696">
      <formula>EX16=$D$155</formula>
    </cfRule>
    <cfRule type="expression" dxfId="1773" priority="1697">
      <formula>EX16=$D$154</formula>
    </cfRule>
  </conditionalFormatting>
  <conditionalFormatting sqref="FR16:GK19">
    <cfRule type="expression" dxfId="1772" priority="1692">
      <formula>FR16=$D$156</formula>
    </cfRule>
    <cfRule type="expression" dxfId="1771" priority="1693">
      <formula>FR16=$D$155</formula>
    </cfRule>
    <cfRule type="expression" dxfId="1770" priority="1694">
      <formula>FR16=$D$154</formula>
    </cfRule>
  </conditionalFormatting>
  <conditionalFormatting sqref="GL16:HE19">
    <cfRule type="expression" dxfId="1769" priority="1689">
      <formula>GL16=$D$156</formula>
    </cfRule>
    <cfRule type="expression" dxfId="1768" priority="1690">
      <formula>GL16=$D$155</formula>
    </cfRule>
    <cfRule type="expression" dxfId="1767" priority="1691">
      <formula>GL16=$D$154</formula>
    </cfRule>
  </conditionalFormatting>
  <conditionalFormatting sqref="HF16:HY19">
    <cfRule type="expression" dxfId="1766" priority="1686">
      <formula>HF16=$D$156</formula>
    </cfRule>
    <cfRule type="expression" dxfId="1765" priority="1687">
      <formula>HF16=$D$155</formula>
    </cfRule>
    <cfRule type="expression" dxfId="1764" priority="1688">
      <formula>HF16=$D$154</formula>
    </cfRule>
  </conditionalFormatting>
  <conditionalFormatting sqref="HZ16:IS19">
    <cfRule type="expression" dxfId="1763" priority="1683">
      <formula>HZ16=$D$156</formula>
    </cfRule>
    <cfRule type="expression" dxfId="1762" priority="1684">
      <formula>HZ16=$D$155</formula>
    </cfRule>
    <cfRule type="expression" dxfId="1761" priority="1685">
      <formula>HZ16=$D$154</formula>
    </cfRule>
  </conditionalFormatting>
  <conditionalFormatting sqref="IT16:JM19">
    <cfRule type="expression" dxfId="1760" priority="1680">
      <formula>IT16=$D$156</formula>
    </cfRule>
    <cfRule type="expression" dxfId="1759" priority="1681">
      <formula>IT16=$D$155</formula>
    </cfRule>
    <cfRule type="expression" dxfId="1758" priority="1682">
      <formula>IT16=$D$154</formula>
    </cfRule>
  </conditionalFormatting>
  <conditionalFormatting sqref="JN16:KG19">
    <cfRule type="expression" dxfId="1757" priority="1677">
      <formula>JN16=$D$156</formula>
    </cfRule>
    <cfRule type="expression" dxfId="1756" priority="1678">
      <formula>JN16=$D$155</formula>
    </cfRule>
    <cfRule type="expression" dxfId="1755" priority="1679">
      <formula>JN16=$D$154</formula>
    </cfRule>
  </conditionalFormatting>
  <conditionalFormatting sqref="KH16:KS19">
    <cfRule type="expression" dxfId="1754" priority="1674">
      <formula>KH16=$D$156</formula>
    </cfRule>
    <cfRule type="expression" dxfId="1753" priority="1675">
      <formula>KH16=$D$155</formula>
    </cfRule>
    <cfRule type="expression" dxfId="1752" priority="1676">
      <formula>KH16=$D$154</formula>
    </cfRule>
  </conditionalFormatting>
  <conditionalFormatting sqref="EH16:EK19">
    <cfRule type="expression" dxfId="1751" priority="1671">
      <formula>EH16=$D$156</formula>
    </cfRule>
    <cfRule type="expression" dxfId="1750" priority="1672">
      <formula>EH16=$D$155</formula>
    </cfRule>
    <cfRule type="expression" dxfId="1749" priority="1673">
      <formula>EH16=$D$154</formula>
    </cfRule>
  </conditionalFormatting>
  <conditionalFormatting sqref="KT16:KW19">
    <cfRule type="expression" dxfId="1748" priority="1668">
      <formula>KT16=$D$156</formula>
    </cfRule>
    <cfRule type="expression" dxfId="1747" priority="1669">
      <formula>KT16=$D$155</formula>
    </cfRule>
    <cfRule type="expression" dxfId="1746" priority="1670">
      <formula>KT16=$D$154</formula>
    </cfRule>
  </conditionalFormatting>
  <conditionalFormatting sqref="AX24:BE24">
    <cfRule type="expression" dxfId="1745" priority="1665">
      <formula>AX24=$D$156</formula>
    </cfRule>
    <cfRule type="expression" dxfId="1744" priority="1666">
      <formula>AX24=$D$155</formula>
    </cfRule>
    <cfRule type="expression" dxfId="1743" priority="1667">
      <formula>AX24=$D$154</formula>
    </cfRule>
  </conditionalFormatting>
  <conditionalFormatting sqref="BF24:BI24">
    <cfRule type="expression" dxfId="1742" priority="1662">
      <formula>BF24=$D$156</formula>
    </cfRule>
    <cfRule type="expression" dxfId="1741" priority="1663">
      <formula>BF24=$D$155</formula>
    </cfRule>
    <cfRule type="expression" dxfId="1740" priority="1664">
      <formula>BF24=$D$154</formula>
    </cfRule>
  </conditionalFormatting>
  <conditionalFormatting sqref="AT24:AW24">
    <cfRule type="expression" dxfId="1739" priority="1659">
      <formula>AT24=$D$156</formula>
    </cfRule>
    <cfRule type="expression" dxfId="1738" priority="1660">
      <formula>AT24=$D$155</formula>
    </cfRule>
    <cfRule type="expression" dxfId="1737" priority="1661">
      <formula>AT24=$D$154</formula>
    </cfRule>
  </conditionalFormatting>
  <conditionalFormatting sqref="AH24:AK24">
    <cfRule type="expression" dxfId="1736" priority="1656">
      <formula>AH24=$D$156</formula>
    </cfRule>
    <cfRule type="expression" dxfId="1735" priority="1657">
      <formula>AH24=$D$155</formula>
    </cfRule>
    <cfRule type="expression" dxfId="1734" priority="1658">
      <formula>AH24=$D$154</formula>
    </cfRule>
  </conditionalFormatting>
  <conditionalFormatting sqref="AL34:AS34">
    <cfRule type="expression" dxfId="1733" priority="1653">
      <formula>AL34=$D$156</formula>
    </cfRule>
    <cfRule type="expression" dxfId="1732" priority="1654">
      <formula>AL34=$D$155</formula>
    </cfRule>
    <cfRule type="expression" dxfId="1731" priority="1655">
      <formula>AL34=$D$154</formula>
    </cfRule>
  </conditionalFormatting>
  <conditionalFormatting sqref="AX34:BE34">
    <cfRule type="expression" dxfId="1730" priority="1650">
      <formula>AX34=$D$156</formula>
    </cfRule>
    <cfRule type="expression" dxfId="1729" priority="1651">
      <formula>AX34=$D$155</formula>
    </cfRule>
    <cfRule type="expression" dxfId="1728" priority="1652">
      <formula>AX34=$D$154</formula>
    </cfRule>
  </conditionalFormatting>
  <conditionalFormatting sqref="AT34:AW34">
    <cfRule type="expression" dxfId="1727" priority="1647">
      <formula>AT34=$D$156</formula>
    </cfRule>
    <cfRule type="expression" dxfId="1726" priority="1648">
      <formula>AT34=$D$155</formula>
    </cfRule>
    <cfRule type="expression" dxfId="1725" priority="1649">
      <formula>AT34=$D$154</formula>
    </cfRule>
  </conditionalFormatting>
  <conditionalFormatting sqref="AH34:AK34">
    <cfRule type="expression" dxfId="1724" priority="1644">
      <formula>AH34=$D$156</formula>
    </cfRule>
    <cfRule type="expression" dxfId="1723" priority="1645">
      <formula>AH34=$D$155</formula>
    </cfRule>
    <cfRule type="expression" dxfId="1722" priority="1646">
      <formula>AH34=$D$154</formula>
    </cfRule>
  </conditionalFormatting>
  <conditionalFormatting sqref="AH50:AO50">
    <cfRule type="expression" dxfId="1721" priority="1641">
      <formula>AH50=$D$156</formula>
    </cfRule>
    <cfRule type="expression" dxfId="1720" priority="1642">
      <formula>AH50=$D$155</formula>
    </cfRule>
    <cfRule type="expression" dxfId="1719" priority="1643">
      <formula>AH50=$D$154</formula>
    </cfRule>
  </conditionalFormatting>
  <conditionalFormatting sqref="AP50:AW50">
    <cfRule type="expression" dxfId="1718" priority="1638">
      <formula>AP50=$D$156</formula>
    </cfRule>
    <cfRule type="expression" dxfId="1717" priority="1639">
      <formula>AP50=$D$155</formula>
    </cfRule>
    <cfRule type="expression" dxfId="1716" priority="1640">
      <formula>AP50=$D$154</formula>
    </cfRule>
  </conditionalFormatting>
  <conditionalFormatting sqref="AX50:BA50">
    <cfRule type="expression" dxfId="1715" priority="1635">
      <formula>AX50=$D$156</formula>
    </cfRule>
    <cfRule type="expression" dxfId="1714" priority="1636">
      <formula>AX50=$D$155</formula>
    </cfRule>
    <cfRule type="expression" dxfId="1713" priority="1637">
      <formula>AX50=$D$154</formula>
    </cfRule>
  </conditionalFormatting>
  <conditionalFormatting sqref="AH56:AO56">
    <cfRule type="expression" dxfId="1712" priority="1632">
      <formula>AH56=$D$156</formula>
    </cfRule>
    <cfRule type="expression" dxfId="1711" priority="1633">
      <formula>AH56=$D$155</formula>
    </cfRule>
    <cfRule type="expression" dxfId="1710" priority="1634">
      <formula>AH56=$D$154</formula>
    </cfRule>
  </conditionalFormatting>
  <conditionalFormatting sqref="AP56:AW56">
    <cfRule type="expression" dxfId="1709" priority="1629">
      <formula>AP56=$D$156</formula>
    </cfRule>
    <cfRule type="expression" dxfId="1708" priority="1630">
      <formula>AP56=$D$155</formula>
    </cfRule>
    <cfRule type="expression" dxfId="1707" priority="1631">
      <formula>AP56=$D$154</formula>
    </cfRule>
  </conditionalFormatting>
  <conditionalFormatting sqref="AX56:BA56">
    <cfRule type="expression" dxfId="1706" priority="1626">
      <formula>AX56=$D$156</formula>
    </cfRule>
    <cfRule type="expression" dxfId="1705" priority="1627">
      <formula>AX56=$D$155</formula>
    </cfRule>
    <cfRule type="expression" dxfId="1704" priority="1628">
      <formula>AX56=$D$154</formula>
    </cfRule>
  </conditionalFormatting>
  <conditionalFormatting sqref="A1:LD1 A3:LD6 A2:LB2 LD2 A8:LD8 A7:LB7 LD7 A10:LD15 A9:LB9 LD9 NW9:OA9 LG16:LG19 LG1:XB1 LG4:XB6 LH2:XB3 LH7:XB8 NW10:XB10 LG12:XB15 XD1:XFD68 A20:LD23 LD16:LD19 A25:LD28 LD24 A30:LD33 LD29 LD34 A41:LD42 LD40 LG30:XB33 LG29 LG34 A35:LD39 LZ29:XB29 NG34:XB34 LG45 LI45:LL45 A46:LD49 LD45 LG46:XB49 A51:LD55 LD50 LG50 NB50:XB50 LG51:XB55 A57:LD60 LD56 LG56 NB56:XB56 LD61 A67:LD68 LD66 LG67:XB68 LG66 LI66:LL66 A16:LB19 LI16:XB19 A24:LB24 LG20:XB28 A29:LB29 A34:LB34 A40:LB40 LG35:XB42 A50:LB50 A56:LB56 A61:LB61 LG57:XB63 A62:LD63 XD119:XFD1048576 A119:LD1048576 LG119:XB1048576 LF13:LF14 LF6:LF11 A77 G77:LD77 A78:LD115 A72:LD76 LF72:XB115 XD72:XFD115 N45:LB45 A44:J45 A65:J66 N66:LB66 A64:K64 N64:LD65 A43:K43 N43:LD44 LG43:LL44 LO43:XB45 LG64:LL65 LO64:XB66">
    <cfRule type="expression" priority="1625">
      <formula>CELL("protect", INDIRECT(ADDRESS(ROW(),COLUMN())))=1</formula>
    </cfRule>
  </conditionalFormatting>
  <conditionalFormatting sqref="KX16:LA19">
    <cfRule type="expression" dxfId="1703" priority="1622">
      <formula>KX16=$D$156</formula>
    </cfRule>
    <cfRule type="expression" dxfId="1702" priority="1623">
      <formula>KX16=$D$155</formula>
    </cfRule>
    <cfRule type="expression" dxfId="1701" priority="1624">
      <formula>KX16=$D$154</formula>
    </cfRule>
  </conditionalFormatting>
  <conditionalFormatting sqref="J40:BU40">
    <cfRule type="expression" dxfId="1700" priority="1619">
      <formula>J40=$D$156</formula>
    </cfRule>
    <cfRule type="expression" dxfId="1699" priority="1620">
      <formula>J40=$D$155</formula>
    </cfRule>
    <cfRule type="expression" dxfId="1698" priority="1621">
      <formula>J40=$D$154</formula>
    </cfRule>
  </conditionalFormatting>
  <conditionalFormatting sqref="BV40:CO40">
    <cfRule type="expression" dxfId="1697" priority="1616">
      <formula>BV40=$D$156</formula>
    </cfRule>
    <cfRule type="expression" dxfId="1696" priority="1617">
      <formula>BV40=$D$155</formula>
    </cfRule>
    <cfRule type="expression" dxfId="1695" priority="1618">
      <formula>BV40=$D$154</formula>
    </cfRule>
  </conditionalFormatting>
  <conditionalFormatting sqref="CP40:DA40">
    <cfRule type="expression" dxfId="1694" priority="1613">
      <formula>CP40=$D$156</formula>
    </cfRule>
    <cfRule type="expression" dxfId="1693" priority="1614">
      <formula>CP40=$D$155</formula>
    </cfRule>
    <cfRule type="expression" dxfId="1692" priority="1615">
      <formula>CP40=$D$154</formula>
    </cfRule>
  </conditionalFormatting>
  <conditionalFormatting sqref="KX16:LA19">
    <cfRule type="expression" dxfId="1691" priority="1610">
      <formula>KX16=$D$156</formula>
    </cfRule>
    <cfRule type="expression" dxfId="1690" priority="1611">
      <formula>KX16=$D$155</formula>
    </cfRule>
    <cfRule type="expression" dxfId="1689" priority="1612">
      <formula>KX16=$D$154</formula>
    </cfRule>
  </conditionalFormatting>
  <conditionalFormatting sqref="V40:Y40">
    <cfRule type="expression" dxfId="1688" priority="1607">
      <formula>V40=$D$156</formula>
    </cfRule>
    <cfRule type="expression" dxfId="1687" priority="1608">
      <formula>V40=$D$155</formula>
    </cfRule>
    <cfRule type="expression" dxfId="1686" priority="1609">
      <formula>V40=$D$154</formula>
    </cfRule>
  </conditionalFormatting>
  <conditionalFormatting sqref="Z40:AC40">
    <cfRule type="expression" dxfId="1685" priority="1604">
      <formula>Z40=$D$156</formula>
    </cfRule>
    <cfRule type="expression" dxfId="1684" priority="1605">
      <formula>Z40=$D$155</formula>
    </cfRule>
    <cfRule type="expression" dxfId="1683" priority="1606">
      <formula>Z40=$D$154</formula>
    </cfRule>
  </conditionalFormatting>
  <conditionalFormatting sqref="AD40:AG40">
    <cfRule type="expression" dxfId="1682" priority="1601">
      <formula>AD40=$D$156</formula>
    </cfRule>
    <cfRule type="expression" dxfId="1681" priority="1602">
      <formula>AD40=$D$155</formula>
    </cfRule>
    <cfRule type="expression" dxfId="1680" priority="1603">
      <formula>AD40=$D$154</formula>
    </cfRule>
  </conditionalFormatting>
  <conditionalFormatting sqref="AH40:AK40">
    <cfRule type="expression" dxfId="1679" priority="1598">
      <formula>AH40=$D$156</formula>
    </cfRule>
    <cfRule type="expression" dxfId="1678" priority="1599">
      <formula>AH40=$D$155</formula>
    </cfRule>
    <cfRule type="expression" dxfId="1677" priority="1600">
      <formula>AH40=$D$154</formula>
    </cfRule>
  </conditionalFormatting>
  <conditionalFormatting sqref="AL40:AO40">
    <cfRule type="expression" dxfId="1676" priority="1595">
      <formula>AL40=$D$156</formula>
    </cfRule>
    <cfRule type="expression" dxfId="1675" priority="1596">
      <formula>AL40=$D$155</formula>
    </cfRule>
    <cfRule type="expression" dxfId="1674" priority="1597">
      <formula>AL40=$D$154</formula>
    </cfRule>
  </conditionalFormatting>
  <conditionalFormatting sqref="AP40:AS40">
    <cfRule type="expression" dxfId="1673" priority="1592">
      <formula>AP40=$D$156</formula>
    </cfRule>
    <cfRule type="expression" dxfId="1672" priority="1593">
      <formula>AP40=$D$155</formula>
    </cfRule>
    <cfRule type="expression" dxfId="1671" priority="1594">
      <formula>AP40=$D$154</formula>
    </cfRule>
  </conditionalFormatting>
  <conditionalFormatting sqref="AT40:AW40">
    <cfRule type="expression" dxfId="1670" priority="1589">
      <formula>AT40=$D$156</formula>
    </cfRule>
    <cfRule type="expression" dxfId="1669" priority="1590">
      <formula>AT40=$D$155</formula>
    </cfRule>
    <cfRule type="expression" dxfId="1668" priority="1591">
      <formula>AT40=$D$154</formula>
    </cfRule>
  </conditionalFormatting>
  <conditionalFormatting sqref="AX40:BA40">
    <cfRule type="expression" dxfId="1667" priority="1586">
      <formula>AX40=$D$156</formula>
    </cfRule>
    <cfRule type="expression" dxfId="1666" priority="1587">
      <formula>AX40=$D$155</formula>
    </cfRule>
    <cfRule type="expression" dxfId="1665" priority="1588">
      <formula>AX40=$D$154</formula>
    </cfRule>
  </conditionalFormatting>
  <conditionalFormatting sqref="BB40:BE40">
    <cfRule type="expression" dxfId="1664" priority="1583">
      <formula>BB40=$D$156</formula>
    </cfRule>
    <cfRule type="expression" dxfId="1663" priority="1584">
      <formula>BB40=$D$155</formula>
    </cfRule>
    <cfRule type="expression" dxfId="1662" priority="1585">
      <formula>BB40=$D$154</formula>
    </cfRule>
  </conditionalFormatting>
  <conditionalFormatting sqref="BF40:BI40">
    <cfRule type="expression" dxfId="1661" priority="1580">
      <formula>BF40=$D$156</formula>
    </cfRule>
    <cfRule type="expression" dxfId="1660" priority="1581">
      <formula>BF40=$D$155</formula>
    </cfRule>
    <cfRule type="expression" dxfId="1659" priority="1582">
      <formula>BF40=$D$154</formula>
    </cfRule>
  </conditionalFormatting>
  <conditionalFormatting sqref="BJ40:BM40">
    <cfRule type="expression" dxfId="1658" priority="1577">
      <formula>BJ40=$D$156</formula>
    </cfRule>
    <cfRule type="expression" dxfId="1657" priority="1578">
      <formula>BJ40=$D$155</formula>
    </cfRule>
    <cfRule type="expression" dxfId="1656" priority="1579">
      <formula>BJ40=$D$154</formula>
    </cfRule>
  </conditionalFormatting>
  <conditionalFormatting sqref="BN40:BQ40">
    <cfRule type="expression" dxfId="1655" priority="1574">
      <formula>BN40=$D$156</formula>
    </cfRule>
    <cfRule type="expression" dxfId="1654" priority="1575">
      <formula>BN40=$D$155</formula>
    </cfRule>
    <cfRule type="expression" dxfId="1653" priority="1576">
      <formula>BN40=$D$154</formula>
    </cfRule>
  </conditionalFormatting>
  <conditionalFormatting sqref="BR40:BU40">
    <cfRule type="expression" dxfId="1652" priority="1571">
      <formula>BR40=$D$156</formula>
    </cfRule>
    <cfRule type="expression" dxfId="1651" priority="1572">
      <formula>BR40=$D$155</formula>
    </cfRule>
    <cfRule type="expression" dxfId="1650" priority="1573">
      <formula>BR40=$D$154</formula>
    </cfRule>
  </conditionalFormatting>
  <conditionalFormatting sqref="BV40:BY40">
    <cfRule type="expression" dxfId="1649" priority="1568">
      <formula>BV40=$D$156</formula>
    </cfRule>
    <cfRule type="expression" dxfId="1648" priority="1569">
      <formula>BV40=$D$155</formula>
    </cfRule>
    <cfRule type="expression" dxfId="1647" priority="1570">
      <formula>BV40=$D$154</formula>
    </cfRule>
  </conditionalFormatting>
  <conditionalFormatting sqref="BV40:BY40">
    <cfRule type="expression" dxfId="1646" priority="1565">
      <formula>BV40=$D$156</formula>
    </cfRule>
    <cfRule type="expression" dxfId="1645" priority="1566">
      <formula>BV40=$D$155</formula>
    </cfRule>
    <cfRule type="expression" dxfId="1644" priority="1567">
      <formula>BV40=$D$154</formula>
    </cfRule>
  </conditionalFormatting>
  <conditionalFormatting sqref="BZ40:CC40">
    <cfRule type="expression" dxfId="1643" priority="1562">
      <formula>BZ40=$D$156</formula>
    </cfRule>
    <cfRule type="expression" dxfId="1642" priority="1563">
      <formula>BZ40=$D$155</formula>
    </cfRule>
    <cfRule type="expression" dxfId="1641" priority="1564">
      <formula>BZ40=$D$154</formula>
    </cfRule>
  </conditionalFormatting>
  <conditionalFormatting sqref="BZ40:CC40">
    <cfRule type="expression" dxfId="1640" priority="1559">
      <formula>BZ40=$D$156</formula>
    </cfRule>
    <cfRule type="expression" dxfId="1639" priority="1560">
      <formula>BZ40=$D$155</formula>
    </cfRule>
    <cfRule type="expression" dxfId="1638" priority="1561">
      <formula>BZ40=$D$154</formula>
    </cfRule>
  </conditionalFormatting>
  <conditionalFormatting sqref="CD40:CG40">
    <cfRule type="expression" dxfId="1637" priority="1556">
      <formula>CD40=$D$156</formula>
    </cfRule>
    <cfRule type="expression" dxfId="1636" priority="1557">
      <formula>CD40=$D$155</formula>
    </cfRule>
    <cfRule type="expression" dxfId="1635" priority="1558">
      <formula>CD40=$D$154</formula>
    </cfRule>
  </conditionalFormatting>
  <conditionalFormatting sqref="CD40:CG40">
    <cfRule type="expression" dxfId="1634" priority="1553">
      <formula>CD40=$D$156</formula>
    </cfRule>
    <cfRule type="expression" dxfId="1633" priority="1554">
      <formula>CD40=$D$155</formula>
    </cfRule>
    <cfRule type="expression" dxfId="1632" priority="1555">
      <formula>CD40=$D$154</formula>
    </cfRule>
  </conditionalFormatting>
  <conditionalFormatting sqref="CH40:CK40">
    <cfRule type="expression" dxfId="1631" priority="1550">
      <formula>CH40=$D$156</formula>
    </cfRule>
    <cfRule type="expression" dxfId="1630" priority="1551">
      <formula>CH40=$D$155</formula>
    </cfRule>
    <cfRule type="expression" dxfId="1629" priority="1552">
      <formula>CH40=$D$154</formula>
    </cfRule>
  </conditionalFormatting>
  <conditionalFormatting sqref="CH40:CK40">
    <cfRule type="expression" dxfId="1628" priority="1547">
      <formula>CH40=$D$156</formula>
    </cfRule>
    <cfRule type="expression" dxfId="1627" priority="1548">
      <formula>CH40=$D$155</formula>
    </cfRule>
    <cfRule type="expression" dxfId="1626" priority="1549">
      <formula>CH40=$D$154</formula>
    </cfRule>
  </conditionalFormatting>
  <conditionalFormatting sqref="CL40:CO40">
    <cfRule type="expression" dxfId="1625" priority="1544">
      <formula>CL40=$D$156</formula>
    </cfRule>
    <cfRule type="expression" dxfId="1624" priority="1545">
      <formula>CL40=$D$155</formula>
    </cfRule>
    <cfRule type="expression" dxfId="1623" priority="1546">
      <formula>CL40=$D$154</formula>
    </cfRule>
  </conditionalFormatting>
  <conditionalFormatting sqref="CL40:CO40">
    <cfRule type="expression" dxfId="1622" priority="1541">
      <formula>CL40=$D$156</formula>
    </cfRule>
    <cfRule type="expression" dxfId="1621" priority="1542">
      <formula>CL40=$D$155</formula>
    </cfRule>
    <cfRule type="expression" dxfId="1620" priority="1543">
      <formula>CL40=$D$154</formula>
    </cfRule>
  </conditionalFormatting>
  <conditionalFormatting sqref="CP40:CS40">
    <cfRule type="expression" dxfId="1619" priority="1538">
      <formula>CP40=$D$156</formula>
    </cfRule>
    <cfRule type="expression" dxfId="1618" priority="1539">
      <formula>CP40=$D$155</formula>
    </cfRule>
    <cfRule type="expression" dxfId="1617" priority="1540">
      <formula>CP40=$D$154</formula>
    </cfRule>
  </conditionalFormatting>
  <conditionalFormatting sqref="CP40:CS40">
    <cfRule type="expression" dxfId="1616" priority="1535">
      <formula>CP40=$D$156</formula>
    </cfRule>
    <cfRule type="expression" dxfId="1615" priority="1536">
      <formula>CP40=$D$155</formula>
    </cfRule>
    <cfRule type="expression" dxfId="1614" priority="1537">
      <formula>CP40=$D$154</formula>
    </cfRule>
  </conditionalFormatting>
  <conditionalFormatting sqref="CT40:CW40">
    <cfRule type="expression" dxfId="1613" priority="1532">
      <formula>CT40=$D$156</formula>
    </cfRule>
    <cfRule type="expression" dxfId="1612" priority="1533">
      <formula>CT40=$D$155</formula>
    </cfRule>
    <cfRule type="expression" dxfId="1611" priority="1534">
      <formula>CT40=$D$154</formula>
    </cfRule>
  </conditionalFormatting>
  <conditionalFormatting sqref="CT40:CW40">
    <cfRule type="expression" dxfId="1610" priority="1529">
      <formula>CT40=$D$156</formula>
    </cfRule>
    <cfRule type="expression" dxfId="1609" priority="1530">
      <formula>CT40=$D$155</formula>
    </cfRule>
    <cfRule type="expression" dxfId="1608" priority="1531">
      <formula>CT40=$D$154</formula>
    </cfRule>
  </conditionalFormatting>
  <conditionalFormatting sqref="CX40:DA40">
    <cfRule type="expression" dxfId="1607" priority="1526">
      <formula>CX40=$D$156</formula>
    </cfRule>
    <cfRule type="expression" dxfId="1606" priority="1527">
      <formula>CX40=$D$155</formula>
    </cfRule>
    <cfRule type="expression" dxfId="1605" priority="1528">
      <formula>CX40=$D$154</formula>
    </cfRule>
  </conditionalFormatting>
  <conditionalFormatting sqref="CX40:DA40">
    <cfRule type="expression" dxfId="1604" priority="1523">
      <formula>CX40=$D$156</formula>
    </cfRule>
    <cfRule type="expression" dxfId="1603" priority="1524">
      <formula>CX40=$D$155</formula>
    </cfRule>
    <cfRule type="expression" dxfId="1602" priority="1525">
      <formula>CX40=$D$154</formula>
    </cfRule>
  </conditionalFormatting>
  <conditionalFormatting sqref="LC7">
    <cfRule type="cellIs" dxfId="1601" priority="1522" operator="equal">
      <formula>0</formula>
    </cfRule>
  </conditionalFormatting>
  <conditionalFormatting sqref="LC66">
    <cfRule type="cellIs" dxfId="1600" priority="1509" operator="equal">
      <formula>0</formula>
    </cfRule>
  </conditionalFormatting>
  <conditionalFormatting sqref="LC16">
    <cfRule type="cellIs" dxfId="1599" priority="1521" operator="equal">
      <formula>0</formula>
    </cfRule>
  </conditionalFormatting>
  <conditionalFormatting sqref="LC17">
    <cfRule type="cellIs" dxfId="1598" priority="1520" operator="equal">
      <formula>0</formula>
    </cfRule>
  </conditionalFormatting>
  <conditionalFormatting sqref="LC18">
    <cfRule type="cellIs" dxfId="1597" priority="1519" operator="equal">
      <formula>0</formula>
    </cfRule>
  </conditionalFormatting>
  <conditionalFormatting sqref="LC19">
    <cfRule type="cellIs" dxfId="1596" priority="1518" operator="equal">
      <formula>0</formula>
    </cfRule>
  </conditionalFormatting>
  <conditionalFormatting sqref="LC24">
    <cfRule type="cellIs" dxfId="1595" priority="1517" operator="equal">
      <formula>0</formula>
    </cfRule>
  </conditionalFormatting>
  <conditionalFormatting sqref="LC29">
    <cfRule type="cellIs" dxfId="1594" priority="1516" operator="equal">
      <formula>0</formula>
    </cfRule>
  </conditionalFormatting>
  <conditionalFormatting sqref="LC34">
    <cfRule type="cellIs" dxfId="1593" priority="1515" operator="equal">
      <formula>0</formula>
    </cfRule>
  </conditionalFormatting>
  <conditionalFormatting sqref="LC40">
    <cfRule type="cellIs" dxfId="1592" priority="1514" operator="equal">
      <formula>0</formula>
    </cfRule>
  </conditionalFormatting>
  <conditionalFormatting sqref="LC45">
    <cfRule type="cellIs" dxfId="1591" priority="1513" operator="equal">
      <formula>0</formula>
    </cfRule>
  </conditionalFormatting>
  <conditionalFormatting sqref="LC50">
    <cfRule type="cellIs" dxfId="1590" priority="1512" operator="equal">
      <formula>0</formula>
    </cfRule>
  </conditionalFormatting>
  <conditionalFormatting sqref="LC56">
    <cfRule type="cellIs" dxfId="1589" priority="1511" operator="equal">
      <formula>0</formula>
    </cfRule>
  </conditionalFormatting>
  <conditionalFormatting sqref="LC61">
    <cfRule type="cellIs" dxfId="1588" priority="1510" operator="equal">
      <formula>0</formula>
    </cfRule>
  </conditionalFormatting>
  <conditionalFormatting sqref="LF119:LF1048576 LF1:LF5 LF16:LF22 LF24:LF27 LF29:LF32 LF34:LF38 LF40:LF43 LF45:LF48 LF50:LF54 LF56:LF59 LF61:LF64 LF66:LF68">
    <cfRule type="expression" priority="1508">
      <formula>CELL("protect", INDIRECT(ADDRESS(ROW(),COLUMN())))=1</formula>
    </cfRule>
  </conditionalFormatting>
  <conditionalFormatting sqref="LF15">
    <cfRule type="expression" priority="1507">
      <formula>CELL("protect", INDIRECT(ADDRESS(ROW(),COLUMN())))=1</formula>
    </cfRule>
  </conditionalFormatting>
  <conditionalFormatting sqref="LF23">
    <cfRule type="expression" priority="1506">
      <formula>CELL("protect", INDIRECT(ADDRESS(ROW(),COLUMN())))=1</formula>
    </cfRule>
  </conditionalFormatting>
  <conditionalFormatting sqref="LF28">
    <cfRule type="expression" priority="1505">
      <formula>CELL("protect", INDIRECT(ADDRESS(ROW(),COLUMN())))=1</formula>
    </cfRule>
  </conditionalFormatting>
  <conditionalFormatting sqref="LF33">
    <cfRule type="expression" priority="1504">
      <formula>CELL("protect", INDIRECT(ADDRESS(ROW(),COLUMN())))=1</formula>
    </cfRule>
  </conditionalFormatting>
  <conditionalFormatting sqref="LF39">
    <cfRule type="expression" priority="1503">
      <formula>CELL("protect", INDIRECT(ADDRESS(ROW(),COLUMN())))=1</formula>
    </cfRule>
  </conditionalFormatting>
  <conditionalFormatting sqref="LF44">
    <cfRule type="expression" priority="1502">
      <formula>CELL("protect", INDIRECT(ADDRESS(ROW(),COLUMN())))=1</formula>
    </cfRule>
  </conditionalFormatting>
  <conditionalFormatting sqref="LF49">
    <cfRule type="expression" priority="1501">
      <formula>CELL("protect", INDIRECT(ADDRESS(ROW(),COLUMN())))=1</formula>
    </cfRule>
  </conditionalFormatting>
  <conditionalFormatting sqref="LF55">
    <cfRule type="expression" priority="1500">
      <formula>CELL("protect", INDIRECT(ADDRESS(ROW(),COLUMN())))=1</formula>
    </cfRule>
  </conditionalFormatting>
  <conditionalFormatting sqref="LF60">
    <cfRule type="expression" priority="1499">
      <formula>CELL("protect", INDIRECT(ADDRESS(ROW(),COLUMN())))=1</formula>
    </cfRule>
  </conditionalFormatting>
  <conditionalFormatting sqref="LF65">
    <cfRule type="expression" priority="1498">
      <formula>CELL("protect", INDIRECT(ADDRESS(ROW(),COLUMN())))=1</formula>
    </cfRule>
  </conditionalFormatting>
  <conditionalFormatting sqref="CI16:CS19">
    <cfRule type="expression" dxfId="1587" priority="1495">
      <formula>CI16=$D$156</formula>
    </cfRule>
    <cfRule type="expression" dxfId="1586" priority="1496">
      <formula>CI16=$D$155</formula>
    </cfRule>
    <cfRule type="expression" dxfId="1585" priority="1497">
      <formula>CI16=$D$154</formula>
    </cfRule>
  </conditionalFormatting>
  <conditionalFormatting sqref="CT16:DD19">
    <cfRule type="expression" dxfId="1584" priority="1492">
      <formula>CT16=$D$156</formula>
    </cfRule>
    <cfRule type="expression" dxfId="1583" priority="1493">
      <formula>CT16=$D$155</formula>
    </cfRule>
    <cfRule type="expression" dxfId="1582" priority="1494">
      <formula>CT16=$D$154</formula>
    </cfRule>
  </conditionalFormatting>
  <conditionalFormatting sqref="DG16:DQ19">
    <cfRule type="expression" dxfId="1581" priority="1489">
      <formula>DG16=$D$156</formula>
    </cfRule>
    <cfRule type="expression" dxfId="1580" priority="1490">
      <formula>DG16=$D$155</formula>
    </cfRule>
    <cfRule type="expression" dxfId="1579" priority="1491">
      <formula>DG16=$D$154</formula>
    </cfRule>
  </conditionalFormatting>
  <conditionalFormatting sqref="DR16:EB19">
    <cfRule type="expression" dxfId="1578" priority="1486">
      <formula>DR16=$D$156</formula>
    </cfRule>
    <cfRule type="expression" dxfId="1577" priority="1487">
      <formula>DR16=$D$155</formula>
    </cfRule>
    <cfRule type="expression" dxfId="1576" priority="1488">
      <formula>DR16=$D$154</formula>
    </cfRule>
  </conditionalFormatting>
  <conditionalFormatting sqref="CQ16:DP19">
    <cfRule type="expression" dxfId="1575" priority="1483">
      <formula>CQ16=$D$156</formula>
    </cfRule>
    <cfRule type="expression" dxfId="1574" priority="1484">
      <formula>CQ16=$D$155</formula>
    </cfRule>
    <cfRule type="expression" dxfId="1573" priority="1485">
      <formula>CQ16=$D$154</formula>
    </cfRule>
  </conditionalFormatting>
  <conditionalFormatting sqref="FW16:GV19">
    <cfRule type="expression" dxfId="1572" priority="1480">
      <formula>FW16=$D$156</formula>
    </cfRule>
    <cfRule type="expression" dxfId="1571" priority="1481">
      <formula>FW16=$D$155</formula>
    </cfRule>
    <cfRule type="expression" dxfId="1570" priority="1482">
      <formula>FW16=$D$154</formula>
    </cfRule>
  </conditionalFormatting>
  <conditionalFormatting sqref="GY16:HX19">
    <cfRule type="expression" dxfId="1569" priority="1477">
      <formula>GY16=$D$156</formula>
    </cfRule>
    <cfRule type="expression" dxfId="1568" priority="1478">
      <formula>GY16=$D$155</formula>
    </cfRule>
    <cfRule type="expression" dxfId="1567" priority="1479">
      <formula>GY16=$D$154</formula>
    </cfRule>
  </conditionalFormatting>
  <conditionalFormatting sqref="IA16:IZ19">
    <cfRule type="expression" dxfId="1566" priority="1474">
      <formula>IA16=$D$156</formula>
    </cfRule>
    <cfRule type="expression" dxfId="1565" priority="1475">
      <formula>IA16=$D$155</formula>
    </cfRule>
    <cfRule type="expression" dxfId="1564" priority="1476">
      <formula>IA16=$D$154</formula>
    </cfRule>
  </conditionalFormatting>
  <conditionalFormatting sqref="JC16:KB19">
    <cfRule type="expression" dxfId="1563" priority="1471">
      <formula>JC16=$D$156</formula>
    </cfRule>
    <cfRule type="expression" dxfId="1562" priority="1472">
      <formula>JC16=$D$155</formula>
    </cfRule>
    <cfRule type="expression" dxfId="1561" priority="1473">
      <formula>JC16=$D$154</formula>
    </cfRule>
  </conditionalFormatting>
  <conditionalFormatting sqref="LH66">
    <cfRule type="expression" priority="986">
      <formula>CELL("protect", INDIRECT(ADDRESS(ROW(),COLUMN())))=1</formula>
    </cfRule>
  </conditionalFormatting>
  <conditionalFormatting sqref="KE16:KF19">
    <cfRule type="expression" dxfId="1560" priority="1468">
      <formula>KE16=$D$156</formula>
    </cfRule>
    <cfRule type="expression" dxfId="1559" priority="1469">
      <formula>KE16=$D$155</formula>
    </cfRule>
    <cfRule type="expression" dxfId="1558" priority="1470">
      <formula>KE16=$D$154</formula>
    </cfRule>
  </conditionalFormatting>
  <conditionalFormatting sqref="KI16:KJ19">
    <cfRule type="expression" dxfId="1557" priority="1465">
      <formula>KI16=$D$156</formula>
    </cfRule>
    <cfRule type="expression" dxfId="1556" priority="1466">
      <formula>KI16=$D$155</formula>
    </cfRule>
    <cfRule type="expression" dxfId="1555" priority="1467">
      <formula>KI16=$D$154</formula>
    </cfRule>
  </conditionalFormatting>
  <conditionalFormatting sqref="KI16:KJ19">
    <cfRule type="expression" dxfId="1554" priority="1462">
      <formula>KI16=$D$156</formula>
    </cfRule>
    <cfRule type="expression" dxfId="1553" priority="1463">
      <formula>KI16=$D$155</formula>
    </cfRule>
    <cfRule type="expression" dxfId="1552" priority="1464">
      <formula>KI16=$D$154</formula>
    </cfRule>
  </conditionalFormatting>
  <conditionalFormatting sqref="KM16:KN19">
    <cfRule type="expression" dxfId="1551" priority="1459">
      <formula>KM16=$D$156</formula>
    </cfRule>
    <cfRule type="expression" dxfId="1550" priority="1460">
      <formula>KM16=$D$155</formula>
    </cfRule>
    <cfRule type="expression" dxfId="1549" priority="1461">
      <formula>KM16=$D$154</formula>
    </cfRule>
  </conditionalFormatting>
  <conditionalFormatting sqref="KM16:KN19">
    <cfRule type="expression" dxfId="1548" priority="1456">
      <formula>KM16=$D$156</formula>
    </cfRule>
    <cfRule type="expression" dxfId="1547" priority="1457">
      <formula>KM16=$D$155</formula>
    </cfRule>
    <cfRule type="expression" dxfId="1546" priority="1458">
      <formula>KM16=$D$154</formula>
    </cfRule>
  </conditionalFormatting>
  <conditionalFormatting sqref="KQ16:KR19">
    <cfRule type="expression" dxfId="1545" priority="1453">
      <formula>KQ16=$D$156</formula>
    </cfRule>
    <cfRule type="expression" dxfId="1544" priority="1454">
      <formula>KQ16=$D$155</formula>
    </cfRule>
    <cfRule type="expression" dxfId="1543" priority="1455">
      <formula>KQ16=$D$154</formula>
    </cfRule>
  </conditionalFormatting>
  <conditionalFormatting sqref="KQ16:KR19">
    <cfRule type="expression" dxfId="1542" priority="1450">
      <formula>KQ16=$D$156</formula>
    </cfRule>
    <cfRule type="expression" dxfId="1541" priority="1451">
      <formula>KQ16=$D$155</formula>
    </cfRule>
    <cfRule type="expression" dxfId="1540" priority="1452">
      <formula>KQ16=$D$154</formula>
    </cfRule>
  </conditionalFormatting>
  <conditionalFormatting sqref="KU16:KV19">
    <cfRule type="expression" dxfId="1539" priority="1447">
      <formula>KU16=$D$156</formula>
    </cfRule>
    <cfRule type="expression" dxfId="1538" priority="1448">
      <formula>KU16=$D$155</formula>
    </cfRule>
    <cfRule type="expression" dxfId="1537" priority="1449">
      <formula>KU16=$D$154</formula>
    </cfRule>
  </conditionalFormatting>
  <conditionalFormatting sqref="KU16:KV19">
    <cfRule type="expression" dxfId="1536" priority="1444">
      <formula>KU16=$D$156</formula>
    </cfRule>
    <cfRule type="expression" dxfId="1535" priority="1445">
      <formula>KU16=$D$155</formula>
    </cfRule>
    <cfRule type="expression" dxfId="1534" priority="1446">
      <formula>KU16=$D$154</formula>
    </cfRule>
  </conditionalFormatting>
  <conditionalFormatting sqref="KY16:KZ19">
    <cfRule type="expression" dxfId="1533" priority="1441">
      <formula>KY16=$D$156</formula>
    </cfRule>
    <cfRule type="expression" dxfId="1532" priority="1442">
      <formula>KY16=$D$155</formula>
    </cfRule>
    <cfRule type="expression" dxfId="1531" priority="1443">
      <formula>KY16=$D$154</formula>
    </cfRule>
  </conditionalFormatting>
  <conditionalFormatting sqref="KY16:KZ19">
    <cfRule type="expression" dxfId="1530" priority="1438">
      <formula>KY16=$D$156</formula>
    </cfRule>
    <cfRule type="expression" dxfId="1529" priority="1439">
      <formula>KY16=$D$155</formula>
    </cfRule>
    <cfRule type="expression" dxfId="1528" priority="1440">
      <formula>KY16=$D$154</formula>
    </cfRule>
  </conditionalFormatting>
  <conditionalFormatting sqref="LH16:LH19">
    <cfRule type="expression" priority="1437">
      <formula>CELL("protect", INDIRECT(ADDRESS(ROW(),COLUMN())))=1</formula>
    </cfRule>
  </conditionalFormatting>
  <conditionalFormatting sqref="AI24:AJ24">
    <cfRule type="expression" dxfId="1527" priority="1434">
      <formula>AI24=$D$156</formula>
    </cfRule>
    <cfRule type="expression" dxfId="1526" priority="1435">
      <formula>AI24=$D$155</formula>
    </cfRule>
    <cfRule type="expression" dxfId="1525" priority="1436">
      <formula>AI24=$D$154</formula>
    </cfRule>
  </conditionalFormatting>
  <conditionalFormatting sqref="AM24:BI24">
    <cfRule type="expression" dxfId="1524" priority="1431">
      <formula>AM24=$D$156</formula>
    </cfRule>
    <cfRule type="expression" dxfId="1523" priority="1432">
      <formula>AM24=$D$155</formula>
    </cfRule>
    <cfRule type="expression" dxfId="1522" priority="1433">
      <formula>AM24=$D$154</formula>
    </cfRule>
  </conditionalFormatting>
  <conditionalFormatting sqref="BJ24:BL24">
    <cfRule type="expression" dxfId="1521" priority="1428">
      <formula>BJ24=$D$156</formula>
    </cfRule>
    <cfRule type="expression" dxfId="1520" priority="1429">
      <formula>BJ24=$D$155</formula>
    </cfRule>
    <cfRule type="expression" dxfId="1519" priority="1430">
      <formula>BJ24=$D$154</formula>
    </cfRule>
  </conditionalFormatting>
  <conditionalFormatting sqref="BK24:BL24">
    <cfRule type="expression" dxfId="1518" priority="1425">
      <formula>BK24=$D$156</formula>
    </cfRule>
    <cfRule type="expression" dxfId="1517" priority="1426">
      <formula>BK24=$D$155</formula>
    </cfRule>
    <cfRule type="expression" dxfId="1516" priority="1427">
      <formula>BK24=$D$154</formula>
    </cfRule>
  </conditionalFormatting>
  <conditionalFormatting sqref="J29:X29">
    <cfRule type="expression" dxfId="1515" priority="1422">
      <formula>J29=$D$156</formula>
    </cfRule>
    <cfRule type="expression" dxfId="1514" priority="1423">
      <formula>J29=$D$155</formula>
    </cfRule>
    <cfRule type="expression" dxfId="1513" priority="1424">
      <formula>J29=$D$154</formula>
    </cfRule>
  </conditionalFormatting>
  <conditionalFormatting sqref="LH29:LY29">
    <cfRule type="expression" priority="1421">
      <formula>CELL("protect", INDIRECT(ADDRESS(ROW(),COLUMN())))=1</formula>
    </cfRule>
  </conditionalFormatting>
  <conditionalFormatting sqref="AL34:AS34">
    <cfRule type="expression" dxfId="1512" priority="1418">
      <formula>AL34=$D$156</formula>
    </cfRule>
    <cfRule type="expression" dxfId="1511" priority="1419">
      <formula>AL34=$D$155</formula>
    </cfRule>
    <cfRule type="expression" dxfId="1510" priority="1420">
      <formula>AL34=$D$154</formula>
    </cfRule>
  </conditionalFormatting>
  <conditionalFormatting sqref="J34:AG34">
    <cfRule type="expression" dxfId="1509" priority="1415">
      <formula>J34=$D$156</formula>
    </cfRule>
    <cfRule type="expression" dxfId="1508" priority="1416">
      <formula>J34=$D$155</formula>
    </cfRule>
    <cfRule type="expression" dxfId="1507" priority="1417">
      <formula>J34=$D$154</formula>
    </cfRule>
  </conditionalFormatting>
  <conditionalFormatting sqref="AX34:BE34">
    <cfRule type="expression" dxfId="1506" priority="1412">
      <formula>AX34=$D$156</formula>
    </cfRule>
    <cfRule type="expression" dxfId="1505" priority="1413">
      <formula>AX34=$D$155</formula>
    </cfRule>
    <cfRule type="expression" dxfId="1504" priority="1414">
      <formula>AX34=$D$154</formula>
    </cfRule>
  </conditionalFormatting>
  <conditionalFormatting sqref="AT34:AW34">
    <cfRule type="expression" dxfId="1503" priority="1409">
      <formula>AT34=$D$156</formula>
    </cfRule>
    <cfRule type="expression" dxfId="1502" priority="1410">
      <formula>AT34=$D$155</formula>
    </cfRule>
    <cfRule type="expression" dxfId="1501" priority="1411">
      <formula>AT34=$D$154</formula>
    </cfRule>
  </conditionalFormatting>
  <conditionalFormatting sqref="AH34:AK34">
    <cfRule type="expression" dxfId="1500" priority="1406">
      <formula>AH34=$D$156</formula>
    </cfRule>
    <cfRule type="expression" dxfId="1499" priority="1407">
      <formula>AH34=$D$155</formula>
    </cfRule>
    <cfRule type="expression" dxfId="1498" priority="1408">
      <formula>AH34=$D$154</formula>
    </cfRule>
  </conditionalFormatting>
  <conditionalFormatting sqref="AI34:AJ34">
    <cfRule type="expression" dxfId="1497" priority="1403">
      <formula>AI34=$D$156</formula>
    </cfRule>
    <cfRule type="expression" dxfId="1496" priority="1404">
      <formula>AI34=$D$155</formula>
    </cfRule>
    <cfRule type="expression" dxfId="1495" priority="1405">
      <formula>AI34=$D$154</formula>
    </cfRule>
  </conditionalFormatting>
  <conditionalFormatting sqref="AM34:BE34">
    <cfRule type="expression" dxfId="1494" priority="1400">
      <formula>AM34=$D$156</formula>
    </cfRule>
    <cfRule type="expression" dxfId="1493" priority="1401">
      <formula>AM34=$D$155</formula>
    </cfRule>
    <cfRule type="expression" dxfId="1492" priority="1402">
      <formula>AM34=$D$154</formula>
    </cfRule>
  </conditionalFormatting>
  <conditionalFormatting sqref="LH34:NF34">
    <cfRule type="expression" priority="1399">
      <formula>CELL("protect", INDIRECT(ADDRESS(ROW(),COLUMN())))=1</formula>
    </cfRule>
  </conditionalFormatting>
  <conditionalFormatting sqref="J40:Q40">
    <cfRule type="expression" dxfId="1491" priority="1396">
      <formula>J40=$D$156</formula>
    </cfRule>
    <cfRule type="expression" dxfId="1490" priority="1397">
      <formula>J40=$D$155</formula>
    </cfRule>
    <cfRule type="expression" dxfId="1489" priority="1398">
      <formula>J40=$D$154</formula>
    </cfRule>
  </conditionalFormatting>
  <conditionalFormatting sqref="R40:U40">
    <cfRule type="expression" dxfId="1488" priority="1393">
      <formula>R40=$D$156</formula>
    </cfRule>
    <cfRule type="expression" dxfId="1487" priority="1394">
      <formula>R40=$D$155</formula>
    </cfRule>
    <cfRule type="expression" dxfId="1486" priority="1395">
      <formula>R40=$D$154</formula>
    </cfRule>
  </conditionalFormatting>
  <conditionalFormatting sqref="V40:Y40">
    <cfRule type="expression" dxfId="1485" priority="1390">
      <formula>V40=$D$156</formula>
    </cfRule>
    <cfRule type="expression" dxfId="1484" priority="1391">
      <formula>V40=$D$155</formula>
    </cfRule>
    <cfRule type="expression" dxfId="1483" priority="1392">
      <formula>V40=$D$154</formula>
    </cfRule>
  </conditionalFormatting>
  <conditionalFormatting sqref="Z40:AC40">
    <cfRule type="expression" dxfId="1482" priority="1387">
      <formula>Z40=$D$156</formula>
    </cfRule>
    <cfRule type="expression" dxfId="1481" priority="1388">
      <formula>Z40=$D$155</formula>
    </cfRule>
    <cfRule type="expression" dxfId="1480" priority="1389">
      <formula>Z40=$D$154</formula>
    </cfRule>
  </conditionalFormatting>
  <conditionalFormatting sqref="AD40:AG40">
    <cfRule type="expression" dxfId="1479" priority="1384">
      <formula>AD40=$D$156</formula>
    </cfRule>
    <cfRule type="expression" dxfId="1478" priority="1385">
      <formula>AD40=$D$155</formula>
    </cfRule>
    <cfRule type="expression" dxfId="1477" priority="1386">
      <formula>AD40=$D$154</formula>
    </cfRule>
  </conditionalFormatting>
  <conditionalFormatting sqref="AL40:AS40">
    <cfRule type="expression" dxfId="1476" priority="1381">
      <formula>AL40=$D$156</formula>
    </cfRule>
    <cfRule type="expression" dxfId="1475" priority="1382">
      <formula>AL40=$D$155</formula>
    </cfRule>
    <cfRule type="expression" dxfId="1474" priority="1383">
      <formula>AL40=$D$154</formula>
    </cfRule>
  </conditionalFormatting>
  <conditionalFormatting sqref="AX40:BD40">
    <cfRule type="expression" dxfId="1473" priority="1378">
      <formula>AX40=$D$156</formula>
    </cfRule>
    <cfRule type="expression" dxfId="1472" priority="1379">
      <formula>AX40=$D$155</formula>
    </cfRule>
    <cfRule type="expression" dxfId="1471" priority="1380">
      <formula>AX40=$D$154</formula>
    </cfRule>
  </conditionalFormatting>
  <conditionalFormatting sqref="AT40:AW40">
    <cfRule type="expression" dxfId="1470" priority="1375">
      <formula>AT40=$D$156</formula>
    </cfRule>
    <cfRule type="expression" dxfId="1469" priority="1376">
      <formula>AT40=$D$155</formula>
    </cfRule>
    <cfRule type="expression" dxfId="1468" priority="1377">
      <formula>AT40=$D$154</formula>
    </cfRule>
  </conditionalFormatting>
  <conditionalFormatting sqref="AH40:AK40">
    <cfRule type="expression" dxfId="1467" priority="1372">
      <formula>AH40=$D$156</formula>
    </cfRule>
    <cfRule type="expression" dxfId="1466" priority="1373">
      <formula>AH40=$D$155</formula>
    </cfRule>
    <cfRule type="expression" dxfId="1465" priority="1374">
      <formula>AH40=$D$154</formula>
    </cfRule>
  </conditionalFormatting>
  <conditionalFormatting sqref="AL40:AS40">
    <cfRule type="expression" dxfId="1464" priority="1369">
      <formula>AL40=$D$156</formula>
    </cfRule>
    <cfRule type="expression" dxfId="1463" priority="1370">
      <formula>AL40=$D$155</formula>
    </cfRule>
    <cfRule type="expression" dxfId="1462" priority="1371">
      <formula>AL40=$D$154</formula>
    </cfRule>
  </conditionalFormatting>
  <conditionalFormatting sqref="J40:AG40">
    <cfRule type="expression" dxfId="1461" priority="1366">
      <formula>J40=$D$156</formula>
    </cfRule>
    <cfRule type="expression" dxfId="1460" priority="1367">
      <formula>J40=$D$155</formula>
    </cfRule>
    <cfRule type="expression" dxfId="1459" priority="1368">
      <formula>J40=$D$154</formula>
    </cfRule>
  </conditionalFormatting>
  <conditionalFormatting sqref="AX40:BD40">
    <cfRule type="expression" dxfId="1458" priority="1363">
      <formula>AX40=$D$156</formula>
    </cfRule>
    <cfRule type="expression" dxfId="1457" priority="1364">
      <formula>AX40=$D$155</formula>
    </cfRule>
    <cfRule type="expression" dxfId="1456" priority="1365">
      <formula>AX40=$D$154</formula>
    </cfRule>
  </conditionalFormatting>
  <conditionalFormatting sqref="AT40:AW40">
    <cfRule type="expression" dxfId="1455" priority="1360">
      <formula>AT40=$D$156</formula>
    </cfRule>
    <cfRule type="expression" dxfId="1454" priority="1361">
      <formula>AT40=$D$155</formula>
    </cfRule>
    <cfRule type="expression" dxfId="1453" priority="1362">
      <formula>AT40=$D$154</formula>
    </cfRule>
  </conditionalFormatting>
  <conditionalFormatting sqref="AH40:AK40">
    <cfRule type="expression" dxfId="1452" priority="1357">
      <formula>AH40=$D$156</formula>
    </cfRule>
    <cfRule type="expression" dxfId="1451" priority="1358">
      <formula>AH40=$D$155</formula>
    </cfRule>
    <cfRule type="expression" dxfId="1450" priority="1359">
      <formula>AH40=$D$154</formula>
    </cfRule>
  </conditionalFormatting>
  <conditionalFormatting sqref="AI40:AJ40">
    <cfRule type="expression" dxfId="1449" priority="1354">
      <formula>AI40=$D$156</formula>
    </cfRule>
    <cfRule type="expression" dxfId="1448" priority="1355">
      <formula>AI40=$D$155</formula>
    </cfRule>
    <cfRule type="expression" dxfId="1447" priority="1356">
      <formula>AI40=$D$154</formula>
    </cfRule>
  </conditionalFormatting>
  <conditionalFormatting sqref="AM40:BD40">
    <cfRule type="expression" dxfId="1446" priority="1351">
      <formula>AM40=$D$156</formula>
    </cfRule>
    <cfRule type="expression" dxfId="1445" priority="1352">
      <formula>AM40=$D$155</formula>
    </cfRule>
    <cfRule type="expression" dxfId="1444" priority="1353">
      <formula>AM40=$D$154</formula>
    </cfRule>
  </conditionalFormatting>
  <conditionalFormatting sqref="BG40:BH40">
    <cfRule type="expression" dxfId="1443" priority="1348">
      <formula>BG40=$D$156</formula>
    </cfRule>
    <cfRule type="expression" dxfId="1442" priority="1349">
      <formula>BG40=$D$155</formula>
    </cfRule>
    <cfRule type="expression" dxfId="1441" priority="1350">
      <formula>BG40=$D$154</formula>
    </cfRule>
  </conditionalFormatting>
  <conditionalFormatting sqref="BG40:BH40">
    <cfRule type="expression" dxfId="1440" priority="1345">
      <formula>BG40=$D$156</formula>
    </cfRule>
    <cfRule type="expression" dxfId="1439" priority="1346">
      <formula>BG40=$D$155</formula>
    </cfRule>
    <cfRule type="expression" dxfId="1438" priority="1347">
      <formula>BG40=$D$154</formula>
    </cfRule>
  </conditionalFormatting>
  <conditionalFormatting sqref="BG40:BH40">
    <cfRule type="expression" dxfId="1437" priority="1342">
      <formula>BG40=$D$156</formula>
    </cfRule>
    <cfRule type="expression" dxfId="1436" priority="1343">
      <formula>BG40=$D$155</formula>
    </cfRule>
    <cfRule type="expression" dxfId="1435" priority="1344">
      <formula>BG40=$D$154</formula>
    </cfRule>
  </conditionalFormatting>
  <conditionalFormatting sqref="BG40:BH40">
    <cfRule type="expression" dxfId="1434" priority="1339">
      <formula>BG40=$D$156</formula>
    </cfRule>
    <cfRule type="expression" dxfId="1433" priority="1340">
      <formula>BG40=$D$155</formula>
    </cfRule>
    <cfRule type="expression" dxfId="1432" priority="1341">
      <formula>BG40=$D$154</formula>
    </cfRule>
  </conditionalFormatting>
  <conditionalFormatting sqref="BK40:BL40">
    <cfRule type="expression" dxfId="1431" priority="1336">
      <formula>BK40=$D$156</formula>
    </cfRule>
    <cfRule type="expression" dxfId="1430" priority="1337">
      <formula>BK40=$D$155</formula>
    </cfRule>
    <cfRule type="expression" dxfId="1429" priority="1338">
      <formula>BK40=$D$154</formula>
    </cfRule>
  </conditionalFormatting>
  <conditionalFormatting sqref="BK40:BL40">
    <cfRule type="expression" dxfId="1428" priority="1333">
      <formula>BK40=$D$156</formula>
    </cfRule>
    <cfRule type="expression" dxfId="1427" priority="1334">
      <formula>BK40=$D$155</formula>
    </cfRule>
    <cfRule type="expression" dxfId="1426" priority="1335">
      <formula>BK40=$D$154</formula>
    </cfRule>
  </conditionalFormatting>
  <conditionalFormatting sqref="BK40:BL40">
    <cfRule type="expression" dxfId="1425" priority="1330">
      <formula>BK40=$D$156</formula>
    </cfRule>
    <cfRule type="expression" dxfId="1424" priority="1331">
      <formula>BK40=$D$155</formula>
    </cfRule>
    <cfRule type="expression" dxfId="1423" priority="1332">
      <formula>BK40=$D$154</formula>
    </cfRule>
  </conditionalFormatting>
  <conditionalFormatting sqref="BK40:BL40">
    <cfRule type="expression" dxfId="1422" priority="1327">
      <formula>BK40=$D$156</formula>
    </cfRule>
    <cfRule type="expression" dxfId="1421" priority="1328">
      <formula>BK40=$D$155</formula>
    </cfRule>
    <cfRule type="expression" dxfId="1420" priority="1329">
      <formula>BK40=$D$154</formula>
    </cfRule>
  </conditionalFormatting>
  <conditionalFormatting sqref="BO40:BP40">
    <cfRule type="expression" dxfId="1419" priority="1324">
      <formula>BO40=$D$156</formula>
    </cfRule>
    <cfRule type="expression" dxfId="1418" priority="1325">
      <formula>BO40=$D$155</formula>
    </cfRule>
    <cfRule type="expression" dxfId="1417" priority="1326">
      <formula>BO40=$D$154</formula>
    </cfRule>
  </conditionalFormatting>
  <conditionalFormatting sqref="BO40:BP40">
    <cfRule type="expression" dxfId="1416" priority="1321">
      <formula>BO40=$D$156</formula>
    </cfRule>
    <cfRule type="expression" dxfId="1415" priority="1322">
      <formula>BO40=$D$155</formula>
    </cfRule>
    <cfRule type="expression" dxfId="1414" priority="1323">
      <formula>BO40=$D$154</formula>
    </cfRule>
  </conditionalFormatting>
  <conditionalFormatting sqref="BO40:BP40">
    <cfRule type="expression" dxfId="1413" priority="1318">
      <formula>BO40=$D$156</formula>
    </cfRule>
    <cfRule type="expression" dxfId="1412" priority="1319">
      <formula>BO40=$D$155</formula>
    </cfRule>
    <cfRule type="expression" dxfId="1411" priority="1320">
      <formula>BO40=$D$154</formula>
    </cfRule>
  </conditionalFormatting>
  <conditionalFormatting sqref="BO40:BP40">
    <cfRule type="expression" dxfId="1410" priority="1315">
      <formula>BO40=$D$156</formula>
    </cfRule>
    <cfRule type="expression" dxfId="1409" priority="1316">
      <formula>BO40=$D$155</formula>
    </cfRule>
    <cfRule type="expression" dxfId="1408" priority="1317">
      <formula>BO40=$D$154</formula>
    </cfRule>
  </conditionalFormatting>
  <conditionalFormatting sqref="BS40:BT40">
    <cfRule type="expression" dxfId="1407" priority="1312">
      <formula>BS40=$D$156</formula>
    </cfRule>
    <cfRule type="expression" dxfId="1406" priority="1313">
      <formula>BS40=$D$155</formula>
    </cfRule>
    <cfRule type="expression" dxfId="1405" priority="1314">
      <formula>BS40=$D$154</formula>
    </cfRule>
  </conditionalFormatting>
  <conditionalFormatting sqref="BS40:BT40">
    <cfRule type="expression" dxfId="1404" priority="1309">
      <formula>BS40=$D$156</formula>
    </cfRule>
    <cfRule type="expression" dxfId="1403" priority="1310">
      <formula>BS40=$D$155</formula>
    </cfRule>
    <cfRule type="expression" dxfId="1402" priority="1311">
      <formula>BS40=$D$154</formula>
    </cfRule>
  </conditionalFormatting>
  <conditionalFormatting sqref="BS40:BT40">
    <cfRule type="expression" dxfId="1401" priority="1306">
      <formula>BS40=$D$156</formula>
    </cfRule>
    <cfRule type="expression" dxfId="1400" priority="1307">
      <formula>BS40=$D$155</formula>
    </cfRule>
    <cfRule type="expression" dxfId="1399" priority="1308">
      <formula>BS40=$D$154</formula>
    </cfRule>
  </conditionalFormatting>
  <conditionalFormatting sqref="BS40:BT40">
    <cfRule type="expression" dxfId="1398" priority="1303">
      <formula>BS40=$D$156</formula>
    </cfRule>
    <cfRule type="expression" dxfId="1397" priority="1304">
      <formula>BS40=$D$155</formula>
    </cfRule>
    <cfRule type="expression" dxfId="1396" priority="1305">
      <formula>BS40=$D$154</formula>
    </cfRule>
  </conditionalFormatting>
  <conditionalFormatting sqref="BW40:BX40">
    <cfRule type="expression" dxfId="1395" priority="1300">
      <formula>BW40=$D$156</formula>
    </cfRule>
    <cfRule type="expression" dxfId="1394" priority="1301">
      <formula>BW40=$D$155</formula>
    </cfRule>
    <cfRule type="expression" dxfId="1393" priority="1302">
      <formula>BW40=$D$154</formula>
    </cfRule>
  </conditionalFormatting>
  <conditionalFormatting sqref="BW40:BX40">
    <cfRule type="expression" dxfId="1392" priority="1297">
      <formula>BW40=$D$156</formula>
    </cfRule>
    <cfRule type="expression" dxfId="1391" priority="1298">
      <formula>BW40=$D$155</formula>
    </cfRule>
    <cfRule type="expression" dxfId="1390" priority="1299">
      <formula>BW40=$D$154</formula>
    </cfRule>
  </conditionalFormatting>
  <conditionalFormatting sqref="BW40:BX40">
    <cfRule type="expression" dxfId="1389" priority="1294">
      <formula>BW40=$D$156</formula>
    </cfRule>
    <cfRule type="expression" dxfId="1388" priority="1295">
      <formula>BW40=$D$155</formula>
    </cfRule>
    <cfRule type="expression" dxfId="1387" priority="1296">
      <formula>BW40=$D$154</formula>
    </cfRule>
  </conditionalFormatting>
  <conditionalFormatting sqref="BW40:BX40">
    <cfRule type="expression" dxfId="1386" priority="1291">
      <formula>BW40=$D$156</formula>
    </cfRule>
    <cfRule type="expression" dxfId="1385" priority="1292">
      <formula>BW40=$D$155</formula>
    </cfRule>
    <cfRule type="expression" dxfId="1384" priority="1293">
      <formula>BW40=$D$154</formula>
    </cfRule>
  </conditionalFormatting>
  <conditionalFormatting sqref="BW40:BX40">
    <cfRule type="expression" dxfId="1383" priority="1288">
      <formula>BW40=$D$156</formula>
    </cfRule>
    <cfRule type="expression" dxfId="1382" priority="1289">
      <formula>BW40=$D$155</formula>
    </cfRule>
    <cfRule type="expression" dxfId="1381" priority="1290">
      <formula>BW40=$D$154</formula>
    </cfRule>
  </conditionalFormatting>
  <conditionalFormatting sqref="CA40:CB40">
    <cfRule type="expression" dxfId="1380" priority="1285">
      <formula>CA40=$D$156</formula>
    </cfRule>
    <cfRule type="expression" dxfId="1379" priority="1286">
      <formula>CA40=$D$155</formula>
    </cfRule>
    <cfRule type="expression" dxfId="1378" priority="1287">
      <formula>CA40=$D$154</formula>
    </cfRule>
  </conditionalFormatting>
  <conditionalFormatting sqref="CA40:CB40">
    <cfRule type="expression" dxfId="1377" priority="1282">
      <formula>CA40=$D$156</formula>
    </cfRule>
    <cfRule type="expression" dxfId="1376" priority="1283">
      <formula>CA40=$D$155</formula>
    </cfRule>
    <cfRule type="expression" dxfId="1375" priority="1284">
      <formula>CA40=$D$154</formula>
    </cfRule>
  </conditionalFormatting>
  <conditionalFormatting sqref="CA40:CB40">
    <cfRule type="expression" dxfId="1374" priority="1279">
      <formula>CA40=$D$156</formula>
    </cfRule>
    <cfRule type="expression" dxfId="1373" priority="1280">
      <formula>CA40=$D$155</formula>
    </cfRule>
    <cfRule type="expression" dxfId="1372" priority="1281">
      <formula>CA40=$D$154</formula>
    </cfRule>
  </conditionalFormatting>
  <conditionalFormatting sqref="CA40:CB40">
    <cfRule type="expression" dxfId="1371" priority="1276">
      <formula>CA40=$D$156</formula>
    </cfRule>
    <cfRule type="expression" dxfId="1370" priority="1277">
      <formula>CA40=$D$155</formula>
    </cfRule>
    <cfRule type="expression" dxfId="1369" priority="1278">
      <formula>CA40=$D$154</formula>
    </cfRule>
  </conditionalFormatting>
  <conditionalFormatting sqref="CA40:CB40">
    <cfRule type="expression" dxfId="1368" priority="1273">
      <formula>CA40=$D$156</formula>
    </cfRule>
    <cfRule type="expression" dxfId="1367" priority="1274">
      <formula>CA40=$D$155</formula>
    </cfRule>
    <cfRule type="expression" dxfId="1366" priority="1275">
      <formula>CA40=$D$154</formula>
    </cfRule>
  </conditionalFormatting>
  <conditionalFormatting sqref="CE40:CF40">
    <cfRule type="expression" dxfId="1365" priority="1270">
      <formula>CE40=$D$156</formula>
    </cfRule>
    <cfRule type="expression" dxfId="1364" priority="1271">
      <formula>CE40=$D$155</formula>
    </cfRule>
    <cfRule type="expression" dxfId="1363" priority="1272">
      <formula>CE40=$D$154</formula>
    </cfRule>
  </conditionalFormatting>
  <conditionalFormatting sqref="CE40:CF40">
    <cfRule type="expression" dxfId="1362" priority="1267">
      <formula>CE40=$D$156</formula>
    </cfRule>
    <cfRule type="expression" dxfId="1361" priority="1268">
      <formula>CE40=$D$155</formula>
    </cfRule>
    <cfRule type="expression" dxfId="1360" priority="1269">
      <formula>CE40=$D$154</formula>
    </cfRule>
  </conditionalFormatting>
  <conditionalFormatting sqref="CE40:CF40">
    <cfRule type="expression" dxfId="1359" priority="1264">
      <formula>CE40=$D$156</formula>
    </cfRule>
    <cfRule type="expression" dxfId="1358" priority="1265">
      <formula>CE40=$D$155</formula>
    </cfRule>
    <cfRule type="expression" dxfId="1357" priority="1266">
      <formula>CE40=$D$154</formula>
    </cfRule>
  </conditionalFormatting>
  <conditionalFormatting sqref="CE40:CF40">
    <cfRule type="expression" dxfId="1356" priority="1261">
      <formula>CE40=$D$156</formula>
    </cfRule>
    <cfRule type="expression" dxfId="1355" priority="1262">
      <formula>CE40=$D$155</formula>
    </cfRule>
    <cfRule type="expression" dxfId="1354" priority="1263">
      <formula>CE40=$D$154</formula>
    </cfRule>
  </conditionalFormatting>
  <conditionalFormatting sqref="CE40:CF40">
    <cfRule type="expression" dxfId="1353" priority="1258">
      <formula>CE40=$D$156</formula>
    </cfRule>
    <cfRule type="expression" dxfId="1352" priority="1259">
      <formula>CE40=$D$155</formula>
    </cfRule>
    <cfRule type="expression" dxfId="1351" priority="1260">
      <formula>CE40=$D$154</formula>
    </cfRule>
  </conditionalFormatting>
  <conditionalFormatting sqref="CI40:CJ40">
    <cfRule type="expression" dxfId="1350" priority="1255">
      <formula>CI40=$D$156</formula>
    </cfRule>
    <cfRule type="expression" dxfId="1349" priority="1256">
      <formula>CI40=$D$155</formula>
    </cfRule>
    <cfRule type="expression" dxfId="1348" priority="1257">
      <formula>CI40=$D$154</formula>
    </cfRule>
  </conditionalFormatting>
  <conditionalFormatting sqref="CI40:CJ40">
    <cfRule type="expression" dxfId="1347" priority="1252">
      <formula>CI40=$D$156</formula>
    </cfRule>
    <cfRule type="expression" dxfId="1346" priority="1253">
      <formula>CI40=$D$155</formula>
    </cfRule>
    <cfRule type="expression" dxfId="1345" priority="1254">
      <formula>CI40=$D$154</formula>
    </cfRule>
  </conditionalFormatting>
  <conditionalFormatting sqref="CI40:CJ40">
    <cfRule type="expression" dxfId="1344" priority="1249">
      <formula>CI40=$D$156</formula>
    </cfRule>
    <cfRule type="expression" dxfId="1343" priority="1250">
      <formula>CI40=$D$155</formula>
    </cfRule>
    <cfRule type="expression" dxfId="1342" priority="1251">
      <formula>CI40=$D$154</formula>
    </cfRule>
  </conditionalFormatting>
  <conditionalFormatting sqref="CI40:CJ40">
    <cfRule type="expression" dxfId="1341" priority="1246">
      <formula>CI40=$D$156</formula>
    </cfRule>
    <cfRule type="expression" dxfId="1340" priority="1247">
      <formula>CI40=$D$155</formula>
    </cfRule>
    <cfRule type="expression" dxfId="1339" priority="1248">
      <formula>CI40=$D$154</formula>
    </cfRule>
  </conditionalFormatting>
  <conditionalFormatting sqref="CI40:CJ40">
    <cfRule type="expression" dxfId="1338" priority="1243">
      <formula>CI40=$D$156</formula>
    </cfRule>
    <cfRule type="expression" dxfId="1337" priority="1244">
      <formula>CI40=$D$155</formula>
    </cfRule>
    <cfRule type="expression" dxfId="1336" priority="1245">
      <formula>CI40=$D$154</formula>
    </cfRule>
  </conditionalFormatting>
  <conditionalFormatting sqref="CM40:CN40">
    <cfRule type="expression" dxfId="1335" priority="1240">
      <formula>CM40=$D$156</formula>
    </cfRule>
    <cfRule type="expression" dxfId="1334" priority="1241">
      <formula>CM40=$D$155</formula>
    </cfRule>
    <cfRule type="expression" dxfId="1333" priority="1242">
      <formula>CM40=$D$154</formula>
    </cfRule>
  </conditionalFormatting>
  <conditionalFormatting sqref="CM40:CN40">
    <cfRule type="expression" dxfId="1332" priority="1237">
      <formula>CM40=$D$156</formula>
    </cfRule>
    <cfRule type="expression" dxfId="1331" priority="1238">
      <formula>CM40=$D$155</formula>
    </cfRule>
    <cfRule type="expression" dxfId="1330" priority="1239">
      <formula>CM40=$D$154</formula>
    </cfRule>
  </conditionalFormatting>
  <conditionalFormatting sqref="CM40:CN40">
    <cfRule type="expression" dxfId="1329" priority="1234">
      <formula>CM40=$D$156</formula>
    </cfRule>
    <cfRule type="expression" dxfId="1328" priority="1235">
      <formula>CM40=$D$155</formula>
    </cfRule>
    <cfRule type="expression" dxfId="1327" priority="1236">
      <formula>CM40=$D$154</formula>
    </cfRule>
  </conditionalFormatting>
  <conditionalFormatting sqref="CM40:CN40">
    <cfRule type="expression" dxfId="1326" priority="1231">
      <formula>CM40=$D$156</formula>
    </cfRule>
    <cfRule type="expression" dxfId="1325" priority="1232">
      <formula>CM40=$D$155</formula>
    </cfRule>
    <cfRule type="expression" dxfId="1324" priority="1233">
      <formula>CM40=$D$154</formula>
    </cfRule>
  </conditionalFormatting>
  <conditionalFormatting sqref="CM40:CN40">
    <cfRule type="expression" dxfId="1323" priority="1228">
      <formula>CM40=$D$156</formula>
    </cfRule>
    <cfRule type="expression" dxfId="1322" priority="1229">
      <formula>CM40=$D$155</formula>
    </cfRule>
    <cfRule type="expression" dxfId="1321" priority="1230">
      <formula>CM40=$D$154</formula>
    </cfRule>
  </conditionalFormatting>
  <conditionalFormatting sqref="CQ40:CR40">
    <cfRule type="expression" dxfId="1320" priority="1225">
      <formula>CQ40=$D$156</formula>
    </cfRule>
    <cfRule type="expression" dxfId="1319" priority="1226">
      <formula>CQ40=$D$155</formula>
    </cfRule>
    <cfRule type="expression" dxfId="1318" priority="1227">
      <formula>CQ40=$D$154</formula>
    </cfRule>
  </conditionalFormatting>
  <conditionalFormatting sqref="CQ40:CR40">
    <cfRule type="expression" dxfId="1317" priority="1222">
      <formula>CQ40=$D$156</formula>
    </cfRule>
    <cfRule type="expression" dxfId="1316" priority="1223">
      <formula>CQ40=$D$155</formula>
    </cfRule>
    <cfRule type="expression" dxfId="1315" priority="1224">
      <formula>CQ40=$D$154</formula>
    </cfRule>
  </conditionalFormatting>
  <conditionalFormatting sqref="CQ40:CR40">
    <cfRule type="expression" dxfId="1314" priority="1219">
      <formula>CQ40=$D$156</formula>
    </cfRule>
    <cfRule type="expression" dxfId="1313" priority="1220">
      <formula>CQ40=$D$155</formula>
    </cfRule>
    <cfRule type="expression" dxfId="1312" priority="1221">
      <formula>CQ40=$D$154</formula>
    </cfRule>
  </conditionalFormatting>
  <conditionalFormatting sqref="CQ40:CR40">
    <cfRule type="expression" dxfId="1311" priority="1216">
      <formula>CQ40=$D$156</formula>
    </cfRule>
    <cfRule type="expression" dxfId="1310" priority="1217">
      <formula>CQ40=$D$155</formula>
    </cfRule>
    <cfRule type="expression" dxfId="1309" priority="1218">
      <formula>CQ40=$D$154</formula>
    </cfRule>
  </conditionalFormatting>
  <conditionalFormatting sqref="CQ40:CR40">
    <cfRule type="expression" dxfId="1308" priority="1213">
      <formula>CQ40=$D$156</formula>
    </cfRule>
    <cfRule type="expression" dxfId="1307" priority="1214">
      <formula>CQ40=$D$155</formula>
    </cfRule>
    <cfRule type="expression" dxfId="1306" priority="1215">
      <formula>CQ40=$D$154</formula>
    </cfRule>
  </conditionalFormatting>
  <conditionalFormatting sqref="CU40:CV40">
    <cfRule type="expression" dxfId="1305" priority="1210">
      <formula>CU40=$D$156</formula>
    </cfRule>
    <cfRule type="expression" dxfId="1304" priority="1211">
      <formula>CU40=$D$155</formula>
    </cfRule>
    <cfRule type="expression" dxfId="1303" priority="1212">
      <formula>CU40=$D$154</formula>
    </cfRule>
  </conditionalFormatting>
  <conditionalFormatting sqref="CU40:CV40">
    <cfRule type="expression" dxfId="1302" priority="1207">
      <formula>CU40=$D$156</formula>
    </cfRule>
    <cfRule type="expression" dxfId="1301" priority="1208">
      <formula>CU40=$D$155</formula>
    </cfRule>
    <cfRule type="expression" dxfId="1300" priority="1209">
      <formula>CU40=$D$154</formula>
    </cfRule>
  </conditionalFormatting>
  <conditionalFormatting sqref="CU40:CV40">
    <cfRule type="expression" dxfId="1299" priority="1204">
      <formula>CU40=$D$156</formula>
    </cfRule>
    <cfRule type="expression" dxfId="1298" priority="1205">
      <formula>CU40=$D$155</formula>
    </cfRule>
    <cfRule type="expression" dxfId="1297" priority="1206">
      <formula>CU40=$D$154</formula>
    </cfRule>
  </conditionalFormatting>
  <conditionalFormatting sqref="CU40:CV40">
    <cfRule type="expression" dxfId="1296" priority="1201">
      <formula>CU40=$D$156</formula>
    </cfRule>
    <cfRule type="expression" dxfId="1295" priority="1202">
      <formula>CU40=$D$155</formula>
    </cfRule>
    <cfRule type="expression" dxfId="1294" priority="1203">
      <formula>CU40=$D$154</formula>
    </cfRule>
  </conditionalFormatting>
  <conditionalFormatting sqref="CU40:CV40">
    <cfRule type="expression" dxfId="1293" priority="1198">
      <formula>CU40=$D$156</formula>
    </cfRule>
    <cfRule type="expression" dxfId="1292" priority="1199">
      <formula>CU40=$D$155</formula>
    </cfRule>
    <cfRule type="expression" dxfId="1291" priority="1200">
      <formula>CU40=$D$154</formula>
    </cfRule>
  </conditionalFormatting>
  <conditionalFormatting sqref="CY40:CZ40">
    <cfRule type="expression" dxfId="1290" priority="1195">
      <formula>CY40=$D$156</formula>
    </cfRule>
    <cfRule type="expression" dxfId="1289" priority="1196">
      <formula>CY40=$D$155</formula>
    </cfRule>
    <cfRule type="expression" dxfId="1288" priority="1197">
      <formula>CY40=$D$154</formula>
    </cfRule>
  </conditionalFormatting>
  <conditionalFormatting sqref="CY40:CZ40">
    <cfRule type="expression" dxfId="1287" priority="1192">
      <formula>CY40=$D$156</formula>
    </cfRule>
    <cfRule type="expression" dxfId="1286" priority="1193">
      <formula>CY40=$D$155</formula>
    </cfRule>
    <cfRule type="expression" dxfId="1285" priority="1194">
      <formula>CY40=$D$154</formula>
    </cfRule>
  </conditionalFormatting>
  <conditionalFormatting sqref="CY40:CZ40">
    <cfRule type="expression" dxfId="1284" priority="1189">
      <formula>CY40=$D$156</formula>
    </cfRule>
    <cfRule type="expression" dxfId="1283" priority="1190">
      <formula>CY40=$D$155</formula>
    </cfRule>
    <cfRule type="expression" dxfId="1282" priority="1191">
      <formula>CY40=$D$154</formula>
    </cfRule>
  </conditionalFormatting>
  <conditionalFormatting sqref="CY40:CZ40">
    <cfRule type="expression" dxfId="1281" priority="1186">
      <formula>CY40=$D$156</formula>
    </cfRule>
    <cfRule type="expression" dxfId="1280" priority="1187">
      <formula>CY40=$D$155</formula>
    </cfRule>
    <cfRule type="expression" dxfId="1279" priority="1188">
      <formula>CY40=$D$154</formula>
    </cfRule>
  </conditionalFormatting>
  <conditionalFormatting sqref="CY40:CZ40">
    <cfRule type="expression" dxfId="1278" priority="1183">
      <formula>CY40=$D$156</formula>
    </cfRule>
    <cfRule type="expression" dxfId="1277" priority="1184">
      <formula>CY40=$D$155</formula>
    </cfRule>
    <cfRule type="expression" dxfId="1276" priority="1185">
      <formula>CY40=$D$154</formula>
    </cfRule>
  </conditionalFormatting>
  <conditionalFormatting sqref="LH45">
    <cfRule type="expression" priority="1182">
      <formula>CELL("protect", INDIRECT(ADDRESS(ROW(),COLUMN())))=1</formula>
    </cfRule>
  </conditionalFormatting>
  <conditionalFormatting sqref="J50:Q50">
    <cfRule type="expression" dxfId="1275" priority="1179">
      <formula>J50=$D$156</formula>
    </cfRule>
    <cfRule type="expression" dxfId="1274" priority="1180">
      <formula>J50=$D$155</formula>
    </cfRule>
    <cfRule type="expression" dxfId="1273" priority="1181">
      <formula>J50=$D$154</formula>
    </cfRule>
  </conditionalFormatting>
  <conditionalFormatting sqref="R50:U50">
    <cfRule type="expression" dxfId="1272" priority="1176">
      <formula>R50=$D$156</formula>
    </cfRule>
    <cfRule type="expression" dxfId="1271" priority="1177">
      <formula>R50=$D$155</formula>
    </cfRule>
    <cfRule type="expression" dxfId="1270" priority="1178">
      <formula>R50=$D$154</formula>
    </cfRule>
  </conditionalFormatting>
  <conditionalFormatting sqref="J50:AZ50">
    <cfRule type="expression" dxfId="1269" priority="1173">
      <formula>J50=$D$156</formula>
    </cfRule>
    <cfRule type="expression" dxfId="1268" priority="1174">
      <formula>J50=$D$155</formula>
    </cfRule>
    <cfRule type="expression" dxfId="1267" priority="1175">
      <formula>J50=$D$154</formula>
    </cfRule>
  </conditionalFormatting>
  <conditionalFormatting sqref="V50:Y50">
    <cfRule type="expression" dxfId="1266" priority="1170">
      <formula>V50=$D$156</formula>
    </cfRule>
    <cfRule type="expression" dxfId="1265" priority="1171">
      <formula>V50=$D$155</formula>
    </cfRule>
    <cfRule type="expression" dxfId="1264" priority="1172">
      <formula>V50=$D$154</formula>
    </cfRule>
  </conditionalFormatting>
  <conditionalFormatting sqref="Z50:AC50">
    <cfRule type="expression" dxfId="1263" priority="1167">
      <formula>Z50=$D$156</formula>
    </cfRule>
    <cfRule type="expression" dxfId="1262" priority="1168">
      <formula>Z50=$D$155</formula>
    </cfRule>
    <cfRule type="expression" dxfId="1261" priority="1169">
      <formula>Z50=$D$154</formula>
    </cfRule>
  </conditionalFormatting>
  <conditionalFormatting sqref="AD50:AG50">
    <cfRule type="expression" dxfId="1260" priority="1164">
      <formula>AD50=$D$156</formula>
    </cfRule>
    <cfRule type="expression" dxfId="1259" priority="1165">
      <formula>AD50=$D$155</formula>
    </cfRule>
    <cfRule type="expression" dxfId="1258" priority="1166">
      <formula>AD50=$D$154</formula>
    </cfRule>
  </conditionalFormatting>
  <conditionalFormatting sqref="AH50:AK50">
    <cfRule type="expression" dxfId="1257" priority="1161">
      <formula>AH50=$D$156</formula>
    </cfRule>
    <cfRule type="expression" dxfId="1256" priority="1162">
      <formula>AH50=$D$155</formula>
    </cfRule>
    <cfRule type="expression" dxfId="1255" priority="1163">
      <formula>AH50=$D$154</formula>
    </cfRule>
  </conditionalFormatting>
  <conditionalFormatting sqref="AL50:AO50">
    <cfRule type="expression" dxfId="1254" priority="1158">
      <formula>AL50=$D$156</formula>
    </cfRule>
    <cfRule type="expression" dxfId="1253" priority="1159">
      <formula>AL50=$D$155</formula>
    </cfRule>
    <cfRule type="expression" dxfId="1252" priority="1160">
      <formula>AL50=$D$154</formula>
    </cfRule>
  </conditionalFormatting>
  <conditionalFormatting sqref="AP50:AS50">
    <cfRule type="expression" dxfId="1251" priority="1155">
      <formula>AP50=$D$156</formula>
    </cfRule>
    <cfRule type="expression" dxfId="1250" priority="1156">
      <formula>AP50=$D$155</formula>
    </cfRule>
    <cfRule type="expression" dxfId="1249" priority="1157">
      <formula>AP50=$D$154</formula>
    </cfRule>
  </conditionalFormatting>
  <conditionalFormatting sqref="AT50:AW50">
    <cfRule type="expression" dxfId="1248" priority="1152">
      <formula>AT50=$D$156</formula>
    </cfRule>
    <cfRule type="expression" dxfId="1247" priority="1153">
      <formula>AT50=$D$155</formula>
    </cfRule>
    <cfRule type="expression" dxfId="1246" priority="1154">
      <formula>AT50=$D$154</formula>
    </cfRule>
  </conditionalFormatting>
  <conditionalFormatting sqref="AX50:AZ50">
    <cfRule type="expression" dxfId="1245" priority="1149">
      <formula>AX50=$D$156</formula>
    </cfRule>
    <cfRule type="expression" dxfId="1244" priority="1150">
      <formula>AX50=$D$155</formula>
    </cfRule>
    <cfRule type="expression" dxfId="1243" priority="1151">
      <formula>AX50=$D$154</formula>
    </cfRule>
  </conditionalFormatting>
  <conditionalFormatting sqref="J50:Q50">
    <cfRule type="expression" dxfId="1242" priority="1146">
      <formula>J50=$D$156</formula>
    </cfRule>
    <cfRule type="expression" dxfId="1241" priority="1147">
      <formula>J50=$D$155</formula>
    </cfRule>
    <cfRule type="expression" dxfId="1240" priority="1148">
      <formula>J50=$D$154</formula>
    </cfRule>
  </conditionalFormatting>
  <conditionalFormatting sqref="R50:U50">
    <cfRule type="expression" dxfId="1239" priority="1143">
      <formula>R50=$D$156</formula>
    </cfRule>
    <cfRule type="expression" dxfId="1238" priority="1144">
      <formula>R50=$D$155</formula>
    </cfRule>
    <cfRule type="expression" dxfId="1237" priority="1145">
      <formula>R50=$D$154</formula>
    </cfRule>
  </conditionalFormatting>
  <conditionalFormatting sqref="V50:Y50">
    <cfRule type="expression" dxfId="1236" priority="1140">
      <formula>V50=$D$156</formula>
    </cfRule>
    <cfRule type="expression" dxfId="1235" priority="1141">
      <formula>V50=$D$155</formula>
    </cfRule>
    <cfRule type="expression" dxfId="1234" priority="1142">
      <formula>V50=$D$154</formula>
    </cfRule>
  </conditionalFormatting>
  <conditionalFormatting sqref="Z50:AC50">
    <cfRule type="expression" dxfId="1233" priority="1137">
      <formula>Z50=$D$156</formula>
    </cfRule>
    <cfRule type="expression" dxfId="1232" priority="1138">
      <formula>Z50=$D$155</formula>
    </cfRule>
    <cfRule type="expression" dxfId="1231" priority="1139">
      <formula>Z50=$D$154</formula>
    </cfRule>
  </conditionalFormatting>
  <conditionalFormatting sqref="AD50:AG50">
    <cfRule type="expression" dxfId="1230" priority="1134">
      <formula>AD50=$D$156</formula>
    </cfRule>
    <cfRule type="expression" dxfId="1229" priority="1135">
      <formula>AD50=$D$155</formula>
    </cfRule>
    <cfRule type="expression" dxfId="1228" priority="1136">
      <formula>AD50=$D$154</formula>
    </cfRule>
  </conditionalFormatting>
  <conditionalFormatting sqref="AL50:AS50">
    <cfRule type="expression" dxfId="1227" priority="1131">
      <formula>AL50=$D$156</formula>
    </cfRule>
    <cfRule type="expression" dxfId="1226" priority="1132">
      <formula>AL50=$D$155</formula>
    </cfRule>
    <cfRule type="expression" dxfId="1225" priority="1133">
      <formula>AL50=$D$154</formula>
    </cfRule>
  </conditionalFormatting>
  <conditionalFormatting sqref="AX50:AZ50">
    <cfRule type="expression" dxfId="1224" priority="1128">
      <formula>AX50=$D$156</formula>
    </cfRule>
    <cfRule type="expression" dxfId="1223" priority="1129">
      <formula>AX50=$D$155</formula>
    </cfRule>
    <cfRule type="expression" dxfId="1222" priority="1130">
      <formula>AX50=$D$154</formula>
    </cfRule>
  </conditionalFormatting>
  <conditionalFormatting sqref="AT50:AW50">
    <cfRule type="expression" dxfId="1221" priority="1125">
      <formula>AT50=$D$156</formula>
    </cfRule>
    <cfRule type="expression" dxfId="1220" priority="1126">
      <formula>AT50=$D$155</formula>
    </cfRule>
    <cfRule type="expression" dxfId="1219" priority="1127">
      <formula>AT50=$D$154</formula>
    </cfRule>
  </conditionalFormatting>
  <conditionalFormatting sqref="AH50:AK50">
    <cfRule type="expression" dxfId="1218" priority="1122">
      <formula>AH50=$D$156</formula>
    </cfRule>
    <cfRule type="expression" dxfId="1217" priority="1123">
      <formula>AH50=$D$155</formula>
    </cfRule>
    <cfRule type="expression" dxfId="1216" priority="1124">
      <formula>AH50=$D$154</formula>
    </cfRule>
  </conditionalFormatting>
  <conditionalFormatting sqref="AL50:AS50">
    <cfRule type="expression" dxfId="1215" priority="1119">
      <formula>AL50=$D$156</formula>
    </cfRule>
    <cfRule type="expression" dxfId="1214" priority="1120">
      <formula>AL50=$D$155</formula>
    </cfRule>
    <cfRule type="expression" dxfId="1213" priority="1121">
      <formula>AL50=$D$154</formula>
    </cfRule>
  </conditionalFormatting>
  <conditionalFormatting sqref="J50:AG50">
    <cfRule type="expression" dxfId="1212" priority="1116">
      <formula>J50=$D$156</formula>
    </cfRule>
    <cfRule type="expression" dxfId="1211" priority="1117">
      <formula>J50=$D$155</formula>
    </cfRule>
    <cfRule type="expression" dxfId="1210" priority="1118">
      <formula>J50=$D$154</formula>
    </cfRule>
  </conditionalFormatting>
  <conditionalFormatting sqref="AX50:AZ50">
    <cfRule type="expression" dxfId="1209" priority="1113">
      <formula>AX50=$D$156</formula>
    </cfRule>
    <cfRule type="expression" dxfId="1208" priority="1114">
      <formula>AX50=$D$155</formula>
    </cfRule>
    <cfRule type="expression" dxfId="1207" priority="1115">
      <formula>AX50=$D$154</formula>
    </cfRule>
  </conditionalFormatting>
  <conditionalFormatting sqref="AT50:AW50">
    <cfRule type="expression" dxfId="1206" priority="1110">
      <formula>AT50=$D$156</formula>
    </cfRule>
    <cfRule type="expression" dxfId="1205" priority="1111">
      <formula>AT50=$D$155</formula>
    </cfRule>
    <cfRule type="expression" dxfId="1204" priority="1112">
      <formula>AT50=$D$154</formula>
    </cfRule>
  </conditionalFormatting>
  <conditionalFormatting sqref="AH50:AK50">
    <cfRule type="expression" dxfId="1203" priority="1107">
      <formula>AH50=$D$156</formula>
    </cfRule>
    <cfRule type="expression" dxfId="1202" priority="1108">
      <formula>AH50=$D$155</formula>
    </cfRule>
    <cfRule type="expression" dxfId="1201" priority="1109">
      <formula>AH50=$D$154</formula>
    </cfRule>
  </conditionalFormatting>
  <conditionalFormatting sqref="AI50:AJ50">
    <cfRule type="expression" dxfId="1200" priority="1104">
      <formula>AI50=$D$156</formula>
    </cfRule>
    <cfRule type="expression" dxfId="1199" priority="1105">
      <formula>AI50=$D$155</formula>
    </cfRule>
    <cfRule type="expression" dxfId="1198" priority="1106">
      <formula>AI50=$D$154</formula>
    </cfRule>
  </conditionalFormatting>
  <conditionalFormatting sqref="AM50:AZ50">
    <cfRule type="expression" dxfId="1197" priority="1101">
      <formula>AM50=$D$156</formula>
    </cfRule>
    <cfRule type="expression" dxfId="1196" priority="1102">
      <formula>AM50=$D$155</formula>
    </cfRule>
    <cfRule type="expression" dxfId="1195" priority="1103">
      <formula>AM50=$D$154</formula>
    </cfRule>
  </conditionalFormatting>
  <conditionalFormatting sqref="J56:Q56">
    <cfRule type="expression" dxfId="1194" priority="1098">
      <formula>J56=$D$156</formula>
    </cfRule>
    <cfRule type="expression" dxfId="1193" priority="1099">
      <formula>J56=$D$155</formula>
    </cfRule>
    <cfRule type="expression" dxfId="1192" priority="1100">
      <formula>J56=$D$154</formula>
    </cfRule>
  </conditionalFormatting>
  <conditionalFormatting sqref="R56:U56">
    <cfRule type="expression" dxfId="1191" priority="1095">
      <formula>R56=$D$156</formula>
    </cfRule>
    <cfRule type="expression" dxfId="1190" priority="1096">
      <formula>R56=$D$155</formula>
    </cfRule>
    <cfRule type="expression" dxfId="1189" priority="1097">
      <formula>R56=$D$154</formula>
    </cfRule>
  </conditionalFormatting>
  <conditionalFormatting sqref="J56:AZ56">
    <cfRule type="expression" dxfId="1188" priority="1092">
      <formula>J56=$D$156</formula>
    </cfRule>
    <cfRule type="expression" dxfId="1187" priority="1093">
      <formula>J56=$D$155</formula>
    </cfRule>
    <cfRule type="expression" dxfId="1186" priority="1094">
      <formula>J56=$D$154</formula>
    </cfRule>
  </conditionalFormatting>
  <conditionalFormatting sqref="V56:Y56">
    <cfRule type="expression" dxfId="1185" priority="1089">
      <formula>V56=$D$156</formula>
    </cfRule>
    <cfRule type="expression" dxfId="1184" priority="1090">
      <formula>V56=$D$155</formula>
    </cfRule>
    <cfRule type="expression" dxfId="1183" priority="1091">
      <formula>V56=$D$154</formula>
    </cfRule>
  </conditionalFormatting>
  <conditionalFormatting sqref="Z56:AC56">
    <cfRule type="expression" dxfId="1182" priority="1086">
      <formula>Z56=$D$156</formula>
    </cfRule>
    <cfRule type="expression" dxfId="1181" priority="1087">
      <formula>Z56=$D$155</formula>
    </cfRule>
    <cfRule type="expression" dxfId="1180" priority="1088">
      <formula>Z56=$D$154</formula>
    </cfRule>
  </conditionalFormatting>
  <conditionalFormatting sqref="AD56:AG56">
    <cfRule type="expression" dxfId="1179" priority="1083">
      <formula>AD56=$D$156</formula>
    </cfRule>
    <cfRule type="expression" dxfId="1178" priority="1084">
      <formula>AD56=$D$155</formula>
    </cfRule>
    <cfRule type="expression" dxfId="1177" priority="1085">
      <formula>AD56=$D$154</formula>
    </cfRule>
  </conditionalFormatting>
  <conditionalFormatting sqref="AH56:AK56">
    <cfRule type="expression" dxfId="1176" priority="1080">
      <formula>AH56=$D$156</formula>
    </cfRule>
    <cfRule type="expression" dxfId="1175" priority="1081">
      <formula>AH56=$D$155</formula>
    </cfRule>
    <cfRule type="expression" dxfId="1174" priority="1082">
      <formula>AH56=$D$154</formula>
    </cfRule>
  </conditionalFormatting>
  <conditionalFormatting sqref="AL56:AO56">
    <cfRule type="expression" dxfId="1173" priority="1077">
      <formula>AL56=$D$156</formula>
    </cfRule>
    <cfRule type="expression" dxfId="1172" priority="1078">
      <formula>AL56=$D$155</formula>
    </cfRule>
    <cfRule type="expression" dxfId="1171" priority="1079">
      <formula>AL56=$D$154</formula>
    </cfRule>
  </conditionalFormatting>
  <conditionalFormatting sqref="AP56:AS56">
    <cfRule type="expression" dxfId="1170" priority="1074">
      <formula>AP56=$D$156</formula>
    </cfRule>
    <cfRule type="expression" dxfId="1169" priority="1075">
      <formula>AP56=$D$155</formula>
    </cfRule>
    <cfRule type="expression" dxfId="1168" priority="1076">
      <formula>AP56=$D$154</formula>
    </cfRule>
  </conditionalFormatting>
  <conditionalFormatting sqref="AT56:AW56">
    <cfRule type="expression" dxfId="1167" priority="1071">
      <formula>AT56=$D$156</formula>
    </cfRule>
    <cfRule type="expression" dxfId="1166" priority="1072">
      <formula>AT56=$D$155</formula>
    </cfRule>
    <cfRule type="expression" dxfId="1165" priority="1073">
      <formula>AT56=$D$154</formula>
    </cfRule>
  </conditionalFormatting>
  <conditionalFormatting sqref="AX56:AZ56">
    <cfRule type="expression" dxfId="1164" priority="1068">
      <formula>AX56=$D$156</formula>
    </cfRule>
    <cfRule type="expression" dxfId="1163" priority="1069">
      <formula>AX56=$D$155</formula>
    </cfRule>
    <cfRule type="expression" dxfId="1162" priority="1070">
      <formula>AX56=$D$154</formula>
    </cfRule>
  </conditionalFormatting>
  <conditionalFormatting sqref="J56:Q56">
    <cfRule type="expression" dxfId="1161" priority="1065">
      <formula>J56=$D$156</formula>
    </cfRule>
    <cfRule type="expression" dxfId="1160" priority="1066">
      <formula>J56=$D$155</formula>
    </cfRule>
    <cfRule type="expression" dxfId="1159" priority="1067">
      <formula>J56=$D$154</formula>
    </cfRule>
  </conditionalFormatting>
  <conditionalFormatting sqref="R56:U56">
    <cfRule type="expression" dxfId="1158" priority="1062">
      <formula>R56=$D$156</formula>
    </cfRule>
    <cfRule type="expression" dxfId="1157" priority="1063">
      <formula>R56=$D$155</formula>
    </cfRule>
    <cfRule type="expression" dxfId="1156" priority="1064">
      <formula>R56=$D$154</formula>
    </cfRule>
  </conditionalFormatting>
  <conditionalFormatting sqref="V56:Y56">
    <cfRule type="expression" dxfId="1155" priority="1059">
      <formula>V56=$D$156</formula>
    </cfRule>
    <cfRule type="expression" dxfId="1154" priority="1060">
      <formula>V56=$D$155</formula>
    </cfRule>
    <cfRule type="expression" dxfId="1153" priority="1061">
      <formula>V56=$D$154</formula>
    </cfRule>
  </conditionalFormatting>
  <conditionalFormatting sqref="Z56:AC56">
    <cfRule type="expression" dxfId="1152" priority="1056">
      <formula>Z56=$D$156</formula>
    </cfRule>
    <cfRule type="expression" dxfId="1151" priority="1057">
      <formula>Z56=$D$155</formula>
    </cfRule>
    <cfRule type="expression" dxfId="1150" priority="1058">
      <formula>Z56=$D$154</formula>
    </cfRule>
  </conditionalFormatting>
  <conditionalFormatting sqref="AD56:AG56">
    <cfRule type="expression" dxfId="1149" priority="1053">
      <formula>AD56=$D$156</formula>
    </cfRule>
    <cfRule type="expression" dxfId="1148" priority="1054">
      <formula>AD56=$D$155</formula>
    </cfRule>
    <cfRule type="expression" dxfId="1147" priority="1055">
      <formula>AD56=$D$154</formula>
    </cfRule>
  </conditionalFormatting>
  <conditionalFormatting sqref="AL56:AS56">
    <cfRule type="expression" dxfId="1146" priority="1050">
      <formula>AL56=$D$156</formula>
    </cfRule>
    <cfRule type="expression" dxfId="1145" priority="1051">
      <formula>AL56=$D$155</formula>
    </cfRule>
    <cfRule type="expression" dxfId="1144" priority="1052">
      <formula>AL56=$D$154</formula>
    </cfRule>
  </conditionalFormatting>
  <conditionalFormatting sqref="AX56:AZ56">
    <cfRule type="expression" dxfId="1143" priority="1047">
      <formula>AX56=$D$156</formula>
    </cfRule>
    <cfRule type="expression" dxfId="1142" priority="1048">
      <formula>AX56=$D$155</formula>
    </cfRule>
    <cfRule type="expression" dxfId="1141" priority="1049">
      <formula>AX56=$D$154</formula>
    </cfRule>
  </conditionalFormatting>
  <conditionalFormatting sqref="AT56:AW56">
    <cfRule type="expression" dxfId="1140" priority="1044">
      <formula>AT56=$D$156</formula>
    </cfRule>
    <cfRule type="expression" dxfId="1139" priority="1045">
      <formula>AT56=$D$155</formula>
    </cfRule>
    <cfRule type="expression" dxfId="1138" priority="1046">
      <formula>AT56=$D$154</formula>
    </cfRule>
  </conditionalFormatting>
  <conditionalFormatting sqref="AH56:AK56">
    <cfRule type="expression" dxfId="1137" priority="1041">
      <formula>AH56=$D$156</formula>
    </cfRule>
    <cfRule type="expression" dxfId="1136" priority="1042">
      <formula>AH56=$D$155</formula>
    </cfRule>
    <cfRule type="expression" dxfId="1135" priority="1043">
      <formula>AH56=$D$154</formula>
    </cfRule>
  </conditionalFormatting>
  <conditionalFormatting sqref="AL56:AS56">
    <cfRule type="expression" dxfId="1134" priority="1038">
      <formula>AL56=$D$156</formula>
    </cfRule>
    <cfRule type="expression" dxfId="1133" priority="1039">
      <formula>AL56=$D$155</formula>
    </cfRule>
    <cfRule type="expression" dxfId="1132" priority="1040">
      <formula>AL56=$D$154</formula>
    </cfRule>
  </conditionalFormatting>
  <conditionalFormatting sqref="J56:AG56">
    <cfRule type="expression" dxfId="1131" priority="1035">
      <formula>J56=$D$156</formula>
    </cfRule>
    <cfRule type="expression" dxfId="1130" priority="1036">
      <formula>J56=$D$155</formula>
    </cfRule>
    <cfRule type="expression" dxfId="1129" priority="1037">
      <formula>J56=$D$154</formula>
    </cfRule>
  </conditionalFormatting>
  <conditionalFormatting sqref="AX56:AZ56">
    <cfRule type="expression" dxfId="1128" priority="1032">
      <formula>AX56=$D$156</formula>
    </cfRule>
    <cfRule type="expression" dxfId="1127" priority="1033">
      <formula>AX56=$D$155</formula>
    </cfRule>
    <cfRule type="expression" dxfId="1126" priority="1034">
      <formula>AX56=$D$154</formula>
    </cfRule>
  </conditionalFormatting>
  <conditionalFormatting sqref="AT56:AW56">
    <cfRule type="expression" dxfId="1125" priority="1029">
      <formula>AT56=$D$156</formula>
    </cfRule>
    <cfRule type="expression" dxfId="1124" priority="1030">
      <formula>AT56=$D$155</formula>
    </cfRule>
    <cfRule type="expression" dxfId="1123" priority="1031">
      <formula>AT56=$D$154</formula>
    </cfRule>
  </conditionalFormatting>
  <conditionalFormatting sqref="AH56:AK56">
    <cfRule type="expression" dxfId="1122" priority="1026">
      <formula>AH56=$D$156</formula>
    </cfRule>
    <cfRule type="expression" dxfId="1121" priority="1027">
      <formula>AH56=$D$155</formula>
    </cfRule>
    <cfRule type="expression" dxfId="1120" priority="1028">
      <formula>AH56=$D$154</formula>
    </cfRule>
  </conditionalFormatting>
  <conditionalFormatting sqref="AI56:AJ56">
    <cfRule type="expression" dxfId="1119" priority="1023">
      <formula>AI56=$D$156</formula>
    </cfRule>
    <cfRule type="expression" dxfId="1118" priority="1024">
      <formula>AI56=$D$155</formula>
    </cfRule>
    <cfRule type="expression" dxfId="1117" priority="1025">
      <formula>AI56=$D$154</formula>
    </cfRule>
  </conditionalFormatting>
  <conditionalFormatting sqref="AM56:AZ56">
    <cfRule type="expression" dxfId="1116" priority="1020">
      <formula>AM56=$D$156</formula>
    </cfRule>
    <cfRule type="expression" dxfId="1115" priority="1021">
      <formula>AM56=$D$155</formula>
    </cfRule>
    <cfRule type="expression" dxfId="1114" priority="1022">
      <formula>AM56=$D$154</formula>
    </cfRule>
  </conditionalFormatting>
  <conditionalFormatting sqref="LH50:NA50">
    <cfRule type="expression" priority="1019">
      <formula>CELL("protect", INDIRECT(ADDRESS(ROW(),COLUMN())))=1</formula>
    </cfRule>
  </conditionalFormatting>
  <conditionalFormatting sqref="LH56:NA56">
    <cfRule type="expression" priority="1018">
      <formula>CELL("protect", INDIRECT(ADDRESS(ROW(),COLUMN())))=1</formula>
    </cfRule>
  </conditionalFormatting>
  <conditionalFormatting sqref="J61:T61">
    <cfRule type="expression" dxfId="1113" priority="1015">
      <formula>J61=$D$156</formula>
    </cfRule>
    <cfRule type="expression" dxfId="1112" priority="1016">
      <formula>J61=$D$155</formula>
    </cfRule>
    <cfRule type="expression" dxfId="1111" priority="1017">
      <formula>J61=$D$154</formula>
    </cfRule>
  </conditionalFormatting>
  <conditionalFormatting sqref="J61:K61">
    <cfRule type="expression" dxfId="1110" priority="1011">
      <formula>J61=$D$156</formula>
    </cfRule>
    <cfRule type="expression" dxfId="1109" priority="1012">
      <formula>J61=$D$155</formula>
    </cfRule>
    <cfRule type="expression" dxfId="1108" priority="1013">
      <formula>J61=$D$154</formula>
    </cfRule>
  </conditionalFormatting>
  <conditionalFormatting sqref="N61:O61">
    <cfRule type="expression" dxfId="1107" priority="1008">
      <formula>N61=$D$156</formula>
    </cfRule>
    <cfRule type="expression" dxfId="1106" priority="1009">
      <formula>N61=$D$155</formula>
    </cfRule>
    <cfRule type="expression" dxfId="1105" priority="1010">
      <formula>N61=$D$154</formula>
    </cfRule>
  </conditionalFormatting>
  <conditionalFormatting sqref="R61:S61">
    <cfRule type="expression" dxfId="1104" priority="1005">
      <formula>R61=$D$156</formula>
    </cfRule>
    <cfRule type="expression" dxfId="1103" priority="1006">
      <formula>R61=$D$155</formula>
    </cfRule>
    <cfRule type="expression" dxfId="1102" priority="1007">
      <formula>R61=$D$154</formula>
    </cfRule>
  </conditionalFormatting>
  <conditionalFormatting sqref="J61:Q61">
    <cfRule type="expression" dxfId="1101" priority="1002">
      <formula>J61=$D$156</formula>
    </cfRule>
    <cfRule type="expression" dxfId="1100" priority="1003">
      <formula>J61=$D$155</formula>
    </cfRule>
    <cfRule type="expression" dxfId="1099" priority="1004">
      <formula>J61=$D$154</formula>
    </cfRule>
  </conditionalFormatting>
  <conditionalFormatting sqref="R61:T61">
    <cfRule type="expression" dxfId="1098" priority="999">
      <formula>R61=$D$156</formula>
    </cfRule>
    <cfRule type="expression" dxfId="1097" priority="1000">
      <formula>R61=$D$155</formula>
    </cfRule>
    <cfRule type="expression" dxfId="1096" priority="1001">
      <formula>R61=$D$154</formula>
    </cfRule>
  </conditionalFormatting>
  <conditionalFormatting sqref="J61:T61">
    <cfRule type="expression" dxfId="1095" priority="996">
      <formula>J61=$D$156</formula>
    </cfRule>
    <cfRule type="expression" dxfId="1094" priority="997">
      <formula>J61=$D$155</formula>
    </cfRule>
    <cfRule type="expression" dxfId="1093" priority="998">
      <formula>J61=$D$154</formula>
    </cfRule>
  </conditionalFormatting>
  <conditionalFormatting sqref="J61:Q61">
    <cfRule type="expression" dxfId="1092" priority="993">
      <formula>J61=$D$156</formula>
    </cfRule>
    <cfRule type="expression" dxfId="1091" priority="994">
      <formula>J61=$D$155</formula>
    </cfRule>
    <cfRule type="expression" dxfId="1090" priority="995">
      <formula>J61=$D$154</formula>
    </cfRule>
  </conditionalFormatting>
  <conditionalFormatting sqref="R61:T61">
    <cfRule type="expression" dxfId="1089" priority="990">
      <formula>R61=$D$156</formula>
    </cfRule>
    <cfRule type="expression" dxfId="1088" priority="991">
      <formula>R61=$D$155</formula>
    </cfRule>
    <cfRule type="expression" dxfId="1087" priority="992">
      <formula>R61=$D$154</formula>
    </cfRule>
  </conditionalFormatting>
  <conditionalFormatting sqref="J61:T61">
    <cfRule type="expression" dxfId="1086" priority="987">
      <formula>J61=$D$156</formula>
    </cfRule>
    <cfRule type="expression" dxfId="1085" priority="988">
      <formula>J61=$D$155</formula>
    </cfRule>
    <cfRule type="expression" dxfId="1084" priority="989">
      <formula>J61=$D$154</formula>
    </cfRule>
  </conditionalFormatting>
  <conditionalFormatting sqref="XD69:XFD69 A69:C69 LG69:XB69 J69:LD69">
    <cfRule type="expression" priority="985">
      <formula>CELL("protect", INDIRECT(ADDRESS(ROW(),COLUMN())))=1</formula>
    </cfRule>
  </conditionalFormatting>
  <conditionalFormatting sqref="LF69">
    <cfRule type="expression" priority="984">
      <formula>CELL("protect", INDIRECT(ADDRESS(ROW(),COLUMN())))=1</formula>
    </cfRule>
  </conditionalFormatting>
  <conditionalFormatting sqref="R70:U70">
    <cfRule type="expression" dxfId="1083" priority="978">
      <formula>R70=$D$156</formula>
    </cfRule>
    <cfRule type="expression" dxfId="1082" priority="979">
      <formula>R70=$D$155</formula>
    </cfRule>
    <cfRule type="expression" dxfId="1081" priority="980">
      <formula>R70=$D$154</formula>
    </cfRule>
  </conditionalFormatting>
  <conditionalFormatting sqref="V70:Y70">
    <cfRule type="expression" dxfId="1080" priority="975">
      <formula>V70=$D$156</formula>
    </cfRule>
    <cfRule type="expression" dxfId="1079" priority="976">
      <formula>V70=$D$155</formula>
    </cfRule>
    <cfRule type="expression" dxfId="1078" priority="977">
      <formula>V70=$D$154</formula>
    </cfRule>
  </conditionalFormatting>
  <conditionalFormatting sqref="Z70:AC70">
    <cfRule type="expression" dxfId="1077" priority="972">
      <formula>Z70=$D$156</formula>
    </cfRule>
    <cfRule type="expression" dxfId="1076" priority="973">
      <formula>Z70=$D$155</formula>
    </cfRule>
    <cfRule type="expression" dxfId="1075" priority="974">
      <formula>Z70=$D$154</formula>
    </cfRule>
  </conditionalFormatting>
  <conditionalFormatting sqref="AD70:AG70">
    <cfRule type="expression" dxfId="1074" priority="969">
      <formula>AD70=$D$156</formula>
    </cfRule>
    <cfRule type="expression" dxfId="1073" priority="970">
      <formula>AD70=$D$155</formula>
    </cfRule>
    <cfRule type="expression" dxfId="1072" priority="971">
      <formula>AD70=$D$154</formula>
    </cfRule>
  </conditionalFormatting>
  <conditionalFormatting sqref="J70:Q70">
    <cfRule type="expression" dxfId="1071" priority="981">
      <formula>J70=$D$156</formula>
    </cfRule>
    <cfRule type="expression" dxfId="1070" priority="982">
      <formula>J70=$D$155</formula>
    </cfRule>
    <cfRule type="expression" dxfId="1069" priority="983">
      <formula>J70=$D$154</formula>
    </cfRule>
  </conditionalFormatting>
  <conditionalFormatting sqref="XD70:XFD70 LD70 LG70 LJ70:XB70 A70:LB70">
    <cfRule type="expression" priority="968">
      <formula>CELL("protect", INDIRECT(ADDRESS(ROW(),COLUMN())))=1</formula>
    </cfRule>
  </conditionalFormatting>
  <conditionalFormatting sqref="LH70">
    <cfRule type="expression" priority="965">
      <formula>CELL("protect", INDIRECT(ADDRESS(ROW(),COLUMN())))=1</formula>
    </cfRule>
  </conditionalFormatting>
  <conditionalFormatting sqref="R71:U71">
    <cfRule type="expression" dxfId="1068" priority="959">
      <formula>R71=$D$156</formula>
    </cfRule>
    <cfRule type="expression" dxfId="1067" priority="960">
      <formula>R71=$D$155</formula>
    </cfRule>
    <cfRule type="expression" dxfId="1066" priority="961">
      <formula>R71=$D$154</formula>
    </cfRule>
  </conditionalFormatting>
  <conditionalFormatting sqref="V71:Y71">
    <cfRule type="expression" dxfId="1065" priority="956">
      <formula>V71=$D$156</formula>
    </cfRule>
    <cfRule type="expression" dxfId="1064" priority="957">
      <formula>V71=$D$155</formula>
    </cfRule>
    <cfRule type="expression" dxfId="1063" priority="958">
      <formula>V71=$D$154</formula>
    </cfRule>
  </conditionalFormatting>
  <conditionalFormatting sqref="Z71:AC71">
    <cfRule type="expression" dxfId="1062" priority="953">
      <formula>Z71=$D$156</formula>
    </cfRule>
    <cfRule type="expression" dxfId="1061" priority="954">
      <formula>Z71=$D$155</formula>
    </cfRule>
    <cfRule type="expression" dxfId="1060" priority="955">
      <formula>Z71=$D$154</formula>
    </cfRule>
  </conditionalFormatting>
  <conditionalFormatting sqref="AD71:AG71">
    <cfRule type="expression" dxfId="1059" priority="950">
      <formula>AD71=$D$156</formula>
    </cfRule>
    <cfRule type="expression" dxfId="1058" priority="951">
      <formula>AD71=$D$155</formula>
    </cfRule>
    <cfRule type="expression" dxfId="1057" priority="952">
      <formula>AD71=$D$154</formula>
    </cfRule>
  </conditionalFormatting>
  <conditionalFormatting sqref="J71:Q71">
    <cfRule type="expression" dxfId="1056" priority="962">
      <formula>J71=$D$156</formula>
    </cfRule>
    <cfRule type="expression" dxfId="1055" priority="963">
      <formula>J71=$D$155</formula>
    </cfRule>
    <cfRule type="expression" dxfId="1054" priority="964">
      <formula>J71=$D$154</formula>
    </cfRule>
  </conditionalFormatting>
  <conditionalFormatting sqref="XD71:XFD71 LD71 LG71 LJ71:XB71 A71:LB71">
    <cfRule type="expression" priority="949">
      <formula>CELL("protect", INDIRECT(ADDRESS(ROW(),COLUMN())))=1</formula>
    </cfRule>
  </conditionalFormatting>
  <conditionalFormatting sqref="LH71">
    <cfRule type="expression" priority="946">
      <formula>CELL("protect", INDIRECT(ADDRESS(ROW(),COLUMN())))=1</formula>
    </cfRule>
  </conditionalFormatting>
  <conditionalFormatting sqref="D69:I69">
    <cfRule type="expression" priority="945">
      <formula>CELL("protect", INDIRECT(ADDRESS(ROW(),COLUMN())))=1</formula>
    </cfRule>
  </conditionalFormatting>
  <conditionalFormatting sqref="LF116 LF118">
    <cfRule type="expression" priority="944">
      <formula>CELL("protect", INDIRECT(ADDRESS(ROW(),COLUMN())))=1</formula>
    </cfRule>
  </conditionalFormatting>
  <conditionalFormatting sqref="LF117">
    <cfRule type="expression" priority="943">
      <formula>CELL("protect", INDIRECT(ADDRESS(ROW(),COLUMN())))=1</formula>
    </cfRule>
  </conditionalFormatting>
  <conditionalFormatting sqref="LI70:LI71">
    <cfRule type="expression" priority="942">
      <formula>CELL("protect", INDIRECT(ADDRESS(ROW(),COLUMN())))=1</formula>
    </cfRule>
  </conditionalFormatting>
  <conditionalFormatting sqref="LC70:LC71">
    <cfRule type="cellIs" dxfId="1053" priority="941" operator="equal">
      <formula>0</formula>
    </cfRule>
  </conditionalFormatting>
  <conditionalFormatting sqref="LF70">
    <cfRule type="expression" priority="940">
      <formula>CELL("protect", INDIRECT(ADDRESS(ROW(),COLUMN())))=1</formula>
    </cfRule>
  </conditionalFormatting>
  <conditionalFormatting sqref="LF71">
    <cfRule type="expression" priority="939">
      <formula>CELL("protect", INDIRECT(ADDRESS(ROW(),COLUMN())))=1</formula>
    </cfRule>
  </conditionalFormatting>
  <conditionalFormatting sqref="L65:L66">
    <cfRule type="expression" priority="936">
      <formula>CELL("protect", INDIRECT(ADDRESS(ROW(),COLUMN())))=1</formula>
    </cfRule>
  </conditionalFormatting>
  <conditionalFormatting sqref="K66">
    <cfRule type="expression" dxfId="1052" priority="929">
      <formula>K66=$D$156</formula>
    </cfRule>
    <cfRule type="expression" dxfId="1051" priority="930">
      <formula>K66=$D$155</formula>
    </cfRule>
    <cfRule type="expression" dxfId="1050" priority="931">
      <formula>K66=$D$154</formula>
    </cfRule>
  </conditionalFormatting>
  <conditionalFormatting sqref="K65:K66">
    <cfRule type="expression" priority="928">
      <formula>CELL("protect", INDIRECT(ADDRESS(ROW(),COLUMN())))=1</formula>
    </cfRule>
  </conditionalFormatting>
  <conditionalFormatting sqref="M65:M66">
    <cfRule type="expression" priority="927">
      <formula>CELL("protect", INDIRECT(ADDRESS(ROW(),COLUMN())))=1</formula>
    </cfRule>
  </conditionalFormatting>
  <conditionalFormatting sqref="L64">
    <cfRule type="expression" priority="926">
      <formula>CELL("protect", INDIRECT(ADDRESS(ROW(),COLUMN())))=1</formula>
    </cfRule>
  </conditionalFormatting>
  <conditionalFormatting sqref="M64">
    <cfRule type="expression" priority="925">
      <formula>CELL("protect", INDIRECT(ADDRESS(ROW(),COLUMN())))=1</formula>
    </cfRule>
  </conditionalFormatting>
  <conditionalFormatting sqref="K45">
    <cfRule type="expression" dxfId="1049" priority="918">
      <formula>K45=$D$156</formula>
    </cfRule>
    <cfRule type="expression" dxfId="1048" priority="919">
      <formula>K45=$D$155</formula>
    </cfRule>
    <cfRule type="expression" dxfId="1047" priority="920">
      <formula>K45=$D$154</formula>
    </cfRule>
  </conditionalFormatting>
  <conditionalFormatting sqref="K44:K45">
    <cfRule type="expression" priority="917">
      <formula>CELL("protect", INDIRECT(ADDRESS(ROW(),COLUMN())))=1</formula>
    </cfRule>
  </conditionalFormatting>
  <conditionalFormatting sqref="L44:L45">
    <cfRule type="expression" priority="916">
      <formula>CELL("protect", INDIRECT(ADDRESS(ROW(),COLUMN())))=1</formula>
    </cfRule>
  </conditionalFormatting>
  <conditionalFormatting sqref="M44:M45">
    <cfRule type="expression" priority="915">
      <formula>CELL("protect", INDIRECT(ADDRESS(ROW(),COLUMN())))=1</formula>
    </cfRule>
  </conditionalFormatting>
  <conditionalFormatting sqref="L43">
    <cfRule type="expression" priority="914">
      <formula>CELL("protect", INDIRECT(ADDRESS(ROW(),COLUMN())))=1</formula>
    </cfRule>
  </conditionalFormatting>
  <conditionalFormatting sqref="M43">
    <cfRule type="expression" priority="913">
      <formula>CELL("protect", INDIRECT(ADDRESS(ROW(),COLUMN())))=1</formula>
    </cfRule>
  </conditionalFormatting>
  <conditionalFormatting sqref="LM44:LN45">
    <cfRule type="expression" priority="912">
      <formula>CELL("protect", INDIRECT(ADDRESS(ROW(),COLUMN())))=1</formula>
    </cfRule>
  </conditionalFormatting>
  <conditionalFormatting sqref="LM43">
    <cfRule type="expression" priority="911">
      <formula>CELL("protect", INDIRECT(ADDRESS(ROW(),COLUMN())))=1</formula>
    </cfRule>
  </conditionalFormatting>
  <conditionalFormatting sqref="LN43">
    <cfRule type="expression" priority="910">
      <formula>CELL("protect", INDIRECT(ADDRESS(ROW(),COLUMN())))=1</formula>
    </cfRule>
  </conditionalFormatting>
  <conditionalFormatting sqref="LM65">
    <cfRule type="expression" priority="909">
      <formula>CELL("protect", INDIRECT(ADDRESS(ROW(),COLUMN())))=1</formula>
    </cfRule>
  </conditionalFormatting>
  <conditionalFormatting sqref="LN65:LN66">
    <cfRule type="expression" priority="908">
      <formula>CELL("protect", INDIRECT(ADDRESS(ROW(),COLUMN())))=1</formula>
    </cfRule>
  </conditionalFormatting>
  <conditionalFormatting sqref="LM64">
    <cfRule type="expression" priority="907">
      <formula>CELL("protect", INDIRECT(ADDRESS(ROW(),COLUMN())))=1</formula>
    </cfRule>
  </conditionalFormatting>
  <conditionalFormatting sqref="LN64">
    <cfRule type="expression" priority="906">
      <formula>CELL("protect", INDIRECT(ADDRESS(ROW(),COLUMN())))=1</formula>
    </cfRule>
  </conditionalFormatting>
  <conditionalFormatting sqref="LM66">
    <cfRule type="expression" priority="904">
      <formula>CELL("protect", INDIRECT(ADDRESS(ROW(),COLUMN())))=1</formula>
    </cfRule>
  </conditionalFormatting>
  <conditionalFormatting sqref="AL24:AS24 J16:CN19 DS16:FT19">
    <cfRule type="expression" dxfId="1046" priority="901">
      <formula>J16=$D$156</formula>
    </cfRule>
    <cfRule type="expression" dxfId="1045" priority="902">
      <formula>J16=$D$155</formula>
    </cfRule>
    <cfRule type="expression" dxfId="1044" priority="903">
      <formula>J16=$D$154</formula>
    </cfRule>
  </conditionalFormatting>
  <conditionalFormatting sqref="J24:AG24">
    <cfRule type="expression" dxfId="1043" priority="898">
      <formula>J24=$D$156</formula>
    </cfRule>
    <cfRule type="expression" dxfId="1042" priority="899">
      <formula>J24=$D$155</formula>
    </cfRule>
    <cfRule type="expression" dxfId="1041" priority="900">
      <formula>J24=$D$154</formula>
    </cfRule>
  </conditionalFormatting>
  <conditionalFormatting sqref="J50:AG50">
    <cfRule type="expression" dxfId="1040" priority="895">
      <formula>J50=$D$156</formula>
    </cfRule>
    <cfRule type="expression" dxfId="1039" priority="896">
      <formula>J50=$D$155</formula>
    </cfRule>
    <cfRule type="expression" dxfId="1038" priority="897">
      <formula>J50=$D$154</formula>
    </cfRule>
  </conditionalFormatting>
  <conditionalFormatting sqref="J56:AG56">
    <cfRule type="expression" dxfId="1037" priority="892">
      <formula>J56=$D$156</formula>
    </cfRule>
    <cfRule type="expression" dxfId="1036" priority="893">
      <formula>J56=$D$155</formula>
    </cfRule>
    <cfRule type="expression" dxfId="1035" priority="894">
      <formula>J56=$D$154</formula>
    </cfRule>
  </conditionalFormatting>
  <conditionalFormatting sqref="J56:K56">
    <cfRule type="expression" dxfId="1034" priority="889">
      <formula>J56=$D$156</formula>
    </cfRule>
    <cfRule type="expression" dxfId="1033" priority="890">
      <formula>J56=$D$155</formula>
    </cfRule>
    <cfRule type="expression" dxfId="1032" priority="891">
      <formula>J56=$D$154</formula>
    </cfRule>
  </conditionalFormatting>
  <conditionalFormatting sqref="N56:O56">
    <cfRule type="expression" dxfId="1031" priority="886">
      <formula>N56=$D$156</formula>
    </cfRule>
    <cfRule type="expression" dxfId="1030" priority="887">
      <formula>N56=$D$155</formula>
    </cfRule>
    <cfRule type="expression" dxfId="1029" priority="888">
      <formula>N56=$D$154</formula>
    </cfRule>
  </conditionalFormatting>
  <conditionalFormatting sqref="R56:S56">
    <cfRule type="expression" dxfId="1028" priority="883">
      <formula>R56=$D$156</formula>
    </cfRule>
    <cfRule type="expression" dxfId="1027" priority="884">
      <formula>R56=$D$155</formula>
    </cfRule>
    <cfRule type="expression" dxfId="1026" priority="885">
      <formula>R56=$D$154</formula>
    </cfRule>
  </conditionalFormatting>
  <conditionalFormatting sqref="V56:W56">
    <cfRule type="expression" dxfId="1025" priority="880">
      <formula>V56=$D$156</formula>
    </cfRule>
    <cfRule type="expression" dxfId="1024" priority="881">
      <formula>V56=$D$155</formula>
    </cfRule>
    <cfRule type="expression" dxfId="1023" priority="882">
      <formula>V56=$D$154</formula>
    </cfRule>
  </conditionalFormatting>
  <conditionalFormatting sqref="Z56:AA56">
    <cfRule type="expression" dxfId="1022" priority="877">
      <formula>Z56=$D$156</formula>
    </cfRule>
    <cfRule type="expression" dxfId="1021" priority="878">
      <formula>Z56=$D$155</formula>
    </cfRule>
    <cfRule type="expression" dxfId="1020" priority="879">
      <formula>Z56=$D$154</formula>
    </cfRule>
  </conditionalFormatting>
  <conditionalFormatting sqref="AD56:AE56">
    <cfRule type="expression" dxfId="1019" priority="874">
      <formula>AD56=$D$156</formula>
    </cfRule>
    <cfRule type="expression" dxfId="1018" priority="875">
      <formula>AD56=$D$155</formula>
    </cfRule>
    <cfRule type="expression" dxfId="1017" priority="876">
      <formula>AD56=$D$154</formula>
    </cfRule>
  </conditionalFormatting>
  <conditionalFormatting sqref="J29:Q29">
    <cfRule type="expression" dxfId="1016" priority="871">
      <formula>J29=$D$156</formula>
    </cfRule>
    <cfRule type="expression" dxfId="1015" priority="872">
      <formula>J29=$D$155</formula>
    </cfRule>
    <cfRule type="expression" dxfId="1014" priority="873">
      <formula>J29=$D$154</formula>
    </cfRule>
  </conditionalFormatting>
  <conditionalFormatting sqref="R29:U29">
    <cfRule type="expression" dxfId="1013" priority="868">
      <formula>R29=$D$156</formula>
    </cfRule>
    <cfRule type="expression" dxfId="1012" priority="869">
      <formula>R29=$D$155</formula>
    </cfRule>
    <cfRule type="expression" dxfId="1011" priority="870">
      <formula>R29=$D$154</formula>
    </cfRule>
  </conditionalFormatting>
  <conditionalFormatting sqref="V29:Y29">
    <cfRule type="expression" dxfId="1010" priority="865">
      <formula>V29=$D$156</formula>
    </cfRule>
    <cfRule type="expression" dxfId="1009" priority="866">
      <formula>V29=$D$155</formula>
    </cfRule>
    <cfRule type="expression" dxfId="1008" priority="867">
      <formula>V29=$D$154</formula>
    </cfRule>
  </conditionalFormatting>
  <conditionalFormatting sqref="J34:Q34">
    <cfRule type="expression" dxfId="1007" priority="862">
      <formula>J34=$D$156</formula>
    </cfRule>
    <cfRule type="expression" dxfId="1006" priority="863">
      <formula>J34=$D$155</formula>
    </cfRule>
    <cfRule type="expression" dxfId="1005" priority="864">
      <formula>J34=$D$154</formula>
    </cfRule>
  </conditionalFormatting>
  <conditionalFormatting sqref="R34:U34">
    <cfRule type="expression" dxfId="1004" priority="859">
      <formula>R34=$D$156</formula>
    </cfRule>
    <cfRule type="expression" dxfId="1003" priority="860">
      <formula>R34=$D$155</formula>
    </cfRule>
    <cfRule type="expression" dxfId="1002" priority="861">
      <formula>R34=$D$154</formula>
    </cfRule>
  </conditionalFormatting>
  <conditionalFormatting sqref="V34:Y34">
    <cfRule type="expression" dxfId="1001" priority="856">
      <formula>V34=$D$156</formula>
    </cfRule>
    <cfRule type="expression" dxfId="1000" priority="857">
      <formula>V34=$D$155</formula>
    </cfRule>
    <cfRule type="expression" dxfId="999" priority="858">
      <formula>V34=$D$154</formula>
    </cfRule>
  </conditionalFormatting>
  <conditionalFormatting sqref="Z34:AC34">
    <cfRule type="expression" dxfId="998" priority="853">
      <formula>Z34=$D$156</formula>
    </cfRule>
    <cfRule type="expression" dxfId="997" priority="854">
      <formula>Z34=$D$155</formula>
    </cfRule>
    <cfRule type="expression" dxfId="996" priority="855">
      <formula>Z34=$D$154</formula>
    </cfRule>
  </conditionalFormatting>
  <conditionalFormatting sqref="AD34:AG34">
    <cfRule type="expression" dxfId="995" priority="850">
      <formula>AD34=$D$156</formula>
    </cfRule>
    <cfRule type="expression" dxfId="994" priority="851">
      <formula>AD34=$D$155</formula>
    </cfRule>
    <cfRule type="expression" dxfId="993" priority="852">
      <formula>AD34=$D$154</formula>
    </cfRule>
  </conditionalFormatting>
  <conditionalFormatting sqref="R45:U45">
    <cfRule type="expression" dxfId="992" priority="847">
      <formula>R45=$D$156</formula>
    </cfRule>
    <cfRule type="expression" dxfId="991" priority="848">
      <formula>R45=$D$155</formula>
    </cfRule>
    <cfRule type="expression" dxfId="990" priority="849">
      <formula>R45=$D$154</formula>
    </cfRule>
  </conditionalFormatting>
  <conditionalFormatting sqref="V45:Y45">
    <cfRule type="expression" dxfId="989" priority="844">
      <formula>V45=$D$156</formula>
    </cfRule>
    <cfRule type="expression" dxfId="988" priority="845">
      <formula>V45=$D$155</formula>
    </cfRule>
    <cfRule type="expression" dxfId="987" priority="846">
      <formula>V45=$D$154</formula>
    </cfRule>
  </conditionalFormatting>
  <conditionalFormatting sqref="Z45:AC45">
    <cfRule type="expression" dxfId="986" priority="841">
      <formula>Z45=$D$156</formula>
    </cfRule>
    <cfRule type="expression" dxfId="985" priority="842">
      <formula>Z45=$D$155</formula>
    </cfRule>
    <cfRule type="expression" dxfId="984" priority="843">
      <formula>Z45=$D$154</formula>
    </cfRule>
  </conditionalFormatting>
  <conditionalFormatting sqref="AD45:AG45">
    <cfRule type="expression" dxfId="983" priority="838">
      <formula>AD45=$D$156</formula>
    </cfRule>
    <cfRule type="expression" dxfId="982" priority="839">
      <formula>AD45=$D$155</formula>
    </cfRule>
    <cfRule type="expression" dxfId="981" priority="840">
      <formula>AD45=$D$154</formula>
    </cfRule>
  </conditionalFormatting>
  <conditionalFormatting sqref="J45 N45:Q45">
    <cfRule type="expression" dxfId="980" priority="835">
      <formula>J45=$D$156</formula>
    </cfRule>
    <cfRule type="expression" dxfId="979" priority="836">
      <formula>J45=$D$155</formula>
    </cfRule>
    <cfRule type="expression" dxfId="978" priority="837">
      <formula>J45=$D$154</formula>
    </cfRule>
  </conditionalFormatting>
  <conditionalFormatting sqref="J40:Q40">
    <cfRule type="expression" dxfId="977" priority="832">
      <formula>J40=$D$156</formula>
    </cfRule>
    <cfRule type="expression" dxfId="976" priority="833">
      <formula>J40=$D$155</formula>
    </cfRule>
    <cfRule type="expression" dxfId="975" priority="834">
      <formula>J40=$D$154</formula>
    </cfRule>
  </conditionalFormatting>
  <conditionalFormatting sqref="R40:U40">
    <cfRule type="expression" dxfId="974" priority="829">
      <formula>R40=$D$156</formula>
    </cfRule>
    <cfRule type="expression" dxfId="973" priority="830">
      <formula>R40=$D$155</formula>
    </cfRule>
    <cfRule type="expression" dxfId="972" priority="831">
      <formula>R40=$D$154</formula>
    </cfRule>
  </conditionalFormatting>
  <conditionalFormatting sqref="R61:U61">
    <cfRule type="expression" dxfId="971" priority="826">
      <formula>R61=$D$156</formula>
    </cfRule>
    <cfRule type="expression" dxfId="970" priority="827">
      <formula>R61=$D$155</formula>
    </cfRule>
    <cfRule type="expression" dxfId="969" priority="828">
      <formula>R61=$D$154</formula>
    </cfRule>
  </conditionalFormatting>
  <conditionalFormatting sqref="J61:Q61">
    <cfRule type="expression" dxfId="968" priority="823">
      <formula>J61=$D$156</formula>
    </cfRule>
    <cfRule type="expression" dxfId="967" priority="824">
      <formula>J61=$D$155</formula>
    </cfRule>
    <cfRule type="expression" dxfId="966" priority="825">
      <formula>J61=$D$154</formula>
    </cfRule>
  </conditionalFormatting>
  <conditionalFormatting sqref="R66:U66">
    <cfRule type="expression" dxfId="965" priority="820">
      <formula>R66=$D$156</formula>
    </cfRule>
    <cfRule type="expression" dxfId="964" priority="821">
      <formula>R66=$D$155</formula>
    </cfRule>
    <cfRule type="expression" dxfId="963" priority="822">
      <formula>R66=$D$154</formula>
    </cfRule>
  </conditionalFormatting>
  <conditionalFormatting sqref="V66:Y66">
    <cfRule type="expression" dxfId="962" priority="817">
      <formula>V66=$D$156</formula>
    </cfRule>
    <cfRule type="expression" dxfId="961" priority="818">
      <formula>V66=$D$155</formula>
    </cfRule>
    <cfRule type="expression" dxfId="960" priority="819">
      <formula>V66=$D$154</formula>
    </cfRule>
  </conditionalFormatting>
  <conditionalFormatting sqref="Z66:AC66">
    <cfRule type="expression" dxfId="959" priority="814">
      <formula>Z66=$D$156</formula>
    </cfRule>
    <cfRule type="expression" dxfId="958" priority="815">
      <formula>Z66=$D$155</formula>
    </cfRule>
    <cfRule type="expression" dxfId="957" priority="816">
      <formula>Z66=$D$154</formula>
    </cfRule>
  </conditionalFormatting>
  <conditionalFormatting sqref="AD66:AG66">
    <cfRule type="expression" dxfId="956" priority="811">
      <formula>AD66=$D$156</formula>
    </cfRule>
    <cfRule type="expression" dxfId="955" priority="812">
      <formula>AD66=$D$155</formula>
    </cfRule>
    <cfRule type="expression" dxfId="954" priority="813">
      <formula>AD66=$D$154</formula>
    </cfRule>
  </conditionalFormatting>
  <conditionalFormatting sqref="J66 N66:Q66">
    <cfRule type="expression" dxfId="953" priority="808">
      <formula>J66=$D$156</formula>
    </cfRule>
    <cfRule type="expression" dxfId="952" priority="809">
      <formula>J66=$D$155</formula>
    </cfRule>
    <cfRule type="expression" dxfId="951" priority="810">
      <formula>J66=$D$154</formula>
    </cfRule>
  </conditionalFormatting>
  <conditionalFormatting sqref="BV16:CO19">
    <cfRule type="expression" dxfId="950" priority="805">
      <formula>BV16=$D$156</formula>
    </cfRule>
    <cfRule type="expression" dxfId="949" priority="806">
      <formula>BV16=$D$155</formula>
    </cfRule>
    <cfRule type="expression" dxfId="948" priority="807">
      <formula>BV16=$D$154</formula>
    </cfRule>
  </conditionalFormatting>
  <conditionalFormatting sqref="CP16:DI19">
    <cfRule type="expression" dxfId="947" priority="802">
      <formula>CP16=$D$156</formula>
    </cfRule>
    <cfRule type="expression" dxfId="946" priority="803">
      <formula>CP16=$D$155</formula>
    </cfRule>
    <cfRule type="expression" dxfId="945" priority="804">
      <formula>CP16=$D$154</formula>
    </cfRule>
  </conditionalFormatting>
  <conditionalFormatting sqref="DJ16:EC19">
    <cfRule type="expression" dxfId="944" priority="799">
      <formula>DJ16=$D$156</formula>
    </cfRule>
    <cfRule type="expression" dxfId="943" priority="800">
      <formula>DJ16=$D$155</formula>
    </cfRule>
    <cfRule type="expression" dxfId="942" priority="801">
      <formula>DJ16=$D$154</formula>
    </cfRule>
  </conditionalFormatting>
  <conditionalFormatting sqref="ED16:EG19">
    <cfRule type="expression" dxfId="941" priority="796">
      <formula>ED16=$D$156</formula>
    </cfRule>
    <cfRule type="expression" dxfId="940" priority="797">
      <formula>ED16=$D$155</formula>
    </cfRule>
    <cfRule type="expression" dxfId="939" priority="798">
      <formula>ED16=$D$154</formula>
    </cfRule>
  </conditionalFormatting>
  <conditionalFormatting sqref="EX16:FQ19">
    <cfRule type="expression" dxfId="938" priority="793">
      <formula>EX16=$D$156</formula>
    </cfRule>
    <cfRule type="expression" dxfId="937" priority="794">
      <formula>EX16=$D$155</formula>
    </cfRule>
    <cfRule type="expression" dxfId="936" priority="795">
      <formula>EX16=$D$154</formula>
    </cfRule>
  </conditionalFormatting>
  <conditionalFormatting sqref="FR16:GK19">
    <cfRule type="expression" dxfId="935" priority="790">
      <formula>FR16=$D$156</formula>
    </cfRule>
    <cfRule type="expression" dxfId="934" priority="791">
      <formula>FR16=$D$155</formula>
    </cfRule>
    <cfRule type="expression" dxfId="933" priority="792">
      <formula>FR16=$D$154</formula>
    </cfRule>
  </conditionalFormatting>
  <conditionalFormatting sqref="GL16:HE19">
    <cfRule type="expression" dxfId="932" priority="787">
      <formula>GL16=$D$156</formula>
    </cfRule>
    <cfRule type="expression" dxfId="931" priority="788">
      <formula>GL16=$D$155</formula>
    </cfRule>
    <cfRule type="expression" dxfId="930" priority="789">
      <formula>GL16=$D$154</formula>
    </cfRule>
  </conditionalFormatting>
  <conditionalFormatting sqref="HF16:HY19">
    <cfRule type="expression" dxfId="929" priority="784">
      <formula>HF16=$D$156</formula>
    </cfRule>
    <cfRule type="expression" dxfId="928" priority="785">
      <formula>HF16=$D$155</formula>
    </cfRule>
    <cfRule type="expression" dxfId="927" priority="786">
      <formula>HF16=$D$154</formula>
    </cfRule>
  </conditionalFormatting>
  <conditionalFormatting sqref="HZ16:IS19">
    <cfRule type="expression" dxfId="926" priority="781">
      <formula>HZ16=$D$156</formula>
    </cfRule>
    <cfRule type="expression" dxfId="925" priority="782">
      <formula>HZ16=$D$155</formula>
    </cfRule>
    <cfRule type="expression" dxfId="924" priority="783">
      <formula>HZ16=$D$154</formula>
    </cfRule>
  </conditionalFormatting>
  <conditionalFormatting sqref="IT16:JM19">
    <cfRule type="expression" dxfId="923" priority="778">
      <formula>IT16=$D$156</formula>
    </cfRule>
    <cfRule type="expression" dxfId="922" priority="779">
      <formula>IT16=$D$155</formula>
    </cfRule>
    <cfRule type="expression" dxfId="921" priority="780">
      <formula>IT16=$D$154</formula>
    </cfRule>
  </conditionalFormatting>
  <conditionalFormatting sqref="JN16:KG19">
    <cfRule type="expression" dxfId="920" priority="775">
      <formula>JN16=$D$156</formula>
    </cfRule>
    <cfRule type="expression" dxfId="919" priority="776">
      <formula>JN16=$D$155</formula>
    </cfRule>
    <cfRule type="expression" dxfId="918" priority="777">
      <formula>JN16=$D$154</formula>
    </cfRule>
  </conditionalFormatting>
  <conditionalFormatting sqref="KH16:KS19">
    <cfRule type="expression" dxfId="917" priority="772">
      <formula>KH16=$D$156</formula>
    </cfRule>
    <cfRule type="expression" dxfId="916" priority="773">
      <formula>KH16=$D$155</formula>
    </cfRule>
    <cfRule type="expression" dxfId="915" priority="774">
      <formula>KH16=$D$154</formula>
    </cfRule>
  </conditionalFormatting>
  <conditionalFormatting sqref="EH16:EK19">
    <cfRule type="expression" dxfId="914" priority="769">
      <formula>EH16=$D$156</formula>
    </cfRule>
    <cfRule type="expression" dxfId="913" priority="770">
      <formula>EH16=$D$155</formula>
    </cfRule>
    <cfRule type="expression" dxfId="912" priority="771">
      <formula>EH16=$D$154</formula>
    </cfRule>
  </conditionalFormatting>
  <conditionalFormatting sqref="KT16:KW19">
    <cfRule type="expression" dxfId="911" priority="766">
      <formula>KT16=$D$156</formula>
    </cfRule>
    <cfRule type="expression" dxfId="910" priority="767">
      <formula>KT16=$D$155</formula>
    </cfRule>
    <cfRule type="expression" dxfId="909" priority="768">
      <formula>KT16=$D$154</formula>
    </cfRule>
  </conditionalFormatting>
  <conditionalFormatting sqref="AX24:BE24">
    <cfRule type="expression" dxfId="908" priority="763">
      <formula>AX24=$D$156</formula>
    </cfRule>
    <cfRule type="expression" dxfId="907" priority="764">
      <formula>AX24=$D$155</formula>
    </cfRule>
    <cfRule type="expression" dxfId="906" priority="765">
      <formula>AX24=$D$154</formula>
    </cfRule>
  </conditionalFormatting>
  <conditionalFormatting sqref="BF24:BI24">
    <cfRule type="expression" dxfId="905" priority="760">
      <formula>BF24=$D$156</formula>
    </cfRule>
    <cfRule type="expression" dxfId="904" priority="761">
      <formula>BF24=$D$155</formula>
    </cfRule>
    <cfRule type="expression" dxfId="903" priority="762">
      <formula>BF24=$D$154</formula>
    </cfRule>
  </conditionalFormatting>
  <conditionalFormatting sqref="AT24:AW24">
    <cfRule type="expression" dxfId="902" priority="757">
      <formula>AT24=$D$156</formula>
    </cfRule>
    <cfRule type="expression" dxfId="901" priority="758">
      <formula>AT24=$D$155</formula>
    </cfRule>
    <cfRule type="expression" dxfId="900" priority="759">
      <formula>AT24=$D$154</formula>
    </cfRule>
  </conditionalFormatting>
  <conditionalFormatting sqref="AH24:AK24">
    <cfRule type="expression" dxfId="899" priority="754">
      <formula>AH24=$D$156</formula>
    </cfRule>
    <cfRule type="expression" dxfId="898" priority="755">
      <formula>AH24=$D$155</formula>
    </cfRule>
    <cfRule type="expression" dxfId="897" priority="756">
      <formula>AH24=$D$154</formula>
    </cfRule>
  </conditionalFormatting>
  <conditionalFormatting sqref="AL34:AS34">
    <cfRule type="expression" dxfId="896" priority="751">
      <formula>AL34=$D$156</formula>
    </cfRule>
    <cfRule type="expression" dxfId="895" priority="752">
      <formula>AL34=$D$155</formula>
    </cfRule>
    <cfRule type="expression" dxfId="894" priority="753">
      <formula>AL34=$D$154</formula>
    </cfRule>
  </conditionalFormatting>
  <conditionalFormatting sqref="AX34:BE34">
    <cfRule type="expression" dxfId="893" priority="748">
      <formula>AX34=$D$156</formula>
    </cfRule>
    <cfRule type="expression" dxfId="892" priority="749">
      <formula>AX34=$D$155</formula>
    </cfRule>
    <cfRule type="expression" dxfId="891" priority="750">
      <formula>AX34=$D$154</formula>
    </cfRule>
  </conditionalFormatting>
  <conditionalFormatting sqref="AT34:AW34">
    <cfRule type="expression" dxfId="890" priority="745">
      <formula>AT34=$D$156</formula>
    </cfRule>
    <cfRule type="expression" dxfId="889" priority="746">
      <formula>AT34=$D$155</formula>
    </cfRule>
    <cfRule type="expression" dxfId="888" priority="747">
      <formula>AT34=$D$154</formula>
    </cfRule>
  </conditionalFormatting>
  <conditionalFormatting sqref="AH34:AK34">
    <cfRule type="expression" dxfId="887" priority="742">
      <formula>AH34=$D$156</formula>
    </cfRule>
    <cfRule type="expression" dxfId="886" priority="743">
      <formula>AH34=$D$155</formula>
    </cfRule>
    <cfRule type="expression" dxfId="885" priority="744">
      <formula>AH34=$D$154</formula>
    </cfRule>
  </conditionalFormatting>
  <conditionalFormatting sqref="AH50:AO50">
    <cfRule type="expression" dxfId="884" priority="739">
      <formula>AH50=$D$156</formula>
    </cfRule>
    <cfRule type="expression" dxfId="883" priority="740">
      <formula>AH50=$D$155</formula>
    </cfRule>
    <cfRule type="expression" dxfId="882" priority="741">
      <formula>AH50=$D$154</formula>
    </cfRule>
  </conditionalFormatting>
  <conditionalFormatting sqref="AP50:AW50">
    <cfRule type="expression" dxfId="881" priority="736">
      <formula>AP50=$D$156</formula>
    </cfRule>
    <cfRule type="expression" dxfId="880" priority="737">
      <formula>AP50=$D$155</formula>
    </cfRule>
    <cfRule type="expression" dxfId="879" priority="738">
      <formula>AP50=$D$154</formula>
    </cfRule>
  </conditionalFormatting>
  <conditionalFormatting sqref="AX50:BA50">
    <cfRule type="expression" dxfId="878" priority="733">
      <formula>AX50=$D$156</formula>
    </cfRule>
    <cfRule type="expression" dxfId="877" priority="734">
      <formula>AX50=$D$155</formula>
    </cfRule>
    <cfRule type="expression" dxfId="876" priority="735">
      <formula>AX50=$D$154</formula>
    </cfRule>
  </conditionalFormatting>
  <conditionalFormatting sqref="AH56:AO56">
    <cfRule type="expression" dxfId="875" priority="730">
      <formula>AH56=$D$156</formula>
    </cfRule>
    <cfRule type="expression" dxfId="874" priority="731">
      <formula>AH56=$D$155</formula>
    </cfRule>
    <cfRule type="expression" dxfId="873" priority="732">
      <formula>AH56=$D$154</formula>
    </cfRule>
  </conditionalFormatting>
  <conditionalFormatting sqref="AP56:AW56">
    <cfRule type="expression" dxfId="872" priority="727">
      <formula>AP56=$D$156</formula>
    </cfRule>
    <cfRule type="expression" dxfId="871" priority="728">
      <formula>AP56=$D$155</formula>
    </cfRule>
    <cfRule type="expression" dxfId="870" priority="729">
      <formula>AP56=$D$154</formula>
    </cfRule>
  </conditionalFormatting>
  <conditionalFormatting sqref="AX56:BA56">
    <cfRule type="expression" dxfId="869" priority="724">
      <formula>AX56=$D$156</formula>
    </cfRule>
    <cfRule type="expression" dxfId="868" priority="725">
      <formula>AX56=$D$155</formula>
    </cfRule>
    <cfRule type="expression" dxfId="867" priority="726">
      <formula>AX56=$D$154</formula>
    </cfRule>
  </conditionalFormatting>
  <conditionalFormatting sqref="A1:LD1 A3:LD6 A2:LB2 LD2 A8:LD8 A7:LB7 LD7 A10:LD15 A9:LB9 LD9 NW9:OA9 LG16:LG19 LG1:XB1 LG4:XB6 LH2:XB3 LH7:XB8 NW10:XB10 LG12:XB15 XD1:XFD68 A20:LD23 LD16:LD19 A25:LD28 LD24 A30:LD33 LD29 LD34 A41:LD42 LD40 LG30:XB33 LG29 LG34 A35:LD39 LZ29:XB29 NG34:XB34 LG45 LI45:LL45 A46:LD49 LD45 LG46:XB49 A51:LD55 LD50 LG50 NB50:XB50 LG51:XB55 A57:LD60 LD56 LG56 NB56:XB56 LD61 A67:LD68 LD66 LG67:XB68 LG66 LI66:LL66 LI16:XB19 LG20:XB28 LG35:XB42 LG57:XB63 A62:LD63 XD119:XFD1048576 A119:LD1048576 LG119:XB1048576 LF13:LF14 LF6:LF11 A77 G77:LD77 A78:LD115 A72:LD76 LF72:XB115 XD72:XFD115 N45:LB45 N66:LB66 A64:K64 N64:LD65 A43:K43 N43:LD44 LG43:LL44 LO43:XB45 LG64:LL65 LO64:XB66 A16:LB19 A24:LB24 A29:LB29 A34:LB34 A40:LB40 A44:J45 A50:LB50 A56:LB56 A61:LB61 A65:J66">
    <cfRule type="expression" priority="723">
      <formula>CELL("protect", INDIRECT(ADDRESS(ROW(),COLUMN())))=1</formula>
    </cfRule>
  </conditionalFormatting>
  <conditionalFormatting sqref="KX16:LA19">
    <cfRule type="expression" dxfId="866" priority="720">
      <formula>KX16=$D$156</formula>
    </cfRule>
    <cfRule type="expression" dxfId="865" priority="721">
      <formula>KX16=$D$155</formula>
    </cfRule>
    <cfRule type="expression" dxfId="864" priority="722">
      <formula>KX16=$D$154</formula>
    </cfRule>
  </conditionalFormatting>
  <conditionalFormatting sqref="J40:BU40">
    <cfRule type="expression" dxfId="863" priority="717">
      <formula>J40=$D$156</formula>
    </cfRule>
    <cfRule type="expression" dxfId="862" priority="718">
      <formula>J40=$D$155</formula>
    </cfRule>
    <cfRule type="expression" dxfId="861" priority="719">
      <formula>J40=$D$154</formula>
    </cfRule>
  </conditionalFormatting>
  <conditionalFormatting sqref="BV40:CO40">
    <cfRule type="expression" dxfId="860" priority="714">
      <formula>BV40=$D$156</formula>
    </cfRule>
    <cfRule type="expression" dxfId="859" priority="715">
      <formula>BV40=$D$155</formula>
    </cfRule>
    <cfRule type="expression" dxfId="858" priority="716">
      <formula>BV40=$D$154</formula>
    </cfRule>
  </conditionalFormatting>
  <conditionalFormatting sqref="CP40:DA40">
    <cfRule type="expression" dxfId="857" priority="711">
      <formula>CP40=$D$156</formula>
    </cfRule>
    <cfRule type="expression" dxfId="856" priority="712">
      <formula>CP40=$D$155</formula>
    </cfRule>
    <cfRule type="expression" dxfId="855" priority="713">
      <formula>CP40=$D$154</formula>
    </cfRule>
  </conditionalFormatting>
  <conditionalFormatting sqref="KX16:LA19">
    <cfRule type="expression" dxfId="854" priority="708">
      <formula>KX16=$D$156</formula>
    </cfRule>
    <cfRule type="expression" dxfId="853" priority="709">
      <formula>KX16=$D$155</formula>
    </cfRule>
    <cfRule type="expression" dxfId="852" priority="710">
      <formula>KX16=$D$154</formula>
    </cfRule>
  </conditionalFormatting>
  <conditionalFormatting sqref="V40:Y40">
    <cfRule type="expression" dxfId="851" priority="705">
      <formula>V40=$D$156</formula>
    </cfRule>
    <cfRule type="expression" dxfId="850" priority="706">
      <formula>V40=$D$155</formula>
    </cfRule>
    <cfRule type="expression" dxfId="849" priority="707">
      <formula>V40=$D$154</formula>
    </cfRule>
  </conditionalFormatting>
  <conditionalFormatting sqref="Z40:AC40">
    <cfRule type="expression" dxfId="848" priority="702">
      <formula>Z40=$D$156</formula>
    </cfRule>
    <cfRule type="expression" dxfId="847" priority="703">
      <formula>Z40=$D$155</formula>
    </cfRule>
    <cfRule type="expression" dxfId="846" priority="704">
      <formula>Z40=$D$154</formula>
    </cfRule>
  </conditionalFormatting>
  <conditionalFormatting sqref="AD40:AG40">
    <cfRule type="expression" dxfId="845" priority="699">
      <formula>AD40=$D$156</formula>
    </cfRule>
    <cfRule type="expression" dxfId="844" priority="700">
      <formula>AD40=$D$155</formula>
    </cfRule>
    <cfRule type="expression" dxfId="843" priority="701">
      <formula>AD40=$D$154</formula>
    </cfRule>
  </conditionalFormatting>
  <conditionalFormatting sqref="AH40:AK40">
    <cfRule type="expression" dxfId="842" priority="696">
      <formula>AH40=$D$156</formula>
    </cfRule>
    <cfRule type="expression" dxfId="841" priority="697">
      <formula>AH40=$D$155</formula>
    </cfRule>
    <cfRule type="expression" dxfId="840" priority="698">
      <formula>AH40=$D$154</formula>
    </cfRule>
  </conditionalFormatting>
  <conditionalFormatting sqref="AL40:AO40">
    <cfRule type="expression" dxfId="839" priority="693">
      <formula>AL40=$D$156</formula>
    </cfRule>
    <cfRule type="expression" dxfId="838" priority="694">
      <formula>AL40=$D$155</formula>
    </cfRule>
    <cfRule type="expression" dxfId="837" priority="695">
      <formula>AL40=$D$154</formula>
    </cfRule>
  </conditionalFormatting>
  <conditionalFormatting sqref="AP40:AS40">
    <cfRule type="expression" dxfId="836" priority="690">
      <formula>AP40=$D$156</formula>
    </cfRule>
    <cfRule type="expression" dxfId="835" priority="691">
      <formula>AP40=$D$155</formula>
    </cfRule>
    <cfRule type="expression" dxfId="834" priority="692">
      <formula>AP40=$D$154</formula>
    </cfRule>
  </conditionalFormatting>
  <conditionalFormatting sqref="AT40:AW40">
    <cfRule type="expression" dxfId="833" priority="687">
      <formula>AT40=$D$156</formula>
    </cfRule>
    <cfRule type="expression" dxfId="832" priority="688">
      <formula>AT40=$D$155</formula>
    </cfRule>
    <cfRule type="expression" dxfId="831" priority="689">
      <formula>AT40=$D$154</formula>
    </cfRule>
  </conditionalFormatting>
  <conditionalFormatting sqref="AX40:BA40">
    <cfRule type="expression" dxfId="830" priority="684">
      <formula>AX40=$D$156</formula>
    </cfRule>
    <cfRule type="expression" dxfId="829" priority="685">
      <formula>AX40=$D$155</formula>
    </cfRule>
    <cfRule type="expression" dxfId="828" priority="686">
      <formula>AX40=$D$154</formula>
    </cfRule>
  </conditionalFormatting>
  <conditionalFormatting sqref="BB40:BE40">
    <cfRule type="expression" dxfId="827" priority="681">
      <formula>BB40=$D$156</formula>
    </cfRule>
    <cfRule type="expression" dxfId="826" priority="682">
      <formula>BB40=$D$155</formula>
    </cfRule>
    <cfRule type="expression" dxfId="825" priority="683">
      <formula>BB40=$D$154</formula>
    </cfRule>
  </conditionalFormatting>
  <conditionalFormatting sqref="BF40:BI40">
    <cfRule type="expression" dxfId="824" priority="678">
      <formula>BF40=$D$156</formula>
    </cfRule>
    <cfRule type="expression" dxfId="823" priority="679">
      <formula>BF40=$D$155</formula>
    </cfRule>
    <cfRule type="expression" dxfId="822" priority="680">
      <formula>BF40=$D$154</formula>
    </cfRule>
  </conditionalFormatting>
  <conditionalFormatting sqref="BJ40:BM40">
    <cfRule type="expression" dxfId="821" priority="675">
      <formula>BJ40=$D$156</formula>
    </cfRule>
    <cfRule type="expression" dxfId="820" priority="676">
      <formula>BJ40=$D$155</formula>
    </cfRule>
    <cfRule type="expression" dxfId="819" priority="677">
      <formula>BJ40=$D$154</formula>
    </cfRule>
  </conditionalFormatting>
  <conditionalFormatting sqref="BN40:BQ40">
    <cfRule type="expression" dxfId="818" priority="672">
      <formula>BN40=$D$156</formula>
    </cfRule>
    <cfRule type="expression" dxfId="817" priority="673">
      <formula>BN40=$D$155</formula>
    </cfRule>
    <cfRule type="expression" dxfId="816" priority="674">
      <formula>BN40=$D$154</formula>
    </cfRule>
  </conditionalFormatting>
  <conditionalFormatting sqref="BR40:BU40">
    <cfRule type="expression" dxfId="815" priority="669">
      <formula>BR40=$D$156</formula>
    </cfRule>
    <cfRule type="expression" dxfId="814" priority="670">
      <formula>BR40=$D$155</formula>
    </cfRule>
    <cfRule type="expression" dxfId="813" priority="671">
      <formula>BR40=$D$154</formula>
    </cfRule>
  </conditionalFormatting>
  <conditionalFormatting sqref="BV40:BY40">
    <cfRule type="expression" dxfId="812" priority="666">
      <formula>BV40=$D$156</formula>
    </cfRule>
    <cfRule type="expression" dxfId="811" priority="667">
      <formula>BV40=$D$155</formula>
    </cfRule>
    <cfRule type="expression" dxfId="810" priority="668">
      <formula>BV40=$D$154</formula>
    </cfRule>
  </conditionalFormatting>
  <conditionalFormatting sqref="BV40:BY40">
    <cfRule type="expression" dxfId="809" priority="663">
      <formula>BV40=$D$156</formula>
    </cfRule>
    <cfRule type="expression" dxfId="808" priority="664">
      <formula>BV40=$D$155</formula>
    </cfRule>
    <cfRule type="expression" dxfId="807" priority="665">
      <formula>BV40=$D$154</formula>
    </cfRule>
  </conditionalFormatting>
  <conditionalFormatting sqref="BZ40:CC40">
    <cfRule type="expression" dxfId="806" priority="660">
      <formula>BZ40=$D$156</formula>
    </cfRule>
    <cfRule type="expression" dxfId="805" priority="661">
      <formula>BZ40=$D$155</formula>
    </cfRule>
    <cfRule type="expression" dxfId="804" priority="662">
      <formula>BZ40=$D$154</formula>
    </cfRule>
  </conditionalFormatting>
  <conditionalFormatting sqref="BZ40:CC40">
    <cfRule type="expression" dxfId="803" priority="657">
      <formula>BZ40=$D$156</formula>
    </cfRule>
    <cfRule type="expression" dxfId="802" priority="658">
      <formula>BZ40=$D$155</formula>
    </cfRule>
    <cfRule type="expression" dxfId="801" priority="659">
      <formula>BZ40=$D$154</formula>
    </cfRule>
  </conditionalFormatting>
  <conditionalFormatting sqref="CD40:CG40">
    <cfRule type="expression" dxfId="800" priority="654">
      <formula>CD40=$D$156</formula>
    </cfRule>
    <cfRule type="expression" dxfId="799" priority="655">
      <formula>CD40=$D$155</formula>
    </cfRule>
    <cfRule type="expression" dxfId="798" priority="656">
      <formula>CD40=$D$154</formula>
    </cfRule>
  </conditionalFormatting>
  <conditionalFormatting sqref="CD40:CG40">
    <cfRule type="expression" dxfId="797" priority="651">
      <formula>CD40=$D$156</formula>
    </cfRule>
    <cfRule type="expression" dxfId="796" priority="652">
      <formula>CD40=$D$155</formula>
    </cfRule>
    <cfRule type="expression" dxfId="795" priority="653">
      <formula>CD40=$D$154</formula>
    </cfRule>
  </conditionalFormatting>
  <conditionalFormatting sqref="CH40:CK40">
    <cfRule type="expression" dxfId="794" priority="648">
      <formula>CH40=$D$156</formula>
    </cfRule>
    <cfRule type="expression" dxfId="793" priority="649">
      <formula>CH40=$D$155</formula>
    </cfRule>
    <cfRule type="expression" dxfId="792" priority="650">
      <formula>CH40=$D$154</formula>
    </cfRule>
  </conditionalFormatting>
  <conditionalFormatting sqref="CH40:CK40">
    <cfRule type="expression" dxfId="791" priority="645">
      <formula>CH40=$D$156</formula>
    </cfRule>
    <cfRule type="expression" dxfId="790" priority="646">
      <formula>CH40=$D$155</formula>
    </cfRule>
    <cfRule type="expression" dxfId="789" priority="647">
      <formula>CH40=$D$154</formula>
    </cfRule>
  </conditionalFormatting>
  <conditionalFormatting sqref="CL40:CO40">
    <cfRule type="expression" dxfId="788" priority="642">
      <formula>CL40=$D$156</formula>
    </cfRule>
    <cfRule type="expression" dxfId="787" priority="643">
      <formula>CL40=$D$155</formula>
    </cfRule>
    <cfRule type="expression" dxfId="786" priority="644">
      <formula>CL40=$D$154</formula>
    </cfRule>
  </conditionalFormatting>
  <conditionalFormatting sqref="CL40:CO40">
    <cfRule type="expression" dxfId="785" priority="639">
      <formula>CL40=$D$156</formula>
    </cfRule>
    <cfRule type="expression" dxfId="784" priority="640">
      <formula>CL40=$D$155</formula>
    </cfRule>
    <cfRule type="expression" dxfId="783" priority="641">
      <formula>CL40=$D$154</formula>
    </cfRule>
  </conditionalFormatting>
  <conditionalFormatting sqref="CP40:CS40">
    <cfRule type="expression" dxfId="782" priority="636">
      <formula>CP40=$D$156</formula>
    </cfRule>
    <cfRule type="expression" dxfId="781" priority="637">
      <formula>CP40=$D$155</formula>
    </cfRule>
    <cfRule type="expression" dxfId="780" priority="638">
      <formula>CP40=$D$154</formula>
    </cfRule>
  </conditionalFormatting>
  <conditionalFormatting sqref="CP40:CS40">
    <cfRule type="expression" dxfId="779" priority="633">
      <formula>CP40=$D$156</formula>
    </cfRule>
    <cfRule type="expression" dxfId="778" priority="634">
      <formula>CP40=$D$155</formula>
    </cfRule>
    <cfRule type="expression" dxfId="777" priority="635">
      <formula>CP40=$D$154</formula>
    </cfRule>
  </conditionalFormatting>
  <conditionalFormatting sqref="CT40:CW40">
    <cfRule type="expression" dxfId="776" priority="630">
      <formula>CT40=$D$156</formula>
    </cfRule>
    <cfRule type="expression" dxfId="775" priority="631">
      <formula>CT40=$D$155</formula>
    </cfRule>
    <cfRule type="expression" dxfId="774" priority="632">
      <formula>CT40=$D$154</formula>
    </cfRule>
  </conditionalFormatting>
  <conditionalFormatting sqref="CT40:CW40">
    <cfRule type="expression" dxfId="773" priority="627">
      <formula>CT40=$D$156</formula>
    </cfRule>
    <cfRule type="expression" dxfId="772" priority="628">
      <formula>CT40=$D$155</formula>
    </cfRule>
    <cfRule type="expression" dxfId="771" priority="629">
      <formula>CT40=$D$154</formula>
    </cfRule>
  </conditionalFormatting>
  <conditionalFormatting sqref="CX40:DA40">
    <cfRule type="expression" dxfId="770" priority="624">
      <formula>CX40=$D$156</formula>
    </cfRule>
    <cfRule type="expression" dxfId="769" priority="625">
      <formula>CX40=$D$155</formula>
    </cfRule>
    <cfRule type="expression" dxfId="768" priority="626">
      <formula>CX40=$D$154</formula>
    </cfRule>
  </conditionalFormatting>
  <conditionalFormatting sqref="CX40:DA40">
    <cfRule type="expression" dxfId="767" priority="621">
      <formula>CX40=$D$156</formula>
    </cfRule>
    <cfRule type="expression" dxfId="766" priority="622">
      <formula>CX40=$D$155</formula>
    </cfRule>
    <cfRule type="expression" dxfId="765" priority="623">
      <formula>CX40=$D$154</formula>
    </cfRule>
  </conditionalFormatting>
  <conditionalFormatting sqref="LC7">
    <cfRule type="cellIs" dxfId="764" priority="620" operator="equal">
      <formula>0</formula>
    </cfRule>
  </conditionalFormatting>
  <conditionalFormatting sqref="LC66">
    <cfRule type="cellIs" dxfId="763" priority="619" operator="equal">
      <formula>0</formula>
    </cfRule>
  </conditionalFormatting>
  <conditionalFormatting sqref="LC16">
    <cfRule type="cellIs" dxfId="762" priority="618" operator="equal">
      <formula>0</formula>
    </cfRule>
  </conditionalFormatting>
  <conditionalFormatting sqref="LC17">
    <cfRule type="cellIs" dxfId="761" priority="617" operator="equal">
      <formula>0</formula>
    </cfRule>
  </conditionalFormatting>
  <conditionalFormatting sqref="LC18">
    <cfRule type="cellIs" dxfId="760" priority="616" operator="equal">
      <formula>0</formula>
    </cfRule>
  </conditionalFormatting>
  <conditionalFormatting sqref="LC19">
    <cfRule type="cellIs" dxfId="759" priority="615" operator="equal">
      <formula>0</formula>
    </cfRule>
  </conditionalFormatting>
  <conditionalFormatting sqref="LC24">
    <cfRule type="cellIs" dxfId="758" priority="614" operator="equal">
      <formula>0</formula>
    </cfRule>
  </conditionalFormatting>
  <conditionalFormatting sqref="LC29">
    <cfRule type="cellIs" dxfId="757" priority="613" operator="equal">
      <formula>0</formula>
    </cfRule>
  </conditionalFormatting>
  <conditionalFormatting sqref="LC34">
    <cfRule type="cellIs" dxfId="756" priority="612" operator="equal">
      <formula>0</formula>
    </cfRule>
  </conditionalFormatting>
  <conditionalFormatting sqref="LC40">
    <cfRule type="cellIs" dxfId="755" priority="611" operator="equal">
      <formula>0</formula>
    </cfRule>
  </conditionalFormatting>
  <conditionalFormatting sqref="LC45">
    <cfRule type="cellIs" dxfId="754" priority="610" operator="equal">
      <formula>0</formula>
    </cfRule>
  </conditionalFormatting>
  <conditionalFormatting sqref="LC50">
    <cfRule type="cellIs" dxfId="753" priority="609" operator="equal">
      <formula>0</formula>
    </cfRule>
  </conditionalFormatting>
  <conditionalFormatting sqref="LC56">
    <cfRule type="cellIs" dxfId="752" priority="608" operator="equal">
      <formula>0</formula>
    </cfRule>
  </conditionalFormatting>
  <conditionalFormatting sqref="LC61">
    <cfRule type="cellIs" dxfId="751" priority="607" operator="equal">
      <formula>0</formula>
    </cfRule>
  </conditionalFormatting>
  <conditionalFormatting sqref="LF119:LF1048576 LF1:LF5 LF16:LF22 LF24:LF27 LF29:LF32 LF34:LF38 LF40:LF43 LF45:LF48 LF50:LF54 LF56:LF59 LF61:LF64 LF66:LF68">
    <cfRule type="expression" priority="606">
      <formula>CELL("protect", INDIRECT(ADDRESS(ROW(),COLUMN())))=1</formula>
    </cfRule>
  </conditionalFormatting>
  <conditionalFormatting sqref="LF15">
    <cfRule type="expression" priority="605">
      <formula>CELL("protect", INDIRECT(ADDRESS(ROW(),COLUMN())))=1</formula>
    </cfRule>
  </conditionalFormatting>
  <conditionalFormatting sqref="LF23">
    <cfRule type="expression" priority="604">
      <formula>CELL("protect", INDIRECT(ADDRESS(ROW(),COLUMN())))=1</formula>
    </cfRule>
  </conditionalFormatting>
  <conditionalFormatting sqref="LF28">
    <cfRule type="expression" priority="603">
      <formula>CELL("protect", INDIRECT(ADDRESS(ROW(),COLUMN())))=1</formula>
    </cfRule>
  </conditionalFormatting>
  <conditionalFormatting sqref="LF33">
    <cfRule type="expression" priority="602">
      <formula>CELL("protect", INDIRECT(ADDRESS(ROW(),COLUMN())))=1</formula>
    </cfRule>
  </conditionalFormatting>
  <conditionalFormatting sqref="LF39">
    <cfRule type="expression" priority="601">
      <formula>CELL("protect", INDIRECT(ADDRESS(ROW(),COLUMN())))=1</formula>
    </cfRule>
  </conditionalFormatting>
  <conditionalFormatting sqref="LF44">
    <cfRule type="expression" priority="600">
      <formula>CELL("protect", INDIRECT(ADDRESS(ROW(),COLUMN())))=1</formula>
    </cfRule>
  </conditionalFormatting>
  <conditionalFormatting sqref="LF49">
    <cfRule type="expression" priority="599">
      <formula>CELL("protect", INDIRECT(ADDRESS(ROW(),COLUMN())))=1</formula>
    </cfRule>
  </conditionalFormatting>
  <conditionalFormatting sqref="LF55">
    <cfRule type="expression" priority="598">
      <formula>CELL("protect", INDIRECT(ADDRESS(ROW(),COLUMN())))=1</formula>
    </cfRule>
  </conditionalFormatting>
  <conditionalFormatting sqref="LF60">
    <cfRule type="expression" priority="597">
      <formula>CELL("protect", INDIRECT(ADDRESS(ROW(),COLUMN())))=1</formula>
    </cfRule>
  </conditionalFormatting>
  <conditionalFormatting sqref="LF65">
    <cfRule type="expression" priority="596">
      <formula>CELL("protect", INDIRECT(ADDRESS(ROW(),COLUMN())))=1</formula>
    </cfRule>
  </conditionalFormatting>
  <conditionalFormatting sqref="CI16:CS19">
    <cfRule type="expression" dxfId="750" priority="593">
      <formula>CI16=$D$156</formula>
    </cfRule>
    <cfRule type="expression" dxfId="749" priority="594">
      <formula>CI16=$D$155</formula>
    </cfRule>
    <cfRule type="expression" dxfId="748" priority="595">
      <formula>CI16=$D$154</formula>
    </cfRule>
  </conditionalFormatting>
  <conditionalFormatting sqref="CT16:DD19">
    <cfRule type="expression" dxfId="747" priority="590">
      <formula>CT16=$D$156</formula>
    </cfRule>
    <cfRule type="expression" dxfId="746" priority="591">
      <formula>CT16=$D$155</formula>
    </cfRule>
    <cfRule type="expression" dxfId="745" priority="592">
      <formula>CT16=$D$154</formula>
    </cfRule>
  </conditionalFormatting>
  <conditionalFormatting sqref="DG16:DQ19">
    <cfRule type="expression" dxfId="744" priority="587">
      <formula>DG16=$D$156</formula>
    </cfRule>
    <cfRule type="expression" dxfId="743" priority="588">
      <formula>DG16=$D$155</formula>
    </cfRule>
    <cfRule type="expression" dxfId="742" priority="589">
      <formula>DG16=$D$154</formula>
    </cfRule>
  </conditionalFormatting>
  <conditionalFormatting sqref="DR16:EB19">
    <cfRule type="expression" dxfId="741" priority="584">
      <formula>DR16=$D$156</formula>
    </cfRule>
    <cfRule type="expression" dxfId="740" priority="585">
      <formula>DR16=$D$155</formula>
    </cfRule>
    <cfRule type="expression" dxfId="739" priority="586">
      <formula>DR16=$D$154</formula>
    </cfRule>
  </conditionalFormatting>
  <conditionalFormatting sqref="CQ16:DP19">
    <cfRule type="expression" dxfId="738" priority="581">
      <formula>CQ16=$D$156</formula>
    </cfRule>
    <cfRule type="expression" dxfId="737" priority="582">
      <formula>CQ16=$D$155</formula>
    </cfRule>
    <cfRule type="expression" dxfId="736" priority="583">
      <formula>CQ16=$D$154</formula>
    </cfRule>
  </conditionalFormatting>
  <conditionalFormatting sqref="FW16:GV19">
    <cfRule type="expression" dxfId="735" priority="578">
      <formula>FW16=$D$156</formula>
    </cfRule>
    <cfRule type="expression" dxfId="734" priority="579">
      <formula>FW16=$D$155</formula>
    </cfRule>
    <cfRule type="expression" dxfId="733" priority="580">
      <formula>FW16=$D$154</formula>
    </cfRule>
  </conditionalFormatting>
  <conditionalFormatting sqref="GY16:HX19">
    <cfRule type="expression" dxfId="732" priority="575">
      <formula>GY16=$D$156</formula>
    </cfRule>
    <cfRule type="expression" dxfId="731" priority="576">
      <formula>GY16=$D$155</formula>
    </cfRule>
    <cfRule type="expression" dxfId="730" priority="577">
      <formula>GY16=$D$154</formula>
    </cfRule>
  </conditionalFormatting>
  <conditionalFormatting sqref="IA16:IZ19">
    <cfRule type="expression" dxfId="729" priority="572">
      <formula>IA16=$D$156</formula>
    </cfRule>
    <cfRule type="expression" dxfId="728" priority="573">
      <formula>IA16=$D$155</formula>
    </cfRule>
    <cfRule type="expression" dxfId="727" priority="574">
      <formula>IA16=$D$154</formula>
    </cfRule>
  </conditionalFormatting>
  <conditionalFormatting sqref="JC16:KB19">
    <cfRule type="expression" dxfId="726" priority="569">
      <formula>JC16=$D$156</formula>
    </cfRule>
    <cfRule type="expression" dxfId="725" priority="570">
      <formula>JC16=$D$155</formula>
    </cfRule>
    <cfRule type="expression" dxfId="724" priority="571">
      <formula>JC16=$D$154</formula>
    </cfRule>
  </conditionalFormatting>
  <conditionalFormatting sqref="LH66">
    <cfRule type="expression" priority="568">
      <formula>CELL("protect", INDIRECT(ADDRESS(ROW(),COLUMN())))=1</formula>
    </cfRule>
  </conditionalFormatting>
  <conditionalFormatting sqref="KE16:KF19">
    <cfRule type="expression" dxfId="723" priority="565">
      <formula>KE16=$D$156</formula>
    </cfRule>
    <cfRule type="expression" dxfId="722" priority="566">
      <formula>KE16=$D$155</formula>
    </cfRule>
    <cfRule type="expression" dxfId="721" priority="567">
      <formula>KE16=$D$154</formula>
    </cfRule>
  </conditionalFormatting>
  <conditionalFormatting sqref="KI16:KJ19">
    <cfRule type="expression" dxfId="720" priority="562">
      <formula>KI16=$D$156</formula>
    </cfRule>
    <cfRule type="expression" dxfId="719" priority="563">
      <formula>KI16=$D$155</formula>
    </cfRule>
    <cfRule type="expression" dxfId="718" priority="564">
      <formula>KI16=$D$154</formula>
    </cfRule>
  </conditionalFormatting>
  <conditionalFormatting sqref="KI16:KJ19">
    <cfRule type="expression" dxfId="717" priority="559">
      <formula>KI16=$D$156</formula>
    </cfRule>
    <cfRule type="expression" dxfId="716" priority="560">
      <formula>KI16=$D$155</formula>
    </cfRule>
    <cfRule type="expression" dxfId="715" priority="561">
      <formula>KI16=$D$154</formula>
    </cfRule>
  </conditionalFormatting>
  <conditionalFormatting sqref="KM16:KN19">
    <cfRule type="expression" dxfId="714" priority="556">
      <formula>KM16=$D$156</formula>
    </cfRule>
    <cfRule type="expression" dxfId="713" priority="557">
      <formula>KM16=$D$155</formula>
    </cfRule>
    <cfRule type="expression" dxfId="712" priority="558">
      <formula>KM16=$D$154</formula>
    </cfRule>
  </conditionalFormatting>
  <conditionalFormatting sqref="KM16:KN19">
    <cfRule type="expression" dxfId="711" priority="553">
      <formula>KM16=$D$156</formula>
    </cfRule>
    <cfRule type="expression" dxfId="710" priority="554">
      <formula>KM16=$D$155</formula>
    </cfRule>
    <cfRule type="expression" dxfId="709" priority="555">
      <formula>KM16=$D$154</formula>
    </cfRule>
  </conditionalFormatting>
  <conditionalFormatting sqref="KQ16:KR19">
    <cfRule type="expression" dxfId="708" priority="550">
      <formula>KQ16=$D$156</formula>
    </cfRule>
    <cfRule type="expression" dxfId="707" priority="551">
      <formula>KQ16=$D$155</formula>
    </cfRule>
    <cfRule type="expression" dxfId="706" priority="552">
      <formula>KQ16=$D$154</formula>
    </cfRule>
  </conditionalFormatting>
  <conditionalFormatting sqref="KQ16:KR19">
    <cfRule type="expression" dxfId="705" priority="547">
      <formula>KQ16=$D$156</formula>
    </cfRule>
    <cfRule type="expression" dxfId="704" priority="548">
      <formula>KQ16=$D$155</formula>
    </cfRule>
    <cfRule type="expression" dxfId="703" priority="549">
      <formula>KQ16=$D$154</formula>
    </cfRule>
  </conditionalFormatting>
  <conditionalFormatting sqref="KU16:KV19">
    <cfRule type="expression" dxfId="702" priority="544">
      <formula>KU16=$D$156</formula>
    </cfRule>
    <cfRule type="expression" dxfId="701" priority="545">
      <formula>KU16=$D$155</formula>
    </cfRule>
    <cfRule type="expression" dxfId="700" priority="546">
      <formula>KU16=$D$154</formula>
    </cfRule>
  </conditionalFormatting>
  <conditionalFormatting sqref="KU16:KV19">
    <cfRule type="expression" dxfId="699" priority="541">
      <formula>KU16=$D$156</formula>
    </cfRule>
    <cfRule type="expression" dxfId="698" priority="542">
      <formula>KU16=$D$155</formula>
    </cfRule>
    <cfRule type="expression" dxfId="697" priority="543">
      <formula>KU16=$D$154</formula>
    </cfRule>
  </conditionalFormatting>
  <conditionalFormatting sqref="KY16:KZ19">
    <cfRule type="expression" dxfId="696" priority="538">
      <formula>KY16=$D$156</formula>
    </cfRule>
    <cfRule type="expression" dxfId="695" priority="539">
      <formula>KY16=$D$155</formula>
    </cfRule>
    <cfRule type="expression" dxfId="694" priority="540">
      <formula>KY16=$D$154</formula>
    </cfRule>
  </conditionalFormatting>
  <conditionalFormatting sqref="KY16:KZ19">
    <cfRule type="expression" dxfId="693" priority="535">
      <formula>KY16=$D$156</formula>
    </cfRule>
    <cfRule type="expression" dxfId="692" priority="536">
      <formula>KY16=$D$155</formula>
    </cfRule>
    <cfRule type="expression" dxfId="691" priority="537">
      <formula>KY16=$D$154</formula>
    </cfRule>
  </conditionalFormatting>
  <conditionalFormatting sqref="LH16:LH19">
    <cfRule type="expression" priority="534">
      <formula>CELL("protect", INDIRECT(ADDRESS(ROW(),COLUMN())))=1</formula>
    </cfRule>
  </conditionalFormatting>
  <conditionalFormatting sqref="AI24:AJ24">
    <cfRule type="expression" dxfId="690" priority="531">
      <formula>AI24=$D$156</formula>
    </cfRule>
    <cfRule type="expression" dxfId="689" priority="532">
      <formula>AI24=$D$155</formula>
    </cfRule>
    <cfRule type="expression" dxfId="688" priority="533">
      <formula>AI24=$D$154</formula>
    </cfRule>
  </conditionalFormatting>
  <conditionalFormatting sqref="AM24:BI24">
    <cfRule type="expression" dxfId="687" priority="528">
      <formula>AM24=$D$156</formula>
    </cfRule>
    <cfRule type="expression" dxfId="686" priority="529">
      <formula>AM24=$D$155</formula>
    </cfRule>
    <cfRule type="expression" dxfId="685" priority="530">
      <formula>AM24=$D$154</formula>
    </cfRule>
  </conditionalFormatting>
  <conditionalFormatting sqref="BJ24:BL24">
    <cfRule type="expression" dxfId="684" priority="525">
      <formula>BJ24=$D$156</formula>
    </cfRule>
    <cfRule type="expression" dxfId="683" priority="526">
      <formula>BJ24=$D$155</formula>
    </cfRule>
    <cfRule type="expression" dxfId="682" priority="527">
      <formula>BJ24=$D$154</formula>
    </cfRule>
  </conditionalFormatting>
  <conditionalFormatting sqref="BK24:BL24">
    <cfRule type="expression" dxfId="681" priority="522">
      <formula>BK24=$D$156</formula>
    </cfRule>
    <cfRule type="expression" dxfId="680" priority="523">
      <formula>BK24=$D$155</formula>
    </cfRule>
    <cfRule type="expression" dxfId="679" priority="524">
      <formula>BK24=$D$154</formula>
    </cfRule>
  </conditionalFormatting>
  <conditionalFormatting sqref="J29:X29">
    <cfRule type="expression" dxfId="678" priority="519">
      <formula>J29=$D$156</formula>
    </cfRule>
    <cfRule type="expression" dxfId="677" priority="520">
      <formula>J29=$D$155</formula>
    </cfRule>
    <cfRule type="expression" dxfId="676" priority="521">
      <formula>J29=$D$154</formula>
    </cfRule>
  </conditionalFormatting>
  <conditionalFormatting sqref="LH29:LY29">
    <cfRule type="expression" priority="518">
      <formula>CELL("protect", INDIRECT(ADDRESS(ROW(),COLUMN())))=1</formula>
    </cfRule>
  </conditionalFormatting>
  <conditionalFormatting sqref="AL34:AS34">
    <cfRule type="expression" dxfId="675" priority="515">
      <formula>AL34=$D$156</formula>
    </cfRule>
    <cfRule type="expression" dxfId="674" priority="516">
      <formula>AL34=$D$155</formula>
    </cfRule>
    <cfRule type="expression" dxfId="673" priority="517">
      <formula>AL34=$D$154</formula>
    </cfRule>
  </conditionalFormatting>
  <conditionalFormatting sqref="J34:AG34">
    <cfRule type="expression" dxfId="672" priority="512">
      <formula>J34=$D$156</formula>
    </cfRule>
    <cfRule type="expression" dxfId="671" priority="513">
      <formula>J34=$D$155</formula>
    </cfRule>
    <cfRule type="expression" dxfId="670" priority="514">
      <formula>J34=$D$154</formula>
    </cfRule>
  </conditionalFormatting>
  <conditionalFormatting sqref="AX34:BE34">
    <cfRule type="expression" dxfId="669" priority="509">
      <formula>AX34=$D$156</formula>
    </cfRule>
    <cfRule type="expression" dxfId="668" priority="510">
      <formula>AX34=$D$155</formula>
    </cfRule>
    <cfRule type="expression" dxfId="667" priority="511">
      <formula>AX34=$D$154</formula>
    </cfRule>
  </conditionalFormatting>
  <conditionalFormatting sqref="AT34:AW34">
    <cfRule type="expression" dxfId="666" priority="506">
      <formula>AT34=$D$156</formula>
    </cfRule>
    <cfRule type="expression" dxfId="665" priority="507">
      <formula>AT34=$D$155</formula>
    </cfRule>
    <cfRule type="expression" dxfId="664" priority="508">
      <formula>AT34=$D$154</formula>
    </cfRule>
  </conditionalFormatting>
  <conditionalFormatting sqref="AH34:AK34">
    <cfRule type="expression" dxfId="663" priority="503">
      <formula>AH34=$D$156</formula>
    </cfRule>
    <cfRule type="expression" dxfId="662" priority="504">
      <formula>AH34=$D$155</formula>
    </cfRule>
    <cfRule type="expression" dxfId="661" priority="505">
      <formula>AH34=$D$154</formula>
    </cfRule>
  </conditionalFormatting>
  <conditionalFormatting sqref="AI34:AJ34">
    <cfRule type="expression" dxfId="660" priority="500">
      <formula>AI34=$D$156</formula>
    </cfRule>
    <cfRule type="expression" dxfId="659" priority="501">
      <formula>AI34=$D$155</formula>
    </cfRule>
    <cfRule type="expression" dxfId="658" priority="502">
      <formula>AI34=$D$154</formula>
    </cfRule>
  </conditionalFormatting>
  <conditionalFormatting sqref="AM34:BE34">
    <cfRule type="expression" dxfId="657" priority="497">
      <formula>AM34=$D$156</formula>
    </cfRule>
    <cfRule type="expression" dxfId="656" priority="498">
      <formula>AM34=$D$155</formula>
    </cfRule>
    <cfRule type="expression" dxfId="655" priority="499">
      <formula>AM34=$D$154</formula>
    </cfRule>
  </conditionalFormatting>
  <conditionalFormatting sqref="LH34:NF34">
    <cfRule type="expression" priority="496">
      <formula>CELL("protect", INDIRECT(ADDRESS(ROW(),COLUMN())))=1</formula>
    </cfRule>
  </conditionalFormatting>
  <conditionalFormatting sqref="J40:Q40">
    <cfRule type="expression" dxfId="654" priority="493">
      <formula>J40=$D$156</formula>
    </cfRule>
    <cfRule type="expression" dxfId="653" priority="494">
      <formula>J40=$D$155</formula>
    </cfRule>
    <cfRule type="expression" dxfId="652" priority="495">
      <formula>J40=$D$154</formula>
    </cfRule>
  </conditionalFormatting>
  <conditionalFormatting sqref="R40:U40">
    <cfRule type="expression" dxfId="651" priority="490">
      <formula>R40=$D$156</formula>
    </cfRule>
    <cfRule type="expression" dxfId="650" priority="491">
      <formula>R40=$D$155</formula>
    </cfRule>
    <cfRule type="expression" dxfId="649" priority="492">
      <formula>R40=$D$154</formula>
    </cfRule>
  </conditionalFormatting>
  <conditionalFormatting sqref="V40:Y40">
    <cfRule type="expression" dxfId="648" priority="487">
      <formula>V40=$D$156</formula>
    </cfRule>
    <cfRule type="expression" dxfId="647" priority="488">
      <formula>V40=$D$155</formula>
    </cfRule>
    <cfRule type="expression" dxfId="646" priority="489">
      <formula>V40=$D$154</formula>
    </cfRule>
  </conditionalFormatting>
  <conditionalFormatting sqref="Z40:AC40">
    <cfRule type="expression" dxfId="645" priority="484">
      <formula>Z40=$D$156</formula>
    </cfRule>
    <cfRule type="expression" dxfId="644" priority="485">
      <formula>Z40=$D$155</formula>
    </cfRule>
    <cfRule type="expression" dxfId="643" priority="486">
      <formula>Z40=$D$154</formula>
    </cfRule>
  </conditionalFormatting>
  <conditionalFormatting sqref="AD40:AG40">
    <cfRule type="expression" dxfId="642" priority="481">
      <formula>AD40=$D$156</formula>
    </cfRule>
    <cfRule type="expression" dxfId="641" priority="482">
      <formula>AD40=$D$155</formula>
    </cfRule>
    <cfRule type="expression" dxfId="640" priority="483">
      <formula>AD40=$D$154</formula>
    </cfRule>
  </conditionalFormatting>
  <conditionalFormatting sqref="AL40:AS40">
    <cfRule type="expression" dxfId="639" priority="478">
      <formula>AL40=$D$156</formula>
    </cfRule>
    <cfRule type="expression" dxfId="638" priority="479">
      <formula>AL40=$D$155</formula>
    </cfRule>
    <cfRule type="expression" dxfId="637" priority="480">
      <formula>AL40=$D$154</formula>
    </cfRule>
  </conditionalFormatting>
  <conditionalFormatting sqref="AX40:BD40">
    <cfRule type="expression" dxfId="636" priority="475">
      <formula>AX40=$D$156</formula>
    </cfRule>
    <cfRule type="expression" dxfId="635" priority="476">
      <formula>AX40=$D$155</formula>
    </cfRule>
    <cfRule type="expression" dxfId="634" priority="477">
      <formula>AX40=$D$154</formula>
    </cfRule>
  </conditionalFormatting>
  <conditionalFormatting sqref="AT40:AW40">
    <cfRule type="expression" dxfId="633" priority="472">
      <formula>AT40=$D$156</formula>
    </cfRule>
    <cfRule type="expression" dxfId="632" priority="473">
      <formula>AT40=$D$155</formula>
    </cfRule>
    <cfRule type="expression" dxfId="631" priority="474">
      <formula>AT40=$D$154</formula>
    </cfRule>
  </conditionalFormatting>
  <conditionalFormatting sqref="AH40:AK40">
    <cfRule type="expression" dxfId="630" priority="469">
      <formula>AH40=$D$156</formula>
    </cfRule>
    <cfRule type="expression" dxfId="629" priority="470">
      <formula>AH40=$D$155</formula>
    </cfRule>
    <cfRule type="expression" dxfId="628" priority="471">
      <formula>AH40=$D$154</formula>
    </cfRule>
  </conditionalFormatting>
  <conditionalFormatting sqref="AL40:AS40">
    <cfRule type="expression" dxfId="627" priority="466">
      <formula>AL40=$D$156</formula>
    </cfRule>
    <cfRule type="expression" dxfId="626" priority="467">
      <formula>AL40=$D$155</formula>
    </cfRule>
    <cfRule type="expression" dxfId="625" priority="468">
      <formula>AL40=$D$154</formula>
    </cfRule>
  </conditionalFormatting>
  <conditionalFormatting sqref="J40:AG40">
    <cfRule type="expression" dxfId="624" priority="463">
      <formula>J40=$D$156</formula>
    </cfRule>
    <cfRule type="expression" dxfId="623" priority="464">
      <formula>J40=$D$155</formula>
    </cfRule>
    <cfRule type="expression" dxfId="622" priority="465">
      <formula>J40=$D$154</formula>
    </cfRule>
  </conditionalFormatting>
  <conditionalFormatting sqref="AX40:BD40">
    <cfRule type="expression" dxfId="621" priority="460">
      <formula>AX40=$D$156</formula>
    </cfRule>
    <cfRule type="expression" dxfId="620" priority="461">
      <formula>AX40=$D$155</formula>
    </cfRule>
    <cfRule type="expression" dxfId="619" priority="462">
      <formula>AX40=$D$154</formula>
    </cfRule>
  </conditionalFormatting>
  <conditionalFormatting sqref="AT40:AW40">
    <cfRule type="expression" dxfId="618" priority="457">
      <formula>AT40=$D$156</formula>
    </cfRule>
    <cfRule type="expression" dxfId="617" priority="458">
      <formula>AT40=$D$155</formula>
    </cfRule>
    <cfRule type="expression" dxfId="616" priority="459">
      <formula>AT40=$D$154</formula>
    </cfRule>
  </conditionalFormatting>
  <conditionalFormatting sqref="AH40:AK40">
    <cfRule type="expression" dxfId="615" priority="454">
      <formula>AH40=$D$156</formula>
    </cfRule>
    <cfRule type="expression" dxfId="614" priority="455">
      <formula>AH40=$D$155</formula>
    </cfRule>
    <cfRule type="expression" dxfId="613" priority="456">
      <formula>AH40=$D$154</formula>
    </cfRule>
  </conditionalFormatting>
  <conditionalFormatting sqref="AI40:AJ40">
    <cfRule type="expression" dxfId="612" priority="451">
      <formula>AI40=$D$156</formula>
    </cfRule>
    <cfRule type="expression" dxfId="611" priority="452">
      <formula>AI40=$D$155</formula>
    </cfRule>
    <cfRule type="expression" dxfId="610" priority="453">
      <formula>AI40=$D$154</formula>
    </cfRule>
  </conditionalFormatting>
  <conditionalFormatting sqref="AM40:BD40">
    <cfRule type="expression" dxfId="609" priority="448">
      <formula>AM40=$D$156</formula>
    </cfRule>
    <cfRule type="expression" dxfId="608" priority="449">
      <formula>AM40=$D$155</formula>
    </cfRule>
    <cfRule type="expression" dxfId="607" priority="450">
      <formula>AM40=$D$154</formula>
    </cfRule>
  </conditionalFormatting>
  <conditionalFormatting sqref="BG40:BH40">
    <cfRule type="expression" dxfId="606" priority="445">
      <formula>BG40=$D$156</formula>
    </cfRule>
    <cfRule type="expression" dxfId="605" priority="446">
      <formula>BG40=$D$155</formula>
    </cfRule>
    <cfRule type="expression" dxfId="604" priority="447">
      <formula>BG40=$D$154</formula>
    </cfRule>
  </conditionalFormatting>
  <conditionalFormatting sqref="BG40:BH40">
    <cfRule type="expression" dxfId="603" priority="442">
      <formula>BG40=$D$156</formula>
    </cfRule>
    <cfRule type="expression" dxfId="602" priority="443">
      <formula>BG40=$D$155</formula>
    </cfRule>
    <cfRule type="expression" dxfId="601" priority="444">
      <formula>BG40=$D$154</formula>
    </cfRule>
  </conditionalFormatting>
  <conditionalFormatting sqref="BG40:BH40">
    <cfRule type="expression" dxfId="600" priority="439">
      <formula>BG40=$D$156</formula>
    </cfRule>
    <cfRule type="expression" dxfId="599" priority="440">
      <formula>BG40=$D$155</formula>
    </cfRule>
    <cfRule type="expression" dxfId="598" priority="441">
      <formula>BG40=$D$154</formula>
    </cfRule>
  </conditionalFormatting>
  <conditionalFormatting sqref="BG40:BH40">
    <cfRule type="expression" dxfId="597" priority="436">
      <formula>BG40=$D$156</formula>
    </cfRule>
    <cfRule type="expression" dxfId="596" priority="437">
      <formula>BG40=$D$155</formula>
    </cfRule>
    <cfRule type="expression" dxfId="595" priority="438">
      <formula>BG40=$D$154</formula>
    </cfRule>
  </conditionalFormatting>
  <conditionalFormatting sqref="BK40:BL40">
    <cfRule type="expression" dxfId="594" priority="433">
      <formula>BK40=$D$156</formula>
    </cfRule>
    <cfRule type="expression" dxfId="593" priority="434">
      <formula>BK40=$D$155</formula>
    </cfRule>
    <cfRule type="expression" dxfId="592" priority="435">
      <formula>BK40=$D$154</formula>
    </cfRule>
  </conditionalFormatting>
  <conditionalFormatting sqref="BK40:BL40">
    <cfRule type="expression" dxfId="591" priority="430">
      <formula>BK40=$D$156</formula>
    </cfRule>
    <cfRule type="expression" dxfId="590" priority="431">
      <formula>BK40=$D$155</formula>
    </cfRule>
    <cfRule type="expression" dxfId="589" priority="432">
      <formula>BK40=$D$154</formula>
    </cfRule>
  </conditionalFormatting>
  <conditionalFormatting sqref="BK40:BL40">
    <cfRule type="expression" dxfId="588" priority="427">
      <formula>BK40=$D$156</formula>
    </cfRule>
    <cfRule type="expression" dxfId="587" priority="428">
      <formula>BK40=$D$155</formula>
    </cfRule>
    <cfRule type="expression" dxfId="586" priority="429">
      <formula>BK40=$D$154</formula>
    </cfRule>
  </conditionalFormatting>
  <conditionalFormatting sqref="BK40:BL40">
    <cfRule type="expression" dxfId="585" priority="424">
      <formula>BK40=$D$156</formula>
    </cfRule>
    <cfRule type="expression" dxfId="584" priority="425">
      <formula>BK40=$D$155</formula>
    </cfRule>
    <cfRule type="expression" dxfId="583" priority="426">
      <formula>BK40=$D$154</formula>
    </cfRule>
  </conditionalFormatting>
  <conditionalFormatting sqref="BO40:BP40">
    <cfRule type="expression" dxfId="582" priority="421">
      <formula>BO40=$D$156</formula>
    </cfRule>
    <cfRule type="expression" dxfId="581" priority="422">
      <formula>BO40=$D$155</formula>
    </cfRule>
    <cfRule type="expression" dxfId="580" priority="423">
      <formula>BO40=$D$154</formula>
    </cfRule>
  </conditionalFormatting>
  <conditionalFormatting sqref="BO40:BP40">
    <cfRule type="expression" dxfId="579" priority="418">
      <formula>BO40=$D$156</formula>
    </cfRule>
    <cfRule type="expression" dxfId="578" priority="419">
      <formula>BO40=$D$155</formula>
    </cfRule>
    <cfRule type="expression" dxfId="577" priority="420">
      <formula>BO40=$D$154</formula>
    </cfRule>
  </conditionalFormatting>
  <conditionalFormatting sqref="BO40:BP40">
    <cfRule type="expression" dxfId="576" priority="415">
      <formula>BO40=$D$156</formula>
    </cfRule>
    <cfRule type="expression" dxfId="575" priority="416">
      <formula>BO40=$D$155</formula>
    </cfRule>
    <cfRule type="expression" dxfId="574" priority="417">
      <formula>BO40=$D$154</formula>
    </cfRule>
  </conditionalFormatting>
  <conditionalFormatting sqref="BO40:BP40">
    <cfRule type="expression" dxfId="573" priority="412">
      <formula>BO40=$D$156</formula>
    </cfRule>
    <cfRule type="expression" dxfId="572" priority="413">
      <formula>BO40=$D$155</formula>
    </cfRule>
    <cfRule type="expression" dxfId="571" priority="414">
      <formula>BO40=$D$154</formula>
    </cfRule>
  </conditionalFormatting>
  <conditionalFormatting sqref="BS40:BT40">
    <cfRule type="expression" dxfId="570" priority="409">
      <formula>BS40=$D$156</formula>
    </cfRule>
    <cfRule type="expression" dxfId="569" priority="410">
      <formula>BS40=$D$155</formula>
    </cfRule>
    <cfRule type="expression" dxfId="568" priority="411">
      <formula>BS40=$D$154</formula>
    </cfRule>
  </conditionalFormatting>
  <conditionalFormatting sqref="BS40:BT40">
    <cfRule type="expression" dxfId="567" priority="406">
      <formula>BS40=$D$156</formula>
    </cfRule>
    <cfRule type="expression" dxfId="566" priority="407">
      <formula>BS40=$D$155</formula>
    </cfRule>
    <cfRule type="expression" dxfId="565" priority="408">
      <formula>BS40=$D$154</formula>
    </cfRule>
  </conditionalFormatting>
  <conditionalFormatting sqref="BS40:BT40">
    <cfRule type="expression" dxfId="564" priority="403">
      <formula>BS40=$D$156</formula>
    </cfRule>
    <cfRule type="expression" dxfId="563" priority="404">
      <formula>BS40=$D$155</formula>
    </cfRule>
    <cfRule type="expression" dxfId="562" priority="405">
      <formula>BS40=$D$154</formula>
    </cfRule>
  </conditionalFormatting>
  <conditionalFormatting sqref="BS40:BT40">
    <cfRule type="expression" dxfId="561" priority="400">
      <formula>BS40=$D$156</formula>
    </cfRule>
    <cfRule type="expression" dxfId="560" priority="401">
      <formula>BS40=$D$155</formula>
    </cfRule>
    <cfRule type="expression" dxfId="559" priority="402">
      <formula>BS40=$D$154</formula>
    </cfRule>
  </conditionalFormatting>
  <conditionalFormatting sqref="BW40:BX40">
    <cfRule type="expression" dxfId="558" priority="397">
      <formula>BW40=$D$156</formula>
    </cfRule>
    <cfRule type="expression" dxfId="557" priority="398">
      <formula>BW40=$D$155</formula>
    </cfRule>
    <cfRule type="expression" dxfId="556" priority="399">
      <formula>BW40=$D$154</formula>
    </cfRule>
  </conditionalFormatting>
  <conditionalFormatting sqref="BW40:BX40">
    <cfRule type="expression" dxfId="555" priority="394">
      <formula>BW40=$D$156</formula>
    </cfRule>
    <cfRule type="expression" dxfId="554" priority="395">
      <formula>BW40=$D$155</formula>
    </cfRule>
    <cfRule type="expression" dxfId="553" priority="396">
      <formula>BW40=$D$154</formula>
    </cfRule>
  </conditionalFormatting>
  <conditionalFormatting sqref="BW40:BX40">
    <cfRule type="expression" dxfId="552" priority="391">
      <formula>BW40=$D$156</formula>
    </cfRule>
    <cfRule type="expression" dxfId="551" priority="392">
      <formula>BW40=$D$155</formula>
    </cfRule>
    <cfRule type="expression" dxfId="550" priority="393">
      <formula>BW40=$D$154</formula>
    </cfRule>
  </conditionalFormatting>
  <conditionalFormatting sqref="BW40:BX40">
    <cfRule type="expression" dxfId="549" priority="388">
      <formula>BW40=$D$156</formula>
    </cfRule>
    <cfRule type="expression" dxfId="548" priority="389">
      <formula>BW40=$D$155</formula>
    </cfRule>
    <cfRule type="expression" dxfId="547" priority="390">
      <formula>BW40=$D$154</formula>
    </cfRule>
  </conditionalFormatting>
  <conditionalFormatting sqref="BW40:BX40">
    <cfRule type="expression" dxfId="546" priority="385">
      <formula>BW40=$D$156</formula>
    </cfRule>
    <cfRule type="expression" dxfId="545" priority="386">
      <formula>BW40=$D$155</formula>
    </cfRule>
    <cfRule type="expression" dxfId="544" priority="387">
      <formula>BW40=$D$154</formula>
    </cfRule>
  </conditionalFormatting>
  <conditionalFormatting sqref="CA40:CB40">
    <cfRule type="expression" dxfId="543" priority="382">
      <formula>CA40=$D$156</formula>
    </cfRule>
    <cfRule type="expression" dxfId="542" priority="383">
      <formula>CA40=$D$155</formula>
    </cfRule>
    <cfRule type="expression" dxfId="541" priority="384">
      <formula>CA40=$D$154</formula>
    </cfRule>
  </conditionalFormatting>
  <conditionalFormatting sqref="CA40:CB40">
    <cfRule type="expression" dxfId="540" priority="379">
      <formula>CA40=$D$156</formula>
    </cfRule>
    <cfRule type="expression" dxfId="539" priority="380">
      <formula>CA40=$D$155</formula>
    </cfRule>
    <cfRule type="expression" dxfId="538" priority="381">
      <formula>CA40=$D$154</formula>
    </cfRule>
  </conditionalFormatting>
  <conditionalFormatting sqref="CA40:CB40">
    <cfRule type="expression" dxfId="537" priority="376">
      <formula>CA40=$D$156</formula>
    </cfRule>
    <cfRule type="expression" dxfId="536" priority="377">
      <formula>CA40=$D$155</formula>
    </cfRule>
    <cfRule type="expression" dxfId="535" priority="378">
      <formula>CA40=$D$154</formula>
    </cfRule>
  </conditionalFormatting>
  <conditionalFormatting sqref="CA40:CB40">
    <cfRule type="expression" dxfId="534" priority="373">
      <formula>CA40=$D$156</formula>
    </cfRule>
    <cfRule type="expression" dxfId="533" priority="374">
      <formula>CA40=$D$155</formula>
    </cfRule>
    <cfRule type="expression" dxfId="532" priority="375">
      <formula>CA40=$D$154</formula>
    </cfRule>
  </conditionalFormatting>
  <conditionalFormatting sqref="CA40:CB40">
    <cfRule type="expression" dxfId="531" priority="370">
      <formula>CA40=$D$156</formula>
    </cfRule>
    <cfRule type="expression" dxfId="530" priority="371">
      <formula>CA40=$D$155</formula>
    </cfRule>
    <cfRule type="expression" dxfId="529" priority="372">
      <formula>CA40=$D$154</formula>
    </cfRule>
  </conditionalFormatting>
  <conditionalFormatting sqref="CE40:CF40">
    <cfRule type="expression" dxfId="528" priority="367">
      <formula>CE40=$D$156</formula>
    </cfRule>
    <cfRule type="expression" dxfId="527" priority="368">
      <formula>CE40=$D$155</formula>
    </cfRule>
    <cfRule type="expression" dxfId="526" priority="369">
      <formula>CE40=$D$154</formula>
    </cfRule>
  </conditionalFormatting>
  <conditionalFormatting sqref="CE40:CF40">
    <cfRule type="expression" dxfId="525" priority="364">
      <formula>CE40=$D$156</formula>
    </cfRule>
    <cfRule type="expression" dxfId="524" priority="365">
      <formula>CE40=$D$155</formula>
    </cfRule>
    <cfRule type="expression" dxfId="523" priority="366">
      <formula>CE40=$D$154</formula>
    </cfRule>
  </conditionalFormatting>
  <conditionalFormatting sqref="CE40:CF40">
    <cfRule type="expression" dxfId="522" priority="361">
      <formula>CE40=$D$156</formula>
    </cfRule>
    <cfRule type="expression" dxfId="521" priority="362">
      <formula>CE40=$D$155</formula>
    </cfRule>
    <cfRule type="expression" dxfId="520" priority="363">
      <formula>CE40=$D$154</formula>
    </cfRule>
  </conditionalFormatting>
  <conditionalFormatting sqref="CE40:CF40">
    <cfRule type="expression" dxfId="519" priority="358">
      <formula>CE40=$D$156</formula>
    </cfRule>
    <cfRule type="expression" dxfId="518" priority="359">
      <formula>CE40=$D$155</formula>
    </cfRule>
    <cfRule type="expression" dxfId="517" priority="360">
      <formula>CE40=$D$154</formula>
    </cfRule>
  </conditionalFormatting>
  <conditionalFormatting sqref="CE40:CF40">
    <cfRule type="expression" dxfId="516" priority="355">
      <formula>CE40=$D$156</formula>
    </cfRule>
    <cfRule type="expression" dxfId="515" priority="356">
      <formula>CE40=$D$155</formula>
    </cfRule>
    <cfRule type="expression" dxfId="514" priority="357">
      <formula>CE40=$D$154</formula>
    </cfRule>
  </conditionalFormatting>
  <conditionalFormatting sqref="CI40:CJ40">
    <cfRule type="expression" dxfId="513" priority="352">
      <formula>CI40=$D$156</formula>
    </cfRule>
    <cfRule type="expression" dxfId="512" priority="353">
      <formula>CI40=$D$155</formula>
    </cfRule>
    <cfRule type="expression" dxfId="511" priority="354">
      <formula>CI40=$D$154</formula>
    </cfRule>
  </conditionalFormatting>
  <conditionalFormatting sqref="CI40:CJ40">
    <cfRule type="expression" dxfId="510" priority="349">
      <formula>CI40=$D$156</formula>
    </cfRule>
    <cfRule type="expression" dxfId="509" priority="350">
      <formula>CI40=$D$155</formula>
    </cfRule>
    <cfRule type="expression" dxfId="508" priority="351">
      <formula>CI40=$D$154</formula>
    </cfRule>
  </conditionalFormatting>
  <conditionalFormatting sqref="CI40:CJ40">
    <cfRule type="expression" dxfId="507" priority="346">
      <formula>CI40=$D$156</formula>
    </cfRule>
    <cfRule type="expression" dxfId="506" priority="347">
      <formula>CI40=$D$155</formula>
    </cfRule>
    <cfRule type="expression" dxfId="505" priority="348">
      <formula>CI40=$D$154</formula>
    </cfRule>
  </conditionalFormatting>
  <conditionalFormatting sqref="CI40:CJ40">
    <cfRule type="expression" dxfId="504" priority="343">
      <formula>CI40=$D$156</formula>
    </cfRule>
    <cfRule type="expression" dxfId="503" priority="344">
      <formula>CI40=$D$155</formula>
    </cfRule>
    <cfRule type="expression" dxfId="502" priority="345">
      <formula>CI40=$D$154</formula>
    </cfRule>
  </conditionalFormatting>
  <conditionalFormatting sqref="CI40:CJ40">
    <cfRule type="expression" dxfId="501" priority="340">
      <formula>CI40=$D$156</formula>
    </cfRule>
    <cfRule type="expression" dxfId="500" priority="341">
      <formula>CI40=$D$155</formula>
    </cfRule>
    <cfRule type="expression" dxfId="499" priority="342">
      <formula>CI40=$D$154</formula>
    </cfRule>
  </conditionalFormatting>
  <conditionalFormatting sqref="CM40:CN40">
    <cfRule type="expression" dxfId="498" priority="337">
      <formula>CM40=$D$156</formula>
    </cfRule>
    <cfRule type="expression" dxfId="497" priority="338">
      <formula>CM40=$D$155</formula>
    </cfRule>
    <cfRule type="expression" dxfId="496" priority="339">
      <formula>CM40=$D$154</formula>
    </cfRule>
  </conditionalFormatting>
  <conditionalFormatting sqref="CM40:CN40">
    <cfRule type="expression" dxfId="495" priority="334">
      <formula>CM40=$D$156</formula>
    </cfRule>
    <cfRule type="expression" dxfId="494" priority="335">
      <formula>CM40=$D$155</formula>
    </cfRule>
    <cfRule type="expression" dxfId="493" priority="336">
      <formula>CM40=$D$154</formula>
    </cfRule>
  </conditionalFormatting>
  <conditionalFormatting sqref="CM40:CN40">
    <cfRule type="expression" dxfId="492" priority="331">
      <formula>CM40=$D$156</formula>
    </cfRule>
    <cfRule type="expression" dxfId="491" priority="332">
      <formula>CM40=$D$155</formula>
    </cfRule>
    <cfRule type="expression" dxfId="490" priority="333">
      <formula>CM40=$D$154</formula>
    </cfRule>
  </conditionalFormatting>
  <conditionalFormatting sqref="CM40:CN40">
    <cfRule type="expression" dxfId="489" priority="328">
      <formula>CM40=$D$156</formula>
    </cfRule>
    <cfRule type="expression" dxfId="488" priority="329">
      <formula>CM40=$D$155</formula>
    </cfRule>
    <cfRule type="expression" dxfId="487" priority="330">
      <formula>CM40=$D$154</formula>
    </cfRule>
  </conditionalFormatting>
  <conditionalFormatting sqref="CM40:CN40">
    <cfRule type="expression" dxfId="486" priority="325">
      <formula>CM40=$D$156</formula>
    </cfRule>
    <cfRule type="expression" dxfId="485" priority="326">
      <formula>CM40=$D$155</formula>
    </cfRule>
    <cfRule type="expression" dxfId="484" priority="327">
      <formula>CM40=$D$154</formula>
    </cfRule>
  </conditionalFormatting>
  <conditionalFormatting sqref="CQ40:CR40">
    <cfRule type="expression" dxfId="483" priority="322">
      <formula>CQ40=$D$156</formula>
    </cfRule>
    <cfRule type="expression" dxfId="482" priority="323">
      <formula>CQ40=$D$155</formula>
    </cfRule>
    <cfRule type="expression" dxfId="481" priority="324">
      <formula>CQ40=$D$154</formula>
    </cfRule>
  </conditionalFormatting>
  <conditionalFormatting sqref="CQ40:CR40">
    <cfRule type="expression" dxfId="480" priority="319">
      <formula>CQ40=$D$156</formula>
    </cfRule>
    <cfRule type="expression" dxfId="479" priority="320">
      <formula>CQ40=$D$155</formula>
    </cfRule>
    <cfRule type="expression" dxfId="478" priority="321">
      <formula>CQ40=$D$154</formula>
    </cfRule>
  </conditionalFormatting>
  <conditionalFormatting sqref="CQ40:CR40">
    <cfRule type="expression" dxfId="477" priority="316">
      <formula>CQ40=$D$156</formula>
    </cfRule>
    <cfRule type="expression" dxfId="476" priority="317">
      <formula>CQ40=$D$155</formula>
    </cfRule>
    <cfRule type="expression" dxfId="475" priority="318">
      <formula>CQ40=$D$154</formula>
    </cfRule>
  </conditionalFormatting>
  <conditionalFormatting sqref="CQ40:CR40">
    <cfRule type="expression" dxfId="474" priority="313">
      <formula>CQ40=$D$156</formula>
    </cfRule>
    <cfRule type="expression" dxfId="473" priority="314">
      <formula>CQ40=$D$155</formula>
    </cfRule>
    <cfRule type="expression" dxfId="472" priority="315">
      <formula>CQ40=$D$154</formula>
    </cfRule>
  </conditionalFormatting>
  <conditionalFormatting sqref="CQ40:CR40">
    <cfRule type="expression" dxfId="471" priority="310">
      <formula>CQ40=$D$156</formula>
    </cfRule>
    <cfRule type="expression" dxfId="470" priority="311">
      <formula>CQ40=$D$155</formula>
    </cfRule>
    <cfRule type="expression" dxfId="469" priority="312">
      <formula>CQ40=$D$154</formula>
    </cfRule>
  </conditionalFormatting>
  <conditionalFormatting sqref="CU40:CV40">
    <cfRule type="expression" dxfId="468" priority="307">
      <formula>CU40=$D$156</formula>
    </cfRule>
    <cfRule type="expression" dxfId="467" priority="308">
      <formula>CU40=$D$155</formula>
    </cfRule>
    <cfRule type="expression" dxfId="466" priority="309">
      <formula>CU40=$D$154</formula>
    </cfRule>
  </conditionalFormatting>
  <conditionalFormatting sqref="CU40:CV40">
    <cfRule type="expression" dxfId="465" priority="304">
      <formula>CU40=$D$156</formula>
    </cfRule>
    <cfRule type="expression" dxfId="464" priority="305">
      <formula>CU40=$D$155</formula>
    </cfRule>
    <cfRule type="expression" dxfId="463" priority="306">
      <formula>CU40=$D$154</formula>
    </cfRule>
  </conditionalFormatting>
  <conditionalFormatting sqref="CU40:CV40">
    <cfRule type="expression" dxfId="462" priority="301">
      <formula>CU40=$D$156</formula>
    </cfRule>
    <cfRule type="expression" dxfId="461" priority="302">
      <formula>CU40=$D$155</formula>
    </cfRule>
    <cfRule type="expression" dxfId="460" priority="303">
      <formula>CU40=$D$154</formula>
    </cfRule>
  </conditionalFormatting>
  <conditionalFormatting sqref="CU40:CV40">
    <cfRule type="expression" dxfId="459" priority="298">
      <formula>CU40=$D$156</formula>
    </cfRule>
    <cfRule type="expression" dxfId="458" priority="299">
      <formula>CU40=$D$155</formula>
    </cfRule>
    <cfRule type="expression" dxfId="457" priority="300">
      <formula>CU40=$D$154</formula>
    </cfRule>
  </conditionalFormatting>
  <conditionalFormatting sqref="CU40:CV40">
    <cfRule type="expression" dxfId="456" priority="295">
      <formula>CU40=$D$156</formula>
    </cfRule>
    <cfRule type="expression" dxfId="455" priority="296">
      <formula>CU40=$D$155</formula>
    </cfRule>
    <cfRule type="expression" dxfId="454" priority="297">
      <formula>CU40=$D$154</formula>
    </cfRule>
  </conditionalFormatting>
  <conditionalFormatting sqref="CY40:CZ40">
    <cfRule type="expression" dxfId="453" priority="292">
      <formula>CY40=$D$156</formula>
    </cfRule>
    <cfRule type="expression" dxfId="452" priority="293">
      <formula>CY40=$D$155</formula>
    </cfRule>
    <cfRule type="expression" dxfId="451" priority="294">
      <formula>CY40=$D$154</formula>
    </cfRule>
  </conditionalFormatting>
  <conditionalFormatting sqref="CY40:CZ40">
    <cfRule type="expression" dxfId="450" priority="289">
      <formula>CY40=$D$156</formula>
    </cfRule>
    <cfRule type="expression" dxfId="449" priority="290">
      <formula>CY40=$D$155</formula>
    </cfRule>
    <cfRule type="expression" dxfId="448" priority="291">
      <formula>CY40=$D$154</formula>
    </cfRule>
  </conditionalFormatting>
  <conditionalFormatting sqref="CY40:CZ40">
    <cfRule type="expression" dxfId="447" priority="286">
      <formula>CY40=$D$156</formula>
    </cfRule>
    <cfRule type="expression" dxfId="446" priority="287">
      <formula>CY40=$D$155</formula>
    </cfRule>
    <cfRule type="expression" dxfId="445" priority="288">
      <formula>CY40=$D$154</formula>
    </cfRule>
  </conditionalFormatting>
  <conditionalFormatting sqref="CY40:CZ40">
    <cfRule type="expression" dxfId="444" priority="283">
      <formula>CY40=$D$156</formula>
    </cfRule>
    <cfRule type="expression" dxfId="443" priority="284">
      <formula>CY40=$D$155</formula>
    </cfRule>
    <cfRule type="expression" dxfId="442" priority="285">
      <formula>CY40=$D$154</formula>
    </cfRule>
  </conditionalFormatting>
  <conditionalFormatting sqref="CY40:CZ40">
    <cfRule type="expression" dxfId="441" priority="280">
      <formula>CY40=$D$156</formula>
    </cfRule>
    <cfRule type="expression" dxfId="440" priority="281">
      <formula>CY40=$D$155</formula>
    </cfRule>
    <cfRule type="expression" dxfId="439" priority="282">
      <formula>CY40=$D$154</formula>
    </cfRule>
  </conditionalFormatting>
  <conditionalFormatting sqref="LH45">
    <cfRule type="expression" priority="279">
      <formula>CELL("protect", INDIRECT(ADDRESS(ROW(),COLUMN())))=1</formula>
    </cfRule>
  </conditionalFormatting>
  <conditionalFormatting sqref="J50:Q50">
    <cfRule type="expression" dxfId="438" priority="276">
      <formula>J50=$D$156</formula>
    </cfRule>
    <cfRule type="expression" dxfId="437" priority="277">
      <formula>J50=$D$155</formula>
    </cfRule>
    <cfRule type="expression" dxfId="436" priority="278">
      <formula>J50=$D$154</formula>
    </cfRule>
  </conditionalFormatting>
  <conditionalFormatting sqref="R50:U50">
    <cfRule type="expression" dxfId="435" priority="273">
      <formula>R50=$D$156</formula>
    </cfRule>
    <cfRule type="expression" dxfId="434" priority="274">
      <formula>R50=$D$155</formula>
    </cfRule>
    <cfRule type="expression" dxfId="433" priority="275">
      <formula>R50=$D$154</formula>
    </cfRule>
  </conditionalFormatting>
  <conditionalFormatting sqref="J50:AZ50">
    <cfRule type="expression" dxfId="432" priority="270">
      <formula>J50=$D$156</formula>
    </cfRule>
    <cfRule type="expression" dxfId="431" priority="271">
      <formula>J50=$D$155</formula>
    </cfRule>
    <cfRule type="expression" dxfId="430" priority="272">
      <formula>J50=$D$154</formula>
    </cfRule>
  </conditionalFormatting>
  <conditionalFormatting sqref="V50:Y50">
    <cfRule type="expression" dxfId="429" priority="267">
      <formula>V50=$D$156</formula>
    </cfRule>
    <cfRule type="expression" dxfId="428" priority="268">
      <formula>V50=$D$155</formula>
    </cfRule>
    <cfRule type="expression" dxfId="427" priority="269">
      <formula>V50=$D$154</formula>
    </cfRule>
  </conditionalFormatting>
  <conditionalFormatting sqref="Z50:AC50">
    <cfRule type="expression" dxfId="426" priority="264">
      <formula>Z50=$D$156</formula>
    </cfRule>
    <cfRule type="expression" dxfId="425" priority="265">
      <formula>Z50=$D$155</formula>
    </cfRule>
    <cfRule type="expression" dxfId="424" priority="266">
      <formula>Z50=$D$154</formula>
    </cfRule>
  </conditionalFormatting>
  <conditionalFormatting sqref="AD50:AG50">
    <cfRule type="expression" dxfId="423" priority="261">
      <formula>AD50=$D$156</formula>
    </cfRule>
    <cfRule type="expression" dxfId="422" priority="262">
      <formula>AD50=$D$155</formula>
    </cfRule>
    <cfRule type="expression" dxfId="421" priority="263">
      <formula>AD50=$D$154</formula>
    </cfRule>
  </conditionalFormatting>
  <conditionalFormatting sqref="AH50:AK50">
    <cfRule type="expression" dxfId="420" priority="258">
      <formula>AH50=$D$156</formula>
    </cfRule>
    <cfRule type="expression" dxfId="419" priority="259">
      <formula>AH50=$D$155</formula>
    </cfRule>
    <cfRule type="expression" dxfId="418" priority="260">
      <formula>AH50=$D$154</formula>
    </cfRule>
  </conditionalFormatting>
  <conditionalFormatting sqref="AL50:AO50">
    <cfRule type="expression" dxfId="417" priority="255">
      <formula>AL50=$D$156</formula>
    </cfRule>
    <cfRule type="expression" dxfId="416" priority="256">
      <formula>AL50=$D$155</formula>
    </cfRule>
    <cfRule type="expression" dxfId="415" priority="257">
      <formula>AL50=$D$154</formula>
    </cfRule>
  </conditionalFormatting>
  <conditionalFormatting sqref="AP50:AS50">
    <cfRule type="expression" dxfId="414" priority="252">
      <formula>AP50=$D$156</formula>
    </cfRule>
    <cfRule type="expression" dxfId="413" priority="253">
      <formula>AP50=$D$155</formula>
    </cfRule>
    <cfRule type="expression" dxfId="412" priority="254">
      <formula>AP50=$D$154</formula>
    </cfRule>
  </conditionalFormatting>
  <conditionalFormatting sqref="AT50:AW50">
    <cfRule type="expression" dxfId="411" priority="249">
      <formula>AT50=$D$156</formula>
    </cfRule>
    <cfRule type="expression" dxfId="410" priority="250">
      <formula>AT50=$D$155</formula>
    </cfRule>
    <cfRule type="expression" dxfId="409" priority="251">
      <formula>AT50=$D$154</formula>
    </cfRule>
  </conditionalFormatting>
  <conditionalFormatting sqref="AX50:AZ50">
    <cfRule type="expression" dxfId="408" priority="246">
      <formula>AX50=$D$156</formula>
    </cfRule>
    <cfRule type="expression" dxfId="407" priority="247">
      <formula>AX50=$D$155</formula>
    </cfRule>
    <cfRule type="expression" dxfId="406" priority="248">
      <formula>AX50=$D$154</formula>
    </cfRule>
  </conditionalFormatting>
  <conditionalFormatting sqref="J50:Q50">
    <cfRule type="expression" dxfId="405" priority="243">
      <formula>J50=$D$156</formula>
    </cfRule>
    <cfRule type="expression" dxfId="404" priority="244">
      <formula>J50=$D$155</formula>
    </cfRule>
    <cfRule type="expression" dxfId="403" priority="245">
      <formula>J50=$D$154</formula>
    </cfRule>
  </conditionalFormatting>
  <conditionalFormatting sqref="R50:U50">
    <cfRule type="expression" dxfId="402" priority="240">
      <formula>R50=$D$156</formula>
    </cfRule>
    <cfRule type="expression" dxfId="401" priority="241">
      <formula>R50=$D$155</formula>
    </cfRule>
    <cfRule type="expression" dxfId="400" priority="242">
      <formula>R50=$D$154</formula>
    </cfRule>
  </conditionalFormatting>
  <conditionalFormatting sqref="V50:Y50">
    <cfRule type="expression" dxfId="399" priority="237">
      <formula>V50=$D$156</formula>
    </cfRule>
    <cfRule type="expression" dxfId="398" priority="238">
      <formula>V50=$D$155</formula>
    </cfRule>
    <cfRule type="expression" dxfId="397" priority="239">
      <formula>V50=$D$154</formula>
    </cfRule>
  </conditionalFormatting>
  <conditionalFormatting sqref="Z50:AC50">
    <cfRule type="expression" dxfId="396" priority="234">
      <formula>Z50=$D$156</formula>
    </cfRule>
    <cfRule type="expression" dxfId="395" priority="235">
      <formula>Z50=$D$155</formula>
    </cfRule>
    <cfRule type="expression" dxfId="394" priority="236">
      <formula>Z50=$D$154</formula>
    </cfRule>
  </conditionalFormatting>
  <conditionalFormatting sqref="AD50:AG50">
    <cfRule type="expression" dxfId="393" priority="231">
      <formula>AD50=$D$156</formula>
    </cfRule>
    <cfRule type="expression" dxfId="392" priority="232">
      <formula>AD50=$D$155</formula>
    </cfRule>
    <cfRule type="expression" dxfId="391" priority="233">
      <formula>AD50=$D$154</formula>
    </cfRule>
  </conditionalFormatting>
  <conditionalFormatting sqref="AL50:AS50">
    <cfRule type="expression" dxfId="390" priority="228">
      <formula>AL50=$D$156</formula>
    </cfRule>
    <cfRule type="expression" dxfId="389" priority="229">
      <formula>AL50=$D$155</formula>
    </cfRule>
    <cfRule type="expression" dxfId="388" priority="230">
      <formula>AL50=$D$154</formula>
    </cfRule>
  </conditionalFormatting>
  <conditionalFormatting sqref="AX50:AZ50">
    <cfRule type="expression" dxfId="387" priority="225">
      <formula>AX50=$D$156</formula>
    </cfRule>
    <cfRule type="expression" dxfId="386" priority="226">
      <formula>AX50=$D$155</formula>
    </cfRule>
    <cfRule type="expression" dxfId="385" priority="227">
      <formula>AX50=$D$154</formula>
    </cfRule>
  </conditionalFormatting>
  <conditionalFormatting sqref="AT50:AW50">
    <cfRule type="expression" dxfId="384" priority="222">
      <formula>AT50=$D$156</formula>
    </cfRule>
    <cfRule type="expression" dxfId="383" priority="223">
      <formula>AT50=$D$155</formula>
    </cfRule>
    <cfRule type="expression" dxfId="382" priority="224">
      <formula>AT50=$D$154</formula>
    </cfRule>
  </conditionalFormatting>
  <conditionalFormatting sqref="AH50:AK50">
    <cfRule type="expression" dxfId="381" priority="219">
      <formula>AH50=$D$156</formula>
    </cfRule>
    <cfRule type="expression" dxfId="380" priority="220">
      <formula>AH50=$D$155</formula>
    </cfRule>
    <cfRule type="expression" dxfId="379" priority="221">
      <formula>AH50=$D$154</formula>
    </cfRule>
  </conditionalFormatting>
  <conditionalFormatting sqref="AL50:AS50">
    <cfRule type="expression" dxfId="378" priority="216">
      <formula>AL50=$D$156</formula>
    </cfRule>
    <cfRule type="expression" dxfId="377" priority="217">
      <formula>AL50=$D$155</formula>
    </cfRule>
    <cfRule type="expression" dxfId="376" priority="218">
      <formula>AL50=$D$154</formula>
    </cfRule>
  </conditionalFormatting>
  <conditionalFormatting sqref="J50:AG50">
    <cfRule type="expression" dxfId="375" priority="213">
      <formula>J50=$D$156</formula>
    </cfRule>
    <cfRule type="expression" dxfId="374" priority="214">
      <formula>J50=$D$155</formula>
    </cfRule>
    <cfRule type="expression" dxfId="373" priority="215">
      <formula>J50=$D$154</formula>
    </cfRule>
  </conditionalFormatting>
  <conditionalFormatting sqref="AX50:AZ50">
    <cfRule type="expression" dxfId="372" priority="210">
      <formula>AX50=$D$156</formula>
    </cfRule>
    <cfRule type="expression" dxfId="371" priority="211">
      <formula>AX50=$D$155</formula>
    </cfRule>
    <cfRule type="expression" dxfId="370" priority="212">
      <formula>AX50=$D$154</formula>
    </cfRule>
  </conditionalFormatting>
  <conditionalFormatting sqref="AT50:AW50">
    <cfRule type="expression" dxfId="369" priority="207">
      <formula>AT50=$D$156</formula>
    </cfRule>
    <cfRule type="expression" dxfId="368" priority="208">
      <formula>AT50=$D$155</formula>
    </cfRule>
    <cfRule type="expression" dxfId="367" priority="209">
      <formula>AT50=$D$154</formula>
    </cfRule>
  </conditionalFormatting>
  <conditionalFormatting sqref="AH50:AK50">
    <cfRule type="expression" dxfId="366" priority="204">
      <formula>AH50=$D$156</formula>
    </cfRule>
    <cfRule type="expression" dxfId="365" priority="205">
      <formula>AH50=$D$155</formula>
    </cfRule>
    <cfRule type="expression" dxfId="364" priority="206">
      <formula>AH50=$D$154</formula>
    </cfRule>
  </conditionalFormatting>
  <conditionalFormatting sqref="AI50:AJ50">
    <cfRule type="expression" dxfId="363" priority="201">
      <formula>AI50=$D$156</formula>
    </cfRule>
    <cfRule type="expression" dxfId="362" priority="202">
      <formula>AI50=$D$155</formula>
    </cfRule>
    <cfRule type="expression" dxfId="361" priority="203">
      <formula>AI50=$D$154</formula>
    </cfRule>
  </conditionalFormatting>
  <conditionalFormatting sqref="AM50:AZ50">
    <cfRule type="expression" dxfId="360" priority="198">
      <formula>AM50=$D$156</formula>
    </cfRule>
    <cfRule type="expression" dxfId="359" priority="199">
      <formula>AM50=$D$155</formula>
    </cfRule>
    <cfRule type="expression" dxfId="358" priority="200">
      <formula>AM50=$D$154</formula>
    </cfRule>
  </conditionalFormatting>
  <conditionalFormatting sqref="J56:Q56">
    <cfRule type="expression" dxfId="357" priority="195">
      <formula>J56=$D$156</formula>
    </cfRule>
    <cfRule type="expression" dxfId="356" priority="196">
      <formula>J56=$D$155</formula>
    </cfRule>
    <cfRule type="expression" dxfId="355" priority="197">
      <formula>J56=$D$154</formula>
    </cfRule>
  </conditionalFormatting>
  <conditionalFormatting sqref="R56:U56">
    <cfRule type="expression" dxfId="354" priority="192">
      <formula>R56=$D$156</formula>
    </cfRule>
    <cfRule type="expression" dxfId="353" priority="193">
      <formula>R56=$D$155</formula>
    </cfRule>
    <cfRule type="expression" dxfId="352" priority="194">
      <formula>R56=$D$154</formula>
    </cfRule>
  </conditionalFormatting>
  <conditionalFormatting sqref="J56:AZ56">
    <cfRule type="expression" dxfId="351" priority="189">
      <formula>J56=$D$156</formula>
    </cfRule>
    <cfRule type="expression" dxfId="350" priority="190">
      <formula>J56=$D$155</formula>
    </cfRule>
    <cfRule type="expression" dxfId="349" priority="191">
      <formula>J56=$D$154</formula>
    </cfRule>
  </conditionalFormatting>
  <conditionalFormatting sqref="V56:Y56">
    <cfRule type="expression" dxfId="348" priority="186">
      <formula>V56=$D$156</formula>
    </cfRule>
    <cfRule type="expression" dxfId="347" priority="187">
      <formula>V56=$D$155</formula>
    </cfRule>
    <cfRule type="expression" dxfId="346" priority="188">
      <formula>V56=$D$154</formula>
    </cfRule>
  </conditionalFormatting>
  <conditionalFormatting sqref="Z56:AC56">
    <cfRule type="expression" dxfId="345" priority="183">
      <formula>Z56=$D$156</formula>
    </cfRule>
    <cfRule type="expression" dxfId="344" priority="184">
      <formula>Z56=$D$155</formula>
    </cfRule>
    <cfRule type="expression" dxfId="343" priority="185">
      <formula>Z56=$D$154</formula>
    </cfRule>
  </conditionalFormatting>
  <conditionalFormatting sqref="AD56:AG56">
    <cfRule type="expression" dxfId="342" priority="180">
      <formula>AD56=$D$156</formula>
    </cfRule>
    <cfRule type="expression" dxfId="341" priority="181">
      <formula>AD56=$D$155</formula>
    </cfRule>
    <cfRule type="expression" dxfId="340" priority="182">
      <formula>AD56=$D$154</formula>
    </cfRule>
  </conditionalFormatting>
  <conditionalFormatting sqref="AH56:AK56">
    <cfRule type="expression" dxfId="339" priority="177">
      <formula>AH56=$D$156</formula>
    </cfRule>
    <cfRule type="expression" dxfId="338" priority="178">
      <formula>AH56=$D$155</formula>
    </cfRule>
    <cfRule type="expression" dxfId="337" priority="179">
      <formula>AH56=$D$154</formula>
    </cfRule>
  </conditionalFormatting>
  <conditionalFormatting sqref="AL56:AO56">
    <cfRule type="expression" dxfId="336" priority="174">
      <formula>AL56=$D$156</formula>
    </cfRule>
    <cfRule type="expression" dxfId="335" priority="175">
      <formula>AL56=$D$155</formula>
    </cfRule>
    <cfRule type="expression" dxfId="334" priority="176">
      <formula>AL56=$D$154</formula>
    </cfRule>
  </conditionalFormatting>
  <conditionalFormatting sqref="AP56:AS56">
    <cfRule type="expression" dxfId="333" priority="171">
      <formula>AP56=$D$156</formula>
    </cfRule>
    <cfRule type="expression" dxfId="332" priority="172">
      <formula>AP56=$D$155</formula>
    </cfRule>
    <cfRule type="expression" dxfId="331" priority="173">
      <formula>AP56=$D$154</formula>
    </cfRule>
  </conditionalFormatting>
  <conditionalFormatting sqref="AT56:AW56">
    <cfRule type="expression" dxfId="330" priority="168">
      <formula>AT56=$D$156</formula>
    </cfRule>
    <cfRule type="expression" dxfId="329" priority="169">
      <formula>AT56=$D$155</formula>
    </cfRule>
    <cfRule type="expression" dxfId="328" priority="170">
      <formula>AT56=$D$154</formula>
    </cfRule>
  </conditionalFormatting>
  <conditionalFormatting sqref="AX56:AZ56">
    <cfRule type="expression" dxfId="327" priority="165">
      <formula>AX56=$D$156</formula>
    </cfRule>
    <cfRule type="expression" dxfId="326" priority="166">
      <formula>AX56=$D$155</formula>
    </cfRule>
    <cfRule type="expression" dxfId="325" priority="167">
      <formula>AX56=$D$154</formula>
    </cfRule>
  </conditionalFormatting>
  <conditionalFormatting sqref="J56:Q56">
    <cfRule type="expression" dxfId="324" priority="162">
      <formula>J56=$D$156</formula>
    </cfRule>
    <cfRule type="expression" dxfId="323" priority="163">
      <formula>J56=$D$155</formula>
    </cfRule>
    <cfRule type="expression" dxfId="322" priority="164">
      <formula>J56=$D$154</formula>
    </cfRule>
  </conditionalFormatting>
  <conditionalFormatting sqref="R56:U56">
    <cfRule type="expression" dxfId="321" priority="159">
      <formula>R56=$D$156</formula>
    </cfRule>
    <cfRule type="expression" dxfId="320" priority="160">
      <formula>R56=$D$155</formula>
    </cfRule>
    <cfRule type="expression" dxfId="319" priority="161">
      <formula>R56=$D$154</formula>
    </cfRule>
  </conditionalFormatting>
  <conditionalFormatting sqref="V56:Y56">
    <cfRule type="expression" dxfId="318" priority="156">
      <formula>V56=$D$156</formula>
    </cfRule>
    <cfRule type="expression" dxfId="317" priority="157">
      <formula>V56=$D$155</formula>
    </cfRule>
    <cfRule type="expression" dxfId="316" priority="158">
      <formula>V56=$D$154</formula>
    </cfRule>
  </conditionalFormatting>
  <conditionalFormatting sqref="Z56:AC56">
    <cfRule type="expression" dxfId="315" priority="153">
      <formula>Z56=$D$156</formula>
    </cfRule>
    <cfRule type="expression" dxfId="314" priority="154">
      <formula>Z56=$D$155</formula>
    </cfRule>
    <cfRule type="expression" dxfId="313" priority="155">
      <formula>Z56=$D$154</formula>
    </cfRule>
  </conditionalFormatting>
  <conditionalFormatting sqref="AD56:AG56">
    <cfRule type="expression" dxfId="312" priority="150">
      <formula>AD56=$D$156</formula>
    </cfRule>
    <cfRule type="expression" dxfId="311" priority="151">
      <formula>AD56=$D$155</formula>
    </cfRule>
    <cfRule type="expression" dxfId="310" priority="152">
      <formula>AD56=$D$154</formula>
    </cfRule>
  </conditionalFormatting>
  <conditionalFormatting sqref="AL56:AS56">
    <cfRule type="expression" dxfId="309" priority="147">
      <formula>AL56=$D$156</formula>
    </cfRule>
    <cfRule type="expression" dxfId="308" priority="148">
      <formula>AL56=$D$155</formula>
    </cfRule>
    <cfRule type="expression" dxfId="307" priority="149">
      <formula>AL56=$D$154</formula>
    </cfRule>
  </conditionalFormatting>
  <conditionalFormatting sqref="AX56:AZ56">
    <cfRule type="expression" dxfId="306" priority="144">
      <formula>AX56=$D$156</formula>
    </cfRule>
    <cfRule type="expression" dxfId="305" priority="145">
      <formula>AX56=$D$155</formula>
    </cfRule>
    <cfRule type="expression" dxfId="304" priority="146">
      <formula>AX56=$D$154</formula>
    </cfRule>
  </conditionalFormatting>
  <conditionalFormatting sqref="AT56:AW56">
    <cfRule type="expression" dxfId="303" priority="141">
      <formula>AT56=$D$156</formula>
    </cfRule>
    <cfRule type="expression" dxfId="302" priority="142">
      <formula>AT56=$D$155</formula>
    </cfRule>
    <cfRule type="expression" dxfId="301" priority="143">
      <formula>AT56=$D$154</formula>
    </cfRule>
  </conditionalFormatting>
  <conditionalFormatting sqref="AH56:AK56">
    <cfRule type="expression" dxfId="300" priority="138">
      <formula>AH56=$D$156</formula>
    </cfRule>
    <cfRule type="expression" dxfId="299" priority="139">
      <formula>AH56=$D$155</formula>
    </cfRule>
    <cfRule type="expression" dxfId="298" priority="140">
      <formula>AH56=$D$154</formula>
    </cfRule>
  </conditionalFormatting>
  <conditionalFormatting sqref="AL56:AS56">
    <cfRule type="expression" dxfId="297" priority="135">
      <formula>AL56=$D$156</formula>
    </cfRule>
    <cfRule type="expression" dxfId="296" priority="136">
      <formula>AL56=$D$155</formula>
    </cfRule>
    <cfRule type="expression" dxfId="295" priority="137">
      <formula>AL56=$D$154</formula>
    </cfRule>
  </conditionalFormatting>
  <conditionalFormatting sqref="J56:AG56">
    <cfRule type="expression" dxfId="294" priority="132">
      <formula>J56=$D$156</formula>
    </cfRule>
    <cfRule type="expression" dxfId="293" priority="133">
      <formula>J56=$D$155</formula>
    </cfRule>
    <cfRule type="expression" dxfId="292" priority="134">
      <formula>J56=$D$154</formula>
    </cfRule>
  </conditionalFormatting>
  <conditionalFormatting sqref="AX56:AZ56">
    <cfRule type="expression" dxfId="291" priority="129">
      <formula>AX56=$D$156</formula>
    </cfRule>
    <cfRule type="expression" dxfId="290" priority="130">
      <formula>AX56=$D$155</formula>
    </cfRule>
    <cfRule type="expression" dxfId="289" priority="131">
      <formula>AX56=$D$154</formula>
    </cfRule>
  </conditionalFormatting>
  <conditionalFormatting sqref="AT56:AW56">
    <cfRule type="expression" dxfId="288" priority="126">
      <formula>AT56=$D$156</formula>
    </cfRule>
    <cfRule type="expression" dxfId="287" priority="127">
      <formula>AT56=$D$155</formula>
    </cfRule>
    <cfRule type="expression" dxfId="286" priority="128">
      <formula>AT56=$D$154</formula>
    </cfRule>
  </conditionalFormatting>
  <conditionalFormatting sqref="AH56:AK56">
    <cfRule type="expression" dxfId="285" priority="123">
      <formula>AH56=$D$156</formula>
    </cfRule>
    <cfRule type="expression" dxfId="284" priority="124">
      <formula>AH56=$D$155</formula>
    </cfRule>
    <cfRule type="expression" dxfId="283" priority="125">
      <formula>AH56=$D$154</formula>
    </cfRule>
  </conditionalFormatting>
  <conditionalFormatting sqref="AI56:AJ56">
    <cfRule type="expression" dxfId="282" priority="120">
      <formula>AI56=$D$156</formula>
    </cfRule>
    <cfRule type="expression" dxfId="281" priority="121">
      <formula>AI56=$D$155</formula>
    </cfRule>
    <cfRule type="expression" dxfId="280" priority="122">
      <formula>AI56=$D$154</formula>
    </cfRule>
  </conditionalFormatting>
  <conditionalFormatting sqref="AM56:AZ56">
    <cfRule type="expression" dxfId="279" priority="117">
      <formula>AM56=$D$156</formula>
    </cfRule>
    <cfRule type="expression" dxfId="278" priority="118">
      <formula>AM56=$D$155</formula>
    </cfRule>
    <cfRule type="expression" dxfId="277" priority="119">
      <formula>AM56=$D$154</formula>
    </cfRule>
  </conditionalFormatting>
  <conditionalFormatting sqref="LH50:NA50">
    <cfRule type="expression" priority="116">
      <formula>CELL("protect", INDIRECT(ADDRESS(ROW(),COLUMN())))=1</formula>
    </cfRule>
  </conditionalFormatting>
  <conditionalFormatting sqref="LH56:NA56">
    <cfRule type="expression" priority="115">
      <formula>CELL("protect", INDIRECT(ADDRESS(ROW(),COLUMN())))=1</formula>
    </cfRule>
  </conditionalFormatting>
  <conditionalFormatting sqref="J61:T61">
    <cfRule type="expression" dxfId="276" priority="112">
      <formula>J61=$D$156</formula>
    </cfRule>
    <cfRule type="expression" dxfId="275" priority="113">
      <formula>J61=$D$155</formula>
    </cfRule>
    <cfRule type="expression" dxfId="274" priority="114">
      <formula>J61=$D$154</formula>
    </cfRule>
  </conditionalFormatting>
  <conditionalFormatting sqref="J61:K61">
    <cfRule type="expression" dxfId="273" priority="109">
      <formula>J61=$D$156</formula>
    </cfRule>
    <cfRule type="expression" dxfId="272" priority="110">
      <formula>J61=$D$155</formula>
    </cfRule>
    <cfRule type="expression" dxfId="271" priority="111">
      <formula>J61=$D$154</formula>
    </cfRule>
  </conditionalFormatting>
  <conditionalFormatting sqref="N61:O61">
    <cfRule type="expression" dxfId="270" priority="106">
      <formula>N61=$D$156</formula>
    </cfRule>
    <cfRule type="expression" dxfId="269" priority="107">
      <formula>N61=$D$155</formula>
    </cfRule>
    <cfRule type="expression" dxfId="268" priority="108">
      <formula>N61=$D$154</formula>
    </cfRule>
  </conditionalFormatting>
  <conditionalFormatting sqref="R61:S61">
    <cfRule type="expression" dxfId="267" priority="103">
      <formula>R61=$D$156</formula>
    </cfRule>
    <cfRule type="expression" dxfId="266" priority="104">
      <formula>R61=$D$155</formula>
    </cfRule>
    <cfRule type="expression" dxfId="265" priority="105">
      <formula>R61=$D$154</formula>
    </cfRule>
  </conditionalFormatting>
  <conditionalFormatting sqref="J61:Q61">
    <cfRule type="expression" dxfId="264" priority="100">
      <formula>J61=$D$156</formula>
    </cfRule>
    <cfRule type="expression" dxfId="263" priority="101">
      <formula>J61=$D$155</formula>
    </cfRule>
    <cfRule type="expression" dxfId="262" priority="102">
      <formula>J61=$D$154</formula>
    </cfRule>
  </conditionalFormatting>
  <conditionalFormatting sqref="R61:T61">
    <cfRule type="expression" dxfId="261" priority="97">
      <formula>R61=$D$156</formula>
    </cfRule>
    <cfRule type="expression" dxfId="260" priority="98">
      <formula>R61=$D$155</formula>
    </cfRule>
    <cfRule type="expression" dxfId="259" priority="99">
      <formula>R61=$D$154</formula>
    </cfRule>
  </conditionalFormatting>
  <conditionalFormatting sqref="J61:T61">
    <cfRule type="expression" dxfId="258" priority="94">
      <formula>J61=$D$156</formula>
    </cfRule>
    <cfRule type="expression" dxfId="257" priority="95">
      <formula>J61=$D$155</formula>
    </cfRule>
    <cfRule type="expression" dxfId="256" priority="96">
      <formula>J61=$D$154</formula>
    </cfRule>
  </conditionalFormatting>
  <conditionalFormatting sqref="J61:Q61">
    <cfRule type="expression" dxfId="255" priority="91">
      <formula>J61=$D$156</formula>
    </cfRule>
    <cfRule type="expression" dxfId="254" priority="92">
      <formula>J61=$D$155</formula>
    </cfRule>
    <cfRule type="expression" dxfId="253" priority="93">
      <formula>J61=$D$154</formula>
    </cfRule>
  </conditionalFormatting>
  <conditionalFormatting sqref="R61:T61">
    <cfRule type="expression" dxfId="252" priority="88">
      <formula>R61=$D$156</formula>
    </cfRule>
    <cfRule type="expression" dxfId="251" priority="89">
      <formula>R61=$D$155</formula>
    </cfRule>
    <cfRule type="expression" dxfId="250" priority="90">
      <formula>R61=$D$154</formula>
    </cfRule>
  </conditionalFormatting>
  <conditionalFormatting sqref="J61:T61">
    <cfRule type="expression" dxfId="249" priority="85">
      <formula>J61=$D$156</formula>
    </cfRule>
    <cfRule type="expression" dxfId="248" priority="86">
      <formula>J61=$D$155</formula>
    </cfRule>
    <cfRule type="expression" dxfId="247" priority="87">
      <formula>J61=$D$154</formula>
    </cfRule>
  </conditionalFormatting>
  <conditionalFormatting sqref="XD69:XFD69 A69:C69 LG69:XB69 J69:LD69">
    <cfRule type="expression" priority="84">
      <formula>CELL("protect", INDIRECT(ADDRESS(ROW(),COLUMN())))=1</formula>
    </cfRule>
  </conditionalFormatting>
  <conditionalFormatting sqref="LF69">
    <cfRule type="expression" priority="83">
      <formula>CELL("protect", INDIRECT(ADDRESS(ROW(),COLUMN())))=1</formula>
    </cfRule>
  </conditionalFormatting>
  <conditionalFormatting sqref="R70:U70">
    <cfRule type="expression" dxfId="246" priority="80">
      <formula>R70=$D$156</formula>
    </cfRule>
    <cfRule type="expression" dxfId="245" priority="81">
      <formula>R70=$D$155</formula>
    </cfRule>
    <cfRule type="expression" dxfId="244" priority="82">
      <formula>R70=$D$154</formula>
    </cfRule>
  </conditionalFormatting>
  <conditionalFormatting sqref="V70:Y70">
    <cfRule type="expression" dxfId="243" priority="77">
      <formula>V70=$D$156</formula>
    </cfRule>
    <cfRule type="expression" dxfId="242" priority="78">
      <formula>V70=$D$155</formula>
    </cfRule>
    <cfRule type="expression" dxfId="241" priority="79">
      <formula>V70=$D$154</formula>
    </cfRule>
  </conditionalFormatting>
  <conditionalFormatting sqref="Z70:AC70">
    <cfRule type="expression" dxfId="240" priority="74">
      <formula>Z70=$D$156</formula>
    </cfRule>
    <cfRule type="expression" dxfId="239" priority="75">
      <formula>Z70=$D$155</formula>
    </cfRule>
    <cfRule type="expression" dxfId="238" priority="76">
      <formula>Z70=$D$154</formula>
    </cfRule>
  </conditionalFormatting>
  <conditionalFormatting sqref="AD70:AG70">
    <cfRule type="expression" dxfId="237" priority="71">
      <formula>AD70=$D$156</formula>
    </cfRule>
    <cfRule type="expression" dxfId="236" priority="72">
      <formula>AD70=$D$155</formula>
    </cfRule>
    <cfRule type="expression" dxfId="235" priority="73">
      <formula>AD70=$D$154</formula>
    </cfRule>
  </conditionalFormatting>
  <conditionalFormatting sqref="J70:Q70">
    <cfRule type="expression" dxfId="234" priority="68">
      <formula>J70=$D$156</formula>
    </cfRule>
    <cfRule type="expression" dxfId="233" priority="69">
      <formula>J70=$D$155</formula>
    </cfRule>
    <cfRule type="expression" dxfId="232" priority="70">
      <formula>J70=$D$154</formula>
    </cfRule>
  </conditionalFormatting>
  <conditionalFormatting sqref="XD70:XFD70 LD70 LG70 LJ70:XB70 A70:LB70">
    <cfRule type="expression" priority="67">
      <formula>CELL("protect", INDIRECT(ADDRESS(ROW(),COLUMN())))=1</formula>
    </cfRule>
  </conditionalFormatting>
  <conditionalFormatting sqref="LH70">
    <cfRule type="expression" priority="66">
      <formula>CELL("protect", INDIRECT(ADDRESS(ROW(),COLUMN())))=1</formula>
    </cfRule>
  </conditionalFormatting>
  <conditionalFormatting sqref="R71:U71">
    <cfRule type="expression" dxfId="231" priority="63">
      <formula>R71=$D$156</formula>
    </cfRule>
    <cfRule type="expression" dxfId="230" priority="64">
      <formula>R71=$D$155</formula>
    </cfRule>
    <cfRule type="expression" dxfId="229" priority="65">
      <formula>R71=$D$154</formula>
    </cfRule>
  </conditionalFormatting>
  <conditionalFormatting sqref="V71:Y71">
    <cfRule type="expression" dxfId="228" priority="60">
      <formula>V71=$D$156</formula>
    </cfRule>
    <cfRule type="expression" dxfId="227" priority="61">
      <formula>V71=$D$155</formula>
    </cfRule>
    <cfRule type="expression" dxfId="226" priority="62">
      <formula>V71=$D$154</formula>
    </cfRule>
  </conditionalFormatting>
  <conditionalFormatting sqref="Z71:AC71">
    <cfRule type="expression" dxfId="225" priority="57">
      <formula>Z71=$D$156</formula>
    </cfRule>
    <cfRule type="expression" dxfId="224" priority="58">
      <formula>Z71=$D$155</formula>
    </cfRule>
    <cfRule type="expression" dxfId="223" priority="59">
      <formula>Z71=$D$154</formula>
    </cfRule>
  </conditionalFormatting>
  <conditionalFormatting sqref="AD71:AG71">
    <cfRule type="expression" dxfId="222" priority="54">
      <formula>AD71=$D$156</formula>
    </cfRule>
    <cfRule type="expression" dxfId="221" priority="55">
      <formula>AD71=$D$155</formula>
    </cfRule>
    <cfRule type="expression" dxfId="220" priority="56">
      <formula>AD71=$D$154</formula>
    </cfRule>
  </conditionalFormatting>
  <conditionalFormatting sqref="J71:Q71">
    <cfRule type="expression" dxfId="219" priority="51">
      <formula>J71=$D$156</formula>
    </cfRule>
    <cfRule type="expression" dxfId="218" priority="52">
      <formula>J71=$D$155</formula>
    </cfRule>
    <cfRule type="expression" dxfId="217" priority="53">
      <formula>J71=$D$154</formula>
    </cfRule>
  </conditionalFormatting>
  <conditionalFormatting sqref="XD71:XFD71 LD71 LG71 LJ71:XB71 A71:LB71">
    <cfRule type="expression" priority="50">
      <formula>CELL("protect", INDIRECT(ADDRESS(ROW(),COLUMN())))=1</formula>
    </cfRule>
  </conditionalFormatting>
  <conditionalFormatting sqref="LH71">
    <cfRule type="expression" priority="49">
      <formula>CELL("protect", INDIRECT(ADDRESS(ROW(),COLUMN())))=1</formula>
    </cfRule>
  </conditionalFormatting>
  <conditionalFormatting sqref="D69:I69">
    <cfRule type="expression" priority="48">
      <formula>CELL("protect", INDIRECT(ADDRESS(ROW(),COLUMN())))=1</formula>
    </cfRule>
  </conditionalFormatting>
  <conditionalFormatting sqref="LF116 LF118">
    <cfRule type="expression" priority="47">
      <formula>CELL("protect", INDIRECT(ADDRESS(ROW(),COLUMN())))=1</formula>
    </cfRule>
  </conditionalFormatting>
  <conditionalFormatting sqref="LF117">
    <cfRule type="expression" priority="46">
      <formula>CELL("protect", INDIRECT(ADDRESS(ROW(),COLUMN())))=1</formula>
    </cfRule>
  </conditionalFormatting>
  <conditionalFormatting sqref="LI70:LI71">
    <cfRule type="expression" priority="45">
      <formula>CELL("protect", INDIRECT(ADDRESS(ROW(),COLUMN())))=1</formula>
    </cfRule>
  </conditionalFormatting>
  <conditionalFormatting sqref="LC70:LC71">
    <cfRule type="cellIs" dxfId="216" priority="44" operator="equal">
      <formula>0</formula>
    </cfRule>
  </conditionalFormatting>
  <conditionalFormatting sqref="LF70">
    <cfRule type="expression" priority="43">
      <formula>CELL("protect", INDIRECT(ADDRESS(ROW(),COLUMN())))=1</formula>
    </cfRule>
  </conditionalFormatting>
  <conditionalFormatting sqref="LF71">
    <cfRule type="expression" priority="42">
      <formula>CELL("protect", INDIRECT(ADDRESS(ROW(),COLUMN())))=1</formula>
    </cfRule>
  </conditionalFormatting>
  <conditionalFormatting sqref="L65:L66">
    <cfRule type="expression" priority="41">
      <formula>CELL("protect", INDIRECT(ADDRESS(ROW(),COLUMN())))=1</formula>
    </cfRule>
  </conditionalFormatting>
  <conditionalFormatting sqref="K66">
    <cfRule type="expression" dxfId="215" priority="38">
      <formula>K66=$D$156</formula>
    </cfRule>
    <cfRule type="expression" dxfId="214" priority="39">
      <formula>K66=$D$155</formula>
    </cfRule>
    <cfRule type="expression" dxfId="213" priority="40">
      <formula>K66=$D$154</formula>
    </cfRule>
  </conditionalFormatting>
  <conditionalFormatting sqref="K65:K66">
    <cfRule type="expression" priority="37">
      <formula>CELL("protect", INDIRECT(ADDRESS(ROW(),COLUMN())))=1</formula>
    </cfRule>
  </conditionalFormatting>
  <conditionalFormatting sqref="M65:M66">
    <cfRule type="expression" priority="36">
      <formula>CELL("protect", INDIRECT(ADDRESS(ROW(),COLUMN())))=1</formula>
    </cfRule>
  </conditionalFormatting>
  <conditionalFormatting sqref="L64">
    <cfRule type="expression" priority="35">
      <formula>CELL("protect", INDIRECT(ADDRESS(ROW(),COLUMN())))=1</formula>
    </cfRule>
  </conditionalFormatting>
  <conditionalFormatting sqref="M64">
    <cfRule type="expression" priority="34">
      <formula>CELL("protect", INDIRECT(ADDRESS(ROW(),COLUMN())))=1</formula>
    </cfRule>
  </conditionalFormatting>
  <conditionalFormatting sqref="K45">
    <cfRule type="expression" dxfId="212" priority="31">
      <formula>K45=$D$156</formula>
    </cfRule>
    <cfRule type="expression" dxfId="211" priority="32">
      <formula>K45=$D$155</formula>
    </cfRule>
    <cfRule type="expression" dxfId="210" priority="33">
      <formula>K45=$D$154</formula>
    </cfRule>
  </conditionalFormatting>
  <conditionalFormatting sqref="K44:K45">
    <cfRule type="expression" priority="30">
      <formula>CELL("protect", INDIRECT(ADDRESS(ROW(),COLUMN())))=1</formula>
    </cfRule>
  </conditionalFormatting>
  <conditionalFormatting sqref="L44:L45">
    <cfRule type="expression" priority="29">
      <formula>CELL("protect", INDIRECT(ADDRESS(ROW(),COLUMN())))=1</formula>
    </cfRule>
  </conditionalFormatting>
  <conditionalFormatting sqref="M44:M45">
    <cfRule type="expression" priority="28">
      <formula>CELL("protect", INDIRECT(ADDRESS(ROW(),COLUMN())))=1</formula>
    </cfRule>
  </conditionalFormatting>
  <conditionalFormatting sqref="L43">
    <cfRule type="expression" priority="27">
      <formula>CELL("protect", INDIRECT(ADDRESS(ROW(),COLUMN())))=1</formula>
    </cfRule>
  </conditionalFormatting>
  <conditionalFormatting sqref="M43">
    <cfRule type="expression" priority="26">
      <formula>CELL("protect", INDIRECT(ADDRESS(ROW(),COLUMN())))=1</formula>
    </cfRule>
  </conditionalFormatting>
  <conditionalFormatting sqref="LM44:LN45">
    <cfRule type="expression" priority="25">
      <formula>CELL("protect", INDIRECT(ADDRESS(ROW(),COLUMN())))=1</formula>
    </cfRule>
  </conditionalFormatting>
  <conditionalFormatting sqref="LM43">
    <cfRule type="expression" priority="24">
      <formula>CELL("protect", INDIRECT(ADDRESS(ROW(),COLUMN())))=1</formula>
    </cfRule>
  </conditionalFormatting>
  <conditionalFormatting sqref="LN43">
    <cfRule type="expression" priority="23">
      <formula>CELL("protect", INDIRECT(ADDRESS(ROW(),COLUMN())))=1</formula>
    </cfRule>
  </conditionalFormatting>
  <conditionalFormatting sqref="LM65">
    <cfRule type="expression" priority="22">
      <formula>CELL("protect", INDIRECT(ADDRESS(ROW(),COLUMN())))=1</formula>
    </cfRule>
  </conditionalFormatting>
  <conditionalFormatting sqref="LN65:LN66">
    <cfRule type="expression" priority="21">
      <formula>CELL("protect", INDIRECT(ADDRESS(ROW(),COLUMN())))=1</formula>
    </cfRule>
  </conditionalFormatting>
  <conditionalFormatting sqref="LM64">
    <cfRule type="expression" priority="20">
      <formula>CELL("protect", INDIRECT(ADDRESS(ROW(),COLUMN())))=1</formula>
    </cfRule>
  </conditionalFormatting>
  <conditionalFormatting sqref="LN64">
    <cfRule type="expression" priority="19">
      <formula>CELL("protect", INDIRECT(ADDRESS(ROW(),COLUMN())))=1</formula>
    </cfRule>
  </conditionalFormatting>
  <conditionalFormatting sqref="LM66">
    <cfRule type="expression" priority="18">
      <formula>CELL("protect", INDIRECT(ADDRESS(ROW(),COLUMN())))=1</formula>
    </cfRule>
  </conditionalFormatting>
  <conditionalFormatting sqref="L45:M45">
    <cfRule type="expression" priority="17">
      <formula>CELL("protect", INDIRECT(ADDRESS(ROW(),COLUMN())))=1</formula>
    </cfRule>
  </conditionalFormatting>
  <conditionalFormatting sqref="G70:H70">
    <cfRule type="expression" priority="16">
      <formula>CELL("protect", INDIRECT(ADDRESS(ROW(),COLUMN())))=1</formula>
    </cfRule>
  </conditionalFormatting>
  <conditionalFormatting sqref="G71:H71">
    <cfRule type="expression" priority="15">
      <formula>CELL("protect", INDIRECT(ADDRESS(ROW(),COLUMN())))=1</formula>
    </cfRule>
  </conditionalFormatting>
  <conditionalFormatting sqref="G70:H70">
    <cfRule type="expression" priority="14">
      <formula>CELL("protect", INDIRECT(ADDRESS(ROW(),COLUMN())))=1</formula>
    </cfRule>
  </conditionalFormatting>
  <conditionalFormatting sqref="G71:H71">
    <cfRule type="expression" priority="13">
      <formula>CELL("protect", INDIRECT(ADDRESS(ROW(),COLUMN())))=1</formula>
    </cfRule>
  </conditionalFormatting>
  <conditionalFormatting sqref="L66:M66">
    <cfRule type="expression" priority="12">
      <formula>CELL("protect", INDIRECT(ADDRESS(ROW(),COLUMN())))=1</formula>
    </cfRule>
  </conditionalFormatting>
  <conditionalFormatting sqref="G24:H24">
    <cfRule type="expression" priority="11">
      <formula>CELL("protect", INDIRECT(ADDRESS(ROW(),COLUMN())))=1</formula>
    </cfRule>
  </conditionalFormatting>
  <conditionalFormatting sqref="G29:H29">
    <cfRule type="expression" priority="10">
      <formula>CELL("protect", INDIRECT(ADDRESS(ROW(),COLUMN())))=1</formula>
    </cfRule>
  </conditionalFormatting>
  <conditionalFormatting sqref="G34:H34">
    <cfRule type="expression" priority="9">
      <formula>CELL("protect", INDIRECT(ADDRESS(ROW(),COLUMN())))=1</formula>
    </cfRule>
  </conditionalFormatting>
  <conditionalFormatting sqref="G45:H45">
    <cfRule type="expression" priority="8">
      <formula>CELL("protect", INDIRECT(ADDRESS(ROW(),COLUMN())))=1</formula>
    </cfRule>
  </conditionalFormatting>
  <conditionalFormatting sqref="G45:H45">
    <cfRule type="expression" priority="7">
      <formula>CELL("protect", INDIRECT(ADDRESS(ROW(),COLUMN())))=1</formula>
    </cfRule>
  </conditionalFormatting>
  <conditionalFormatting sqref="G50:H50">
    <cfRule type="expression" priority="6">
      <formula>CELL("protect", INDIRECT(ADDRESS(ROW(),COLUMN())))=1</formula>
    </cfRule>
  </conditionalFormatting>
  <conditionalFormatting sqref="G56:H56">
    <cfRule type="expression" priority="5">
      <formula>CELL("protect", INDIRECT(ADDRESS(ROW(),COLUMN())))=1</formula>
    </cfRule>
  </conditionalFormatting>
  <conditionalFormatting sqref="G61:H61">
    <cfRule type="expression" priority="4">
      <formula>CELL("protect", INDIRECT(ADDRESS(ROW(),COLUMN())))=1</formula>
    </cfRule>
  </conditionalFormatting>
  <conditionalFormatting sqref="G66:H66">
    <cfRule type="expression" priority="3">
      <formula>CELL("protect", INDIRECT(ADDRESS(ROW(),COLUMN())))=1</formula>
    </cfRule>
  </conditionalFormatting>
  <conditionalFormatting sqref="G71:H71">
    <cfRule type="expression" priority="2">
      <formula>CELL("protect", INDIRECT(ADDRESS(ROW(),COLUMN())))=1</formula>
    </cfRule>
  </conditionalFormatting>
  <conditionalFormatting sqref="G70:H70">
    <cfRule type="expression" priority="1">
      <formula>CELL("protect", INDIRECT(ADDRESS(ROW(),COLUMN())))=1</formula>
    </cfRule>
  </conditionalFormatting>
  <dataValidations disablePrompts="1" count="2">
    <dataValidation type="list" allowBlank="1" showInputMessage="1" showErrorMessage="1" sqref="C7">
      <formula1>$F$154:$F$156</formula1>
    </dataValidation>
    <dataValidation type="list" allowBlank="1" showInputMessage="1" showErrorMessage="1" sqref="BW17:BX19 U56:V56 Q40:R40 Y29 S17:T19 AS34:AT34 BA50 J16:J19 K17:L19 M16:N19 O17:P19 Q16:R19 W17:X19 J24 M24:N24 Q24:R24 U16:V19 AA17:AB19 U24:V24 Y16:Z19 AE17:AF19 Y24:Z24 AC16:AD19 AI17:AJ19 AC24:AD24 AG16:AH19 AM17:AN19 AG24:AH24 AK16:AL19 AQ17:AR19 AK24:AL24 AO16:AP19 AU17:AV19 AO24:AP24 AS16:AT19 AY17:AZ19 AS24:AT24 AW16:AX19 BC17:BD19 AW24:AX24 BA16:BB19 BG17:BH19 BA24:BB24 BE16:BF19 BI24 BE24:BF24 BI16:BJ19 BK17:BL19 BM16:BN19 BO17:BP19 BQ16:BR19 BS17:BT19 KY17:KZ19 LA16:LA19 KU17:KV19 KW16:KX19 KQ17:KR19 KS16:KT19 KM17:KN19 KO16:KP19 KI17:KJ19 KK16:KL19 KE17:KF19 KG16:KH19 KA17:KB19 KC16:KD19 JW17:JX19 JY16:JZ19 JS17:JT19 JU16:JV19 JO17:JP19 JQ16:JR19 JK17:JL19 JM16:JN19 JG17:JH19 JI16:JJ19 JC17:JD19 JE16:JF19 IY17:IZ19 JA16:JB19 IU17:IV19 IW16:IX19 IQ17:IR19 IS16:IT19 IM17:IN19 IO16:IP19 II17:IJ19 IK16:IL19 IE17:IF19 IG16:IH19 IA17:IB19 IC16:ID19 HW17:HX19 HY16:HZ19 HS17:HT19 HU16:HV19 HO17:HP19 HQ16:HR19 HK17:HL19 HM16:HN19 HG17:HH19 HI16:HJ19 HC17:HD19 HE16:HF19 GY17:GZ19 HA16:HB19 GU17:GV19 GW16:GX19 GQ17:GR19 GS16:GT19 GM17:GN19 GO16:GP19 GI17:GJ19 GK16:GL19 GE17:GF19 GG16:GH19 GA17:GB19 GC16:GD19 FW17:FX19 FY16:FZ19 FS17:FT19 FU16:FV19 FO17:FP19 FQ16:FR19 FK17:FL19 FM16:FN19 FG17:FH19 FI16:FJ19 FC17:FD19 FE16:FF19 EY17:EZ19 FA16:FB19 EU17:EV19 EW16:EX19 EQ17:ER19 ES16:ET19 EM17:EN19 EO16:EP19 EI17:EJ19 EK16:EL19 EE17:EF19 EG16:EH19 EA17:EB19 EC16:ED19 DW17:DX19 DY16:DZ19 DS17:DT19 DU16:DV19 DO17:DP19 DQ16:DR19 DK17:DL19 DM16:DN19 DG17:DH19 DI16:DJ19 DC17:DD19 DE16:DF19 CY17:CZ19 DA16:DB19 CU17:CV19 CW16:CX19 CQ17:CR19 CS16:CT19 CM17:CN19 CO16:CP19 CI17:CJ19 CK16:CL19 CE17:CF19 CG16:CH19 CA17:CB19 CC16:CD19 BU16:BV19 BY16:BZ19 BE34 BA34:BB34 AW34:AX34 DA40 AO34:AP34 AS40:AT40 AW40:AX40 BA40:BB40 BE40:BF40 BI40:BJ40 BM40:BN40 BQ40:BR40 BU40:BV40 BY40:BZ40 CC40:CD40 CG40:CH40 CK40:CL40 CO40:CP40 CS40:CT40 CW40:CX40 AO40:AP40 AK34:AL34 AK40:AL40 AG34:AH34 AG40:AH40 AC34:AD34 AC40:AD40 Y34:Z34 Y40:Z40 U34:V34 U40:V40 Q34:R34 J34 M34:N34 J40 M40:N40 J29 M29:N29 Q29:R29 U29:V29 BA56 AW50:AX50 AW56:AX56 AS50:AT50 AS56:AT56 AO50:AP50 AO56:AP56 AK50:AL50 AK56:AL56 AG50:AH50 AG56:AH56 AC50:AD50 AC56:AD56 Y50:Z50 Y56:Z56 U50:V50 U61 Q50:R50 Q56:R56 Q61:R61 M50:N50 M56:N56 J50 J56 J61 M61:N61">
      <formula1>$D$154:$D$157</formula1>
    </dataValidation>
  </dataValidations>
  <hyperlinks>
    <hyperlink ref="C127" r:id="rId1"/>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&amp;K8573622018-19 annual performance report tables&amp;R&amp;G</oddHeader>
    <oddFooter>&amp;L&amp;9&amp;K857362&amp;A&amp;R&amp;9&amp;K857362Printed: &amp;D &amp;T</oddFooter>
  </headerFooter>
  <legacyDrawingHF r:id="rId3"/>
  <extLst>
    <ext xmlns:x14="http://schemas.microsoft.com/office/spreadsheetml/2009/9/main" uri="{78C0D931-6437-407d-A8EE-F0AAD7539E65}">
      <x14:conditionalFormattings>
        <x14:conditionalFormatting xmlns:xm="http://schemas.microsoft.com/office/excel/2006/main">
          <x14:cfRule type="expression" priority="1807" id="{45D59E86-F4DD-4A70-977C-28117BEE52D3}">
            <xm:f>Validation!#REF!=1</xm:f>
            <x14:dxf>
              <fill>
                <patternFill>
                  <bgColor rgb="FFE0DCD8"/>
                </patternFill>
              </fill>
            </x14:dxf>
          </x14:cfRule>
          <xm:sqref>F50:AG50 F56:AG56</xm:sqref>
        </x14:conditionalFormatting>
        <x14:conditionalFormatting xmlns:xm="http://schemas.microsoft.com/office/excel/2006/main">
          <x14:cfRule type="expression" priority="1808" id="{D723891B-53A5-4000-A320-5087D460F254}">
            <xm:f>Validation!#REF!=1</xm:f>
            <x14:dxf>
              <fill>
                <patternFill>
                  <bgColor rgb="FFE0DCD8"/>
                </patternFill>
              </fill>
            </x14:dxf>
          </x14:cfRule>
          <xm:sqref>G61:T61</xm:sqref>
        </x14:conditionalFormatting>
      </x14:conditionalFormattings>
    </ext>
  </extLst>
</worksheet>
</file>

<file path=xl/worksheets/sheet3.xml><?xml version="1.0" encoding="utf-8"?>
<worksheet xmlns="http://schemas.openxmlformats.org/spreadsheetml/2006/main" xmlns:r="http://schemas.openxmlformats.org/officeDocument/2006/relationships">
  <sheetPr codeName="Sheet36">
    <pageSetUpPr fitToPage="1"/>
  </sheetPr>
  <dimension ref="A1:F32"/>
  <sheetViews>
    <sheetView workbookViewId="0">
      <selection sqref="A1:C1"/>
    </sheetView>
  </sheetViews>
  <sheetFormatPr defaultColWidth="8.625" defaultRowHeight="14.25"/>
  <cols>
    <col min="1" max="1" width="8.625" customWidth="1"/>
    <col min="2" max="2" width="10.25" bestFit="1" customWidth="1"/>
    <col min="3" max="3" width="91.125" customWidth="1"/>
    <col min="4" max="4" width="1.75" customWidth="1"/>
  </cols>
  <sheetData>
    <row r="1" spans="1:6" ht="18.75">
      <c r="A1" s="3195" t="s">
        <v>12436</v>
      </c>
      <c r="B1" s="3196"/>
      <c r="C1" s="3196"/>
      <c r="E1" s="675"/>
      <c r="F1" s="675"/>
    </row>
    <row r="2" spans="1:6">
      <c r="A2" s="2124"/>
      <c r="B2" s="2124"/>
      <c r="C2" s="2124"/>
    </row>
    <row r="3" spans="1:6" ht="15" thickBot="1">
      <c r="A3" s="2124"/>
      <c r="B3" s="2124"/>
      <c r="C3" s="2124"/>
    </row>
    <row r="4" spans="1:6" ht="15" thickBot="1">
      <c r="A4" s="2124"/>
      <c r="B4" s="2125" t="s">
        <v>12437</v>
      </c>
      <c r="C4" s="2126" t="s">
        <v>12438</v>
      </c>
    </row>
    <row r="5" spans="1:6" ht="36.75" customHeight="1">
      <c r="A5" s="2124"/>
      <c r="B5" s="2178" t="s">
        <v>12628</v>
      </c>
      <c r="C5" s="2177" t="s">
        <v>13523</v>
      </c>
    </row>
    <row r="6" spans="1:6">
      <c r="A6" s="2124"/>
      <c r="B6" s="2421"/>
      <c r="C6" s="2147" t="s">
        <v>12629</v>
      </c>
    </row>
    <row r="7" spans="1:6">
      <c r="A7" s="2124"/>
      <c r="B7" s="2421"/>
      <c r="C7" s="2128" t="s">
        <v>12630</v>
      </c>
    </row>
    <row r="8" spans="1:6">
      <c r="A8" s="2124"/>
      <c r="B8" s="2421"/>
      <c r="C8" s="2128" t="s">
        <v>12631</v>
      </c>
    </row>
    <row r="9" spans="1:6">
      <c r="A9" s="2124"/>
      <c r="B9" s="2421"/>
      <c r="C9" s="2128" t="s">
        <v>13532</v>
      </c>
    </row>
    <row r="10" spans="1:6" ht="24">
      <c r="A10" s="2124"/>
      <c r="B10" s="2421"/>
      <c r="C10" s="2179" t="s">
        <v>12635</v>
      </c>
    </row>
    <row r="11" spans="1:6">
      <c r="A11" s="2124"/>
      <c r="B11" s="2421"/>
      <c r="C11" s="2147" t="s">
        <v>12634</v>
      </c>
      <c r="D11" s="2146"/>
    </row>
    <row r="12" spans="1:6">
      <c r="B12" s="2421"/>
      <c r="C12" s="2147" t="s">
        <v>12644</v>
      </c>
      <c r="D12" s="2146"/>
    </row>
    <row r="13" spans="1:6">
      <c r="B13" s="2422"/>
      <c r="C13" s="2144" t="s">
        <v>12648</v>
      </c>
      <c r="D13" s="2146"/>
    </row>
    <row r="14" spans="1:6" s="2146" customFormat="1" ht="24">
      <c r="B14" s="2422"/>
      <c r="C14" s="2144" t="s">
        <v>13556</v>
      </c>
    </row>
    <row r="15" spans="1:6" s="2146" customFormat="1">
      <c r="B15" s="2422"/>
      <c r="C15" s="2144" t="s">
        <v>12734</v>
      </c>
    </row>
    <row r="16" spans="1:6" s="2146" customFormat="1">
      <c r="B16" s="2422"/>
      <c r="C16" s="2144" t="s">
        <v>12735</v>
      </c>
    </row>
    <row r="17" spans="2:4" s="2146" customFormat="1">
      <c r="B17" s="2422"/>
      <c r="C17" s="2144" t="s">
        <v>12736</v>
      </c>
    </row>
    <row r="18" spans="2:4" s="2146" customFormat="1" ht="24">
      <c r="B18" s="2422"/>
      <c r="C18" s="2144" t="s">
        <v>12737</v>
      </c>
    </row>
    <row r="19" spans="2:4">
      <c r="B19" s="2422"/>
      <c r="C19" s="2147"/>
      <c r="D19" s="2146"/>
    </row>
    <row r="20" spans="2:4" s="2146" customFormat="1">
      <c r="B20" s="2423">
        <v>43509</v>
      </c>
      <c r="C20" s="2695" t="s">
        <v>13566</v>
      </c>
    </row>
    <row r="21" spans="2:4" s="2146" customFormat="1">
      <c r="B21" s="2422"/>
      <c r="C21" s="2695" t="s">
        <v>13567</v>
      </c>
    </row>
    <row r="22" spans="2:4" s="2146" customFormat="1">
      <c r="B22" s="2422"/>
      <c r="C22" s="2147"/>
    </row>
    <row r="23" spans="2:4" s="2146" customFormat="1" ht="36">
      <c r="B23" s="2425">
        <v>43536</v>
      </c>
      <c r="C23" s="2695" t="s">
        <v>13568</v>
      </c>
    </row>
    <row r="24" spans="2:4" s="2146" customFormat="1">
      <c r="B24" s="2425"/>
      <c r="C24" s="2147"/>
    </row>
    <row r="25" spans="2:4" s="2146" customFormat="1" ht="36">
      <c r="B25" s="2425" t="s">
        <v>13496</v>
      </c>
      <c r="C25" s="2147" t="s">
        <v>13497</v>
      </c>
    </row>
    <row r="26" spans="2:4" s="2146" customFormat="1">
      <c r="B26" s="2425"/>
      <c r="C26" s="2147" t="s">
        <v>13555</v>
      </c>
    </row>
    <row r="27" spans="2:4" s="2146" customFormat="1" ht="15" thickBot="1">
      <c r="B27" s="2718"/>
      <c r="C27" s="2138"/>
    </row>
    <row r="28" spans="2:4" ht="132" customHeight="1" thickBot="1">
      <c r="B28" s="2718" t="s">
        <v>13575</v>
      </c>
      <c r="C28" s="3168" t="s">
        <v>13574</v>
      </c>
      <c r="D28" s="3170"/>
    </row>
    <row r="29" spans="2:4" s="2146" customFormat="1" ht="36">
      <c r="B29" s="3174" t="s">
        <v>13583</v>
      </c>
      <c r="C29" s="3166" t="s">
        <v>13579</v>
      </c>
    </row>
    <row r="30" spans="2:4" s="2146" customFormat="1" ht="24">
      <c r="B30" s="3174" t="s">
        <v>13583</v>
      </c>
      <c r="C30" s="3166" t="s">
        <v>13581</v>
      </c>
      <c r="D30" s="3167"/>
    </row>
    <row r="31" spans="2:4" s="2146" customFormat="1" ht="111" customHeight="1" thickBot="1">
      <c r="B31" s="3174" t="s">
        <v>13583</v>
      </c>
      <c r="C31" s="3168" t="s">
        <v>13582</v>
      </c>
      <c r="D31" s="893"/>
    </row>
    <row r="32" spans="2:4" s="2146" customFormat="1" ht="15" thickBot="1">
      <c r="B32" s="2424"/>
      <c r="C32" s="3168"/>
    </row>
  </sheetData>
  <mergeCells count="1">
    <mergeCell ref="A1:C1"/>
  </mergeCells>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8">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8" t="s">
        <v>2392</v>
      </c>
    </row>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1.xml><?xml version="1.0" encoding="utf-8"?>
<worksheet xmlns="http://schemas.openxmlformats.org/spreadsheetml/2006/main" xmlns:r="http://schemas.openxmlformats.org/officeDocument/2006/relationships">
  <sheetPr codeName="Sheet27">
    <tabColor rgb="FF00B0F0"/>
    <pageSetUpPr fitToPage="1"/>
  </sheetPr>
  <dimension ref="A1:AH38"/>
  <sheetViews>
    <sheetView workbookViewId="0">
      <selection activeCell="J23" sqref="J23"/>
    </sheetView>
  </sheetViews>
  <sheetFormatPr defaultColWidth="0" defaultRowHeight="14.25" zeroHeight="1"/>
  <cols>
    <col min="1" max="1" width="0.625" style="75" customWidth="1"/>
    <col min="2" max="2" width="4.125" style="75" customWidth="1"/>
    <col min="3" max="3" width="48.625" style="75" customWidth="1"/>
    <col min="4" max="4" width="1.125" style="75" hidden="1" customWidth="1"/>
    <col min="5" max="6" width="5.625" style="75" customWidth="1"/>
    <col min="7" max="8" width="11.125" style="75" customWidth="1"/>
    <col min="9" max="9" width="2.375" style="71" customWidth="1"/>
    <col min="10" max="10" width="18.625" style="71" bestFit="1" customWidth="1"/>
    <col min="11" max="11" width="1.625" style="71" customWidth="1"/>
    <col min="12" max="12" width="1.125" style="72" hidden="1" customWidth="1"/>
    <col min="13" max="14" width="12.625" style="71" hidden="1" customWidth="1"/>
    <col min="15" max="15" width="1.125" style="72" hidden="1" customWidth="1"/>
    <col min="16" max="16" width="8.625" style="71" hidden="1" customWidth="1"/>
    <col min="17" max="17" width="8.625" style="75" hidden="1" customWidth="1"/>
    <col min="18" max="25" width="0" style="75" hidden="1" customWidth="1"/>
    <col min="26" max="26" width="8" style="75" customWidth="1"/>
    <col min="27" max="27" width="4.125" style="75" customWidth="1"/>
    <col min="28" max="28" width="48.625" style="75" customWidth="1"/>
    <col min="29" max="29" width="1.125" style="75" hidden="1" customWidth="1"/>
    <col min="30" max="31" width="5.625" style="75" customWidth="1"/>
    <col min="32" max="33" width="11.125" style="75" customWidth="1"/>
    <col min="34" max="34" width="2" style="75" customWidth="1"/>
    <col min="35" max="16384" width="8" style="75" hidden="1"/>
  </cols>
  <sheetData>
    <row r="1" spans="2:33" ht="18.75">
      <c r="B1" s="67" t="s">
        <v>2727</v>
      </c>
      <c r="C1" s="67"/>
      <c r="D1" s="67"/>
      <c r="E1" s="67"/>
      <c r="F1" s="67"/>
      <c r="G1" s="67"/>
      <c r="H1" s="67" t="str">
        <f>Validation!B3</f>
        <v>South West Water – South West area</v>
      </c>
      <c r="I1" s="67"/>
      <c r="J1" s="70" t="s">
        <v>2394</v>
      </c>
      <c r="AA1" s="67" t="s">
        <v>6671</v>
      </c>
      <c r="AB1" s="67"/>
      <c r="AC1" s="67"/>
      <c r="AD1" s="67"/>
      <c r="AE1" s="67"/>
      <c r="AF1" s="67"/>
      <c r="AG1" s="67"/>
    </row>
    <row r="2" spans="2:33" ht="15" thickBot="1">
      <c r="B2" s="74" t="s">
        <v>12524</v>
      </c>
      <c r="C2" s="265"/>
      <c r="D2" s="265"/>
      <c r="AA2" s="74" t="s">
        <v>12524</v>
      </c>
      <c r="AB2" s="265"/>
      <c r="AC2" s="265"/>
    </row>
    <row r="3" spans="2:33" ht="19.5" customHeight="1">
      <c r="B3" s="3249" t="s">
        <v>2395</v>
      </c>
      <c r="C3" s="3250"/>
      <c r="D3" s="1461" t="s">
        <v>6495</v>
      </c>
      <c r="E3" s="3253" t="s">
        <v>2396</v>
      </c>
      <c r="F3" s="3255" t="s">
        <v>2397</v>
      </c>
      <c r="G3" s="3257" t="s">
        <v>2642</v>
      </c>
      <c r="H3" s="3258"/>
      <c r="J3" s="3213" t="s">
        <v>1361</v>
      </c>
      <c r="AA3" s="3249" t="s">
        <v>2395</v>
      </c>
      <c r="AB3" s="3250"/>
      <c r="AC3" s="2727" t="s">
        <v>6495</v>
      </c>
      <c r="AD3" s="3253" t="s">
        <v>2396</v>
      </c>
      <c r="AE3" s="3255" t="s">
        <v>2397</v>
      </c>
      <c r="AF3" s="3257" t="s">
        <v>2642</v>
      </c>
      <c r="AG3" s="3258"/>
    </row>
    <row r="4" spans="2:33" ht="15" thickBot="1">
      <c r="B4" s="3251"/>
      <c r="C4" s="3252"/>
      <c r="D4" s="1462"/>
      <c r="E4" s="3254"/>
      <c r="F4" s="3256"/>
      <c r="G4" s="267" t="s">
        <v>2684</v>
      </c>
      <c r="H4" s="268" t="s">
        <v>2685</v>
      </c>
      <c r="J4" s="3214"/>
      <c r="M4" s="1642" t="s">
        <v>2404</v>
      </c>
      <c r="N4" s="1642"/>
      <c r="AA4" s="3251"/>
      <c r="AB4" s="3252"/>
      <c r="AC4" s="2728"/>
      <c r="AD4" s="3254"/>
      <c r="AE4" s="3256"/>
      <c r="AF4" s="267" t="s">
        <v>2684</v>
      </c>
      <c r="AG4" s="268" t="s">
        <v>2685</v>
      </c>
    </row>
    <row r="5" spans="2:33" ht="15" thickBot="1"/>
    <row r="6" spans="2:33" ht="15" thickBot="1">
      <c r="B6" s="302" t="s">
        <v>2575</v>
      </c>
      <c r="C6" s="303"/>
      <c r="D6" s="1587"/>
      <c r="E6" s="270"/>
      <c r="F6" s="270"/>
      <c r="G6" s="270"/>
      <c r="H6" s="270"/>
      <c r="J6" s="131"/>
      <c r="AA6" s="302" t="s">
        <v>2575</v>
      </c>
      <c r="AB6" s="303"/>
      <c r="AC6" s="1587"/>
      <c r="AD6" s="270"/>
      <c r="AE6" s="270"/>
      <c r="AF6" s="270"/>
      <c r="AG6" s="270"/>
    </row>
    <row r="7" spans="2:33" ht="15" thickBot="1">
      <c r="B7" s="619" t="s">
        <v>2449</v>
      </c>
      <c r="C7" s="309" t="s">
        <v>2579</v>
      </c>
      <c r="D7" s="1587"/>
      <c r="E7" s="270"/>
      <c r="F7" s="270"/>
      <c r="G7" s="270"/>
      <c r="H7" s="270"/>
      <c r="J7" s="131"/>
      <c r="M7" s="171" t="s">
        <v>2405</v>
      </c>
      <c r="N7" s="132"/>
      <c r="AA7" s="2738" t="s">
        <v>2449</v>
      </c>
      <c r="AB7" s="309" t="s">
        <v>2579</v>
      </c>
      <c r="AC7" s="1587"/>
      <c r="AD7" s="270"/>
      <c r="AE7" s="270"/>
      <c r="AF7" s="270"/>
      <c r="AG7" s="270"/>
    </row>
    <row r="8" spans="2:33" ht="15" thickBot="1">
      <c r="B8" s="298" t="s">
        <v>5179</v>
      </c>
      <c r="C8" s="281" t="s">
        <v>2728</v>
      </c>
      <c r="D8" s="281"/>
      <c r="E8" s="282" t="s">
        <v>3624</v>
      </c>
      <c r="F8" s="283">
        <v>3</v>
      </c>
      <c r="G8" s="445">
        <f>'[1]4A'!I8</f>
        <v>5.7389999999999999</v>
      </c>
      <c r="H8" s="445">
        <f>'[1]4A'!J8</f>
        <v>4.2750000000000004</v>
      </c>
      <c r="J8" s="24">
        <f t="shared" ref="J8:J9" si="0" xml:space="preserve"> IF( SUM( L8:O8 ) = 0, 0, $M$7 )</f>
        <v>0</v>
      </c>
      <c r="M8" s="98">
        <f xml:space="preserve"> IF( ISNUMBER( G8 ), 0, 1 )</f>
        <v>0</v>
      </c>
      <c r="N8" s="98">
        <f xml:space="preserve"> IF( ISNUMBER( H8 ), 0, 1 )</f>
        <v>0</v>
      </c>
      <c r="AA8" s="298" t="s">
        <v>5179</v>
      </c>
      <c r="AB8" s="281" t="s">
        <v>2728</v>
      </c>
      <c r="AC8" s="281"/>
      <c r="AD8" s="282" t="s">
        <v>3624</v>
      </c>
      <c r="AE8" s="283">
        <v>3</v>
      </c>
      <c r="AF8" s="2871" t="s">
        <v>10199</v>
      </c>
      <c r="AG8" s="2872" t="s">
        <v>10200</v>
      </c>
    </row>
    <row r="9" spans="2:33" ht="15" thickBot="1">
      <c r="B9" s="300" t="s">
        <v>5180</v>
      </c>
      <c r="C9" s="290" t="s">
        <v>2729</v>
      </c>
      <c r="D9" s="290"/>
      <c r="E9" s="291" t="s">
        <v>3173</v>
      </c>
      <c r="F9" s="292">
        <v>2</v>
      </c>
      <c r="G9" s="3193">
        <f>'[1]4A'!I9</f>
        <v>212.25695836723742</v>
      </c>
      <c r="H9" s="3193">
        <f>'[1]4A'!J9</f>
        <v>140.34060182681787</v>
      </c>
      <c r="J9" s="24">
        <f t="shared" si="0"/>
        <v>0</v>
      </c>
      <c r="M9" s="98">
        <f xml:space="preserve"> IF( ISNUMBER( G9 ), 0, 1 )</f>
        <v>0</v>
      </c>
      <c r="N9" s="98">
        <f xml:space="preserve"> IF( ISNUMBER( H9 ), 0, 1 )</f>
        <v>0</v>
      </c>
      <c r="AA9" s="300" t="s">
        <v>5180</v>
      </c>
      <c r="AB9" s="290" t="s">
        <v>2729</v>
      </c>
      <c r="AC9" s="290"/>
      <c r="AD9" s="291" t="s">
        <v>3173</v>
      </c>
      <c r="AE9" s="292">
        <v>2</v>
      </c>
      <c r="AF9" s="2873" t="s">
        <v>10201</v>
      </c>
      <c r="AG9" s="2874" t="s">
        <v>10202</v>
      </c>
    </row>
    <row r="10" spans="2:33">
      <c r="B10" s="304"/>
      <c r="C10" s="275"/>
      <c r="D10" s="275"/>
      <c r="E10" s="277"/>
      <c r="F10" s="277"/>
      <c r="G10" s="305"/>
      <c r="H10" s="305"/>
      <c r="J10" s="131"/>
      <c r="M10" s="288"/>
      <c r="N10" s="115"/>
      <c r="AA10" s="304"/>
      <c r="AB10" s="275"/>
      <c r="AC10" s="275"/>
      <c r="AD10" s="277"/>
      <c r="AE10" s="277"/>
      <c r="AF10" s="305"/>
      <c r="AG10" s="305"/>
    </row>
    <row r="11" spans="2:33" ht="15" thickBot="1">
      <c r="B11" s="304"/>
      <c r="C11" s="275"/>
      <c r="D11" s="275"/>
      <c r="E11" s="277"/>
      <c r="F11" s="277"/>
      <c r="G11" s="305"/>
      <c r="H11" s="305"/>
      <c r="J11" s="131"/>
      <c r="M11" s="288"/>
      <c r="N11" s="115"/>
      <c r="AA11" s="304"/>
      <c r="AB11" s="275"/>
      <c r="AC11" s="275"/>
      <c r="AD11" s="277"/>
      <c r="AE11" s="277"/>
      <c r="AF11" s="305"/>
      <c r="AG11" s="305"/>
    </row>
    <row r="12" spans="2:33" ht="15" thickBot="1">
      <c r="B12" s="304"/>
      <c r="C12" s="275"/>
      <c r="D12" s="275"/>
      <c r="E12" s="277"/>
      <c r="F12" s="277"/>
      <c r="G12" s="306" t="s">
        <v>40</v>
      </c>
      <c r="H12" s="307" t="s">
        <v>214</v>
      </c>
      <c r="J12" s="131"/>
      <c r="M12" s="288"/>
      <c r="N12" s="115"/>
      <c r="AA12" s="304"/>
      <c r="AB12" s="275"/>
      <c r="AC12" s="275"/>
      <c r="AD12" s="277"/>
      <c r="AE12" s="277"/>
      <c r="AF12" s="306" t="s">
        <v>40</v>
      </c>
      <c r="AG12" s="307" t="s">
        <v>214</v>
      </c>
    </row>
    <row r="13" spans="2:33" ht="15" thickBot="1">
      <c r="B13" s="302" t="s">
        <v>2576</v>
      </c>
      <c r="C13" s="303"/>
      <c r="D13" s="1587"/>
      <c r="E13" s="277"/>
      <c r="F13" s="277"/>
      <c r="G13" s="632"/>
      <c r="H13" s="632"/>
      <c r="I13" s="200"/>
      <c r="J13" s="131"/>
      <c r="M13" s="288"/>
      <c r="N13" s="115"/>
      <c r="AA13" s="302" t="s">
        <v>2576</v>
      </c>
      <c r="AB13" s="303"/>
      <c r="AC13" s="1587"/>
      <c r="AD13" s="277"/>
      <c r="AE13" s="277"/>
      <c r="AF13" s="632"/>
      <c r="AG13" s="632"/>
    </row>
    <row r="14" spans="2:33" ht="15" thickBot="1">
      <c r="B14" s="308" t="s">
        <v>2458</v>
      </c>
      <c r="C14" s="309" t="s">
        <v>3623</v>
      </c>
      <c r="D14" s="1587"/>
      <c r="E14" s="310"/>
      <c r="F14" s="310"/>
      <c r="J14" s="131"/>
      <c r="M14" s="288"/>
      <c r="N14" s="115"/>
      <c r="AA14" s="2738" t="s">
        <v>2458</v>
      </c>
      <c r="AB14" s="309" t="s">
        <v>3623</v>
      </c>
      <c r="AC14" s="1587"/>
      <c r="AD14" s="310"/>
      <c r="AE14" s="310"/>
    </row>
    <row r="15" spans="2:33" ht="15" thickBot="1">
      <c r="B15" s="298" t="s">
        <v>5181</v>
      </c>
      <c r="C15" s="281" t="s">
        <v>2730</v>
      </c>
      <c r="D15" s="281"/>
      <c r="E15" s="311" t="s">
        <v>2731</v>
      </c>
      <c r="F15" s="283">
        <v>3</v>
      </c>
      <c r="G15" s="445">
        <f>'[1]4A'!I15</f>
        <v>5.3999999999999999E-2</v>
      </c>
      <c r="H15" s="445">
        <f>'[1]4A'!J15</f>
        <v>0</v>
      </c>
      <c r="J15" s="24">
        <f t="shared" ref="J15:J16" si="1" xml:space="preserve"> IF( SUM( L15:O15 ) = 0, 0, $M$7 )</f>
        <v>0</v>
      </c>
      <c r="M15" s="98">
        <f t="shared" ref="M15:M17" si="2" xml:space="preserve"> IF( ISNUMBER( G15 ), 0, 1 )</f>
        <v>0</v>
      </c>
      <c r="N15" s="98">
        <f>IF(Validation!$H$3=1,0,IF(ISNUMBER(H15),0,1))</f>
        <v>0</v>
      </c>
      <c r="AA15" s="298" t="s">
        <v>5181</v>
      </c>
      <c r="AB15" s="281" t="s">
        <v>2730</v>
      </c>
      <c r="AC15" s="281"/>
      <c r="AD15" s="311" t="s">
        <v>2731</v>
      </c>
      <c r="AE15" s="283">
        <v>3</v>
      </c>
      <c r="AF15" s="2875" t="s">
        <v>10203</v>
      </c>
      <c r="AG15" s="2876" t="s">
        <v>10204</v>
      </c>
    </row>
    <row r="16" spans="2:33" ht="15" thickBot="1">
      <c r="B16" s="299" t="s">
        <v>5183</v>
      </c>
      <c r="C16" s="285" t="s">
        <v>2732</v>
      </c>
      <c r="D16" s="285"/>
      <c r="E16" s="312" t="s">
        <v>2731</v>
      </c>
      <c r="F16" s="287">
        <v>3</v>
      </c>
      <c r="G16" s="445">
        <f>'[1]4A'!I16</f>
        <v>0</v>
      </c>
      <c r="H16" s="445">
        <f>'[1]4A'!J16</f>
        <v>0</v>
      </c>
      <c r="J16" s="24">
        <f t="shared" si="1"/>
        <v>0</v>
      </c>
      <c r="M16" s="98">
        <f t="shared" si="2"/>
        <v>0</v>
      </c>
      <c r="N16" s="98">
        <f>IF(Validation!$H$3=1,0,IF(ISNUMBER(H16),0,1))</f>
        <v>0</v>
      </c>
      <c r="AA16" s="299" t="s">
        <v>5183</v>
      </c>
      <c r="AB16" s="285" t="s">
        <v>2732</v>
      </c>
      <c r="AC16" s="285"/>
      <c r="AD16" s="312" t="s">
        <v>2731</v>
      </c>
      <c r="AE16" s="287">
        <v>3</v>
      </c>
      <c r="AF16" s="2877" t="s">
        <v>10205</v>
      </c>
      <c r="AG16" s="2878" t="s">
        <v>10206</v>
      </c>
    </row>
    <row r="17" spans="1:33" ht="15" thickBot="1">
      <c r="B17" s="300" t="s">
        <v>5182</v>
      </c>
      <c r="C17" s="290" t="s">
        <v>2733</v>
      </c>
      <c r="D17" s="290"/>
      <c r="E17" s="291" t="s">
        <v>2731</v>
      </c>
      <c r="F17" s="292">
        <v>3</v>
      </c>
      <c r="G17" s="445">
        <f>'[1]4A'!I17</f>
        <v>466.56872474185229</v>
      </c>
      <c r="H17" s="170"/>
      <c r="J17" s="24">
        <f xml:space="preserve"> IF( SUM( L17:O17 ) = 0, 0, $M$7 )</f>
        <v>0</v>
      </c>
      <c r="M17" s="98">
        <f t="shared" si="2"/>
        <v>0</v>
      </c>
      <c r="N17" s="115"/>
      <c r="AA17" s="300" t="s">
        <v>5182</v>
      </c>
      <c r="AB17" s="290" t="s">
        <v>2733</v>
      </c>
      <c r="AC17" s="290"/>
      <c r="AD17" s="291" t="s">
        <v>2731</v>
      </c>
      <c r="AE17" s="292">
        <v>3</v>
      </c>
      <c r="AF17" s="2879" t="s">
        <v>4450</v>
      </c>
      <c r="AG17" s="170"/>
    </row>
    <row r="18" spans="1:33" s="71" customFormat="1">
      <c r="E18" s="90"/>
      <c r="F18" s="90"/>
      <c r="H18" s="170"/>
      <c r="J18" s="131"/>
      <c r="L18" s="72"/>
      <c r="M18" s="288"/>
      <c r="N18" s="115"/>
      <c r="O18" s="72"/>
      <c r="AD18" s="90"/>
      <c r="AE18" s="90"/>
      <c r="AG18" s="170"/>
    </row>
    <row r="19" spans="1:33" s="170" customFormat="1">
      <c r="B19" s="3220" t="s">
        <v>2420</v>
      </c>
      <c r="C19" s="3220"/>
      <c r="D19" s="1449"/>
      <c r="I19" s="71"/>
      <c r="J19" s="131"/>
      <c r="K19" s="71"/>
      <c r="L19" s="72"/>
      <c r="M19" s="288"/>
      <c r="N19" s="115"/>
      <c r="O19" s="72"/>
      <c r="P19" s="71"/>
    </row>
    <row r="20" spans="1:33" s="170" customFormat="1">
      <c r="B20" s="146"/>
      <c r="C20" s="147"/>
      <c r="D20" s="147"/>
      <c r="I20" s="123"/>
      <c r="J20" s="131"/>
      <c r="K20" s="123"/>
      <c r="L20" s="129"/>
      <c r="M20" s="288"/>
      <c r="N20" s="115"/>
      <c r="O20" s="129"/>
      <c r="P20" s="115"/>
    </row>
    <row r="21" spans="1:33" s="170" customFormat="1" ht="12">
      <c r="B21" s="25"/>
      <c r="C21" s="148" t="s">
        <v>2421</v>
      </c>
      <c r="D21" s="148"/>
      <c r="I21" s="131"/>
      <c r="J21" s="131"/>
      <c r="K21" s="131"/>
      <c r="L21" s="124"/>
      <c r="M21" s="211"/>
      <c r="O21" s="124"/>
    </row>
    <row r="22" spans="1:33" s="170" customFormat="1" ht="12">
      <c r="B22" s="146"/>
      <c r="C22" s="147"/>
      <c r="D22" s="147"/>
      <c r="I22" s="131"/>
      <c r="J22" s="131"/>
      <c r="K22" s="131"/>
      <c r="L22" s="124"/>
      <c r="M22" s="211"/>
      <c r="O22" s="124"/>
    </row>
    <row r="23" spans="1:33" s="170" customFormat="1" ht="12">
      <c r="B23" s="149"/>
      <c r="C23" s="148" t="s">
        <v>2422</v>
      </c>
      <c r="D23" s="148"/>
      <c r="I23" s="131"/>
      <c r="J23" s="131"/>
      <c r="K23" s="131"/>
      <c r="L23" s="124"/>
      <c r="M23" s="211"/>
      <c r="O23" s="124"/>
    </row>
    <row r="24" spans="1:33" s="170" customFormat="1" ht="12">
      <c r="B24" s="150"/>
      <c r="C24" s="148"/>
      <c r="D24" s="148"/>
      <c r="I24" s="131"/>
      <c r="J24" s="131"/>
      <c r="K24" s="131"/>
      <c r="L24" s="124"/>
      <c r="M24" s="211"/>
      <c r="O24" s="124"/>
    </row>
    <row r="25" spans="1:33" s="115" customFormat="1" ht="15" thickBot="1">
      <c r="C25" s="157"/>
      <c r="D25" s="157"/>
      <c r="I25" s="131"/>
      <c r="J25" s="131"/>
      <c r="K25" s="131"/>
      <c r="L25" s="124"/>
      <c r="M25" s="211"/>
      <c r="N25" s="170"/>
      <c r="O25" s="124"/>
      <c r="P25" s="170"/>
    </row>
    <row r="26" spans="1:33" s="115" customFormat="1" ht="32.25" customHeight="1" thickBot="1">
      <c r="B26" s="3340" t="s">
        <v>12572</v>
      </c>
      <c r="C26" s="3386"/>
      <c r="D26" s="3386"/>
      <c r="E26" s="3386"/>
      <c r="F26" s="3386"/>
      <c r="G26" s="3386"/>
      <c r="H26" s="3387"/>
      <c r="I26" s="131"/>
      <c r="J26" s="131"/>
      <c r="K26" s="131"/>
      <c r="L26" s="124"/>
      <c r="M26" s="1434"/>
      <c r="N26" s="170"/>
      <c r="O26" s="124"/>
      <c r="P26" s="170"/>
    </row>
    <row r="27" spans="1:33" s="115" customFormat="1">
      <c r="C27" s="157"/>
      <c r="D27" s="157"/>
      <c r="I27" s="131"/>
      <c r="J27" s="131"/>
      <c r="K27" s="131"/>
      <c r="L27" s="124"/>
      <c r="M27" s="211"/>
      <c r="N27" s="170"/>
      <c r="O27" s="124"/>
      <c r="P27" s="170"/>
    </row>
    <row r="28" spans="1:33" s="115" customFormat="1" ht="15" hidden="1" thickBot="1">
      <c r="A28" s="1643"/>
      <c r="B28" s="151" t="str">
        <f ca="1" xml:space="preserve"> RIGHT(CELL("filename", $A$1), LEN(CELL("filename", $A$1)) - SEARCH("]", CELL("filename", $A$1)))&amp;" - Line definitions"</f>
        <v>4A - SWT - Line definitions</v>
      </c>
      <c r="C28" s="152"/>
      <c r="D28" s="152"/>
      <c r="E28" s="153"/>
      <c r="F28" s="153"/>
      <c r="G28" s="153"/>
      <c r="H28" s="259"/>
      <c r="I28" s="135"/>
      <c r="J28" s="131"/>
      <c r="K28" s="131"/>
      <c r="L28" s="124"/>
      <c r="M28" s="313"/>
      <c r="N28" s="185"/>
      <c r="O28" s="124"/>
      <c r="P28" s="185"/>
    </row>
    <row r="29" spans="1:33" s="115" customFormat="1" ht="15" hidden="1" thickBot="1">
      <c r="A29" s="1643"/>
      <c r="B29" s="75"/>
      <c r="C29" s="160"/>
      <c r="D29" s="160"/>
      <c r="E29" s="75"/>
      <c r="F29" s="75"/>
      <c r="G29" s="75"/>
      <c r="I29" s="135"/>
      <c r="J29" s="131"/>
      <c r="K29" s="131"/>
      <c r="L29" s="124"/>
      <c r="M29" s="313"/>
      <c r="N29" s="185"/>
      <c r="O29" s="124"/>
      <c r="P29" s="185"/>
    </row>
    <row r="30" spans="1:33" s="185" customFormat="1" ht="15" hidden="1" thickBot="1">
      <c r="A30" s="1644"/>
      <c r="B30" s="295" t="s">
        <v>2423</v>
      </c>
      <c r="C30" s="686" t="s">
        <v>2424</v>
      </c>
      <c r="D30" s="1460"/>
      <c r="E30" s="687"/>
      <c r="F30" s="687"/>
      <c r="G30" s="687"/>
      <c r="H30" s="688"/>
      <c r="I30" s="135"/>
      <c r="J30" s="125"/>
      <c r="K30" s="123"/>
      <c r="L30" s="129"/>
      <c r="M30" s="90" t="s">
        <v>2425</v>
      </c>
      <c r="N30" s="115"/>
      <c r="O30" s="129"/>
      <c r="P30" s="115"/>
    </row>
    <row r="31" spans="1:33" s="115" customFormat="1" ht="58.5" hidden="1" customHeight="1">
      <c r="A31" s="1643"/>
      <c r="B31" s="166" t="s">
        <v>5179</v>
      </c>
      <c r="C31" s="3268" t="s">
        <v>2734</v>
      </c>
      <c r="D31" s="3269"/>
      <c r="E31" s="3269"/>
      <c r="F31" s="3269"/>
      <c r="G31" s="3269"/>
      <c r="H31" s="3270"/>
      <c r="I31" s="135"/>
      <c r="J31" s="125"/>
      <c r="K31" s="123"/>
      <c r="L31" s="129"/>
      <c r="M31" s="215" t="s">
        <v>2624</v>
      </c>
      <c r="O31" s="129"/>
    </row>
    <row r="32" spans="1:33" s="115" customFormat="1" ht="139.5" hidden="1" customHeight="1">
      <c r="A32" s="1643"/>
      <c r="B32" s="166" t="s">
        <v>5180</v>
      </c>
      <c r="C32" s="3268" t="s">
        <v>3827</v>
      </c>
      <c r="D32" s="3269"/>
      <c r="E32" s="3269"/>
      <c r="F32" s="3269"/>
      <c r="G32" s="3269"/>
      <c r="H32" s="3270"/>
      <c r="I32" s="135"/>
      <c r="J32" s="125"/>
      <c r="K32" s="123"/>
      <c r="L32" s="129"/>
      <c r="M32" s="210" t="s">
        <v>3742</v>
      </c>
      <c r="N32" s="125"/>
      <c r="O32" s="129"/>
      <c r="P32" s="125"/>
    </row>
    <row r="33" spans="1:16" s="115" customFormat="1" ht="139.5" hidden="1" customHeight="1">
      <c r="A33" s="1643"/>
      <c r="B33" s="166" t="s">
        <v>5180</v>
      </c>
      <c r="C33" s="3268" t="s">
        <v>3828</v>
      </c>
      <c r="D33" s="3269"/>
      <c r="E33" s="3269"/>
      <c r="F33" s="3269"/>
      <c r="G33" s="3269"/>
      <c r="H33" s="3270"/>
      <c r="I33" s="135"/>
      <c r="J33" s="125"/>
      <c r="K33" s="123"/>
      <c r="L33" s="129"/>
      <c r="M33" s="210" t="s">
        <v>3742</v>
      </c>
      <c r="N33" s="125"/>
      <c r="O33" s="129"/>
      <c r="P33" s="125"/>
    </row>
    <row r="34" spans="1:16" s="115" customFormat="1" ht="25.5" hidden="1">
      <c r="A34" s="1643"/>
      <c r="B34" s="166" t="s">
        <v>5181</v>
      </c>
      <c r="C34" s="3268" t="s">
        <v>2735</v>
      </c>
      <c r="D34" s="3269"/>
      <c r="E34" s="3269"/>
      <c r="F34" s="3269"/>
      <c r="G34" s="3269"/>
      <c r="H34" s="3270"/>
      <c r="I34" s="135"/>
      <c r="J34" s="125"/>
      <c r="K34" s="123"/>
      <c r="L34" s="129"/>
      <c r="M34" s="215" t="s">
        <v>2428</v>
      </c>
      <c r="N34" s="125"/>
      <c r="O34" s="129"/>
      <c r="P34" s="125"/>
    </row>
    <row r="35" spans="1:16" ht="23.25" hidden="1" customHeight="1">
      <c r="A35" s="1647"/>
      <c r="B35" s="166" t="s">
        <v>5183</v>
      </c>
      <c r="C35" s="3268" t="s">
        <v>3625</v>
      </c>
      <c r="D35" s="3269"/>
      <c r="E35" s="3269"/>
      <c r="F35" s="3269"/>
      <c r="G35" s="3269"/>
      <c r="H35" s="3270"/>
      <c r="I35" s="135"/>
      <c r="M35" s="168" t="s">
        <v>2428</v>
      </c>
    </row>
    <row r="36" spans="1:16" ht="24" hidden="1" customHeight="1" thickBot="1">
      <c r="A36" s="1647"/>
      <c r="B36" s="190" t="s">
        <v>5182</v>
      </c>
      <c r="C36" s="3274" t="s">
        <v>2736</v>
      </c>
      <c r="D36" s="3275"/>
      <c r="E36" s="3275"/>
      <c r="F36" s="3275"/>
      <c r="G36" s="3275"/>
      <c r="H36" s="3276"/>
      <c r="I36" s="135"/>
      <c r="M36" s="168" t="s">
        <v>2428</v>
      </c>
    </row>
    <row r="37" spans="1:16" hidden="1">
      <c r="A37" s="1647"/>
      <c r="I37" s="135"/>
    </row>
    <row r="38" spans="1:16" hidden="1">
      <c r="I38" s="135"/>
    </row>
  </sheetData>
  <mergeCells count="17">
    <mergeCell ref="B3:C4"/>
    <mergeCell ref="E3:E4"/>
    <mergeCell ref="F3:F4"/>
    <mergeCell ref="G3:H3"/>
    <mergeCell ref="C36:H36"/>
    <mergeCell ref="B19:C19"/>
    <mergeCell ref="C31:H31"/>
    <mergeCell ref="C32:H32"/>
    <mergeCell ref="C33:H33"/>
    <mergeCell ref="C34:H34"/>
    <mergeCell ref="C35:H35"/>
    <mergeCell ref="B26:H26"/>
    <mergeCell ref="AA3:AB4"/>
    <mergeCell ref="AD3:AD4"/>
    <mergeCell ref="AE3:AE4"/>
    <mergeCell ref="AF3:AG3"/>
    <mergeCell ref="J3:J4"/>
  </mergeCells>
  <conditionalFormatting sqref="J8:J9">
    <cfRule type="cellIs" dxfId="209" priority="4" operator="equal">
      <formula>0</formula>
    </cfRule>
  </conditionalFormatting>
  <conditionalFormatting sqref="J15:J17">
    <cfRule type="cellIs" dxfId="208"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2.xml><?xml version="1.0" encoding="utf-8"?>
<worksheet xmlns="http://schemas.openxmlformats.org/spreadsheetml/2006/main" xmlns:r="http://schemas.openxmlformats.org/officeDocument/2006/relationships">
  <sheetPr codeName="Sheet28">
    <pageSetUpPr fitToPage="1"/>
  </sheetPr>
  <dimension ref="A1:AP47"/>
  <sheetViews>
    <sheetView workbookViewId="0"/>
  </sheetViews>
  <sheetFormatPr defaultColWidth="0" defaultRowHeight="14.25" zeroHeight="1"/>
  <cols>
    <col min="1" max="1" width="0.625" style="75" customWidth="1"/>
    <col min="2" max="2" width="5.125" style="75" customWidth="1"/>
    <col min="3" max="3" width="46.625" style="75" bestFit="1" customWidth="1"/>
    <col min="4" max="4" width="1.125" style="75" hidden="1" customWidth="1"/>
    <col min="5" max="6" width="5.625" style="75" customWidth="1"/>
    <col min="7" max="12" width="11.125" style="75" customWidth="1"/>
    <col min="13" max="13" width="1.75" style="71" customWidth="1"/>
    <col min="14" max="14" width="18.625" style="71" bestFit="1" customWidth="1"/>
    <col min="15" max="15" width="1.625" style="71" customWidth="1"/>
    <col min="16" max="16" width="1.625" style="72" hidden="1" customWidth="1"/>
    <col min="17" max="22" width="8.625" style="71" hidden="1" customWidth="1"/>
    <col min="23" max="23" width="1.625" style="72" hidden="1" customWidth="1"/>
    <col min="24" max="24" width="8.625" style="71" hidden="1" customWidth="1"/>
    <col min="25" max="29" width="0" style="75" hidden="1" customWidth="1"/>
    <col min="30" max="30" width="8" style="75" customWidth="1"/>
    <col min="31" max="31" width="5.125" style="75" customWidth="1"/>
    <col min="32" max="32" width="46.625" style="75" bestFit="1" customWidth="1"/>
    <col min="33" max="33" width="1.125" style="75" hidden="1" customWidth="1"/>
    <col min="34" max="35" width="5.625" style="75" customWidth="1"/>
    <col min="36" max="41" width="14.625" style="75" customWidth="1"/>
    <col min="42" max="42" width="2.625" style="75" customWidth="1"/>
    <col min="43" max="16384" width="8" style="75" hidden="1"/>
  </cols>
  <sheetData>
    <row r="1" spans="2:41" ht="18.75">
      <c r="B1" s="67" t="s">
        <v>2737</v>
      </c>
      <c r="C1" s="67"/>
      <c r="D1" s="67"/>
      <c r="E1" s="67"/>
      <c r="F1" s="67"/>
      <c r="G1" s="67"/>
      <c r="H1" s="67"/>
      <c r="I1" s="67"/>
      <c r="J1" s="67"/>
      <c r="K1" s="67"/>
      <c r="L1" s="69" t="str">
        <f>Validation!B3</f>
        <v>South West Water – South West area</v>
      </c>
      <c r="M1" s="67"/>
      <c r="N1" s="70" t="s">
        <v>2394</v>
      </c>
      <c r="AE1" s="67" t="s">
        <v>6671</v>
      </c>
      <c r="AF1" s="67"/>
      <c r="AG1" s="67"/>
      <c r="AH1" s="67"/>
      <c r="AI1" s="67"/>
      <c r="AJ1" s="67"/>
      <c r="AK1" s="67"/>
      <c r="AL1" s="67"/>
      <c r="AM1" s="67"/>
      <c r="AN1" s="67"/>
      <c r="AO1" s="69"/>
    </row>
    <row r="2" spans="2:41" ht="15" thickBot="1">
      <c r="B2" s="74" t="s">
        <v>12524</v>
      </c>
      <c r="C2" s="265"/>
      <c r="D2" s="265"/>
      <c r="L2" s="266"/>
      <c r="AE2" s="74" t="str">
        <f>+B2</f>
        <v>For the 12 months ended 31 March 2019</v>
      </c>
      <c r="AF2" s="265"/>
      <c r="AG2" s="265"/>
      <c r="AO2" s="266"/>
    </row>
    <row r="3" spans="2:41" ht="19.5" customHeight="1" thickBot="1">
      <c r="B3" s="3391" t="s">
        <v>2395</v>
      </c>
      <c r="C3" s="3253"/>
      <c r="D3" s="1450" t="s">
        <v>6495</v>
      </c>
      <c r="E3" s="3253" t="s">
        <v>2396</v>
      </c>
      <c r="F3" s="3393" t="s">
        <v>2397</v>
      </c>
      <c r="G3" s="3388" t="s">
        <v>2642</v>
      </c>
      <c r="H3" s="3389"/>
      <c r="I3" s="3389"/>
      <c r="J3" s="3388" t="s">
        <v>2738</v>
      </c>
      <c r="K3" s="3389"/>
      <c r="L3" s="3390"/>
      <c r="N3" s="195" t="s">
        <v>1361</v>
      </c>
      <c r="Q3" s="3215" t="s">
        <v>2404</v>
      </c>
      <c r="R3" s="3215"/>
      <c r="S3" s="2081"/>
      <c r="T3" s="2081"/>
      <c r="U3" s="664"/>
      <c r="V3" s="664"/>
      <c r="AE3" s="3391" t="s">
        <v>2395</v>
      </c>
      <c r="AF3" s="3253"/>
      <c r="AG3" s="2729" t="s">
        <v>6495</v>
      </c>
      <c r="AH3" s="3253" t="s">
        <v>2396</v>
      </c>
      <c r="AI3" s="3393" t="s">
        <v>2397</v>
      </c>
      <c r="AJ3" s="3388" t="s">
        <v>2642</v>
      </c>
      <c r="AK3" s="3389"/>
      <c r="AL3" s="3389"/>
      <c r="AM3" s="3388" t="s">
        <v>2738</v>
      </c>
      <c r="AN3" s="3389"/>
      <c r="AO3" s="3390"/>
    </row>
    <row r="4" spans="2:41" ht="15" thickBot="1">
      <c r="B4" s="3392"/>
      <c r="C4" s="3254"/>
      <c r="D4" s="1451"/>
      <c r="E4" s="3254"/>
      <c r="F4" s="3394"/>
      <c r="G4" s="267" t="s">
        <v>40</v>
      </c>
      <c r="H4" s="2088" t="s">
        <v>214</v>
      </c>
      <c r="I4" s="268" t="s">
        <v>1800</v>
      </c>
      <c r="J4" s="267" t="s">
        <v>40</v>
      </c>
      <c r="K4" s="2088" t="s">
        <v>214</v>
      </c>
      <c r="L4" s="268" t="s">
        <v>1800</v>
      </c>
      <c r="Q4" s="171" t="s">
        <v>2405</v>
      </c>
      <c r="R4" s="132"/>
      <c r="S4" s="132"/>
      <c r="T4" s="132"/>
      <c r="U4" s="132"/>
      <c r="V4" s="132"/>
      <c r="AE4" s="3392"/>
      <c r="AF4" s="3254"/>
      <c r="AG4" s="2730"/>
      <c r="AH4" s="3254"/>
      <c r="AI4" s="3394"/>
      <c r="AJ4" s="267" t="s">
        <v>40</v>
      </c>
      <c r="AK4" s="268" t="s">
        <v>214</v>
      </c>
      <c r="AL4" s="268" t="s">
        <v>1800</v>
      </c>
      <c r="AM4" s="267" t="s">
        <v>40</v>
      </c>
      <c r="AN4" s="267" t="s">
        <v>214</v>
      </c>
      <c r="AO4" s="268" t="s">
        <v>1800</v>
      </c>
    </row>
    <row r="5" spans="2:41" ht="15" thickBot="1"/>
    <row r="6" spans="2:41" ht="15" thickBot="1">
      <c r="B6" s="269" t="s">
        <v>2449</v>
      </c>
      <c r="C6" s="27" t="s">
        <v>2739</v>
      </c>
      <c r="D6" s="1587"/>
      <c r="E6" s="270"/>
      <c r="F6" s="270"/>
      <c r="G6" s="270"/>
      <c r="H6" s="270"/>
      <c r="I6" s="270"/>
      <c r="J6" s="270"/>
      <c r="K6" s="270"/>
      <c r="L6" s="270"/>
      <c r="AE6" s="269" t="s">
        <v>2449</v>
      </c>
      <c r="AF6" s="27" t="s">
        <v>2739</v>
      </c>
      <c r="AG6" s="1587"/>
      <c r="AH6" s="270"/>
      <c r="AI6" s="270"/>
      <c r="AJ6" s="270"/>
      <c r="AK6" s="270"/>
      <c r="AL6" s="270"/>
      <c r="AM6" s="270"/>
      <c r="AN6" s="270"/>
      <c r="AO6" s="270"/>
    </row>
    <row r="7" spans="2:41" ht="15" thickBot="1">
      <c r="B7" s="271" t="s">
        <v>5184</v>
      </c>
      <c r="C7" s="272" t="s">
        <v>2739</v>
      </c>
      <c r="D7" s="272"/>
      <c r="E7" s="273" t="s">
        <v>750</v>
      </c>
      <c r="F7" s="274">
        <v>3</v>
      </c>
      <c r="G7" s="354">
        <f xml:space="preserve"> '2B'!G39 + '2B'!H39</f>
        <v>0</v>
      </c>
      <c r="H7" s="355">
        <f xml:space="preserve"> '2B'!I39 + '2B'!J39</f>
        <v>0</v>
      </c>
      <c r="I7" s="2335">
        <f xml:space="preserve"> '2B'!K39</f>
        <v>0</v>
      </c>
      <c r="J7" s="1684"/>
      <c r="K7" s="2089"/>
      <c r="L7" s="1685"/>
      <c r="N7" s="24" t="str">
        <f xml:space="preserve"> IF( SUM( P7:W7 ) = 0, 0, $Q$4 )</f>
        <v>Please complete all cells in row</v>
      </c>
      <c r="T7" s="98">
        <f xml:space="preserve"> IF( ISNUMBER( J7 ), 0, 1 )</f>
        <v>1</v>
      </c>
      <c r="U7" s="98">
        <f>IF(Validation!$H$3=1,0,IF(ISNUMBER(K7),0,1))</f>
        <v>1</v>
      </c>
      <c r="V7" s="98">
        <f>IF( Validation!$H$3 = 1, 0, IF(Validation!$B$3 &lt;&gt; "Thames Water",0, (IF(ISNUMBER(L7),0,1))))</f>
        <v>0</v>
      </c>
      <c r="AE7" s="271" t="s">
        <v>5184</v>
      </c>
      <c r="AF7" s="272" t="s">
        <v>2739</v>
      </c>
      <c r="AG7" s="272"/>
      <c r="AH7" s="273" t="s">
        <v>750</v>
      </c>
      <c r="AI7" s="274">
        <v>3</v>
      </c>
      <c r="AJ7" s="354" t="s">
        <v>10207</v>
      </c>
      <c r="AK7" s="356" t="s">
        <v>10208</v>
      </c>
      <c r="AL7" s="2335" t="str">
        <f>'2B'!BJ39</f>
        <v>S3040TOTTTT</v>
      </c>
      <c r="AM7" s="2091" t="s">
        <v>10209</v>
      </c>
      <c r="AN7" s="2091" t="s">
        <v>10210</v>
      </c>
      <c r="AO7" s="2880" t="s">
        <v>12387</v>
      </c>
    </row>
    <row r="8" spans="2:41" ht="15" thickBot="1">
      <c r="B8" s="275"/>
      <c r="C8" s="275"/>
      <c r="D8" s="275"/>
      <c r="E8" s="276"/>
      <c r="F8" s="277"/>
      <c r="G8" s="275"/>
      <c r="H8" s="275"/>
      <c r="I8" s="275"/>
      <c r="J8" s="278"/>
      <c r="K8" s="278"/>
      <c r="L8" s="275"/>
      <c r="AE8" s="275"/>
      <c r="AF8" s="275"/>
      <c r="AG8" s="275"/>
      <c r="AH8" s="276"/>
      <c r="AI8" s="277"/>
      <c r="AJ8" s="275"/>
      <c r="AK8" s="278"/>
      <c r="AL8" s="278"/>
      <c r="AM8" s="278"/>
      <c r="AN8" s="278"/>
      <c r="AO8" s="278"/>
    </row>
    <row r="9" spans="2:41" ht="15" thickBot="1">
      <c r="B9" s="269" t="s">
        <v>2458</v>
      </c>
      <c r="C9" s="27" t="s">
        <v>2740</v>
      </c>
      <c r="D9" s="1587"/>
      <c r="E9" s="279"/>
      <c r="F9" s="279"/>
      <c r="G9" s="275"/>
      <c r="H9" s="275"/>
      <c r="I9" s="275"/>
      <c r="J9" s="146"/>
      <c r="K9" s="146"/>
      <c r="L9" s="275"/>
      <c r="AE9" s="269" t="s">
        <v>2458</v>
      </c>
      <c r="AF9" s="27" t="s">
        <v>2740</v>
      </c>
      <c r="AG9" s="1587"/>
      <c r="AH9" s="279"/>
      <c r="AI9" s="279"/>
      <c r="AJ9" s="275"/>
      <c r="AK9" s="146"/>
      <c r="AL9" s="146"/>
      <c r="AM9" s="146"/>
      <c r="AN9" s="146"/>
      <c r="AO9" s="146"/>
    </row>
    <row r="10" spans="2:41">
      <c r="B10" s="280" t="s">
        <v>5185</v>
      </c>
      <c r="C10" s="281" t="s">
        <v>2741</v>
      </c>
      <c r="D10" s="281"/>
      <c r="E10" s="282" t="s">
        <v>750</v>
      </c>
      <c r="F10" s="283">
        <v>3</v>
      </c>
      <c r="G10" s="448"/>
      <c r="H10" s="449"/>
      <c r="I10" s="2082"/>
      <c r="J10" s="448"/>
      <c r="K10" s="449"/>
      <c r="L10" s="896"/>
      <c r="N10" s="24" t="str">
        <f xml:space="preserve"> IF( SUM( P10:W10 ) = 0, 0, $Q$4 )</f>
        <v>Please complete all cells in row</v>
      </c>
      <c r="Q10" s="98">
        <f xml:space="preserve"> IF( ISNUMBER( G10 ), 0, 1 )</f>
        <v>1</v>
      </c>
      <c r="R10" s="98">
        <f>IF(Validation!$H$3=1,0,IF(ISNUMBER(H10),0,1))</f>
        <v>1</v>
      </c>
      <c r="S10" s="98">
        <f>IF( Validation!$H$3 = 1, 0, IF(Validation!$B$3 &lt;&gt; "Thames Water",0, (IF(ISNUMBER(I10),0,1))))</f>
        <v>0</v>
      </c>
      <c r="T10" s="98">
        <f xml:space="preserve"> IF( ISNUMBER( J10 ), 0, 1 )</f>
        <v>1</v>
      </c>
      <c r="U10" s="98">
        <f>IF(Validation!$H$3=1,0,IF(ISNUMBER(K10),0,1))</f>
        <v>1</v>
      </c>
      <c r="V10" s="98">
        <f>IF( Validation!$H$3 = 1, 0, IF(Validation!$B$3 &lt;&gt; "Thames Water",0, (IF(ISNUMBER(L10),0,1))))</f>
        <v>0</v>
      </c>
      <c r="AE10" s="280" t="s">
        <v>5185</v>
      </c>
      <c r="AF10" s="281" t="s">
        <v>2741</v>
      </c>
      <c r="AG10" s="281"/>
      <c r="AH10" s="282" t="s">
        <v>750</v>
      </c>
      <c r="AI10" s="283">
        <v>3</v>
      </c>
      <c r="AJ10" s="2836" t="s">
        <v>10211</v>
      </c>
      <c r="AK10" s="2844" t="s">
        <v>10212</v>
      </c>
      <c r="AL10" s="2881" t="s">
        <v>12379</v>
      </c>
      <c r="AM10" s="2836" t="s">
        <v>10213</v>
      </c>
      <c r="AN10" s="2836" t="s">
        <v>10214</v>
      </c>
      <c r="AO10" s="2844" t="s">
        <v>12388</v>
      </c>
    </row>
    <row r="11" spans="2:41">
      <c r="B11" s="284" t="s">
        <v>5186</v>
      </c>
      <c r="C11" s="285" t="s">
        <v>2604</v>
      </c>
      <c r="D11" s="285"/>
      <c r="E11" s="286" t="s">
        <v>750</v>
      </c>
      <c r="F11" s="287">
        <v>3</v>
      </c>
      <c r="G11" s="450"/>
      <c r="H11" s="451"/>
      <c r="I11" s="2083"/>
      <c r="J11" s="450"/>
      <c r="K11" s="451"/>
      <c r="L11" s="897"/>
      <c r="N11" s="24" t="str">
        <f xml:space="preserve"> IF( SUM( P11:W11 ) = 0, 0, $Q$4 )</f>
        <v>Please complete all cells in row</v>
      </c>
      <c r="Q11" s="98">
        <f t="shared" ref="Q11:Q12" si="0" xml:space="preserve"> IF( ISNUMBER( G11 ), 0, 1 )</f>
        <v>1</v>
      </c>
      <c r="R11" s="98">
        <f>IF(Validation!$H$3=1,0,IF(ISNUMBER(H11),0,1))</f>
        <v>1</v>
      </c>
      <c r="S11" s="98">
        <f>IF( Validation!$H$3 = 1, 0, IF(Validation!$B$3 &lt;&gt; "Thames Water",0, (IF(ISNUMBER(I11),0,1))))</f>
        <v>0</v>
      </c>
      <c r="T11" s="98">
        <f t="shared" ref="T11:T12" si="1" xml:space="preserve"> IF( ISNUMBER( J11 ), 0, 1 )</f>
        <v>1</v>
      </c>
      <c r="U11" s="98">
        <f>IF(Validation!$H$3=1,0,IF(ISNUMBER(K11),0,1))</f>
        <v>1</v>
      </c>
      <c r="V11" s="98">
        <f>IF( Validation!$H$3 = 1, 0, IF(Validation!$B$3 &lt;&gt; "Thames Water",0, (IF(ISNUMBER(L11),0,1))))</f>
        <v>0</v>
      </c>
      <c r="AE11" s="284" t="s">
        <v>5186</v>
      </c>
      <c r="AF11" s="285" t="s">
        <v>2604</v>
      </c>
      <c r="AG11" s="285"/>
      <c r="AH11" s="286" t="s">
        <v>750</v>
      </c>
      <c r="AI11" s="287">
        <v>3</v>
      </c>
      <c r="AJ11" s="2531" t="s">
        <v>10215</v>
      </c>
      <c r="AK11" s="2592" t="s">
        <v>10216</v>
      </c>
      <c r="AL11" s="2882" t="s">
        <v>12380</v>
      </c>
      <c r="AM11" s="2531" t="s">
        <v>10217</v>
      </c>
      <c r="AN11" s="2531" t="s">
        <v>10218</v>
      </c>
      <c r="AO11" s="2592" t="s">
        <v>12389</v>
      </c>
    </row>
    <row r="12" spans="2:41">
      <c r="B12" s="284" t="s">
        <v>5188</v>
      </c>
      <c r="C12" s="285" t="s">
        <v>3651</v>
      </c>
      <c r="D12" s="285"/>
      <c r="E12" s="286" t="s">
        <v>750</v>
      </c>
      <c r="F12" s="287">
        <v>3</v>
      </c>
      <c r="G12" s="450"/>
      <c r="H12" s="451"/>
      <c r="I12" s="2083"/>
      <c r="J12" s="450"/>
      <c r="K12" s="451"/>
      <c r="L12" s="897"/>
      <c r="N12" s="24" t="str">
        <f xml:space="preserve"> IF( SUM( P12:W12 ) = 0, 0, $Q$4 )</f>
        <v>Please complete all cells in row</v>
      </c>
      <c r="Q12" s="98">
        <f t="shared" si="0"/>
        <v>1</v>
      </c>
      <c r="R12" s="98">
        <f>IF(Validation!$H$3=1,0,IF(ISNUMBER(H12),0,1))</f>
        <v>1</v>
      </c>
      <c r="S12" s="98">
        <f>IF( Validation!$H$3 = 1, 0, IF(Validation!$B$3 &lt;&gt; "Thames Water",0, (IF(ISNUMBER(I12),0,1))))</f>
        <v>0</v>
      </c>
      <c r="T12" s="98">
        <f t="shared" si="1"/>
        <v>1</v>
      </c>
      <c r="U12" s="98">
        <f>IF(Validation!$H$3=1,0,IF(ISNUMBER(K12),0,1))</f>
        <v>1</v>
      </c>
      <c r="V12" s="98">
        <f>IF( Validation!$H$3 = 1, 0, IF(Validation!$B$3 &lt;&gt; "Thames Water",0, (IF(ISNUMBER(L12),0,1))))</f>
        <v>0</v>
      </c>
      <c r="AE12" s="284" t="s">
        <v>5188</v>
      </c>
      <c r="AF12" s="285" t="s">
        <v>3651</v>
      </c>
      <c r="AG12" s="285"/>
      <c r="AH12" s="286" t="s">
        <v>750</v>
      </c>
      <c r="AI12" s="287">
        <v>3</v>
      </c>
      <c r="AJ12" s="2531" t="s">
        <v>10219</v>
      </c>
      <c r="AK12" s="2592" t="s">
        <v>10220</v>
      </c>
      <c r="AL12" s="2882" t="s">
        <v>12381</v>
      </c>
      <c r="AM12" s="2531" t="s">
        <v>10221</v>
      </c>
      <c r="AN12" s="2531" t="s">
        <v>10222</v>
      </c>
      <c r="AO12" s="2592" t="s">
        <v>12390</v>
      </c>
    </row>
    <row r="13" spans="2:41" ht="15" thickBot="1">
      <c r="B13" s="289" t="s">
        <v>5187</v>
      </c>
      <c r="C13" s="290" t="s">
        <v>3652</v>
      </c>
      <c r="D13" s="290"/>
      <c r="E13" s="659" t="s">
        <v>750</v>
      </c>
      <c r="F13" s="292">
        <v>3</v>
      </c>
      <c r="G13" s="347">
        <f>SUM(G10:G12)</f>
        <v>0</v>
      </c>
      <c r="H13" s="348">
        <f t="shared" ref="H13:L13" si="2">SUM(H10:H12)</f>
        <v>0</v>
      </c>
      <c r="I13" s="2084">
        <f t="shared" si="2"/>
        <v>0</v>
      </c>
      <c r="J13" s="347">
        <f t="shared" si="2"/>
        <v>0</v>
      </c>
      <c r="K13" s="348">
        <f t="shared" si="2"/>
        <v>0</v>
      </c>
      <c r="L13" s="349">
        <f t="shared" si="2"/>
        <v>0</v>
      </c>
      <c r="Q13" s="132"/>
      <c r="R13" s="132"/>
      <c r="S13" s="132"/>
      <c r="T13" s="132"/>
      <c r="U13" s="132"/>
      <c r="V13" s="132"/>
      <c r="AE13" s="289" t="s">
        <v>5187</v>
      </c>
      <c r="AF13" s="290" t="s">
        <v>3652</v>
      </c>
      <c r="AG13" s="290"/>
      <c r="AH13" s="659" t="s">
        <v>750</v>
      </c>
      <c r="AI13" s="292">
        <v>3</v>
      </c>
      <c r="AJ13" s="347" t="s">
        <v>10223</v>
      </c>
      <c r="AK13" s="349" t="s">
        <v>10224</v>
      </c>
      <c r="AL13" s="2084" t="s">
        <v>12382</v>
      </c>
      <c r="AM13" s="347" t="s">
        <v>10225</v>
      </c>
      <c r="AN13" s="347" t="s">
        <v>10226</v>
      </c>
      <c r="AO13" s="349" t="s">
        <v>12391</v>
      </c>
    </row>
    <row r="14" spans="2:41" ht="15" thickBot="1">
      <c r="B14" s="275"/>
      <c r="C14" s="275"/>
      <c r="D14" s="275"/>
      <c r="E14" s="276"/>
      <c r="F14" s="277"/>
      <c r="G14" s="275"/>
      <c r="H14" s="275"/>
      <c r="I14" s="275"/>
      <c r="J14" s="275"/>
      <c r="K14" s="275"/>
      <c r="L14" s="275"/>
      <c r="Q14" s="288"/>
      <c r="R14" s="115"/>
      <c r="S14" s="115"/>
      <c r="T14" s="115"/>
      <c r="U14" s="115"/>
      <c r="V14" s="115"/>
      <c r="AE14" s="275"/>
      <c r="AF14" s="275"/>
      <c r="AG14" s="275"/>
      <c r="AH14" s="276"/>
      <c r="AI14" s="277"/>
      <c r="AJ14" s="275"/>
      <c r="AK14" s="278"/>
      <c r="AL14" s="278"/>
      <c r="AM14" s="278"/>
      <c r="AN14" s="278"/>
      <c r="AO14" s="278"/>
    </row>
    <row r="15" spans="2:41" ht="15" thickBot="1">
      <c r="B15" s="269" t="s">
        <v>2464</v>
      </c>
      <c r="C15" s="27" t="s">
        <v>3653</v>
      </c>
      <c r="D15" s="1587"/>
      <c r="E15" s="279"/>
      <c r="F15" s="279"/>
      <c r="G15" s="275"/>
      <c r="H15" s="275"/>
      <c r="I15" s="275"/>
      <c r="J15" s="275"/>
      <c r="K15" s="275"/>
      <c r="L15" s="275"/>
      <c r="Q15" s="288"/>
      <c r="R15" s="115"/>
      <c r="S15" s="115"/>
      <c r="T15" s="115"/>
      <c r="U15" s="115"/>
      <c r="V15" s="115"/>
      <c r="AE15" s="269" t="s">
        <v>2464</v>
      </c>
      <c r="AF15" s="27" t="s">
        <v>3653</v>
      </c>
      <c r="AG15" s="1587"/>
      <c r="AH15" s="279"/>
      <c r="AI15" s="279"/>
      <c r="AJ15" s="275"/>
      <c r="AK15" s="146"/>
      <c r="AL15" s="146"/>
      <c r="AM15" s="146"/>
      <c r="AN15" s="146"/>
      <c r="AO15" s="146"/>
    </row>
    <row r="16" spans="2:41" ht="15" thickBot="1">
      <c r="B16" s="271" t="s">
        <v>5189</v>
      </c>
      <c r="C16" s="272" t="s">
        <v>3653</v>
      </c>
      <c r="D16" s="272"/>
      <c r="E16" s="273" t="s">
        <v>750</v>
      </c>
      <c r="F16" s="274">
        <v>3</v>
      </c>
      <c r="G16" s="1684"/>
      <c r="H16" s="2089"/>
      <c r="I16" s="2085"/>
      <c r="J16" s="1684"/>
      <c r="K16" s="2089"/>
      <c r="L16" s="1685"/>
      <c r="N16" s="24" t="str">
        <f xml:space="preserve"> IF( SUM( P16:W16 ) = 0, 0, $Q$4 )</f>
        <v>Please complete all cells in row</v>
      </c>
      <c r="Q16" s="98">
        <f t="shared" ref="Q16" si="3" xml:space="preserve"> IF( ISNUMBER( G16 ), 0, 1 )</f>
        <v>1</v>
      </c>
      <c r="R16" s="98">
        <f>IF(Validation!$H$3=1,0,IF(ISNUMBER(H16),0,1))</f>
        <v>1</v>
      </c>
      <c r="S16" s="98">
        <f>IF( Validation!$H$3 = 1, 0, IF(Validation!$B$3 &lt;&gt; "Thames Water",0, (IF(ISNUMBER(I16),0,1))))</f>
        <v>0</v>
      </c>
      <c r="T16" s="98">
        <f t="shared" ref="T16" si="4" xml:space="preserve"> IF( ISNUMBER( J16 ), 0, 1 )</f>
        <v>1</v>
      </c>
      <c r="U16" s="98">
        <f>IF(Validation!$H$3=1,0,IF(ISNUMBER(K16),0,1))</f>
        <v>1</v>
      </c>
      <c r="V16" s="98">
        <f>IF( Validation!$H$3 = 1, 0, IF(Validation!$B$3 &lt;&gt; "Thames Water",0, (IF(ISNUMBER(L16),0,1))))</f>
        <v>0</v>
      </c>
      <c r="AE16" s="271" t="s">
        <v>5189</v>
      </c>
      <c r="AF16" s="272" t="s">
        <v>3653</v>
      </c>
      <c r="AG16" s="272"/>
      <c r="AH16" s="273" t="s">
        <v>750</v>
      </c>
      <c r="AI16" s="274">
        <v>3</v>
      </c>
      <c r="AJ16" s="2091" t="s">
        <v>10227</v>
      </c>
      <c r="AK16" s="2880" t="s">
        <v>10228</v>
      </c>
      <c r="AL16" s="2883" t="s">
        <v>12383</v>
      </c>
      <c r="AM16" s="2091" t="s">
        <v>10229</v>
      </c>
      <c r="AN16" s="2091" t="s">
        <v>10230</v>
      </c>
      <c r="AO16" s="2880" t="s">
        <v>12392</v>
      </c>
    </row>
    <row r="17" spans="2:41" ht="15" thickBot="1">
      <c r="B17" s="275"/>
      <c r="C17" s="275"/>
      <c r="D17" s="275"/>
      <c r="E17" s="276"/>
      <c r="F17" s="277"/>
      <c r="G17" s="275"/>
      <c r="H17" s="275"/>
      <c r="I17" s="275"/>
      <c r="J17" s="275"/>
      <c r="K17" s="275"/>
      <c r="L17" s="275"/>
      <c r="Q17" s="288"/>
      <c r="R17" s="115"/>
      <c r="S17" s="115"/>
      <c r="T17" s="115"/>
      <c r="U17" s="115"/>
      <c r="V17" s="115"/>
      <c r="AE17" s="275"/>
      <c r="AF17" s="275"/>
      <c r="AG17" s="275"/>
      <c r="AH17" s="276"/>
      <c r="AI17" s="277"/>
      <c r="AJ17" s="275"/>
      <c r="AK17" s="278"/>
      <c r="AL17" s="278"/>
      <c r="AM17" s="278"/>
      <c r="AN17" s="278"/>
      <c r="AO17" s="278"/>
    </row>
    <row r="18" spans="2:41" ht="15" thickBot="1">
      <c r="B18" s="654" t="s">
        <v>2473</v>
      </c>
      <c r="C18" s="309" t="s">
        <v>3654</v>
      </c>
      <c r="D18" s="1587"/>
      <c r="E18" s="279"/>
      <c r="F18" s="279"/>
      <c r="G18" s="275"/>
      <c r="H18" s="275"/>
      <c r="I18" s="275"/>
      <c r="J18" s="275"/>
      <c r="K18" s="275"/>
      <c r="L18" s="275"/>
      <c r="Q18" s="288"/>
      <c r="R18" s="115"/>
      <c r="S18" s="115"/>
      <c r="T18" s="115"/>
      <c r="U18" s="115"/>
      <c r="V18" s="115"/>
      <c r="AE18" s="2738" t="s">
        <v>2473</v>
      </c>
      <c r="AF18" s="309" t="s">
        <v>3654</v>
      </c>
      <c r="AG18" s="1587"/>
      <c r="AH18" s="279"/>
      <c r="AI18" s="279"/>
      <c r="AJ18" s="275"/>
      <c r="AK18" s="146"/>
      <c r="AL18" s="146"/>
      <c r="AM18" s="146"/>
      <c r="AN18" s="146"/>
      <c r="AO18" s="146"/>
    </row>
    <row r="19" spans="2:41">
      <c r="B19" s="280" t="s">
        <v>5191</v>
      </c>
      <c r="C19" s="281" t="s">
        <v>3654</v>
      </c>
      <c r="D19" s="281"/>
      <c r="E19" s="282" t="s">
        <v>750</v>
      </c>
      <c r="F19" s="660">
        <v>3</v>
      </c>
      <c r="G19" s="782">
        <f xml:space="preserve"> G7 - G13 + G16</f>
        <v>0</v>
      </c>
      <c r="H19" s="711">
        <f t="shared" ref="H19:L19" si="5" xml:space="preserve"> H7 - H13 + H16</f>
        <v>0</v>
      </c>
      <c r="I19" s="2086">
        <f t="shared" si="5"/>
        <v>0</v>
      </c>
      <c r="J19" s="782">
        <f t="shared" si="5"/>
        <v>0</v>
      </c>
      <c r="K19" s="711">
        <f t="shared" si="5"/>
        <v>0</v>
      </c>
      <c r="L19" s="345">
        <f t="shared" si="5"/>
        <v>0</v>
      </c>
      <c r="Q19" s="288"/>
      <c r="R19" s="115"/>
      <c r="S19" s="115"/>
      <c r="T19" s="115"/>
      <c r="U19" s="115"/>
      <c r="V19" s="115"/>
      <c r="AE19" s="280" t="s">
        <v>5191</v>
      </c>
      <c r="AF19" s="281" t="s">
        <v>3654</v>
      </c>
      <c r="AG19" s="281"/>
      <c r="AH19" s="282" t="s">
        <v>750</v>
      </c>
      <c r="AI19" s="660">
        <v>3</v>
      </c>
      <c r="AJ19" s="782" t="s">
        <v>10231</v>
      </c>
      <c r="AK19" s="345" t="s">
        <v>10232</v>
      </c>
      <c r="AL19" s="2086" t="s">
        <v>12384</v>
      </c>
      <c r="AM19" s="782" t="s">
        <v>10233</v>
      </c>
      <c r="AN19" s="782" t="s">
        <v>10234</v>
      </c>
      <c r="AO19" s="345" t="s">
        <v>12393</v>
      </c>
    </row>
    <row r="20" spans="2:41" ht="15" thickBot="1">
      <c r="B20" s="289" t="s">
        <v>5190</v>
      </c>
      <c r="C20" s="290" t="s">
        <v>3655</v>
      </c>
      <c r="D20" s="290"/>
      <c r="E20" s="659" t="s">
        <v>750</v>
      </c>
      <c r="F20" s="661">
        <v>3</v>
      </c>
      <c r="G20" s="1686"/>
      <c r="H20" s="2090"/>
      <c r="I20" s="2087"/>
      <c r="J20" s="1686"/>
      <c r="K20" s="2090"/>
      <c r="L20" s="1687"/>
      <c r="N20" s="24" t="str">
        <f xml:space="preserve"> IF( SUM( P20:W20 ) = 0, 0, $Q$4 )</f>
        <v>Please complete all cells in row</v>
      </c>
      <c r="Q20" s="98">
        <f t="shared" ref="Q20:Q23" si="6" xml:space="preserve"> IF( ISNUMBER( G20 ), 0, 1 )</f>
        <v>1</v>
      </c>
      <c r="R20" s="98">
        <f>IF(Validation!$H$3=1,0,IF(ISNUMBER(H20),0,1))</f>
        <v>1</v>
      </c>
      <c r="S20" s="98">
        <f>IF( Validation!$H$3 = 1, 0, IF(Validation!$B$3 &lt;&gt; "Thames Water",0, (IF(ISNUMBER(I20),0,1))))</f>
        <v>0</v>
      </c>
      <c r="T20" s="98">
        <f t="shared" ref="T20" si="7" xml:space="preserve"> IF( ISNUMBER( J20 ), 0, 1 )</f>
        <v>1</v>
      </c>
      <c r="U20" s="98">
        <f>IF(Validation!$H$3=1,0,IF(ISNUMBER(K20),0,1))</f>
        <v>1</v>
      </c>
      <c r="V20" s="98">
        <f>IF( Validation!$H$3 = 1, 0, IF(Validation!$B$3 &lt;&gt; "Thames Water",0, (IF(ISNUMBER(L20),0,1))))</f>
        <v>0</v>
      </c>
      <c r="AE20" s="289" t="s">
        <v>5190</v>
      </c>
      <c r="AF20" s="290" t="s">
        <v>3655</v>
      </c>
      <c r="AG20" s="290"/>
      <c r="AH20" s="659" t="s">
        <v>750</v>
      </c>
      <c r="AI20" s="661">
        <v>3</v>
      </c>
      <c r="AJ20" s="2884" t="s">
        <v>10235</v>
      </c>
      <c r="AK20" s="2885" t="s">
        <v>10236</v>
      </c>
      <c r="AL20" s="2886" t="s">
        <v>12385</v>
      </c>
      <c r="AM20" s="2884" t="s">
        <v>10237</v>
      </c>
      <c r="AN20" s="2884" t="s">
        <v>10238</v>
      </c>
      <c r="AO20" s="2885" t="s">
        <v>12394</v>
      </c>
    </row>
    <row r="21" spans="2:41" ht="15" thickBot="1">
      <c r="B21" s="275"/>
      <c r="C21" s="275"/>
      <c r="D21" s="275"/>
      <c r="E21" s="276"/>
      <c r="F21" s="277"/>
      <c r="G21" s="275"/>
      <c r="H21" s="275"/>
      <c r="I21" s="275"/>
      <c r="J21" s="275"/>
      <c r="K21" s="275"/>
      <c r="L21" s="275"/>
      <c r="Q21" s="288"/>
      <c r="R21" s="115"/>
      <c r="S21" s="115"/>
      <c r="T21" s="115"/>
      <c r="U21" s="115"/>
      <c r="V21" s="115"/>
      <c r="AE21" s="275"/>
      <c r="AF21" s="275"/>
      <c r="AG21" s="275"/>
      <c r="AH21" s="276"/>
      <c r="AI21" s="277"/>
      <c r="AJ21" s="275"/>
      <c r="AK21" s="278"/>
      <c r="AL21" s="278"/>
      <c r="AM21" s="278"/>
      <c r="AN21" s="278"/>
      <c r="AO21" s="278"/>
    </row>
    <row r="22" spans="2:41" ht="15" thickBot="1">
      <c r="B22" s="269" t="s">
        <v>2480</v>
      </c>
      <c r="C22" s="27" t="s">
        <v>3656</v>
      </c>
      <c r="D22" s="1587"/>
      <c r="E22" s="279"/>
      <c r="F22" s="279"/>
      <c r="G22" s="275"/>
      <c r="H22" s="275"/>
      <c r="I22" s="275"/>
      <c r="J22" s="275"/>
      <c r="K22" s="275"/>
      <c r="L22" s="275"/>
      <c r="Q22" s="288"/>
      <c r="R22" s="115"/>
      <c r="S22" s="115"/>
      <c r="T22" s="115"/>
      <c r="U22" s="115"/>
      <c r="V22" s="115"/>
      <c r="AE22" s="269" t="s">
        <v>2480</v>
      </c>
      <c r="AF22" s="27" t="s">
        <v>3656</v>
      </c>
      <c r="AG22" s="1587"/>
      <c r="AH22" s="279"/>
      <c r="AI22" s="279"/>
      <c r="AJ22" s="275"/>
      <c r="AK22" s="146"/>
      <c r="AL22" s="146"/>
      <c r="AM22" s="146"/>
      <c r="AN22" s="146"/>
      <c r="AO22" s="146"/>
    </row>
    <row r="23" spans="2:41" ht="15" thickBot="1">
      <c r="B23" s="289" t="s">
        <v>5192</v>
      </c>
      <c r="C23" s="290" t="s">
        <v>3657</v>
      </c>
      <c r="D23" s="1585"/>
      <c r="E23" s="273" t="s">
        <v>750</v>
      </c>
      <c r="F23" s="274">
        <v>3</v>
      </c>
      <c r="G23" s="1684"/>
      <c r="H23" s="2089"/>
      <c r="I23" s="2085"/>
      <c r="J23" s="1684"/>
      <c r="K23" s="2089"/>
      <c r="L23" s="1685"/>
      <c r="N23" s="24" t="str">
        <f xml:space="preserve"> IF( SUM( P23:W23 ) = 0, 0, $Q$4 )</f>
        <v>Please complete all cells in row</v>
      </c>
      <c r="Q23" s="98">
        <f t="shared" si="6"/>
        <v>1</v>
      </c>
      <c r="R23" s="98">
        <f>IF(Validation!$H$3=1,0,IF(ISNUMBER(H23),0,1))</f>
        <v>1</v>
      </c>
      <c r="S23" s="98">
        <f>IF( Validation!$H$3 = 1, 0, IF(Validation!$B$3 &lt;&gt; "Thames Water",0, (IF(ISNUMBER(I23),0,1))))</f>
        <v>0</v>
      </c>
      <c r="T23" s="98">
        <f t="shared" ref="T23" si="8" xml:space="preserve"> IF( ISNUMBER( J23 ), 0, 1 )</f>
        <v>1</v>
      </c>
      <c r="U23" s="98">
        <f>IF(Validation!$H$3=1,0,IF(ISNUMBER(K23),0,1))</f>
        <v>1</v>
      </c>
      <c r="V23" s="98">
        <f>IF( Validation!$H$3 = 1, 0, IF(Validation!$B$3 &lt;&gt; "Thames Water",0, (IF(ISNUMBER(L23),0,1))))</f>
        <v>0</v>
      </c>
      <c r="AE23" s="289" t="s">
        <v>5192</v>
      </c>
      <c r="AF23" s="290" t="s">
        <v>3657</v>
      </c>
      <c r="AG23" s="1585"/>
      <c r="AH23" s="273" t="s">
        <v>750</v>
      </c>
      <c r="AI23" s="274">
        <v>3</v>
      </c>
      <c r="AJ23" s="2091" t="s">
        <v>10239</v>
      </c>
      <c r="AK23" s="2880" t="s">
        <v>10240</v>
      </c>
      <c r="AL23" s="2883" t="s">
        <v>12386</v>
      </c>
      <c r="AM23" s="2091" t="s">
        <v>10241</v>
      </c>
      <c r="AN23" s="2091" t="s">
        <v>10242</v>
      </c>
      <c r="AO23" s="2880" t="s">
        <v>12395</v>
      </c>
    </row>
    <row r="24" spans="2:41" s="71" customFormat="1">
      <c r="E24" s="90"/>
      <c r="F24" s="90"/>
      <c r="H24" s="170"/>
      <c r="I24" s="170"/>
      <c r="J24" s="170"/>
      <c r="L24" s="131"/>
      <c r="P24" s="72"/>
      <c r="Q24" s="293"/>
      <c r="R24" s="294"/>
      <c r="S24" s="294"/>
      <c r="T24" s="294"/>
      <c r="U24" s="294"/>
      <c r="V24" s="294"/>
      <c r="W24" s="72"/>
      <c r="AH24" s="90"/>
      <c r="AI24" s="90"/>
      <c r="AK24" s="170"/>
      <c r="AL24" s="170"/>
      <c r="AM24" s="170"/>
      <c r="AO24" s="131"/>
    </row>
    <row r="25" spans="2:41" s="170" customFormat="1">
      <c r="B25" s="3220" t="s">
        <v>2420</v>
      </c>
      <c r="C25" s="3220"/>
      <c r="D25" s="1449"/>
      <c r="L25" s="131"/>
      <c r="M25" s="71"/>
      <c r="N25" s="71"/>
      <c r="O25" s="71"/>
      <c r="P25" s="72"/>
      <c r="Q25" s="132"/>
      <c r="R25" s="132"/>
      <c r="S25" s="132"/>
      <c r="T25" s="132"/>
      <c r="U25" s="132"/>
      <c r="V25" s="132"/>
      <c r="W25" s="72"/>
      <c r="X25" s="71"/>
    </row>
    <row r="26" spans="2:41" s="170" customFormat="1">
      <c r="B26" s="146"/>
      <c r="C26" s="147"/>
      <c r="D26" s="147"/>
      <c r="L26" s="131"/>
      <c r="M26" s="71"/>
      <c r="N26" s="71"/>
      <c r="O26" s="71"/>
      <c r="P26" s="72"/>
      <c r="Q26" s="132"/>
      <c r="R26" s="132"/>
      <c r="S26" s="132"/>
      <c r="T26" s="132"/>
      <c r="U26" s="132"/>
      <c r="V26" s="132"/>
      <c r="W26" s="72"/>
      <c r="X26" s="71"/>
    </row>
    <row r="27" spans="2:41" s="170" customFormat="1">
      <c r="B27" s="25"/>
      <c r="C27" s="148" t="s">
        <v>2421</v>
      </c>
      <c r="D27" s="148"/>
      <c r="L27" s="131"/>
      <c r="M27" s="71"/>
      <c r="N27" s="71"/>
      <c r="O27" s="71"/>
      <c r="P27" s="72"/>
      <c r="Q27" s="132"/>
      <c r="R27" s="132"/>
      <c r="S27" s="132"/>
      <c r="T27" s="132"/>
      <c r="U27" s="132"/>
      <c r="V27" s="132"/>
      <c r="W27" s="72"/>
      <c r="X27" s="71"/>
    </row>
    <row r="28" spans="2:41" s="170" customFormat="1">
      <c r="B28" s="146"/>
      <c r="C28" s="147"/>
      <c r="D28" s="147"/>
      <c r="L28" s="131"/>
      <c r="M28" s="71"/>
      <c r="N28" s="71"/>
      <c r="O28" s="71"/>
      <c r="P28" s="72"/>
      <c r="Q28" s="293"/>
      <c r="R28" s="294"/>
      <c r="S28" s="294"/>
      <c r="T28" s="294"/>
      <c r="U28" s="294"/>
      <c r="V28" s="294"/>
      <c r="W28" s="72"/>
      <c r="X28" s="71"/>
    </row>
    <row r="29" spans="2:41" s="170" customFormat="1">
      <c r="B29" s="149"/>
      <c r="C29" s="148" t="s">
        <v>2422</v>
      </c>
      <c r="D29" s="148"/>
      <c r="L29" s="131"/>
      <c r="M29" s="71"/>
      <c r="N29" s="71"/>
      <c r="O29" s="71"/>
      <c r="P29" s="72"/>
      <c r="Q29" s="288"/>
      <c r="R29" s="115"/>
      <c r="S29" s="115"/>
      <c r="T29" s="115"/>
      <c r="U29" s="115"/>
      <c r="V29" s="115"/>
      <c r="W29" s="72"/>
      <c r="X29" s="71"/>
    </row>
    <row r="30" spans="2:41" s="170" customFormat="1">
      <c r="B30" s="150"/>
      <c r="C30" s="148"/>
      <c r="D30" s="148"/>
      <c r="L30" s="131"/>
      <c r="M30" s="123"/>
      <c r="N30" s="125"/>
      <c r="O30" s="123"/>
      <c r="P30" s="129"/>
      <c r="Q30" s="288"/>
      <c r="R30" s="115"/>
      <c r="S30" s="115"/>
      <c r="T30" s="115"/>
      <c r="U30" s="115"/>
      <c r="V30" s="115"/>
      <c r="W30" s="129"/>
      <c r="X30" s="115"/>
    </row>
    <row r="31" spans="2:41" s="170" customFormat="1">
      <c r="B31" s="2527"/>
      <c r="C31" s="186" t="s">
        <v>13522</v>
      </c>
      <c r="D31" s="148"/>
      <c r="L31" s="131"/>
      <c r="M31" s="123"/>
      <c r="N31" s="125"/>
      <c r="O31" s="123"/>
      <c r="P31" s="129"/>
      <c r="Q31" s="288"/>
      <c r="R31" s="115"/>
      <c r="S31" s="115"/>
      <c r="T31" s="115"/>
      <c r="U31" s="115"/>
      <c r="V31" s="115"/>
      <c r="W31" s="129"/>
      <c r="X31" s="115"/>
    </row>
    <row r="32" spans="2:41" s="185" customFormat="1" ht="13.5" thickBot="1">
      <c r="C32" s="186"/>
      <c r="D32" s="186"/>
      <c r="L32" s="135"/>
      <c r="M32" s="131"/>
      <c r="N32" s="131"/>
      <c r="O32" s="131"/>
      <c r="P32" s="124"/>
      <c r="Q32" s="211"/>
      <c r="R32" s="170"/>
      <c r="S32" s="170"/>
      <c r="T32" s="170"/>
      <c r="U32" s="170"/>
      <c r="V32" s="170"/>
      <c r="W32" s="124"/>
      <c r="X32" s="170"/>
    </row>
    <row r="33" spans="1:24" s="185" customFormat="1" ht="14.65" customHeight="1" thickBot="1">
      <c r="B33" s="1433" t="s">
        <v>12572</v>
      </c>
      <c r="C33" s="153"/>
      <c r="D33" s="153"/>
      <c r="E33" s="153"/>
      <c r="F33" s="153"/>
      <c r="G33" s="153"/>
      <c r="H33" s="153"/>
      <c r="I33" s="153"/>
      <c r="J33" s="153"/>
      <c r="K33" s="153"/>
      <c r="L33" s="259"/>
      <c r="M33" s="131"/>
      <c r="N33" s="131"/>
      <c r="O33" s="131"/>
      <c r="P33" s="124"/>
      <c r="Q33" s="211"/>
      <c r="R33" s="170"/>
      <c r="S33" s="170"/>
      <c r="T33" s="170"/>
      <c r="U33" s="170"/>
      <c r="V33" s="170"/>
      <c r="W33" s="124"/>
      <c r="X33" s="170"/>
    </row>
    <row r="34" spans="1:24" s="185" customFormat="1" ht="12.75">
      <c r="C34" s="186"/>
      <c r="D34" s="186"/>
      <c r="L34" s="135"/>
      <c r="M34" s="131"/>
      <c r="N34" s="131"/>
      <c r="O34" s="131"/>
      <c r="P34" s="124"/>
      <c r="Q34" s="211"/>
      <c r="R34" s="170"/>
      <c r="S34" s="170"/>
      <c r="T34" s="170"/>
      <c r="U34" s="170"/>
      <c r="V34" s="170"/>
      <c r="W34" s="124"/>
      <c r="X34" s="170"/>
    </row>
    <row r="35" spans="1:24" s="115" customFormat="1" ht="15" hidden="1" thickBot="1">
      <c r="A35" s="1643"/>
      <c r="B35" s="151" t="str">
        <f ca="1" xml:space="preserve"> RIGHT(CELL("filename", $A$1), LEN(CELL("filename", $A$1)) - SEARCH("]", CELL("filename", $A$1)))&amp;" - Line definitions"</f>
        <v>4B - Line definitions</v>
      </c>
      <c r="C35" s="152"/>
      <c r="D35" s="152"/>
      <c r="E35" s="153"/>
      <c r="F35" s="153"/>
      <c r="G35" s="153"/>
      <c r="H35" s="153"/>
      <c r="I35" s="153"/>
      <c r="J35" s="153"/>
      <c r="K35" s="153"/>
      <c r="L35" s="259"/>
      <c r="M35" s="131"/>
      <c r="N35" s="131"/>
      <c r="O35" s="131"/>
      <c r="P35" s="124"/>
      <c r="Q35" s="211"/>
      <c r="R35" s="170"/>
      <c r="S35" s="170"/>
      <c r="T35" s="170"/>
      <c r="U35" s="170"/>
      <c r="V35" s="170"/>
      <c r="W35" s="124"/>
      <c r="X35" s="170"/>
    </row>
    <row r="36" spans="1:24" s="115" customFormat="1" ht="15" hidden="1" thickBot="1">
      <c r="A36" s="1643"/>
      <c r="B36" s="75"/>
      <c r="C36" s="160"/>
      <c r="D36" s="160"/>
      <c r="E36" s="75"/>
      <c r="F36" s="75"/>
      <c r="G36" s="75"/>
      <c r="L36" s="123"/>
      <c r="M36" s="131"/>
      <c r="N36" s="131"/>
      <c r="O36" s="131"/>
      <c r="P36" s="124"/>
      <c r="Q36" s="211"/>
      <c r="R36" s="170"/>
      <c r="S36" s="170"/>
      <c r="T36" s="170"/>
      <c r="U36" s="170"/>
      <c r="V36" s="170"/>
      <c r="W36" s="124"/>
      <c r="X36" s="170"/>
    </row>
    <row r="37" spans="1:24" s="185" customFormat="1" ht="13.5" hidden="1" thickBot="1">
      <c r="A37" s="1644"/>
      <c r="B37" s="295" t="s">
        <v>2423</v>
      </c>
      <c r="C37" s="296" t="s">
        <v>2424</v>
      </c>
      <c r="D37" s="1460"/>
      <c r="E37" s="163"/>
      <c r="F37" s="163"/>
      <c r="G37" s="163"/>
      <c r="H37" s="163"/>
      <c r="I37" s="2078"/>
      <c r="J37" s="2078"/>
      <c r="K37" s="163"/>
      <c r="L37" s="297"/>
      <c r="M37" s="131"/>
      <c r="N37" s="131"/>
      <c r="O37" s="131"/>
      <c r="P37" s="124"/>
      <c r="Q37" s="90" t="s">
        <v>2425</v>
      </c>
      <c r="R37" s="170"/>
      <c r="S37" s="170"/>
      <c r="T37" s="170"/>
      <c r="U37" s="170"/>
      <c r="V37" s="170"/>
      <c r="W37" s="124"/>
      <c r="X37" s="170"/>
    </row>
    <row r="38" spans="1:24" s="115" customFormat="1" ht="13.5" hidden="1" customHeight="1">
      <c r="A38" s="1643"/>
      <c r="B38" s="188" t="s">
        <v>5184</v>
      </c>
      <c r="C38" s="3271" t="s">
        <v>13188</v>
      </c>
      <c r="D38" s="3272"/>
      <c r="E38" s="3272"/>
      <c r="F38" s="3272"/>
      <c r="G38" s="3272"/>
      <c r="H38" s="3272"/>
      <c r="I38" s="3272"/>
      <c r="J38" s="3272"/>
      <c r="K38" s="3272"/>
      <c r="L38" s="3273"/>
      <c r="M38" s="131"/>
      <c r="N38" s="131"/>
      <c r="O38" s="131"/>
      <c r="P38" s="124"/>
      <c r="Q38" s="210">
        <v>1</v>
      </c>
      <c r="R38" s="170"/>
      <c r="S38" s="170"/>
      <c r="T38" s="170"/>
      <c r="U38" s="170"/>
      <c r="V38" s="170"/>
      <c r="W38" s="124"/>
      <c r="X38" s="170"/>
    </row>
    <row r="39" spans="1:24" s="115" customFormat="1" ht="46.5" hidden="1" customHeight="1">
      <c r="A39" s="1643"/>
      <c r="B39" s="166" t="s">
        <v>5185</v>
      </c>
      <c r="C39" s="3268" t="s">
        <v>3658</v>
      </c>
      <c r="D39" s="3269"/>
      <c r="E39" s="3269"/>
      <c r="F39" s="3269"/>
      <c r="G39" s="3269"/>
      <c r="H39" s="3269"/>
      <c r="I39" s="3269"/>
      <c r="J39" s="3269"/>
      <c r="K39" s="3269"/>
      <c r="L39" s="3270"/>
      <c r="M39" s="131"/>
      <c r="N39" s="131"/>
      <c r="O39" s="131"/>
      <c r="P39" s="124"/>
      <c r="Q39" s="210" t="s">
        <v>3876</v>
      </c>
      <c r="R39" s="185"/>
      <c r="S39" s="185"/>
      <c r="T39" s="185"/>
      <c r="U39" s="185"/>
      <c r="V39" s="185"/>
      <c r="W39" s="124"/>
      <c r="X39" s="185"/>
    </row>
    <row r="40" spans="1:24" s="115" customFormat="1" ht="46.5" hidden="1" customHeight="1">
      <c r="A40" s="1643"/>
      <c r="B40" s="166" t="s">
        <v>5186</v>
      </c>
      <c r="C40" s="3268" t="s">
        <v>3659</v>
      </c>
      <c r="D40" s="3269"/>
      <c r="E40" s="3269"/>
      <c r="F40" s="3269"/>
      <c r="G40" s="3269"/>
      <c r="H40" s="3269"/>
      <c r="I40" s="3269"/>
      <c r="J40" s="3269"/>
      <c r="K40" s="3269"/>
      <c r="L40" s="3270"/>
      <c r="M40" s="131"/>
      <c r="N40" s="131"/>
      <c r="O40" s="131"/>
      <c r="P40" s="124"/>
      <c r="Q40" s="210" t="s">
        <v>3876</v>
      </c>
      <c r="R40" s="185"/>
      <c r="S40" s="185"/>
      <c r="T40" s="185"/>
      <c r="U40" s="185"/>
      <c r="V40" s="185"/>
      <c r="W40" s="124"/>
      <c r="X40" s="185"/>
    </row>
    <row r="41" spans="1:24" s="115" customFormat="1" ht="13.5" hidden="1" customHeight="1">
      <c r="A41" s="1643"/>
      <c r="B41" s="166" t="s">
        <v>5188</v>
      </c>
      <c r="C41" s="3268" t="s">
        <v>3660</v>
      </c>
      <c r="D41" s="3269"/>
      <c r="E41" s="3269"/>
      <c r="F41" s="3269"/>
      <c r="G41" s="3269"/>
      <c r="H41" s="3269"/>
      <c r="I41" s="3269"/>
      <c r="J41" s="3269"/>
      <c r="K41" s="3269"/>
      <c r="L41" s="3270"/>
      <c r="M41" s="131"/>
      <c r="N41" s="125"/>
      <c r="O41" s="123"/>
      <c r="P41" s="129"/>
      <c r="Q41" s="210">
        <v>1</v>
      </c>
      <c r="W41" s="129"/>
    </row>
    <row r="42" spans="1:24" s="115" customFormat="1" hidden="1">
      <c r="A42" s="1643"/>
      <c r="B42" s="166" t="s">
        <v>5187</v>
      </c>
      <c r="C42" s="3268" t="s">
        <v>2742</v>
      </c>
      <c r="D42" s="3269"/>
      <c r="E42" s="3269"/>
      <c r="F42" s="3269"/>
      <c r="G42" s="3269"/>
      <c r="H42" s="3269"/>
      <c r="I42" s="3269"/>
      <c r="J42" s="3269"/>
      <c r="K42" s="3269"/>
      <c r="L42" s="3270"/>
      <c r="M42" s="131"/>
      <c r="N42" s="125"/>
      <c r="O42" s="123"/>
      <c r="P42" s="129"/>
      <c r="Q42" s="210">
        <v>1</v>
      </c>
      <c r="W42" s="129"/>
    </row>
    <row r="43" spans="1:24" s="115" customFormat="1" ht="13.5" hidden="1" customHeight="1">
      <c r="A43" s="1643"/>
      <c r="B43" s="166" t="s">
        <v>5189</v>
      </c>
      <c r="C43" s="3268" t="s">
        <v>3661</v>
      </c>
      <c r="D43" s="3269"/>
      <c r="E43" s="3269"/>
      <c r="F43" s="3269"/>
      <c r="G43" s="3269"/>
      <c r="H43" s="3269"/>
      <c r="I43" s="3269"/>
      <c r="J43" s="3269"/>
      <c r="K43" s="3269"/>
      <c r="L43" s="3270"/>
      <c r="M43" s="131"/>
      <c r="N43" s="135"/>
      <c r="O43" s="123"/>
      <c r="P43" s="129"/>
      <c r="Q43" s="210">
        <v>1</v>
      </c>
      <c r="R43" s="185"/>
      <c r="S43" s="185"/>
      <c r="T43" s="185"/>
      <c r="U43" s="185"/>
      <c r="V43" s="185"/>
      <c r="W43" s="129"/>
      <c r="X43" s="185"/>
    </row>
    <row r="44" spans="1:24" s="115" customFormat="1" hidden="1">
      <c r="A44" s="1643"/>
      <c r="B44" s="166" t="s">
        <v>5191</v>
      </c>
      <c r="C44" s="3268" t="s">
        <v>3662</v>
      </c>
      <c r="D44" s="3269"/>
      <c r="E44" s="3269"/>
      <c r="F44" s="3269"/>
      <c r="G44" s="3269"/>
      <c r="H44" s="3269"/>
      <c r="I44" s="3269"/>
      <c r="J44" s="3269"/>
      <c r="K44" s="3269"/>
      <c r="L44" s="3270"/>
      <c r="M44" s="131"/>
      <c r="N44" s="125"/>
      <c r="O44" s="123"/>
      <c r="P44" s="129"/>
      <c r="Q44" s="210">
        <v>1</v>
      </c>
      <c r="W44" s="129"/>
    </row>
    <row r="45" spans="1:24" s="115" customFormat="1" ht="13.5" hidden="1" customHeight="1">
      <c r="A45" s="1643"/>
      <c r="B45" s="820" t="s">
        <v>5190</v>
      </c>
      <c r="C45" s="3268" t="s">
        <v>3862</v>
      </c>
      <c r="D45" s="3269"/>
      <c r="E45" s="3269"/>
      <c r="F45" s="3269"/>
      <c r="G45" s="3269"/>
      <c r="H45" s="3269"/>
      <c r="I45" s="3269"/>
      <c r="J45" s="3269"/>
      <c r="K45" s="3269"/>
      <c r="L45" s="3270"/>
      <c r="M45" s="131"/>
      <c r="N45" s="125"/>
      <c r="O45" s="123"/>
      <c r="P45" s="129"/>
      <c r="Q45" s="210">
        <v>1</v>
      </c>
      <c r="W45" s="129"/>
    </row>
    <row r="46" spans="1:24" s="115" customFormat="1" ht="47.25" hidden="1" customHeight="1" thickBot="1">
      <c r="A46" s="1643"/>
      <c r="B46" s="190" t="s">
        <v>5192</v>
      </c>
      <c r="C46" s="3274" t="s">
        <v>3863</v>
      </c>
      <c r="D46" s="3275"/>
      <c r="E46" s="3275"/>
      <c r="F46" s="3275"/>
      <c r="G46" s="3275"/>
      <c r="H46" s="3275"/>
      <c r="I46" s="3275"/>
      <c r="J46" s="3275"/>
      <c r="K46" s="3275"/>
      <c r="L46" s="3276"/>
      <c r="M46" s="131"/>
      <c r="N46" s="125"/>
      <c r="O46" s="123"/>
      <c r="P46" s="129"/>
      <c r="Q46" s="210" t="s">
        <v>2432</v>
      </c>
      <c r="W46" s="129"/>
    </row>
    <row r="47" spans="1:24" hidden="1">
      <c r="A47" s="1647"/>
      <c r="M47" s="135"/>
      <c r="N47" s="125"/>
      <c r="O47" s="123"/>
      <c r="P47" s="129"/>
      <c r="Q47" s="301"/>
      <c r="R47" s="115"/>
      <c r="S47" s="115"/>
      <c r="T47" s="115"/>
      <c r="U47" s="115"/>
      <c r="V47" s="115"/>
      <c r="W47" s="129"/>
      <c r="X47" s="115"/>
    </row>
  </sheetData>
  <mergeCells count="21">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 ref="J3:L3"/>
    <mergeCell ref="AE3:AF4"/>
    <mergeCell ref="AH3:AH4"/>
    <mergeCell ref="AI3:AI4"/>
    <mergeCell ref="AJ3:AL3"/>
  </mergeCells>
  <conditionalFormatting sqref="N10:N12">
    <cfRule type="cellIs" dxfId="207" priority="21" operator="equal">
      <formula>0</formula>
    </cfRule>
  </conditionalFormatting>
  <conditionalFormatting sqref="N20 N23">
    <cfRule type="cellIs" dxfId="206" priority="20" operator="equal">
      <formula>0</formula>
    </cfRule>
  </conditionalFormatting>
  <conditionalFormatting sqref="N16">
    <cfRule type="cellIs" dxfId="205" priority="16" operator="equal">
      <formula>0</formula>
    </cfRule>
  </conditionalFormatting>
  <conditionalFormatting sqref="N7">
    <cfRule type="cellIs" dxfId="204" priority="9" operator="equal">
      <formula>0</formula>
    </cfRule>
  </conditionalFormatting>
  <conditionalFormatting sqref="L7 I7 I10:I13 L10:L13 L16 I16 I19:I20 L19:L20 L23 I23">
    <cfRule type="expression" dxfId="203"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7"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6"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5"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4"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3"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2" id="{5D4D742F-8B4F-467D-9ADA-7E8E70916FCC}">
            <xm:f>Validation!$H$3=1</xm:f>
            <x14:dxf>
              <fill>
                <patternFill>
                  <bgColor theme="2"/>
                </patternFill>
              </fill>
            </x14:dxf>
          </x14:cfRule>
          <xm:sqref>K7 H7 H10:H13 K10:K13 K16 H16 H19:H20 K19:K20 K23 H23</xm:sqref>
        </x14:conditionalFormatting>
      </x14:conditionalFormattings>
    </ext>
  </extLst>
</worksheet>
</file>

<file path=xl/worksheets/sheet33.xml><?xml version="1.0" encoding="utf-8"?>
<worksheet xmlns="http://schemas.openxmlformats.org/spreadsheetml/2006/main" xmlns:r="http://schemas.openxmlformats.org/officeDocument/2006/relationships">
  <sheetPr codeName="Sheet29">
    <pageSetUpPr fitToPage="1"/>
  </sheetPr>
  <dimension ref="A1:AK32"/>
  <sheetViews>
    <sheetView workbookViewId="0"/>
  </sheetViews>
  <sheetFormatPr defaultColWidth="0" defaultRowHeight="14.25" zeroHeight="1"/>
  <cols>
    <col min="1" max="1" width="0.625" style="8" customWidth="1"/>
    <col min="2" max="2" width="4.125" style="8" customWidth="1"/>
    <col min="3" max="3" width="60.125" style="8" customWidth="1"/>
    <col min="4" max="4" width="1.125" style="496" hidden="1" customWidth="1"/>
    <col min="5" max="6" width="5.125" style="8" customWidth="1"/>
    <col min="7" max="8" width="14.5" style="496" customWidth="1"/>
    <col min="9" max="9" width="14.625" style="8" customWidth="1"/>
    <col min="10" max="10" width="2.625" style="71" customWidth="1"/>
    <col min="11" max="11" width="18.625" style="71" bestFit="1" customWidth="1"/>
    <col min="12" max="12" width="1.625" style="71" customWidth="1"/>
    <col min="13" max="13" width="1.625" style="72" hidden="1" customWidth="1"/>
    <col min="14" max="16" width="11.125" style="71" hidden="1" customWidth="1"/>
    <col min="17" max="17" width="1.625" style="72" hidden="1" customWidth="1"/>
    <col min="18" max="27" width="0" style="8" hidden="1" customWidth="1"/>
    <col min="28" max="28" width="8.625" style="8" customWidth="1"/>
    <col min="29" max="29" width="4.125" style="496" customWidth="1"/>
    <col min="30" max="30" width="60.125" style="496" customWidth="1"/>
    <col min="31" max="31" width="1.125" style="496" hidden="1" customWidth="1"/>
    <col min="32" max="33" width="5.125" style="496" customWidth="1"/>
    <col min="34" max="34" width="14.5" style="496" customWidth="1"/>
    <col min="35" max="35" width="14.625" style="496" customWidth="1"/>
    <col min="36" max="36" width="14" style="8" bestFit="1" customWidth="1"/>
    <col min="37" max="37" width="2.625" style="8" customWidth="1"/>
    <col min="38" max="16384" width="8.625" style="8" hidden="1"/>
  </cols>
  <sheetData>
    <row r="1" spans="2:37" ht="18.75">
      <c r="B1" s="67" t="s">
        <v>3649</v>
      </c>
      <c r="C1" s="67"/>
      <c r="D1" s="67"/>
      <c r="E1" s="67"/>
      <c r="F1" s="67"/>
      <c r="G1" s="67"/>
      <c r="H1" s="67"/>
      <c r="I1" s="69" t="str">
        <f>Validation!B3</f>
        <v>South West Water – South West area</v>
      </c>
      <c r="J1" s="67"/>
      <c r="K1" s="70" t="s">
        <v>2394</v>
      </c>
      <c r="AC1" s="67" t="s">
        <v>6671</v>
      </c>
      <c r="AD1" s="67"/>
      <c r="AE1" s="67"/>
      <c r="AF1" s="67"/>
      <c r="AG1" s="67"/>
      <c r="AH1" s="67"/>
      <c r="AI1" s="69"/>
      <c r="AJ1" s="69"/>
      <c r="AK1" s="496"/>
    </row>
    <row r="2" spans="2:37" ht="15" thickBot="1">
      <c r="B2" s="74" t="s">
        <v>12524</v>
      </c>
      <c r="C2" s="71"/>
      <c r="D2" s="71"/>
      <c r="E2" s="71"/>
      <c r="F2" s="71"/>
      <c r="G2" s="71"/>
      <c r="H2" s="71"/>
      <c r="I2" s="71"/>
      <c r="AC2" s="74" t="str">
        <f>+B2</f>
        <v>For the 12 months ended 31 March 2019</v>
      </c>
      <c r="AD2" s="71"/>
      <c r="AE2" s="71"/>
      <c r="AF2" s="71"/>
      <c r="AG2" s="71"/>
      <c r="AH2" s="71"/>
      <c r="AI2" s="71"/>
      <c r="AJ2" s="71"/>
      <c r="AK2" s="496"/>
    </row>
    <row r="3" spans="2:37" ht="15" customHeight="1">
      <c r="B3" s="3200" t="s">
        <v>2395</v>
      </c>
      <c r="C3" s="3201"/>
      <c r="D3" s="1447" t="s">
        <v>6495</v>
      </c>
      <c r="E3" s="3204" t="s">
        <v>2396</v>
      </c>
      <c r="F3" s="3206" t="s">
        <v>2397</v>
      </c>
      <c r="G3" s="3398" t="s">
        <v>40</v>
      </c>
      <c r="H3" s="3400" t="s">
        <v>214</v>
      </c>
      <c r="I3" s="3208" t="s">
        <v>1800</v>
      </c>
      <c r="K3" s="3213" t="s">
        <v>1361</v>
      </c>
      <c r="AC3" s="3200" t="s">
        <v>2395</v>
      </c>
      <c r="AD3" s="3201"/>
      <c r="AE3" s="2723" t="s">
        <v>6495</v>
      </c>
      <c r="AF3" s="3204" t="s">
        <v>2396</v>
      </c>
      <c r="AG3" s="3206" t="s">
        <v>2397</v>
      </c>
      <c r="AH3" s="3208" t="s">
        <v>40</v>
      </c>
      <c r="AI3" s="3208" t="s">
        <v>214</v>
      </c>
      <c r="AJ3" s="3208" t="s">
        <v>1800</v>
      </c>
      <c r="AK3" s="496"/>
    </row>
    <row r="4" spans="2:37" ht="24.75" thickBot="1">
      <c r="B4" s="3202"/>
      <c r="C4" s="3203"/>
      <c r="D4" s="1448"/>
      <c r="E4" s="3205"/>
      <c r="F4" s="3207"/>
      <c r="G4" s="3399"/>
      <c r="H4" s="3401"/>
      <c r="I4" s="3209"/>
      <c r="K4" s="3214"/>
      <c r="N4" s="79" t="s">
        <v>2404</v>
      </c>
      <c r="O4" s="2081"/>
      <c r="P4" s="652"/>
      <c r="AC4" s="3202"/>
      <c r="AD4" s="3203"/>
      <c r="AE4" s="2724"/>
      <c r="AF4" s="3205"/>
      <c r="AG4" s="3207"/>
      <c r="AH4" s="3209"/>
      <c r="AI4" s="3209"/>
      <c r="AJ4" s="3209"/>
      <c r="AK4" s="496"/>
    </row>
    <row r="5" spans="2:37" ht="15" thickBot="1">
      <c r="B5" s="71"/>
      <c r="C5" s="71"/>
      <c r="D5" s="71"/>
      <c r="E5" s="71"/>
      <c r="F5" s="71"/>
      <c r="G5" s="71"/>
      <c r="H5" s="71"/>
      <c r="I5" s="71"/>
      <c r="K5" s="263"/>
      <c r="N5" s="171" t="s">
        <v>2405</v>
      </c>
      <c r="O5" s="171"/>
      <c r="P5" s="171"/>
      <c r="AC5" s="71"/>
      <c r="AD5" s="71"/>
      <c r="AE5" s="71"/>
      <c r="AF5" s="71"/>
      <c r="AG5" s="71"/>
      <c r="AH5" s="71"/>
      <c r="AI5" s="71"/>
      <c r="AJ5" s="71"/>
      <c r="AK5" s="496"/>
    </row>
    <row r="6" spans="2:37" s="496" customFormat="1">
      <c r="B6" s="91" t="s">
        <v>5193</v>
      </c>
      <c r="C6" s="122" t="s">
        <v>3783</v>
      </c>
      <c r="D6" s="122"/>
      <c r="E6" s="93" t="s">
        <v>750</v>
      </c>
      <c r="F6" s="94">
        <v>3</v>
      </c>
      <c r="G6" s="430"/>
      <c r="H6" s="441"/>
      <c r="I6" s="1688"/>
      <c r="J6" s="71"/>
      <c r="K6" s="24" t="str">
        <f xml:space="preserve"> IF( SUM( M6:Q6 ) = 0, 0, $N$5 )</f>
        <v>Please complete all cells in row</v>
      </c>
      <c r="L6" s="71"/>
      <c r="M6" s="72"/>
      <c r="N6" s="98">
        <f xml:space="preserve"> IF( ISNUMBER( G6 ), 0, 1 )</f>
        <v>1</v>
      </c>
      <c r="O6" s="98">
        <f>IF(Validation!$H$3=1,0,IF(ISNUMBER(H6),0,1))</f>
        <v>1</v>
      </c>
      <c r="P6" s="98">
        <f>IF( Validation!$H$3 = 1, 0, IF(Validation!$B$3 &lt;&gt; "Thames Water",0, (IF(ISNUMBER(I6),0,1))))</f>
        <v>0</v>
      </c>
      <c r="Q6" s="72"/>
      <c r="AC6" s="91" t="s">
        <v>5193</v>
      </c>
      <c r="AD6" s="122" t="s">
        <v>3783</v>
      </c>
      <c r="AE6" s="122"/>
      <c r="AF6" s="93" t="s">
        <v>750</v>
      </c>
      <c r="AG6" s="94">
        <v>3</v>
      </c>
      <c r="AH6" s="2557" t="s">
        <v>10243</v>
      </c>
      <c r="AI6" s="2887" t="s">
        <v>10244</v>
      </c>
      <c r="AJ6" s="2887" t="s">
        <v>12399</v>
      </c>
    </row>
    <row r="7" spans="2:37" s="496" customFormat="1">
      <c r="B7" s="99" t="s">
        <v>5194</v>
      </c>
      <c r="C7" s="92" t="s">
        <v>3784</v>
      </c>
      <c r="D7" s="92"/>
      <c r="E7" s="100" t="s">
        <v>750</v>
      </c>
      <c r="F7" s="101">
        <v>3</v>
      </c>
      <c r="G7" s="428"/>
      <c r="H7" s="429"/>
      <c r="I7" s="899"/>
      <c r="J7" s="71"/>
      <c r="K7" s="24" t="str">
        <f xml:space="preserve"> IF( SUM( M7:Q7 ) = 0, 0, $N$5 )</f>
        <v>Please complete all cells in row</v>
      </c>
      <c r="L7" s="71"/>
      <c r="M7" s="72"/>
      <c r="N7" s="98">
        <f t="shared" ref="N7:N10" si="0" xml:space="preserve"> IF( ISNUMBER( G7 ), 0, 1 )</f>
        <v>1</v>
      </c>
      <c r="O7" s="98">
        <f>IF(Validation!$H$3=1,0,IF(ISNUMBER(H7),0,1))</f>
        <v>1</v>
      </c>
      <c r="P7" s="98">
        <f>IF( Validation!$H$3 = 1, 0, IF(Validation!$B$3 &lt;&gt; "Thames Water",0, (IF(ISNUMBER(I7),0,1))))</f>
        <v>0</v>
      </c>
      <c r="Q7" s="72"/>
      <c r="AC7" s="99" t="s">
        <v>5194</v>
      </c>
      <c r="AD7" s="92" t="s">
        <v>3784</v>
      </c>
      <c r="AE7" s="92"/>
      <c r="AF7" s="100" t="s">
        <v>750</v>
      </c>
      <c r="AG7" s="101">
        <v>3</v>
      </c>
      <c r="AH7" s="2559" t="s">
        <v>10245</v>
      </c>
      <c r="AI7" s="2888" t="s">
        <v>10246</v>
      </c>
      <c r="AJ7" s="2888" t="s">
        <v>12398</v>
      </c>
    </row>
    <row r="8" spans="2:37" s="496" customFormat="1" ht="14.25" customHeight="1">
      <c r="B8" s="99" t="s">
        <v>5195</v>
      </c>
      <c r="C8" s="92" t="s">
        <v>12605</v>
      </c>
      <c r="D8" s="92"/>
      <c r="E8" s="100" t="s">
        <v>750</v>
      </c>
      <c r="F8" s="101">
        <v>3</v>
      </c>
      <c r="G8" s="428"/>
      <c r="H8" s="429"/>
      <c r="I8" s="897"/>
      <c r="J8" s="71"/>
      <c r="K8" s="24" t="str">
        <f xml:space="preserve"> IF( SUM( M8:Q8 ) = 0, 0, $N$5 )</f>
        <v>Please complete all cells in row</v>
      </c>
      <c r="L8" s="71"/>
      <c r="M8" s="72"/>
      <c r="N8" s="98">
        <f t="shared" si="0"/>
        <v>1</v>
      </c>
      <c r="O8" s="98">
        <f>IF(Validation!$H$3=1,0,IF(ISNUMBER(H8),0,1))</f>
        <v>1</v>
      </c>
      <c r="P8" s="98">
        <f>IF( Validation!$H$3 = 1, 0, IF(Validation!$B$3 &lt;&gt; "Thames Water",0, (IF(ISNUMBER(I8),0,1))))</f>
        <v>0</v>
      </c>
      <c r="Q8" s="72"/>
      <c r="AC8" s="99" t="s">
        <v>5195</v>
      </c>
      <c r="AD8" s="92" t="s">
        <v>3785</v>
      </c>
      <c r="AE8" s="92"/>
      <c r="AF8" s="100" t="s">
        <v>750</v>
      </c>
      <c r="AG8" s="101">
        <v>3</v>
      </c>
      <c r="AH8" s="2559" t="s">
        <v>10247</v>
      </c>
      <c r="AI8" s="2839" t="s">
        <v>10248</v>
      </c>
      <c r="AJ8" s="2839" t="s">
        <v>12400</v>
      </c>
    </row>
    <row r="9" spans="2:37" s="496" customFormat="1" ht="14.25" customHeight="1">
      <c r="B9" s="99" t="s">
        <v>5196</v>
      </c>
      <c r="C9" s="227" t="s">
        <v>12606</v>
      </c>
      <c r="D9" s="227"/>
      <c r="E9" s="100" t="s">
        <v>750</v>
      </c>
      <c r="F9" s="101">
        <v>3</v>
      </c>
      <c r="G9" s="475"/>
      <c r="H9" s="476"/>
      <c r="I9" s="899"/>
      <c r="J9" s="71"/>
      <c r="K9" s="24" t="str">
        <f xml:space="preserve"> IF( SUM( M9:Q9 ) = 0, 0, $N$5 )</f>
        <v>Please complete all cells in row</v>
      </c>
      <c r="L9" s="71"/>
      <c r="M9" s="72"/>
      <c r="N9" s="98">
        <f t="shared" si="0"/>
        <v>1</v>
      </c>
      <c r="O9" s="98">
        <f>IF(Validation!$H$3=1,0,IF(ISNUMBER(H9),0,1))</f>
        <v>1</v>
      </c>
      <c r="P9" s="98">
        <f>IF( Validation!$H$3 = 1, 0, IF(Validation!$B$3 &lt;&gt; "Thames Water",0, (IF(ISNUMBER(I9),0,1))))</f>
        <v>0</v>
      </c>
      <c r="Q9" s="72"/>
      <c r="AC9" s="99" t="s">
        <v>5196</v>
      </c>
      <c r="AD9" s="227" t="s">
        <v>12606</v>
      </c>
      <c r="AE9" s="227"/>
      <c r="AF9" s="100" t="s">
        <v>750</v>
      </c>
      <c r="AG9" s="101">
        <v>3</v>
      </c>
      <c r="AH9" s="2761" t="s">
        <v>10249</v>
      </c>
      <c r="AI9" s="2889" t="s">
        <v>10250</v>
      </c>
      <c r="AJ9" s="2889" t="s">
        <v>12396</v>
      </c>
    </row>
    <row r="10" spans="2:37" s="496" customFormat="1" ht="14.25" customHeight="1">
      <c r="B10" s="99" t="s">
        <v>5197</v>
      </c>
      <c r="C10" s="227" t="s">
        <v>3650</v>
      </c>
      <c r="D10" s="227"/>
      <c r="E10" s="100" t="s">
        <v>750</v>
      </c>
      <c r="F10" s="101">
        <v>3</v>
      </c>
      <c r="G10" s="475"/>
      <c r="H10" s="476"/>
      <c r="I10" s="899"/>
      <c r="J10" s="71"/>
      <c r="K10" s="24" t="str">
        <f xml:space="preserve"> IF( SUM( M10:Q10 ) = 0, 0, $N$5 )</f>
        <v>Please complete all cells in row</v>
      </c>
      <c r="L10" s="71"/>
      <c r="M10" s="72"/>
      <c r="N10" s="98">
        <f t="shared" si="0"/>
        <v>1</v>
      </c>
      <c r="O10" s="98">
        <f>IF(Validation!$H$3=1,0,IF(ISNUMBER(H10),0,1))</f>
        <v>1</v>
      </c>
      <c r="P10" s="98">
        <f>IF( Validation!$H$3 = 1, 0, IF(Validation!$B$3 &lt;&gt; "Thames Water",0, (IF(ISNUMBER(I10),0,1))))</f>
        <v>0</v>
      </c>
      <c r="Q10" s="72"/>
      <c r="AC10" s="99" t="s">
        <v>5197</v>
      </c>
      <c r="AD10" s="227" t="s">
        <v>3650</v>
      </c>
      <c r="AE10" s="227"/>
      <c r="AF10" s="100" t="s">
        <v>750</v>
      </c>
      <c r="AG10" s="101">
        <v>3</v>
      </c>
      <c r="AH10" s="2890" t="s">
        <v>10251</v>
      </c>
      <c r="AI10" s="2889" t="s">
        <v>10252</v>
      </c>
      <c r="AJ10" s="2889" t="s">
        <v>12434</v>
      </c>
    </row>
    <row r="11" spans="2:37" s="496" customFormat="1" ht="15" thickBot="1">
      <c r="B11" s="106" t="s">
        <v>5198</v>
      </c>
      <c r="C11" s="107" t="s">
        <v>2743</v>
      </c>
      <c r="D11" s="107"/>
      <c r="E11" s="108" t="s">
        <v>750</v>
      </c>
      <c r="F11" s="105">
        <v>3</v>
      </c>
      <c r="G11" s="201">
        <f xml:space="preserve"> SUM( G8:G10 )</f>
        <v>0</v>
      </c>
      <c r="H11" s="202">
        <f xml:space="preserve"> SUM( H8:H10 )</f>
        <v>0</v>
      </c>
      <c r="I11" s="349">
        <f xml:space="preserve"> SUM( I8:I10 )</f>
        <v>0</v>
      </c>
      <c r="J11" s="71"/>
      <c r="K11" s="71"/>
      <c r="L11" s="71"/>
      <c r="M11" s="72"/>
      <c r="N11" s="71"/>
      <c r="O11" s="71"/>
      <c r="P11" s="71"/>
      <c r="Q11" s="72"/>
      <c r="AC11" s="106" t="s">
        <v>5198</v>
      </c>
      <c r="AD11" s="107" t="s">
        <v>2743</v>
      </c>
      <c r="AE11" s="107"/>
      <c r="AF11" s="108" t="s">
        <v>750</v>
      </c>
      <c r="AG11" s="105">
        <v>3</v>
      </c>
      <c r="AH11" s="208" t="s">
        <v>10253</v>
      </c>
      <c r="AI11" s="349" t="s">
        <v>10254</v>
      </c>
      <c r="AJ11" s="349" t="s">
        <v>12397</v>
      </c>
    </row>
    <row r="12" spans="2:37">
      <c r="AJ12" s="496"/>
      <c r="AK12" s="496"/>
    </row>
    <row r="13" spans="2:37">
      <c r="B13" s="3220" t="s">
        <v>2420</v>
      </c>
      <c r="C13" s="3220"/>
      <c r="D13" s="1449"/>
      <c r="E13" s="170"/>
      <c r="F13" s="170"/>
      <c r="G13" s="170"/>
      <c r="H13" s="170"/>
      <c r="I13" s="170"/>
      <c r="AJ13" s="496"/>
      <c r="AK13" s="496"/>
    </row>
    <row r="14" spans="2:37">
      <c r="B14" s="146"/>
      <c r="C14" s="147"/>
      <c r="D14" s="147"/>
      <c r="E14" s="170"/>
      <c r="F14" s="170"/>
      <c r="G14" s="170"/>
      <c r="H14" s="170"/>
      <c r="I14" s="170"/>
      <c r="AC14" s="8"/>
      <c r="AD14" s="8"/>
      <c r="AE14" s="8"/>
      <c r="AF14" s="8"/>
      <c r="AG14" s="8"/>
      <c r="AH14" s="8"/>
      <c r="AI14" s="8"/>
    </row>
    <row r="15" spans="2:37">
      <c r="B15" s="25"/>
      <c r="C15" s="148" t="s">
        <v>2421</v>
      </c>
      <c r="D15" s="148"/>
      <c r="E15" s="170"/>
      <c r="F15" s="170"/>
      <c r="G15" s="170"/>
      <c r="H15" s="170"/>
      <c r="I15" s="170"/>
      <c r="AC15" s="8"/>
      <c r="AD15" s="8"/>
      <c r="AE15" s="8"/>
      <c r="AF15" s="8"/>
      <c r="AG15" s="8"/>
      <c r="AH15" s="8"/>
      <c r="AI15" s="8"/>
    </row>
    <row r="16" spans="2:37">
      <c r="B16" s="146"/>
      <c r="C16" s="147"/>
      <c r="D16" s="147"/>
      <c r="E16" s="170"/>
      <c r="F16" s="170"/>
      <c r="G16" s="170"/>
      <c r="H16" s="170"/>
      <c r="I16" s="170"/>
      <c r="AC16" s="8"/>
      <c r="AD16" s="8"/>
      <c r="AE16" s="8"/>
      <c r="AF16" s="8"/>
      <c r="AG16" s="8"/>
      <c r="AH16" s="8"/>
      <c r="AI16" s="8"/>
    </row>
    <row r="17" spans="1:35">
      <c r="B17" s="149"/>
      <c r="C17" s="148" t="s">
        <v>2422</v>
      </c>
      <c r="D17" s="148"/>
      <c r="E17" s="170"/>
      <c r="F17" s="170"/>
      <c r="G17" s="170"/>
      <c r="H17" s="170"/>
      <c r="I17" s="170"/>
      <c r="AC17" s="8"/>
      <c r="AD17" s="8"/>
      <c r="AE17" s="8"/>
      <c r="AF17" s="8"/>
      <c r="AG17" s="8"/>
      <c r="AH17" s="8"/>
      <c r="AI17" s="8"/>
    </row>
    <row r="18" spans="1:35">
      <c r="B18" s="150"/>
      <c r="C18" s="148"/>
      <c r="D18" s="148"/>
      <c r="E18" s="170"/>
      <c r="F18" s="170"/>
      <c r="G18" s="170"/>
      <c r="H18" s="170"/>
      <c r="I18" s="170"/>
      <c r="AC18" s="8"/>
      <c r="AD18" s="8"/>
      <c r="AE18" s="8"/>
      <c r="AF18" s="8"/>
      <c r="AG18" s="8"/>
      <c r="AH18" s="8"/>
      <c r="AI18" s="8"/>
    </row>
    <row r="19" spans="1:35" ht="15" thickBot="1">
      <c r="B19" s="185"/>
      <c r="C19" s="186"/>
      <c r="D19" s="186"/>
      <c r="E19" s="185"/>
      <c r="F19" s="185"/>
      <c r="G19" s="185"/>
      <c r="H19" s="185"/>
      <c r="I19" s="185"/>
      <c r="AC19" s="8"/>
      <c r="AD19" s="8"/>
      <c r="AE19" s="8"/>
      <c r="AF19" s="8"/>
      <c r="AG19" s="8"/>
      <c r="AH19" s="8"/>
      <c r="AI19" s="8"/>
    </row>
    <row r="20" spans="1:35" s="496" customFormat="1" ht="15" thickBot="1">
      <c r="B20" s="1433" t="s">
        <v>12572</v>
      </c>
      <c r="C20" s="153"/>
      <c r="D20" s="153"/>
      <c r="E20" s="153"/>
      <c r="F20" s="153"/>
      <c r="G20" s="153"/>
      <c r="H20" s="153"/>
      <c r="I20" s="259"/>
      <c r="J20" s="71"/>
      <c r="K20" s="71"/>
      <c r="L20" s="71"/>
      <c r="M20" s="72"/>
      <c r="N20" s="71"/>
      <c r="O20" s="71"/>
      <c r="P20" s="71"/>
      <c r="Q20" s="72"/>
    </row>
    <row r="21" spans="1:35" s="496" customFormat="1">
      <c r="B21" s="185"/>
      <c r="C21" s="186"/>
      <c r="D21" s="186"/>
      <c r="E21" s="185"/>
      <c r="F21" s="185"/>
      <c r="G21" s="185"/>
      <c r="H21" s="185"/>
      <c r="I21" s="185"/>
      <c r="J21" s="71"/>
      <c r="K21" s="71"/>
      <c r="L21" s="71"/>
      <c r="M21" s="72"/>
      <c r="N21" s="71"/>
      <c r="O21" s="71"/>
      <c r="P21" s="71"/>
      <c r="Q21" s="72"/>
    </row>
    <row r="22" spans="1:35" ht="15" hidden="1" thickBot="1">
      <c r="A22" s="1649"/>
      <c r="B22" s="151" t="str">
        <f ca="1" xml:space="preserve"> RIGHT(CELL("filename", $A$1), LEN(CELL("filename", $A$1)) - SEARCH("]", CELL("filename", $A$1)))&amp;" - Line definitions"</f>
        <v>4C - Line definitions</v>
      </c>
      <c r="C22" s="152"/>
      <c r="D22" s="152"/>
      <c r="E22" s="153"/>
      <c r="F22" s="153"/>
      <c r="G22" s="153"/>
      <c r="H22" s="153"/>
      <c r="I22" s="259"/>
      <c r="AC22" s="8"/>
      <c r="AD22" s="8"/>
      <c r="AE22" s="8"/>
      <c r="AF22" s="8"/>
      <c r="AG22" s="8"/>
      <c r="AH22" s="8"/>
      <c r="AI22" s="8"/>
    </row>
    <row r="23" spans="1:35" ht="15" hidden="1" thickBot="1">
      <c r="A23" s="1649"/>
      <c r="B23" s="75"/>
      <c r="C23" s="160"/>
      <c r="D23" s="160"/>
      <c r="E23" s="75"/>
      <c r="F23" s="75"/>
      <c r="G23" s="75"/>
      <c r="H23" s="75"/>
      <c r="I23" s="75"/>
      <c r="AC23" s="8"/>
      <c r="AD23" s="8"/>
      <c r="AE23" s="8"/>
      <c r="AF23" s="8"/>
      <c r="AG23" s="8"/>
      <c r="AH23" s="8"/>
      <c r="AI23" s="8"/>
    </row>
    <row r="24" spans="1:35" ht="15" hidden="1" thickBot="1">
      <c r="A24" s="1649"/>
      <c r="B24" s="161" t="s">
        <v>2423</v>
      </c>
      <c r="C24" s="3395" t="s">
        <v>2424</v>
      </c>
      <c r="D24" s="3395"/>
      <c r="E24" s="3395"/>
      <c r="F24" s="3395"/>
      <c r="G24" s="3396"/>
      <c r="H24" s="3396"/>
      <c r="I24" s="3397"/>
      <c r="N24" s="90" t="s">
        <v>2425</v>
      </c>
      <c r="O24" s="90"/>
      <c r="P24" s="90"/>
      <c r="AC24" s="8"/>
      <c r="AD24" s="8"/>
      <c r="AE24" s="8"/>
      <c r="AF24" s="8"/>
      <c r="AG24" s="8"/>
      <c r="AH24" s="8"/>
      <c r="AI24" s="8"/>
    </row>
    <row r="25" spans="1:35" ht="87.75" hidden="1" customHeight="1">
      <c r="A25" s="1649"/>
      <c r="B25" s="188" t="str">
        <f>B6</f>
        <v>4C.1</v>
      </c>
      <c r="C25" s="3216" t="s">
        <v>13512</v>
      </c>
      <c r="D25" s="3216"/>
      <c r="E25" s="3216"/>
      <c r="F25" s="3216"/>
      <c r="G25" s="3234"/>
      <c r="H25" s="3234"/>
      <c r="I25" s="3217"/>
      <c r="J25" s="123"/>
      <c r="K25" s="125"/>
      <c r="L25" s="123"/>
      <c r="M25" s="129"/>
      <c r="N25" s="210">
        <v>1</v>
      </c>
      <c r="O25" s="210"/>
      <c r="P25" s="210"/>
      <c r="Q25" s="129"/>
      <c r="AC25" s="8"/>
      <c r="AD25" s="8"/>
      <c r="AE25" s="8"/>
      <c r="AF25" s="8"/>
      <c r="AG25" s="8"/>
      <c r="AH25" s="8"/>
      <c r="AI25" s="8"/>
    </row>
    <row r="26" spans="1:35" ht="27.75" hidden="1" customHeight="1">
      <c r="A26" s="1649"/>
      <c r="B26" s="166" t="str">
        <f t="shared" ref="B26:B30" si="1">B7</f>
        <v>4C.2</v>
      </c>
      <c r="C26" s="3198" t="s">
        <v>12919</v>
      </c>
      <c r="D26" s="3198"/>
      <c r="E26" s="3198"/>
      <c r="F26" s="3198"/>
      <c r="G26" s="3225"/>
      <c r="H26" s="3225"/>
      <c r="I26" s="3199"/>
      <c r="J26" s="131"/>
      <c r="K26" s="131"/>
      <c r="L26" s="131"/>
      <c r="M26" s="124"/>
      <c r="N26" s="783" t="s">
        <v>2428</v>
      </c>
      <c r="O26" s="210"/>
      <c r="P26" s="210"/>
      <c r="Q26" s="124"/>
      <c r="AC26" s="8"/>
      <c r="AD26" s="8"/>
      <c r="AE26" s="8"/>
      <c r="AF26" s="8"/>
      <c r="AG26" s="8"/>
      <c r="AH26" s="8"/>
      <c r="AI26" s="8"/>
    </row>
    <row r="27" spans="1:35" s="786" customFormat="1" ht="114" hidden="1" customHeight="1">
      <c r="A27" s="1697"/>
      <c r="B27" s="581" t="str">
        <f t="shared" si="1"/>
        <v>4C.3</v>
      </c>
      <c r="C27" s="3198" t="s">
        <v>13513</v>
      </c>
      <c r="D27" s="3198"/>
      <c r="E27" s="3198"/>
      <c r="F27" s="3198"/>
      <c r="G27" s="3225"/>
      <c r="H27" s="3225"/>
      <c r="I27" s="3199"/>
      <c r="J27" s="784"/>
      <c r="K27" s="784"/>
      <c r="L27" s="784"/>
      <c r="M27" s="785"/>
      <c r="N27" s="783" t="s">
        <v>2428</v>
      </c>
      <c r="O27" s="783"/>
      <c r="P27" s="783"/>
      <c r="Q27" s="785"/>
    </row>
    <row r="28" spans="1:35" ht="14.25" hidden="1" customHeight="1">
      <c r="A28" s="1649"/>
      <c r="B28" s="166" t="str">
        <f t="shared" si="1"/>
        <v>4C.4</v>
      </c>
      <c r="C28" s="3198" t="s">
        <v>12920</v>
      </c>
      <c r="D28" s="3198"/>
      <c r="E28" s="3198"/>
      <c r="F28" s="3198"/>
      <c r="G28" s="3225"/>
      <c r="H28" s="3225"/>
      <c r="I28" s="3199"/>
      <c r="J28" s="131"/>
      <c r="K28" s="131"/>
      <c r="L28" s="131"/>
      <c r="M28" s="124"/>
      <c r="N28" s="210">
        <v>1</v>
      </c>
      <c r="O28" s="210"/>
      <c r="P28" s="210"/>
      <c r="Q28" s="124"/>
      <c r="AC28" s="8"/>
      <c r="AD28" s="8"/>
      <c r="AE28" s="8"/>
      <c r="AF28" s="8"/>
      <c r="AG28" s="8"/>
      <c r="AH28" s="8"/>
      <c r="AI28" s="8"/>
    </row>
    <row r="29" spans="1:35" ht="13.5" hidden="1" customHeight="1">
      <c r="A29" s="1649"/>
      <c r="B29" s="166" t="str">
        <f t="shared" si="1"/>
        <v>4C.5</v>
      </c>
      <c r="C29" s="3198" t="s">
        <v>2744</v>
      </c>
      <c r="D29" s="3198"/>
      <c r="E29" s="3198"/>
      <c r="F29" s="3198"/>
      <c r="G29" s="3225"/>
      <c r="H29" s="3225"/>
      <c r="I29" s="3199"/>
      <c r="J29" s="131"/>
      <c r="K29" s="131"/>
      <c r="L29" s="131"/>
      <c r="M29" s="124"/>
      <c r="N29" s="210">
        <v>1</v>
      </c>
      <c r="O29" s="210"/>
      <c r="P29" s="264"/>
      <c r="Q29" s="124"/>
      <c r="AC29" s="8"/>
      <c r="AD29" s="8"/>
      <c r="AE29" s="8"/>
      <c r="AF29" s="8"/>
      <c r="AG29" s="8"/>
      <c r="AH29" s="8"/>
      <c r="AI29" s="8"/>
    </row>
    <row r="30" spans="1:35" ht="15" hidden="1" thickBot="1">
      <c r="A30" s="1649"/>
      <c r="B30" s="190" t="str">
        <f t="shared" si="1"/>
        <v>4C.6</v>
      </c>
      <c r="C30" s="3218" t="s">
        <v>12921</v>
      </c>
      <c r="D30" s="3218"/>
      <c r="E30" s="3218"/>
      <c r="F30" s="3218"/>
      <c r="G30" s="3228"/>
      <c r="H30" s="3228"/>
      <c r="I30" s="3219"/>
      <c r="J30" s="131"/>
      <c r="K30" s="131"/>
      <c r="L30" s="131"/>
      <c r="M30" s="124"/>
      <c r="N30" s="210">
        <v>1</v>
      </c>
      <c r="O30" s="210"/>
      <c r="P30" s="264"/>
      <c r="Q30" s="124"/>
      <c r="AC30" s="8"/>
      <c r="AD30" s="8"/>
      <c r="AE30" s="8"/>
      <c r="AF30" s="8"/>
      <c r="AG30" s="8"/>
      <c r="AH30" s="8"/>
      <c r="AI30" s="8"/>
    </row>
    <row r="31" spans="1:35" hidden="1">
      <c r="A31" s="1649"/>
      <c r="J31" s="131"/>
      <c r="K31" s="131"/>
      <c r="L31" s="131"/>
      <c r="M31" s="124"/>
      <c r="N31" s="264"/>
      <c r="O31" s="264"/>
      <c r="P31" s="264"/>
      <c r="Q31" s="124"/>
      <c r="AC31" s="8"/>
      <c r="AD31" s="8"/>
      <c r="AE31" s="8"/>
      <c r="AF31" s="8"/>
      <c r="AG31" s="8"/>
      <c r="AH31" s="8"/>
      <c r="AI31" s="8"/>
    </row>
    <row r="32" spans="1:35" hidden="1">
      <c r="J32" s="131"/>
      <c r="K32" s="131"/>
      <c r="L32" s="131"/>
      <c r="M32" s="124"/>
      <c r="N32" s="211"/>
      <c r="O32" s="211"/>
      <c r="P32" s="211"/>
      <c r="Q32" s="124"/>
    </row>
  </sheetData>
  <mergeCells count="21">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 ref="AC3:AD4"/>
    <mergeCell ref="AF3:AF4"/>
    <mergeCell ref="AG3:AG4"/>
    <mergeCell ref="AH3:AH4"/>
    <mergeCell ref="AI3:AI4"/>
  </mergeCells>
  <conditionalFormatting sqref="K6:K10">
    <cfRule type="cellIs" dxfId="202" priority="9" operator="equal">
      <formula>0</formula>
    </cfRule>
  </conditionalFormatting>
  <conditionalFormatting sqref="I6:I11">
    <cfRule type="expression" dxfId="201"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4.xml><?xml version="1.0" encoding="utf-8"?>
<worksheet xmlns="http://schemas.openxmlformats.org/spreadsheetml/2006/main" xmlns:r="http://schemas.openxmlformats.org/officeDocument/2006/relationships">
  <sheetPr codeName="Sheet30">
    <pageSetUpPr fitToPage="1"/>
  </sheetPr>
  <dimension ref="A1:BM92"/>
  <sheetViews>
    <sheetView workbookViewId="0">
      <selection sqref="A1:C1"/>
    </sheetView>
  </sheetViews>
  <sheetFormatPr defaultColWidth="0" defaultRowHeight="14.25" zeroHeight="1"/>
  <cols>
    <col min="1" max="1" width="0.625" style="8" customWidth="1"/>
    <col min="2" max="2" width="6" style="8" customWidth="1"/>
    <col min="3" max="3" width="59.5" style="8" bestFit="1" customWidth="1"/>
    <col min="4" max="4" width="1.125" style="496" hidden="1" customWidth="1"/>
    <col min="5" max="6" width="5.125" style="8" customWidth="1"/>
    <col min="7" max="12" width="12.125" style="8" customWidth="1"/>
    <col min="13" max="13" width="12.5" style="8" customWidth="1"/>
    <col min="14" max="14" width="1.75" style="71" customWidth="1"/>
    <col min="15" max="15" width="28" style="71" customWidth="1"/>
    <col min="16" max="16" width="24.625" style="71" customWidth="1"/>
    <col min="17" max="17" width="1.625" style="71" customWidth="1"/>
    <col min="18" max="18" width="1.625" style="72" hidden="1" customWidth="1"/>
    <col min="19" max="24" width="4.625" style="71" hidden="1" customWidth="1"/>
    <col min="25" max="25" width="1.625" style="72" hidden="1" customWidth="1"/>
    <col min="26" max="26" width="10.125" style="8" hidden="1" customWidth="1"/>
    <col min="27" max="27" width="1.625" style="72" hidden="1" customWidth="1"/>
    <col min="28" max="29" width="7.5" style="8" hidden="1" customWidth="1"/>
    <col min="30" max="30" width="64.125" style="8" hidden="1" customWidth="1"/>
    <col min="31" max="31" width="1.625" style="72" hidden="1" customWidth="1"/>
    <col min="32" max="51" width="0" style="8" hidden="1" customWidth="1"/>
    <col min="52" max="52" width="8.625" style="8" customWidth="1"/>
    <col min="53" max="53" width="6" style="496" customWidth="1"/>
    <col min="54" max="54" width="59.5" style="496" bestFit="1" customWidth="1"/>
    <col min="55" max="55" width="1.125" style="496" hidden="1" customWidth="1"/>
    <col min="56" max="57" width="5.125" style="496" customWidth="1"/>
    <col min="58" max="63" width="12.125" style="496" customWidth="1"/>
    <col min="64" max="64" width="12.5" style="496" customWidth="1"/>
    <col min="65" max="65" width="1.875" style="8" customWidth="1"/>
    <col min="66" max="16384" width="8.625" style="8" hidden="1"/>
  </cols>
  <sheetData>
    <row r="1" spans="2:64" ht="18.75">
      <c r="B1" s="67" t="s">
        <v>2745</v>
      </c>
      <c r="C1" s="67"/>
      <c r="D1" s="67"/>
      <c r="E1" s="67"/>
      <c r="F1" s="67"/>
      <c r="G1" s="67"/>
      <c r="H1" s="67"/>
      <c r="I1" s="67"/>
      <c r="J1" s="67"/>
      <c r="K1" s="67"/>
      <c r="L1" s="67"/>
      <c r="M1" s="69" t="str">
        <f>Validation!B3</f>
        <v>South West Water – South West area</v>
      </c>
      <c r="N1" s="67"/>
      <c r="O1" s="67"/>
      <c r="P1" s="70" t="s">
        <v>2394</v>
      </c>
      <c r="BA1" s="67" t="s">
        <v>6671</v>
      </c>
      <c r="BB1" s="67"/>
      <c r="BC1" s="67"/>
      <c r="BD1" s="67"/>
      <c r="BE1" s="67"/>
      <c r="BF1" s="67"/>
      <c r="BG1" s="67"/>
      <c r="BH1" s="67"/>
      <c r="BI1" s="67"/>
      <c r="BJ1" s="67"/>
      <c r="BK1" s="67"/>
      <c r="BL1" s="69"/>
    </row>
    <row r="2" spans="2:64" ht="15" thickBot="1">
      <c r="B2" s="74" t="s">
        <v>12524</v>
      </c>
      <c r="C2" s="71"/>
      <c r="D2" s="71"/>
      <c r="E2" s="71"/>
      <c r="F2" s="71"/>
      <c r="G2" s="71"/>
      <c r="H2" s="71"/>
      <c r="I2" s="71"/>
      <c r="J2" s="71"/>
      <c r="K2" s="71"/>
      <c r="L2" s="71"/>
      <c r="M2" s="71"/>
      <c r="BA2" s="74" t="str">
        <f>+B2</f>
        <v>For the 12 months ended 31 March 2019</v>
      </c>
      <c r="BB2" s="71"/>
      <c r="BC2" s="71"/>
      <c r="BD2" s="71"/>
      <c r="BE2" s="71"/>
      <c r="BF2" s="71"/>
      <c r="BG2" s="71"/>
      <c r="BH2" s="71"/>
      <c r="BI2" s="71"/>
      <c r="BJ2" s="71"/>
      <c r="BK2" s="71"/>
      <c r="BL2" s="71"/>
    </row>
    <row r="3" spans="2:64" ht="15" customHeight="1">
      <c r="B3" s="3287" t="s">
        <v>2395</v>
      </c>
      <c r="C3" s="3288"/>
      <c r="D3" s="1456" t="s">
        <v>6495</v>
      </c>
      <c r="E3" s="3291" t="s">
        <v>2396</v>
      </c>
      <c r="F3" s="3293" t="s">
        <v>2397</v>
      </c>
      <c r="G3" s="3404" t="s">
        <v>2746</v>
      </c>
      <c r="H3" s="3405"/>
      <c r="I3" s="3406" t="s">
        <v>3673</v>
      </c>
      <c r="J3" s="3407"/>
      <c r="K3" s="3411"/>
      <c r="L3" s="3412"/>
      <c r="M3" s="3402" t="s">
        <v>2554</v>
      </c>
      <c r="O3" s="3213" t="s">
        <v>2577</v>
      </c>
      <c r="P3" s="3213" t="s">
        <v>1361</v>
      </c>
      <c r="BA3" s="3287" t="s">
        <v>2395</v>
      </c>
      <c r="BB3" s="3288"/>
      <c r="BC3" s="2735" t="s">
        <v>6495</v>
      </c>
      <c r="BD3" s="3291" t="s">
        <v>2396</v>
      </c>
      <c r="BE3" s="3293" t="s">
        <v>2397</v>
      </c>
      <c r="BF3" s="3404" t="s">
        <v>2746</v>
      </c>
      <c r="BG3" s="3405"/>
      <c r="BH3" s="3406" t="s">
        <v>3673</v>
      </c>
      <c r="BI3" s="3407"/>
      <c r="BJ3" s="3408"/>
      <c r="BK3" s="3409"/>
      <c r="BL3" s="3402" t="s">
        <v>2554</v>
      </c>
    </row>
    <row r="4" spans="2:64" ht="26.25" thickBot="1">
      <c r="B4" s="3289"/>
      <c r="C4" s="3290"/>
      <c r="D4" s="1457"/>
      <c r="E4" s="3292"/>
      <c r="F4" s="3294"/>
      <c r="G4" s="219" t="s">
        <v>2749</v>
      </c>
      <c r="H4" s="220" t="s">
        <v>2750</v>
      </c>
      <c r="I4" s="222" t="s">
        <v>2751</v>
      </c>
      <c r="J4" s="220" t="s">
        <v>2752</v>
      </c>
      <c r="K4" s="219" t="s">
        <v>2747</v>
      </c>
      <c r="L4" s="221" t="s">
        <v>2748</v>
      </c>
      <c r="M4" s="3403"/>
      <c r="O4" s="3214"/>
      <c r="P4" s="3214"/>
      <c r="S4" s="3215" t="s">
        <v>2404</v>
      </c>
      <c r="T4" s="3215"/>
      <c r="U4" s="3215"/>
      <c r="V4" s="3215"/>
      <c r="W4" s="3215"/>
      <c r="X4" s="3215"/>
      <c r="Z4" s="1640" t="s">
        <v>2390</v>
      </c>
      <c r="AB4" s="77" t="s">
        <v>2578</v>
      </c>
      <c r="AC4" s="1641"/>
      <c r="AD4" s="1641"/>
      <c r="BA4" s="3289"/>
      <c r="BB4" s="3290"/>
      <c r="BC4" s="2736"/>
      <c r="BD4" s="3292"/>
      <c r="BE4" s="3294"/>
      <c r="BF4" s="219" t="s">
        <v>2749</v>
      </c>
      <c r="BG4" s="220" t="s">
        <v>2750</v>
      </c>
      <c r="BH4" s="222" t="s">
        <v>2751</v>
      </c>
      <c r="BI4" s="220" t="s">
        <v>2752</v>
      </c>
      <c r="BJ4" s="219" t="s">
        <v>2747</v>
      </c>
      <c r="BK4" s="221" t="s">
        <v>2748</v>
      </c>
      <c r="BL4" s="3403"/>
    </row>
    <row r="5" spans="2:64" ht="15" thickBot="1">
      <c r="B5" s="71"/>
      <c r="C5" s="71"/>
      <c r="D5" s="71"/>
      <c r="E5" s="71"/>
      <c r="F5" s="71"/>
      <c r="G5" s="71"/>
      <c r="H5" s="71"/>
      <c r="I5" s="71"/>
      <c r="J5" s="71"/>
      <c r="K5" s="71"/>
      <c r="L5" s="71"/>
      <c r="M5" s="71"/>
      <c r="S5" s="3410"/>
      <c r="T5" s="3410"/>
      <c r="U5" s="3410"/>
      <c r="V5" s="3410"/>
      <c r="W5" s="3410"/>
      <c r="X5" s="3410"/>
      <c r="Z5" s="320"/>
      <c r="AB5" s="320"/>
      <c r="AC5" s="86"/>
      <c r="AD5" s="86"/>
      <c r="BA5" s="71"/>
      <c r="BB5" s="71"/>
      <c r="BC5" s="71"/>
      <c r="BD5" s="71"/>
      <c r="BE5" s="71"/>
      <c r="BF5" s="71"/>
      <c r="BG5" s="71"/>
      <c r="BH5" s="71"/>
      <c r="BI5" s="71"/>
      <c r="BJ5" s="71"/>
      <c r="BK5" s="71"/>
      <c r="BL5" s="71"/>
    </row>
    <row r="6" spans="2:64" ht="15" thickBot="1">
      <c r="B6" s="118" t="s">
        <v>2449</v>
      </c>
      <c r="C6" s="119" t="s">
        <v>2587</v>
      </c>
      <c r="D6" s="1584"/>
      <c r="E6" s="71"/>
      <c r="F6" s="71"/>
      <c r="G6" s="71"/>
      <c r="H6" s="71"/>
      <c r="I6" s="71"/>
      <c r="J6" s="71"/>
      <c r="K6" s="71"/>
      <c r="L6" s="71"/>
      <c r="M6" s="71"/>
      <c r="P6" s="24">
        <f xml:space="preserve"> IF( SUM( R6:Y6 ) = 0, 0, $P$9 )</f>
        <v>0</v>
      </c>
      <c r="S6" s="171" t="s">
        <v>2405</v>
      </c>
      <c r="T6" s="171"/>
      <c r="U6" s="171"/>
      <c r="V6" s="171"/>
      <c r="W6" s="171"/>
      <c r="X6" s="171"/>
      <c r="BA6" s="118" t="s">
        <v>2449</v>
      </c>
      <c r="BB6" s="119" t="s">
        <v>2587</v>
      </c>
      <c r="BC6" s="1584"/>
      <c r="BD6" s="71"/>
      <c r="BE6" s="71"/>
      <c r="BF6" s="71"/>
      <c r="BG6" s="71"/>
      <c r="BH6" s="71"/>
      <c r="BI6" s="71"/>
      <c r="BJ6" s="71"/>
      <c r="BK6" s="71"/>
      <c r="BL6" s="71"/>
    </row>
    <row r="7" spans="2:64">
      <c r="B7" s="91" t="s">
        <v>5199</v>
      </c>
      <c r="C7" s="122" t="s">
        <v>2588</v>
      </c>
      <c r="D7" s="122"/>
      <c r="E7" s="93" t="s">
        <v>750</v>
      </c>
      <c r="F7" s="223">
        <v>3</v>
      </c>
      <c r="G7" s="430"/>
      <c r="H7" s="431"/>
      <c r="I7" s="430"/>
      <c r="J7" s="441"/>
      <c r="K7" s="440"/>
      <c r="L7" s="431"/>
      <c r="M7" s="207">
        <f t="shared" ref="M7:M15" si="0">SUM(G7:L7)</f>
        <v>0</v>
      </c>
      <c r="P7" s="24" t="str">
        <f xml:space="preserve"> IF( SUM( R7:Y7 ) = 0, 0, $S$6 )</f>
        <v>Please complete all cells in row</v>
      </c>
      <c r="S7" s="98">
        <f t="shared" ref="S7:X14" si="1" xml:space="preserve"> IF( ISNUMBER( G7 ), 0, 1 )</f>
        <v>1</v>
      </c>
      <c r="T7" s="98">
        <f t="shared" si="1"/>
        <v>1</v>
      </c>
      <c r="U7" s="98">
        <f t="shared" si="1"/>
        <v>1</v>
      </c>
      <c r="V7" s="98">
        <f t="shared" si="1"/>
        <v>1</v>
      </c>
      <c r="W7" s="98">
        <f t="shared" si="1"/>
        <v>1</v>
      </c>
      <c r="X7" s="98">
        <f t="shared" si="1"/>
        <v>1</v>
      </c>
      <c r="BA7" s="91" t="s">
        <v>5199</v>
      </c>
      <c r="BB7" s="122" t="s">
        <v>2588</v>
      </c>
      <c r="BC7" s="122"/>
      <c r="BD7" s="93" t="s">
        <v>750</v>
      </c>
      <c r="BE7" s="223">
        <v>3</v>
      </c>
      <c r="BF7" s="2747" t="s">
        <v>10256</v>
      </c>
      <c r="BG7" s="2891" t="s">
        <v>10257</v>
      </c>
      <c r="BH7" s="2747" t="s">
        <v>10258</v>
      </c>
      <c r="BI7" s="2748" t="s">
        <v>10259</v>
      </c>
      <c r="BJ7" s="2806" t="s">
        <v>10260</v>
      </c>
      <c r="BK7" s="2891" t="s">
        <v>10261</v>
      </c>
      <c r="BL7" s="207" t="s">
        <v>10262</v>
      </c>
    </row>
    <row r="8" spans="2:64">
      <c r="B8" s="99" t="s">
        <v>5200</v>
      </c>
      <c r="C8" s="92" t="s">
        <v>2589</v>
      </c>
      <c r="D8" s="92"/>
      <c r="E8" s="100" t="s">
        <v>750</v>
      </c>
      <c r="F8" s="225">
        <v>3</v>
      </c>
      <c r="G8" s="428"/>
      <c r="H8" s="432"/>
      <c r="I8" s="428"/>
      <c r="J8" s="429"/>
      <c r="K8" s="442"/>
      <c r="L8" s="432"/>
      <c r="M8" s="249">
        <f t="shared" si="0"/>
        <v>0</v>
      </c>
      <c r="P8" s="24" t="str">
        <f t="shared" ref="P8:P46" si="2" xml:space="preserve"> IF( SUM( R8:Y8 ) = 0, 0, $S$6 )</f>
        <v>Please complete all cells in row</v>
      </c>
      <c r="S8" s="98">
        <f t="shared" si="1"/>
        <v>1</v>
      </c>
      <c r="T8" s="98">
        <f t="shared" si="1"/>
        <v>1</v>
      </c>
      <c r="U8" s="98">
        <f t="shared" si="1"/>
        <v>1</v>
      </c>
      <c r="V8" s="98">
        <f t="shared" si="1"/>
        <v>1</v>
      </c>
      <c r="W8" s="98">
        <f t="shared" si="1"/>
        <v>1</v>
      </c>
      <c r="X8" s="98">
        <f t="shared" si="1"/>
        <v>1</v>
      </c>
      <c r="BA8" s="99" t="s">
        <v>5200</v>
      </c>
      <c r="BB8" s="92" t="s">
        <v>2589</v>
      </c>
      <c r="BC8" s="92"/>
      <c r="BD8" s="100" t="s">
        <v>750</v>
      </c>
      <c r="BE8" s="225">
        <v>3</v>
      </c>
      <c r="BF8" s="2750" t="s">
        <v>10263</v>
      </c>
      <c r="BG8" s="2892" t="s">
        <v>10264</v>
      </c>
      <c r="BH8" s="2750" t="s">
        <v>10265</v>
      </c>
      <c r="BI8" s="2751" t="s">
        <v>10266</v>
      </c>
      <c r="BJ8" s="2763" t="s">
        <v>10267</v>
      </c>
      <c r="BK8" s="2892" t="s">
        <v>10268</v>
      </c>
      <c r="BL8" s="249" t="s">
        <v>10269</v>
      </c>
    </row>
    <row r="9" spans="2:64">
      <c r="B9" s="99" t="s">
        <v>5201</v>
      </c>
      <c r="C9" s="92" t="s">
        <v>3790</v>
      </c>
      <c r="D9" s="92"/>
      <c r="E9" s="100" t="s">
        <v>750</v>
      </c>
      <c r="F9" s="225">
        <v>3</v>
      </c>
      <c r="G9" s="428"/>
      <c r="H9" s="432"/>
      <c r="I9" s="428"/>
      <c r="J9" s="429"/>
      <c r="K9" s="442"/>
      <c r="L9" s="432"/>
      <c r="M9" s="249">
        <f t="shared" si="0"/>
        <v>0</v>
      </c>
      <c r="P9" s="24" t="str">
        <f t="shared" si="2"/>
        <v>Please complete all cells in row</v>
      </c>
      <c r="S9" s="98">
        <f t="shared" si="1"/>
        <v>1</v>
      </c>
      <c r="T9" s="98">
        <f t="shared" si="1"/>
        <v>1</v>
      </c>
      <c r="U9" s="98">
        <f t="shared" si="1"/>
        <v>1</v>
      </c>
      <c r="V9" s="98">
        <f t="shared" si="1"/>
        <v>1</v>
      </c>
      <c r="W9" s="98">
        <f t="shared" si="1"/>
        <v>1</v>
      </c>
      <c r="X9" s="98">
        <f t="shared" si="1"/>
        <v>1</v>
      </c>
      <c r="BA9" s="99" t="s">
        <v>5201</v>
      </c>
      <c r="BB9" s="92" t="s">
        <v>3790</v>
      </c>
      <c r="BC9" s="92"/>
      <c r="BD9" s="100" t="s">
        <v>750</v>
      </c>
      <c r="BE9" s="225">
        <v>3</v>
      </c>
      <c r="BF9" s="2750" t="s">
        <v>10270</v>
      </c>
      <c r="BG9" s="2892" t="s">
        <v>10271</v>
      </c>
      <c r="BH9" s="2750" t="s">
        <v>10272</v>
      </c>
      <c r="BI9" s="2751" t="s">
        <v>10273</v>
      </c>
      <c r="BJ9" s="2763" t="s">
        <v>10274</v>
      </c>
      <c r="BK9" s="2892" t="s">
        <v>10275</v>
      </c>
      <c r="BL9" s="249" t="s">
        <v>10276</v>
      </c>
    </row>
    <row r="10" spans="2:64">
      <c r="B10" s="99" t="s">
        <v>5204</v>
      </c>
      <c r="C10" s="92" t="s">
        <v>3663</v>
      </c>
      <c r="D10" s="92"/>
      <c r="E10" s="100" t="s">
        <v>750</v>
      </c>
      <c r="F10" s="225">
        <v>3</v>
      </c>
      <c r="G10" s="428"/>
      <c r="H10" s="432"/>
      <c r="I10" s="428"/>
      <c r="J10" s="429"/>
      <c r="K10" s="442"/>
      <c r="L10" s="432"/>
      <c r="M10" s="249">
        <f t="shared" si="0"/>
        <v>0</v>
      </c>
      <c r="P10" s="24" t="str">
        <f t="shared" si="2"/>
        <v>Please complete all cells in row</v>
      </c>
      <c r="S10" s="98">
        <f t="shared" si="1"/>
        <v>1</v>
      </c>
      <c r="T10" s="98">
        <f t="shared" si="1"/>
        <v>1</v>
      </c>
      <c r="U10" s="98">
        <f t="shared" si="1"/>
        <v>1</v>
      </c>
      <c r="V10" s="98">
        <f t="shared" si="1"/>
        <v>1</v>
      </c>
      <c r="W10" s="98">
        <f t="shared" si="1"/>
        <v>1</v>
      </c>
      <c r="X10" s="98">
        <f t="shared" si="1"/>
        <v>1</v>
      </c>
      <c r="BA10" s="99" t="s">
        <v>5204</v>
      </c>
      <c r="BB10" s="92" t="s">
        <v>3663</v>
      </c>
      <c r="BC10" s="92"/>
      <c r="BD10" s="100" t="s">
        <v>750</v>
      </c>
      <c r="BE10" s="225">
        <v>3</v>
      </c>
      <c r="BF10" s="2750" t="s">
        <v>10277</v>
      </c>
      <c r="BG10" s="2892" t="s">
        <v>10278</v>
      </c>
      <c r="BH10" s="2750" t="s">
        <v>10279</v>
      </c>
      <c r="BI10" s="2751" t="s">
        <v>10280</v>
      </c>
      <c r="BJ10" s="2763" t="s">
        <v>10281</v>
      </c>
      <c r="BK10" s="2892" t="s">
        <v>10282</v>
      </c>
      <c r="BL10" s="249" t="s">
        <v>10283</v>
      </c>
    </row>
    <row r="11" spans="2:64">
      <c r="B11" s="99" t="s">
        <v>5202</v>
      </c>
      <c r="C11" s="285" t="s">
        <v>3791</v>
      </c>
      <c r="D11" s="285"/>
      <c r="E11" s="312" t="s">
        <v>750</v>
      </c>
      <c r="F11" s="287">
        <v>3</v>
      </c>
      <c r="G11" s="428"/>
      <c r="H11" s="432"/>
      <c r="I11" s="428"/>
      <c r="J11" s="429"/>
      <c r="K11" s="442"/>
      <c r="L11" s="432"/>
      <c r="M11" s="249">
        <f t="shared" si="0"/>
        <v>0</v>
      </c>
      <c r="P11" s="24" t="str">
        <f t="shared" si="2"/>
        <v>Please complete all cells in row</v>
      </c>
      <c r="S11" s="98">
        <f t="shared" si="1"/>
        <v>1</v>
      </c>
      <c r="T11" s="98">
        <f t="shared" si="1"/>
        <v>1</v>
      </c>
      <c r="U11" s="98">
        <f t="shared" si="1"/>
        <v>1</v>
      </c>
      <c r="V11" s="98">
        <f t="shared" si="1"/>
        <v>1</v>
      </c>
      <c r="W11" s="98">
        <f t="shared" si="1"/>
        <v>1</v>
      </c>
      <c r="X11" s="98">
        <f t="shared" si="1"/>
        <v>1</v>
      </c>
      <c r="BA11" s="99" t="s">
        <v>5202</v>
      </c>
      <c r="BB11" s="285" t="s">
        <v>3791</v>
      </c>
      <c r="BC11" s="285"/>
      <c r="BD11" s="312" t="s">
        <v>750</v>
      </c>
      <c r="BE11" s="287">
        <v>3</v>
      </c>
      <c r="BF11" s="2558" t="s">
        <v>10420</v>
      </c>
      <c r="BG11" s="2893" t="s">
        <v>10421</v>
      </c>
      <c r="BH11" s="2558" t="s">
        <v>10422</v>
      </c>
      <c r="BI11" s="2760" t="s">
        <v>10423</v>
      </c>
      <c r="BJ11" s="2818" t="s">
        <v>10424</v>
      </c>
      <c r="BK11" s="2893" t="s">
        <v>10425</v>
      </c>
      <c r="BL11" s="2265" t="s">
        <v>10426</v>
      </c>
    </row>
    <row r="12" spans="2:64" s="496" customFormat="1">
      <c r="B12" s="99" t="s">
        <v>5205</v>
      </c>
      <c r="C12" s="285" t="s">
        <v>3792</v>
      </c>
      <c r="D12" s="285"/>
      <c r="E12" s="312" t="s">
        <v>750</v>
      </c>
      <c r="F12" s="287">
        <v>3</v>
      </c>
      <c r="G12" s="428"/>
      <c r="H12" s="432"/>
      <c r="I12" s="428"/>
      <c r="J12" s="429"/>
      <c r="K12" s="442"/>
      <c r="L12" s="432"/>
      <c r="M12" s="249">
        <f t="shared" si="0"/>
        <v>0</v>
      </c>
      <c r="N12" s="71"/>
      <c r="O12" s="71"/>
      <c r="P12" s="24" t="str">
        <f t="shared" ref="P12:P13" si="3" xml:space="preserve"> IF( SUM( R12:Y12 ) = 0, 0, $S$6 )</f>
        <v>Please complete all cells in row</v>
      </c>
      <c r="Q12" s="71"/>
      <c r="R12" s="72"/>
      <c r="S12" s="98">
        <f t="shared" si="1"/>
        <v>1</v>
      </c>
      <c r="T12" s="98">
        <f t="shared" si="1"/>
        <v>1</v>
      </c>
      <c r="U12" s="98">
        <f t="shared" si="1"/>
        <v>1</v>
      </c>
      <c r="V12" s="98">
        <f t="shared" si="1"/>
        <v>1</v>
      </c>
      <c r="W12" s="98">
        <f t="shared" si="1"/>
        <v>1</v>
      </c>
      <c r="X12" s="98">
        <f t="shared" si="1"/>
        <v>1</v>
      </c>
      <c r="Y12" s="72"/>
      <c r="AA12" s="72"/>
      <c r="AE12" s="72"/>
      <c r="BA12" s="99" t="s">
        <v>5205</v>
      </c>
      <c r="BB12" s="285" t="s">
        <v>3792</v>
      </c>
      <c r="BC12" s="285"/>
      <c r="BD12" s="312" t="s">
        <v>750</v>
      </c>
      <c r="BE12" s="287">
        <v>3</v>
      </c>
      <c r="BF12" s="2558" t="s">
        <v>10427</v>
      </c>
      <c r="BG12" s="2893" t="s">
        <v>10428</v>
      </c>
      <c r="BH12" s="2558" t="s">
        <v>10429</v>
      </c>
      <c r="BI12" s="2760" t="s">
        <v>10430</v>
      </c>
      <c r="BJ12" s="2818" t="s">
        <v>10431</v>
      </c>
      <c r="BK12" s="2893" t="s">
        <v>10432</v>
      </c>
      <c r="BL12" s="2265" t="s">
        <v>10433</v>
      </c>
    </row>
    <row r="13" spans="2:64" s="496" customFormat="1">
      <c r="B13" s="99" t="s">
        <v>5203</v>
      </c>
      <c r="C13" s="285" t="s">
        <v>3793</v>
      </c>
      <c r="D13" s="285"/>
      <c r="E13" s="312" t="s">
        <v>750</v>
      </c>
      <c r="F13" s="287">
        <v>3</v>
      </c>
      <c r="G13" s="428"/>
      <c r="H13" s="432"/>
      <c r="I13" s="428"/>
      <c r="J13" s="429"/>
      <c r="K13" s="442"/>
      <c r="L13" s="432"/>
      <c r="M13" s="249">
        <f t="shared" si="0"/>
        <v>0</v>
      </c>
      <c r="N13" s="71"/>
      <c r="O13" s="71"/>
      <c r="P13" s="24" t="str">
        <f t="shared" si="3"/>
        <v>Please complete all cells in row</v>
      </c>
      <c r="Q13" s="71"/>
      <c r="R13" s="72"/>
      <c r="S13" s="98">
        <f t="shared" si="1"/>
        <v>1</v>
      </c>
      <c r="T13" s="98">
        <f t="shared" si="1"/>
        <v>1</v>
      </c>
      <c r="U13" s="98">
        <f t="shared" si="1"/>
        <v>1</v>
      </c>
      <c r="V13" s="98">
        <f t="shared" si="1"/>
        <v>1</v>
      </c>
      <c r="W13" s="98">
        <f t="shared" si="1"/>
        <v>1</v>
      </c>
      <c r="X13" s="98">
        <f t="shared" si="1"/>
        <v>1</v>
      </c>
      <c r="Y13" s="72"/>
      <c r="AA13" s="72"/>
      <c r="AE13" s="72"/>
      <c r="BA13" s="99" t="s">
        <v>5203</v>
      </c>
      <c r="BB13" s="285" t="s">
        <v>3793</v>
      </c>
      <c r="BC13" s="285"/>
      <c r="BD13" s="312" t="s">
        <v>750</v>
      </c>
      <c r="BE13" s="287">
        <v>3</v>
      </c>
      <c r="BF13" s="2558" t="s">
        <v>10434</v>
      </c>
      <c r="BG13" s="2893" t="s">
        <v>10435</v>
      </c>
      <c r="BH13" s="2558" t="s">
        <v>10436</v>
      </c>
      <c r="BI13" s="2760" t="s">
        <v>10437</v>
      </c>
      <c r="BJ13" s="2818" t="s">
        <v>10438</v>
      </c>
      <c r="BK13" s="2893" t="s">
        <v>10439</v>
      </c>
      <c r="BL13" s="2265" t="s">
        <v>10440</v>
      </c>
    </row>
    <row r="14" spans="2:64">
      <c r="B14" s="99" t="s">
        <v>5207</v>
      </c>
      <c r="C14" s="92" t="s">
        <v>3611</v>
      </c>
      <c r="D14" s="92"/>
      <c r="E14" s="100" t="s">
        <v>750</v>
      </c>
      <c r="F14" s="225">
        <v>3</v>
      </c>
      <c r="G14" s="428"/>
      <c r="H14" s="432"/>
      <c r="I14" s="428"/>
      <c r="J14" s="429"/>
      <c r="K14" s="442"/>
      <c r="L14" s="432"/>
      <c r="M14" s="249">
        <f t="shared" si="0"/>
        <v>0</v>
      </c>
      <c r="P14" s="24" t="str">
        <f t="shared" si="2"/>
        <v>Please complete all cells in row</v>
      </c>
      <c r="S14" s="98">
        <f t="shared" si="1"/>
        <v>1</v>
      </c>
      <c r="T14" s="98">
        <f t="shared" si="1"/>
        <v>1</v>
      </c>
      <c r="U14" s="98">
        <f t="shared" si="1"/>
        <v>1</v>
      </c>
      <c r="V14" s="98">
        <f t="shared" si="1"/>
        <v>1</v>
      </c>
      <c r="W14" s="98">
        <f t="shared" si="1"/>
        <v>1</v>
      </c>
      <c r="X14" s="98">
        <f t="shared" si="1"/>
        <v>1</v>
      </c>
      <c r="BA14" s="99" t="s">
        <v>5207</v>
      </c>
      <c r="BB14" s="92" t="s">
        <v>3611</v>
      </c>
      <c r="BC14" s="92"/>
      <c r="BD14" s="100" t="s">
        <v>750</v>
      </c>
      <c r="BE14" s="225">
        <v>3</v>
      </c>
      <c r="BF14" s="2558" t="s">
        <v>10284</v>
      </c>
      <c r="BG14" s="2893" t="s">
        <v>10285</v>
      </c>
      <c r="BH14" s="2558" t="s">
        <v>10286</v>
      </c>
      <c r="BI14" s="2760" t="s">
        <v>10287</v>
      </c>
      <c r="BJ14" s="2818" t="s">
        <v>10288</v>
      </c>
      <c r="BK14" s="2893" t="s">
        <v>10289</v>
      </c>
      <c r="BL14" s="2265" t="s">
        <v>10290</v>
      </c>
    </row>
    <row r="15" spans="2:64" ht="15" thickBot="1">
      <c r="B15" s="106" t="s">
        <v>5206</v>
      </c>
      <c r="C15" s="107" t="s">
        <v>2592</v>
      </c>
      <c r="D15" s="107"/>
      <c r="E15" s="108" t="s">
        <v>750</v>
      </c>
      <c r="F15" s="233">
        <v>3</v>
      </c>
      <c r="G15" s="201">
        <f t="shared" ref="G15:L15" si="4">SUM(G7:G14)</f>
        <v>0</v>
      </c>
      <c r="H15" s="203">
        <f t="shared" si="4"/>
        <v>0</v>
      </c>
      <c r="I15" s="201">
        <f t="shared" si="4"/>
        <v>0</v>
      </c>
      <c r="J15" s="202">
        <f t="shared" si="4"/>
        <v>0</v>
      </c>
      <c r="K15" s="250">
        <f t="shared" si="4"/>
        <v>0</v>
      </c>
      <c r="L15" s="203">
        <f t="shared" si="4"/>
        <v>0</v>
      </c>
      <c r="M15" s="208">
        <f t="shared" si="0"/>
        <v>0</v>
      </c>
      <c r="P15" s="496"/>
      <c r="BA15" s="106" t="s">
        <v>5206</v>
      </c>
      <c r="BB15" s="107" t="s">
        <v>2592</v>
      </c>
      <c r="BC15" s="107"/>
      <c r="BD15" s="108" t="s">
        <v>750</v>
      </c>
      <c r="BE15" s="233">
        <v>3</v>
      </c>
      <c r="BF15" s="2266" t="s">
        <v>10291</v>
      </c>
      <c r="BG15" s="2152" t="s">
        <v>10292</v>
      </c>
      <c r="BH15" s="2266" t="s">
        <v>10293</v>
      </c>
      <c r="BI15" s="2154" t="s">
        <v>10294</v>
      </c>
      <c r="BJ15" s="2268" t="s">
        <v>10295</v>
      </c>
      <c r="BK15" s="2152" t="s">
        <v>10296</v>
      </c>
      <c r="BL15" s="2156" t="s">
        <v>10297</v>
      </c>
    </row>
    <row r="16" spans="2:64" ht="15" thickBot="1">
      <c r="P16" s="496"/>
      <c r="BF16" s="2274"/>
      <c r="BG16" s="2274"/>
      <c r="BH16" s="2274"/>
      <c r="BI16" s="2274"/>
      <c r="BJ16" s="2274"/>
      <c r="BK16" s="2274"/>
      <c r="BL16" s="2274"/>
    </row>
    <row r="17" spans="2:64">
      <c r="B17" s="91" t="s">
        <v>5208</v>
      </c>
      <c r="C17" s="122" t="s">
        <v>2593</v>
      </c>
      <c r="D17" s="122"/>
      <c r="E17" s="93" t="s">
        <v>750</v>
      </c>
      <c r="F17" s="94">
        <v>3</v>
      </c>
      <c r="G17" s="430"/>
      <c r="H17" s="431"/>
      <c r="I17" s="430"/>
      <c r="J17" s="441"/>
      <c r="K17" s="440"/>
      <c r="L17" s="431"/>
      <c r="M17" s="207">
        <f>SUM(G17:L17)</f>
        <v>0</v>
      </c>
      <c r="P17" s="24" t="str">
        <f t="shared" si="2"/>
        <v>Please complete all cells in row</v>
      </c>
      <c r="S17" s="98">
        <f t="shared" ref="S17:X17" si="5" xml:space="preserve"> IF( ISNUMBER( G17 ), 0, 1 )</f>
        <v>1</v>
      </c>
      <c r="T17" s="98">
        <f t="shared" si="5"/>
        <v>1</v>
      </c>
      <c r="U17" s="98">
        <f t="shared" si="5"/>
        <v>1</v>
      </c>
      <c r="V17" s="98">
        <f t="shared" si="5"/>
        <v>1</v>
      </c>
      <c r="W17" s="98">
        <f t="shared" si="5"/>
        <v>1</v>
      </c>
      <c r="X17" s="98">
        <f t="shared" si="5"/>
        <v>1</v>
      </c>
      <c r="BA17" s="91" t="s">
        <v>5208</v>
      </c>
      <c r="BB17" s="122" t="s">
        <v>2593</v>
      </c>
      <c r="BC17" s="122"/>
      <c r="BD17" s="93" t="s">
        <v>750</v>
      </c>
      <c r="BE17" s="94">
        <v>3</v>
      </c>
      <c r="BF17" s="2556" t="s">
        <v>10298</v>
      </c>
      <c r="BG17" s="2894" t="s">
        <v>10299</v>
      </c>
      <c r="BH17" s="2556" t="s">
        <v>10300</v>
      </c>
      <c r="BI17" s="2758" t="s">
        <v>10301</v>
      </c>
      <c r="BJ17" s="2815" t="s">
        <v>10302</v>
      </c>
      <c r="BK17" s="2894" t="s">
        <v>10303</v>
      </c>
      <c r="BL17" s="2271" t="s">
        <v>10304</v>
      </c>
    </row>
    <row r="18" spans="2:64" ht="15" thickBot="1">
      <c r="B18" s="106" t="s">
        <v>5217</v>
      </c>
      <c r="C18" s="107" t="s">
        <v>2594</v>
      </c>
      <c r="D18" s="107"/>
      <c r="E18" s="108" t="s">
        <v>750</v>
      </c>
      <c r="F18" s="105">
        <v>3</v>
      </c>
      <c r="G18" s="201">
        <f t="shared" ref="G18:L18" si="6">G15 + G17</f>
        <v>0</v>
      </c>
      <c r="H18" s="203">
        <f t="shared" si="6"/>
        <v>0</v>
      </c>
      <c r="I18" s="201">
        <f t="shared" si="6"/>
        <v>0</v>
      </c>
      <c r="J18" s="202">
        <f t="shared" si="6"/>
        <v>0</v>
      </c>
      <c r="K18" s="250">
        <f t="shared" si="6"/>
        <v>0</v>
      </c>
      <c r="L18" s="203">
        <f t="shared" si="6"/>
        <v>0</v>
      </c>
      <c r="M18" s="208">
        <f>SUM(G18:L18)</f>
        <v>0</v>
      </c>
      <c r="P18" s="496"/>
      <c r="BA18" s="106" t="s">
        <v>5217</v>
      </c>
      <c r="BB18" s="107" t="s">
        <v>2594</v>
      </c>
      <c r="BC18" s="107"/>
      <c r="BD18" s="108" t="s">
        <v>750</v>
      </c>
      <c r="BE18" s="105">
        <v>3</v>
      </c>
      <c r="BF18" s="2266" t="s">
        <v>10305</v>
      </c>
      <c r="BG18" s="2152" t="s">
        <v>10306</v>
      </c>
      <c r="BH18" s="2266" t="s">
        <v>10307</v>
      </c>
      <c r="BI18" s="2154" t="s">
        <v>10308</v>
      </c>
      <c r="BJ18" s="2268" t="s">
        <v>10309</v>
      </c>
      <c r="BK18" s="2152" t="s">
        <v>10310</v>
      </c>
      <c r="BL18" s="2156" t="s">
        <v>10311</v>
      </c>
    </row>
    <row r="19" spans="2:64" ht="15" thickBot="1">
      <c r="P19" s="496"/>
      <c r="BF19" s="2274"/>
      <c r="BG19" s="2274"/>
      <c r="BH19" s="2274"/>
      <c r="BI19" s="2274"/>
      <c r="BJ19" s="2274"/>
      <c r="BK19" s="2274"/>
      <c r="BL19" s="2274"/>
    </row>
    <row r="20" spans="2:64" ht="15" thickBot="1">
      <c r="B20" s="118" t="s">
        <v>2458</v>
      </c>
      <c r="C20" s="119" t="s">
        <v>2595</v>
      </c>
      <c r="D20" s="1584"/>
      <c r="E20" s="71"/>
      <c r="F20" s="71"/>
      <c r="G20" s="71"/>
      <c r="H20" s="71"/>
      <c r="I20" s="71"/>
      <c r="J20" s="71"/>
      <c r="K20" s="71"/>
      <c r="L20" s="71"/>
      <c r="M20" s="71"/>
      <c r="P20" s="496"/>
      <c r="BA20" s="118" t="s">
        <v>2458</v>
      </c>
      <c r="BB20" s="119" t="s">
        <v>2595</v>
      </c>
      <c r="BC20" s="1584"/>
      <c r="BD20" s="71"/>
      <c r="BE20" s="71"/>
      <c r="BF20" s="2270"/>
      <c r="BG20" s="2270"/>
      <c r="BH20" s="2270"/>
      <c r="BI20" s="2270"/>
      <c r="BJ20" s="2270"/>
      <c r="BK20" s="2270"/>
      <c r="BL20" s="2270"/>
    </row>
    <row r="21" spans="2:64">
      <c r="B21" s="91" t="s">
        <v>5209</v>
      </c>
      <c r="C21" s="122" t="s">
        <v>2596</v>
      </c>
      <c r="D21" s="122"/>
      <c r="E21" s="93" t="s">
        <v>750</v>
      </c>
      <c r="F21" s="223">
        <v>3</v>
      </c>
      <c r="G21" s="430"/>
      <c r="H21" s="431"/>
      <c r="I21" s="430"/>
      <c r="J21" s="441"/>
      <c r="K21" s="440"/>
      <c r="L21" s="431"/>
      <c r="M21" s="256">
        <f t="shared" ref="M21:M33" si="7">SUM(G21:L21)</f>
        <v>0</v>
      </c>
      <c r="P21" s="24" t="str">
        <f t="shared" si="2"/>
        <v>Please complete all cells in row</v>
      </c>
      <c r="S21" s="98">
        <f t="shared" ref="S21:X24" si="8" xml:space="preserve"> IF( ISNUMBER( G21 ), 0, 1 )</f>
        <v>1</v>
      </c>
      <c r="T21" s="98">
        <f t="shared" si="8"/>
        <v>1</v>
      </c>
      <c r="U21" s="98">
        <f t="shared" si="8"/>
        <v>1</v>
      </c>
      <c r="V21" s="98">
        <f t="shared" si="8"/>
        <v>1</v>
      </c>
      <c r="W21" s="98">
        <f t="shared" si="8"/>
        <v>1</v>
      </c>
      <c r="X21" s="98">
        <f t="shared" si="8"/>
        <v>1</v>
      </c>
      <c r="BA21" s="91" t="s">
        <v>5209</v>
      </c>
      <c r="BB21" s="122" t="s">
        <v>2596</v>
      </c>
      <c r="BC21" s="122"/>
      <c r="BD21" s="93" t="s">
        <v>750</v>
      </c>
      <c r="BE21" s="223">
        <v>3</v>
      </c>
      <c r="BF21" s="2556" t="s">
        <v>10312</v>
      </c>
      <c r="BG21" s="2894" t="s">
        <v>10313</v>
      </c>
      <c r="BH21" s="2556" t="s">
        <v>10314</v>
      </c>
      <c r="BI21" s="2758" t="s">
        <v>10315</v>
      </c>
      <c r="BJ21" s="2815" t="s">
        <v>10316</v>
      </c>
      <c r="BK21" s="2894" t="s">
        <v>10317</v>
      </c>
      <c r="BL21" s="2275" t="s">
        <v>10318</v>
      </c>
    </row>
    <row r="22" spans="2:64">
      <c r="B22" s="99" t="s">
        <v>5210</v>
      </c>
      <c r="C22" s="92" t="s">
        <v>2753</v>
      </c>
      <c r="D22" s="92"/>
      <c r="E22" s="100" t="s">
        <v>750</v>
      </c>
      <c r="F22" s="225">
        <v>3</v>
      </c>
      <c r="G22" s="428"/>
      <c r="H22" s="432"/>
      <c r="I22" s="428"/>
      <c r="J22" s="429"/>
      <c r="K22" s="442"/>
      <c r="L22" s="432"/>
      <c r="M22" s="257">
        <f t="shared" si="7"/>
        <v>0</v>
      </c>
      <c r="P22" s="24" t="str">
        <f t="shared" si="2"/>
        <v>Please complete all cells in row</v>
      </c>
      <c r="S22" s="98">
        <f t="shared" si="8"/>
        <v>1</v>
      </c>
      <c r="T22" s="98">
        <f t="shared" si="8"/>
        <v>1</v>
      </c>
      <c r="U22" s="98">
        <f t="shared" si="8"/>
        <v>1</v>
      </c>
      <c r="V22" s="98">
        <f t="shared" si="8"/>
        <v>1</v>
      </c>
      <c r="W22" s="98">
        <f t="shared" si="8"/>
        <v>1</v>
      </c>
      <c r="X22" s="98">
        <f t="shared" si="8"/>
        <v>1</v>
      </c>
      <c r="BA22" s="99" t="s">
        <v>5210</v>
      </c>
      <c r="BB22" s="92" t="s">
        <v>2753</v>
      </c>
      <c r="BC22" s="92"/>
      <c r="BD22" s="100" t="s">
        <v>750</v>
      </c>
      <c r="BE22" s="225">
        <v>3</v>
      </c>
      <c r="BF22" s="2558" t="s">
        <v>10319</v>
      </c>
      <c r="BG22" s="2893" t="s">
        <v>10320</v>
      </c>
      <c r="BH22" s="2558" t="s">
        <v>10321</v>
      </c>
      <c r="BI22" s="2760" t="s">
        <v>10322</v>
      </c>
      <c r="BJ22" s="2818" t="s">
        <v>10323</v>
      </c>
      <c r="BK22" s="2893" t="s">
        <v>10324</v>
      </c>
      <c r="BL22" s="2276" t="s">
        <v>10325</v>
      </c>
    </row>
    <row r="23" spans="2:64">
      <c r="B23" s="99" t="s">
        <v>5211</v>
      </c>
      <c r="C23" s="92" t="s">
        <v>2598</v>
      </c>
      <c r="D23" s="92"/>
      <c r="E23" s="100" t="s">
        <v>750</v>
      </c>
      <c r="F23" s="225">
        <v>3</v>
      </c>
      <c r="G23" s="428"/>
      <c r="H23" s="432"/>
      <c r="I23" s="428"/>
      <c r="J23" s="429"/>
      <c r="K23" s="442"/>
      <c r="L23" s="432"/>
      <c r="M23" s="257">
        <f t="shared" si="7"/>
        <v>0</v>
      </c>
      <c r="P23" s="24" t="str">
        <f t="shared" si="2"/>
        <v>Please complete all cells in row</v>
      </c>
      <c r="S23" s="98">
        <f t="shared" si="8"/>
        <v>1</v>
      </c>
      <c r="T23" s="98">
        <f t="shared" si="8"/>
        <v>1</v>
      </c>
      <c r="U23" s="98">
        <f t="shared" si="8"/>
        <v>1</v>
      </c>
      <c r="V23" s="98">
        <f t="shared" si="8"/>
        <v>1</v>
      </c>
      <c r="W23" s="98">
        <f t="shared" si="8"/>
        <v>1</v>
      </c>
      <c r="X23" s="98">
        <f t="shared" si="8"/>
        <v>1</v>
      </c>
      <c r="BA23" s="99" t="s">
        <v>5211</v>
      </c>
      <c r="BB23" s="92" t="s">
        <v>2598</v>
      </c>
      <c r="BC23" s="92"/>
      <c r="BD23" s="100" t="s">
        <v>750</v>
      </c>
      <c r="BE23" s="225">
        <v>3</v>
      </c>
      <c r="BF23" s="2558" t="s">
        <v>10326</v>
      </c>
      <c r="BG23" s="2893" t="s">
        <v>10327</v>
      </c>
      <c r="BH23" s="2558" t="s">
        <v>10328</v>
      </c>
      <c r="BI23" s="2760" t="s">
        <v>10329</v>
      </c>
      <c r="BJ23" s="2818" t="s">
        <v>10330</v>
      </c>
      <c r="BK23" s="2893" t="s">
        <v>10331</v>
      </c>
      <c r="BL23" s="2276" t="s">
        <v>10332</v>
      </c>
    </row>
    <row r="24" spans="2:64">
      <c r="B24" s="99" t="s">
        <v>5212</v>
      </c>
      <c r="C24" s="92" t="s">
        <v>2599</v>
      </c>
      <c r="D24" s="92"/>
      <c r="E24" s="100" t="s">
        <v>750</v>
      </c>
      <c r="F24" s="225">
        <v>3</v>
      </c>
      <c r="G24" s="428"/>
      <c r="H24" s="432"/>
      <c r="I24" s="428"/>
      <c r="J24" s="429"/>
      <c r="K24" s="442"/>
      <c r="L24" s="432"/>
      <c r="M24" s="257">
        <f t="shared" si="7"/>
        <v>0</v>
      </c>
      <c r="P24" s="24" t="str">
        <f t="shared" si="2"/>
        <v>Please complete all cells in row</v>
      </c>
      <c r="S24" s="98">
        <f t="shared" si="8"/>
        <v>1</v>
      </c>
      <c r="T24" s="98">
        <f t="shared" si="8"/>
        <v>1</v>
      </c>
      <c r="U24" s="98">
        <f t="shared" si="8"/>
        <v>1</v>
      </c>
      <c r="V24" s="98">
        <f t="shared" si="8"/>
        <v>1</v>
      </c>
      <c r="W24" s="98">
        <f t="shared" si="8"/>
        <v>1</v>
      </c>
      <c r="X24" s="98">
        <f t="shared" si="8"/>
        <v>1</v>
      </c>
      <c r="BA24" s="99" t="s">
        <v>5212</v>
      </c>
      <c r="BB24" s="92" t="s">
        <v>2599</v>
      </c>
      <c r="BC24" s="92"/>
      <c r="BD24" s="100" t="s">
        <v>750</v>
      </c>
      <c r="BE24" s="225">
        <v>3</v>
      </c>
      <c r="BF24" s="2558" t="s">
        <v>10333</v>
      </c>
      <c r="BG24" s="2893" t="s">
        <v>10334</v>
      </c>
      <c r="BH24" s="2558" t="s">
        <v>10335</v>
      </c>
      <c r="BI24" s="2760" t="s">
        <v>10336</v>
      </c>
      <c r="BJ24" s="2818" t="s">
        <v>10337</v>
      </c>
      <c r="BK24" s="2893" t="s">
        <v>10338</v>
      </c>
      <c r="BL24" s="2276" t="s">
        <v>10339</v>
      </c>
    </row>
    <row r="25" spans="2:64" s="496" customFormat="1">
      <c r="B25" s="99" t="s">
        <v>5213</v>
      </c>
      <c r="C25" s="400" t="s">
        <v>3794</v>
      </c>
      <c r="D25" s="400"/>
      <c r="E25" s="312" t="s">
        <v>750</v>
      </c>
      <c r="F25" s="287">
        <v>3</v>
      </c>
      <c r="G25" s="428"/>
      <c r="H25" s="432"/>
      <c r="I25" s="428"/>
      <c r="J25" s="429"/>
      <c r="K25" s="442"/>
      <c r="L25" s="432"/>
      <c r="M25" s="257">
        <f t="shared" si="7"/>
        <v>0</v>
      </c>
      <c r="N25" s="71"/>
      <c r="O25" s="71"/>
      <c r="P25" s="24" t="str">
        <f t="shared" si="2"/>
        <v>Please complete all cells in row</v>
      </c>
      <c r="Q25" s="71"/>
      <c r="R25" s="72"/>
      <c r="S25" s="98">
        <f t="shared" ref="S25" si="9" xml:space="preserve"> IF( ISNUMBER( G25 ), 0, 1 )</f>
        <v>1</v>
      </c>
      <c r="T25" s="98">
        <f t="shared" ref="T25" si="10" xml:space="preserve"> IF( ISNUMBER( H25 ), 0, 1 )</f>
        <v>1</v>
      </c>
      <c r="U25" s="98">
        <f t="shared" ref="U25" si="11" xml:space="preserve"> IF( ISNUMBER( I25 ), 0, 1 )</f>
        <v>1</v>
      </c>
      <c r="V25" s="98">
        <f t="shared" ref="V25" si="12" xml:space="preserve"> IF( ISNUMBER( J25 ), 0, 1 )</f>
        <v>1</v>
      </c>
      <c r="W25" s="98">
        <f t="shared" ref="W25" si="13" xml:space="preserve"> IF( ISNUMBER( K25 ), 0, 1 )</f>
        <v>1</v>
      </c>
      <c r="X25" s="98">
        <f t="shared" ref="X25" si="14" xml:space="preserve"> IF( ISNUMBER( L25 ), 0, 1 )</f>
        <v>1</v>
      </c>
      <c r="Y25" s="72"/>
      <c r="AA25" s="72"/>
      <c r="AE25" s="72"/>
      <c r="BA25" s="99" t="s">
        <v>5213</v>
      </c>
      <c r="BB25" s="400" t="s">
        <v>3794</v>
      </c>
      <c r="BC25" s="400"/>
      <c r="BD25" s="312" t="s">
        <v>750</v>
      </c>
      <c r="BE25" s="287">
        <v>3</v>
      </c>
      <c r="BF25" s="2558" t="s">
        <v>11134</v>
      </c>
      <c r="BG25" s="2893" t="s">
        <v>11135</v>
      </c>
      <c r="BH25" s="2558" t="s">
        <v>11136</v>
      </c>
      <c r="BI25" s="2760" t="s">
        <v>11137</v>
      </c>
      <c r="BJ25" s="2818" t="s">
        <v>11138</v>
      </c>
      <c r="BK25" s="2893" t="s">
        <v>11139</v>
      </c>
      <c r="BL25" s="2265" t="s">
        <v>11140</v>
      </c>
    </row>
    <row r="26" spans="2:64">
      <c r="B26" s="99" t="s">
        <v>5214</v>
      </c>
      <c r="C26" s="92" t="s">
        <v>3664</v>
      </c>
      <c r="D26" s="92"/>
      <c r="E26" s="100" t="s">
        <v>750</v>
      </c>
      <c r="F26" s="225">
        <v>3</v>
      </c>
      <c r="G26" s="253">
        <f t="shared" ref="G26:L26" si="15">SUM(G21:G25)</f>
        <v>0</v>
      </c>
      <c r="H26" s="199">
        <f t="shared" si="15"/>
        <v>0</v>
      </c>
      <c r="I26" s="253">
        <f t="shared" si="15"/>
        <v>0</v>
      </c>
      <c r="J26" s="252">
        <f t="shared" si="15"/>
        <v>0</v>
      </c>
      <c r="K26" s="251">
        <f t="shared" si="15"/>
        <v>0</v>
      </c>
      <c r="L26" s="199">
        <f t="shared" si="15"/>
        <v>0</v>
      </c>
      <c r="M26" s="257">
        <f t="shared" si="7"/>
        <v>0</v>
      </c>
      <c r="N26" s="123"/>
      <c r="O26" s="123"/>
      <c r="P26" s="496"/>
      <c r="Q26" s="123"/>
      <c r="R26" s="129"/>
      <c r="T26" s="254"/>
      <c r="U26" s="254"/>
      <c r="V26" s="254"/>
      <c r="W26" s="254"/>
      <c r="X26" s="254"/>
      <c r="Y26" s="129"/>
      <c r="AA26" s="129"/>
      <c r="AE26" s="129"/>
      <c r="BA26" s="99" t="s">
        <v>5214</v>
      </c>
      <c r="BB26" s="92" t="s">
        <v>3664</v>
      </c>
      <c r="BC26" s="92"/>
      <c r="BD26" s="100" t="s">
        <v>750</v>
      </c>
      <c r="BE26" s="225">
        <v>3</v>
      </c>
      <c r="BF26" s="2277" t="s">
        <v>10340</v>
      </c>
      <c r="BG26" s="2150" t="s">
        <v>10341</v>
      </c>
      <c r="BH26" s="2277" t="s">
        <v>10342</v>
      </c>
      <c r="BI26" s="2278" t="s">
        <v>10343</v>
      </c>
      <c r="BJ26" s="2279" t="s">
        <v>10344</v>
      </c>
      <c r="BK26" s="2150" t="s">
        <v>10345</v>
      </c>
      <c r="BL26" s="2276" t="s">
        <v>10346</v>
      </c>
    </row>
    <row r="27" spans="2:64">
      <c r="B27" s="99" t="s">
        <v>5215</v>
      </c>
      <c r="C27" s="92" t="s">
        <v>2593</v>
      </c>
      <c r="D27" s="92"/>
      <c r="E27" s="100" t="s">
        <v>750</v>
      </c>
      <c r="F27" s="225">
        <v>3</v>
      </c>
      <c r="G27" s="428"/>
      <c r="H27" s="432"/>
      <c r="I27" s="428"/>
      <c r="J27" s="429"/>
      <c r="K27" s="442"/>
      <c r="L27" s="432"/>
      <c r="M27" s="257">
        <f t="shared" si="7"/>
        <v>0</v>
      </c>
      <c r="N27" s="131"/>
      <c r="O27" s="131"/>
      <c r="P27" s="24" t="str">
        <f t="shared" si="2"/>
        <v>Please complete all cells in row</v>
      </c>
      <c r="S27" s="98">
        <f t="shared" ref="S27:X27" si="16" xml:space="preserve"> IF( ISNUMBER( G27 ), 0, 1 )</f>
        <v>1</v>
      </c>
      <c r="T27" s="98">
        <f t="shared" si="16"/>
        <v>1</v>
      </c>
      <c r="U27" s="98">
        <f t="shared" si="16"/>
        <v>1</v>
      </c>
      <c r="V27" s="98">
        <f t="shared" si="16"/>
        <v>1</v>
      </c>
      <c r="W27" s="98">
        <f t="shared" si="16"/>
        <v>1</v>
      </c>
      <c r="X27" s="98">
        <f t="shared" si="16"/>
        <v>1</v>
      </c>
      <c r="BA27" s="99" t="s">
        <v>5215</v>
      </c>
      <c r="BB27" s="92" t="s">
        <v>2593</v>
      </c>
      <c r="BC27" s="92"/>
      <c r="BD27" s="100" t="s">
        <v>750</v>
      </c>
      <c r="BE27" s="225">
        <v>3</v>
      </c>
      <c r="BF27" s="2750" t="s">
        <v>10347</v>
      </c>
      <c r="BG27" s="2892" t="s">
        <v>10348</v>
      </c>
      <c r="BH27" s="2750" t="s">
        <v>10349</v>
      </c>
      <c r="BI27" s="2751" t="s">
        <v>10350</v>
      </c>
      <c r="BJ27" s="2763" t="s">
        <v>10351</v>
      </c>
      <c r="BK27" s="2892" t="s">
        <v>10352</v>
      </c>
      <c r="BL27" s="257" t="s">
        <v>10353</v>
      </c>
    </row>
    <row r="28" spans="2:64" ht="15" thickBot="1">
      <c r="B28" s="106" t="s">
        <v>5216</v>
      </c>
      <c r="C28" s="107" t="s">
        <v>2601</v>
      </c>
      <c r="D28" s="107"/>
      <c r="E28" s="108" t="s">
        <v>750</v>
      </c>
      <c r="F28" s="233">
        <v>3</v>
      </c>
      <c r="G28" s="201">
        <f>SUM(G26:G27)</f>
        <v>0</v>
      </c>
      <c r="H28" s="203">
        <f t="shared" ref="H28:L28" si="17">SUM(H26:H27)</f>
        <v>0</v>
      </c>
      <c r="I28" s="201">
        <f t="shared" si="17"/>
        <v>0</v>
      </c>
      <c r="J28" s="202">
        <f t="shared" si="17"/>
        <v>0</v>
      </c>
      <c r="K28" s="250">
        <f t="shared" si="17"/>
        <v>0</v>
      </c>
      <c r="L28" s="203">
        <f t="shared" si="17"/>
        <v>0</v>
      </c>
      <c r="M28" s="805">
        <f t="shared" si="7"/>
        <v>0</v>
      </c>
      <c r="N28" s="131"/>
      <c r="O28" s="131"/>
      <c r="P28" s="496"/>
      <c r="Q28" s="131"/>
      <c r="R28" s="124"/>
      <c r="T28" s="254"/>
      <c r="U28" s="254"/>
      <c r="V28" s="254"/>
      <c r="W28" s="254"/>
      <c r="X28" s="254"/>
      <c r="Y28" s="124"/>
      <c r="AA28" s="124"/>
      <c r="AE28" s="124"/>
      <c r="BA28" s="106" t="s">
        <v>5216</v>
      </c>
      <c r="BB28" s="107" t="s">
        <v>2601</v>
      </c>
      <c r="BC28" s="107"/>
      <c r="BD28" s="108" t="s">
        <v>750</v>
      </c>
      <c r="BE28" s="233">
        <v>3</v>
      </c>
      <c r="BF28" s="201" t="s">
        <v>10354</v>
      </c>
      <c r="BG28" s="203" t="s">
        <v>10355</v>
      </c>
      <c r="BH28" s="201" t="s">
        <v>10356</v>
      </c>
      <c r="BI28" s="202" t="s">
        <v>10357</v>
      </c>
      <c r="BJ28" s="250" t="s">
        <v>10358</v>
      </c>
      <c r="BK28" s="203" t="s">
        <v>10359</v>
      </c>
      <c r="BL28" s="805" t="s">
        <v>10360</v>
      </c>
    </row>
    <row r="29" spans="2:64" s="2" customFormat="1" ht="15" thickBot="1">
      <c r="B29" s="401"/>
      <c r="E29" s="5"/>
      <c r="F29" s="5"/>
      <c r="G29" s="801"/>
      <c r="H29" s="801"/>
      <c r="I29" s="801"/>
      <c r="J29" s="801"/>
      <c r="K29" s="801"/>
      <c r="M29" s="125"/>
      <c r="N29" s="125"/>
      <c r="O29" s="125"/>
      <c r="P29" s="496"/>
      <c r="Q29" s="131"/>
      <c r="R29" s="124"/>
      <c r="S29" s="71"/>
      <c r="T29" s="254"/>
      <c r="U29" s="254"/>
      <c r="V29" s="254"/>
      <c r="W29" s="254"/>
      <c r="X29" s="254"/>
      <c r="Y29" s="124"/>
      <c r="AA29" s="124"/>
      <c r="AE29" s="124"/>
      <c r="BA29" s="401"/>
      <c r="BD29" s="5"/>
      <c r="BE29" s="5"/>
      <c r="BF29" s="801"/>
      <c r="BG29" s="801"/>
      <c r="BH29" s="801"/>
      <c r="BI29" s="801"/>
      <c r="BJ29" s="801"/>
      <c r="BL29" s="125"/>
    </row>
    <row r="30" spans="2:64" s="2" customFormat="1" ht="15" thickBot="1">
      <c r="B30" s="269" t="s">
        <v>2464</v>
      </c>
      <c r="C30" s="27" t="s">
        <v>3612</v>
      </c>
      <c r="D30" s="1587"/>
      <c r="E30" s="5"/>
      <c r="F30" s="5"/>
      <c r="G30" s="801"/>
      <c r="H30" s="801"/>
      <c r="I30" s="801"/>
      <c r="J30" s="801"/>
      <c r="K30" s="801"/>
      <c r="M30" s="131"/>
      <c r="N30" s="125"/>
      <c r="O30" s="125"/>
      <c r="P30" s="496"/>
      <c r="Q30" s="131"/>
      <c r="R30" s="124"/>
      <c r="S30" s="71"/>
      <c r="T30" s="254"/>
      <c r="U30" s="254"/>
      <c r="V30" s="254"/>
      <c r="W30" s="254"/>
      <c r="X30" s="254"/>
      <c r="Y30" s="124"/>
      <c r="AA30" s="124"/>
      <c r="AE30" s="124"/>
      <c r="BA30" s="2738" t="s">
        <v>2464</v>
      </c>
      <c r="BB30" s="309" t="s">
        <v>3612</v>
      </c>
      <c r="BC30" s="1587"/>
      <c r="BD30" s="5"/>
      <c r="BE30" s="5"/>
      <c r="BF30" s="801"/>
      <c r="BG30" s="801"/>
      <c r="BH30" s="801"/>
      <c r="BI30" s="801"/>
      <c r="BJ30" s="801"/>
      <c r="BL30" s="131"/>
    </row>
    <row r="31" spans="2:64" ht="15.75" thickBot="1">
      <c r="B31" s="181" t="s">
        <v>5218</v>
      </c>
      <c r="C31" s="407" t="s">
        <v>3612</v>
      </c>
      <c r="D31" s="407"/>
      <c r="E31" s="138" t="s">
        <v>750</v>
      </c>
      <c r="F31" s="806">
        <v>3</v>
      </c>
      <c r="G31" s="462"/>
      <c r="H31" s="807"/>
      <c r="I31" s="462"/>
      <c r="J31" s="470"/>
      <c r="K31" s="808"/>
      <c r="L31" s="807"/>
      <c r="M31" s="809">
        <f t="shared" si="7"/>
        <v>0</v>
      </c>
      <c r="N31" s="131"/>
      <c r="O31" s="1431">
        <f xml:space="preserve"> IF( SUM( Y31:AA31 ) = 0, 0, AD31 )</f>
        <v>0</v>
      </c>
      <c r="P31" s="24" t="str">
        <f xml:space="preserve"> IF( SUM( R31:Y31 ) = 0, 0, $S$6 )</f>
        <v>Please complete all cells in row</v>
      </c>
      <c r="S31" s="98">
        <f t="shared" ref="S31:X31" si="18" xml:space="preserve"> IF( ISNUMBER( G31 ), 0, 1 )</f>
        <v>1</v>
      </c>
      <c r="T31" s="98">
        <f t="shared" si="18"/>
        <v>1</v>
      </c>
      <c r="U31" s="98">
        <f t="shared" si="18"/>
        <v>1</v>
      </c>
      <c r="V31" s="98">
        <f t="shared" si="18"/>
        <v>1</v>
      </c>
      <c r="W31" s="98">
        <f t="shared" si="18"/>
        <v>1</v>
      </c>
      <c r="X31" s="98">
        <f t="shared" si="18"/>
        <v>1</v>
      </c>
      <c r="Z31" s="98">
        <f xml:space="preserve"> IF( (AB31 - AC31) = 0, 0, 1 )</f>
        <v>0</v>
      </c>
      <c r="AB31" s="172">
        <f xml:space="preserve"> M31</f>
        <v>0</v>
      </c>
      <c r="AC31" s="172">
        <f>'2E'!J13</f>
        <v>0</v>
      </c>
      <c r="AD31" s="1635" t="s">
        <v>12229</v>
      </c>
      <c r="BA31" s="106" t="s">
        <v>5218</v>
      </c>
      <c r="BB31" s="107" t="s">
        <v>3612</v>
      </c>
      <c r="BC31" s="407"/>
      <c r="BD31" s="138" t="s">
        <v>750</v>
      </c>
      <c r="BE31" s="806">
        <v>3</v>
      </c>
      <c r="BF31" s="2755" t="s">
        <v>10361</v>
      </c>
      <c r="BG31" s="2823" t="s">
        <v>10362</v>
      </c>
      <c r="BH31" s="2755" t="s">
        <v>10363</v>
      </c>
      <c r="BI31" s="2756" t="s">
        <v>10364</v>
      </c>
      <c r="BJ31" s="2895" t="s">
        <v>10365</v>
      </c>
      <c r="BK31" s="2823" t="s">
        <v>10366</v>
      </c>
      <c r="BL31" s="809" t="s">
        <v>10367</v>
      </c>
    </row>
    <row r="32" spans="2:64" s="2" customFormat="1" ht="15" thickBot="1">
      <c r="B32" s="401"/>
      <c r="E32" s="5"/>
      <c r="F32" s="5"/>
      <c r="G32" s="801"/>
      <c r="H32" s="801"/>
      <c r="I32" s="801"/>
      <c r="J32" s="801"/>
      <c r="K32" s="801"/>
      <c r="M32" s="125"/>
      <c r="N32" s="125"/>
      <c r="O32" s="125"/>
      <c r="P32" s="496"/>
      <c r="Q32" s="131"/>
      <c r="R32" s="124"/>
      <c r="S32" s="71"/>
      <c r="T32" s="254"/>
      <c r="U32" s="254"/>
      <c r="V32" s="254"/>
      <c r="W32" s="254"/>
      <c r="X32" s="254"/>
      <c r="Y32" s="124"/>
      <c r="AA32" s="124"/>
      <c r="AE32" s="124"/>
      <c r="BA32" s="401"/>
      <c r="BD32" s="5"/>
      <c r="BE32" s="5"/>
      <c r="BF32" s="801"/>
      <c r="BG32" s="801"/>
      <c r="BH32" s="801"/>
      <c r="BI32" s="801"/>
      <c r="BJ32" s="801"/>
      <c r="BL32" s="125"/>
    </row>
    <row r="33" spans="2:64" ht="15" thickBot="1">
      <c r="B33" s="136" t="s">
        <v>5219</v>
      </c>
      <c r="C33" s="137" t="s">
        <v>2602</v>
      </c>
      <c r="D33" s="137"/>
      <c r="E33" s="138" t="s">
        <v>750</v>
      </c>
      <c r="F33" s="806">
        <v>3</v>
      </c>
      <c r="G33" s="779">
        <f>G18+G28-G31</f>
        <v>0</v>
      </c>
      <c r="H33" s="255">
        <f t="shared" ref="H33:L33" si="19">H18+H28-H31</f>
        <v>0</v>
      </c>
      <c r="I33" s="779">
        <f t="shared" si="19"/>
        <v>0</v>
      </c>
      <c r="J33" s="780">
        <f t="shared" si="19"/>
        <v>0</v>
      </c>
      <c r="K33" s="810">
        <f t="shared" si="19"/>
        <v>0</v>
      </c>
      <c r="L33" s="255">
        <f t="shared" si="19"/>
        <v>0</v>
      </c>
      <c r="M33" s="809">
        <f t="shared" si="7"/>
        <v>0</v>
      </c>
      <c r="N33" s="131"/>
      <c r="O33" s="131"/>
      <c r="P33" s="496"/>
      <c r="Q33" s="131"/>
      <c r="R33" s="124"/>
      <c r="S33" s="211"/>
      <c r="T33" s="211"/>
      <c r="U33" s="211"/>
      <c r="V33" s="211"/>
      <c r="W33" s="211"/>
      <c r="X33" s="211"/>
      <c r="Y33" s="124"/>
      <c r="AA33" s="124"/>
      <c r="AE33" s="124"/>
      <c r="BA33" s="136" t="s">
        <v>5219</v>
      </c>
      <c r="BB33" s="137" t="s">
        <v>2602</v>
      </c>
      <c r="BC33" s="137"/>
      <c r="BD33" s="138" t="s">
        <v>750</v>
      </c>
      <c r="BE33" s="806">
        <v>3</v>
      </c>
      <c r="BF33" s="779" t="s">
        <v>10368</v>
      </c>
      <c r="BG33" s="255" t="s">
        <v>10369</v>
      </c>
      <c r="BH33" s="779" t="s">
        <v>10370</v>
      </c>
      <c r="BI33" s="780" t="s">
        <v>10371</v>
      </c>
      <c r="BJ33" s="810" t="s">
        <v>10372</v>
      </c>
      <c r="BK33" s="255" t="s">
        <v>10373</v>
      </c>
      <c r="BL33" s="809" t="s">
        <v>10374</v>
      </c>
    </row>
    <row r="34" spans="2:64" ht="15" thickBot="1">
      <c r="N34" s="131"/>
      <c r="O34" s="131"/>
      <c r="P34" s="496"/>
      <c r="Q34" s="131"/>
      <c r="R34" s="124"/>
      <c r="S34" s="211"/>
      <c r="T34" s="211"/>
      <c r="U34" s="211"/>
      <c r="V34" s="211"/>
      <c r="W34" s="211"/>
      <c r="X34" s="211"/>
      <c r="Y34" s="124"/>
      <c r="AA34" s="124"/>
      <c r="AE34" s="124"/>
    </row>
    <row r="35" spans="2:64" ht="15" thickBot="1">
      <c r="B35" s="118" t="s">
        <v>2473</v>
      </c>
      <c r="C35" s="119" t="s">
        <v>2603</v>
      </c>
      <c r="D35" s="1584"/>
      <c r="E35" s="71"/>
      <c r="F35" s="71"/>
      <c r="G35" s="71"/>
      <c r="H35" s="71"/>
      <c r="I35" s="71"/>
      <c r="J35" s="71"/>
      <c r="K35" s="71"/>
      <c r="L35" s="71"/>
      <c r="M35" s="71"/>
      <c r="N35" s="131"/>
      <c r="O35" s="131"/>
      <c r="P35" s="496"/>
      <c r="Q35" s="131"/>
      <c r="R35" s="124"/>
      <c r="S35" s="211"/>
      <c r="T35" s="211"/>
      <c r="U35" s="211"/>
      <c r="V35" s="211"/>
      <c r="W35" s="211"/>
      <c r="X35" s="211"/>
      <c r="Y35" s="124"/>
      <c r="AA35" s="124"/>
      <c r="AE35" s="124"/>
      <c r="BA35" s="118" t="s">
        <v>2473</v>
      </c>
      <c r="BB35" s="119" t="s">
        <v>2603</v>
      </c>
      <c r="BC35" s="1584"/>
      <c r="BD35" s="71"/>
      <c r="BE35" s="71"/>
      <c r="BF35" s="71"/>
      <c r="BG35" s="71"/>
      <c r="BH35" s="71"/>
      <c r="BI35" s="71"/>
      <c r="BJ35" s="71"/>
      <c r="BK35" s="71"/>
      <c r="BL35" s="71"/>
    </row>
    <row r="36" spans="2:64">
      <c r="B36" s="91" t="s">
        <v>5226</v>
      </c>
      <c r="C36" s="122" t="s">
        <v>2604</v>
      </c>
      <c r="D36" s="122"/>
      <c r="E36" s="93" t="s">
        <v>750</v>
      </c>
      <c r="F36" s="223">
        <v>3</v>
      </c>
      <c r="G36" s="430"/>
      <c r="H36" s="431"/>
      <c r="I36" s="430"/>
      <c r="J36" s="441"/>
      <c r="K36" s="440"/>
      <c r="L36" s="431"/>
      <c r="M36" s="256">
        <f>SUM(G36:L36)</f>
        <v>0</v>
      </c>
      <c r="N36" s="131"/>
      <c r="O36" s="131"/>
      <c r="P36" s="24" t="str">
        <f t="shared" si="2"/>
        <v>Please complete all cells in row</v>
      </c>
      <c r="S36" s="98">
        <f t="shared" ref="S36:X37" si="20" xml:space="preserve"> IF( ISNUMBER( G36 ), 0, 1 )</f>
        <v>1</v>
      </c>
      <c r="T36" s="98">
        <f t="shared" si="20"/>
        <v>1</v>
      </c>
      <c r="U36" s="98">
        <f t="shared" si="20"/>
        <v>1</v>
      </c>
      <c r="V36" s="98">
        <f t="shared" si="20"/>
        <v>1</v>
      </c>
      <c r="W36" s="98">
        <f t="shared" si="20"/>
        <v>1</v>
      </c>
      <c r="X36" s="98">
        <f t="shared" si="20"/>
        <v>1</v>
      </c>
      <c r="BA36" s="91" t="s">
        <v>5226</v>
      </c>
      <c r="BB36" s="122" t="s">
        <v>2604</v>
      </c>
      <c r="BC36" s="122"/>
      <c r="BD36" s="93" t="s">
        <v>750</v>
      </c>
      <c r="BE36" s="223">
        <v>3</v>
      </c>
      <c r="BF36" s="2747" t="s">
        <v>10375</v>
      </c>
      <c r="BG36" s="2891" t="s">
        <v>10376</v>
      </c>
      <c r="BH36" s="2747" t="s">
        <v>10377</v>
      </c>
      <c r="BI36" s="2748" t="s">
        <v>10378</v>
      </c>
      <c r="BJ36" s="2806" t="s">
        <v>10379</v>
      </c>
      <c r="BK36" s="2891" t="s">
        <v>10380</v>
      </c>
      <c r="BL36" s="256" t="s">
        <v>10381</v>
      </c>
    </row>
    <row r="37" spans="2:64" ht="15" thickBot="1">
      <c r="B37" s="106" t="s">
        <v>5220</v>
      </c>
      <c r="C37" s="107" t="s">
        <v>2605</v>
      </c>
      <c r="D37" s="107"/>
      <c r="E37" s="108" t="s">
        <v>750</v>
      </c>
      <c r="F37" s="233">
        <v>3</v>
      </c>
      <c r="G37" s="471"/>
      <c r="H37" s="803"/>
      <c r="I37" s="471"/>
      <c r="J37" s="472"/>
      <c r="K37" s="804"/>
      <c r="L37" s="803"/>
      <c r="M37" s="805">
        <f>SUM(G37:L37)</f>
        <v>0</v>
      </c>
      <c r="N37" s="131"/>
      <c r="O37" s="131"/>
      <c r="P37" s="24" t="str">
        <f t="shared" si="2"/>
        <v>Please complete all cells in row</v>
      </c>
      <c r="S37" s="98">
        <f t="shared" si="20"/>
        <v>1</v>
      </c>
      <c r="T37" s="98">
        <f t="shared" si="20"/>
        <v>1</v>
      </c>
      <c r="U37" s="98">
        <f t="shared" si="20"/>
        <v>1</v>
      </c>
      <c r="V37" s="98">
        <f t="shared" si="20"/>
        <v>1</v>
      </c>
      <c r="W37" s="98">
        <f t="shared" si="20"/>
        <v>1</v>
      </c>
      <c r="X37" s="98">
        <f t="shared" si="20"/>
        <v>1</v>
      </c>
      <c r="BA37" s="106" t="s">
        <v>5220</v>
      </c>
      <c r="BB37" s="107" t="s">
        <v>2605</v>
      </c>
      <c r="BC37" s="107"/>
      <c r="BD37" s="108" t="s">
        <v>750</v>
      </c>
      <c r="BE37" s="233">
        <v>3</v>
      </c>
      <c r="BF37" s="2773" t="s">
        <v>10382</v>
      </c>
      <c r="BG37" s="2896" t="s">
        <v>10383</v>
      </c>
      <c r="BH37" s="2773" t="s">
        <v>10384</v>
      </c>
      <c r="BI37" s="2774" t="s">
        <v>10385</v>
      </c>
      <c r="BJ37" s="2897" t="s">
        <v>10386</v>
      </c>
      <c r="BK37" s="2896" t="s">
        <v>10387</v>
      </c>
      <c r="BL37" s="805" t="s">
        <v>10388</v>
      </c>
    </row>
    <row r="38" spans="2:64" s="496" customFormat="1" ht="15" thickBot="1">
      <c r="N38" s="131"/>
      <c r="O38" s="131"/>
      <c r="Q38" s="131"/>
      <c r="R38" s="124"/>
      <c r="S38" s="211"/>
      <c r="T38" s="211"/>
      <c r="U38" s="211"/>
      <c r="V38" s="211"/>
      <c r="W38" s="211"/>
      <c r="X38" s="211"/>
      <c r="Y38" s="124"/>
      <c r="AA38" s="124"/>
      <c r="AE38" s="124"/>
    </row>
    <row r="39" spans="2:64" ht="15" thickBot="1">
      <c r="B39" s="136" t="s">
        <v>5221</v>
      </c>
      <c r="C39" s="137" t="s">
        <v>2606</v>
      </c>
      <c r="D39" s="137"/>
      <c r="E39" s="138" t="s">
        <v>750</v>
      </c>
      <c r="F39" s="806">
        <v>3</v>
      </c>
      <c r="G39" s="779">
        <f t="shared" ref="G39:L39" si="21">G33 + G36 + G37</f>
        <v>0</v>
      </c>
      <c r="H39" s="255">
        <f t="shared" si="21"/>
        <v>0</v>
      </c>
      <c r="I39" s="779">
        <f t="shared" si="21"/>
        <v>0</v>
      </c>
      <c r="J39" s="780">
        <f t="shared" si="21"/>
        <v>0</v>
      </c>
      <c r="K39" s="810">
        <f t="shared" si="21"/>
        <v>0</v>
      </c>
      <c r="L39" s="255">
        <f t="shared" si="21"/>
        <v>0</v>
      </c>
      <c r="M39" s="811">
        <f>SUM(G39:L39)</f>
        <v>0</v>
      </c>
      <c r="N39" s="131"/>
      <c r="O39" s="131"/>
      <c r="P39" s="496"/>
      <c r="Q39" s="131"/>
      <c r="R39" s="124"/>
      <c r="S39" s="211"/>
      <c r="T39" s="211"/>
      <c r="U39" s="211"/>
      <c r="V39" s="211"/>
      <c r="W39" s="211"/>
      <c r="X39" s="211"/>
      <c r="Y39" s="124"/>
      <c r="AA39" s="124"/>
      <c r="AE39" s="124"/>
      <c r="BA39" s="136" t="s">
        <v>5221</v>
      </c>
      <c r="BB39" s="137" t="s">
        <v>2606</v>
      </c>
      <c r="BC39" s="137"/>
      <c r="BD39" s="138" t="s">
        <v>750</v>
      </c>
      <c r="BE39" s="806">
        <v>3</v>
      </c>
      <c r="BF39" s="779" t="s">
        <v>10389</v>
      </c>
      <c r="BG39" s="255" t="s">
        <v>10390</v>
      </c>
      <c r="BH39" s="779" t="s">
        <v>10391</v>
      </c>
      <c r="BI39" s="780" t="s">
        <v>10392</v>
      </c>
      <c r="BJ39" s="810" t="s">
        <v>10393</v>
      </c>
      <c r="BK39" s="255" t="s">
        <v>10394</v>
      </c>
      <c r="BL39" s="811" t="s">
        <v>10395</v>
      </c>
    </row>
    <row r="40" spans="2:64" ht="15" thickBot="1">
      <c r="N40" s="131"/>
      <c r="O40" s="131"/>
      <c r="P40" s="496"/>
      <c r="Q40" s="123"/>
      <c r="R40" s="129"/>
      <c r="S40" s="211"/>
      <c r="T40" s="211"/>
      <c r="U40" s="211"/>
      <c r="V40" s="211"/>
      <c r="W40" s="211"/>
      <c r="X40" s="211"/>
      <c r="Y40" s="129"/>
      <c r="AA40" s="129"/>
      <c r="AE40" s="129"/>
    </row>
    <row r="41" spans="2:64" ht="15" thickBot="1">
      <c r="B41" s="118" t="s">
        <v>2480</v>
      </c>
      <c r="C41" s="119" t="s">
        <v>2754</v>
      </c>
      <c r="D41" s="1584"/>
      <c r="E41" s="71"/>
      <c r="F41" s="71"/>
      <c r="N41" s="131"/>
      <c r="O41" s="131"/>
      <c r="P41" s="496"/>
      <c r="Q41" s="123"/>
      <c r="R41" s="129"/>
      <c r="S41" s="211"/>
      <c r="T41" s="211"/>
      <c r="U41" s="211"/>
      <c r="V41" s="211"/>
      <c r="W41" s="211"/>
      <c r="X41" s="211"/>
      <c r="Y41" s="129"/>
      <c r="AA41" s="129"/>
      <c r="AE41" s="129"/>
      <c r="BA41" s="118" t="s">
        <v>2480</v>
      </c>
      <c r="BB41" s="119" t="s">
        <v>2754</v>
      </c>
      <c r="BC41" s="1584"/>
      <c r="BD41" s="71"/>
      <c r="BE41" s="71"/>
    </row>
    <row r="42" spans="2:64" ht="15" thickBot="1">
      <c r="B42" s="91" t="s">
        <v>5222</v>
      </c>
      <c r="C42" s="122" t="s">
        <v>11037</v>
      </c>
      <c r="D42" s="122"/>
      <c r="E42" s="93" t="s">
        <v>2755</v>
      </c>
      <c r="F42" s="223">
        <v>3</v>
      </c>
      <c r="G42" s="443"/>
      <c r="N42" s="131"/>
      <c r="O42" s="131"/>
      <c r="P42" s="24" t="str">
        <f t="shared" si="2"/>
        <v>Please complete all cells in row</v>
      </c>
      <c r="Q42" s="123"/>
      <c r="R42" s="129"/>
      <c r="S42" s="98">
        <f xml:space="preserve"> IF( ISNUMBER( G42 ), 0, 1 )</f>
        <v>1</v>
      </c>
      <c r="T42" s="211"/>
      <c r="U42" s="211"/>
      <c r="V42" s="211"/>
      <c r="W42" s="211"/>
      <c r="X42" s="211"/>
      <c r="Y42" s="129"/>
      <c r="AA42" s="129"/>
      <c r="AE42" s="129"/>
      <c r="BA42" s="91" t="s">
        <v>5222</v>
      </c>
      <c r="BB42" s="122" t="s">
        <v>11037</v>
      </c>
      <c r="BC42" s="122"/>
      <c r="BD42" s="93" t="s">
        <v>2755</v>
      </c>
      <c r="BE42" s="223">
        <v>3</v>
      </c>
      <c r="BF42" s="2754" t="s">
        <v>10396</v>
      </c>
    </row>
    <row r="43" spans="2:64" ht="15" thickBot="1">
      <c r="B43" s="99" t="s">
        <v>5222</v>
      </c>
      <c r="C43" s="92" t="s">
        <v>11038</v>
      </c>
      <c r="D43" s="92"/>
      <c r="E43" s="100" t="s">
        <v>2755</v>
      </c>
      <c r="F43" s="101">
        <v>3</v>
      </c>
      <c r="H43" s="443"/>
      <c r="N43" s="131"/>
      <c r="O43" s="131"/>
      <c r="P43" s="24" t="str">
        <f t="shared" si="2"/>
        <v>Please complete all cells in row</v>
      </c>
      <c r="S43" s="211"/>
      <c r="T43" s="98">
        <f xml:space="preserve"> IF( ISNUMBER( H43 ), 0, 1 )</f>
        <v>1</v>
      </c>
      <c r="U43" s="211"/>
      <c r="V43" s="211"/>
      <c r="W43" s="211"/>
      <c r="X43" s="211"/>
      <c r="BA43" s="99" t="s">
        <v>5222</v>
      </c>
      <c r="BB43" s="92" t="s">
        <v>11038</v>
      </c>
      <c r="BC43" s="92"/>
      <c r="BD43" s="100" t="s">
        <v>2755</v>
      </c>
      <c r="BE43" s="101">
        <v>3</v>
      </c>
      <c r="BG43" s="2754" t="s">
        <v>10397</v>
      </c>
    </row>
    <row r="44" spans="2:64" ht="15" thickBot="1">
      <c r="B44" s="99" t="s">
        <v>5222</v>
      </c>
      <c r="C44" s="92" t="s">
        <v>11039</v>
      </c>
      <c r="D44" s="92"/>
      <c r="E44" s="100" t="s">
        <v>2755</v>
      </c>
      <c r="F44" s="101">
        <v>3</v>
      </c>
      <c r="I44" s="443"/>
      <c r="N44" s="131"/>
      <c r="O44" s="131"/>
      <c r="P44" s="24" t="str">
        <f t="shared" si="2"/>
        <v>Please complete all cells in row</v>
      </c>
      <c r="S44" s="211"/>
      <c r="T44" s="211"/>
      <c r="U44" s="98">
        <f xml:space="preserve"> IF( ISNUMBER( I44 ), 0, 1 )</f>
        <v>1</v>
      </c>
      <c r="V44" s="211"/>
      <c r="W44" s="211"/>
      <c r="X44" s="211"/>
      <c r="BA44" s="99" t="s">
        <v>5222</v>
      </c>
      <c r="BB44" s="92" t="s">
        <v>11039</v>
      </c>
      <c r="BC44" s="92"/>
      <c r="BD44" s="100" t="s">
        <v>2755</v>
      </c>
      <c r="BE44" s="101">
        <v>3</v>
      </c>
      <c r="BH44" s="2754" t="s">
        <v>10398</v>
      </c>
    </row>
    <row r="45" spans="2:64" ht="15" thickBot="1">
      <c r="B45" s="99" t="s">
        <v>5222</v>
      </c>
      <c r="C45" s="92" t="s">
        <v>11040</v>
      </c>
      <c r="D45" s="92"/>
      <c r="E45" s="100" t="s">
        <v>2755</v>
      </c>
      <c r="F45" s="101">
        <v>3</v>
      </c>
      <c r="J45" s="443"/>
      <c r="N45" s="135"/>
      <c r="O45" s="135"/>
      <c r="P45" s="24" t="str">
        <f t="shared" si="2"/>
        <v>Please complete all cells in row</v>
      </c>
      <c r="S45" s="211"/>
      <c r="T45" s="211"/>
      <c r="U45" s="211"/>
      <c r="V45" s="98">
        <f xml:space="preserve"> IF( ISNUMBER( J45 ), 0, 1 )</f>
        <v>1</v>
      </c>
      <c r="W45" s="211"/>
      <c r="X45" s="211"/>
      <c r="BA45" s="99" t="s">
        <v>5222</v>
      </c>
      <c r="BB45" s="92" t="s">
        <v>11040</v>
      </c>
      <c r="BC45" s="92"/>
      <c r="BD45" s="100" t="s">
        <v>2755</v>
      </c>
      <c r="BE45" s="101">
        <v>3</v>
      </c>
      <c r="BI45" s="2754" t="s">
        <v>10399</v>
      </c>
    </row>
    <row r="46" spans="2:64" ht="15" thickBot="1">
      <c r="B46" s="99" t="s">
        <v>5222</v>
      </c>
      <c r="C46" s="92" t="s">
        <v>11041</v>
      </c>
      <c r="D46" s="92"/>
      <c r="E46" s="100" t="s">
        <v>2755</v>
      </c>
      <c r="F46" s="101">
        <v>3</v>
      </c>
      <c r="K46" s="443"/>
      <c r="N46" s="135"/>
      <c r="O46" s="135"/>
      <c r="P46" s="24" t="str">
        <f t="shared" si="2"/>
        <v>Please complete all cells in row</v>
      </c>
      <c r="S46" s="211"/>
      <c r="T46" s="211"/>
      <c r="U46" s="211"/>
      <c r="V46" s="211"/>
      <c r="W46" s="98">
        <f xml:space="preserve"> IF( ISNUMBER( K46 ), 0, 1 )</f>
        <v>1</v>
      </c>
      <c r="X46" s="211"/>
      <c r="BA46" s="99" t="s">
        <v>5222</v>
      </c>
      <c r="BB46" s="92" t="s">
        <v>11041</v>
      </c>
      <c r="BC46" s="92"/>
      <c r="BD46" s="100" t="s">
        <v>2755</v>
      </c>
      <c r="BE46" s="101">
        <v>3</v>
      </c>
      <c r="BJ46" s="2754" t="s">
        <v>10400</v>
      </c>
    </row>
    <row r="47" spans="2:64" ht="15" thickBot="1">
      <c r="B47" s="99" t="s">
        <v>5222</v>
      </c>
      <c r="C47" s="92" t="s">
        <v>11041</v>
      </c>
      <c r="D47" s="92"/>
      <c r="E47" s="100" t="s">
        <v>2755</v>
      </c>
      <c r="F47" s="101">
        <v>3</v>
      </c>
      <c r="L47" s="444"/>
      <c r="N47" s="135"/>
      <c r="O47" s="135"/>
      <c r="P47" s="24" t="str">
        <f xml:space="preserve"> IF( SUM( R47:Y47 ) = 0, 0, $S$6 )</f>
        <v>Please complete all cells in row</v>
      </c>
      <c r="S47" s="211"/>
      <c r="T47" s="211"/>
      <c r="U47" s="211"/>
      <c r="V47" s="211"/>
      <c r="W47" s="211"/>
      <c r="X47" s="98">
        <f xml:space="preserve"> IF( ISNUMBER( L47 ), 0, 1 )</f>
        <v>1</v>
      </c>
      <c r="BA47" s="99" t="s">
        <v>5222</v>
      </c>
      <c r="BB47" s="92" t="s">
        <v>11041</v>
      </c>
      <c r="BC47" s="92"/>
      <c r="BD47" s="100" t="s">
        <v>2755</v>
      </c>
      <c r="BE47" s="101">
        <v>3</v>
      </c>
      <c r="BK47" s="2767" t="s">
        <v>10401</v>
      </c>
    </row>
    <row r="48" spans="2:64">
      <c r="B48" s="99" t="s">
        <v>5223</v>
      </c>
      <c r="C48" s="92" t="s">
        <v>2758</v>
      </c>
      <c r="D48" s="92"/>
      <c r="E48" s="100" t="s">
        <v>2768</v>
      </c>
      <c r="F48" s="101">
        <v>3</v>
      </c>
      <c r="G48" s="196">
        <f xml:space="preserve"> IF( G42 = 0, 0, G18 * 1000000 / G42 )</f>
        <v>0</v>
      </c>
      <c r="H48" s="198">
        <f xml:space="preserve"> IF( H43 = 0, 0, H18 * 1000000 / H43 )</f>
        <v>0</v>
      </c>
      <c r="I48" s="662">
        <f xml:space="preserve"> IF( I44 = 0, 0, I18 * 1000000  / I44 )</f>
        <v>0</v>
      </c>
      <c r="J48" s="197">
        <f xml:space="preserve"> IF( J45 = 0, 0, J18 * 1000000  / J45 )</f>
        <v>0</v>
      </c>
      <c r="K48" s="197">
        <f xml:space="preserve"> IF( K46 = 0, 0, K18 * 1000000  / K46 )</f>
        <v>0</v>
      </c>
      <c r="L48" s="413">
        <f xml:space="preserve"> IF( L47 = 0, 0, L18 * 1000000  / L47 )</f>
        <v>0</v>
      </c>
      <c r="M48" s="496"/>
      <c r="N48" s="135"/>
      <c r="O48" s="135"/>
      <c r="P48" s="496"/>
      <c r="Q48" s="123"/>
      <c r="R48" s="129"/>
      <c r="S48" s="211"/>
      <c r="T48" s="211"/>
      <c r="U48" s="211"/>
      <c r="V48" s="211"/>
      <c r="W48" s="211"/>
      <c r="X48" s="211"/>
      <c r="Y48" s="129"/>
      <c r="AA48" s="129"/>
      <c r="AE48" s="129"/>
      <c r="BA48" s="99" t="s">
        <v>5223</v>
      </c>
      <c r="BB48" s="92" t="s">
        <v>2758</v>
      </c>
      <c r="BC48" s="92"/>
      <c r="BD48" s="100" t="s">
        <v>2768</v>
      </c>
      <c r="BE48" s="101">
        <v>3</v>
      </c>
      <c r="BF48" s="196" t="s">
        <v>10402</v>
      </c>
      <c r="BG48" s="198" t="s">
        <v>10403</v>
      </c>
      <c r="BH48" s="662" t="s">
        <v>10404</v>
      </c>
      <c r="BI48" s="197" t="s">
        <v>10405</v>
      </c>
      <c r="BJ48" s="197" t="s">
        <v>10406</v>
      </c>
      <c r="BK48" s="413" t="s">
        <v>10407</v>
      </c>
    </row>
    <row r="49" spans="1:64" s="496" customFormat="1">
      <c r="B49" s="99" t="s">
        <v>5224</v>
      </c>
      <c r="C49" s="92" t="s">
        <v>3665</v>
      </c>
      <c r="D49" s="92"/>
      <c r="E49" s="100" t="s">
        <v>3624</v>
      </c>
      <c r="F49" s="101">
        <v>3</v>
      </c>
      <c r="G49" s="428"/>
      <c r="H49" s="432"/>
      <c r="I49" s="442"/>
      <c r="J49" s="429"/>
      <c r="K49" s="429"/>
      <c r="L49" s="432"/>
      <c r="N49" s="131"/>
      <c r="O49" s="131"/>
      <c r="P49" s="24" t="str">
        <f t="shared" ref="P49" si="22" xml:space="preserve"> IF( SUM( R49:Y49 ) = 0, 0, $S$6 )</f>
        <v>Please complete all cells in row</v>
      </c>
      <c r="Q49" s="71"/>
      <c r="R49" s="72"/>
      <c r="S49" s="98">
        <f t="shared" ref="S49" si="23" xml:space="preserve"> IF( ISNUMBER( G49 ), 0, 1 )</f>
        <v>1</v>
      </c>
      <c r="T49" s="98">
        <f t="shared" ref="T49" si="24" xml:space="preserve"> IF( ISNUMBER( H49 ), 0, 1 )</f>
        <v>1</v>
      </c>
      <c r="U49" s="98">
        <f t="shared" ref="U49" si="25" xml:space="preserve"> IF( ISNUMBER( I49 ), 0, 1 )</f>
        <v>1</v>
      </c>
      <c r="V49" s="98">
        <f t="shared" ref="V49" si="26" xml:space="preserve"> IF( ISNUMBER( J49 ), 0, 1 )</f>
        <v>1</v>
      </c>
      <c r="W49" s="98">
        <f t="shared" ref="W49" si="27" xml:space="preserve"> IF( ISNUMBER( K49 ), 0, 1 )</f>
        <v>1</v>
      </c>
      <c r="X49" s="98">
        <f t="shared" ref="X49" si="28" xml:space="preserve"> IF( ISNUMBER( L49 ), 0, 1 )</f>
        <v>1</v>
      </c>
      <c r="Y49" s="72"/>
      <c r="AA49" s="72"/>
      <c r="AE49" s="72"/>
      <c r="BA49" s="99" t="s">
        <v>5224</v>
      </c>
      <c r="BB49" s="92" t="s">
        <v>3665</v>
      </c>
      <c r="BC49" s="92"/>
      <c r="BD49" s="100" t="s">
        <v>3624</v>
      </c>
      <c r="BE49" s="101">
        <v>3</v>
      </c>
      <c r="BF49" s="2750" t="s">
        <v>10408</v>
      </c>
      <c r="BG49" s="2892" t="s">
        <v>10409</v>
      </c>
      <c r="BH49" s="2763" t="s">
        <v>10410</v>
      </c>
      <c r="BI49" s="2751" t="s">
        <v>10411</v>
      </c>
      <c r="BJ49" s="2751" t="s">
        <v>10412</v>
      </c>
      <c r="BK49" s="2892" t="s">
        <v>10413</v>
      </c>
    </row>
    <row r="50" spans="1:64" s="496" customFormat="1" ht="15" thickBot="1">
      <c r="B50" s="106" t="s">
        <v>5225</v>
      </c>
      <c r="C50" s="107" t="s">
        <v>2758</v>
      </c>
      <c r="D50" s="107"/>
      <c r="E50" s="108" t="s">
        <v>3666</v>
      </c>
      <c r="F50" s="233">
        <v>3</v>
      </c>
      <c r="G50" s="201">
        <f t="shared" ref="G50:L50" si="29" xml:space="preserve"> IF( G49 = 0, 0, G18 * 1000 / G49 )</f>
        <v>0</v>
      </c>
      <c r="H50" s="203">
        <f t="shared" si="29"/>
        <v>0</v>
      </c>
      <c r="I50" s="250">
        <f t="shared" si="29"/>
        <v>0</v>
      </c>
      <c r="J50" s="202">
        <f t="shared" si="29"/>
        <v>0</v>
      </c>
      <c r="K50" s="202">
        <f t="shared" si="29"/>
        <v>0</v>
      </c>
      <c r="L50" s="203">
        <f t="shared" si="29"/>
        <v>0</v>
      </c>
      <c r="N50" s="131"/>
      <c r="O50" s="131"/>
      <c r="Q50" s="71"/>
      <c r="R50" s="72"/>
      <c r="S50" s="132"/>
      <c r="T50" s="132"/>
      <c r="U50" s="132"/>
      <c r="V50" s="132"/>
      <c r="W50" s="132"/>
      <c r="X50" s="132"/>
      <c r="Y50" s="72"/>
      <c r="AA50" s="72"/>
      <c r="AE50" s="72"/>
      <c r="BA50" s="106" t="s">
        <v>5225</v>
      </c>
      <c r="BB50" s="107" t="s">
        <v>2758</v>
      </c>
      <c r="BC50" s="107"/>
      <c r="BD50" s="108" t="s">
        <v>3666</v>
      </c>
      <c r="BE50" s="233">
        <v>3</v>
      </c>
      <c r="BF50" s="201" t="s">
        <v>10414</v>
      </c>
      <c r="BG50" s="203" t="s">
        <v>10415</v>
      </c>
      <c r="BH50" s="250" t="s">
        <v>10416</v>
      </c>
      <c r="BI50" s="202" t="s">
        <v>10417</v>
      </c>
      <c r="BJ50" s="202" t="s">
        <v>10418</v>
      </c>
      <c r="BK50" s="203" t="s">
        <v>10419</v>
      </c>
    </row>
    <row r="51" spans="1:64">
      <c r="N51" s="135"/>
      <c r="O51" s="135"/>
      <c r="P51" s="496"/>
      <c r="S51" s="211"/>
      <c r="T51" s="211"/>
      <c r="U51" s="211"/>
      <c r="V51" s="211"/>
      <c r="W51" s="211"/>
      <c r="X51" s="211"/>
    </row>
    <row r="52" spans="1:64">
      <c r="B52" s="3220" t="s">
        <v>2420</v>
      </c>
      <c r="C52" s="3220"/>
      <c r="D52" s="1449"/>
      <c r="E52" s="170"/>
      <c r="F52" s="170"/>
      <c r="G52" s="170"/>
      <c r="H52" s="170"/>
      <c r="N52" s="135"/>
      <c r="O52" s="135"/>
      <c r="P52" s="496"/>
      <c r="S52" s="211"/>
      <c r="T52" s="211"/>
      <c r="U52" s="211"/>
      <c r="V52" s="211"/>
      <c r="W52" s="211"/>
      <c r="X52" s="211"/>
    </row>
    <row r="53" spans="1:64">
      <c r="B53" s="146"/>
      <c r="C53" s="147"/>
      <c r="D53" s="147"/>
      <c r="E53" s="170"/>
      <c r="F53" s="170"/>
      <c r="G53" s="170"/>
      <c r="H53" s="170"/>
      <c r="N53" s="135"/>
      <c r="O53" s="135"/>
      <c r="P53" s="496"/>
      <c r="S53" s="211"/>
      <c r="T53" s="211"/>
      <c r="U53" s="211"/>
      <c r="V53" s="211"/>
      <c r="W53" s="211"/>
      <c r="X53" s="211"/>
    </row>
    <row r="54" spans="1:64">
      <c r="B54" s="25"/>
      <c r="C54" s="148" t="s">
        <v>2421</v>
      </c>
      <c r="D54" s="148"/>
      <c r="E54" s="170"/>
      <c r="F54" s="170"/>
      <c r="G54" s="170"/>
      <c r="H54" s="170"/>
      <c r="N54" s="135"/>
      <c r="O54" s="135"/>
      <c r="P54" s="496"/>
      <c r="S54" s="211"/>
      <c r="T54" s="211"/>
      <c r="U54" s="211"/>
      <c r="V54" s="211"/>
      <c r="W54" s="211"/>
      <c r="X54" s="211"/>
      <c r="BA54" s="8"/>
      <c r="BB54" s="8"/>
      <c r="BC54" s="8"/>
      <c r="BD54" s="8"/>
      <c r="BE54" s="8"/>
      <c r="BF54" s="8"/>
      <c r="BG54" s="8"/>
      <c r="BH54" s="8"/>
      <c r="BI54" s="8"/>
      <c r="BJ54" s="8"/>
      <c r="BK54" s="8"/>
      <c r="BL54" s="8"/>
    </row>
    <row r="55" spans="1:64">
      <c r="B55" s="146"/>
      <c r="C55" s="147"/>
      <c r="D55" s="147"/>
      <c r="E55" s="170"/>
      <c r="F55" s="170"/>
      <c r="G55" s="170"/>
      <c r="H55" s="170"/>
      <c r="N55" s="135"/>
      <c r="O55" s="135"/>
      <c r="P55" s="496"/>
      <c r="S55" s="211"/>
      <c r="T55" s="211"/>
      <c r="U55" s="211"/>
      <c r="V55" s="211"/>
      <c r="W55" s="211"/>
      <c r="X55" s="211"/>
      <c r="BA55" s="8"/>
      <c r="BB55" s="8"/>
      <c r="BC55" s="8"/>
      <c r="BD55" s="8"/>
      <c r="BE55" s="8"/>
      <c r="BF55" s="8"/>
      <c r="BG55" s="8"/>
      <c r="BH55" s="8"/>
      <c r="BI55" s="8"/>
      <c r="BJ55" s="8"/>
      <c r="BK55" s="8"/>
      <c r="BL55" s="8"/>
    </row>
    <row r="56" spans="1:64">
      <c r="B56" s="149"/>
      <c r="C56" s="148" t="s">
        <v>2422</v>
      </c>
      <c r="D56" s="148"/>
      <c r="E56" s="170"/>
      <c r="F56" s="170"/>
      <c r="G56" s="170"/>
      <c r="H56" s="170"/>
      <c r="N56" s="135"/>
      <c r="O56" s="135"/>
      <c r="P56" s="496"/>
      <c r="S56" s="211"/>
      <c r="T56" s="211"/>
      <c r="U56" s="211"/>
      <c r="V56" s="211"/>
      <c r="W56" s="211"/>
      <c r="X56" s="211"/>
      <c r="BA56" s="8"/>
      <c r="BB56" s="8"/>
      <c r="BC56" s="8"/>
      <c r="BD56" s="8"/>
      <c r="BE56" s="8"/>
      <c r="BF56" s="8"/>
      <c r="BG56" s="8"/>
      <c r="BH56" s="8"/>
      <c r="BI56" s="8"/>
      <c r="BJ56" s="8"/>
      <c r="BK56" s="8"/>
      <c r="BL56" s="8"/>
    </row>
    <row r="57" spans="1:64">
      <c r="B57" s="150"/>
      <c r="C57" s="148"/>
      <c r="D57" s="148"/>
      <c r="E57" s="170"/>
      <c r="F57" s="170"/>
      <c r="G57" s="170"/>
      <c r="H57" s="170"/>
      <c r="N57" s="135"/>
      <c r="O57" s="135"/>
      <c r="P57" s="496"/>
      <c r="S57" s="211"/>
      <c r="T57" s="211"/>
      <c r="U57" s="211"/>
      <c r="V57" s="211"/>
      <c r="W57" s="211"/>
      <c r="X57" s="211"/>
      <c r="BA57" s="8"/>
      <c r="BB57" s="8"/>
      <c r="BC57" s="8"/>
      <c r="BD57" s="8"/>
      <c r="BE57" s="8"/>
      <c r="BF57" s="8"/>
      <c r="BG57" s="8"/>
      <c r="BH57" s="8"/>
      <c r="BI57" s="8"/>
      <c r="BJ57" s="8"/>
      <c r="BK57" s="8"/>
      <c r="BL57" s="8"/>
    </row>
    <row r="58" spans="1:64" ht="15" thickBot="1">
      <c r="B58" s="185"/>
      <c r="C58" s="186"/>
      <c r="D58" s="186"/>
      <c r="E58" s="185"/>
      <c r="F58" s="185"/>
      <c r="G58" s="185"/>
      <c r="H58" s="185"/>
      <c r="N58" s="135"/>
      <c r="O58" s="135"/>
      <c r="P58" s="496"/>
      <c r="S58" s="211"/>
      <c r="T58" s="211"/>
      <c r="U58" s="211"/>
      <c r="V58" s="211"/>
      <c r="W58" s="211"/>
      <c r="X58" s="211"/>
      <c r="BA58" s="8"/>
      <c r="BB58" s="8"/>
      <c r="BC58" s="8"/>
      <c r="BD58" s="8"/>
      <c r="BE58" s="8"/>
      <c r="BF58" s="8"/>
      <c r="BG58" s="8"/>
      <c r="BH58" s="8"/>
      <c r="BI58" s="8"/>
      <c r="BJ58" s="8"/>
      <c r="BK58" s="8"/>
      <c r="BL58" s="8"/>
    </row>
    <row r="59" spans="1:64" s="496" customFormat="1" ht="14.65" customHeight="1" thickBot="1">
      <c r="B59" s="1433" t="s">
        <v>12572</v>
      </c>
      <c r="C59" s="153"/>
      <c r="D59" s="153"/>
      <c r="E59" s="153"/>
      <c r="F59" s="153"/>
      <c r="G59" s="153"/>
      <c r="H59" s="153"/>
      <c r="I59" s="153"/>
      <c r="J59" s="153"/>
      <c r="K59" s="153"/>
      <c r="L59" s="153"/>
      <c r="M59" s="259"/>
      <c r="N59" s="135"/>
      <c r="O59" s="135"/>
      <c r="Q59" s="71"/>
      <c r="R59" s="72"/>
      <c r="S59" s="211"/>
      <c r="T59" s="211"/>
      <c r="U59" s="211"/>
      <c r="V59" s="211"/>
      <c r="W59" s="211"/>
      <c r="X59" s="211"/>
      <c r="Y59" s="72"/>
      <c r="AA59" s="72"/>
      <c r="AE59" s="72"/>
    </row>
    <row r="60" spans="1:64" s="496" customFormat="1">
      <c r="B60" s="185"/>
      <c r="C60" s="186"/>
      <c r="D60" s="186"/>
      <c r="E60" s="185"/>
      <c r="F60" s="185"/>
      <c r="G60" s="185"/>
      <c r="H60" s="185"/>
      <c r="N60" s="135"/>
      <c r="O60" s="135"/>
      <c r="Q60" s="71"/>
      <c r="R60" s="72"/>
      <c r="S60" s="211"/>
      <c r="T60" s="211"/>
      <c r="U60" s="211"/>
      <c r="V60" s="211"/>
      <c r="W60" s="211"/>
      <c r="X60" s="211"/>
      <c r="Y60" s="72"/>
      <c r="AA60" s="72"/>
      <c r="AE60" s="72"/>
    </row>
    <row r="61" spans="1:64" ht="15" hidden="1" thickBot="1">
      <c r="A61" s="1649"/>
      <c r="B61" s="34" t="str">
        <f ca="1" xml:space="preserve"> RIGHT(CELL("filename", $A$1), LEN(CELL("filename", $A$1)) - SEARCH("]", CELL("filename", $A$1)))&amp;" - Line definitions"</f>
        <v>4D - Line definitions</v>
      </c>
      <c r="C61" s="152"/>
      <c r="D61" s="152"/>
      <c r="E61" s="153"/>
      <c r="F61" s="153"/>
      <c r="G61" s="153"/>
      <c r="H61" s="153"/>
      <c r="I61" s="153"/>
      <c r="J61" s="153"/>
      <c r="K61" s="153"/>
      <c r="L61" s="153"/>
      <c r="M61" s="259"/>
      <c r="N61" s="135"/>
      <c r="O61" s="135"/>
      <c r="S61" s="211"/>
      <c r="T61" s="211"/>
      <c r="U61" s="211"/>
      <c r="V61" s="211"/>
      <c r="W61" s="211"/>
      <c r="X61" s="211"/>
      <c r="BA61" s="8"/>
      <c r="BB61" s="8"/>
      <c r="BC61" s="8"/>
      <c r="BD61" s="8"/>
      <c r="BE61" s="8"/>
      <c r="BF61" s="8"/>
      <c r="BG61" s="8"/>
      <c r="BH61" s="8"/>
      <c r="BI61" s="8"/>
      <c r="BJ61" s="8"/>
      <c r="BK61" s="8"/>
      <c r="BL61" s="8"/>
    </row>
    <row r="62" spans="1:64" ht="15" hidden="1" thickBot="1">
      <c r="A62" s="1649"/>
      <c r="B62" s="75"/>
      <c r="C62" s="160"/>
      <c r="D62" s="160"/>
      <c r="E62" s="75"/>
      <c r="F62" s="75"/>
      <c r="G62" s="75"/>
      <c r="H62" s="115"/>
      <c r="N62" s="135"/>
      <c r="O62" s="135"/>
      <c r="S62" s="211"/>
      <c r="T62" s="211"/>
      <c r="U62" s="211"/>
      <c r="V62" s="211"/>
      <c r="W62" s="211"/>
      <c r="X62" s="211"/>
      <c r="BA62" s="8"/>
      <c r="BB62" s="8"/>
      <c r="BC62" s="8"/>
      <c r="BD62" s="8"/>
      <c r="BE62" s="8"/>
      <c r="BF62" s="8"/>
      <c r="BG62" s="8"/>
      <c r="BH62" s="8"/>
      <c r="BI62" s="8"/>
      <c r="BJ62" s="8"/>
      <c r="BK62" s="8"/>
      <c r="BL62" s="8"/>
    </row>
    <row r="63" spans="1:64" ht="15" hidden="1" thickBot="1">
      <c r="A63" s="1649"/>
      <c r="B63" s="260" t="s">
        <v>2423</v>
      </c>
      <c r="C63" s="3416" t="s">
        <v>2424</v>
      </c>
      <c r="D63" s="3417"/>
      <c r="E63" s="3417"/>
      <c r="F63" s="3417"/>
      <c r="G63" s="3417"/>
      <c r="H63" s="3417"/>
      <c r="I63" s="3417"/>
      <c r="J63" s="3417"/>
      <c r="K63" s="3417"/>
      <c r="L63" s="3417"/>
      <c r="M63" s="3418"/>
      <c r="N63" s="135"/>
      <c r="O63" s="135"/>
      <c r="S63" s="90" t="s">
        <v>2425</v>
      </c>
      <c r="T63" s="211"/>
      <c r="U63" s="211"/>
      <c r="V63" s="211"/>
      <c r="W63" s="211"/>
      <c r="X63" s="211"/>
      <c r="BA63" s="8"/>
      <c r="BB63" s="8"/>
      <c r="BC63" s="8"/>
      <c r="BD63" s="8"/>
      <c r="BE63" s="8"/>
      <c r="BF63" s="8"/>
      <c r="BG63" s="8"/>
      <c r="BH63" s="8"/>
      <c r="BI63" s="8"/>
      <c r="BJ63" s="8"/>
      <c r="BK63" s="8"/>
      <c r="BL63" s="8"/>
    </row>
    <row r="64" spans="1:64" ht="14.25" hidden="1" customHeight="1">
      <c r="A64" s="1649"/>
      <c r="B64" s="817" t="str">
        <f>B7</f>
        <v>4D.1</v>
      </c>
      <c r="C64" s="3419" t="s">
        <v>3613</v>
      </c>
      <c r="D64" s="3420"/>
      <c r="E64" s="3420"/>
      <c r="F64" s="3420"/>
      <c r="G64" s="3420"/>
      <c r="H64" s="3420"/>
      <c r="I64" s="3420"/>
      <c r="J64" s="3420"/>
      <c r="K64" s="3420"/>
      <c r="L64" s="3420"/>
      <c r="M64" s="3421"/>
      <c r="N64" s="135"/>
      <c r="O64" s="135"/>
      <c r="S64" s="210">
        <v>1</v>
      </c>
      <c r="T64" s="211"/>
      <c r="U64" s="211"/>
      <c r="V64" s="211"/>
      <c r="W64" s="211"/>
      <c r="X64" s="211"/>
      <c r="BA64" s="8"/>
      <c r="BB64" s="8"/>
      <c r="BC64" s="8"/>
      <c r="BD64" s="8"/>
      <c r="BE64" s="8"/>
      <c r="BF64" s="8"/>
      <c r="BG64" s="8"/>
      <c r="BH64" s="8"/>
      <c r="BI64" s="8"/>
      <c r="BJ64" s="8"/>
      <c r="BK64" s="8"/>
      <c r="BL64" s="8"/>
    </row>
    <row r="65" spans="1:64" ht="35.25" hidden="1" customHeight="1">
      <c r="A65" s="1649"/>
      <c r="B65" s="818" t="str">
        <f>B8</f>
        <v>4D.2</v>
      </c>
      <c r="C65" s="3413" t="s">
        <v>3810</v>
      </c>
      <c r="D65" s="3414"/>
      <c r="E65" s="3414"/>
      <c r="F65" s="3414"/>
      <c r="G65" s="3414"/>
      <c r="H65" s="3414"/>
      <c r="I65" s="3414"/>
      <c r="J65" s="3414"/>
      <c r="K65" s="3414"/>
      <c r="L65" s="3414"/>
      <c r="M65" s="3415"/>
      <c r="N65" s="135"/>
      <c r="O65" s="135"/>
      <c r="S65" s="210" t="s">
        <v>2426</v>
      </c>
      <c r="T65" s="211"/>
      <c r="U65" s="211"/>
      <c r="V65" s="211"/>
      <c r="W65" s="211"/>
      <c r="X65" s="211"/>
      <c r="BA65" s="8"/>
      <c r="BB65" s="8"/>
      <c r="BC65" s="8"/>
      <c r="BD65" s="8"/>
      <c r="BE65" s="8"/>
      <c r="BF65" s="8"/>
      <c r="BG65" s="8"/>
      <c r="BH65" s="8"/>
      <c r="BI65" s="8"/>
      <c r="BJ65" s="8"/>
      <c r="BK65" s="8"/>
      <c r="BL65" s="8"/>
    </row>
    <row r="66" spans="1:64" ht="14.25" hidden="1" customHeight="1">
      <c r="A66" s="1649"/>
      <c r="B66" s="818" t="str">
        <f>B9</f>
        <v>4D.3</v>
      </c>
      <c r="C66" s="3413" t="s">
        <v>3811</v>
      </c>
      <c r="D66" s="3414"/>
      <c r="E66" s="3414"/>
      <c r="F66" s="3414"/>
      <c r="G66" s="3414"/>
      <c r="H66" s="3414"/>
      <c r="I66" s="3414"/>
      <c r="J66" s="3414"/>
      <c r="K66" s="3414"/>
      <c r="L66" s="3414"/>
      <c r="M66" s="3415"/>
      <c r="N66" s="135"/>
      <c r="O66" s="135"/>
      <c r="S66" s="210">
        <v>1</v>
      </c>
      <c r="T66" s="211"/>
      <c r="U66" s="211"/>
      <c r="V66" s="211"/>
      <c r="W66" s="211"/>
      <c r="X66" s="211"/>
      <c r="BA66" s="8"/>
      <c r="BB66" s="8"/>
      <c r="BC66" s="8"/>
      <c r="BD66" s="8"/>
      <c r="BE66" s="8"/>
      <c r="BF66" s="8"/>
      <c r="BG66" s="8"/>
      <c r="BH66" s="8"/>
      <c r="BI66" s="8"/>
      <c r="BJ66" s="8"/>
      <c r="BK66" s="8"/>
      <c r="BL66" s="8"/>
    </row>
    <row r="67" spans="1:64" ht="13.5" hidden="1" customHeight="1">
      <c r="A67" s="1649"/>
      <c r="B67" s="818" t="str">
        <f>B10</f>
        <v>4D.4</v>
      </c>
      <c r="C67" s="3413" t="s">
        <v>3667</v>
      </c>
      <c r="D67" s="3414"/>
      <c r="E67" s="3414"/>
      <c r="F67" s="3414"/>
      <c r="G67" s="3414"/>
      <c r="H67" s="3414"/>
      <c r="I67" s="3414"/>
      <c r="J67" s="3414"/>
      <c r="K67" s="3414"/>
      <c r="L67" s="3414"/>
      <c r="M67" s="3415"/>
      <c r="N67" s="135"/>
      <c r="O67" s="135"/>
      <c r="S67" s="210">
        <v>1</v>
      </c>
      <c r="T67" s="211"/>
      <c r="U67" s="211"/>
      <c r="V67" s="211"/>
      <c r="W67" s="211"/>
      <c r="X67" s="211"/>
      <c r="BA67" s="8"/>
      <c r="BB67" s="8"/>
      <c r="BC67" s="8"/>
      <c r="BD67" s="8"/>
      <c r="BE67" s="8"/>
      <c r="BF67" s="8"/>
      <c r="BG67" s="8"/>
      <c r="BH67" s="8"/>
      <c r="BI67" s="8"/>
      <c r="BJ67" s="8"/>
      <c r="BK67" s="8"/>
      <c r="BL67" s="8"/>
    </row>
    <row r="68" spans="1:64" ht="13.5" hidden="1" customHeight="1">
      <c r="A68" s="1649"/>
      <c r="B68" s="818" t="str">
        <f t="shared" ref="B68:B72" si="30">B11</f>
        <v>4D.5</v>
      </c>
      <c r="C68" s="3413" t="s">
        <v>11014</v>
      </c>
      <c r="D68" s="3414"/>
      <c r="E68" s="3414"/>
      <c r="F68" s="3414"/>
      <c r="G68" s="3414"/>
      <c r="H68" s="3414"/>
      <c r="I68" s="3414"/>
      <c r="J68" s="3414"/>
      <c r="K68" s="3414"/>
      <c r="L68" s="3414"/>
      <c r="M68" s="3415"/>
      <c r="N68" s="135"/>
      <c r="O68" s="135"/>
      <c r="S68" s="210">
        <v>1</v>
      </c>
      <c r="T68" s="115"/>
      <c r="U68" s="115"/>
      <c r="V68" s="115"/>
      <c r="W68" s="115"/>
      <c r="X68" s="115"/>
      <c r="BA68" s="8"/>
      <c r="BB68" s="8"/>
      <c r="BC68" s="8"/>
      <c r="BD68" s="8"/>
      <c r="BE68" s="8"/>
      <c r="BF68" s="8"/>
      <c r="BG68" s="8"/>
      <c r="BH68" s="8"/>
      <c r="BI68" s="8"/>
      <c r="BJ68" s="8"/>
      <c r="BK68" s="8"/>
      <c r="BL68" s="8"/>
    </row>
    <row r="69" spans="1:64" s="496" customFormat="1" ht="14.25" hidden="1" customHeight="1">
      <c r="A69" s="1649"/>
      <c r="B69" s="818" t="str">
        <f t="shared" si="30"/>
        <v>4D.6</v>
      </c>
      <c r="C69" s="3413" t="s">
        <v>3796</v>
      </c>
      <c r="D69" s="3414"/>
      <c r="E69" s="3414"/>
      <c r="F69" s="3414"/>
      <c r="G69" s="3414"/>
      <c r="H69" s="3414"/>
      <c r="I69" s="3414"/>
      <c r="J69" s="3414"/>
      <c r="K69" s="3414"/>
      <c r="L69" s="3414"/>
      <c r="M69" s="3415"/>
      <c r="N69" s="135"/>
      <c r="O69" s="135"/>
      <c r="P69" s="71"/>
      <c r="Q69" s="71"/>
      <c r="R69" s="72"/>
      <c r="S69" s="210">
        <v>1</v>
      </c>
      <c r="T69" s="115"/>
      <c r="U69" s="115"/>
      <c r="V69" s="115"/>
      <c r="W69" s="115"/>
      <c r="X69" s="115"/>
      <c r="Y69" s="72"/>
      <c r="AA69" s="72"/>
      <c r="AE69" s="72"/>
    </row>
    <row r="70" spans="1:64" hidden="1">
      <c r="A70" s="1649"/>
      <c r="B70" s="818" t="str">
        <f t="shared" si="30"/>
        <v>4D.7</v>
      </c>
      <c r="C70" s="3413" t="s">
        <v>12768</v>
      </c>
      <c r="D70" s="3414"/>
      <c r="E70" s="3414"/>
      <c r="F70" s="3414"/>
      <c r="G70" s="3414"/>
      <c r="H70" s="3414"/>
      <c r="I70" s="3414"/>
      <c r="J70" s="3414"/>
      <c r="K70" s="3414"/>
      <c r="L70" s="3414"/>
      <c r="M70" s="3415"/>
      <c r="N70" s="135"/>
      <c r="O70" s="135"/>
      <c r="S70" s="261">
        <v>1</v>
      </c>
      <c r="T70" s="115"/>
      <c r="U70" s="115"/>
      <c r="V70" s="115"/>
      <c r="W70" s="115"/>
      <c r="X70" s="115"/>
      <c r="BA70" s="8"/>
      <c r="BB70" s="8"/>
      <c r="BC70" s="8"/>
      <c r="BD70" s="8"/>
      <c r="BE70" s="8"/>
      <c r="BF70" s="8"/>
      <c r="BG70" s="8"/>
      <c r="BH70" s="8"/>
      <c r="BI70" s="8"/>
      <c r="BJ70" s="8"/>
      <c r="BK70" s="8"/>
      <c r="BL70" s="8"/>
    </row>
    <row r="71" spans="1:64" ht="14.25" hidden="1" customHeight="1">
      <c r="A71" s="1649"/>
      <c r="B71" s="818" t="str">
        <f t="shared" si="30"/>
        <v>4D.8</v>
      </c>
      <c r="C71" s="3413" t="s">
        <v>3668</v>
      </c>
      <c r="D71" s="3414"/>
      <c r="E71" s="3414"/>
      <c r="F71" s="3414"/>
      <c r="G71" s="3414"/>
      <c r="H71" s="3414"/>
      <c r="I71" s="3414"/>
      <c r="J71" s="3414"/>
      <c r="K71" s="3414"/>
      <c r="L71" s="3414"/>
      <c r="M71" s="3415"/>
      <c r="S71" s="261">
        <v>1</v>
      </c>
      <c r="T71" s="115"/>
      <c r="U71" s="115"/>
      <c r="V71" s="115"/>
      <c r="W71" s="115"/>
      <c r="X71" s="115"/>
      <c r="BA71" s="8"/>
      <c r="BB71" s="8"/>
      <c r="BC71" s="8"/>
      <c r="BD71" s="8"/>
      <c r="BE71" s="8"/>
      <c r="BF71" s="8"/>
      <c r="BG71" s="8"/>
      <c r="BH71" s="8"/>
      <c r="BI71" s="8"/>
      <c r="BJ71" s="8"/>
      <c r="BK71" s="8"/>
      <c r="BL71" s="8"/>
    </row>
    <row r="72" spans="1:64" ht="13.5" hidden="1" customHeight="1">
      <c r="A72" s="1649"/>
      <c r="B72" s="818" t="str">
        <f t="shared" si="30"/>
        <v>4D.9</v>
      </c>
      <c r="C72" s="3413" t="s">
        <v>12769</v>
      </c>
      <c r="D72" s="3414"/>
      <c r="E72" s="3414"/>
      <c r="F72" s="3414"/>
      <c r="G72" s="3414"/>
      <c r="H72" s="3414"/>
      <c r="I72" s="3414"/>
      <c r="J72" s="3414"/>
      <c r="K72" s="3414"/>
      <c r="L72" s="3414"/>
      <c r="M72" s="3415"/>
      <c r="S72" s="261">
        <v>1</v>
      </c>
      <c r="T72" s="115"/>
      <c r="U72" s="115"/>
      <c r="V72" s="115"/>
      <c r="W72" s="115"/>
      <c r="X72" s="115"/>
      <c r="BA72" s="8"/>
      <c r="BB72" s="8"/>
      <c r="BC72" s="8"/>
      <c r="BD72" s="8"/>
      <c r="BE72" s="8"/>
      <c r="BF72" s="8"/>
      <c r="BG72" s="8"/>
      <c r="BH72" s="8"/>
      <c r="BI72" s="8"/>
      <c r="BJ72" s="8"/>
      <c r="BK72" s="8"/>
      <c r="BL72" s="8"/>
    </row>
    <row r="73" spans="1:64" hidden="1">
      <c r="A73" s="1649"/>
      <c r="B73" s="818" t="str">
        <f>B17</f>
        <v>4D.10</v>
      </c>
      <c r="C73" s="3413" t="s">
        <v>3669</v>
      </c>
      <c r="D73" s="3414"/>
      <c r="E73" s="3414"/>
      <c r="F73" s="3414"/>
      <c r="G73" s="3414"/>
      <c r="H73" s="3414"/>
      <c r="I73" s="3414"/>
      <c r="J73" s="3414"/>
      <c r="K73" s="3414"/>
      <c r="L73" s="3414"/>
      <c r="M73" s="3415"/>
      <c r="S73" s="210">
        <v>1</v>
      </c>
      <c r="BA73" s="8"/>
      <c r="BB73" s="8"/>
      <c r="BC73" s="8"/>
      <c r="BD73" s="8"/>
      <c r="BE73" s="8"/>
      <c r="BF73" s="8"/>
      <c r="BG73" s="8"/>
      <c r="BH73" s="8"/>
      <c r="BI73" s="8"/>
      <c r="BJ73" s="8"/>
      <c r="BK73" s="8"/>
      <c r="BL73" s="8"/>
    </row>
    <row r="74" spans="1:64" ht="13.5" hidden="1" customHeight="1">
      <c r="A74" s="1649"/>
      <c r="B74" s="818" t="str">
        <f>B18</f>
        <v>4D.11</v>
      </c>
      <c r="C74" s="3413" t="s">
        <v>12770</v>
      </c>
      <c r="D74" s="3414"/>
      <c r="E74" s="3414"/>
      <c r="F74" s="3414"/>
      <c r="G74" s="3414"/>
      <c r="H74" s="3414"/>
      <c r="I74" s="3414"/>
      <c r="J74" s="3414"/>
      <c r="K74" s="3414"/>
      <c r="L74" s="3414"/>
      <c r="M74" s="3415"/>
      <c r="S74" s="165">
        <v>1</v>
      </c>
      <c r="BA74" s="8"/>
      <c r="BB74" s="8"/>
      <c r="BC74" s="8"/>
      <c r="BD74" s="8"/>
      <c r="BE74" s="8"/>
      <c r="BF74" s="8"/>
      <c r="BG74" s="8"/>
      <c r="BH74" s="8"/>
      <c r="BI74" s="8"/>
      <c r="BJ74" s="8"/>
      <c r="BK74" s="8"/>
      <c r="BL74" s="8"/>
    </row>
    <row r="75" spans="1:64" ht="23.25" hidden="1" customHeight="1">
      <c r="A75" s="1649"/>
      <c r="B75" s="818" t="str">
        <f t="shared" ref="B75:B82" si="31">B21</f>
        <v>4D.12</v>
      </c>
      <c r="C75" s="3413" t="s">
        <v>3800</v>
      </c>
      <c r="D75" s="3414"/>
      <c r="E75" s="3414"/>
      <c r="F75" s="3414"/>
      <c r="G75" s="3414"/>
      <c r="H75" s="3414"/>
      <c r="I75" s="3414"/>
      <c r="J75" s="3414"/>
      <c r="K75" s="3414"/>
      <c r="L75" s="3414"/>
      <c r="M75" s="3415"/>
      <c r="S75" s="210" t="s">
        <v>2428</v>
      </c>
      <c r="BA75" s="8"/>
      <c r="BB75" s="8"/>
      <c r="BC75" s="8"/>
      <c r="BD75" s="8"/>
      <c r="BE75" s="8"/>
      <c r="BF75" s="8"/>
      <c r="BG75" s="8"/>
      <c r="BH75" s="8"/>
      <c r="BI75" s="8"/>
      <c r="BJ75" s="8"/>
      <c r="BK75" s="8"/>
      <c r="BL75" s="8"/>
    </row>
    <row r="76" spans="1:64" ht="23.25" hidden="1" customHeight="1">
      <c r="A76" s="1649"/>
      <c r="B76" s="818" t="str">
        <f t="shared" si="31"/>
        <v>4D.13</v>
      </c>
      <c r="C76" s="3413" t="s">
        <v>3801</v>
      </c>
      <c r="D76" s="3414"/>
      <c r="E76" s="3414"/>
      <c r="F76" s="3414"/>
      <c r="G76" s="3414"/>
      <c r="H76" s="3414"/>
      <c r="I76" s="3414"/>
      <c r="J76" s="3414"/>
      <c r="K76" s="3414"/>
      <c r="L76" s="3414"/>
      <c r="M76" s="3415"/>
      <c r="S76" s="210" t="s">
        <v>2428</v>
      </c>
      <c r="BA76" s="8"/>
      <c r="BB76" s="8"/>
      <c r="BC76" s="8"/>
      <c r="BD76" s="8"/>
      <c r="BE76" s="8"/>
      <c r="BF76" s="8"/>
      <c r="BG76" s="8"/>
      <c r="BH76" s="8"/>
      <c r="BI76" s="8"/>
      <c r="BJ76" s="8"/>
      <c r="BK76" s="8"/>
      <c r="BL76" s="8"/>
    </row>
    <row r="77" spans="1:64" ht="14.25" hidden="1" customHeight="1">
      <c r="A77" s="1649"/>
      <c r="B77" s="818" t="str">
        <f t="shared" si="31"/>
        <v>4D.14</v>
      </c>
      <c r="C77" s="3413" t="s">
        <v>12771</v>
      </c>
      <c r="D77" s="3414"/>
      <c r="E77" s="3414"/>
      <c r="F77" s="3414"/>
      <c r="G77" s="3414"/>
      <c r="H77" s="3414"/>
      <c r="I77" s="3414"/>
      <c r="J77" s="3414"/>
      <c r="K77" s="3414"/>
      <c r="L77" s="3414"/>
      <c r="M77" s="3415"/>
      <c r="S77" s="165">
        <v>1</v>
      </c>
      <c r="BA77" s="8"/>
      <c r="BB77" s="8"/>
      <c r="BC77" s="8"/>
      <c r="BD77" s="8"/>
      <c r="BE77" s="8"/>
      <c r="BF77" s="8"/>
      <c r="BG77" s="8"/>
      <c r="BH77" s="8"/>
      <c r="BI77" s="8"/>
      <c r="BJ77" s="8"/>
      <c r="BK77" s="8"/>
      <c r="BL77" s="8"/>
    </row>
    <row r="78" spans="1:64" ht="14.25" hidden="1" customHeight="1">
      <c r="A78" s="1649"/>
      <c r="B78" s="818" t="str">
        <f t="shared" si="31"/>
        <v>4D.15</v>
      </c>
      <c r="C78" s="3413" t="s">
        <v>12772</v>
      </c>
      <c r="D78" s="3414"/>
      <c r="E78" s="3414"/>
      <c r="F78" s="3414"/>
      <c r="G78" s="3414"/>
      <c r="H78" s="3414"/>
      <c r="I78" s="3414"/>
      <c r="J78" s="3414"/>
      <c r="K78" s="3414"/>
      <c r="L78" s="3414"/>
      <c r="M78" s="3415"/>
      <c r="S78" s="165">
        <v>1</v>
      </c>
      <c r="BA78" s="8"/>
      <c r="BB78" s="8"/>
      <c r="BC78" s="8"/>
      <c r="BD78" s="8"/>
      <c r="BE78" s="8"/>
      <c r="BF78" s="8"/>
      <c r="BG78" s="8"/>
      <c r="BH78" s="8"/>
      <c r="BI78" s="8"/>
      <c r="BJ78" s="8"/>
      <c r="BK78" s="8"/>
      <c r="BL78" s="8"/>
    </row>
    <row r="79" spans="1:64" s="496" customFormat="1" ht="46.5" hidden="1" customHeight="1">
      <c r="A79" s="1649"/>
      <c r="B79" s="818" t="str">
        <f t="shared" si="31"/>
        <v>4D.16</v>
      </c>
      <c r="C79" s="3413" t="s">
        <v>12922</v>
      </c>
      <c r="D79" s="3414"/>
      <c r="E79" s="3414"/>
      <c r="F79" s="3414"/>
      <c r="G79" s="3414"/>
      <c r="H79" s="3414"/>
      <c r="I79" s="3414"/>
      <c r="J79" s="3414"/>
      <c r="K79" s="3414"/>
      <c r="L79" s="3414"/>
      <c r="M79" s="3415"/>
      <c r="N79" s="71"/>
      <c r="O79" s="71"/>
      <c r="P79" s="71"/>
      <c r="Q79" s="71"/>
      <c r="R79" s="72"/>
      <c r="S79" s="210" t="s">
        <v>2432</v>
      </c>
      <c r="T79" s="71"/>
      <c r="U79" s="71"/>
      <c r="V79" s="71"/>
      <c r="W79" s="71"/>
      <c r="X79" s="71"/>
      <c r="Y79" s="72"/>
      <c r="AA79" s="72"/>
      <c r="AE79" s="72"/>
    </row>
    <row r="80" spans="1:64" ht="13.5" hidden="1" customHeight="1">
      <c r="A80" s="1649"/>
      <c r="B80" s="818" t="str">
        <f t="shared" si="31"/>
        <v>4D.17</v>
      </c>
      <c r="C80" s="3413" t="s">
        <v>12773</v>
      </c>
      <c r="D80" s="3414"/>
      <c r="E80" s="3414"/>
      <c r="F80" s="3414"/>
      <c r="G80" s="3414"/>
      <c r="H80" s="3414"/>
      <c r="I80" s="3414"/>
      <c r="J80" s="3414"/>
      <c r="K80" s="3414"/>
      <c r="L80" s="3414"/>
      <c r="M80" s="3415"/>
      <c r="S80" s="165">
        <v>1</v>
      </c>
      <c r="BA80" s="8"/>
      <c r="BB80" s="8"/>
      <c r="BC80" s="8"/>
      <c r="BD80" s="8"/>
      <c r="BE80" s="8"/>
      <c r="BF80" s="8"/>
      <c r="BG80" s="8"/>
      <c r="BH80" s="8"/>
      <c r="BI80" s="8"/>
      <c r="BJ80" s="8"/>
      <c r="BK80" s="8"/>
      <c r="BL80" s="8"/>
    </row>
    <row r="81" spans="1:64" hidden="1">
      <c r="A81" s="1649"/>
      <c r="B81" s="818" t="str">
        <f t="shared" si="31"/>
        <v>4D.18</v>
      </c>
      <c r="C81" s="3413" t="s">
        <v>3670</v>
      </c>
      <c r="D81" s="3414"/>
      <c r="E81" s="3414"/>
      <c r="F81" s="3414"/>
      <c r="G81" s="3414"/>
      <c r="H81" s="3414"/>
      <c r="I81" s="3414"/>
      <c r="J81" s="3414"/>
      <c r="K81" s="3414"/>
      <c r="L81" s="3414"/>
      <c r="M81" s="3415"/>
      <c r="S81" s="165">
        <v>1</v>
      </c>
      <c r="BA81" s="8"/>
      <c r="BB81" s="8"/>
      <c r="BC81" s="8"/>
      <c r="BD81" s="8"/>
      <c r="BE81" s="8"/>
      <c r="BF81" s="8"/>
      <c r="BG81" s="8"/>
      <c r="BH81" s="8"/>
      <c r="BI81" s="8"/>
      <c r="BJ81" s="8"/>
      <c r="BK81" s="8"/>
      <c r="BL81" s="8"/>
    </row>
    <row r="82" spans="1:64" ht="14.25" hidden="1" customHeight="1">
      <c r="A82" s="1649"/>
      <c r="B82" s="818" t="str">
        <f t="shared" si="31"/>
        <v>4D.19</v>
      </c>
      <c r="C82" s="3413" t="s">
        <v>12774</v>
      </c>
      <c r="D82" s="3414"/>
      <c r="E82" s="3414"/>
      <c r="F82" s="3414"/>
      <c r="G82" s="3414"/>
      <c r="H82" s="3414"/>
      <c r="I82" s="3414"/>
      <c r="J82" s="3414"/>
      <c r="K82" s="3414"/>
      <c r="L82" s="3414"/>
      <c r="M82" s="3415"/>
      <c r="S82" s="165">
        <v>1</v>
      </c>
      <c r="BA82" s="8"/>
      <c r="BB82" s="8"/>
      <c r="BC82" s="8"/>
      <c r="BD82" s="8"/>
      <c r="BE82" s="8"/>
      <c r="BF82" s="8"/>
      <c r="BG82" s="8"/>
      <c r="BH82" s="8"/>
      <c r="BI82" s="8"/>
      <c r="BJ82" s="8"/>
      <c r="BK82" s="8"/>
      <c r="BL82" s="8"/>
    </row>
    <row r="83" spans="1:64" ht="35.25" hidden="1" customHeight="1">
      <c r="A83" s="1649"/>
      <c r="B83" s="818" t="str">
        <f>B31</f>
        <v>4D.20</v>
      </c>
      <c r="C83" s="3413" t="s">
        <v>3813</v>
      </c>
      <c r="D83" s="3414"/>
      <c r="E83" s="3414"/>
      <c r="F83" s="3414"/>
      <c r="G83" s="3414"/>
      <c r="H83" s="3414"/>
      <c r="I83" s="3414"/>
      <c r="J83" s="3414"/>
      <c r="K83" s="3414"/>
      <c r="L83" s="3414"/>
      <c r="M83" s="3415"/>
      <c r="S83" s="210" t="s">
        <v>2426</v>
      </c>
      <c r="BA83" s="8"/>
      <c r="BB83" s="8"/>
      <c r="BC83" s="8"/>
      <c r="BD83" s="8"/>
      <c r="BE83" s="8"/>
      <c r="BF83" s="8"/>
      <c r="BG83" s="8"/>
      <c r="BH83" s="8"/>
      <c r="BI83" s="8"/>
      <c r="BJ83" s="8"/>
      <c r="BK83" s="8"/>
      <c r="BL83" s="8"/>
    </row>
    <row r="84" spans="1:64" ht="14.25" hidden="1" customHeight="1">
      <c r="A84" s="1649"/>
      <c r="B84" s="818" t="str">
        <f t="shared" ref="B84" si="32">B33</f>
        <v>4D.21</v>
      </c>
      <c r="C84" s="3413" t="s">
        <v>12775</v>
      </c>
      <c r="D84" s="3414"/>
      <c r="E84" s="3414"/>
      <c r="F84" s="3414"/>
      <c r="G84" s="3414"/>
      <c r="H84" s="3414"/>
      <c r="I84" s="3414"/>
      <c r="J84" s="3414"/>
      <c r="K84" s="3414"/>
      <c r="L84" s="3414"/>
      <c r="M84" s="3415"/>
      <c r="S84" s="165">
        <v>1</v>
      </c>
      <c r="BA84" s="8"/>
      <c r="BB84" s="8"/>
      <c r="BC84" s="8"/>
      <c r="BD84" s="8"/>
      <c r="BE84" s="8"/>
      <c r="BF84" s="8"/>
      <c r="BG84" s="8"/>
      <c r="BH84" s="8"/>
      <c r="BI84" s="8"/>
      <c r="BJ84" s="8"/>
      <c r="BK84" s="8"/>
      <c r="BL84" s="8"/>
    </row>
    <row r="85" spans="1:64" ht="13.5" hidden="1" customHeight="1">
      <c r="A85" s="1649"/>
      <c r="B85" s="818" t="str">
        <f>B36</f>
        <v>4D.22</v>
      </c>
      <c r="C85" s="3413" t="s">
        <v>2612</v>
      </c>
      <c r="D85" s="3414"/>
      <c r="E85" s="3414"/>
      <c r="F85" s="3414"/>
      <c r="G85" s="3414"/>
      <c r="H85" s="3414"/>
      <c r="I85" s="3414"/>
      <c r="J85" s="3414"/>
      <c r="K85" s="3414"/>
      <c r="L85" s="3414"/>
      <c r="M85" s="3415"/>
      <c r="S85" s="165">
        <v>1</v>
      </c>
      <c r="BA85" s="8"/>
      <c r="BB85" s="8"/>
      <c r="BC85" s="8"/>
      <c r="BD85" s="8"/>
      <c r="BE85" s="8"/>
      <c r="BF85" s="8"/>
      <c r="BG85" s="8"/>
      <c r="BH85" s="8"/>
      <c r="BI85" s="8"/>
      <c r="BJ85" s="8"/>
      <c r="BK85" s="8"/>
      <c r="BL85" s="8"/>
    </row>
    <row r="86" spans="1:64" hidden="1">
      <c r="A86" s="1649"/>
      <c r="B86" s="818" t="str">
        <f>B37</f>
        <v>4D.23</v>
      </c>
      <c r="C86" s="3413" t="s">
        <v>2613</v>
      </c>
      <c r="D86" s="3414"/>
      <c r="E86" s="3414"/>
      <c r="F86" s="3414"/>
      <c r="G86" s="3414"/>
      <c r="H86" s="3414"/>
      <c r="I86" s="3414"/>
      <c r="J86" s="3414"/>
      <c r="K86" s="3414"/>
      <c r="L86" s="3414"/>
      <c r="M86" s="3415"/>
      <c r="S86" s="165">
        <v>1</v>
      </c>
      <c r="BA86" s="8"/>
      <c r="BB86" s="8"/>
      <c r="BC86" s="8"/>
      <c r="BD86" s="8"/>
      <c r="BE86" s="8"/>
      <c r="BF86" s="8"/>
      <c r="BG86" s="8"/>
      <c r="BH86" s="8"/>
      <c r="BI86" s="8"/>
      <c r="BJ86" s="8"/>
      <c r="BK86" s="8"/>
      <c r="BL86" s="8"/>
    </row>
    <row r="87" spans="1:64" ht="14.25" hidden="1" customHeight="1">
      <c r="A87" s="1649"/>
      <c r="B87" s="818" t="str">
        <f>B39</f>
        <v>4D.24</v>
      </c>
      <c r="C87" s="3413" t="s">
        <v>12440</v>
      </c>
      <c r="D87" s="3414"/>
      <c r="E87" s="3414"/>
      <c r="F87" s="3414"/>
      <c r="G87" s="3414"/>
      <c r="H87" s="3414"/>
      <c r="I87" s="3414"/>
      <c r="J87" s="3414"/>
      <c r="K87" s="3414"/>
      <c r="L87" s="3414"/>
      <c r="M87" s="3415"/>
      <c r="S87" s="165">
        <v>1</v>
      </c>
      <c r="BA87" s="8"/>
      <c r="BB87" s="8"/>
      <c r="BC87" s="8"/>
      <c r="BD87" s="8"/>
      <c r="BE87" s="8"/>
      <c r="BF87" s="8"/>
      <c r="BG87" s="8"/>
      <c r="BH87" s="8"/>
      <c r="BI87" s="8"/>
      <c r="BJ87" s="8"/>
      <c r="BK87" s="8"/>
      <c r="BL87" s="8"/>
    </row>
    <row r="88" spans="1:64" s="496" customFormat="1" ht="14.25" hidden="1" customHeight="1">
      <c r="A88" s="1649"/>
      <c r="B88" s="818" t="s">
        <v>5222</v>
      </c>
      <c r="C88" s="3413" t="s">
        <v>3671</v>
      </c>
      <c r="D88" s="3414"/>
      <c r="E88" s="3414"/>
      <c r="F88" s="3414"/>
      <c r="G88" s="3414"/>
      <c r="H88" s="3414"/>
      <c r="I88" s="3414"/>
      <c r="J88" s="3414"/>
      <c r="K88" s="3414"/>
      <c r="L88" s="3414"/>
      <c r="M88" s="3415"/>
      <c r="N88" s="71"/>
      <c r="O88" s="71"/>
      <c r="P88" s="71"/>
      <c r="Q88" s="71"/>
      <c r="R88" s="72"/>
      <c r="S88" s="165">
        <v>1</v>
      </c>
      <c r="T88" s="71"/>
      <c r="U88" s="71"/>
      <c r="V88" s="71"/>
      <c r="W88" s="71"/>
      <c r="X88" s="71"/>
      <c r="Y88" s="72"/>
      <c r="AA88" s="72"/>
      <c r="AE88" s="72"/>
    </row>
    <row r="89" spans="1:64" s="496" customFormat="1" ht="14.25" hidden="1" customHeight="1">
      <c r="A89" s="1649"/>
      <c r="B89" s="818" t="s">
        <v>5251</v>
      </c>
      <c r="C89" s="3413" t="s">
        <v>12923</v>
      </c>
      <c r="D89" s="3414"/>
      <c r="E89" s="3414"/>
      <c r="F89" s="3414"/>
      <c r="G89" s="3414"/>
      <c r="H89" s="3414"/>
      <c r="I89" s="3414"/>
      <c r="J89" s="3414"/>
      <c r="K89" s="3414"/>
      <c r="L89" s="3414"/>
      <c r="M89" s="3415"/>
      <c r="N89" s="71"/>
      <c r="O89" s="71"/>
      <c r="P89" s="71"/>
      <c r="Q89" s="71"/>
      <c r="R89" s="72"/>
      <c r="S89" s="165">
        <v>1</v>
      </c>
      <c r="T89" s="71"/>
      <c r="U89" s="71"/>
      <c r="V89" s="71"/>
      <c r="W89" s="71"/>
      <c r="X89" s="71"/>
      <c r="Y89" s="72"/>
      <c r="AA89" s="72"/>
      <c r="AE89" s="72"/>
    </row>
    <row r="90" spans="1:64" ht="13.5" hidden="1" customHeight="1">
      <c r="A90" s="1649"/>
      <c r="B90" s="818" t="s">
        <v>5252</v>
      </c>
      <c r="C90" s="3413" t="s">
        <v>3672</v>
      </c>
      <c r="D90" s="3414"/>
      <c r="E90" s="3414"/>
      <c r="F90" s="3414"/>
      <c r="G90" s="3414"/>
      <c r="H90" s="3414"/>
      <c r="I90" s="3414"/>
      <c r="J90" s="3414"/>
      <c r="K90" s="3414"/>
      <c r="L90" s="3414"/>
      <c r="M90" s="3415"/>
      <c r="S90" s="165">
        <v>1</v>
      </c>
      <c r="BA90" s="8"/>
      <c r="BB90" s="8"/>
      <c r="BC90" s="8"/>
      <c r="BD90" s="8"/>
      <c r="BE90" s="8"/>
      <c r="BF90" s="8"/>
      <c r="BG90" s="8"/>
      <c r="BH90" s="8"/>
      <c r="BI90" s="8"/>
      <c r="BJ90" s="8"/>
      <c r="BK90" s="8"/>
      <c r="BL90" s="8"/>
    </row>
    <row r="91" spans="1:64" ht="14.25" hidden="1" customHeight="1" thickBot="1">
      <c r="A91" s="1649"/>
      <c r="B91" s="819" t="s">
        <v>5253</v>
      </c>
      <c r="C91" s="3422" t="s">
        <v>12924</v>
      </c>
      <c r="D91" s="3423"/>
      <c r="E91" s="3423"/>
      <c r="F91" s="3423"/>
      <c r="G91" s="3423"/>
      <c r="H91" s="3423"/>
      <c r="I91" s="3423"/>
      <c r="J91" s="3423"/>
      <c r="K91" s="3423"/>
      <c r="L91" s="3423"/>
      <c r="M91" s="3424"/>
      <c r="S91" s="165"/>
      <c r="BA91" s="8"/>
      <c r="BB91" s="8"/>
      <c r="BC91" s="8"/>
      <c r="BD91" s="8"/>
      <c r="BE91" s="8"/>
      <c r="BF91" s="8"/>
      <c r="BG91" s="8"/>
      <c r="BH91" s="8"/>
      <c r="BI91" s="8"/>
      <c r="BJ91" s="8"/>
      <c r="BK91" s="8"/>
      <c r="BL91" s="8"/>
    </row>
    <row r="92" spans="1:64" hidden="1">
      <c r="A92" s="1649"/>
      <c r="S92" s="262"/>
      <c r="BA92" s="8"/>
      <c r="BB92" s="8"/>
      <c r="BC92" s="8"/>
      <c r="BD92" s="8"/>
      <c r="BE92" s="8"/>
      <c r="BF92" s="8"/>
      <c r="BG92" s="8"/>
      <c r="BH92" s="8"/>
      <c r="BI92" s="8"/>
      <c r="BJ92" s="8"/>
      <c r="BK92" s="8"/>
      <c r="BL92" s="8"/>
    </row>
  </sheetData>
  <mergeCells count="46">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M3:M4"/>
    <mergeCell ref="P3:P4"/>
    <mergeCell ref="S5:X5"/>
    <mergeCell ref="I3:L3"/>
    <mergeCell ref="B52:C52"/>
    <mergeCell ref="B3:C4"/>
    <mergeCell ref="E3:E4"/>
    <mergeCell ref="F3:F4"/>
    <mergeCell ref="G3:H3"/>
    <mergeCell ref="O3:O4"/>
    <mergeCell ref="S4:X4"/>
    <mergeCell ref="BL3:BL4"/>
    <mergeCell ref="BA3:BB4"/>
    <mergeCell ref="BD3:BD4"/>
    <mergeCell ref="BE3:BE4"/>
    <mergeCell ref="BF3:BG3"/>
    <mergeCell ref="BH3:BK3"/>
  </mergeCells>
  <conditionalFormatting sqref="P6:P14">
    <cfRule type="cellIs" dxfId="200" priority="12" operator="equal">
      <formula>0</formula>
    </cfRule>
  </conditionalFormatting>
  <conditionalFormatting sqref="P17">
    <cfRule type="cellIs" dxfId="199" priority="11" operator="equal">
      <formula>0</formula>
    </cfRule>
  </conditionalFormatting>
  <conditionalFormatting sqref="P21:P25">
    <cfRule type="cellIs" dxfId="198" priority="10" operator="equal">
      <formula>0</formula>
    </cfRule>
  </conditionalFormatting>
  <conditionalFormatting sqref="P27">
    <cfRule type="cellIs" dxfId="197" priority="9" operator="equal">
      <formula>0</formula>
    </cfRule>
  </conditionalFormatting>
  <conditionalFormatting sqref="P31">
    <cfRule type="cellIs" dxfId="196" priority="8" operator="equal">
      <formula>0</formula>
    </cfRule>
  </conditionalFormatting>
  <conditionalFormatting sqref="P36:P37">
    <cfRule type="cellIs" dxfId="195" priority="7" operator="equal">
      <formula>0</formula>
    </cfRule>
  </conditionalFormatting>
  <conditionalFormatting sqref="P42:P47">
    <cfRule type="cellIs" dxfId="194" priority="6" operator="equal">
      <formula>0</formula>
    </cfRule>
  </conditionalFormatting>
  <conditionalFormatting sqref="P49">
    <cfRule type="cellIs" dxfId="193" priority="4" operator="equal">
      <formula>0</formula>
    </cfRule>
  </conditionalFormatting>
  <conditionalFormatting sqref="O31">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5.xml><?xml version="1.0" encoding="utf-8"?>
<worksheet xmlns="http://schemas.openxmlformats.org/spreadsheetml/2006/main" xmlns:r="http://schemas.openxmlformats.org/officeDocument/2006/relationships">
  <sheetPr codeName="Sheet31">
    <pageSetUpPr fitToPage="1"/>
  </sheetPr>
  <dimension ref="A1:BO96"/>
  <sheetViews>
    <sheetView workbookViewId="0"/>
  </sheetViews>
  <sheetFormatPr defaultColWidth="0" defaultRowHeight="14.25" zeroHeight="1"/>
  <cols>
    <col min="1" max="1" width="0.625" style="8" customWidth="1"/>
    <col min="2" max="2" width="7.125" style="8" customWidth="1"/>
    <col min="3" max="3" width="59.625" style="8" customWidth="1"/>
    <col min="4" max="4" width="1.125" style="496" hidden="1" customWidth="1"/>
    <col min="5" max="6" width="5.125" style="8" customWidth="1"/>
    <col min="7" max="15" width="12.625" style="8" customWidth="1"/>
    <col min="16" max="16" width="2.625" style="71" customWidth="1"/>
    <col min="17" max="17" width="29.625" style="71" customWidth="1"/>
    <col min="18" max="18" width="26.75" style="71" customWidth="1"/>
    <col min="19" max="19" width="1.625" style="71" customWidth="1"/>
    <col min="20" max="20" width="1.625" style="72" customWidth="1"/>
    <col min="21" max="28" width="4.625" style="71" customWidth="1"/>
    <col min="29" max="29" width="1.625" style="72" customWidth="1"/>
    <col min="30" max="30" width="10.125" style="496" customWidth="1"/>
    <col min="31" max="31" width="1.625" style="72" customWidth="1"/>
    <col min="32" max="33" width="6.25" style="496" customWidth="1"/>
    <col min="34" max="34" width="64.125" style="496" customWidth="1"/>
    <col min="35" max="35" width="1.625" style="72" customWidth="1"/>
    <col min="36" max="52" width="8.625" style="8" customWidth="1"/>
    <col min="53" max="53" width="7.125" style="496" customWidth="1"/>
    <col min="54" max="54" width="59.625" style="496" customWidth="1"/>
    <col min="55" max="55" width="1.125" style="496" hidden="1" customWidth="1"/>
    <col min="56" max="57" width="5.125" style="496" customWidth="1"/>
    <col min="58" max="66" width="12.625" style="496" customWidth="1"/>
    <col min="67" max="67" width="2.75" style="8" customWidth="1"/>
    <col min="68" max="16384" width="8.625" style="8" hidden="1"/>
  </cols>
  <sheetData>
    <row r="1" spans="2:66" ht="18.75">
      <c r="B1" s="67" t="s">
        <v>2760</v>
      </c>
      <c r="C1" s="67"/>
      <c r="D1" s="67"/>
      <c r="E1" s="67"/>
      <c r="F1" s="67"/>
      <c r="G1" s="67"/>
      <c r="H1" s="67"/>
      <c r="I1" s="67"/>
      <c r="J1" s="67"/>
      <c r="K1" s="67"/>
      <c r="L1" s="67"/>
      <c r="M1" s="67"/>
      <c r="N1" s="67"/>
      <c r="O1" s="69" t="str">
        <f>Validation!B3</f>
        <v>South West Water – South West area</v>
      </c>
      <c r="P1" s="67"/>
      <c r="Q1" s="67"/>
      <c r="R1" s="70" t="s">
        <v>2394</v>
      </c>
      <c r="BA1" s="67" t="s">
        <v>6671</v>
      </c>
      <c r="BB1" s="67"/>
      <c r="BC1" s="67"/>
      <c r="BD1" s="67"/>
      <c r="BE1" s="67"/>
      <c r="BF1" s="67"/>
      <c r="BG1" s="67"/>
      <c r="BH1" s="67"/>
      <c r="BI1" s="67"/>
      <c r="BJ1" s="67"/>
      <c r="BK1" s="67"/>
      <c r="BL1" s="67"/>
      <c r="BM1" s="67"/>
      <c r="BN1" s="69"/>
    </row>
    <row r="2" spans="2:66" ht="15" thickBot="1">
      <c r="B2" s="74" t="s">
        <v>12524</v>
      </c>
      <c r="C2" s="71"/>
      <c r="D2" s="71"/>
      <c r="E2" s="71"/>
      <c r="F2" s="71"/>
      <c r="G2" s="71"/>
      <c r="H2" s="71"/>
      <c r="I2" s="71"/>
      <c r="J2" s="71"/>
      <c r="K2" s="71"/>
      <c r="L2" s="71"/>
      <c r="M2" s="71"/>
      <c r="N2" s="71"/>
      <c r="O2" s="71"/>
      <c r="BA2" s="74" t="str">
        <f>+B2</f>
        <v>For the 12 months ended 31 March 2019</v>
      </c>
      <c r="BB2" s="71"/>
      <c r="BC2" s="71"/>
      <c r="BD2" s="71"/>
      <c r="BE2" s="71"/>
      <c r="BF2" s="71"/>
      <c r="BG2" s="71"/>
      <c r="BH2" s="71"/>
      <c r="BI2" s="71"/>
      <c r="BJ2" s="71"/>
      <c r="BK2" s="71"/>
      <c r="BL2" s="71"/>
      <c r="BM2" s="71"/>
      <c r="BN2" s="71"/>
    </row>
    <row r="3" spans="2:66" ht="15" customHeight="1">
      <c r="B3" s="3200" t="s">
        <v>2395</v>
      </c>
      <c r="C3" s="3201"/>
      <c r="D3" s="1447" t="s">
        <v>6495</v>
      </c>
      <c r="E3" s="3204" t="s">
        <v>2396</v>
      </c>
      <c r="F3" s="3206" t="s">
        <v>2397</v>
      </c>
      <c r="G3" s="3404" t="s">
        <v>3674</v>
      </c>
      <c r="H3" s="3405"/>
      <c r="I3" s="3426"/>
      <c r="J3" s="3425" t="s">
        <v>3675</v>
      </c>
      <c r="K3" s="3426"/>
      <c r="L3" s="3425" t="s">
        <v>1195</v>
      </c>
      <c r="M3" s="3405"/>
      <c r="N3" s="3426"/>
      <c r="O3" s="3402" t="s">
        <v>2554</v>
      </c>
      <c r="Q3" s="3213" t="s">
        <v>2577</v>
      </c>
      <c r="R3" s="3213" t="s">
        <v>1361</v>
      </c>
      <c r="BA3" s="3200" t="s">
        <v>2395</v>
      </c>
      <c r="BB3" s="3201"/>
      <c r="BC3" s="2723" t="s">
        <v>6495</v>
      </c>
      <c r="BD3" s="3204" t="s">
        <v>2396</v>
      </c>
      <c r="BE3" s="3206" t="s">
        <v>2397</v>
      </c>
      <c r="BF3" s="3404" t="s">
        <v>3674</v>
      </c>
      <c r="BG3" s="3405"/>
      <c r="BH3" s="3426"/>
      <c r="BI3" s="3425" t="s">
        <v>3675</v>
      </c>
      <c r="BJ3" s="3426"/>
      <c r="BK3" s="3425" t="s">
        <v>1195</v>
      </c>
      <c r="BL3" s="3405"/>
      <c r="BM3" s="3426"/>
      <c r="BN3" s="3402" t="s">
        <v>2554</v>
      </c>
    </row>
    <row r="4" spans="2:66" ht="41.25" customHeight="1" thickBot="1">
      <c r="B4" s="3202"/>
      <c r="C4" s="3203"/>
      <c r="D4" s="1448"/>
      <c r="E4" s="3205"/>
      <c r="F4" s="3207"/>
      <c r="G4" s="219" t="s">
        <v>2761</v>
      </c>
      <c r="H4" s="220" t="s">
        <v>2762</v>
      </c>
      <c r="I4" s="221" t="s">
        <v>2763</v>
      </c>
      <c r="J4" s="222" t="s">
        <v>2764</v>
      </c>
      <c r="K4" s="221" t="s">
        <v>3809</v>
      </c>
      <c r="L4" s="222" t="s">
        <v>2765</v>
      </c>
      <c r="M4" s="220" t="s">
        <v>2766</v>
      </c>
      <c r="N4" s="221" t="s">
        <v>2767</v>
      </c>
      <c r="O4" s="3403"/>
      <c r="Q4" s="3214"/>
      <c r="R4" s="3214"/>
      <c r="U4" s="3215" t="s">
        <v>2404</v>
      </c>
      <c r="V4" s="3215"/>
      <c r="W4" s="3215"/>
      <c r="X4" s="3215"/>
      <c r="Y4" s="3215"/>
      <c r="Z4" s="3215"/>
      <c r="AA4" s="3215"/>
      <c r="AB4" s="3215"/>
      <c r="AD4" s="1640" t="s">
        <v>2390</v>
      </c>
      <c r="AF4" s="77" t="s">
        <v>2578</v>
      </c>
      <c r="AG4" s="1641"/>
      <c r="AH4" s="1641"/>
      <c r="BA4" s="3202"/>
      <c r="BB4" s="3203"/>
      <c r="BC4" s="2724"/>
      <c r="BD4" s="3205"/>
      <c r="BE4" s="3207"/>
      <c r="BF4" s="219" t="s">
        <v>2761</v>
      </c>
      <c r="BG4" s="220" t="s">
        <v>2762</v>
      </c>
      <c r="BH4" s="221" t="s">
        <v>2763</v>
      </c>
      <c r="BI4" s="222" t="s">
        <v>2764</v>
      </c>
      <c r="BJ4" s="221" t="s">
        <v>3809</v>
      </c>
      <c r="BK4" s="222" t="s">
        <v>2765</v>
      </c>
      <c r="BL4" s="220" t="s">
        <v>2766</v>
      </c>
      <c r="BM4" s="221" t="s">
        <v>2767</v>
      </c>
      <c r="BN4" s="3403"/>
    </row>
    <row r="5" spans="2:66" ht="15" customHeight="1" thickBot="1">
      <c r="B5" s="71"/>
      <c r="C5" s="71"/>
      <c r="D5" s="71"/>
      <c r="E5" s="71"/>
      <c r="F5" s="71"/>
      <c r="G5" s="71"/>
      <c r="H5" s="71"/>
      <c r="I5" s="71"/>
      <c r="J5" s="71"/>
      <c r="K5" s="71"/>
      <c r="L5" s="71"/>
      <c r="M5" s="71"/>
      <c r="N5" s="71"/>
      <c r="O5" s="71"/>
      <c r="U5" s="3410"/>
      <c r="V5" s="3410"/>
      <c r="W5" s="3410"/>
      <c r="X5" s="3410"/>
      <c r="Y5" s="3410"/>
      <c r="Z5" s="3410"/>
      <c r="AA5" s="3410"/>
      <c r="AB5" s="3410"/>
      <c r="AD5" s="320"/>
      <c r="AF5" s="320"/>
      <c r="AG5" s="86"/>
      <c r="AH5" s="86"/>
      <c r="BA5" s="71"/>
      <c r="BB5" s="71"/>
      <c r="BC5" s="71"/>
      <c r="BD5" s="71"/>
      <c r="BE5" s="71"/>
      <c r="BF5" s="71"/>
      <c r="BG5" s="71"/>
      <c r="BH5" s="71"/>
      <c r="BI5" s="71"/>
      <c r="BJ5" s="71"/>
      <c r="BK5" s="71"/>
      <c r="BL5" s="71"/>
      <c r="BM5" s="71"/>
      <c r="BN5" s="71"/>
    </row>
    <row r="6" spans="2:66" s="71" customFormat="1" ht="15" thickBot="1">
      <c r="B6" s="118" t="s">
        <v>2449</v>
      </c>
      <c r="C6" s="119" t="s">
        <v>2587</v>
      </c>
      <c r="D6" s="1584"/>
      <c r="R6" s="24">
        <f xml:space="preserve"> IF( SUM( T6:AC6 ) = 0, 0, $O$9 )</f>
        <v>0</v>
      </c>
      <c r="T6" s="72"/>
      <c r="U6" s="171" t="s">
        <v>2405</v>
      </c>
      <c r="V6" s="171"/>
      <c r="W6" s="171"/>
      <c r="X6" s="171"/>
      <c r="Y6" s="171"/>
      <c r="Z6" s="171"/>
      <c r="AA6" s="211"/>
      <c r="AB6" s="211"/>
      <c r="AC6" s="72"/>
      <c r="AD6" s="496"/>
      <c r="AE6" s="72"/>
      <c r="AF6" s="496"/>
      <c r="AG6" s="496"/>
      <c r="AH6" s="496"/>
      <c r="AI6" s="72"/>
      <c r="BA6" s="118" t="s">
        <v>2449</v>
      </c>
      <c r="BB6" s="119" t="s">
        <v>2587</v>
      </c>
      <c r="BC6" s="1584"/>
    </row>
    <row r="7" spans="2:66" ht="14.25" customHeight="1">
      <c r="B7" s="91" t="s">
        <v>5227</v>
      </c>
      <c r="C7" s="122" t="s">
        <v>2588</v>
      </c>
      <c r="D7" s="122"/>
      <c r="E7" s="93" t="s">
        <v>750</v>
      </c>
      <c r="F7" s="94">
        <v>3</v>
      </c>
      <c r="G7" s="440"/>
      <c r="H7" s="441"/>
      <c r="I7" s="431"/>
      <c r="J7" s="430"/>
      <c r="K7" s="431"/>
      <c r="L7" s="430"/>
      <c r="M7" s="441"/>
      <c r="N7" s="431"/>
      <c r="O7" s="207">
        <f t="shared" ref="O7:O15" si="0">SUM(G7:N7)</f>
        <v>0</v>
      </c>
      <c r="R7" s="24" t="str">
        <f xml:space="preserve"> IF( SUM( T7:AC7 ) = 0, 0, $U$6 )</f>
        <v>Please complete all cells in row</v>
      </c>
      <c r="U7" s="98">
        <f>IF(Validation!$H$3=1,0,IF(ISNUMBER(G7),0,1))</f>
        <v>1</v>
      </c>
      <c r="V7" s="98">
        <f>IF(Validation!$H$3=1,0,IF(ISNUMBER(H7),0,1))</f>
        <v>1</v>
      </c>
      <c r="W7" s="98">
        <f>IF(Validation!$H$3=1,0,IF(ISNUMBER(I7),0,1))</f>
        <v>1</v>
      </c>
      <c r="X7" s="98">
        <f>IF(Validation!$H$3=1,0,IF(ISNUMBER(J7),0,1))</f>
        <v>1</v>
      </c>
      <c r="Y7" s="98">
        <f>IF(Validation!$H$3=1,0,IF(ISNUMBER(K7),0,1))</f>
        <v>1</v>
      </c>
      <c r="Z7" s="98">
        <f>IF(Validation!$H$3=1,0,IF(ISNUMBER(L7),0,1))</f>
        <v>1</v>
      </c>
      <c r="AA7" s="98">
        <f>IF(Validation!$H$3=1,0,IF(ISNUMBER(M7),0,1))</f>
        <v>1</v>
      </c>
      <c r="AB7" s="98">
        <f>IF(Validation!$H$3=1,0,IF(ISNUMBER(N7),0,1))</f>
        <v>1</v>
      </c>
      <c r="BA7" s="91" t="s">
        <v>5227</v>
      </c>
      <c r="BB7" s="122" t="s">
        <v>2588</v>
      </c>
      <c r="BC7" s="122"/>
      <c r="BD7" s="93" t="s">
        <v>750</v>
      </c>
      <c r="BE7" s="94">
        <v>3</v>
      </c>
      <c r="BF7" s="2806" t="s">
        <v>10441</v>
      </c>
      <c r="BG7" s="2748" t="s">
        <v>10442</v>
      </c>
      <c r="BH7" s="2891" t="s">
        <v>10443</v>
      </c>
      <c r="BI7" s="2747" t="s">
        <v>10444</v>
      </c>
      <c r="BJ7" s="2891" t="s">
        <v>10445</v>
      </c>
      <c r="BK7" s="2747" t="s">
        <v>10446</v>
      </c>
      <c r="BL7" s="2748" t="s">
        <v>10447</v>
      </c>
      <c r="BM7" s="2891" t="s">
        <v>10448</v>
      </c>
      <c r="BN7" s="207" t="s">
        <v>10449</v>
      </c>
    </row>
    <row r="8" spans="2:66" ht="14.25" customHeight="1">
      <c r="B8" s="99" t="s">
        <v>5228</v>
      </c>
      <c r="C8" s="92" t="s">
        <v>2589</v>
      </c>
      <c r="D8" s="92"/>
      <c r="E8" s="100" t="s">
        <v>750</v>
      </c>
      <c r="F8" s="101">
        <v>3</v>
      </c>
      <c r="G8" s="442"/>
      <c r="H8" s="429"/>
      <c r="I8" s="432"/>
      <c r="J8" s="428"/>
      <c r="K8" s="432"/>
      <c r="L8" s="428"/>
      <c r="M8" s="429"/>
      <c r="N8" s="432"/>
      <c r="O8" s="249">
        <f t="shared" si="0"/>
        <v>0</v>
      </c>
      <c r="R8" s="24" t="str">
        <f t="shared" ref="R8:R14" si="1" xml:space="preserve"> IF( SUM( T8:AC8 ) = 0, 0, $U$6 )</f>
        <v>Please complete all cells in row</v>
      </c>
      <c r="U8" s="98">
        <f>IF(Validation!$H$3=1,0,IF(ISNUMBER(G8),0,1))</f>
        <v>1</v>
      </c>
      <c r="V8" s="98">
        <f>IF(Validation!$H$3=1,0,IF(ISNUMBER(H8),0,1))</f>
        <v>1</v>
      </c>
      <c r="W8" s="98">
        <f>IF(Validation!$H$3=1,0,IF(ISNUMBER(I8),0,1))</f>
        <v>1</v>
      </c>
      <c r="X8" s="98">
        <f>IF(Validation!$H$3=1,0,IF(ISNUMBER(J8),0,1))</f>
        <v>1</v>
      </c>
      <c r="Y8" s="98">
        <f>IF(Validation!$H$3=1,0,IF(ISNUMBER(K8),0,1))</f>
        <v>1</v>
      </c>
      <c r="Z8" s="98">
        <f>IF(Validation!$H$3=1,0,IF(ISNUMBER(L8),0,1))</f>
        <v>1</v>
      </c>
      <c r="AA8" s="98">
        <f>IF(Validation!$H$3=1,0,IF(ISNUMBER(M8),0,1))</f>
        <v>1</v>
      </c>
      <c r="AB8" s="98">
        <f>IF(Validation!$H$3=1,0,IF(ISNUMBER(N8),0,1))</f>
        <v>1</v>
      </c>
      <c r="BA8" s="99" t="s">
        <v>5228</v>
      </c>
      <c r="BB8" s="92" t="s">
        <v>2589</v>
      </c>
      <c r="BC8" s="92"/>
      <c r="BD8" s="100" t="s">
        <v>750</v>
      </c>
      <c r="BE8" s="101">
        <v>3</v>
      </c>
      <c r="BF8" s="2763" t="s">
        <v>10450</v>
      </c>
      <c r="BG8" s="2751" t="s">
        <v>10451</v>
      </c>
      <c r="BH8" s="2892" t="s">
        <v>10452</v>
      </c>
      <c r="BI8" s="2750" t="s">
        <v>10453</v>
      </c>
      <c r="BJ8" s="2892" t="s">
        <v>10454</v>
      </c>
      <c r="BK8" s="2750" t="s">
        <v>10455</v>
      </c>
      <c r="BL8" s="2751" t="s">
        <v>10456</v>
      </c>
      <c r="BM8" s="2892" t="s">
        <v>10457</v>
      </c>
      <c r="BN8" s="249" t="s">
        <v>10458</v>
      </c>
    </row>
    <row r="9" spans="2:66" ht="14.25" customHeight="1">
      <c r="B9" s="99" t="s">
        <v>5229</v>
      </c>
      <c r="C9" s="92" t="s">
        <v>3677</v>
      </c>
      <c r="D9" s="92"/>
      <c r="E9" s="100" t="s">
        <v>750</v>
      </c>
      <c r="F9" s="101">
        <v>3</v>
      </c>
      <c r="G9" s="442"/>
      <c r="H9" s="429"/>
      <c r="I9" s="432"/>
      <c r="J9" s="428"/>
      <c r="K9" s="432"/>
      <c r="L9" s="428"/>
      <c r="M9" s="429"/>
      <c r="N9" s="432"/>
      <c r="O9" s="249">
        <f t="shared" si="0"/>
        <v>0</v>
      </c>
      <c r="R9" s="24" t="str">
        <f t="shared" si="1"/>
        <v>Please complete all cells in row</v>
      </c>
      <c r="U9" s="98">
        <f>IF(Validation!$H$3=1,0,IF(ISNUMBER(G9),0,1))</f>
        <v>1</v>
      </c>
      <c r="V9" s="98">
        <f>IF(Validation!$H$3=1,0,IF(ISNUMBER(H9),0,1))</f>
        <v>1</v>
      </c>
      <c r="W9" s="98">
        <f>IF(Validation!$H$3=1,0,IF(ISNUMBER(I9),0,1))</f>
        <v>1</v>
      </c>
      <c r="X9" s="98">
        <f>IF(Validation!$H$3=1,0,IF(ISNUMBER(J9),0,1))</f>
        <v>1</v>
      </c>
      <c r="Y9" s="98">
        <f>IF(Validation!$H$3=1,0,IF(ISNUMBER(K9),0,1))</f>
        <v>1</v>
      </c>
      <c r="Z9" s="98">
        <f>IF(Validation!$H$3=1,0,IF(ISNUMBER(L9),0,1))</f>
        <v>1</v>
      </c>
      <c r="AA9" s="98">
        <f>IF(Validation!$H$3=1,0,IF(ISNUMBER(M9),0,1))</f>
        <v>1</v>
      </c>
      <c r="AB9" s="98">
        <f>IF(Validation!$H$3=1,0,IF(ISNUMBER(N9),0,1))</f>
        <v>1</v>
      </c>
      <c r="BA9" s="99" t="s">
        <v>5229</v>
      </c>
      <c r="BB9" s="92" t="s">
        <v>3677</v>
      </c>
      <c r="BC9" s="92"/>
      <c r="BD9" s="100" t="s">
        <v>750</v>
      </c>
      <c r="BE9" s="101">
        <v>3</v>
      </c>
      <c r="BF9" s="2763" t="s">
        <v>10459</v>
      </c>
      <c r="BG9" s="2751" t="s">
        <v>10460</v>
      </c>
      <c r="BH9" s="2892" t="s">
        <v>10461</v>
      </c>
      <c r="BI9" s="2750" t="s">
        <v>10462</v>
      </c>
      <c r="BJ9" s="2892" t="s">
        <v>10463</v>
      </c>
      <c r="BK9" s="2750" t="s">
        <v>10464</v>
      </c>
      <c r="BL9" s="2751" t="s">
        <v>10465</v>
      </c>
      <c r="BM9" s="2892" t="s">
        <v>10466</v>
      </c>
      <c r="BN9" s="249" t="s">
        <v>10467</v>
      </c>
    </row>
    <row r="10" spans="2:66" ht="14.25" customHeight="1">
      <c r="B10" s="99" t="s">
        <v>5230</v>
      </c>
      <c r="C10" s="92" t="s">
        <v>3676</v>
      </c>
      <c r="D10" s="92"/>
      <c r="E10" s="100" t="s">
        <v>750</v>
      </c>
      <c r="F10" s="101">
        <v>3</v>
      </c>
      <c r="G10" s="442"/>
      <c r="H10" s="429"/>
      <c r="I10" s="432"/>
      <c r="J10" s="428"/>
      <c r="K10" s="432"/>
      <c r="L10" s="428"/>
      <c r="M10" s="429"/>
      <c r="N10" s="432"/>
      <c r="O10" s="249">
        <f t="shared" si="0"/>
        <v>0</v>
      </c>
      <c r="R10" s="24" t="str">
        <f t="shared" si="1"/>
        <v>Please complete all cells in row</v>
      </c>
      <c r="U10" s="98">
        <f>IF(Validation!$H$3=1,0,IF(ISNUMBER(G10),0,1))</f>
        <v>1</v>
      </c>
      <c r="V10" s="98">
        <f>IF(Validation!$H$3=1,0,IF(ISNUMBER(H10),0,1))</f>
        <v>1</v>
      </c>
      <c r="W10" s="98">
        <f>IF(Validation!$H$3=1,0,IF(ISNUMBER(I10),0,1))</f>
        <v>1</v>
      </c>
      <c r="X10" s="98">
        <f>IF(Validation!$H$3=1,0,IF(ISNUMBER(J10),0,1))</f>
        <v>1</v>
      </c>
      <c r="Y10" s="98">
        <f>IF(Validation!$H$3=1,0,IF(ISNUMBER(K10),0,1))</f>
        <v>1</v>
      </c>
      <c r="Z10" s="98">
        <f>IF(Validation!$H$3=1,0,IF(ISNUMBER(L10),0,1))</f>
        <v>1</v>
      </c>
      <c r="AA10" s="98">
        <f>IF(Validation!$H$3=1,0,IF(ISNUMBER(M10),0,1))</f>
        <v>1</v>
      </c>
      <c r="AB10" s="98">
        <f>IF(Validation!$H$3=1,0,IF(ISNUMBER(N10),0,1))</f>
        <v>1</v>
      </c>
      <c r="BA10" s="99" t="s">
        <v>5230</v>
      </c>
      <c r="BB10" s="92" t="s">
        <v>3676</v>
      </c>
      <c r="BC10" s="92"/>
      <c r="BD10" s="100" t="s">
        <v>750</v>
      </c>
      <c r="BE10" s="101">
        <v>3</v>
      </c>
      <c r="BF10" s="2763" t="s">
        <v>10468</v>
      </c>
      <c r="BG10" s="2751" t="s">
        <v>10469</v>
      </c>
      <c r="BH10" s="2892" t="s">
        <v>10470</v>
      </c>
      <c r="BI10" s="2750" t="s">
        <v>10471</v>
      </c>
      <c r="BJ10" s="2892" t="s">
        <v>10472</v>
      </c>
      <c r="BK10" s="2750" t="s">
        <v>10473</v>
      </c>
      <c r="BL10" s="2751" t="s">
        <v>10474</v>
      </c>
      <c r="BM10" s="2892" t="s">
        <v>10475</v>
      </c>
      <c r="BN10" s="249" t="s">
        <v>10476</v>
      </c>
    </row>
    <row r="11" spans="2:66" ht="14.25" customHeight="1">
      <c r="B11" s="99" t="s">
        <v>5231</v>
      </c>
      <c r="C11" s="285" t="s">
        <v>3791</v>
      </c>
      <c r="D11" s="285"/>
      <c r="E11" s="312" t="s">
        <v>750</v>
      </c>
      <c r="F11" s="287">
        <v>3</v>
      </c>
      <c r="G11" s="442"/>
      <c r="H11" s="429"/>
      <c r="I11" s="432"/>
      <c r="J11" s="428"/>
      <c r="K11" s="432"/>
      <c r="L11" s="428"/>
      <c r="M11" s="429"/>
      <c r="N11" s="432"/>
      <c r="O11" s="249">
        <f t="shared" si="0"/>
        <v>0</v>
      </c>
      <c r="R11" s="24" t="str">
        <f t="shared" si="1"/>
        <v>Please complete all cells in row</v>
      </c>
      <c r="U11" s="98">
        <f>IF(Validation!$H$3=1,0,IF(ISNUMBER(G11),0,1))</f>
        <v>1</v>
      </c>
      <c r="V11" s="98">
        <f>IF(Validation!$H$3=1,0,IF(ISNUMBER(H11),0,1))</f>
        <v>1</v>
      </c>
      <c r="W11" s="98">
        <f>IF(Validation!$H$3=1,0,IF(ISNUMBER(I11),0,1))</f>
        <v>1</v>
      </c>
      <c r="X11" s="98">
        <f>IF(Validation!$H$3=1,0,IF(ISNUMBER(J11),0,1))</f>
        <v>1</v>
      </c>
      <c r="Y11" s="98">
        <f>IF(Validation!$H$3=1,0,IF(ISNUMBER(K11),0,1))</f>
        <v>1</v>
      </c>
      <c r="Z11" s="98">
        <f>IF(Validation!$H$3=1,0,IF(ISNUMBER(L11),0,1))</f>
        <v>1</v>
      </c>
      <c r="AA11" s="98">
        <f>IF(Validation!$H$3=1,0,IF(ISNUMBER(M11),0,1))</f>
        <v>1</v>
      </c>
      <c r="AB11" s="98">
        <f>IF(Validation!$H$3=1,0,IF(ISNUMBER(N11),0,1))</f>
        <v>1</v>
      </c>
      <c r="BA11" s="99" t="s">
        <v>5231</v>
      </c>
      <c r="BB11" s="285" t="s">
        <v>3791</v>
      </c>
      <c r="BC11" s="285"/>
      <c r="BD11" s="312" t="s">
        <v>750</v>
      </c>
      <c r="BE11" s="287">
        <v>3</v>
      </c>
      <c r="BF11" s="2818" t="s">
        <v>10653</v>
      </c>
      <c r="BG11" s="2760" t="s">
        <v>10654</v>
      </c>
      <c r="BH11" s="2893" t="s">
        <v>10655</v>
      </c>
      <c r="BI11" s="2558" t="s">
        <v>10656</v>
      </c>
      <c r="BJ11" s="2893" t="s">
        <v>10657</v>
      </c>
      <c r="BK11" s="2558" t="s">
        <v>10658</v>
      </c>
      <c r="BL11" s="2760" t="s">
        <v>10659</v>
      </c>
      <c r="BM11" s="2893" t="s">
        <v>10660</v>
      </c>
      <c r="BN11" s="2265" t="s">
        <v>10661</v>
      </c>
    </row>
    <row r="12" spans="2:66" s="496" customFormat="1" ht="14.25" customHeight="1">
      <c r="B12" s="99" t="s">
        <v>5232</v>
      </c>
      <c r="C12" s="285" t="s">
        <v>3792</v>
      </c>
      <c r="D12" s="285"/>
      <c r="E12" s="312" t="s">
        <v>750</v>
      </c>
      <c r="F12" s="287">
        <v>3</v>
      </c>
      <c r="G12" s="442"/>
      <c r="H12" s="429"/>
      <c r="I12" s="432"/>
      <c r="J12" s="428"/>
      <c r="K12" s="432"/>
      <c r="L12" s="428"/>
      <c r="M12" s="429"/>
      <c r="N12" s="432"/>
      <c r="O12" s="249">
        <f t="shared" si="0"/>
        <v>0</v>
      </c>
      <c r="P12" s="71"/>
      <c r="Q12" s="71"/>
      <c r="R12" s="24" t="str">
        <f t="shared" si="1"/>
        <v>Please complete all cells in row</v>
      </c>
      <c r="S12" s="71"/>
      <c r="T12" s="72"/>
      <c r="U12" s="98">
        <f>IF(Validation!$H$3=1,0,IF(ISNUMBER(G12),0,1))</f>
        <v>1</v>
      </c>
      <c r="V12" s="98">
        <f>IF(Validation!$H$3=1,0,IF(ISNUMBER(H12),0,1))</f>
        <v>1</v>
      </c>
      <c r="W12" s="98">
        <f>IF(Validation!$H$3=1,0,IF(ISNUMBER(I12),0,1))</f>
        <v>1</v>
      </c>
      <c r="X12" s="98">
        <f>IF(Validation!$H$3=1,0,IF(ISNUMBER(J12),0,1))</f>
        <v>1</v>
      </c>
      <c r="Y12" s="98">
        <f>IF(Validation!$H$3=1,0,IF(ISNUMBER(K12),0,1))</f>
        <v>1</v>
      </c>
      <c r="Z12" s="98">
        <f>IF(Validation!$H$3=1,0,IF(ISNUMBER(L12),0,1))</f>
        <v>1</v>
      </c>
      <c r="AA12" s="98">
        <f>IF(Validation!$H$3=1,0,IF(ISNUMBER(M12),0,1))</f>
        <v>1</v>
      </c>
      <c r="AB12" s="98">
        <f>IF(Validation!$H$3=1,0,IF(ISNUMBER(N12),0,1))</f>
        <v>1</v>
      </c>
      <c r="AC12" s="72"/>
      <c r="AE12" s="72"/>
      <c r="AI12" s="72"/>
      <c r="BA12" s="99" t="s">
        <v>5232</v>
      </c>
      <c r="BB12" s="285" t="s">
        <v>3792</v>
      </c>
      <c r="BC12" s="285"/>
      <c r="BD12" s="312" t="s">
        <v>750</v>
      </c>
      <c r="BE12" s="287">
        <v>3</v>
      </c>
      <c r="BF12" s="2818" t="s">
        <v>10662</v>
      </c>
      <c r="BG12" s="2760" t="s">
        <v>10663</v>
      </c>
      <c r="BH12" s="2893" t="s">
        <v>10664</v>
      </c>
      <c r="BI12" s="2558" t="s">
        <v>10665</v>
      </c>
      <c r="BJ12" s="2893" t="s">
        <v>10666</v>
      </c>
      <c r="BK12" s="2558" t="s">
        <v>10667</v>
      </c>
      <c r="BL12" s="2760" t="s">
        <v>10668</v>
      </c>
      <c r="BM12" s="2893" t="s">
        <v>10669</v>
      </c>
      <c r="BN12" s="2265" t="s">
        <v>10670</v>
      </c>
    </row>
    <row r="13" spans="2:66" s="496" customFormat="1" ht="14.25" customHeight="1">
      <c r="B13" s="99" t="s">
        <v>5233</v>
      </c>
      <c r="C13" s="285" t="s">
        <v>3793</v>
      </c>
      <c r="D13" s="285"/>
      <c r="E13" s="312" t="s">
        <v>750</v>
      </c>
      <c r="F13" s="287">
        <v>3</v>
      </c>
      <c r="G13" s="442"/>
      <c r="H13" s="429"/>
      <c r="I13" s="432"/>
      <c r="J13" s="428"/>
      <c r="K13" s="432"/>
      <c r="L13" s="428"/>
      <c r="M13" s="429"/>
      <c r="N13" s="432"/>
      <c r="O13" s="249">
        <f t="shared" si="0"/>
        <v>0</v>
      </c>
      <c r="P13" s="71"/>
      <c r="Q13" s="71"/>
      <c r="R13" s="24" t="str">
        <f t="shared" si="1"/>
        <v>Please complete all cells in row</v>
      </c>
      <c r="S13" s="71"/>
      <c r="T13" s="72"/>
      <c r="U13" s="98">
        <f>IF(Validation!$H$3=1,0,IF(ISNUMBER(G13),0,1))</f>
        <v>1</v>
      </c>
      <c r="V13" s="98">
        <f>IF(Validation!$H$3=1,0,IF(ISNUMBER(H13),0,1))</f>
        <v>1</v>
      </c>
      <c r="W13" s="98">
        <f>IF(Validation!$H$3=1,0,IF(ISNUMBER(I13),0,1))</f>
        <v>1</v>
      </c>
      <c r="X13" s="98">
        <f>IF(Validation!$H$3=1,0,IF(ISNUMBER(J13),0,1))</f>
        <v>1</v>
      </c>
      <c r="Y13" s="98">
        <f>IF(Validation!$H$3=1,0,IF(ISNUMBER(K13),0,1))</f>
        <v>1</v>
      </c>
      <c r="Z13" s="98">
        <f>IF(Validation!$H$3=1,0,IF(ISNUMBER(L13),0,1))</f>
        <v>1</v>
      </c>
      <c r="AA13" s="98">
        <f>IF(Validation!$H$3=1,0,IF(ISNUMBER(M13),0,1))</f>
        <v>1</v>
      </c>
      <c r="AB13" s="98">
        <f>IF(Validation!$H$3=1,0,IF(ISNUMBER(N13),0,1))</f>
        <v>1</v>
      </c>
      <c r="AC13" s="72"/>
      <c r="AE13" s="72"/>
      <c r="AI13" s="72"/>
      <c r="BA13" s="99" t="s">
        <v>5233</v>
      </c>
      <c r="BB13" s="285" t="s">
        <v>3793</v>
      </c>
      <c r="BC13" s="285"/>
      <c r="BD13" s="312" t="s">
        <v>750</v>
      </c>
      <c r="BE13" s="287">
        <v>3</v>
      </c>
      <c r="BF13" s="2818" t="s">
        <v>10671</v>
      </c>
      <c r="BG13" s="2760" t="s">
        <v>10672</v>
      </c>
      <c r="BH13" s="2893" t="s">
        <v>10673</v>
      </c>
      <c r="BI13" s="2558" t="s">
        <v>10674</v>
      </c>
      <c r="BJ13" s="2893" t="s">
        <v>10675</v>
      </c>
      <c r="BK13" s="2558" t="s">
        <v>10676</v>
      </c>
      <c r="BL13" s="2760" t="s">
        <v>10677</v>
      </c>
      <c r="BM13" s="2893" t="s">
        <v>10678</v>
      </c>
      <c r="BN13" s="2265" t="s">
        <v>10679</v>
      </c>
    </row>
    <row r="14" spans="2:66" ht="14.25" customHeight="1">
      <c r="B14" s="99" t="s">
        <v>5234</v>
      </c>
      <c r="C14" s="92" t="s">
        <v>3678</v>
      </c>
      <c r="D14" s="92"/>
      <c r="E14" s="100" t="s">
        <v>750</v>
      </c>
      <c r="F14" s="101">
        <v>3</v>
      </c>
      <c r="G14" s="442"/>
      <c r="H14" s="429"/>
      <c r="I14" s="432"/>
      <c r="J14" s="428"/>
      <c r="K14" s="432"/>
      <c r="L14" s="428"/>
      <c r="M14" s="429"/>
      <c r="N14" s="432"/>
      <c r="O14" s="249">
        <f t="shared" si="0"/>
        <v>0</v>
      </c>
      <c r="R14" s="24" t="str">
        <f t="shared" si="1"/>
        <v>Please complete all cells in row</v>
      </c>
      <c r="U14" s="98">
        <f>IF(Validation!$H$3=1,0,IF(ISNUMBER(G14),0,1))</f>
        <v>1</v>
      </c>
      <c r="V14" s="98">
        <f>IF(Validation!$H$3=1,0,IF(ISNUMBER(H14),0,1))</f>
        <v>1</v>
      </c>
      <c r="W14" s="98">
        <f>IF(Validation!$H$3=1,0,IF(ISNUMBER(I14),0,1))</f>
        <v>1</v>
      </c>
      <c r="X14" s="98">
        <f>IF(Validation!$H$3=1,0,IF(ISNUMBER(J14),0,1))</f>
        <v>1</v>
      </c>
      <c r="Y14" s="98">
        <f>IF(Validation!$H$3=1,0,IF(ISNUMBER(K14),0,1))</f>
        <v>1</v>
      </c>
      <c r="Z14" s="98">
        <f>IF(Validation!$H$3=1,0,IF(ISNUMBER(L14),0,1))</f>
        <v>1</v>
      </c>
      <c r="AA14" s="98">
        <f>IF(Validation!$H$3=1,0,IF(ISNUMBER(M14),0,1))</f>
        <v>1</v>
      </c>
      <c r="AB14" s="98">
        <f>IF(Validation!$H$3=1,0,IF(ISNUMBER(N14),0,1))</f>
        <v>1</v>
      </c>
      <c r="BA14" s="99" t="s">
        <v>5234</v>
      </c>
      <c r="BB14" s="92" t="s">
        <v>3678</v>
      </c>
      <c r="BC14" s="92"/>
      <c r="BD14" s="100" t="s">
        <v>750</v>
      </c>
      <c r="BE14" s="101">
        <v>3</v>
      </c>
      <c r="BF14" s="2818" t="s">
        <v>10477</v>
      </c>
      <c r="BG14" s="2760" t="s">
        <v>10478</v>
      </c>
      <c r="BH14" s="2893" t="s">
        <v>10479</v>
      </c>
      <c r="BI14" s="2558" t="s">
        <v>10480</v>
      </c>
      <c r="BJ14" s="2893" t="s">
        <v>10481</v>
      </c>
      <c r="BK14" s="2558" t="s">
        <v>10482</v>
      </c>
      <c r="BL14" s="2760" t="s">
        <v>10483</v>
      </c>
      <c r="BM14" s="2893" t="s">
        <v>10484</v>
      </c>
      <c r="BN14" s="2265" t="s">
        <v>10485</v>
      </c>
    </row>
    <row r="15" spans="2:66" ht="14.25" customHeight="1" thickBot="1">
      <c r="B15" s="106" t="s">
        <v>5235</v>
      </c>
      <c r="C15" s="107" t="s">
        <v>2592</v>
      </c>
      <c r="D15" s="107"/>
      <c r="E15" s="108" t="s">
        <v>750</v>
      </c>
      <c r="F15" s="105">
        <v>3</v>
      </c>
      <c r="G15" s="250">
        <f>SUM(G7:G14)</f>
        <v>0</v>
      </c>
      <c r="H15" s="202">
        <f>SUM(H7:H14)</f>
        <v>0</v>
      </c>
      <c r="I15" s="203">
        <f>SUM(I7:I14)</f>
        <v>0</v>
      </c>
      <c r="J15" s="201">
        <f>SUM(J7:J14)</f>
        <v>0</v>
      </c>
      <c r="K15" s="203">
        <f t="shared" ref="K15:N15" si="2">SUM(K7:K14)</f>
        <v>0</v>
      </c>
      <c r="L15" s="201">
        <f t="shared" si="2"/>
        <v>0</v>
      </c>
      <c r="M15" s="202">
        <f t="shared" si="2"/>
        <v>0</v>
      </c>
      <c r="N15" s="203">
        <f t="shared" si="2"/>
        <v>0</v>
      </c>
      <c r="O15" s="208">
        <f t="shared" si="0"/>
        <v>0</v>
      </c>
      <c r="AA15" s="211"/>
      <c r="AB15" s="211"/>
      <c r="BA15" s="106" t="s">
        <v>5235</v>
      </c>
      <c r="BB15" s="107" t="s">
        <v>2592</v>
      </c>
      <c r="BC15" s="107"/>
      <c r="BD15" s="108" t="s">
        <v>750</v>
      </c>
      <c r="BE15" s="105">
        <v>3</v>
      </c>
      <c r="BF15" s="2268" t="s">
        <v>10486</v>
      </c>
      <c r="BG15" s="2154" t="s">
        <v>10487</v>
      </c>
      <c r="BH15" s="2152" t="s">
        <v>10488</v>
      </c>
      <c r="BI15" s="2266" t="s">
        <v>10489</v>
      </c>
      <c r="BJ15" s="2152" t="s">
        <v>10490</v>
      </c>
      <c r="BK15" s="2266" t="s">
        <v>10491</v>
      </c>
      <c r="BL15" s="2154" t="s">
        <v>10492</v>
      </c>
      <c r="BM15" s="2152" t="s">
        <v>10493</v>
      </c>
      <c r="BN15" s="2156" t="s">
        <v>10494</v>
      </c>
    </row>
    <row r="16" spans="2:66" ht="15" thickBot="1">
      <c r="AA16" s="211"/>
      <c r="AB16" s="211"/>
      <c r="BF16" s="2274"/>
      <c r="BG16" s="2274"/>
      <c r="BH16" s="2274"/>
      <c r="BI16" s="2274"/>
      <c r="BJ16" s="2274"/>
      <c r="BK16" s="2274"/>
      <c r="BL16" s="2274"/>
      <c r="BM16" s="2274"/>
      <c r="BN16" s="2274"/>
    </row>
    <row r="17" spans="2:66" ht="14.25" customHeight="1">
      <c r="B17" s="91" t="s">
        <v>5236</v>
      </c>
      <c r="C17" s="122" t="s">
        <v>2593</v>
      </c>
      <c r="D17" s="122"/>
      <c r="E17" s="93" t="s">
        <v>750</v>
      </c>
      <c r="F17" s="94">
        <v>3</v>
      </c>
      <c r="G17" s="440"/>
      <c r="H17" s="441"/>
      <c r="I17" s="431"/>
      <c r="J17" s="430"/>
      <c r="K17" s="431"/>
      <c r="L17" s="430"/>
      <c r="M17" s="441"/>
      <c r="N17" s="431"/>
      <c r="O17" s="207">
        <f>SUM(G17:N17)</f>
        <v>0</v>
      </c>
      <c r="R17" s="24" t="str">
        <f t="shared" ref="R17" si="3" xml:space="preserve"> IF( SUM( T17:AC17 ) = 0, 0, $U$6 )</f>
        <v>Please complete all cells in row</v>
      </c>
      <c r="U17" s="98">
        <f>IF(Validation!$H$3=1,0,IF(ISNUMBER(G17),0,1))</f>
        <v>1</v>
      </c>
      <c r="V17" s="98">
        <f>IF(Validation!$H$3=1,0,IF(ISNUMBER(H17),0,1))</f>
        <v>1</v>
      </c>
      <c r="W17" s="98">
        <f>IF(Validation!$H$3=1,0,IF(ISNUMBER(I17),0,1))</f>
        <v>1</v>
      </c>
      <c r="X17" s="98">
        <f>IF(Validation!$H$3=1,0,IF(ISNUMBER(J17),0,1))</f>
        <v>1</v>
      </c>
      <c r="Y17" s="98">
        <f>IF(Validation!$H$3=1,0,IF(ISNUMBER(K17),0,1))</f>
        <v>1</v>
      </c>
      <c r="Z17" s="98">
        <f>IF(Validation!$H$3=1,0,IF(ISNUMBER(L17),0,1))</f>
        <v>1</v>
      </c>
      <c r="AA17" s="98">
        <f>IF(Validation!$H$3=1,0,IF(ISNUMBER(M17),0,1))</f>
        <v>1</v>
      </c>
      <c r="AB17" s="98">
        <f>IF(Validation!$H$3=1,0,IF(ISNUMBER(N17),0,1))</f>
        <v>1</v>
      </c>
      <c r="BA17" s="91" t="s">
        <v>5236</v>
      </c>
      <c r="BB17" s="122" t="s">
        <v>2593</v>
      </c>
      <c r="BC17" s="122"/>
      <c r="BD17" s="93" t="s">
        <v>750</v>
      </c>
      <c r="BE17" s="94">
        <v>3</v>
      </c>
      <c r="BF17" s="2815" t="s">
        <v>10495</v>
      </c>
      <c r="BG17" s="2758" t="s">
        <v>10496</v>
      </c>
      <c r="BH17" s="2894" t="s">
        <v>10497</v>
      </c>
      <c r="BI17" s="2556" t="s">
        <v>10498</v>
      </c>
      <c r="BJ17" s="2894" t="s">
        <v>10499</v>
      </c>
      <c r="BK17" s="2556" t="s">
        <v>10500</v>
      </c>
      <c r="BL17" s="2758" t="s">
        <v>10501</v>
      </c>
      <c r="BM17" s="2894" t="s">
        <v>10502</v>
      </c>
      <c r="BN17" s="2271" t="s">
        <v>10503</v>
      </c>
    </row>
    <row r="18" spans="2:66" ht="14.25" customHeight="1" thickBot="1">
      <c r="B18" s="106" t="s">
        <v>5245</v>
      </c>
      <c r="C18" s="107" t="s">
        <v>2594</v>
      </c>
      <c r="D18" s="107"/>
      <c r="E18" s="108" t="s">
        <v>750</v>
      </c>
      <c r="F18" s="105">
        <v>3</v>
      </c>
      <c r="G18" s="250">
        <f t="shared" ref="G18:N18" si="4">G15 + G17</f>
        <v>0</v>
      </c>
      <c r="H18" s="202">
        <f t="shared" si="4"/>
        <v>0</v>
      </c>
      <c r="I18" s="203">
        <f t="shared" si="4"/>
        <v>0</v>
      </c>
      <c r="J18" s="201">
        <f t="shared" si="4"/>
        <v>0</v>
      </c>
      <c r="K18" s="203">
        <f t="shared" si="4"/>
        <v>0</v>
      </c>
      <c r="L18" s="201">
        <f t="shared" si="4"/>
        <v>0</v>
      </c>
      <c r="M18" s="202">
        <f t="shared" si="4"/>
        <v>0</v>
      </c>
      <c r="N18" s="203">
        <f t="shared" si="4"/>
        <v>0</v>
      </c>
      <c r="O18" s="208">
        <f>SUM(G18:N18)</f>
        <v>0</v>
      </c>
      <c r="AA18" s="211"/>
      <c r="AB18" s="211"/>
      <c r="BA18" s="106" t="s">
        <v>5245</v>
      </c>
      <c r="BB18" s="107" t="s">
        <v>2594</v>
      </c>
      <c r="BC18" s="107"/>
      <c r="BD18" s="108" t="s">
        <v>750</v>
      </c>
      <c r="BE18" s="105">
        <v>3</v>
      </c>
      <c r="BF18" s="2268" t="s">
        <v>10504</v>
      </c>
      <c r="BG18" s="2154" t="s">
        <v>10505</v>
      </c>
      <c r="BH18" s="2152" t="s">
        <v>10506</v>
      </c>
      <c r="BI18" s="2266" t="s">
        <v>10507</v>
      </c>
      <c r="BJ18" s="2152" t="s">
        <v>10508</v>
      </c>
      <c r="BK18" s="2266" t="s">
        <v>10509</v>
      </c>
      <c r="BL18" s="2154" t="s">
        <v>10510</v>
      </c>
      <c r="BM18" s="2152" t="s">
        <v>10511</v>
      </c>
      <c r="BN18" s="2156" t="s">
        <v>10512</v>
      </c>
    </row>
    <row r="19" spans="2:66" ht="15" thickBot="1">
      <c r="AA19" s="211"/>
      <c r="AB19" s="211"/>
      <c r="BF19" s="2274"/>
      <c r="BG19" s="2274"/>
      <c r="BH19" s="2274"/>
      <c r="BI19" s="2274"/>
      <c r="BJ19" s="2274"/>
      <c r="BK19" s="2274"/>
      <c r="BL19" s="2274"/>
      <c r="BM19" s="2274"/>
      <c r="BN19" s="2274"/>
    </row>
    <row r="20" spans="2:66" s="71" customFormat="1" ht="15" thickBot="1">
      <c r="B20" s="118" t="s">
        <v>2458</v>
      </c>
      <c r="C20" s="119" t="s">
        <v>2595</v>
      </c>
      <c r="D20" s="1584"/>
      <c r="T20" s="72"/>
      <c r="AA20" s="211"/>
      <c r="AB20" s="211"/>
      <c r="AC20" s="72"/>
      <c r="AD20" s="496"/>
      <c r="AE20" s="72"/>
      <c r="AF20" s="496"/>
      <c r="AG20" s="496"/>
      <c r="AH20" s="496"/>
      <c r="AI20" s="72"/>
      <c r="BA20" s="118" t="s">
        <v>2458</v>
      </c>
      <c r="BB20" s="119" t="s">
        <v>2595</v>
      </c>
      <c r="BC20" s="1584"/>
      <c r="BF20" s="2270"/>
      <c r="BG20" s="2270"/>
      <c r="BH20" s="2270"/>
      <c r="BI20" s="2270"/>
      <c r="BJ20" s="2270"/>
      <c r="BK20" s="2270"/>
      <c r="BL20" s="2270"/>
      <c r="BM20" s="2270"/>
      <c r="BN20" s="2270"/>
    </row>
    <row r="21" spans="2:66" ht="14.25" customHeight="1">
      <c r="B21" s="91" t="s">
        <v>5237</v>
      </c>
      <c r="C21" s="122" t="s">
        <v>2596</v>
      </c>
      <c r="D21" s="122"/>
      <c r="E21" s="93" t="s">
        <v>750</v>
      </c>
      <c r="F21" s="94">
        <v>3</v>
      </c>
      <c r="G21" s="440"/>
      <c r="H21" s="441"/>
      <c r="I21" s="431"/>
      <c r="J21" s="430"/>
      <c r="K21" s="431"/>
      <c r="L21" s="430"/>
      <c r="M21" s="441"/>
      <c r="N21" s="431"/>
      <c r="O21" s="207">
        <f t="shared" ref="O21:O33" si="5">SUM(G21:N21)</f>
        <v>0</v>
      </c>
      <c r="R21" s="24" t="str">
        <f t="shared" ref="R21:R31" si="6" xml:space="preserve"> IF( SUM( T21:AC21 ) = 0, 0, $U$6 )</f>
        <v>Please complete all cells in row</v>
      </c>
      <c r="U21" s="98">
        <f>IF(Validation!$H$3=1,0,IF(ISNUMBER(G21),0,1))</f>
        <v>1</v>
      </c>
      <c r="V21" s="98">
        <f>IF(Validation!$H$3=1,0,IF(ISNUMBER(H21),0,1))</f>
        <v>1</v>
      </c>
      <c r="W21" s="98">
        <f>IF(Validation!$H$3=1,0,IF(ISNUMBER(I21),0,1))</f>
        <v>1</v>
      </c>
      <c r="X21" s="98">
        <f>IF(Validation!$H$3=1,0,IF(ISNUMBER(J21),0,1))</f>
        <v>1</v>
      </c>
      <c r="Y21" s="98">
        <f>IF(Validation!$H$3=1,0,IF(ISNUMBER(K21),0,1))</f>
        <v>1</v>
      </c>
      <c r="Z21" s="98">
        <f>IF(Validation!$H$3=1,0,IF(ISNUMBER(L21),0,1))</f>
        <v>1</v>
      </c>
      <c r="AA21" s="98">
        <f>IF(Validation!$H$3=1,0,IF(ISNUMBER(M21),0,1))</f>
        <v>1</v>
      </c>
      <c r="AB21" s="98">
        <f>IF(Validation!$H$3=1,0,IF(ISNUMBER(N21),0,1))</f>
        <v>1</v>
      </c>
      <c r="BA21" s="91" t="s">
        <v>5237</v>
      </c>
      <c r="BB21" s="122" t="s">
        <v>2596</v>
      </c>
      <c r="BC21" s="122"/>
      <c r="BD21" s="93" t="s">
        <v>750</v>
      </c>
      <c r="BE21" s="94">
        <v>3</v>
      </c>
      <c r="BF21" s="2815" t="s">
        <v>10513</v>
      </c>
      <c r="BG21" s="2758" t="s">
        <v>10514</v>
      </c>
      <c r="BH21" s="2894" t="s">
        <v>10515</v>
      </c>
      <c r="BI21" s="2556" t="s">
        <v>10516</v>
      </c>
      <c r="BJ21" s="2894" t="s">
        <v>10517</v>
      </c>
      <c r="BK21" s="2556" t="s">
        <v>10518</v>
      </c>
      <c r="BL21" s="2758" t="s">
        <v>10519</v>
      </c>
      <c r="BM21" s="2894" t="s">
        <v>10520</v>
      </c>
      <c r="BN21" s="2271" t="s">
        <v>10521</v>
      </c>
    </row>
    <row r="22" spans="2:66" ht="14.25" customHeight="1">
      <c r="B22" s="99" t="s">
        <v>5238</v>
      </c>
      <c r="C22" s="92" t="s">
        <v>2753</v>
      </c>
      <c r="D22" s="92"/>
      <c r="E22" s="100" t="s">
        <v>750</v>
      </c>
      <c r="F22" s="101">
        <v>3</v>
      </c>
      <c r="G22" s="442"/>
      <c r="H22" s="429"/>
      <c r="I22" s="432"/>
      <c r="J22" s="428"/>
      <c r="K22" s="432"/>
      <c r="L22" s="428"/>
      <c r="M22" s="429"/>
      <c r="N22" s="432"/>
      <c r="O22" s="249">
        <f t="shared" si="5"/>
        <v>0</v>
      </c>
      <c r="R22" s="24" t="str">
        <f t="shared" si="6"/>
        <v>Please complete all cells in row</v>
      </c>
      <c r="U22" s="98">
        <f>IF(Validation!$H$3=1,0,IF(ISNUMBER(G22),0,1))</f>
        <v>1</v>
      </c>
      <c r="V22" s="98">
        <f>IF(Validation!$H$3=1,0,IF(ISNUMBER(H22),0,1))</f>
        <v>1</v>
      </c>
      <c r="W22" s="98">
        <f>IF(Validation!$H$3=1,0,IF(ISNUMBER(I22),0,1))</f>
        <v>1</v>
      </c>
      <c r="X22" s="98">
        <f>IF(Validation!$H$3=1,0,IF(ISNUMBER(J22),0,1))</f>
        <v>1</v>
      </c>
      <c r="Y22" s="98">
        <f>IF(Validation!$H$3=1,0,IF(ISNUMBER(K22),0,1))</f>
        <v>1</v>
      </c>
      <c r="Z22" s="98">
        <f>IF(Validation!$H$3=1,0,IF(ISNUMBER(L22),0,1))</f>
        <v>1</v>
      </c>
      <c r="AA22" s="98">
        <f>IF(Validation!$H$3=1,0,IF(ISNUMBER(M22),0,1))</f>
        <v>1</v>
      </c>
      <c r="AB22" s="98">
        <f>IF(Validation!$H$3=1,0,IF(ISNUMBER(N22),0,1))</f>
        <v>1</v>
      </c>
      <c r="BA22" s="99" t="s">
        <v>5238</v>
      </c>
      <c r="BB22" s="92" t="s">
        <v>2753</v>
      </c>
      <c r="BC22" s="92"/>
      <c r="BD22" s="100" t="s">
        <v>750</v>
      </c>
      <c r="BE22" s="101">
        <v>3</v>
      </c>
      <c r="BF22" s="2818" t="s">
        <v>10522</v>
      </c>
      <c r="BG22" s="2760" t="s">
        <v>10523</v>
      </c>
      <c r="BH22" s="2893" t="s">
        <v>10524</v>
      </c>
      <c r="BI22" s="2558" t="s">
        <v>10525</v>
      </c>
      <c r="BJ22" s="2893" t="s">
        <v>10526</v>
      </c>
      <c r="BK22" s="2558" t="s">
        <v>10527</v>
      </c>
      <c r="BL22" s="2760" t="s">
        <v>10528</v>
      </c>
      <c r="BM22" s="2893" t="s">
        <v>10529</v>
      </c>
      <c r="BN22" s="2265" t="s">
        <v>10530</v>
      </c>
    </row>
    <row r="23" spans="2:66" ht="14.25" customHeight="1">
      <c r="B23" s="99" t="s">
        <v>5239</v>
      </c>
      <c r="C23" s="92" t="s">
        <v>2598</v>
      </c>
      <c r="D23" s="92"/>
      <c r="E23" s="100" t="s">
        <v>750</v>
      </c>
      <c r="F23" s="101">
        <v>3</v>
      </c>
      <c r="G23" s="442"/>
      <c r="H23" s="429"/>
      <c r="I23" s="432"/>
      <c r="J23" s="428"/>
      <c r="K23" s="432"/>
      <c r="L23" s="428"/>
      <c r="M23" s="429"/>
      <c r="N23" s="432"/>
      <c r="O23" s="249">
        <f t="shared" si="5"/>
        <v>0</v>
      </c>
      <c r="R23" s="24" t="str">
        <f t="shared" si="6"/>
        <v>Please complete all cells in row</v>
      </c>
      <c r="U23" s="98">
        <f>IF(Validation!$H$3=1,0,IF(ISNUMBER(G23),0,1))</f>
        <v>1</v>
      </c>
      <c r="V23" s="98">
        <f>IF(Validation!$H$3=1,0,IF(ISNUMBER(H23),0,1))</f>
        <v>1</v>
      </c>
      <c r="W23" s="98">
        <f>IF(Validation!$H$3=1,0,IF(ISNUMBER(I23),0,1))</f>
        <v>1</v>
      </c>
      <c r="X23" s="98">
        <f>IF(Validation!$H$3=1,0,IF(ISNUMBER(J23),0,1))</f>
        <v>1</v>
      </c>
      <c r="Y23" s="98">
        <f>IF(Validation!$H$3=1,0,IF(ISNUMBER(K23),0,1))</f>
        <v>1</v>
      </c>
      <c r="Z23" s="98">
        <f>IF(Validation!$H$3=1,0,IF(ISNUMBER(L23),0,1))</f>
        <v>1</v>
      </c>
      <c r="AA23" s="98">
        <f>IF(Validation!$H$3=1,0,IF(ISNUMBER(M23),0,1))</f>
        <v>1</v>
      </c>
      <c r="AB23" s="98">
        <f>IF(Validation!$H$3=1,0,IF(ISNUMBER(N23),0,1))</f>
        <v>1</v>
      </c>
      <c r="BA23" s="99" t="s">
        <v>5239</v>
      </c>
      <c r="BB23" s="92" t="s">
        <v>2598</v>
      </c>
      <c r="BC23" s="92"/>
      <c r="BD23" s="100" t="s">
        <v>750</v>
      </c>
      <c r="BE23" s="101">
        <v>3</v>
      </c>
      <c r="BF23" s="2818" t="s">
        <v>10531</v>
      </c>
      <c r="BG23" s="2760" t="s">
        <v>10532</v>
      </c>
      <c r="BH23" s="2893" t="s">
        <v>10533</v>
      </c>
      <c r="BI23" s="2558" t="s">
        <v>10534</v>
      </c>
      <c r="BJ23" s="2893" t="s">
        <v>10535</v>
      </c>
      <c r="BK23" s="2558" t="s">
        <v>10536</v>
      </c>
      <c r="BL23" s="2760" t="s">
        <v>10537</v>
      </c>
      <c r="BM23" s="2893" t="s">
        <v>10538</v>
      </c>
      <c r="BN23" s="2265" t="s">
        <v>10539</v>
      </c>
    </row>
    <row r="24" spans="2:66" ht="14.25" customHeight="1">
      <c r="B24" s="99" t="s">
        <v>5240</v>
      </c>
      <c r="C24" s="92" t="s">
        <v>2599</v>
      </c>
      <c r="D24" s="92"/>
      <c r="E24" s="100" t="s">
        <v>750</v>
      </c>
      <c r="F24" s="101">
        <v>3</v>
      </c>
      <c r="G24" s="442"/>
      <c r="H24" s="429"/>
      <c r="I24" s="432"/>
      <c r="J24" s="428"/>
      <c r="K24" s="432"/>
      <c r="L24" s="428"/>
      <c r="M24" s="429"/>
      <c r="N24" s="432"/>
      <c r="O24" s="249">
        <f t="shared" si="5"/>
        <v>0</v>
      </c>
      <c r="R24" s="24" t="str">
        <f t="shared" si="6"/>
        <v>Please complete all cells in row</v>
      </c>
      <c r="U24" s="98">
        <f>IF(Validation!$H$3=1,0,IF(ISNUMBER(G24),0,1))</f>
        <v>1</v>
      </c>
      <c r="V24" s="98">
        <f>IF(Validation!$H$3=1,0,IF(ISNUMBER(H24),0,1))</f>
        <v>1</v>
      </c>
      <c r="W24" s="98">
        <f>IF(Validation!$H$3=1,0,IF(ISNUMBER(I24),0,1))</f>
        <v>1</v>
      </c>
      <c r="X24" s="98">
        <f>IF(Validation!$H$3=1,0,IF(ISNUMBER(J24),0,1))</f>
        <v>1</v>
      </c>
      <c r="Y24" s="98">
        <f>IF(Validation!$H$3=1,0,IF(ISNUMBER(K24),0,1))</f>
        <v>1</v>
      </c>
      <c r="Z24" s="98">
        <f>IF(Validation!$H$3=1,0,IF(ISNUMBER(L24),0,1))</f>
        <v>1</v>
      </c>
      <c r="AA24" s="98">
        <f>IF(Validation!$H$3=1,0,IF(ISNUMBER(M24),0,1))</f>
        <v>1</v>
      </c>
      <c r="AB24" s="98">
        <f>IF(Validation!$H$3=1,0,IF(ISNUMBER(N24),0,1))</f>
        <v>1</v>
      </c>
      <c r="BA24" s="99" t="s">
        <v>5240</v>
      </c>
      <c r="BB24" s="92" t="s">
        <v>2599</v>
      </c>
      <c r="BC24" s="92"/>
      <c r="BD24" s="100" t="s">
        <v>750</v>
      </c>
      <c r="BE24" s="101">
        <v>3</v>
      </c>
      <c r="BF24" s="2818" t="s">
        <v>10540</v>
      </c>
      <c r="BG24" s="2760" t="s">
        <v>10541</v>
      </c>
      <c r="BH24" s="2893" t="s">
        <v>10542</v>
      </c>
      <c r="BI24" s="2558" t="s">
        <v>10543</v>
      </c>
      <c r="BJ24" s="2893" t="s">
        <v>10544</v>
      </c>
      <c r="BK24" s="2558" t="s">
        <v>10545</v>
      </c>
      <c r="BL24" s="2760" t="s">
        <v>10546</v>
      </c>
      <c r="BM24" s="2893" t="s">
        <v>10547</v>
      </c>
      <c r="BN24" s="2265" t="s">
        <v>10548</v>
      </c>
    </row>
    <row r="25" spans="2:66" s="496" customFormat="1" ht="14.25" customHeight="1">
      <c r="B25" s="99" t="s">
        <v>5241</v>
      </c>
      <c r="C25" s="92" t="s">
        <v>3794</v>
      </c>
      <c r="D25" s="92"/>
      <c r="E25" s="312" t="s">
        <v>750</v>
      </c>
      <c r="F25" s="287">
        <v>3</v>
      </c>
      <c r="G25" s="442"/>
      <c r="H25" s="429"/>
      <c r="I25" s="432"/>
      <c r="J25" s="428"/>
      <c r="K25" s="432"/>
      <c r="L25" s="428"/>
      <c r="M25" s="429"/>
      <c r="N25" s="432"/>
      <c r="O25" s="249">
        <f t="shared" si="5"/>
        <v>0</v>
      </c>
      <c r="P25" s="71"/>
      <c r="Q25" s="71"/>
      <c r="R25" s="24" t="str">
        <f t="shared" si="6"/>
        <v>Please complete all cells in row</v>
      </c>
      <c r="S25" s="71"/>
      <c r="T25" s="72"/>
      <c r="U25" s="98">
        <f>IF(Validation!$H$3=1,0,IF(ISNUMBER(G25),0,1))</f>
        <v>1</v>
      </c>
      <c r="V25" s="98">
        <f>IF(Validation!$H$3=1,0,IF(ISNUMBER(H25),0,1))</f>
        <v>1</v>
      </c>
      <c r="W25" s="98">
        <f>IF(Validation!$H$3=1,0,IF(ISNUMBER(I25),0,1))</f>
        <v>1</v>
      </c>
      <c r="X25" s="98">
        <f>IF(Validation!$H$3=1,0,IF(ISNUMBER(J25),0,1))</f>
        <v>1</v>
      </c>
      <c r="Y25" s="98">
        <f>IF(Validation!$H$3=1,0,IF(ISNUMBER(K25),0,1))</f>
        <v>1</v>
      </c>
      <c r="Z25" s="98">
        <f>IF(Validation!$H$3=1,0,IF(ISNUMBER(L25),0,1))</f>
        <v>1</v>
      </c>
      <c r="AA25" s="98">
        <f>IF(Validation!$H$3=1,0,IF(ISNUMBER(M25),0,1))</f>
        <v>1</v>
      </c>
      <c r="AB25" s="98">
        <f>IF(Validation!$H$3=1,0,IF(ISNUMBER(N25),0,1))</f>
        <v>1</v>
      </c>
      <c r="AC25" s="72"/>
      <c r="AE25" s="72"/>
      <c r="AI25" s="72"/>
      <c r="BA25" s="99" t="s">
        <v>5241</v>
      </c>
      <c r="BB25" s="92" t="s">
        <v>3794</v>
      </c>
      <c r="BC25" s="92"/>
      <c r="BD25" s="312" t="s">
        <v>750</v>
      </c>
      <c r="BE25" s="287">
        <v>3</v>
      </c>
      <c r="BF25" s="2818" t="s">
        <v>11141</v>
      </c>
      <c r="BG25" s="2760" t="s">
        <v>11142</v>
      </c>
      <c r="BH25" s="2893" t="s">
        <v>11143</v>
      </c>
      <c r="BI25" s="2558" t="s">
        <v>11144</v>
      </c>
      <c r="BJ25" s="2893" t="s">
        <v>11145</v>
      </c>
      <c r="BK25" s="2558" t="s">
        <v>11146</v>
      </c>
      <c r="BL25" s="2760" t="s">
        <v>11147</v>
      </c>
      <c r="BM25" s="2893" t="s">
        <v>11148</v>
      </c>
      <c r="BN25" s="2265" t="s">
        <v>11149</v>
      </c>
    </row>
    <row r="26" spans="2:66" ht="14.25" customHeight="1">
      <c r="B26" s="99" t="s">
        <v>5242</v>
      </c>
      <c r="C26" s="92" t="s">
        <v>3679</v>
      </c>
      <c r="D26" s="92"/>
      <c r="E26" s="100" t="s">
        <v>750</v>
      </c>
      <c r="F26" s="101">
        <v>3</v>
      </c>
      <c r="G26" s="251">
        <f t="shared" ref="G26:N26" si="7">SUM(G21:G25)</f>
        <v>0</v>
      </c>
      <c r="H26" s="252">
        <f t="shared" si="7"/>
        <v>0</v>
      </c>
      <c r="I26" s="199">
        <f t="shared" si="7"/>
        <v>0</v>
      </c>
      <c r="J26" s="253">
        <f t="shared" si="7"/>
        <v>0</v>
      </c>
      <c r="K26" s="199">
        <f t="shared" si="7"/>
        <v>0</v>
      </c>
      <c r="L26" s="253">
        <f t="shared" si="7"/>
        <v>0</v>
      </c>
      <c r="M26" s="252">
        <f t="shared" si="7"/>
        <v>0</v>
      </c>
      <c r="N26" s="199">
        <f t="shared" si="7"/>
        <v>0</v>
      </c>
      <c r="O26" s="249">
        <f t="shared" si="5"/>
        <v>0</v>
      </c>
      <c r="P26" s="123"/>
      <c r="Q26" s="123"/>
      <c r="S26" s="123"/>
      <c r="T26" s="129"/>
      <c r="V26" s="254"/>
      <c r="W26" s="254"/>
      <c r="X26" s="254"/>
      <c r="Y26" s="254"/>
      <c r="Z26" s="254"/>
      <c r="AA26" s="211"/>
      <c r="AB26" s="211"/>
      <c r="AC26" s="129"/>
      <c r="AE26" s="129"/>
      <c r="AI26" s="129"/>
      <c r="BA26" s="99" t="s">
        <v>5242</v>
      </c>
      <c r="BB26" s="92" t="s">
        <v>3679</v>
      </c>
      <c r="BC26" s="92"/>
      <c r="BD26" s="100" t="s">
        <v>750</v>
      </c>
      <c r="BE26" s="101">
        <v>3</v>
      </c>
      <c r="BF26" s="251" t="s">
        <v>10549</v>
      </c>
      <c r="BG26" s="252" t="s">
        <v>10550</v>
      </c>
      <c r="BH26" s="199" t="s">
        <v>10551</v>
      </c>
      <c r="BI26" s="253" t="s">
        <v>10552</v>
      </c>
      <c r="BJ26" s="199" t="s">
        <v>10553</v>
      </c>
      <c r="BK26" s="253" t="s">
        <v>10554</v>
      </c>
      <c r="BL26" s="252" t="s">
        <v>10555</v>
      </c>
      <c r="BM26" s="199" t="s">
        <v>10556</v>
      </c>
      <c r="BN26" s="249" t="s">
        <v>10557</v>
      </c>
    </row>
    <row r="27" spans="2:66" ht="14.25" customHeight="1">
      <c r="B27" s="99" t="s">
        <v>5243</v>
      </c>
      <c r="C27" s="92" t="s">
        <v>2593</v>
      </c>
      <c r="D27" s="92"/>
      <c r="E27" s="100" t="s">
        <v>750</v>
      </c>
      <c r="F27" s="101">
        <v>3</v>
      </c>
      <c r="G27" s="442"/>
      <c r="H27" s="429"/>
      <c r="I27" s="432"/>
      <c r="J27" s="428"/>
      <c r="K27" s="432"/>
      <c r="L27" s="428"/>
      <c r="M27" s="429"/>
      <c r="N27" s="432"/>
      <c r="O27" s="249">
        <f t="shared" si="5"/>
        <v>0</v>
      </c>
      <c r="P27" s="131"/>
      <c r="Q27" s="131"/>
      <c r="R27" s="24" t="str">
        <f t="shared" si="6"/>
        <v>Please complete all cells in row</v>
      </c>
      <c r="U27" s="98">
        <f>IF(Validation!$H$3=1,0,IF(ISNUMBER(G27),0,1))</f>
        <v>1</v>
      </c>
      <c r="V27" s="98">
        <f>IF(Validation!$H$3=1,0,IF(ISNUMBER(H27),0,1))</f>
        <v>1</v>
      </c>
      <c r="W27" s="98">
        <f>IF(Validation!$H$3=1,0,IF(ISNUMBER(I27),0,1))</f>
        <v>1</v>
      </c>
      <c r="X27" s="98">
        <f>IF(Validation!$H$3=1,0,IF(ISNUMBER(J27),0,1))</f>
        <v>1</v>
      </c>
      <c r="Y27" s="98">
        <f>IF(Validation!$H$3=1,0,IF(ISNUMBER(K27),0,1))</f>
        <v>1</v>
      </c>
      <c r="Z27" s="98">
        <f>IF(Validation!$H$3=1,0,IF(ISNUMBER(L27),0,1))</f>
        <v>1</v>
      </c>
      <c r="AA27" s="98">
        <f>IF(Validation!$H$3=1,0,IF(ISNUMBER(M27),0,1))</f>
        <v>1</v>
      </c>
      <c r="AB27" s="98">
        <f>IF(Validation!$H$3=1,0,IF(ISNUMBER(N27),0,1))</f>
        <v>1</v>
      </c>
      <c r="BA27" s="99" t="s">
        <v>5243</v>
      </c>
      <c r="BB27" s="92" t="s">
        <v>2593</v>
      </c>
      <c r="BC27" s="92"/>
      <c r="BD27" s="100" t="s">
        <v>750</v>
      </c>
      <c r="BE27" s="101">
        <v>3</v>
      </c>
      <c r="BF27" s="2763" t="s">
        <v>10558</v>
      </c>
      <c r="BG27" s="2751" t="s">
        <v>10559</v>
      </c>
      <c r="BH27" s="2892" t="s">
        <v>10560</v>
      </c>
      <c r="BI27" s="2750" t="s">
        <v>10561</v>
      </c>
      <c r="BJ27" s="2892" t="s">
        <v>10562</v>
      </c>
      <c r="BK27" s="2750" t="s">
        <v>10563</v>
      </c>
      <c r="BL27" s="2751" t="s">
        <v>10564</v>
      </c>
      <c r="BM27" s="2892" t="s">
        <v>10565</v>
      </c>
      <c r="BN27" s="249" t="s">
        <v>10566</v>
      </c>
    </row>
    <row r="28" spans="2:66" ht="14.25" customHeight="1" thickBot="1">
      <c r="B28" s="106" t="s">
        <v>5244</v>
      </c>
      <c r="C28" s="107" t="s">
        <v>2601</v>
      </c>
      <c r="D28" s="107"/>
      <c r="E28" s="108" t="s">
        <v>750</v>
      </c>
      <c r="F28" s="105">
        <v>3</v>
      </c>
      <c r="G28" s="250">
        <f t="shared" ref="G28:N28" si="8">SUM(G26:G27)</f>
        <v>0</v>
      </c>
      <c r="H28" s="202">
        <f t="shared" si="8"/>
        <v>0</v>
      </c>
      <c r="I28" s="203">
        <f t="shared" si="8"/>
        <v>0</v>
      </c>
      <c r="J28" s="201">
        <f t="shared" si="8"/>
        <v>0</v>
      </c>
      <c r="K28" s="203">
        <f t="shared" si="8"/>
        <v>0</v>
      </c>
      <c r="L28" s="201">
        <f t="shared" si="8"/>
        <v>0</v>
      </c>
      <c r="M28" s="202">
        <f t="shared" si="8"/>
        <v>0</v>
      </c>
      <c r="N28" s="203">
        <f t="shared" si="8"/>
        <v>0</v>
      </c>
      <c r="O28" s="208">
        <f t="shared" si="5"/>
        <v>0</v>
      </c>
      <c r="P28" s="131"/>
      <c r="Q28" s="131"/>
      <c r="S28" s="131"/>
      <c r="T28" s="124"/>
      <c r="V28" s="254"/>
      <c r="W28" s="254"/>
      <c r="X28" s="254"/>
      <c r="Y28" s="254"/>
      <c r="Z28" s="254"/>
      <c r="AA28" s="211"/>
      <c r="AB28" s="211"/>
      <c r="AC28" s="124"/>
      <c r="AE28" s="124"/>
      <c r="AI28" s="124"/>
      <c r="BA28" s="106" t="s">
        <v>5244</v>
      </c>
      <c r="BB28" s="107" t="s">
        <v>2601</v>
      </c>
      <c r="BC28" s="107"/>
      <c r="BD28" s="108" t="s">
        <v>750</v>
      </c>
      <c r="BE28" s="105">
        <v>3</v>
      </c>
      <c r="BF28" s="250" t="s">
        <v>10567</v>
      </c>
      <c r="BG28" s="202" t="s">
        <v>10568</v>
      </c>
      <c r="BH28" s="203" t="s">
        <v>10569</v>
      </c>
      <c r="BI28" s="201" t="s">
        <v>10570</v>
      </c>
      <c r="BJ28" s="203" t="s">
        <v>10571</v>
      </c>
      <c r="BK28" s="201" t="s">
        <v>10572</v>
      </c>
      <c r="BL28" s="202" t="s">
        <v>10573</v>
      </c>
      <c r="BM28" s="203" t="s">
        <v>10574</v>
      </c>
      <c r="BN28" s="208" t="s">
        <v>10575</v>
      </c>
    </row>
    <row r="29" spans="2:66" s="496" customFormat="1" ht="15" thickBot="1">
      <c r="P29" s="71"/>
      <c r="Q29" s="71"/>
      <c r="R29" s="71"/>
      <c r="S29" s="71"/>
      <c r="T29" s="72"/>
      <c r="U29" s="71"/>
      <c r="V29" s="71"/>
      <c r="W29" s="71"/>
      <c r="X29" s="71"/>
      <c r="Y29" s="71"/>
      <c r="Z29" s="71"/>
      <c r="AA29" s="211"/>
      <c r="AB29" s="211"/>
      <c r="AC29" s="72"/>
      <c r="AD29" s="2"/>
      <c r="AE29" s="124"/>
      <c r="AF29" s="2"/>
      <c r="AG29" s="2"/>
      <c r="AH29" s="2"/>
      <c r="AI29" s="124"/>
    </row>
    <row r="30" spans="2:66" s="71" customFormat="1" ht="15" thickBot="1">
      <c r="B30" s="87" t="s">
        <v>2464</v>
      </c>
      <c r="C30" s="88" t="s">
        <v>3612</v>
      </c>
      <c r="D30" s="1606"/>
      <c r="E30" s="816"/>
      <c r="F30" s="816"/>
      <c r="G30" s="816"/>
      <c r="H30" s="816"/>
      <c r="I30" s="816"/>
      <c r="J30" s="816"/>
      <c r="K30" s="816"/>
      <c r="L30" s="816"/>
      <c r="M30" s="816"/>
      <c r="N30" s="816"/>
      <c r="O30" s="816"/>
      <c r="T30" s="72"/>
      <c r="AA30" s="211"/>
      <c r="AB30" s="211"/>
      <c r="AC30" s="72"/>
      <c r="AD30" s="2"/>
      <c r="AE30" s="124"/>
      <c r="AF30" s="2"/>
      <c r="AG30" s="2"/>
      <c r="AH30" s="2"/>
      <c r="AI30" s="124"/>
      <c r="BA30" s="2744" t="s">
        <v>2464</v>
      </c>
      <c r="BB30" s="88" t="s">
        <v>3612</v>
      </c>
      <c r="BC30" s="1606"/>
      <c r="BD30" s="816"/>
      <c r="BE30" s="816"/>
      <c r="BF30" s="816"/>
      <c r="BG30" s="816"/>
      <c r="BH30" s="816"/>
      <c r="BI30" s="816"/>
      <c r="BJ30" s="816"/>
      <c r="BK30" s="816"/>
      <c r="BL30" s="816"/>
      <c r="BM30" s="816"/>
      <c r="BN30" s="816"/>
    </row>
    <row r="31" spans="2:66" ht="15.75" thickBot="1">
      <c r="B31" s="181" t="s">
        <v>5246</v>
      </c>
      <c r="C31" s="407" t="s">
        <v>3612</v>
      </c>
      <c r="D31" s="407"/>
      <c r="E31" s="182" t="s">
        <v>750</v>
      </c>
      <c r="F31" s="183">
        <v>3</v>
      </c>
      <c r="G31" s="812"/>
      <c r="H31" s="813"/>
      <c r="I31" s="814"/>
      <c r="J31" s="815"/>
      <c r="K31" s="814"/>
      <c r="L31" s="815"/>
      <c r="M31" s="813"/>
      <c r="N31" s="814"/>
      <c r="O31" s="415">
        <f t="shared" si="5"/>
        <v>0</v>
      </c>
      <c r="P31" s="131"/>
      <c r="Q31" s="1431">
        <f xml:space="preserve"> IF( SUM( AC31:AE31 ) = 0, 0, AH31 )</f>
        <v>0</v>
      </c>
      <c r="R31" s="24" t="str">
        <f t="shared" si="6"/>
        <v>Please complete all cells in row</v>
      </c>
      <c r="U31" s="98">
        <f>IF(Validation!$H$3=1,0,IF(ISNUMBER(G31),0,1))</f>
        <v>1</v>
      </c>
      <c r="V31" s="98">
        <f>IF(Validation!$H$3=1,0,IF(ISNUMBER(H31),0,1))</f>
        <v>1</v>
      </c>
      <c r="W31" s="98">
        <f>IF(Validation!$H$3=1,0,IF(ISNUMBER(I31),0,1))</f>
        <v>1</v>
      </c>
      <c r="X31" s="98">
        <f>IF(Validation!$H$3=1,0,IF(ISNUMBER(J31),0,1))</f>
        <v>1</v>
      </c>
      <c r="Y31" s="98">
        <f>IF(Validation!$H$3=1,0,IF(ISNUMBER(K31),0,1))</f>
        <v>1</v>
      </c>
      <c r="Z31" s="98">
        <f>IF(Validation!$H$3=1,0,IF(ISNUMBER(L31),0,1))</f>
        <v>1</v>
      </c>
      <c r="AA31" s="98">
        <f>IF(Validation!$H$3=1,0,IF(ISNUMBER(M31),0,1))</f>
        <v>1</v>
      </c>
      <c r="AB31" s="98">
        <f>IF(Validation!$H$3=1,0,IF(ISNUMBER(N31),0,1))</f>
        <v>1</v>
      </c>
      <c r="AD31" s="98">
        <f xml:space="preserve"> IF( (AF31 - AG31) = 0, 0, 1 )</f>
        <v>0</v>
      </c>
      <c r="AF31" s="172">
        <f xml:space="preserve"> O31</f>
        <v>0</v>
      </c>
      <c r="AG31" s="172">
        <f>'2E'!J24</f>
        <v>0</v>
      </c>
      <c r="AH31" s="1635" t="s">
        <v>13578</v>
      </c>
      <c r="BA31" s="181" t="s">
        <v>5246</v>
      </c>
      <c r="BB31" s="407" t="s">
        <v>3612</v>
      </c>
      <c r="BC31" s="407"/>
      <c r="BD31" s="182" t="s">
        <v>750</v>
      </c>
      <c r="BE31" s="183">
        <v>3</v>
      </c>
      <c r="BF31" s="2898" t="s">
        <v>10576</v>
      </c>
      <c r="BG31" s="2899" t="s">
        <v>10577</v>
      </c>
      <c r="BH31" s="2900" t="s">
        <v>10578</v>
      </c>
      <c r="BI31" s="2901" t="s">
        <v>10579</v>
      </c>
      <c r="BJ31" s="2900" t="s">
        <v>10580</v>
      </c>
      <c r="BK31" s="2901" t="s">
        <v>10581</v>
      </c>
      <c r="BL31" s="2899" t="s">
        <v>10582</v>
      </c>
      <c r="BM31" s="2900" t="s">
        <v>10583</v>
      </c>
      <c r="BN31" s="415" t="s">
        <v>10584</v>
      </c>
    </row>
    <row r="32" spans="2:66" s="496" customFormat="1" ht="15" thickBot="1">
      <c r="P32" s="71"/>
      <c r="Q32" s="71"/>
      <c r="R32" s="71"/>
      <c r="S32" s="71"/>
      <c r="T32" s="72"/>
      <c r="U32" s="71"/>
      <c r="V32" s="71"/>
      <c r="W32" s="71"/>
      <c r="X32" s="71"/>
      <c r="Y32" s="71"/>
      <c r="Z32" s="71"/>
      <c r="AA32" s="211"/>
      <c r="AB32" s="211"/>
      <c r="AC32" s="72"/>
      <c r="AD32" s="2"/>
      <c r="AE32" s="124"/>
      <c r="AF32" s="2"/>
      <c r="AG32" s="2"/>
      <c r="AH32" s="2"/>
      <c r="AI32" s="124"/>
    </row>
    <row r="33" spans="2:66" ht="14.25" customHeight="1" thickBot="1">
      <c r="B33" s="136" t="s">
        <v>5247</v>
      </c>
      <c r="C33" s="137" t="s">
        <v>2602</v>
      </c>
      <c r="D33" s="137"/>
      <c r="E33" s="138" t="s">
        <v>750</v>
      </c>
      <c r="F33" s="139">
        <v>3</v>
      </c>
      <c r="G33" s="810">
        <f>G18+G28-G31</f>
        <v>0</v>
      </c>
      <c r="H33" s="780">
        <f t="shared" ref="H33:N33" si="9">H18+H28-H31</f>
        <v>0</v>
      </c>
      <c r="I33" s="255">
        <f t="shared" si="9"/>
        <v>0</v>
      </c>
      <c r="J33" s="779">
        <f t="shared" si="9"/>
        <v>0</v>
      </c>
      <c r="K33" s="255">
        <f t="shared" si="9"/>
        <v>0</v>
      </c>
      <c r="L33" s="779">
        <f t="shared" si="9"/>
        <v>0</v>
      </c>
      <c r="M33" s="780">
        <f t="shared" si="9"/>
        <v>0</v>
      </c>
      <c r="N33" s="255">
        <f t="shared" si="9"/>
        <v>0</v>
      </c>
      <c r="O33" s="504">
        <f t="shared" si="5"/>
        <v>0</v>
      </c>
      <c r="P33" s="131"/>
      <c r="Q33" s="131"/>
      <c r="S33" s="131"/>
      <c r="T33" s="124"/>
      <c r="U33" s="211"/>
      <c r="V33" s="211"/>
      <c r="W33" s="211"/>
      <c r="X33" s="211"/>
      <c r="Y33" s="211"/>
      <c r="Z33" s="211"/>
      <c r="AA33" s="211"/>
      <c r="AB33" s="211"/>
      <c r="AC33" s="124"/>
      <c r="AE33" s="124"/>
      <c r="AI33" s="124"/>
      <c r="BA33" s="136" t="s">
        <v>5247</v>
      </c>
      <c r="BB33" s="137" t="s">
        <v>2602</v>
      </c>
      <c r="BC33" s="137"/>
      <c r="BD33" s="138" t="s">
        <v>750</v>
      </c>
      <c r="BE33" s="139">
        <v>3</v>
      </c>
      <c r="BF33" s="810" t="s">
        <v>10585</v>
      </c>
      <c r="BG33" s="780" t="s">
        <v>10586</v>
      </c>
      <c r="BH33" s="255" t="s">
        <v>10587</v>
      </c>
      <c r="BI33" s="779" t="s">
        <v>10588</v>
      </c>
      <c r="BJ33" s="255" t="s">
        <v>10589</v>
      </c>
      <c r="BK33" s="779" t="s">
        <v>10590</v>
      </c>
      <c r="BL33" s="780" t="s">
        <v>10591</v>
      </c>
      <c r="BM33" s="255" t="s">
        <v>10592</v>
      </c>
      <c r="BN33" s="504" t="s">
        <v>10593</v>
      </c>
    </row>
    <row r="34" spans="2:66" ht="15" thickBot="1">
      <c r="P34" s="131"/>
      <c r="Q34" s="131"/>
      <c r="S34" s="131"/>
      <c r="T34" s="124"/>
      <c r="U34" s="211"/>
      <c r="V34" s="211"/>
      <c r="W34" s="211"/>
      <c r="X34" s="211"/>
      <c r="Y34" s="211"/>
      <c r="Z34" s="211"/>
      <c r="AA34" s="211"/>
      <c r="AB34" s="211"/>
      <c r="AC34" s="124"/>
      <c r="AE34" s="124"/>
      <c r="AI34" s="124"/>
    </row>
    <row r="35" spans="2:66" s="71" customFormat="1" ht="15" thickBot="1">
      <c r="B35" s="118" t="s">
        <v>2464</v>
      </c>
      <c r="C35" s="119" t="s">
        <v>2603</v>
      </c>
      <c r="D35" s="1584"/>
      <c r="P35" s="131"/>
      <c r="Q35" s="131"/>
      <c r="S35" s="131"/>
      <c r="T35" s="124"/>
      <c r="U35" s="211"/>
      <c r="V35" s="211"/>
      <c r="W35" s="211"/>
      <c r="X35" s="211"/>
      <c r="Y35" s="211"/>
      <c r="Z35" s="211"/>
      <c r="AA35" s="211"/>
      <c r="AB35" s="211"/>
      <c r="AC35" s="124"/>
      <c r="AD35" s="496"/>
      <c r="AE35" s="124"/>
      <c r="AF35" s="496"/>
      <c r="AG35" s="496"/>
      <c r="AH35" s="496"/>
      <c r="AI35" s="124"/>
      <c r="BA35" s="118" t="s">
        <v>2464</v>
      </c>
      <c r="BB35" s="119" t="s">
        <v>2603</v>
      </c>
      <c r="BC35" s="1584"/>
    </row>
    <row r="36" spans="2:66" ht="14.25" customHeight="1">
      <c r="B36" s="91" t="s">
        <v>5254</v>
      </c>
      <c r="C36" s="122" t="s">
        <v>2604</v>
      </c>
      <c r="D36" s="122"/>
      <c r="E36" s="93" t="s">
        <v>750</v>
      </c>
      <c r="F36" s="94">
        <v>3</v>
      </c>
      <c r="G36" s="440"/>
      <c r="H36" s="441"/>
      <c r="I36" s="431"/>
      <c r="J36" s="430"/>
      <c r="K36" s="431"/>
      <c r="L36" s="430"/>
      <c r="M36" s="441"/>
      <c r="N36" s="431"/>
      <c r="O36" s="207">
        <f>SUM(G36:N36)</f>
        <v>0</v>
      </c>
      <c r="P36" s="131"/>
      <c r="Q36" s="131"/>
      <c r="R36" s="24" t="str">
        <f t="shared" ref="R36:R37" si="10" xml:space="preserve"> IF( SUM( T36:AC36 ) = 0, 0, $U$6 )</f>
        <v>Please complete all cells in row</v>
      </c>
      <c r="U36" s="98">
        <f>IF(Validation!$H$3=1,0,IF(ISNUMBER(G36),0,1))</f>
        <v>1</v>
      </c>
      <c r="V36" s="98">
        <f>IF(Validation!$H$3=1,0,IF(ISNUMBER(H36),0,1))</f>
        <v>1</v>
      </c>
      <c r="W36" s="98">
        <f>IF(Validation!$H$3=1,0,IF(ISNUMBER(I36),0,1))</f>
        <v>1</v>
      </c>
      <c r="X36" s="98">
        <f>IF(Validation!$H$3=1,0,IF(ISNUMBER(J36),0,1))</f>
        <v>1</v>
      </c>
      <c r="Y36" s="98">
        <f>IF(Validation!$H$3=1,0,IF(ISNUMBER(K36),0,1))</f>
        <v>1</v>
      </c>
      <c r="Z36" s="98">
        <f>IF(Validation!$H$3=1,0,IF(ISNUMBER(L36),0,1))</f>
        <v>1</v>
      </c>
      <c r="AA36" s="98">
        <f>IF(Validation!$H$3=1,0,IF(ISNUMBER(M36),0,1))</f>
        <v>1</v>
      </c>
      <c r="AB36" s="98">
        <f>IF(Validation!$H$3=1,0,IF(ISNUMBER(N36),0,1))</f>
        <v>1</v>
      </c>
      <c r="BA36" s="91" t="s">
        <v>5254</v>
      </c>
      <c r="BB36" s="122" t="s">
        <v>2604</v>
      </c>
      <c r="BC36" s="122"/>
      <c r="BD36" s="93" t="s">
        <v>750</v>
      </c>
      <c r="BE36" s="94">
        <v>3</v>
      </c>
      <c r="BF36" s="2806" t="s">
        <v>10594</v>
      </c>
      <c r="BG36" s="2748" t="s">
        <v>10595</v>
      </c>
      <c r="BH36" s="2891" t="s">
        <v>10596</v>
      </c>
      <c r="BI36" s="2747" t="s">
        <v>10597</v>
      </c>
      <c r="BJ36" s="2891" t="s">
        <v>10598</v>
      </c>
      <c r="BK36" s="2747" t="s">
        <v>10599</v>
      </c>
      <c r="BL36" s="2748" t="s">
        <v>10600</v>
      </c>
      <c r="BM36" s="2891" t="s">
        <v>10601</v>
      </c>
      <c r="BN36" s="207" t="s">
        <v>10602</v>
      </c>
    </row>
    <row r="37" spans="2:66" ht="14.25" customHeight="1" thickBot="1">
      <c r="B37" s="106" t="s">
        <v>5248</v>
      </c>
      <c r="C37" s="107" t="s">
        <v>2605</v>
      </c>
      <c r="D37" s="107"/>
      <c r="E37" s="108" t="s">
        <v>750</v>
      </c>
      <c r="F37" s="105">
        <v>3</v>
      </c>
      <c r="G37" s="804"/>
      <c r="H37" s="472"/>
      <c r="I37" s="803"/>
      <c r="J37" s="471"/>
      <c r="K37" s="803"/>
      <c r="L37" s="471"/>
      <c r="M37" s="472"/>
      <c r="N37" s="803"/>
      <c r="O37" s="208">
        <f>SUM(G37:N37)</f>
        <v>0</v>
      </c>
      <c r="P37" s="131"/>
      <c r="Q37" s="131"/>
      <c r="R37" s="24" t="str">
        <f t="shared" si="10"/>
        <v>Please complete all cells in row</v>
      </c>
      <c r="U37" s="98">
        <f>IF(Validation!$H$3=1,0,IF(ISNUMBER(G37),0,1))</f>
        <v>1</v>
      </c>
      <c r="V37" s="98">
        <f>IF(Validation!$H$3=1,0,IF(ISNUMBER(H37),0,1))</f>
        <v>1</v>
      </c>
      <c r="W37" s="98">
        <f>IF(Validation!$H$3=1,0,IF(ISNUMBER(I37),0,1))</f>
        <v>1</v>
      </c>
      <c r="X37" s="98">
        <f>IF(Validation!$H$3=1,0,IF(ISNUMBER(J37),0,1))</f>
        <v>1</v>
      </c>
      <c r="Y37" s="98">
        <f>IF(Validation!$H$3=1,0,IF(ISNUMBER(K37),0,1))</f>
        <v>1</v>
      </c>
      <c r="Z37" s="98">
        <f>IF(Validation!$H$3=1,0,IF(ISNUMBER(L37),0,1))</f>
        <v>1</v>
      </c>
      <c r="AA37" s="98">
        <f>IF(Validation!$H$3=1,0,IF(ISNUMBER(M37),0,1))</f>
        <v>1</v>
      </c>
      <c r="AB37" s="98">
        <f>IF(Validation!$H$3=1,0,IF(ISNUMBER(N37),0,1))</f>
        <v>1</v>
      </c>
      <c r="BA37" s="106" t="s">
        <v>5248</v>
      </c>
      <c r="BB37" s="107" t="s">
        <v>2605</v>
      </c>
      <c r="BC37" s="107"/>
      <c r="BD37" s="108" t="s">
        <v>750</v>
      </c>
      <c r="BE37" s="105">
        <v>3</v>
      </c>
      <c r="BF37" s="2897" t="s">
        <v>10603</v>
      </c>
      <c r="BG37" s="2774" t="s">
        <v>10604</v>
      </c>
      <c r="BH37" s="2896" t="s">
        <v>10605</v>
      </c>
      <c r="BI37" s="2773" t="s">
        <v>10606</v>
      </c>
      <c r="BJ37" s="2896" t="s">
        <v>10607</v>
      </c>
      <c r="BK37" s="2773" t="s">
        <v>10608</v>
      </c>
      <c r="BL37" s="2774" t="s">
        <v>10609</v>
      </c>
      <c r="BM37" s="2896" t="s">
        <v>10610</v>
      </c>
      <c r="BN37" s="208" t="s">
        <v>10611</v>
      </c>
    </row>
    <row r="38" spans="2:66" s="496" customFormat="1" ht="15" thickBot="1">
      <c r="P38" s="131"/>
      <c r="Q38" s="131"/>
      <c r="R38" s="71"/>
      <c r="S38" s="131"/>
      <c r="T38" s="124"/>
      <c r="U38" s="211"/>
      <c r="V38" s="211"/>
      <c r="W38" s="211"/>
      <c r="X38" s="211"/>
      <c r="Y38" s="211"/>
      <c r="Z38" s="211"/>
      <c r="AA38" s="211"/>
      <c r="AB38" s="211"/>
      <c r="AC38" s="124"/>
      <c r="AE38" s="124"/>
      <c r="AI38" s="124"/>
    </row>
    <row r="39" spans="2:66" ht="14.25" customHeight="1" thickBot="1">
      <c r="B39" s="136" t="s">
        <v>5249</v>
      </c>
      <c r="C39" s="137" t="s">
        <v>2606</v>
      </c>
      <c r="D39" s="137"/>
      <c r="E39" s="138" t="s">
        <v>750</v>
      </c>
      <c r="F39" s="139">
        <v>3</v>
      </c>
      <c r="G39" s="810">
        <f t="shared" ref="G39:N39" si="11">G33 + G36 + G37</f>
        <v>0</v>
      </c>
      <c r="H39" s="780">
        <f t="shared" si="11"/>
        <v>0</v>
      </c>
      <c r="I39" s="255">
        <f t="shared" si="11"/>
        <v>0</v>
      </c>
      <c r="J39" s="779">
        <f t="shared" si="11"/>
        <v>0</v>
      </c>
      <c r="K39" s="255">
        <f t="shared" si="11"/>
        <v>0</v>
      </c>
      <c r="L39" s="779">
        <f t="shared" si="11"/>
        <v>0</v>
      </c>
      <c r="M39" s="780">
        <f t="shared" si="11"/>
        <v>0</v>
      </c>
      <c r="N39" s="255">
        <f t="shared" si="11"/>
        <v>0</v>
      </c>
      <c r="O39" s="504">
        <f>SUM(G39:N39)</f>
        <v>0</v>
      </c>
      <c r="P39" s="131"/>
      <c r="Q39" s="131"/>
      <c r="S39" s="131"/>
      <c r="T39" s="124"/>
      <c r="U39" s="211"/>
      <c r="V39" s="211"/>
      <c r="W39" s="211"/>
      <c r="X39" s="211"/>
      <c r="Y39" s="211"/>
      <c r="Z39" s="211"/>
      <c r="AA39" s="211"/>
      <c r="AB39" s="211"/>
      <c r="AC39" s="124"/>
      <c r="AE39" s="124"/>
      <c r="AI39" s="124"/>
      <c r="BA39" s="136" t="s">
        <v>5249</v>
      </c>
      <c r="BB39" s="137" t="s">
        <v>2606</v>
      </c>
      <c r="BC39" s="137"/>
      <c r="BD39" s="138" t="s">
        <v>750</v>
      </c>
      <c r="BE39" s="139">
        <v>3</v>
      </c>
      <c r="BF39" s="810" t="s">
        <v>10612</v>
      </c>
      <c r="BG39" s="780" t="s">
        <v>10613</v>
      </c>
      <c r="BH39" s="255" t="s">
        <v>10614</v>
      </c>
      <c r="BI39" s="779" t="s">
        <v>10615</v>
      </c>
      <c r="BJ39" s="255" t="s">
        <v>10616</v>
      </c>
      <c r="BK39" s="779" t="s">
        <v>10617</v>
      </c>
      <c r="BL39" s="780" t="s">
        <v>10618</v>
      </c>
      <c r="BM39" s="255" t="s">
        <v>10619</v>
      </c>
      <c r="BN39" s="504" t="s">
        <v>10620</v>
      </c>
    </row>
    <row r="40" spans="2:66" ht="15" thickBot="1">
      <c r="P40" s="131"/>
      <c r="Q40" s="131"/>
      <c r="S40" s="123"/>
      <c r="T40" s="129"/>
      <c r="U40" s="211"/>
      <c r="V40" s="211"/>
      <c r="W40" s="211"/>
      <c r="X40" s="211"/>
      <c r="Y40" s="211"/>
      <c r="Z40" s="211"/>
      <c r="AA40" s="211"/>
      <c r="AB40" s="211"/>
      <c r="AC40" s="129"/>
      <c r="AE40" s="129"/>
      <c r="AI40" s="129"/>
    </row>
    <row r="41" spans="2:66" ht="15" thickBot="1">
      <c r="B41" s="118" t="s">
        <v>2473</v>
      </c>
      <c r="C41" s="119" t="s">
        <v>2754</v>
      </c>
      <c r="D41" s="1584"/>
      <c r="E41" s="71"/>
      <c r="F41" s="71"/>
      <c r="P41" s="131"/>
      <c r="Q41" s="131"/>
      <c r="S41" s="123"/>
      <c r="T41" s="129"/>
      <c r="U41" s="211"/>
      <c r="V41" s="211"/>
      <c r="W41" s="211"/>
      <c r="X41" s="211"/>
      <c r="Y41" s="211"/>
      <c r="Z41" s="211"/>
      <c r="AA41" s="211"/>
      <c r="AB41" s="211"/>
      <c r="AC41" s="129"/>
      <c r="AE41" s="129"/>
      <c r="AI41" s="129"/>
      <c r="BA41" s="118" t="s">
        <v>2473</v>
      </c>
      <c r="BB41" s="119" t="s">
        <v>2754</v>
      </c>
      <c r="BC41" s="1584"/>
      <c r="BD41" s="71"/>
      <c r="BE41" s="71"/>
    </row>
    <row r="42" spans="2:66" ht="14.25" customHeight="1" thickBot="1">
      <c r="B42" s="91" t="s">
        <v>5250</v>
      </c>
      <c r="C42" s="122" t="s">
        <v>11042</v>
      </c>
      <c r="D42" s="122"/>
      <c r="E42" s="93" t="s">
        <v>2755</v>
      </c>
      <c r="F42" s="223">
        <v>3</v>
      </c>
      <c r="G42" s="443"/>
      <c r="P42" s="131"/>
      <c r="Q42" s="131"/>
      <c r="R42" s="24" t="str">
        <f t="shared" ref="R42:R49" si="12" xml:space="preserve"> IF( SUM( T42:AC42 ) = 0, 0, $U$6 )</f>
        <v>Please complete all cells in row</v>
      </c>
      <c r="S42" s="123"/>
      <c r="T42" s="129"/>
      <c r="U42" s="98">
        <f>IF(Validation!$H$3=1,0,IF(ISNUMBER(G42),0,1))</f>
        <v>1</v>
      </c>
      <c r="V42" s="211"/>
      <c r="W42" s="211"/>
      <c r="X42" s="211"/>
      <c r="Y42" s="211"/>
      <c r="Z42" s="211"/>
      <c r="AA42" s="211"/>
      <c r="AB42" s="211"/>
      <c r="AC42" s="129"/>
      <c r="AE42" s="129"/>
      <c r="AI42" s="129"/>
      <c r="BA42" s="91" t="s">
        <v>5250</v>
      </c>
      <c r="BB42" s="122" t="s">
        <v>11042</v>
      </c>
      <c r="BC42" s="122"/>
      <c r="BD42" s="93" t="s">
        <v>2755</v>
      </c>
      <c r="BE42" s="223">
        <v>3</v>
      </c>
      <c r="BF42" s="2754" t="s">
        <v>10621</v>
      </c>
    </row>
    <row r="43" spans="2:66" ht="14.25" customHeight="1" thickBot="1">
      <c r="B43" s="99" t="s">
        <v>5250</v>
      </c>
      <c r="C43" s="92" t="s">
        <v>11042</v>
      </c>
      <c r="D43" s="92"/>
      <c r="E43" s="100" t="s">
        <v>2755</v>
      </c>
      <c r="F43" s="101">
        <v>3</v>
      </c>
      <c r="H43" s="443"/>
      <c r="P43" s="131"/>
      <c r="Q43" s="131"/>
      <c r="R43" s="24" t="str">
        <f t="shared" si="12"/>
        <v>Please complete all cells in row</v>
      </c>
      <c r="U43" s="211"/>
      <c r="V43" s="98">
        <f>IF(Validation!$H$3=1,0,IF(ISNUMBER(H43),0,1))</f>
        <v>1</v>
      </c>
      <c r="W43" s="211"/>
      <c r="X43" s="211"/>
      <c r="Y43" s="211"/>
      <c r="Z43" s="211"/>
      <c r="AA43" s="211"/>
      <c r="AB43" s="211"/>
      <c r="BA43" s="99" t="s">
        <v>5250</v>
      </c>
      <c r="BB43" s="92" t="s">
        <v>11042</v>
      </c>
      <c r="BC43" s="92"/>
      <c r="BD43" s="100" t="s">
        <v>2755</v>
      </c>
      <c r="BE43" s="101">
        <v>3</v>
      </c>
      <c r="BG43" s="2754" t="s">
        <v>10622</v>
      </c>
    </row>
    <row r="44" spans="2:66" ht="14.25" customHeight="1" thickBot="1">
      <c r="B44" s="99" t="s">
        <v>5250</v>
      </c>
      <c r="C44" s="92" t="s">
        <v>11042</v>
      </c>
      <c r="D44" s="92"/>
      <c r="E44" s="100" t="s">
        <v>2755</v>
      </c>
      <c r="F44" s="101">
        <v>3</v>
      </c>
      <c r="I44" s="443"/>
      <c r="P44" s="131"/>
      <c r="Q44" s="131"/>
      <c r="R44" s="24" t="str">
        <f t="shared" si="12"/>
        <v>Please complete all cells in row</v>
      </c>
      <c r="U44" s="211"/>
      <c r="V44" s="211"/>
      <c r="W44" s="98">
        <f>IF(Validation!$H$3=1,0,IF(ISNUMBER(I44),0,1))</f>
        <v>1</v>
      </c>
      <c r="X44" s="211"/>
      <c r="Y44" s="211"/>
      <c r="Z44" s="211"/>
      <c r="AA44" s="211"/>
      <c r="AB44" s="211"/>
      <c r="BA44" s="99" t="s">
        <v>5250</v>
      </c>
      <c r="BB44" s="92" t="s">
        <v>11042</v>
      </c>
      <c r="BC44" s="92"/>
      <c r="BD44" s="100" t="s">
        <v>2755</v>
      </c>
      <c r="BE44" s="101">
        <v>3</v>
      </c>
      <c r="BH44" s="2754" t="s">
        <v>10623</v>
      </c>
    </row>
    <row r="45" spans="2:66" ht="14.25" customHeight="1" thickBot="1">
      <c r="B45" s="99" t="s">
        <v>5250</v>
      </c>
      <c r="C45" s="92" t="s">
        <v>11043</v>
      </c>
      <c r="D45" s="92"/>
      <c r="E45" s="100" t="s">
        <v>2756</v>
      </c>
      <c r="F45" s="101">
        <v>3</v>
      </c>
      <c r="J45" s="443"/>
      <c r="P45" s="135"/>
      <c r="Q45" s="135"/>
      <c r="R45" s="24" t="str">
        <f t="shared" si="12"/>
        <v>Please complete all cells in row</v>
      </c>
      <c r="U45" s="211"/>
      <c r="V45" s="211"/>
      <c r="W45" s="211"/>
      <c r="X45" s="98">
        <f>IF(Validation!$H$3=1,0,IF(ISNUMBER(J45),0,1))</f>
        <v>1</v>
      </c>
      <c r="Y45" s="211"/>
      <c r="Z45" s="211"/>
      <c r="AA45" s="211"/>
      <c r="AB45" s="211"/>
      <c r="BA45" s="99" t="s">
        <v>5250</v>
      </c>
      <c r="BB45" s="92" t="s">
        <v>11043</v>
      </c>
      <c r="BC45" s="92"/>
      <c r="BD45" s="100" t="s">
        <v>2756</v>
      </c>
      <c r="BE45" s="101">
        <v>3</v>
      </c>
      <c r="BI45" s="2754" t="s">
        <v>10624</v>
      </c>
    </row>
    <row r="46" spans="2:66" ht="14.25" customHeight="1" thickBot="1">
      <c r="B46" s="99" t="s">
        <v>5250</v>
      </c>
      <c r="C46" s="92" t="s">
        <v>11043</v>
      </c>
      <c r="D46" s="92"/>
      <c r="E46" s="100" t="s">
        <v>2756</v>
      </c>
      <c r="F46" s="101">
        <v>3</v>
      </c>
      <c r="K46" s="443"/>
      <c r="P46" s="135"/>
      <c r="Q46" s="135"/>
      <c r="R46" s="24" t="str">
        <f t="shared" si="12"/>
        <v>Please complete all cells in row</v>
      </c>
      <c r="U46" s="211"/>
      <c r="V46" s="211"/>
      <c r="W46" s="211"/>
      <c r="X46" s="211"/>
      <c r="Y46" s="98">
        <f>IF(Validation!$H$3=1,0,IF(ISNUMBER(K46),0,1))</f>
        <v>1</v>
      </c>
      <c r="Z46" s="211"/>
      <c r="AA46" s="211"/>
      <c r="AB46" s="211"/>
      <c r="BA46" s="99" t="s">
        <v>5250</v>
      </c>
      <c r="BB46" s="92" t="s">
        <v>11043</v>
      </c>
      <c r="BC46" s="92"/>
      <c r="BD46" s="100" t="s">
        <v>2756</v>
      </c>
      <c r="BE46" s="101">
        <v>3</v>
      </c>
      <c r="BJ46" s="2754" t="s">
        <v>10625</v>
      </c>
    </row>
    <row r="47" spans="2:66" ht="14.25" customHeight="1" thickBot="1">
      <c r="B47" s="99" t="s">
        <v>5250</v>
      </c>
      <c r="C47" s="92" t="s">
        <v>11044</v>
      </c>
      <c r="D47" s="92"/>
      <c r="E47" s="100" t="s">
        <v>2757</v>
      </c>
      <c r="F47" s="101">
        <v>3</v>
      </c>
      <c r="L47" s="443"/>
      <c r="P47" s="135"/>
      <c r="Q47" s="135"/>
      <c r="R47" s="24" t="str">
        <f t="shared" si="12"/>
        <v>Please complete all cells in row</v>
      </c>
      <c r="U47" s="211"/>
      <c r="V47" s="211"/>
      <c r="W47" s="211"/>
      <c r="X47" s="211"/>
      <c r="Y47" s="211"/>
      <c r="Z47" s="98">
        <f>IF(Validation!$H$3=1,0,IF(ISNUMBER(L47),0,1))</f>
        <v>1</v>
      </c>
      <c r="AA47" s="211"/>
      <c r="AB47" s="211"/>
      <c r="BA47" s="99" t="s">
        <v>5250</v>
      </c>
      <c r="BB47" s="92" t="s">
        <v>11044</v>
      </c>
      <c r="BC47" s="92"/>
      <c r="BD47" s="100" t="s">
        <v>2757</v>
      </c>
      <c r="BE47" s="101">
        <v>3</v>
      </c>
      <c r="BK47" s="2754" t="s">
        <v>10626</v>
      </c>
    </row>
    <row r="48" spans="2:66" ht="14.25" customHeight="1" thickBot="1">
      <c r="B48" s="99" t="s">
        <v>5250</v>
      </c>
      <c r="C48" s="92" t="s">
        <v>11045</v>
      </c>
      <c r="D48" s="92"/>
      <c r="E48" s="100" t="s">
        <v>2759</v>
      </c>
      <c r="F48" s="101">
        <v>3</v>
      </c>
      <c r="M48" s="443"/>
      <c r="P48" s="135"/>
      <c r="Q48" s="135"/>
      <c r="R48" s="24" t="str">
        <f t="shared" si="12"/>
        <v>Please complete all cells in row</v>
      </c>
      <c r="S48" s="123"/>
      <c r="T48" s="129"/>
      <c r="U48" s="211"/>
      <c r="V48" s="211"/>
      <c r="W48" s="211"/>
      <c r="X48" s="211"/>
      <c r="Y48" s="211"/>
      <c r="Z48" s="211"/>
      <c r="AA48" s="98">
        <f>IF(Validation!$H$3=1,0,IF(ISNUMBER(M48),0,1))</f>
        <v>1</v>
      </c>
      <c r="AB48" s="211"/>
      <c r="AC48" s="129"/>
      <c r="AE48" s="129"/>
      <c r="AI48" s="129"/>
      <c r="BA48" s="99" t="s">
        <v>5250</v>
      </c>
      <c r="BB48" s="92" t="s">
        <v>11045</v>
      </c>
      <c r="BC48" s="92"/>
      <c r="BD48" s="100" t="s">
        <v>2759</v>
      </c>
      <c r="BE48" s="101">
        <v>3</v>
      </c>
      <c r="BL48" s="2754" t="s">
        <v>10627</v>
      </c>
    </row>
    <row r="49" spans="1:66" ht="14.25" customHeight="1" thickBot="1">
      <c r="B49" s="99" t="s">
        <v>5250</v>
      </c>
      <c r="C49" s="92" t="s">
        <v>11046</v>
      </c>
      <c r="D49" s="92"/>
      <c r="E49" s="100" t="s">
        <v>2759</v>
      </c>
      <c r="F49" s="101">
        <v>3</v>
      </c>
      <c r="N49" s="444"/>
      <c r="P49" s="135"/>
      <c r="Q49" s="135"/>
      <c r="R49" s="24" t="str">
        <f t="shared" si="12"/>
        <v>Please complete all cells in row</v>
      </c>
      <c r="U49" s="211"/>
      <c r="V49" s="211"/>
      <c r="W49" s="211"/>
      <c r="X49" s="211"/>
      <c r="Y49" s="211"/>
      <c r="Z49" s="211"/>
      <c r="AA49" s="211"/>
      <c r="AB49" s="98">
        <f>IF(Validation!$H$3=1,0,IF(ISNUMBER(N49),0,1))</f>
        <v>1</v>
      </c>
      <c r="BA49" s="99" t="s">
        <v>5250</v>
      </c>
      <c r="BB49" s="92" t="s">
        <v>11046</v>
      </c>
      <c r="BC49" s="92"/>
      <c r="BD49" s="100" t="s">
        <v>2759</v>
      </c>
      <c r="BE49" s="101">
        <v>3</v>
      </c>
      <c r="BM49" s="2767" t="s">
        <v>10628</v>
      </c>
    </row>
    <row r="50" spans="1:66" ht="14.25" customHeight="1">
      <c r="B50" s="99" t="s">
        <v>5251</v>
      </c>
      <c r="C50" s="92" t="s">
        <v>2758</v>
      </c>
      <c r="D50" s="92"/>
      <c r="E50" s="100" t="s">
        <v>3172</v>
      </c>
      <c r="F50" s="101">
        <v>3</v>
      </c>
      <c r="G50" s="196">
        <f xml:space="preserve"> IF( G42 = 0, 0, G18 *1000000 / G42 )</f>
        <v>0</v>
      </c>
      <c r="H50" s="197">
        <f xml:space="preserve"> IF( H43 = 0, 0, H18 *1000000 / H43 )</f>
        <v>0</v>
      </c>
      <c r="I50" s="197">
        <f xml:space="preserve"> IF( I44 = 0, 0, I18 *1000000 / I44 )</f>
        <v>0</v>
      </c>
      <c r="J50" s="197">
        <f xml:space="preserve"> IF( J45 = 0, 0, J18 *1000000 / J45 )</f>
        <v>0</v>
      </c>
      <c r="K50" s="197">
        <f xml:space="preserve"> IF( K46 = 0, 0, K18 *1000000 / K46 )</f>
        <v>0</v>
      </c>
      <c r="L50" s="197">
        <f xml:space="preserve"> IF( L47 = 0, 0, L18 *1000000 / L47 )</f>
        <v>0</v>
      </c>
      <c r="M50" s="197">
        <f xml:space="preserve"> IF( M48 = 0, 0, M18 *1000000 / M48 )</f>
        <v>0</v>
      </c>
      <c r="N50" s="413">
        <f xml:space="preserve"> IF( N49 = 0, 0, N18 *1000000 / N49 )</f>
        <v>0</v>
      </c>
      <c r="O50" s="496"/>
      <c r="P50" s="135"/>
      <c r="Q50" s="135"/>
      <c r="U50" s="211"/>
      <c r="V50" s="211"/>
      <c r="W50" s="211"/>
      <c r="X50" s="211"/>
      <c r="Y50" s="211"/>
      <c r="Z50" s="211"/>
      <c r="AA50" s="211"/>
      <c r="AB50" s="211"/>
      <c r="BA50" s="99" t="s">
        <v>5251</v>
      </c>
      <c r="BB50" s="92" t="s">
        <v>2758</v>
      </c>
      <c r="BC50" s="92"/>
      <c r="BD50" s="100" t="s">
        <v>3172</v>
      </c>
      <c r="BE50" s="101">
        <v>3</v>
      </c>
      <c r="BF50" s="196" t="s">
        <v>10629</v>
      </c>
      <c r="BG50" s="197" t="s">
        <v>10630</v>
      </c>
      <c r="BH50" s="197" t="s">
        <v>10631</v>
      </c>
      <c r="BI50" s="197" t="s">
        <v>10632</v>
      </c>
      <c r="BJ50" s="197" t="s">
        <v>10633</v>
      </c>
      <c r="BK50" s="197" t="s">
        <v>10634</v>
      </c>
      <c r="BL50" s="197" t="s">
        <v>10635</v>
      </c>
      <c r="BM50" s="413" t="s">
        <v>10636</v>
      </c>
    </row>
    <row r="51" spans="1:66" s="496" customFormat="1">
      <c r="B51" s="99" t="s">
        <v>5252</v>
      </c>
      <c r="C51" s="92" t="s">
        <v>3665</v>
      </c>
      <c r="D51" s="92"/>
      <c r="E51" s="100" t="s">
        <v>3624</v>
      </c>
      <c r="F51" s="101">
        <v>3</v>
      </c>
      <c r="G51" s="442"/>
      <c r="H51" s="429"/>
      <c r="I51" s="432"/>
      <c r="J51" s="428"/>
      <c r="K51" s="432"/>
      <c r="L51" s="428"/>
      <c r="M51" s="429"/>
      <c r="N51" s="432"/>
      <c r="P51" s="135"/>
      <c r="Q51" s="135"/>
      <c r="R51" s="24" t="str">
        <f t="shared" ref="R51" si="13" xml:space="preserve"> IF( SUM( T51:AC51 ) = 0, 0, $U$6 )</f>
        <v>Please complete all cells in row</v>
      </c>
      <c r="S51" s="71"/>
      <c r="T51" s="72"/>
      <c r="U51" s="98">
        <f>IF(Validation!$H$3=1,0,IF(ISNUMBER(G51),0,1))</f>
        <v>1</v>
      </c>
      <c r="V51" s="98">
        <f>IF(Validation!$H$3=1,0,IF(ISNUMBER(H51),0,1))</f>
        <v>1</v>
      </c>
      <c r="W51" s="98">
        <f>IF(Validation!$H$3=1,0,IF(ISNUMBER(I51),0,1))</f>
        <v>1</v>
      </c>
      <c r="X51" s="98">
        <f>IF(Validation!$H$3=1,0,IF(ISNUMBER(J51),0,1))</f>
        <v>1</v>
      </c>
      <c r="Y51" s="98">
        <f>IF(Validation!$H$3=1,0,IF(ISNUMBER(K51),0,1))</f>
        <v>1</v>
      </c>
      <c r="Z51" s="98">
        <f>IF(Validation!$H$3=1,0,IF(ISNUMBER(L51),0,1))</f>
        <v>1</v>
      </c>
      <c r="AA51" s="98">
        <f>IF(Validation!$H$3=1,0,IF(ISNUMBER(M51),0,1))</f>
        <v>1</v>
      </c>
      <c r="AB51" s="98">
        <f>IF(Validation!$H$3=1,0,IF(ISNUMBER(N51),0,1))</f>
        <v>1</v>
      </c>
      <c r="AC51" s="72"/>
      <c r="AE51" s="72"/>
      <c r="AI51" s="72"/>
      <c r="BA51" s="99" t="s">
        <v>5252</v>
      </c>
      <c r="BB51" s="92" t="s">
        <v>3665</v>
      </c>
      <c r="BC51" s="92"/>
      <c r="BD51" s="100" t="s">
        <v>3624</v>
      </c>
      <c r="BE51" s="101">
        <v>3</v>
      </c>
      <c r="BF51" s="2763" t="s">
        <v>10637</v>
      </c>
      <c r="BG51" s="2751" t="s">
        <v>10638</v>
      </c>
      <c r="BH51" s="2892" t="s">
        <v>10639</v>
      </c>
      <c r="BI51" s="2750" t="s">
        <v>10640</v>
      </c>
      <c r="BJ51" s="2892" t="s">
        <v>10641</v>
      </c>
      <c r="BK51" s="2750" t="s">
        <v>10642</v>
      </c>
      <c r="BL51" s="2751" t="s">
        <v>10643</v>
      </c>
      <c r="BM51" s="2892" t="s">
        <v>10644</v>
      </c>
    </row>
    <row r="52" spans="1:66" s="496" customFormat="1" ht="15" thickBot="1">
      <c r="B52" s="106" t="s">
        <v>5253</v>
      </c>
      <c r="C52" s="107" t="s">
        <v>2758</v>
      </c>
      <c r="D52" s="107"/>
      <c r="E52" s="108" t="s">
        <v>3666</v>
      </c>
      <c r="F52" s="233">
        <v>3</v>
      </c>
      <c r="G52" s="201">
        <f xml:space="preserve"> IF( G51 = 0, 0, G18 * 1000 / G51 )</f>
        <v>0</v>
      </c>
      <c r="H52" s="202">
        <f t="shared" ref="H52:L52" si="14" xml:space="preserve"> IF( H51 = 0, 0, H18 * 1000 / H51 )</f>
        <v>0</v>
      </c>
      <c r="I52" s="203">
        <f t="shared" si="14"/>
        <v>0</v>
      </c>
      <c r="J52" s="201">
        <f t="shared" si="14"/>
        <v>0</v>
      </c>
      <c r="K52" s="203">
        <f t="shared" si="14"/>
        <v>0</v>
      </c>
      <c r="L52" s="201">
        <f t="shared" si="14"/>
        <v>0</v>
      </c>
      <c r="M52" s="202">
        <f t="shared" ref="M52" si="15" xml:space="preserve"> IF( M51 = 0, 0, M18 * 1000 / M51 )</f>
        <v>0</v>
      </c>
      <c r="N52" s="203">
        <f t="shared" ref="N52" si="16" xml:space="preserve"> IF( N51 = 0, 0, N18 * 1000 / N51 )</f>
        <v>0</v>
      </c>
      <c r="P52" s="135"/>
      <c r="Q52" s="135"/>
      <c r="R52" s="71"/>
      <c r="S52" s="71"/>
      <c r="T52" s="72"/>
      <c r="U52" s="132"/>
      <c r="V52" s="132"/>
      <c r="W52" s="132"/>
      <c r="X52" s="132"/>
      <c r="Y52" s="132"/>
      <c r="Z52" s="132"/>
      <c r="AA52" s="132"/>
      <c r="AB52" s="132"/>
      <c r="AC52" s="72"/>
      <c r="AE52" s="72"/>
      <c r="AI52" s="72"/>
      <c r="BA52" s="106" t="s">
        <v>5253</v>
      </c>
      <c r="BB52" s="107" t="s">
        <v>2758</v>
      </c>
      <c r="BC52" s="107"/>
      <c r="BD52" s="108" t="s">
        <v>3666</v>
      </c>
      <c r="BE52" s="233">
        <v>3</v>
      </c>
      <c r="BF52" s="201" t="s">
        <v>10645</v>
      </c>
      <c r="BG52" s="202" t="s">
        <v>10646</v>
      </c>
      <c r="BH52" s="203" t="s">
        <v>10647</v>
      </c>
      <c r="BI52" s="201" t="s">
        <v>10648</v>
      </c>
      <c r="BJ52" s="203" t="s">
        <v>10649</v>
      </c>
      <c r="BK52" s="201" t="s">
        <v>10650</v>
      </c>
      <c r="BL52" s="202" t="s">
        <v>10651</v>
      </c>
      <c r="BM52" s="203" t="s">
        <v>10652</v>
      </c>
    </row>
    <row r="53" spans="1:66">
      <c r="O53" s="496"/>
      <c r="P53" s="135"/>
      <c r="Q53" s="135"/>
      <c r="U53" s="211"/>
      <c r="V53" s="211"/>
      <c r="W53" s="211"/>
      <c r="X53" s="211"/>
      <c r="Y53" s="211"/>
      <c r="Z53" s="211"/>
      <c r="AA53" s="211"/>
      <c r="AB53" s="211"/>
    </row>
    <row r="54" spans="1:66">
      <c r="B54" s="3220" t="s">
        <v>2420</v>
      </c>
      <c r="C54" s="3220"/>
      <c r="D54" s="1449"/>
      <c r="E54" s="170"/>
      <c r="F54" s="170"/>
      <c r="G54" s="170"/>
      <c r="H54" s="170"/>
      <c r="I54" s="131"/>
      <c r="P54" s="135"/>
      <c r="Q54" s="135"/>
      <c r="U54" s="211"/>
      <c r="V54" s="211"/>
      <c r="W54" s="211"/>
      <c r="X54" s="211"/>
      <c r="Y54" s="211"/>
      <c r="Z54" s="211"/>
      <c r="AA54" s="211"/>
      <c r="AB54" s="211"/>
    </row>
    <row r="55" spans="1:66">
      <c r="B55" s="146"/>
      <c r="C55" s="147"/>
      <c r="D55" s="147"/>
      <c r="E55" s="170"/>
      <c r="F55" s="170"/>
      <c r="G55" s="170"/>
      <c r="H55" s="170"/>
      <c r="I55" s="131"/>
      <c r="P55" s="135"/>
      <c r="Q55" s="135"/>
      <c r="U55" s="211"/>
      <c r="V55" s="211"/>
      <c r="W55" s="211"/>
      <c r="X55" s="211"/>
      <c r="Y55" s="211"/>
      <c r="Z55" s="211"/>
      <c r="AA55" s="211"/>
      <c r="AB55" s="211"/>
    </row>
    <row r="56" spans="1:66">
      <c r="B56" s="25"/>
      <c r="C56" s="148" t="s">
        <v>2421</v>
      </c>
      <c r="D56" s="148"/>
      <c r="E56" s="170"/>
      <c r="F56" s="170"/>
      <c r="G56" s="170"/>
      <c r="H56" s="170"/>
      <c r="I56" s="131"/>
      <c r="P56" s="135"/>
      <c r="Q56" s="135"/>
      <c r="U56" s="211"/>
      <c r="V56" s="211"/>
      <c r="W56" s="211"/>
      <c r="X56" s="211"/>
      <c r="Y56" s="211"/>
      <c r="Z56" s="211"/>
      <c r="AA56" s="211"/>
      <c r="AB56" s="211"/>
      <c r="BA56" s="8"/>
      <c r="BB56" s="8"/>
      <c r="BC56" s="8"/>
      <c r="BD56" s="8"/>
      <c r="BE56" s="8"/>
      <c r="BF56" s="8"/>
      <c r="BG56" s="8"/>
      <c r="BH56" s="8"/>
      <c r="BI56" s="8"/>
      <c r="BJ56" s="8"/>
      <c r="BK56" s="8"/>
      <c r="BL56" s="8"/>
      <c r="BM56" s="8"/>
      <c r="BN56" s="8"/>
    </row>
    <row r="57" spans="1:66">
      <c r="B57" s="146"/>
      <c r="C57" s="147"/>
      <c r="D57" s="147"/>
      <c r="E57" s="170"/>
      <c r="F57" s="170"/>
      <c r="G57" s="170"/>
      <c r="H57" s="170"/>
      <c r="I57" s="131"/>
      <c r="P57" s="135"/>
      <c r="Q57" s="135"/>
      <c r="U57" s="211"/>
      <c r="V57" s="211"/>
      <c r="W57" s="211"/>
      <c r="X57" s="211"/>
      <c r="Y57" s="211"/>
      <c r="Z57" s="211"/>
      <c r="AA57" s="211"/>
      <c r="AB57" s="211"/>
      <c r="BA57" s="8"/>
      <c r="BB57" s="8"/>
      <c r="BC57" s="8"/>
      <c r="BD57" s="8"/>
      <c r="BE57" s="8"/>
      <c r="BF57" s="8"/>
      <c r="BG57" s="8"/>
      <c r="BH57" s="8"/>
      <c r="BI57" s="8"/>
      <c r="BJ57" s="8"/>
      <c r="BK57" s="8"/>
      <c r="BL57" s="8"/>
      <c r="BM57" s="8"/>
      <c r="BN57" s="8"/>
    </row>
    <row r="58" spans="1:66">
      <c r="B58" s="149"/>
      <c r="C58" s="148" t="s">
        <v>2422</v>
      </c>
      <c r="D58" s="148"/>
      <c r="E58" s="170"/>
      <c r="F58" s="170"/>
      <c r="G58" s="170"/>
      <c r="H58" s="170"/>
      <c r="I58" s="131"/>
      <c r="P58" s="135"/>
      <c r="Q58" s="135"/>
      <c r="U58" s="211"/>
      <c r="V58" s="211"/>
      <c r="W58" s="211"/>
      <c r="X58" s="211"/>
      <c r="Y58" s="211"/>
      <c r="Z58" s="211"/>
      <c r="AA58" s="211"/>
      <c r="AB58" s="211"/>
      <c r="BA58" s="8"/>
      <c r="BB58" s="8"/>
      <c r="BC58" s="8"/>
      <c r="BD58" s="8"/>
      <c r="BE58" s="8"/>
      <c r="BF58" s="8"/>
      <c r="BG58" s="8"/>
      <c r="BH58" s="8"/>
      <c r="BI58" s="8"/>
      <c r="BJ58" s="8"/>
      <c r="BK58" s="8"/>
      <c r="BL58" s="8"/>
      <c r="BM58" s="8"/>
      <c r="BN58" s="8"/>
    </row>
    <row r="59" spans="1:66">
      <c r="B59" s="150"/>
      <c r="C59" s="148"/>
      <c r="D59" s="148"/>
      <c r="E59" s="170"/>
      <c r="F59" s="170"/>
      <c r="G59" s="170"/>
      <c r="H59" s="170"/>
      <c r="I59" s="131"/>
      <c r="P59" s="135"/>
      <c r="Q59" s="135"/>
      <c r="U59" s="211"/>
      <c r="V59" s="211"/>
      <c r="W59" s="211"/>
      <c r="X59" s="211"/>
      <c r="Y59" s="211"/>
      <c r="Z59" s="211"/>
      <c r="AA59" s="211"/>
      <c r="AB59" s="211"/>
      <c r="BA59" s="8"/>
      <c r="BB59" s="8"/>
      <c r="BC59" s="8"/>
      <c r="BD59" s="8"/>
      <c r="BE59" s="8"/>
      <c r="BF59" s="8"/>
      <c r="BG59" s="8"/>
      <c r="BH59" s="8"/>
      <c r="BI59" s="8"/>
      <c r="BJ59" s="8"/>
      <c r="BK59" s="8"/>
      <c r="BL59" s="8"/>
      <c r="BM59" s="8"/>
      <c r="BN59" s="8"/>
    </row>
    <row r="60" spans="1:66" ht="15" thickBot="1">
      <c r="B60" s="185"/>
      <c r="C60" s="186"/>
      <c r="D60" s="186"/>
      <c r="E60" s="185"/>
      <c r="F60" s="185"/>
      <c r="G60" s="185"/>
      <c r="H60" s="185"/>
      <c r="I60" s="135"/>
      <c r="P60" s="135"/>
      <c r="Q60" s="135"/>
      <c r="U60" s="211"/>
      <c r="V60" s="211"/>
      <c r="W60" s="211"/>
      <c r="X60" s="211"/>
      <c r="Y60" s="211"/>
      <c r="Z60" s="211"/>
      <c r="AA60" s="211"/>
      <c r="AB60" s="211"/>
      <c r="BA60" s="8"/>
      <c r="BB60" s="8"/>
      <c r="BC60" s="8"/>
      <c r="BD60" s="8"/>
      <c r="BE60" s="8"/>
      <c r="BF60" s="8"/>
      <c r="BG60" s="8"/>
      <c r="BH60" s="8"/>
      <c r="BI60" s="8"/>
      <c r="BJ60" s="8"/>
      <c r="BK60" s="8"/>
      <c r="BL60" s="8"/>
      <c r="BM60" s="8"/>
      <c r="BN60" s="8"/>
    </row>
    <row r="61" spans="1:66" s="496" customFormat="1" ht="19.5" thickBot="1">
      <c r="B61" s="1433" t="s">
        <v>12572</v>
      </c>
      <c r="C61" s="153"/>
      <c r="D61" s="153"/>
      <c r="E61" s="153"/>
      <c r="F61" s="153"/>
      <c r="G61" s="153"/>
      <c r="H61" s="153"/>
      <c r="I61" s="153"/>
      <c r="J61" s="153"/>
      <c r="K61" s="153"/>
      <c r="L61" s="153"/>
      <c r="M61" s="153"/>
      <c r="N61" s="153"/>
      <c r="O61" s="159"/>
      <c r="P61" s="135"/>
      <c r="Q61" s="135"/>
      <c r="R61" s="71"/>
      <c r="S61" s="71"/>
      <c r="T61" s="72"/>
      <c r="U61" s="211"/>
      <c r="V61" s="211"/>
      <c r="W61" s="211"/>
      <c r="X61" s="211"/>
      <c r="Y61" s="211"/>
      <c r="Z61" s="211"/>
      <c r="AA61" s="211"/>
      <c r="AB61" s="211"/>
      <c r="AC61" s="72"/>
      <c r="AE61" s="72"/>
      <c r="AI61" s="72"/>
    </row>
    <row r="62" spans="1:66" s="496" customFormat="1">
      <c r="B62" s="185"/>
      <c r="C62" s="186"/>
      <c r="D62" s="186"/>
      <c r="E62" s="185"/>
      <c r="F62" s="185"/>
      <c r="G62" s="185"/>
      <c r="H62" s="185"/>
      <c r="I62" s="135"/>
      <c r="P62" s="135"/>
      <c r="Q62" s="135"/>
      <c r="R62" s="71"/>
      <c r="S62" s="71"/>
      <c r="T62" s="72"/>
      <c r="U62" s="211"/>
      <c r="V62" s="211"/>
      <c r="W62" s="211"/>
      <c r="X62" s="211"/>
      <c r="Y62" s="211"/>
      <c r="Z62" s="211"/>
      <c r="AA62" s="211"/>
      <c r="AB62" s="211"/>
      <c r="AC62" s="72"/>
      <c r="AE62" s="72"/>
      <c r="AI62" s="72"/>
    </row>
    <row r="63" spans="1:66" ht="19.5" hidden="1" thickBot="1">
      <c r="A63" s="1649"/>
      <c r="B63" s="151" t="str">
        <f ca="1" xml:space="preserve"> RIGHT(CELL("filename", $A$1), LEN(CELL("filename", $A$1)) - SEARCH("]", CELL("filename", $A$1)))&amp;" - Line definitions"</f>
        <v>4E - Line definitions</v>
      </c>
      <c r="C63" s="152"/>
      <c r="D63" s="152"/>
      <c r="E63" s="153"/>
      <c r="F63" s="153"/>
      <c r="G63" s="153"/>
      <c r="H63" s="153"/>
      <c r="I63" s="153"/>
      <c r="J63" s="153"/>
      <c r="K63" s="153"/>
      <c r="L63" s="153"/>
      <c r="M63" s="153"/>
      <c r="N63" s="153"/>
      <c r="O63" s="159"/>
      <c r="P63" s="135"/>
      <c r="Q63" s="135"/>
      <c r="V63" s="211"/>
      <c r="W63" s="211"/>
      <c r="X63" s="211"/>
      <c r="Y63" s="211"/>
      <c r="Z63" s="211"/>
      <c r="AA63" s="211"/>
      <c r="AB63" s="211"/>
      <c r="BA63" s="8"/>
      <c r="BB63" s="8"/>
      <c r="BC63" s="8"/>
      <c r="BD63" s="8"/>
      <c r="BE63" s="8"/>
      <c r="BF63" s="8"/>
      <c r="BG63" s="8"/>
      <c r="BH63" s="8"/>
      <c r="BI63" s="8"/>
      <c r="BJ63" s="8"/>
      <c r="BK63" s="8"/>
      <c r="BL63" s="8"/>
      <c r="BM63" s="8"/>
      <c r="BN63" s="8"/>
    </row>
    <row r="64" spans="1:66" ht="15" hidden="1" thickBot="1">
      <c r="A64" s="1649"/>
      <c r="B64" s="75"/>
      <c r="C64" s="160"/>
      <c r="D64" s="160"/>
      <c r="E64" s="75"/>
      <c r="F64" s="75"/>
      <c r="G64" s="75"/>
      <c r="H64" s="115"/>
      <c r="I64" s="123"/>
      <c r="P64" s="135"/>
      <c r="Q64" s="135"/>
      <c r="V64" s="211"/>
      <c r="W64" s="211"/>
      <c r="X64" s="211"/>
      <c r="Y64" s="211"/>
      <c r="Z64" s="211"/>
      <c r="AA64" s="211"/>
      <c r="AB64" s="211"/>
      <c r="BA64" s="8"/>
      <c r="BB64" s="8"/>
      <c r="BC64" s="8"/>
      <c r="BD64" s="8"/>
      <c r="BE64" s="8"/>
      <c r="BF64" s="8"/>
      <c r="BG64" s="8"/>
      <c r="BH64" s="8"/>
      <c r="BI64" s="8"/>
      <c r="BJ64" s="8"/>
      <c r="BK64" s="8"/>
      <c r="BL64" s="8"/>
      <c r="BM64" s="8"/>
      <c r="BN64" s="8"/>
    </row>
    <row r="65" spans="1:66" ht="15" hidden="1" thickBot="1">
      <c r="A65" s="1649"/>
      <c r="B65" s="161" t="s">
        <v>2423</v>
      </c>
      <c r="C65" s="3395" t="s">
        <v>2424</v>
      </c>
      <c r="D65" s="3395"/>
      <c r="E65" s="3395"/>
      <c r="F65" s="3395"/>
      <c r="G65" s="3395"/>
      <c r="H65" s="3395"/>
      <c r="I65" s="3395"/>
      <c r="J65" s="3395"/>
      <c r="K65" s="3395"/>
      <c r="L65" s="3395"/>
      <c r="M65" s="3395"/>
      <c r="N65" s="3395"/>
      <c r="O65" s="3397"/>
      <c r="P65" s="135"/>
      <c r="Q65" s="135"/>
      <c r="V65" s="211"/>
      <c r="W65" s="211"/>
      <c r="X65" s="211"/>
      <c r="Y65" s="211"/>
      <c r="Z65" s="211"/>
      <c r="AA65" s="211"/>
      <c r="AB65" s="211"/>
      <c r="BA65" s="8"/>
      <c r="BB65" s="8"/>
      <c r="BC65" s="8"/>
      <c r="BD65" s="8"/>
      <c r="BE65" s="8"/>
      <c r="BF65" s="8"/>
      <c r="BG65" s="8"/>
      <c r="BH65" s="8"/>
      <c r="BI65" s="8"/>
      <c r="BJ65" s="8"/>
      <c r="BK65" s="8"/>
      <c r="BL65" s="8"/>
      <c r="BM65" s="8"/>
      <c r="BN65" s="8"/>
    </row>
    <row r="66" spans="1:66" ht="13.5" hidden="1" customHeight="1">
      <c r="A66" s="1649"/>
      <c r="B66" s="188" t="str">
        <f>B7</f>
        <v>4E.1</v>
      </c>
      <c r="C66" s="3216" t="s">
        <v>3613</v>
      </c>
      <c r="D66" s="3216"/>
      <c r="E66" s="3216"/>
      <c r="F66" s="3216"/>
      <c r="G66" s="3216"/>
      <c r="H66" s="3216"/>
      <c r="I66" s="3216"/>
      <c r="J66" s="3216"/>
      <c r="K66" s="3216"/>
      <c r="L66" s="3216"/>
      <c r="M66" s="3216"/>
      <c r="N66" s="3216"/>
      <c r="O66" s="3217"/>
      <c r="P66" s="135"/>
      <c r="Q66" s="135"/>
      <c r="U66" s="90" t="s">
        <v>2425</v>
      </c>
      <c r="V66" s="211"/>
      <c r="W66" s="211"/>
      <c r="X66" s="211"/>
      <c r="Y66" s="211"/>
      <c r="Z66" s="211"/>
      <c r="AA66" s="211"/>
      <c r="AB66" s="211"/>
      <c r="BA66" s="8"/>
      <c r="BB66" s="8"/>
      <c r="BC66" s="8"/>
      <c r="BD66" s="8"/>
      <c r="BE66" s="8"/>
      <c r="BF66" s="8"/>
      <c r="BG66" s="8"/>
      <c r="BH66" s="8"/>
      <c r="BI66" s="8"/>
      <c r="BJ66" s="8"/>
      <c r="BK66" s="8"/>
      <c r="BL66" s="8"/>
      <c r="BM66" s="8"/>
      <c r="BN66" s="8"/>
    </row>
    <row r="67" spans="1:66" ht="58.5" hidden="1" customHeight="1">
      <c r="A67" s="1649"/>
      <c r="B67" s="166" t="str">
        <f>B8</f>
        <v>4E.2</v>
      </c>
      <c r="C67" s="3198" t="s">
        <v>3814</v>
      </c>
      <c r="D67" s="3198"/>
      <c r="E67" s="3198"/>
      <c r="F67" s="3198"/>
      <c r="G67" s="3198"/>
      <c r="H67" s="3198"/>
      <c r="I67" s="3198"/>
      <c r="J67" s="3198"/>
      <c r="K67" s="3198"/>
      <c r="L67" s="3198"/>
      <c r="M67" s="3198"/>
      <c r="N67" s="3198"/>
      <c r="O67" s="3199"/>
      <c r="P67" s="135"/>
      <c r="Q67" s="135"/>
      <c r="U67" s="210" t="s">
        <v>2624</v>
      </c>
      <c r="V67" s="211"/>
      <c r="W67" s="211"/>
      <c r="X67" s="211"/>
      <c r="Y67" s="211"/>
      <c r="Z67" s="211"/>
      <c r="AA67" s="211"/>
      <c r="AB67" s="211"/>
      <c r="BA67" s="8"/>
      <c r="BB67" s="8"/>
      <c r="BC67" s="8"/>
      <c r="BD67" s="8"/>
      <c r="BE67" s="8"/>
      <c r="BF67" s="8"/>
      <c r="BG67" s="8"/>
      <c r="BH67" s="8"/>
      <c r="BI67" s="8"/>
      <c r="BJ67" s="8"/>
      <c r="BK67" s="8"/>
      <c r="BL67" s="8"/>
      <c r="BM67" s="8"/>
      <c r="BN67" s="8"/>
    </row>
    <row r="68" spans="1:66" hidden="1">
      <c r="A68" s="1649"/>
      <c r="B68" s="166" t="str">
        <f>B9</f>
        <v>4E.3</v>
      </c>
      <c r="C68" s="3198" t="s">
        <v>3680</v>
      </c>
      <c r="D68" s="3198"/>
      <c r="E68" s="3198"/>
      <c r="F68" s="3198"/>
      <c r="G68" s="3198"/>
      <c r="H68" s="3198"/>
      <c r="I68" s="3198"/>
      <c r="J68" s="3198"/>
      <c r="K68" s="3198"/>
      <c r="L68" s="3198"/>
      <c r="M68" s="3198"/>
      <c r="N68" s="3198"/>
      <c r="O68" s="3199"/>
      <c r="P68" s="135"/>
      <c r="Q68" s="135"/>
      <c r="U68" s="210">
        <v>1</v>
      </c>
      <c r="V68" s="115"/>
      <c r="W68" s="115"/>
      <c r="X68" s="115"/>
      <c r="Y68" s="115"/>
      <c r="Z68" s="115"/>
      <c r="AA68" s="115"/>
      <c r="AB68" s="115"/>
      <c r="BA68" s="8"/>
      <c r="BB68" s="8"/>
      <c r="BC68" s="8"/>
      <c r="BD68" s="8"/>
      <c r="BE68" s="8"/>
      <c r="BF68" s="8"/>
      <c r="BG68" s="8"/>
      <c r="BH68" s="8"/>
      <c r="BI68" s="8"/>
      <c r="BJ68" s="8"/>
      <c r="BK68" s="8"/>
      <c r="BL68" s="8"/>
      <c r="BM68" s="8"/>
      <c r="BN68" s="8"/>
    </row>
    <row r="69" spans="1:66" hidden="1">
      <c r="A69" s="1649"/>
      <c r="B69" s="166" t="str">
        <f>B10</f>
        <v>4E.4</v>
      </c>
      <c r="C69" s="3198" t="s">
        <v>3681</v>
      </c>
      <c r="D69" s="3198"/>
      <c r="E69" s="3198"/>
      <c r="F69" s="3198"/>
      <c r="G69" s="3198"/>
      <c r="H69" s="3198"/>
      <c r="I69" s="3198"/>
      <c r="J69" s="3198"/>
      <c r="K69" s="3198"/>
      <c r="L69" s="3198"/>
      <c r="M69" s="3198"/>
      <c r="N69" s="3198"/>
      <c r="O69" s="3199"/>
      <c r="P69" s="135"/>
      <c r="Q69" s="135"/>
      <c r="U69" s="210">
        <v>1</v>
      </c>
      <c r="V69" s="115"/>
      <c r="W69" s="115"/>
      <c r="X69" s="115"/>
      <c r="Y69" s="115"/>
      <c r="Z69" s="115"/>
      <c r="AA69" s="115"/>
      <c r="AB69" s="115"/>
      <c r="BA69" s="8"/>
      <c r="BB69" s="8"/>
      <c r="BC69" s="8"/>
      <c r="BD69" s="8"/>
      <c r="BE69" s="8"/>
      <c r="BF69" s="8"/>
      <c r="BG69" s="8"/>
      <c r="BH69" s="8"/>
      <c r="BI69" s="8"/>
      <c r="BJ69" s="8"/>
      <c r="BK69" s="8"/>
      <c r="BL69" s="8"/>
      <c r="BM69" s="8"/>
      <c r="BN69" s="8"/>
    </row>
    <row r="70" spans="1:66" ht="23.25" hidden="1" customHeight="1">
      <c r="A70" s="1649"/>
      <c r="B70" s="166" t="str">
        <f>B11</f>
        <v>4E.5</v>
      </c>
      <c r="C70" s="3198" t="s">
        <v>3812</v>
      </c>
      <c r="D70" s="3198"/>
      <c r="E70" s="3198"/>
      <c r="F70" s="3198"/>
      <c r="G70" s="3198"/>
      <c r="H70" s="3198"/>
      <c r="I70" s="3198"/>
      <c r="J70" s="3198"/>
      <c r="K70" s="3198"/>
      <c r="L70" s="3198"/>
      <c r="M70" s="3198"/>
      <c r="N70" s="3198"/>
      <c r="O70" s="3199"/>
      <c r="U70" s="210" t="s">
        <v>2428</v>
      </c>
      <c r="V70" s="115"/>
      <c r="W70" s="115"/>
      <c r="X70" s="115"/>
      <c r="Y70" s="115"/>
      <c r="Z70" s="115"/>
      <c r="AA70" s="115"/>
      <c r="AB70" s="115"/>
      <c r="BA70" s="8"/>
      <c r="BB70" s="8"/>
      <c r="BC70" s="8"/>
      <c r="BD70" s="8"/>
      <c r="BE70" s="8"/>
      <c r="BF70" s="8"/>
      <c r="BG70" s="8"/>
      <c r="BH70" s="8"/>
      <c r="BI70" s="8"/>
      <c r="BJ70" s="8"/>
      <c r="BK70" s="8"/>
      <c r="BL70" s="8"/>
      <c r="BM70" s="8"/>
      <c r="BN70" s="8"/>
    </row>
    <row r="71" spans="1:66" s="496" customFormat="1" ht="13.5" hidden="1" customHeight="1">
      <c r="A71" s="1649"/>
      <c r="B71" s="166" t="str">
        <f t="shared" ref="B71:B72" si="17">B12</f>
        <v>4E.6</v>
      </c>
      <c r="C71" s="3198" t="s">
        <v>3796</v>
      </c>
      <c r="D71" s="3198"/>
      <c r="E71" s="3198"/>
      <c r="F71" s="3198"/>
      <c r="G71" s="3198"/>
      <c r="H71" s="3198"/>
      <c r="I71" s="3198"/>
      <c r="J71" s="3198"/>
      <c r="K71" s="3198"/>
      <c r="L71" s="3198"/>
      <c r="M71" s="3198"/>
      <c r="N71" s="3198"/>
      <c r="O71" s="3199"/>
      <c r="P71" s="71"/>
      <c r="Q71" s="71"/>
      <c r="R71" s="71"/>
      <c r="S71" s="71"/>
      <c r="T71" s="72"/>
      <c r="U71" s="210">
        <v>1</v>
      </c>
      <c r="V71" s="115"/>
      <c r="W71" s="115"/>
      <c r="X71" s="115"/>
      <c r="Y71" s="115"/>
      <c r="Z71" s="115"/>
      <c r="AA71" s="115"/>
      <c r="AB71" s="115"/>
      <c r="AC71" s="72"/>
      <c r="AE71" s="72"/>
      <c r="AI71" s="72"/>
    </row>
    <row r="72" spans="1:66" s="496" customFormat="1" hidden="1">
      <c r="A72" s="1649"/>
      <c r="B72" s="166" t="str">
        <f t="shared" si="17"/>
        <v>4E.7</v>
      </c>
      <c r="C72" s="3198" t="s">
        <v>3815</v>
      </c>
      <c r="D72" s="3198"/>
      <c r="E72" s="3198"/>
      <c r="F72" s="3198"/>
      <c r="G72" s="3198"/>
      <c r="H72" s="3198"/>
      <c r="I72" s="3198"/>
      <c r="J72" s="3198"/>
      <c r="K72" s="3198"/>
      <c r="L72" s="3198"/>
      <c r="M72" s="3198"/>
      <c r="N72" s="3198"/>
      <c r="O72" s="3199"/>
      <c r="P72" s="71"/>
      <c r="Q72" s="71"/>
      <c r="R72" s="71"/>
      <c r="S72" s="71"/>
      <c r="T72" s="72"/>
      <c r="U72" s="210">
        <v>1</v>
      </c>
      <c r="V72" s="115"/>
      <c r="W72" s="115"/>
      <c r="X72" s="115"/>
      <c r="Y72" s="115"/>
      <c r="Z72" s="115"/>
      <c r="AA72" s="115"/>
      <c r="AB72" s="115"/>
      <c r="AC72" s="72"/>
      <c r="AE72" s="72"/>
      <c r="AI72" s="72"/>
    </row>
    <row r="73" spans="1:66" ht="13.5" hidden="1" customHeight="1">
      <c r="A73" s="1649"/>
      <c r="B73" s="166" t="str">
        <f>B14</f>
        <v>4E.8</v>
      </c>
      <c r="C73" s="3198" t="s">
        <v>2609</v>
      </c>
      <c r="D73" s="3198"/>
      <c r="E73" s="3198"/>
      <c r="F73" s="3198"/>
      <c r="G73" s="3198"/>
      <c r="H73" s="3198"/>
      <c r="I73" s="3198"/>
      <c r="J73" s="3198"/>
      <c r="K73" s="3198"/>
      <c r="L73" s="3198"/>
      <c r="M73" s="3198"/>
      <c r="N73" s="3198"/>
      <c r="O73" s="3199"/>
      <c r="U73" s="210">
        <v>1</v>
      </c>
      <c r="V73" s="115"/>
      <c r="W73" s="115"/>
      <c r="X73" s="115"/>
      <c r="Y73" s="115"/>
      <c r="Z73" s="115"/>
      <c r="AA73" s="115"/>
      <c r="AB73" s="115"/>
      <c r="BA73" s="8"/>
      <c r="BB73" s="8"/>
      <c r="BC73" s="8"/>
      <c r="BD73" s="8"/>
      <c r="BE73" s="8"/>
      <c r="BF73" s="8"/>
      <c r="BG73" s="8"/>
      <c r="BH73" s="8"/>
      <c r="BI73" s="8"/>
      <c r="BJ73" s="8"/>
      <c r="BK73" s="8"/>
      <c r="BL73" s="8"/>
      <c r="BM73" s="8"/>
      <c r="BN73" s="8"/>
    </row>
    <row r="74" spans="1:66" ht="13.5" hidden="1" customHeight="1">
      <c r="A74" s="1649"/>
      <c r="B74" s="166" t="str">
        <f>B15</f>
        <v>4E.9</v>
      </c>
      <c r="C74" s="3198" t="s">
        <v>3816</v>
      </c>
      <c r="D74" s="3198"/>
      <c r="E74" s="3198"/>
      <c r="F74" s="3198"/>
      <c r="G74" s="3198"/>
      <c r="H74" s="3198"/>
      <c r="I74" s="3198"/>
      <c r="J74" s="3198"/>
      <c r="K74" s="3198"/>
      <c r="L74" s="3198"/>
      <c r="M74" s="3198"/>
      <c r="N74" s="3198"/>
      <c r="O74" s="3199"/>
      <c r="U74" s="210">
        <v>1</v>
      </c>
      <c r="BA74" s="8"/>
      <c r="BB74" s="8"/>
      <c r="BC74" s="8"/>
      <c r="BD74" s="8"/>
      <c r="BE74" s="8"/>
      <c r="BF74" s="8"/>
      <c r="BG74" s="8"/>
      <c r="BH74" s="8"/>
      <c r="BI74" s="8"/>
      <c r="BJ74" s="8"/>
      <c r="BK74" s="8"/>
      <c r="BL74" s="8"/>
      <c r="BM74" s="8"/>
      <c r="BN74" s="8"/>
    </row>
    <row r="75" spans="1:66" hidden="1">
      <c r="A75" s="1649"/>
      <c r="B75" s="166" t="str">
        <f>B17</f>
        <v>4E.10</v>
      </c>
      <c r="C75" s="3198" t="s">
        <v>3817</v>
      </c>
      <c r="D75" s="3198"/>
      <c r="E75" s="3198"/>
      <c r="F75" s="3198"/>
      <c r="G75" s="3198"/>
      <c r="H75" s="3198"/>
      <c r="I75" s="3198"/>
      <c r="J75" s="3198"/>
      <c r="K75" s="3198"/>
      <c r="L75" s="3198"/>
      <c r="M75" s="3198"/>
      <c r="N75" s="3198"/>
      <c r="O75" s="3199"/>
      <c r="U75" s="210">
        <v>1</v>
      </c>
      <c r="BA75" s="8"/>
      <c r="BB75" s="8"/>
      <c r="BC75" s="8"/>
      <c r="BD75" s="8"/>
      <c r="BE75" s="8"/>
      <c r="BF75" s="8"/>
      <c r="BG75" s="8"/>
      <c r="BH75" s="8"/>
      <c r="BI75" s="8"/>
      <c r="BJ75" s="8"/>
      <c r="BK75" s="8"/>
      <c r="BL75" s="8"/>
      <c r="BM75" s="8"/>
      <c r="BN75" s="8"/>
    </row>
    <row r="76" spans="1:66" ht="13.5" hidden="1" customHeight="1">
      <c r="A76" s="1649"/>
      <c r="B76" s="166" t="str">
        <f>B18</f>
        <v>4E.11</v>
      </c>
      <c r="C76" s="3198" t="s">
        <v>3818</v>
      </c>
      <c r="D76" s="3198"/>
      <c r="E76" s="3198"/>
      <c r="F76" s="3198"/>
      <c r="G76" s="3198"/>
      <c r="H76" s="3198"/>
      <c r="I76" s="3198"/>
      <c r="J76" s="3198"/>
      <c r="K76" s="3198"/>
      <c r="L76" s="3198"/>
      <c r="M76" s="3198"/>
      <c r="N76" s="3198"/>
      <c r="O76" s="3199"/>
      <c r="U76" s="210">
        <v>1</v>
      </c>
      <c r="BA76" s="8"/>
      <c r="BB76" s="8"/>
      <c r="BC76" s="8"/>
      <c r="BD76" s="8"/>
      <c r="BE76" s="8"/>
      <c r="BF76" s="8"/>
      <c r="BG76" s="8"/>
      <c r="BH76" s="8"/>
      <c r="BI76" s="8"/>
      <c r="BJ76" s="8"/>
      <c r="BK76" s="8"/>
      <c r="BL76" s="8"/>
      <c r="BM76" s="8"/>
      <c r="BN76" s="8"/>
    </row>
    <row r="77" spans="1:66" ht="23.25" hidden="1" customHeight="1">
      <c r="A77" s="1649"/>
      <c r="B77" s="166" t="str">
        <f t="shared" ref="B77:B84" si="18">B21</f>
        <v>4E.12</v>
      </c>
      <c r="C77" s="3198" t="s">
        <v>3800</v>
      </c>
      <c r="D77" s="3198"/>
      <c r="E77" s="3198"/>
      <c r="F77" s="3198"/>
      <c r="G77" s="3198"/>
      <c r="H77" s="3198"/>
      <c r="I77" s="3198"/>
      <c r="J77" s="3198"/>
      <c r="K77" s="3198"/>
      <c r="L77" s="3198"/>
      <c r="M77" s="3198"/>
      <c r="N77" s="3198"/>
      <c r="O77" s="3199"/>
      <c r="U77" s="210" t="s">
        <v>2428</v>
      </c>
      <c r="BA77" s="8"/>
      <c r="BB77" s="8"/>
      <c r="BC77" s="8"/>
      <c r="BD77" s="8"/>
      <c r="BE77" s="8"/>
      <c r="BF77" s="8"/>
      <c r="BG77" s="8"/>
      <c r="BH77" s="8"/>
      <c r="BI77" s="8"/>
      <c r="BJ77" s="8"/>
      <c r="BK77" s="8"/>
      <c r="BL77" s="8"/>
      <c r="BM77" s="8"/>
      <c r="BN77" s="8"/>
    </row>
    <row r="78" spans="1:66" ht="23.25" hidden="1" customHeight="1">
      <c r="A78" s="1649"/>
      <c r="B78" s="166" t="str">
        <f t="shared" si="18"/>
        <v>4E.13</v>
      </c>
      <c r="C78" s="3198" t="s">
        <v>3801</v>
      </c>
      <c r="D78" s="3198"/>
      <c r="E78" s="3198"/>
      <c r="F78" s="3198"/>
      <c r="G78" s="3198"/>
      <c r="H78" s="3198"/>
      <c r="I78" s="3198"/>
      <c r="J78" s="3198"/>
      <c r="K78" s="3198"/>
      <c r="L78" s="3198"/>
      <c r="M78" s="3198"/>
      <c r="N78" s="3198"/>
      <c r="O78" s="3199"/>
      <c r="U78" s="210" t="s">
        <v>2428</v>
      </c>
      <c r="BA78" s="8"/>
      <c r="BB78" s="8"/>
      <c r="BC78" s="8"/>
      <c r="BD78" s="8"/>
      <c r="BE78" s="8"/>
      <c r="BF78" s="8"/>
      <c r="BG78" s="8"/>
      <c r="BH78" s="8"/>
      <c r="BI78" s="8"/>
      <c r="BJ78" s="8"/>
      <c r="BK78" s="8"/>
      <c r="BL78" s="8"/>
      <c r="BM78" s="8"/>
      <c r="BN78" s="8"/>
    </row>
    <row r="79" spans="1:66" ht="13.5" hidden="1" customHeight="1">
      <c r="A79" s="1649"/>
      <c r="B79" s="166" t="str">
        <f t="shared" si="18"/>
        <v>4E.14</v>
      </c>
      <c r="C79" s="3198" t="s">
        <v>3819</v>
      </c>
      <c r="D79" s="3198"/>
      <c r="E79" s="3198"/>
      <c r="F79" s="3198"/>
      <c r="G79" s="3198"/>
      <c r="H79" s="3198"/>
      <c r="I79" s="3198"/>
      <c r="J79" s="3198"/>
      <c r="K79" s="3198"/>
      <c r="L79" s="3198"/>
      <c r="M79" s="3198"/>
      <c r="N79" s="3198"/>
      <c r="O79" s="3199"/>
      <c r="U79" s="210">
        <v>1</v>
      </c>
      <c r="BA79" s="8"/>
      <c r="BB79" s="8"/>
      <c r="BC79" s="8"/>
      <c r="BD79" s="8"/>
      <c r="BE79" s="8"/>
      <c r="BF79" s="8"/>
      <c r="BG79" s="8"/>
      <c r="BH79" s="8"/>
      <c r="BI79" s="8"/>
      <c r="BJ79" s="8"/>
      <c r="BK79" s="8"/>
      <c r="BL79" s="8"/>
      <c r="BM79" s="8"/>
      <c r="BN79" s="8"/>
    </row>
    <row r="80" spans="1:66" ht="13.5" hidden="1" customHeight="1">
      <c r="A80" s="1649"/>
      <c r="B80" s="166" t="str">
        <f t="shared" si="18"/>
        <v>4E.15</v>
      </c>
      <c r="C80" s="3198" t="s">
        <v>3820</v>
      </c>
      <c r="D80" s="3198"/>
      <c r="E80" s="3198"/>
      <c r="F80" s="3198"/>
      <c r="G80" s="3198"/>
      <c r="H80" s="3198"/>
      <c r="I80" s="3198"/>
      <c r="J80" s="3198"/>
      <c r="K80" s="3198"/>
      <c r="L80" s="3198"/>
      <c r="M80" s="3198"/>
      <c r="N80" s="3198"/>
      <c r="O80" s="3199"/>
      <c r="U80" s="210">
        <v>1</v>
      </c>
      <c r="BA80" s="8"/>
      <c r="BB80" s="8"/>
      <c r="BC80" s="8"/>
      <c r="BD80" s="8"/>
      <c r="BE80" s="8"/>
      <c r="BF80" s="8"/>
      <c r="BG80" s="8"/>
      <c r="BH80" s="8"/>
      <c r="BI80" s="8"/>
      <c r="BJ80" s="8"/>
      <c r="BK80" s="8"/>
      <c r="BL80" s="8"/>
      <c r="BM80" s="8"/>
      <c r="BN80" s="8"/>
    </row>
    <row r="81" spans="1:66" s="496" customFormat="1" ht="35.25" hidden="1" customHeight="1">
      <c r="A81" s="1649"/>
      <c r="B81" s="166" t="str">
        <f t="shared" si="18"/>
        <v>4E.16</v>
      </c>
      <c r="C81" s="3198" t="s">
        <v>3821</v>
      </c>
      <c r="D81" s="3198"/>
      <c r="E81" s="3198"/>
      <c r="F81" s="3198"/>
      <c r="G81" s="3198"/>
      <c r="H81" s="3198"/>
      <c r="I81" s="3198"/>
      <c r="J81" s="3198"/>
      <c r="K81" s="3198"/>
      <c r="L81" s="3198"/>
      <c r="M81" s="3198"/>
      <c r="N81" s="3198"/>
      <c r="O81" s="3199"/>
      <c r="P81" s="71"/>
      <c r="Q81" s="71"/>
      <c r="R81" s="71"/>
      <c r="S81" s="71"/>
      <c r="T81" s="72"/>
      <c r="U81" s="210" t="s">
        <v>2426</v>
      </c>
      <c r="V81" s="71"/>
      <c r="W81" s="71"/>
      <c r="X81" s="71"/>
      <c r="Y81" s="71"/>
      <c r="Z81" s="71"/>
      <c r="AA81" s="71"/>
      <c r="AB81" s="71"/>
      <c r="AC81" s="72"/>
      <c r="AE81" s="72"/>
      <c r="AI81" s="72"/>
    </row>
    <row r="82" spans="1:66" ht="13.5" hidden="1" customHeight="1">
      <c r="A82" s="1649"/>
      <c r="B82" s="166" t="str">
        <f t="shared" si="18"/>
        <v>4E.17</v>
      </c>
      <c r="C82" s="3198" t="s">
        <v>3822</v>
      </c>
      <c r="D82" s="3198"/>
      <c r="E82" s="3198"/>
      <c r="F82" s="3198"/>
      <c r="G82" s="3198"/>
      <c r="H82" s="3198"/>
      <c r="I82" s="3198"/>
      <c r="J82" s="3198"/>
      <c r="K82" s="3198"/>
      <c r="L82" s="3198"/>
      <c r="M82" s="3198"/>
      <c r="N82" s="3198"/>
      <c r="O82" s="3199"/>
      <c r="U82" s="210">
        <v>1</v>
      </c>
      <c r="BA82" s="8"/>
      <c r="BB82" s="8"/>
      <c r="BC82" s="8"/>
      <c r="BD82" s="8"/>
      <c r="BE82" s="8"/>
      <c r="BF82" s="8"/>
      <c r="BG82" s="8"/>
      <c r="BH82" s="8"/>
      <c r="BI82" s="8"/>
      <c r="BJ82" s="8"/>
      <c r="BK82" s="8"/>
      <c r="BL82" s="8"/>
      <c r="BM82" s="8"/>
      <c r="BN82" s="8"/>
    </row>
    <row r="83" spans="1:66" hidden="1">
      <c r="A83" s="1649"/>
      <c r="B83" s="166" t="str">
        <f t="shared" si="18"/>
        <v>4E.18</v>
      </c>
      <c r="C83" s="3198" t="s">
        <v>3682</v>
      </c>
      <c r="D83" s="3198"/>
      <c r="E83" s="3198"/>
      <c r="F83" s="3198"/>
      <c r="G83" s="3198"/>
      <c r="H83" s="3198"/>
      <c r="I83" s="3198"/>
      <c r="J83" s="3198"/>
      <c r="K83" s="3198"/>
      <c r="L83" s="3198"/>
      <c r="M83" s="3198"/>
      <c r="N83" s="3198"/>
      <c r="O83" s="3199"/>
      <c r="U83" s="210">
        <v>1</v>
      </c>
      <c r="BA83" s="8"/>
      <c r="BB83" s="8"/>
      <c r="BC83" s="8"/>
      <c r="BD83" s="8"/>
      <c r="BE83" s="8"/>
      <c r="BF83" s="8"/>
      <c r="BG83" s="8"/>
      <c r="BH83" s="8"/>
      <c r="BI83" s="8"/>
      <c r="BJ83" s="8"/>
      <c r="BK83" s="8"/>
      <c r="BL83" s="8"/>
      <c r="BM83" s="8"/>
      <c r="BN83" s="8"/>
    </row>
    <row r="84" spans="1:66" hidden="1">
      <c r="A84" s="1649"/>
      <c r="B84" s="166" t="str">
        <f t="shared" si="18"/>
        <v>4E.19</v>
      </c>
      <c r="C84" s="3198" t="s">
        <v>3823</v>
      </c>
      <c r="D84" s="3198"/>
      <c r="E84" s="3198"/>
      <c r="F84" s="3198"/>
      <c r="G84" s="3198"/>
      <c r="H84" s="3198"/>
      <c r="I84" s="3198"/>
      <c r="J84" s="3198"/>
      <c r="K84" s="3198"/>
      <c r="L84" s="3198"/>
      <c r="M84" s="3198"/>
      <c r="N84" s="3198"/>
      <c r="O84" s="3199"/>
      <c r="U84" s="210">
        <v>1</v>
      </c>
      <c r="BA84" s="8"/>
      <c r="BB84" s="8"/>
      <c r="BC84" s="8"/>
      <c r="BD84" s="8"/>
      <c r="BE84" s="8"/>
      <c r="BF84" s="8"/>
      <c r="BG84" s="8"/>
      <c r="BH84" s="8"/>
      <c r="BI84" s="8"/>
      <c r="BJ84" s="8"/>
      <c r="BK84" s="8"/>
      <c r="BL84" s="8"/>
      <c r="BM84" s="8"/>
      <c r="BN84" s="8"/>
    </row>
    <row r="85" spans="1:66" ht="13.5" hidden="1" customHeight="1">
      <c r="A85" s="1649"/>
      <c r="B85" s="166" t="str">
        <f>B31</f>
        <v>4E.20</v>
      </c>
      <c r="C85" s="3198" t="s">
        <v>3824</v>
      </c>
      <c r="D85" s="3198"/>
      <c r="E85" s="3198"/>
      <c r="F85" s="3198"/>
      <c r="G85" s="3198"/>
      <c r="H85" s="3198"/>
      <c r="I85" s="3198"/>
      <c r="J85" s="3198"/>
      <c r="K85" s="3198"/>
      <c r="L85" s="3198"/>
      <c r="M85" s="3198"/>
      <c r="N85" s="3198"/>
      <c r="O85" s="3199"/>
      <c r="U85" s="210">
        <v>1</v>
      </c>
      <c r="BA85" s="8"/>
      <c r="BB85" s="8"/>
      <c r="BC85" s="8"/>
      <c r="BD85" s="8"/>
      <c r="BE85" s="8"/>
      <c r="BF85" s="8"/>
      <c r="BG85" s="8"/>
      <c r="BH85" s="8"/>
      <c r="BI85" s="8"/>
      <c r="BJ85" s="8"/>
      <c r="BK85" s="8"/>
      <c r="BL85" s="8"/>
      <c r="BM85" s="8"/>
      <c r="BN85" s="8"/>
    </row>
    <row r="86" spans="1:66" hidden="1">
      <c r="A86" s="1649"/>
      <c r="B86" s="166" t="str">
        <f t="shared" ref="B86" si="19">B33</f>
        <v>4E.21</v>
      </c>
      <c r="C86" s="3198" t="s">
        <v>3825</v>
      </c>
      <c r="D86" s="3198"/>
      <c r="E86" s="3198"/>
      <c r="F86" s="3198"/>
      <c r="G86" s="3198"/>
      <c r="H86" s="3198"/>
      <c r="I86" s="3198"/>
      <c r="J86" s="3198"/>
      <c r="K86" s="3198"/>
      <c r="L86" s="3198"/>
      <c r="M86" s="3198"/>
      <c r="N86" s="3198"/>
      <c r="O86" s="3199"/>
      <c r="U86" s="210">
        <v>1</v>
      </c>
      <c r="BA86" s="8"/>
      <c r="BB86" s="8"/>
      <c r="BC86" s="8"/>
      <c r="BD86" s="8"/>
      <c r="BE86" s="8"/>
      <c r="BF86" s="8"/>
      <c r="BG86" s="8"/>
      <c r="BH86" s="8"/>
      <c r="BI86" s="8"/>
      <c r="BJ86" s="8"/>
      <c r="BK86" s="8"/>
      <c r="BL86" s="8"/>
      <c r="BM86" s="8"/>
      <c r="BN86" s="8"/>
    </row>
    <row r="87" spans="1:66" ht="13.5" hidden="1" customHeight="1">
      <c r="A87" s="1649"/>
      <c r="B87" s="166" t="str">
        <f>B36</f>
        <v>4E.22</v>
      </c>
      <c r="C87" s="3198" t="s">
        <v>2612</v>
      </c>
      <c r="D87" s="3198"/>
      <c r="E87" s="3198"/>
      <c r="F87" s="3198"/>
      <c r="G87" s="3198"/>
      <c r="H87" s="3198"/>
      <c r="I87" s="3198"/>
      <c r="J87" s="3198"/>
      <c r="K87" s="3198"/>
      <c r="L87" s="3198"/>
      <c r="M87" s="3198"/>
      <c r="N87" s="3198"/>
      <c r="O87" s="3199"/>
      <c r="U87" s="210">
        <v>1</v>
      </c>
      <c r="BA87" s="8"/>
      <c r="BB87" s="8"/>
      <c r="BC87" s="8"/>
      <c r="BD87" s="8"/>
      <c r="BE87" s="8"/>
      <c r="BF87" s="8"/>
      <c r="BG87" s="8"/>
      <c r="BH87" s="8"/>
      <c r="BI87" s="8"/>
      <c r="BJ87" s="8"/>
      <c r="BK87" s="8"/>
      <c r="BL87" s="8"/>
      <c r="BM87" s="8"/>
      <c r="BN87" s="8"/>
    </row>
    <row r="88" spans="1:66" hidden="1">
      <c r="A88" s="1649"/>
      <c r="B88" s="166" t="str">
        <f>B37</f>
        <v>4E.23</v>
      </c>
      <c r="C88" s="3198" t="s">
        <v>2613</v>
      </c>
      <c r="D88" s="3198"/>
      <c r="E88" s="3198"/>
      <c r="F88" s="3198"/>
      <c r="G88" s="3198"/>
      <c r="H88" s="3198"/>
      <c r="I88" s="3198"/>
      <c r="J88" s="3198"/>
      <c r="K88" s="3198"/>
      <c r="L88" s="3198"/>
      <c r="M88" s="3198"/>
      <c r="N88" s="3198"/>
      <c r="O88" s="3199"/>
      <c r="U88" s="210">
        <v>1</v>
      </c>
      <c r="BA88" s="8"/>
      <c r="BB88" s="8"/>
      <c r="BC88" s="8"/>
      <c r="BD88" s="8"/>
      <c r="BE88" s="8"/>
      <c r="BF88" s="8"/>
      <c r="BG88" s="8"/>
      <c r="BH88" s="8"/>
      <c r="BI88" s="8"/>
      <c r="BJ88" s="8"/>
      <c r="BK88" s="8"/>
      <c r="BL88" s="8"/>
      <c r="BM88" s="8"/>
      <c r="BN88" s="8"/>
    </row>
    <row r="89" spans="1:66" hidden="1">
      <c r="A89" s="1649"/>
      <c r="B89" s="166" t="str">
        <f>B39</f>
        <v>4E.24</v>
      </c>
      <c r="C89" s="3198" t="s">
        <v>3826</v>
      </c>
      <c r="D89" s="3198"/>
      <c r="E89" s="3198"/>
      <c r="F89" s="3198"/>
      <c r="G89" s="3198"/>
      <c r="H89" s="3198"/>
      <c r="I89" s="3198"/>
      <c r="J89" s="3198"/>
      <c r="K89" s="3198"/>
      <c r="L89" s="3198"/>
      <c r="M89" s="3198"/>
      <c r="N89" s="3198"/>
      <c r="O89" s="3199"/>
      <c r="U89" s="210">
        <v>1</v>
      </c>
      <c r="BA89" s="8"/>
      <c r="BB89" s="8"/>
      <c r="BC89" s="8"/>
      <c r="BD89" s="8"/>
      <c r="BE89" s="8"/>
      <c r="BF89" s="8"/>
      <c r="BG89" s="8"/>
      <c r="BH89" s="8"/>
      <c r="BI89" s="8"/>
      <c r="BJ89" s="8"/>
      <c r="BK89" s="8"/>
      <c r="BL89" s="8"/>
      <c r="BM89" s="8"/>
      <c r="BN89" s="8"/>
    </row>
    <row r="90" spans="1:66" ht="13.5" hidden="1" customHeight="1">
      <c r="A90" s="1649"/>
      <c r="B90" s="166" t="s">
        <v>5250</v>
      </c>
      <c r="C90" s="3198" t="s">
        <v>3671</v>
      </c>
      <c r="D90" s="3198"/>
      <c r="E90" s="3198"/>
      <c r="F90" s="3198"/>
      <c r="G90" s="3198"/>
      <c r="H90" s="3198"/>
      <c r="I90" s="3198"/>
      <c r="J90" s="3198"/>
      <c r="K90" s="3198"/>
      <c r="L90" s="3198"/>
      <c r="M90" s="3198"/>
      <c r="N90" s="3198"/>
      <c r="O90" s="3199"/>
      <c r="U90" s="210">
        <v>1</v>
      </c>
      <c r="BA90" s="8"/>
      <c r="BB90" s="8"/>
      <c r="BC90" s="8"/>
      <c r="BD90" s="8"/>
      <c r="BE90" s="8"/>
      <c r="BF90" s="8"/>
      <c r="BG90" s="8"/>
      <c r="BH90" s="8"/>
      <c r="BI90" s="8"/>
      <c r="BJ90" s="8"/>
      <c r="BK90" s="8"/>
      <c r="BL90" s="8"/>
      <c r="BM90" s="8"/>
      <c r="BN90" s="8"/>
    </row>
    <row r="91" spans="1:66" s="496" customFormat="1" ht="15" hidden="1" customHeight="1">
      <c r="A91" s="1649"/>
      <c r="B91" s="820" t="s">
        <v>5251</v>
      </c>
      <c r="C91" s="3198" t="s">
        <v>12925</v>
      </c>
      <c r="D91" s="3198"/>
      <c r="E91" s="3198"/>
      <c r="F91" s="3198"/>
      <c r="G91" s="3198"/>
      <c r="H91" s="3198"/>
      <c r="I91" s="3198"/>
      <c r="J91" s="3198"/>
      <c r="K91" s="3198"/>
      <c r="L91" s="3198"/>
      <c r="M91" s="3198"/>
      <c r="N91" s="3198"/>
      <c r="O91" s="3199"/>
      <c r="P91" s="71"/>
      <c r="Q91" s="71"/>
      <c r="R91" s="71"/>
      <c r="S91" s="71"/>
      <c r="T91" s="72"/>
      <c r="U91" s="210">
        <v>1</v>
      </c>
      <c r="V91" s="71"/>
      <c r="W91" s="71"/>
      <c r="X91" s="71"/>
      <c r="Y91" s="71"/>
      <c r="Z91" s="71"/>
      <c r="AA91" s="71"/>
      <c r="AB91" s="71"/>
      <c r="AC91" s="72"/>
      <c r="AE91" s="72"/>
      <c r="AI91" s="72"/>
    </row>
    <row r="92" spans="1:66" s="496" customFormat="1" ht="15" hidden="1" customHeight="1">
      <c r="A92" s="1649"/>
      <c r="B92" s="820" t="s">
        <v>5252</v>
      </c>
      <c r="C92" s="3198" t="s">
        <v>3672</v>
      </c>
      <c r="D92" s="3198"/>
      <c r="E92" s="3198"/>
      <c r="F92" s="3198"/>
      <c r="G92" s="3198"/>
      <c r="H92" s="3198"/>
      <c r="I92" s="3198"/>
      <c r="J92" s="3198"/>
      <c r="K92" s="3198"/>
      <c r="L92" s="3198"/>
      <c r="M92" s="3198"/>
      <c r="N92" s="3198"/>
      <c r="O92" s="3199"/>
      <c r="P92" s="71"/>
      <c r="Q92" s="71"/>
      <c r="R92" s="71"/>
      <c r="S92" s="71"/>
      <c r="T92" s="72"/>
      <c r="U92" s="210">
        <v>1</v>
      </c>
      <c r="V92" s="71"/>
      <c r="W92" s="71"/>
      <c r="X92" s="71"/>
      <c r="Y92" s="71"/>
      <c r="Z92" s="71"/>
      <c r="AA92" s="71"/>
      <c r="AB92" s="71"/>
      <c r="AC92" s="72"/>
      <c r="AE92" s="72"/>
      <c r="AI92" s="72"/>
    </row>
    <row r="93" spans="1:66" ht="15" hidden="1" customHeight="1" thickBot="1">
      <c r="A93" s="1649"/>
      <c r="B93" s="190" t="s">
        <v>5253</v>
      </c>
      <c r="C93" s="3218" t="s">
        <v>12926</v>
      </c>
      <c r="D93" s="3218"/>
      <c r="E93" s="3218"/>
      <c r="F93" s="3218"/>
      <c r="G93" s="3218"/>
      <c r="H93" s="3218"/>
      <c r="I93" s="3218"/>
      <c r="J93" s="3218"/>
      <c r="K93" s="3218"/>
      <c r="L93" s="3218"/>
      <c r="M93" s="3218"/>
      <c r="N93" s="3218"/>
      <c r="O93" s="3219"/>
      <c r="U93" s="210">
        <v>1</v>
      </c>
      <c r="BA93" s="8"/>
      <c r="BB93" s="8"/>
      <c r="BC93" s="8"/>
      <c r="BD93" s="8"/>
      <c r="BE93" s="8"/>
      <c r="BF93" s="8"/>
      <c r="BG93" s="8"/>
      <c r="BH93" s="8"/>
      <c r="BI93" s="8"/>
      <c r="BJ93" s="8"/>
      <c r="BK93" s="8"/>
      <c r="BL93" s="8"/>
      <c r="BM93" s="8"/>
      <c r="BN93" s="8"/>
    </row>
    <row r="94" spans="1:66" hidden="1">
      <c r="A94" s="1649"/>
      <c r="BA94" s="8"/>
      <c r="BB94" s="8"/>
      <c r="BC94" s="8"/>
      <c r="BD94" s="8"/>
      <c r="BE94" s="8"/>
      <c r="BF94" s="8"/>
      <c r="BG94" s="8"/>
      <c r="BH94" s="8"/>
      <c r="BI94" s="8"/>
      <c r="BJ94" s="8"/>
      <c r="BK94" s="8"/>
      <c r="BL94" s="8"/>
      <c r="BM94" s="8"/>
      <c r="BN94" s="8"/>
    </row>
    <row r="95" spans="1:66" hidden="1">
      <c r="A95" s="1649"/>
      <c r="BA95" s="8"/>
      <c r="BB95" s="8"/>
      <c r="BC95" s="8"/>
      <c r="BD95" s="8"/>
      <c r="BE95" s="8"/>
      <c r="BF95" s="8"/>
      <c r="BG95" s="8"/>
      <c r="BH95" s="8"/>
      <c r="BI95" s="8"/>
      <c r="BJ95" s="8"/>
      <c r="BK95" s="8"/>
      <c r="BL95" s="8"/>
      <c r="BM95" s="8"/>
      <c r="BN95" s="8"/>
    </row>
    <row r="96" spans="1:66" hidden="1">
      <c r="BA96" s="8"/>
      <c r="BB96" s="8"/>
      <c r="BC96" s="8"/>
      <c r="BD96" s="8"/>
      <c r="BE96" s="8"/>
      <c r="BF96" s="8"/>
      <c r="BG96" s="8"/>
      <c r="BH96" s="8"/>
      <c r="BI96" s="8"/>
      <c r="BJ96" s="8"/>
      <c r="BK96" s="8"/>
      <c r="BL96" s="8"/>
      <c r="BM96" s="8"/>
      <c r="BN96" s="8"/>
    </row>
  </sheetData>
  <mergeCells count="48">
    <mergeCell ref="C87:O87"/>
    <mergeCell ref="C88:O88"/>
    <mergeCell ref="C82:O82"/>
    <mergeCell ref="C83:O83"/>
    <mergeCell ref="G3:I3"/>
    <mergeCell ref="J3:K3"/>
    <mergeCell ref="L3:N3"/>
    <mergeCell ref="O3:O4"/>
    <mergeCell ref="C81:O81"/>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BK3:BM3"/>
    <mergeCell ref="BN3:BN4"/>
    <mergeCell ref="BA3:BB4"/>
    <mergeCell ref="BD3:BD4"/>
    <mergeCell ref="BE3:BE4"/>
    <mergeCell ref="BF3:BH3"/>
    <mergeCell ref="BI3:BJ3"/>
  </mergeCells>
  <conditionalFormatting sqref="R17">
    <cfRule type="cellIs" dxfId="191" priority="18" operator="equal">
      <formula>0</formula>
    </cfRule>
  </conditionalFormatting>
  <conditionalFormatting sqref="R6:R14">
    <cfRule type="cellIs" dxfId="190" priority="19" operator="equal">
      <formula>0</formula>
    </cfRule>
  </conditionalFormatting>
  <conditionalFormatting sqref="R21:R25">
    <cfRule type="cellIs" dxfId="189" priority="17" operator="equal">
      <formula>0</formula>
    </cfRule>
  </conditionalFormatting>
  <conditionalFormatting sqref="R27">
    <cfRule type="cellIs" dxfId="188" priority="16" operator="equal">
      <formula>0</formula>
    </cfRule>
  </conditionalFormatting>
  <conditionalFormatting sqref="R31">
    <cfRule type="cellIs" dxfId="187" priority="15" operator="equal">
      <formula>0</formula>
    </cfRule>
  </conditionalFormatting>
  <conditionalFormatting sqref="R36:R37">
    <cfRule type="cellIs" dxfId="186" priority="14" operator="equal">
      <formula>0</formula>
    </cfRule>
  </conditionalFormatting>
  <conditionalFormatting sqref="R42:R49">
    <cfRule type="cellIs" dxfId="185" priority="13" operator="equal">
      <formula>0</formula>
    </cfRule>
  </conditionalFormatting>
  <conditionalFormatting sqref="R51">
    <cfRule type="cellIs" dxfId="184" priority="8" operator="equal">
      <formula>0</formula>
    </cfRule>
  </conditionalFormatting>
  <conditionalFormatting sqref="Q31">
    <cfRule type="cellIs" dxfId="183"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6.xml><?xml version="1.0" encoding="utf-8"?>
<worksheet xmlns="http://schemas.openxmlformats.org/spreadsheetml/2006/main" xmlns:r="http://schemas.openxmlformats.org/officeDocument/2006/relationships">
  <sheetPr codeName="Sheet32">
    <pageSetUpPr fitToPage="1"/>
  </sheetPr>
  <dimension ref="A1:BN67"/>
  <sheetViews>
    <sheetView workbookViewId="0"/>
  </sheetViews>
  <sheetFormatPr defaultColWidth="8.625" defaultRowHeight="14.25" zeroHeight="1"/>
  <cols>
    <col min="1" max="1" width="0.625" style="8" customWidth="1"/>
    <col min="2" max="2" width="6.125" style="8" customWidth="1"/>
    <col min="3" max="3" width="58.625" style="8" bestFit="1" customWidth="1"/>
    <col min="4" max="4" width="1.125" style="496" hidden="1" customWidth="1"/>
    <col min="5" max="6" width="5.125" style="8" customWidth="1"/>
    <col min="7" max="7" width="11.125" style="8" customWidth="1"/>
    <col min="8" max="8" width="12.625" style="8" customWidth="1"/>
    <col min="9" max="9" width="13.125" style="8" customWidth="1"/>
    <col min="10" max="10" width="13" style="8" customWidth="1"/>
    <col min="11" max="11" width="11.125" style="8" customWidth="1"/>
    <col min="12" max="12" width="12.625" style="8" customWidth="1"/>
    <col min="13" max="13" width="13.125" style="8" customWidth="1"/>
    <col min="14" max="14" width="13" style="8" customWidth="1"/>
    <col min="15" max="15" width="12.5" style="8" customWidth="1"/>
    <col min="16" max="16" width="2.625" style="71" customWidth="1"/>
    <col min="17" max="17" width="25.75" style="71" customWidth="1"/>
    <col min="18" max="18" width="22.75" style="71" customWidth="1"/>
    <col min="19" max="19" width="1.625" style="71" customWidth="1"/>
    <col min="20" max="20" width="1.625" style="72" hidden="1" customWidth="1"/>
    <col min="21" max="27" width="4.625" style="71" hidden="1" customWidth="1"/>
    <col min="28" max="28" width="1.625" style="72" hidden="1" customWidth="1"/>
    <col min="29" max="29" width="8.625" style="75" hidden="1" customWidth="1"/>
    <col min="30" max="30" width="1.625" style="72" hidden="1" customWidth="1"/>
    <col min="31" max="32" width="8.625" style="75" hidden="1" customWidth="1"/>
    <col min="33" max="33" width="38.125" style="75" hidden="1" customWidth="1"/>
    <col min="34" max="34" width="1.625" style="72" hidden="1" customWidth="1"/>
    <col min="35" max="51" width="0" style="8" hidden="1" customWidth="1"/>
    <col min="52" max="52" width="8.625" style="8"/>
    <col min="53" max="53" width="6.125" style="496" customWidth="1"/>
    <col min="54" max="54" width="58.625" style="496" bestFit="1" customWidth="1"/>
    <col min="55" max="55" width="1.125" style="496" hidden="1" customWidth="1"/>
    <col min="56" max="57" width="5.125" style="496" customWidth="1"/>
    <col min="58" max="58" width="11.125" style="496" customWidth="1"/>
    <col min="59" max="59" width="12.625" style="496" customWidth="1"/>
    <col min="60" max="60" width="13.125" style="496" customWidth="1"/>
    <col min="61" max="61" width="13" style="496" customWidth="1"/>
    <col min="62" max="62" width="11.125" style="496" customWidth="1"/>
    <col min="63" max="63" width="12.625" style="496" customWidth="1"/>
    <col min="64" max="64" width="13.125" style="496" customWidth="1"/>
    <col min="65" max="65" width="13" style="496" customWidth="1"/>
    <col min="66" max="66" width="12.5" style="496" customWidth="1"/>
    <col min="67" max="16384" width="8.625" style="8"/>
  </cols>
  <sheetData>
    <row r="1" spans="2:66" ht="18.75">
      <c r="B1" s="67" t="s">
        <v>11168</v>
      </c>
      <c r="C1" s="67"/>
      <c r="D1" s="67"/>
      <c r="E1" s="67"/>
      <c r="F1" s="67"/>
      <c r="G1" s="67"/>
      <c r="H1" s="67"/>
      <c r="I1" s="67"/>
      <c r="J1" s="67"/>
      <c r="K1" s="67"/>
      <c r="L1" s="67"/>
      <c r="M1" s="67"/>
      <c r="N1" s="67"/>
      <c r="O1" s="69" t="str">
        <f>Validation!B3</f>
        <v>South West Water – South West area</v>
      </c>
      <c r="P1" s="67"/>
      <c r="Q1" s="70"/>
      <c r="R1" s="70" t="s">
        <v>2394</v>
      </c>
      <c r="AC1" s="71"/>
      <c r="AE1" s="8"/>
      <c r="AF1" s="8"/>
      <c r="AG1" s="8"/>
      <c r="BA1" s="67" t="s">
        <v>6671</v>
      </c>
      <c r="BB1" s="67"/>
      <c r="BC1" s="67"/>
      <c r="BD1" s="67"/>
      <c r="BE1" s="67"/>
      <c r="BF1" s="67"/>
      <c r="BG1" s="67"/>
      <c r="BH1" s="67"/>
      <c r="BI1" s="67"/>
      <c r="BJ1" s="67"/>
      <c r="BK1" s="67"/>
      <c r="BL1" s="67"/>
      <c r="BM1" s="67"/>
      <c r="BN1" s="69"/>
    </row>
    <row r="2" spans="2:66" ht="15" thickBot="1">
      <c r="B2" s="74" t="s">
        <v>12524</v>
      </c>
      <c r="C2" s="71"/>
      <c r="D2" s="71"/>
      <c r="E2" s="71"/>
      <c r="F2" s="71"/>
      <c r="G2" s="216"/>
      <c r="H2" s="217"/>
      <c r="I2" s="217"/>
      <c r="J2" s="218"/>
      <c r="K2" s="216"/>
      <c r="L2" s="217"/>
      <c r="M2" s="217"/>
      <c r="N2" s="218"/>
      <c r="O2" s="71"/>
      <c r="AC2" s="71"/>
      <c r="BA2" s="74" t="str">
        <f>+B2</f>
        <v>For the 12 months ended 31 March 2019</v>
      </c>
      <c r="BB2" s="71"/>
      <c r="BC2" s="71"/>
      <c r="BD2" s="71"/>
      <c r="BE2" s="71"/>
      <c r="BF2" s="216"/>
      <c r="BG2" s="217"/>
      <c r="BH2" s="217"/>
      <c r="BI2" s="218"/>
      <c r="BJ2" s="216"/>
      <c r="BK2" s="217"/>
      <c r="BL2" s="217"/>
      <c r="BM2" s="218"/>
      <c r="BN2" s="71"/>
    </row>
    <row r="3" spans="2:66" ht="15" customHeight="1">
      <c r="B3" s="3287" t="s">
        <v>2395</v>
      </c>
      <c r="C3" s="3288"/>
      <c r="D3" s="1456" t="s">
        <v>6495</v>
      </c>
      <c r="E3" s="3291" t="s">
        <v>2396</v>
      </c>
      <c r="F3" s="3293" t="s">
        <v>2397</v>
      </c>
      <c r="G3" s="3404" t="s">
        <v>2769</v>
      </c>
      <c r="H3" s="3405"/>
      <c r="I3" s="3405"/>
      <c r="J3" s="3426"/>
      <c r="K3" s="3425" t="s">
        <v>3166</v>
      </c>
      <c r="L3" s="3405"/>
      <c r="M3" s="3405"/>
      <c r="N3" s="3426"/>
      <c r="O3" s="3213" t="s">
        <v>2554</v>
      </c>
      <c r="Q3" s="3213" t="s">
        <v>2577</v>
      </c>
      <c r="R3" s="3213" t="s">
        <v>1361</v>
      </c>
      <c r="BA3" s="3287" t="s">
        <v>2395</v>
      </c>
      <c r="BB3" s="3288"/>
      <c r="BC3" s="2735" t="s">
        <v>6495</v>
      </c>
      <c r="BD3" s="3291" t="s">
        <v>2396</v>
      </c>
      <c r="BE3" s="3293" t="s">
        <v>2397</v>
      </c>
      <c r="BF3" s="3404" t="s">
        <v>2769</v>
      </c>
      <c r="BG3" s="3405"/>
      <c r="BH3" s="3405"/>
      <c r="BI3" s="3426"/>
      <c r="BJ3" s="3425" t="s">
        <v>3166</v>
      </c>
      <c r="BK3" s="3405"/>
      <c r="BL3" s="3405"/>
      <c r="BM3" s="3426"/>
      <c r="BN3" s="3213" t="s">
        <v>2554</v>
      </c>
    </row>
    <row r="4" spans="2:66" ht="26.25" thickBot="1">
      <c r="B4" s="3289"/>
      <c r="C4" s="3290"/>
      <c r="D4" s="1457"/>
      <c r="E4" s="3292"/>
      <c r="F4" s="3294"/>
      <c r="G4" s="219" t="s">
        <v>2770</v>
      </c>
      <c r="H4" s="220" t="s">
        <v>2771</v>
      </c>
      <c r="I4" s="220" t="s">
        <v>2772</v>
      </c>
      <c r="J4" s="221" t="s">
        <v>2554</v>
      </c>
      <c r="K4" s="222" t="s">
        <v>2770</v>
      </c>
      <c r="L4" s="220" t="s">
        <v>2771</v>
      </c>
      <c r="M4" s="220" t="s">
        <v>2772</v>
      </c>
      <c r="N4" s="221" t="s">
        <v>2554</v>
      </c>
      <c r="O4" s="3214"/>
      <c r="Q4" s="3427"/>
      <c r="R4" s="3214"/>
      <c r="BA4" s="3289"/>
      <c r="BB4" s="3290"/>
      <c r="BC4" s="2736"/>
      <c r="BD4" s="3292"/>
      <c r="BE4" s="3294"/>
      <c r="BF4" s="219" t="s">
        <v>2770</v>
      </c>
      <c r="BG4" s="220" t="s">
        <v>2771</v>
      </c>
      <c r="BH4" s="220" t="s">
        <v>2772</v>
      </c>
      <c r="BI4" s="221" t="s">
        <v>2554</v>
      </c>
      <c r="BJ4" s="222" t="s">
        <v>2770</v>
      </c>
      <c r="BK4" s="220" t="s">
        <v>2771</v>
      </c>
      <c r="BL4" s="220" t="s">
        <v>2772</v>
      </c>
      <c r="BM4" s="221" t="s">
        <v>2554</v>
      </c>
      <c r="BN4" s="3214"/>
    </row>
    <row r="5" spans="2:66" ht="24.75" thickBot="1">
      <c r="B5" s="71"/>
      <c r="C5" s="71"/>
      <c r="D5" s="71"/>
      <c r="E5" s="71"/>
      <c r="F5" s="71"/>
      <c r="G5" s="71"/>
      <c r="H5" s="71"/>
      <c r="I5" s="71"/>
      <c r="J5" s="71"/>
      <c r="K5" s="71"/>
      <c r="L5" s="71"/>
      <c r="M5" s="71"/>
      <c r="N5" s="71"/>
      <c r="O5" s="71"/>
      <c r="U5" s="3215" t="s">
        <v>2404</v>
      </c>
      <c r="V5" s="3215"/>
      <c r="W5" s="3215"/>
      <c r="X5" s="3215"/>
      <c r="Y5" s="3215"/>
      <c r="Z5" s="3215"/>
      <c r="AA5" s="3215"/>
      <c r="AC5" s="79" t="s">
        <v>2390</v>
      </c>
      <c r="AE5" s="77" t="s">
        <v>2578</v>
      </c>
      <c r="AF5" s="79"/>
      <c r="AG5" s="79"/>
      <c r="BA5" s="71"/>
      <c r="BB5" s="71"/>
      <c r="BC5" s="71"/>
      <c r="BD5" s="71"/>
      <c r="BE5" s="71"/>
      <c r="BF5" s="71"/>
      <c r="BG5" s="71"/>
      <c r="BH5" s="71"/>
      <c r="BI5" s="71"/>
      <c r="BJ5" s="71"/>
      <c r="BK5" s="71"/>
      <c r="BL5" s="71"/>
      <c r="BM5" s="71"/>
      <c r="BN5" s="71"/>
    </row>
    <row r="6" spans="2:66" s="71" customFormat="1" ht="15" thickBot="1">
      <c r="B6" s="87" t="s">
        <v>2449</v>
      </c>
      <c r="C6" s="88" t="s">
        <v>2587</v>
      </c>
      <c r="D6" s="1584"/>
      <c r="T6" s="72"/>
      <c r="U6" s="171" t="s">
        <v>2405</v>
      </c>
      <c r="V6" s="171"/>
      <c r="W6" s="171"/>
      <c r="X6" s="171"/>
      <c r="Y6" s="171"/>
      <c r="Z6" s="171"/>
      <c r="AA6" s="211"/>
      <c r="AB6" s="72"/>
      <c r="AC6" s="8"/>
      <c r="AD6" s="72"/>
      <c r="AE6" s="75"/>
      <c r="AF6" s="75"/>
      <c r="AG6" s="75"/>
      <c r="AH6" s="72"/>
      <c r="BA6" s="2744" t="s">
        <v>2449</v>
      </c>
      <c r="BB6" s="88" t="s">
        <v>2587</v>
      </c>
      <c r="BC6" s="1584"/>
    </row>
    <row r="7" spans="2:66">
      <c r="B7" s="91" t="s">
        <v>5255</v>
      </c>
      <c r="C7" s="122" t="s">
        <v>2616</v>
      </c>
      <c r="D7" s="122"/>
      <c r="E7" s="93" t="s">
        <v>750</v>
      </c>
      <c r="F7" s="223">
        <v>3</v>
      </c>
      <c r="G7" s="485"/>
      <c r="H7" s="433"/>
      <c r="I7" s="434"/>
      <c r="J7" s="224">
        <f>SUM(G7:I7)</f>
        <v>0</v>
      </c>
      <c r="K7" s="489"/>
      <c r="L7" s="433"/>
      <c r="M7" s="434"/>
      <c r="N7" s="224">
        <f>SUM(K7:M7)</f>
        <v>0</v>
      </c>
      <c r="O7" s="224">
        <f>J7+N7</f>
        <v>0</v>
      </c>
      <c r="Q7" s="66">
        <f xml:space="preserve"> IF( SUM( AB7:AD7 ) = 0, 0, AG7 )</f>
        <v>0</v>
      </c>
      <c r="R7" s="24" t="str">
        <f xml:space="preserve"> IF( SUM( T7:AB7 ) = 0, 0, $U$6 )</f>
        <v>Please complete all cells in row</v>
      </c>
      <c r="U7" s="98">
        <f xml:space="preserve"> IF( ISNUMBER( G7 ), 0, 1 )</f>
        <v>1</v>
      </c>
      <c r="V7" s="98">
        <f>IF(Validation!$H$3=1,0,IF(ISNUMBER(H7),0,1))</f>
        <v>1</v>
      </c>
      <c r="W7" s="98">
        <f>IF(Validation!$H$3=1,0,IF(ISNUMBER(I7),0,1))</f>
        <v>1</v>
      </c>
      <c r="X7" s="98">
        <f xml:space="preserve"> IF( ISNUMBER( K7 ), 0, 1 )</f>
        <v>1</v>
      </c>
      <c r="Y7" s="98">
        <f>IF(Validation!$H$3=1,0,IF(ISNUMBER(L7),0,1))</f>
        <v>1</v>
      </c>
      <c r="Z7" s="98">
        <f>IF(Validation!$H$3=1,0,IF(ISNUMBER(M7),0,1))</f>
        <v>1</v>
      </c>
      <c r="AA7" s="211"/>
      <c r="AC7" s="132"/>
      <c r="AE7" s="172"/>
      <c r="AF7" s="172"/>
      <c r="BA7" s="91" t="s">
        <v>5255</v>
      </c>
      <c r="BB7" s="122" t="s">
        <v>2616</v>
      </c>
      <c r="BC7" s="122"/>
      <c r="BD7" s="93" t="s">
        <v>750</v>
      </c>
      <c r="BE7" s="223">
        <v>3</v>
      </c>
      <c r="BF7" s="2902" t="s">
        <v>10680</v>
      </c>
      <c r="BG7" s="2903" t="s">
        <v>10681</v>
      </c>
      <c r="BH7" s="2904" t="s">
        <v>10682</v>
      </c>
      <c r="BI7" s="224" t="s">
        <v>10683</v>
      </c>
      <c r="BJ7" s="2902" t="s">
        <v>10712</v>
      </c>
      <c r="BK7" s="2903" t="s">
        <v>10713</v>
      </c>
      <c r="BL7" s="2904" t="s">
        <v>10714</v>
      </c>
      <c r="BM7" s="224" t="s">
        <v>10715</v>
      </c>
      <c r="BN7" s="224" t="s">
        <v>10716</v>
      </c>
    </row>
    <row r="8" spans="2:66">
      <c r="B8" s="99" t="s">
        <v>5256</v>
      </c>
      <c r="C8" s="92" t="s">
        <v>2617</v>
      </c>
      <c r="D8" s="92"/>
      <c r="E8" s="100" t="s">
        <v>750</v>
      </c>
      <c r="F8" s="225">
        <v>3</v>
      </c>
      <c r="G8" s="486"/>
      <c r="H8" s="435"/>
      <c r="I8" s="436"/>
      <c r="J8" s="226">
        <f t="shared" ref="J8:J20" si="0">SUM(G8:I8)</f>
        <v>0</v>
      </c>
      <c r="K8" s="490"/>
      <c r="L8" s="435"/>
      <c r="M8" s="436"/>
      <c r="N8" s="226">
        <f>SUM(K8:M8)</f>
        <v>0</v>
      </c>
      <c r="O8" s="226">
        <f>J8+N8</f>
        <v>0</v>
      </c>
      <c r="Q8" s="66">
        <f t="shared" ref="Q8:Q21" si="1" xml:space="preserve"> IF( SUM( AB8:AD8 ) = 0, 0, AG8 )</f>
        <v>0</v>
      </c>
      <c r="R8" s="24" t="str">
        <f xml:space="preserve"> IF( SUM( T8:AB8 ) = 0, 0, $U$6 )</f>
        <v>Please complete all cells in row</v>
      </c>
      <c r="U8" s="98">
        <f t="shared" ref="U8:U20" si="2" xml:space="preserve"> IF( ISNUMBER( G8 ), 0, 1 )</f>
        <v>1</v>
      </c>
      <c r="V8" s="98">
        <f>IF(Validation!$H$3=1,0,IF(ISNUMBER(H8),0,1))</f>
        <v>1</v>
      </c>
      <c r="W8" s="98">
        <f>IF(Validation!$H$3=1,0,IF(ISNUMBER(I8),0,1))</f>
        <v>1</v>
      </c>
      <c r="X8" s="98">
        <f t="shared" ref="X8:X20" si="3" xml:space="preserve"> IF( ISNUMBER( K8 ), 0, 1 )</f>
        <v>1</v>
      </c>
      <c r="Y8" s="98">
        <f>IF(Validation!$H$3=1,0,IF(ISNUMBER(L8),0,1))</f>
        <v>1</v>
      </c>
      <c r="Z8" s="98">
        <f>IF(Validation!$H$3=1,0,IF(ISNUMBER(M8),0,1))</f>
        <v>1</v>
      </c>
      <c r="AA8" s="211"/>
      <c r="AC8" s="132"/>
      <c r="AE8" s="172"/>
      <c r="AF8" s="172"/>
      <c r="BA8" s="99" t="s">
        <v>5256</v>
      </c>
      <c r="BB8" s="92" t="s">
        <v>2617</v>
      </c>
      <c r="BC8" s="92"/>
      <c r="BD8" s="100" t="s">
        <v>750</v>
      </c>
      <c r="BE8" s="225">
        <v>3</v>
      </c>
      <c r="BF8" s="2905" t="s">
        <v>10684</v>
      </c>
      <c r="BG8" s="2906" t="s">
        <v>10685</v>
      </c>
      <c r="BH8" s="2907" t="s">
        <v>10686</v>
      </c>
      <c r="BI8" s="226" t="s">
        <v>10687</v>
      </c>
      <c r="BJ8" s="2905" t="s">
        <v>10717</v>
      </c>
      <c r="BK8" s="2906" t="s">
        <v>10718</v>
      </c>
      <c r="BL8" s="2907" t="s">
        <v>10719</v>
      </c>
      <c r="BM8" s="226" t="s">
        <v>10720</v>
      </c>
      <c r="BN8" s="226" t="s">
        <v>10721</v>
      </c>
    </row>
    <row r="9" spans="2:66" ht="15" thickBot="1">
      <c r="B9" s="99" t="s">
        <v>5257</v>
      </c>
      <c r="C9" s="92" t="s">
        <v>2618</v>
      </c>
      <c r="D9" s="92"/>
      <c r="E9" s="100" t="s">
        <v>750</v>
      </c>
      <c r="F9" s="225">
        <v>3</v>
      </c>
      <c r="G9" s="487"/>
      <c r="H9" s="437"/>
      <c r="I9" s="439"/>
      <c r="J9" s="230">
        <f t="shared" si="0"/>
        <v>0</v>
      </c>
      <c r="K9" s="490"/>
      <c r="L9" s="435"/>
      <c r="M9" s="436"/>
      <c r="N9" s="226">
        <f>SUM(K9:M9)</f>
        <v>0</v>
      </c>
      <c r="O9" s="226">
        <f>J9+N9</f>
        <v>0</v>
      </c>
      <c r="Q9" s="66">
        <f t="shared" si="1"/>
        <v>0</v>
      </c>
      <c r="R9" s="24" t="str">
        <f xml:space="preserve"> IF( SUM( T9:AB9 ) = 0, 0, $U$6 )</f>
        <v>Please complete all cells in row</v>
      </c>
      <c r="U9" s="98">
        <f t="shared" si="2"/>
        <v>1</v>
      </c>
      <c r="V9" s="98">
        <f>IF(Validation!$H$3=1,0,IF(ISNUMBER(H9),0,1))</f>
        <v>1</v>
      </c>
      <c r="W9" s="98">
        <f>IF(Validation!$H$3=1,0,IF(ISNUMBER(I9),0,1))</f>
        <v>1</v>
      </c>
      <c r="X9" s="98">
        <f t="shared" si="3"/>
        <v>1</v>
      </c>
      <c r="Y9" s="98">
        <f>IF(Validation!$H$3=1,0,IF(ISNUMBER(L9),0,1))</f>
        <v>1</v>
      </c>
      <c r="Z9" s="98">
        <f>IF(Validation!$H$3=1,0,IF(ISNUMBER(M9),0,1))</f>
        <v>1</v>
      </c>
      <c r="AA9" s="211"/>
      <c r="AC9" s="132"/>
      <c r="AE9" s="172"/>
      <c r="AF9" s="172"/>
      <c r="BA9" s="99" t="s">
        <v>5257</v>
      </c>
      <c r="BB9" s="92" t="s">
        <v>2618</v>
      </c>
      <c r="BC9" s="92"/>
      <c r="BD9" s="100" t="s">
        <v>750</v>
      </c>
      <c r="BE9" s="225">
        <v>3</v>
      </c>
      <c r="BF9" s="2908" t="s">
        <v>10688</v>
      </c>
      <c r="BG9" s="2909" t="s">
        <v>10689</v>
      </c>
      <c r="BH9" s="2910" t="s">
        <v>10690</v>
      </c>
      <c r="BI9" s="230" t="s">
        <v>10691</v>
      </c>
      <c r="BJ9" s="2905" t="s">
        <v>10722</v>
      </c>
      <c r="BK9" s="2906" t="s">
        <v>10723</v>
      </c>
      <c r="BL9" s="2907" t="s">
        <v>10724</v>
      </c>
      <c r="BM9" s="226" t="s">
        <v>10725</v>
      </c>
      <c r="BN9" s="226" t="s">
        <v>10726</v>
      </c>
    </row>
    <row r="10" spans="2:66" ht="15" thickBot="1">
      <c r="B10" s="99" t="s">
        <v>5258</v>
      </c>
      <c r="C10" s="227" t="s">
        <v>2619</v>
      </c>
      <c r="D10" s="227"/>
      <c r="E10" s="100" t="s">
        <v>750</v>
      </c>
      <c r="F10" s="225">
        <v>3</v>
      </c>
      <c r="G10" s="228"/>
      <c r="H10" s="229"/>
      <c r="I10" s="691"/>
      <c r="J10" s="692"/>
      <c r="K10" s="491"/>
      <c r="L10" s="438"/>
      <c r="M10" s="439"/>
      <c r="N10" s="230">
        <f>SUM(K10:M10)</f>
        <v>0</v>
      </c>
      <c r="O10" s="230">
        <f>N10</f>
        <v>0</v>
      </c>
      <c r="Q10" s="66">
        <f t="shared" si="1"/>
        <v>0</v>
      </c>
      <c r="R10" s="24" t="str">
        <f xml:space="preserve"> IF( SUM( T10:AB10 ) = 0, 0, $U$6 )</f>
        <v>Please complete all cells in row</v>
      </c>
      <c r="U10" s="132"/>
      <c r="V10" s="132"/>
      <c r="W10" s="132"/>
      <c r="X10" s="98">
        <f t="shared" si="3"/>
        <v>1</v>
      </c>
      <c r="Y10" s="98">
        <f>IF(Validation!$H$3=1,0,IF(ISNUMBER(L10),0,1))</f>
        <v>1</v>
      </c>
      <c r="Z10" s="98">
        <f>IF(Validation!$H$3=1,0,IF(ISNUMBER(M10),0,1))</f>
        <v>1</v>
      </c>
      <c r="AA10" s="211"/>
      <c r="AC10" s="132"/>
      <c r="AE10" s="172"/>
      <c r="AF10" s="172"/>
      <c r="BA10" s="99" t="s">
        <v>5258</v>
      </c>
      <c r="BB10" s="227" t="s">
        <v>2619</v>
      </c>
      <c r="BC10" s="227"/>
      <c r="BD10" s="100" t="s">
        <v>750</v>
      </c>
      <c r="BE10" s="225">
        <v>3</v>
      </c>
      <c r="BF10" s="228"/>
      <c r="BG10" s="229"/>
      <c r="BH10" s="691"/>
      <c r="BI10" s="692"/>
      <c r="BJ10" s="2911" t="s">
        <v>10727</v>
      </c>
      <c r="BK10" s="2912" t="s">
        <v>10728</v>
      </c>
      <c r="BL10" s="2910" t="s">
        <v>10729</v>
      </c>
      <c r="BM10" s="230" t="s">
        <v>10730</v>
      </c>
      <c r="BN10" s="230" t="s">
        <v>10731</v>
      </c>
    </row>
    <row r="11" spans="2:66">
      <c r="B11" s="99" t="s">
        <v>5259</v>
      </c>
      <c r="C11" s="227" t="s">
        <v>2591</v>
      </c>
      <c r="D11" s="227"/>
      <c r="E11" s="100" t="s">
        <v>750</v>
      </c>
      <c r="F11" s="225">
        <v>3</v>
      </c>
      <c r="G11" s="485"/>
      <c r="H11" s="433"/>
      <c r="I11" s="689"/>
      <c r="J11" s="690">
        <f t="shared" si="0"/>
        <v>0</v>
      </c>
      <c r="K11" s="490"/>
      <c r="L11" s="435"/>
      <c r="M11" s="436"/>
      <c r="N11" s="226">
        <f>SUM(K11:M11)</f>
        <v>0</v>
      </c>
      <c r="O11" s="226">
        <f t="shared" ref="O11:O21" si="4">J11+N11</f>
        <v>0</v>
      </c>
      <c r="Q11" s="66">
        <f xml:space="preserve"> IF( SUM( AB11:AD11 ) = 0, 0, AG11 )</f>
        <v>0</v>
      </c>
      <c r="R11" s="24" t="str">
        <f xml:space="preserve"> IF( SUM( T11:AB11 ) = 0, 0, $U$6 )</f>
        <v>Please complete all cells in row</v>
      </c>
      <c r="U11" s="98">
        <f t="shared" si="2"/>
        <v>1</v>
      </c>
      <c r="V11" s="98">
        <f>IF(Validation!$H$3=1,0,IF(ISNUMBER(H11),0,1))</f>
        <v>1</v>
      </c>
      <c r="W11" s="98">
        <f>IF(Validation!$H$3=1,0,IF(ISNUMBER(I11),0,1))</f>
        <v>1</v>
      </c>
      <c r="X11" s="98">
        <f t="shared" si="3"/>
        <v>1</v>
      </c>
      <c r="Y11" s="98">
        <f>IF(Validation!$H$3=1,0,IF(ISNUMBER(L11),0,1))</f>
        <v>1</v>
      </c>
      <c r="Z11" s="98">
        <f>IF(Validation!$H$3=1,0,IF(ISNUMBER(M11),0,1))</f>
        <v>1</v>
      </c>
      <c r="AA11" s="211"/>
      <c r="AC11" s="132"/>
      <c r="AE11" s="172"/>
      <c r="AF11" s="172"/>
      <c r="BA11" s="99" t="s">
        <v>5259</v>
      </c>
      <c r="BB11" s="227" t="s">
        <v>2591</v>
      </c>
      <c r="BC11" s="227"/>
      <c r="BD11" s="100" t="s">
        <v>750</v>
      </c>
      <c r="BE11" s="225">
        <v>3</v>
      </c>
      <c r="BF11" s="2902" t="s">
        <v>10692</v>
      </c>
      <c r="BG11" s="2903" t="s">
        <v>10693</v>
      </c>
      <c r="BH11" s="2913" t="s">
        <v>10694</v>
      </c>
      <c r="BI11" s="690" t="s">
        <v>10695</v>
      </c>
      <c r="BJ11" s="2905" t="s">
        <v>10732</v>
      </c>
      <c r="BK11" s="2906" t="s">
        <v>10733</v>
      </c>
      <c r="BL11" s="2907" t="s">
        <v>10734</v>
      </c>
      <c r="BM11" s="226" t="s">
        <v>10735</v>
      </c>
      <c r="BN11" s="226" t="s">
        <v>10736</v>
      </c>
    </row>
    <row r="12" spans="2:66" ht="15" thickBot="1">
      <c r="B12" s="106" t="s">
        <v>5260</v>
      </c>
      <c r="C12" s="107" t="s">
        <v>2592</v>
      </c>
      <c r="D12" s="107"/>
      <c r="E12" s="108" t="s">
        <v>750</v>
      </c>
      <c r="F12" s="233">
        <v>3</v>
      </c>
      <c r="G12" s="842">
        <f>SUM(G7:G9) + G11</f>
        <v>0</v>
      </c>
      <c r="H12" s="848">
        <f>SUM(H7:H9) + H11</f>
        <v>0</v>
      </c>
      <c r="I12" s="849">
        <f>SUM(I7:I9) + I11</f>
        <v>0</v>
      </c>
      <c r="J12" s="843">
        <f>SUM(J7:J9) + J11</f>
        <v>0</v>
      </c>
      <c r="K12" s="842">
        <f>SUM(K7:K11)</f>
        <v>0</v>
      </c>
      <c r="L12" s="848">
        <f>SUM(L7:L11)</f>
        <v>0</v>
      </c>
      <c r="M12" s="849">
        <f>SUM(M7:M11)</f>
        <v>0</v>
      </c>
      <c r="N12" s="843">
        <f>SUM(N7:N11)</f>
        <v>0</v>
      </c>
      <c r="O12" s="843">
        <f t="shared" si="4"/>
        <v>0</v>
      </c>
      <c r="Q12" s="66">
        <f t="shared" si="1"/>
        <v>0</v>
      </c>
      <c r="AA12" s="211"/>
      <c r="AC12" s="98">
        <f t="shared" ref="AC12" si="5" xml:space="preserve"> IF( (AE12 - AF12) = 0, 0, 1 )</f>
        <v>0</v>
      </c>
      <c r="AE12" s="172">
        <f xml:space="preserve"> ROUND( O12, 3)</f>
        <v>0</v>
      </c>
      <c r="AF12" s="172">
        <f xml:space="preserve"> ROUND( '2C'!G12, 3)</f>
        <v>0</v>
      </c>
      <c r="AG12" s="75" t="s">
        <v>12230</v>
      </c>
      <c r="BA12" s="106" t="s">
        <v>5260</v>
      </c>
      <c r="BB12" s="107" t="s">
        <v>2592</v>
      </c>
      <c r="BC12" s="107"/>
      <c r="BD12" s="108" t="s">
        <v>750</v>
      </c>
      <c r="BE12" s="233">
        <v>3</v>
      </c>
      <c r="BF12" s="842" t="s">
        <v>10696</v>
      </c>
      <c r="BG12" s="848" t="s">
        <v>10697</v>
      </c>
      <c r="BH12" s="849" t="s">
        <v>10698</v>
      </c>
      <c r="BI12" s="843" t="s">
        <v>10699</v>
      </c>
      <c r="BJ12" s="842" t="s">
        <v>10737</v>
      </c>
      <c r="BK12" s="848" t="s">
        <v>10738</v>
      </c>
      <c r="BL12" s="849" t="s">
        <v>10739</v>
      </c>
      <c r="BM12" s="843" t="s">
        <v>10740</v>
      </c>
      <c r="BN12" s="843" t="s">
        <v>10741</v>
      </c>
    </row>
    <row r="13" spans="2:66" s="496" customFormat="1" ht="15" thickBot="1">
      <c r="B13" s="71"/>
      <c r="C13" s="71"/>
      <c r="D13" s="71"/>
      <c r="E13" s="71"/>
      <c r="F13" s="71"/>
      <c r="G13" s="71"/>
      <c r="H13" s="71"/>
      <c r="I13" s="71"/>
      <c r="J13" s="71"/>
      <c r="K13" s="71"/>
      <c r="L13" s="71"/>
      <c r="M13" s="71"/>
      <c r="N13" s="71"/>
      <c r="O13" s="71"/>
      <c r="P13" s="71"/>
      <c r="Q13" s="71"/>
      <c r="R13" s="71"/>
      <c r="S13" s="71"/>
      <c r="T13" s="72"/>
      <c r="U13" s="71"/>
      <c r="V13" s="71"/>
      <c r="W13" s="71"/>
      <c r="X13" s="71"/>
      <c r="Y13" s="71"/>
      <c r="Z13" s="71"/>
      <c r="AA13" s="211"/>
      <c r="AB13" s="72"/>
      <c r="AC13" s="132"/>
      <c r="AD13" s="72"/>
      <c r="AE13" s="172"/>
      <c r="AF13" s="172"/>
      <c r="AG13" s="75"/>
      <c r="AH13" s="72"/>
      <c r="BA13" s="71"/>
      <c r="BB13" s="71"/>
      <c r="BC13" s="71"/>
      <c r="BD13" s="71"/>
      <c r="BE13" s="71"/>
      <c r="BF13" s="71"/>
      <c r="BG13" s="71"/>
      <c r="BH13" s="71"/>
      <c r="BI13" s="71"/>
      <c r="BJ13" s="71"/>
      <c r="BK13" s="71"/>
      <c r="BL13" s="71"/>
      <c r="BM13" s="71"/>
      <c r="BN13" s="71"/>
    </row>
    <row r="14" spans="2:66" s="496" customFormat="1">
      <c r="B14" s="91" t="s">
        <v>5261</v>
      </c>
      <c r="C14" s="839" t="s">
        <v>2621</v>
      </c>
      <c r="D14" s="839"/>
      <c r="E14" s="93" t="s">
        <v>750</v>
      </c>
      <c r="F14" s="223">
        <v>3</v>
      </c>
      <c r="G14" s="844"/>
      <c r="H14" s="845"/>
      <c r="I14" s="846"/>
      <c r="J14" s="847">
        <f t="shared" si="0"/>
        <v>0</v>
      </c>
      <c r="K14" s="844"/>
      <c r="L14" s="845"/>
      <c r="M14" s="846"/>
      <c r="N14" s="847">
        <f t="shared" ref="N14" si="6">SUM(K14:M14)</f>
        <v>0</v>
      </c>
      <c r="O14" s="847">
        <f t="shared" ref="O14" si="7">J14+N14</f>
        <v>0</v>
      </c>
      <c r="P14" s="71"/>
      <c r="Q14" s="710">
        <f t="shared" si="1"/>
        <v>0</v>
      </c>
      <c r="R14" s="24" t="str">
        <f xml:space="preserve"> IF( SUM( T14:AB14 ) = 0, 0, $U$6 )</f>
        <v>Please complete all cells in row</v>
      </c>
      <c r="S14" s="71"/>
      <c r="T14" s="72"/>
      <c r="U14" s="98">
        <f t="shared" ref="U14" si="8" xml:space="preserve"> IF( ISNUMBER( G14 ), 0, 1 )</f>
        <v>1</v>
      </c>
      <c r="V14" s="98">
        <f>IF(Validation!$H$3=1,0,IF(ISNUMBER(H14),0,1))</f>
        <v>1</v>
      </c>
      <c r="W14" s="98">
        <f>IF(Validation!$H$3=1,0,IF(ISNUMBER(I14),0,1))</f>
        <v>1</v>
      </c>
      <c r="X14" s="98">
        <f t="shared" ref="X14" si="9" xml:space="preserve"> IF( ISNUMBER( K14 ), 0, 1 )</f>
        <v>1</v>
      </c>
      <c r="Y14" s="98">
        <f>IF(Validation!$H$3=1,0,IF(ISNUMBER(L14),0,1))</f>
        <v>1</v>
      </c>
      <c r="Z14" s="98">
        <f>IF(Validation!$H$3=1,0,IF(ISNUMBER(M14),0,1))</f>
        <v>1</v>
      </c>
      <c r="AA14" s="211"/>
      <c r="AB14" s="72"/>
      <c r="AC14" s="132"/>
      <c r="AD14" s="72"/>
      <c r="AE14" s="172"/>
      <c r="AF14" s="172"/>
      <c r="AG14" s="75"/>
      <c r="AH14" s="72"/>
      <c r="BA14" s="91" t="s">
        <v>5261</v>
      </c>
      <c r="BB14" s="839" t="s">
        <v>2621</v>
      </c>
      <c r="BC14" s="839"/>
      <c r="BD14" s="93" t="s">
        <v>750</v>
      </c>
      <c r="BE14" s="223">
        <v>3</v>
      </c>
      <c r="BF14" s="2914" t="s">
        <v>10700</v>
      </c>
      <c r="BG14" s="2915" t="s">
        <v>10701</v>
      </c>
      <c r="BH14" s="2916" t="s">
        <v>10702</v>
      </c>
      <c r="BI14" s="847" t="s">
        <v>10703</v>
      </c>
      <c r="BJ14" s="2914" t="s">
        <v>10742</v>
      </c>
      <c r="BK14" s="2915" t="s">
        <v>10743</v>
      </c>
      <c r="BL14" s="2916" t="s">
        <v>10744</v>
      </c>
      <c r="BM14" s="847" t="s">
        <v>10745</v>
      </c>
      <c r="BN14" s="847" t="s">
        <v>10746</v>
      </c>
    </row>
    <row r="15" spans="2:66" s="496" customFormat="1" ht="22.15" customHeight="1" thickBot="1">
      <c r="B15" s="106" t="s">
        <v>5262</v>
      </c>
      <c r="C15" s="107" t="s">
        <v>2594</v>
      </c>
      <c r="D15" s="107"/>
      <c r="E15" s="108" t="s">
        <v>750</v>
      </c>
      <c r="F15" s="233">
        <v>3</v>
      </c>
      <c r="G15" s="842">
        <f xml:space="preserve"> G12 +G14</f>
        <v>0</v>
      </c>
      <c r="H15" s="848">
        <f xml:space="preserve"> H12 +H14</f>
        <v>0</v>
      </c>
      <c r="I15" s="849">
        <f xml:space="preserve"> I12 +I14</f>
        <v>0</v>
      </c>
      <c r="J15" s="842">
        <f xml:space="preserve"> J12 +J14</f>
        <v>0</v>
      </c>
      <c r="K15" s="842">
        <f t="shared" ref="K15:N15" si="10" xml:space="preserve"> K12 +K14</f>
        <v>0</v>
      </c>
      <c r="L15" s="848">
        <f t="shared" si="10"/>
        <v>0</v>
      </c>
      <c r="M15" s="849">
        <f t="shared" si="10"/>
        <v>0</v>
      </c>
      <c r="N15" s="842">
        <f t="shared" si="10"/>
        <v>0</v>
      </c>
      <c r="O15" s="843">
        <f t="shared" ref="O15:O17" si="11">J15+N15</f>
        <v>0</v>
      </c>
      <c r="P15" s="71"/>
      <c r="Q15" s="710">
        <f t="shared" si="1"/>
        <v>0</v>
      </c>
      <c r="R15" s="71"/>
      <c r="S15" s="71"/>
      <c r="T15" s="72"/>
      <c r="U15" s="71"/>
      <c r="V15" s="71"/>
      <c r="W15" s="71"/>
      <c r="X15" s="71"/>
      <c r="Y15" s="71"/>
      <c r="Z15" s="71"/>
      <c r="AA15" s="211"/>
      <c r="AB15" s="72"/>
      <c r="AC15" s="98">
        <f t="shared" ref="AC15" si="12" xml:space="preserve"> IF( (AE15 - AF15) = 0, 0, 1 )</f>
        <v>0</v>
      </c>
      <c r="AD15" s="72"/>
      <c r="AE15" s="172">
        <f t="shared" ref="AE15" si="13" xml:space="preserve"> ROUND( O15, 3)</f>
        <v>0</v>
      </c>
      <c r="AF15" s="172">
        <f xml:space="preserve"> ROUND( '2C'!G14, 3)</f>
        <v>0</v>
      </c>
      <c r="AG15" s="75" t="s">
        <v>12231</v>
      </c>
      <c r="AH15" s="72"/>
      <c r="BA15" s="106" t="s">
        <v>5262</v>
      </c>
      <c r="BB15" s="107" t="s">
        <v>2594</v>
      </c>
      <c r="BC15" s="107"/>
      <c r="BD15" s="108" t="s">
        <v>750</v>
      </c>
      <c r="BE15" s="233">
        <v>3</v>
      </c>
      <c r="BF15" s="842" t="s">
        <v>10704</v>
      </c>
      <c r="BG15" s="848" t="s">
        <v>10705</v>
      </c>
      <c r="BH15" s="849" t="s">
        <v>10706</v>
      </c>
      <c r="BI15" s="842" t="s">
        <v>10707</v>
      </c>
      <c r="BJ15" s="842" t="s">
        <v>10747</v>
      </c>
      <c r="BK15" s="848" t="s">
        <v>10748</v>
      </c>
      <c r="BL15" s="849" t="s">
        <v>10749</v>
      </c>
      <c r="BM15" s="842" t="s">
        <v>10750</v>
      </c>
      <c r="BN15" s="843" t="s">
        <v>10751</v>
      </c>
    </row>
    <row r="16" spans="2:66" s="496" customFormat="1" ht="15" thickBot="1">
      <c r="B16" s="71"/>
      <c r="C16" s="71"/>
      <c r="D16" s="71"/>
      <c r="E16" s="71"/>
      <c r="F16" s="71"/>
      <c r="G16" s="71"/>
      <c r="H16" s="71"/>
      <c r="I16" s="71"/>
      <c r="J16" s="71"/>
      <c r="K16" s="71"/>
      <c r="L16" s="71"/>
      <c r="M16" s="71"/>
      <c r="N16" s="71"/>
      <c r="O16" s="71"/>
      <c r="P16" s="71"/>
      <c r="Q16" s="71"/>
      <c r="R16" s="71"/>
      <c r="S16" s="71"/>
      <c r="T16" s="72"/>
      <c r="U16" s="71"/>
      <c r="V16" s="71"/>
      <c r="W16" s="71"/>
      <c r="X16" s="71"/>
      <c r="Y16" s="71"/>
      <c r="Z16" s="71"/>
      <c r="AA16" s="211"/>
      <c r="AB16" s="72"/>
      <c r="AC16" s="132"/>
      <c r="AD16" s="72"/>
      <c r="AE16" s="172"/>
      <c r="AF16" s="172"/>
      <c r="AG16" s="75"/>
      <c r="AH16" s="72"/>
      <c r="BA16" s="71"/>
      <c r="BB16" s="71"/>
      <c r="BC16" s="71"/>
      <c r="BD16" s="71"/>
      <c r="BE16" s="71"/>
      <c r="BF16" s="71"/>
      <c r="BG16" s="71"/>
      <c r="BH16" s="71"/>
      <c r="BI16" s="71"/>
      <c r="BJ16" s="71"/>
      <c r="BK16" s="71"/>
      <c r="BL16" s="71"/>
      <c r="BM16" s="71"/>
      <c r="BN16" s="71"/>
    </row>
    <row r="17" spans="2:66" s="496" customFormat="1">
      <c r="B17" s="235" t="s">
        <v>5263</v>
      </c>
      <c r="C17" s="122" t="s">
        <v>3881</v>
      </c>
      <c r="D17" s="122"/>
      <c r="E17" s="93" t="s">
        <v>750</v>
      </c>
      <c r="F17" s="223">
        <v>3</v>
      </c>
      <c r="G17" s="844"/>
      <c r="H17" s="845"/>
      <c r="I17" s="846"/>
      <c r="J17" s="224">
        <f t="shared" si="0"/>
        <v>0</v>
      </c>
      <c r="K17" s="844"/>
      <c r="L17" s="845"/>
      <c r="M17" s="846"/>
      <c r="N17" s="224">
        <f t="shared" ref="N17" si="14">SUM(K17:M17)</f>
        <v>0</v>
      </c>
      <c r="O17" s="224">
        <f t="shared" si="11"/>
        <v>0</v>
      </c>
      <c r="P17" s="71"/>
      <c r="Q17" s="710">
        <f t="shared" si="1"/>
        <v>0</v>
      </c>
      <c r="R17" s="24" t="str">
        <f xml:space="preserve"> IF( SUM( T17:AB17 ) = 0, 0, $U$6 )</f>
        <v>Please complete all cells in row</v>
      </c>
      <c r="S17" s="71"/>
      <c r="T17" s="72"/>
      <c r="U17" s="98">
        <f t="shared" ref="U17" si="15" xml:space="preserve"> IF( ISNUMBER( G17 ), 0, 1 )</f>
        <v>1</v>
      </c>
      <c r="V17" s="98">
        <f>IF(Validation!$H$3=1,0,IF(ISNUMBER(H17),0,1))</f>
        <v>1</v>
      </c>
      <c r="W17" s="98">
        <f>IF(Validation!$H$3=1,0,IF(ISNUMBER(I17),0,1))</f>
        <v>1</v>
      </c>
      <c r="X17" s="98">
        <f t="shared" ref="X17" si="16" xml:space="preserve"> IF( ISNUMBER( K17 ), 0, 1 )</f>
        <v>1</v>
      </c>
      <c r="Y17" s="98">
        <f>IF(Validation!$H$3=1,0,IF(ISNUMBER(L17),0,1))</f>
        <v>1</v>
      </c>
      <c r="Z17" s="98">
        <f>IF(Validation!$H$3=1,0,IF(ISNUMBER(M17),0,1))</f>
        <v>1</v>
      </c>
      <c r="AA17" s="211"/>
      <c r="AB17" s="72"/>
      <c r="AC17" s="132"/>
      <c r="AD17" s="72"/>
      <c r="AE17" s="172"/>
      <c r="AF17" s="172"/>
      <c r="AG17" s="75"/>
      <c r="AH17" s="72"/>
      <c r="BA17" s="235" t="s">
        <v>5263</v>
      </c>
      <c r="BB17" s="122" t="s">
        <v>3881</v>
      </c>
      <c r="BC17" s="122"/>
      <c r="BD17" s="93" t="s">
        <v>750</v>
      </c>
      <c r="BE17" s="223">
        <v>3</v>
      </c>
      <c r="BF17" s="2917" t="s">
        <v>11223</v>
      </c>
      <c r="BG17" s="2918" t="s">
        <v>11229</v>
      </c>
      <c r="BH17" s="2919" t="s">
        <v>11233</v>
      </c>
      <c r="BI17" s="2280" t="s">
        <v>11255</v>
      </c>
      <c r="BJ17" s="2917" t="s">
        <v>11251</v>
      </c>
      <c r="BK17" s="2918" t="s">
        <v>11247</v>
      </c>
      <c r="BL17" s="2919" t="s">
        <v>11243</v>
      </c>
      <c r="BM17" s="2280" t="s">
        <v>12513</v>
      </c>
      <c r="BN17" s="2280" t="s">
        <v>11239</v>
      </c>
    </row>
    <row r="18" spans="2:66" s="496" customFormat="1">
      <c r="B18" s="240" t="s">
        <v>5264</v>
      </c>
      <c r="C18" s="92" t="s">
        <v>3882</v>
      </c>
      <c r="D18" s="92"/>
      <c r="E18" s="100" t="s">
        <v>750</v>
      </c>
      <c r="F18" s="225">
        <v>3</v>
      </c>
      <c r="G18" s="850"/>
      <c r="H18" s="851"/>
      <c r="I18" s="689"/>
      <c r="J18" s="226">
        <f t="shared" si="0"/>
        <v>0</v>
      </c>
      <c r="K18" s="850"/>
      <c r="L18" s="851"/>
      <c r="M18" s="689"/>
      <c r="N18" s="226">
        <f t="shared" ref="N18" si="17">SUM(K18:M18)</f>
        <v>0</v>
      </c>
      <c r="O18" s="226">
        <f t="shared" ref="O18" si="18">J18+N18</f>
        <v>0</v>
      </c>
      <c r="P18" s="71"/>
      <c r="Q18" s="840"/>
      <c r="R18" s="24" t="str">
        <f xml:space="preserve"> IF( SUM( T18:AB18 ) = 0, 0, $U$6 )</f>
        <v>Please complete all cells in row</v>
      </c>
      <c r="S18" s="71"/>
      <c r="T18" s="72"/>
      <c r="U18" s="98">
        <f t="shared" ref="U18" si="19" xml:space="preserve"> IF( ISNUMBER( G18 ), 0, 1 )</f>
        <v>1</v>
      </c>
      <c r="V18" s="98">
        <f>IF(Validation!$H$3=1,0,IF(ISNUMBER(H18),0,1))</f>
        <v>1</v>
      </c>
      <c r="W18" s="98">
        <f>IF(Validation!$H$3=1,0,IF(ISNUMBER(I18),0,1))</f>
        <v>1</v>
      </c>
      <c r="X18" s="98">
        <f t="shared" ref="X18" si="20" xml:space="preserve"> IF( ISNUMBER( K18 ), 0, 1 )</f>
        <v>1</v>
      </c>
      <c r="Y18" s="98">
        <f>IF(Validation!$H$3=1,0,IF(ISNUMBER(L18),0,1))</f>
        <v>1</v>
      </c>
      <c r="Z18" s="98">
        <f>IF(Validation!$H$3=1,0,IF(ISNUMBER(M18),0,1))</f>
        <v>1</v>
      </c>
      <c r="AA18" s="211"/>
      <c r="AB18" s="72"/>
      <c r="AC18" s="908"/>
      <c r="AD18" s="72"/>
      <c r="AE18" s="172"/>
      <c r="AF18" s="172"/>
      <c r="AG18" s="75"/>
      <c r="AH18" s="72"/>
      <c r="BA18" s="240" t="s">
        <v>5264</v>
      </c>
      <c r="BB18" s="92" t="s">
        <v>3882</v>
      </c>
      <c r="BC18" s="92"/>
      <c r="BD18" s="100" t="s">
        <v>750</v>
      </c>
      <c r="BE18" s="225">
        <v>3</v>
      </c>
      <c r="BF18" s="2920" t="s">
        <v>11224</v>
      </c>
      <c r="BG18" s="2921" t="s">
        <v>11230</v>
      </c>
      <c r="BH18" s="2922" t="s">
        <v>11234</v>
      </c>
      <c r="BI18" s="2281" t="s">
        <v>11256</v>
      </c>
      <c r="BJ18" s="2920" t="s">
        <v>11252</v>
      </c>
      <c r="BK18" s="2921" t="s">
        <v>11248</v>
      </c>
      <c r="BL18" s="2922" t="s">
        <v>11244</v>
      </c>
      <c r="BM18" s="2281" t="s">
        <v>12514</v>
      </c>
      <c r="BN18" s="2281" t="s">
        <v>11240</v>
      </c>
    </row>
    <row r="19" spans="2:66">
      <c r="B19" s="240" t="s">
        <v>5273</v>
      </c>
      <c r="C19" s="227" t="s">
        <v>3883</v>
      </c>
      <c r="D19" s="227"/>
      <c r="E19" s="100" t="s">
        <v>750</v>
      </c>
      <c r="F19" s="225">
        <v>3</v>
      </c>
      <c r="G19" s="488"/>
      <c r="H19" s="435"/>
      <c r="I19" s="436"/>
      <c r="J19" s="226">
        <f t="shared" si="0"/>
        <v>0</v>
      </c>
      <c r="K19" s="492"/>
      <c r="L19" s="435"/>
      <c r="M19" s="436"/>
      <c r="N19" s="226">
        <f t="shared" ref="N19" si="21">SUM(K19:M19)</f>
        <v>0</v>
      </c>
      <c r="O19" s="226">
        <f t="shared" si="4"/>
        <v>0</v>
      </c>
      <c r="Q19" s="66">
        <f t="shared" si="1"/>
        <v>0</v>
      </c>
      <c r="R19" s="24" t="str">
        <f xml:space="preserve"> IF( SUM( T19:AB19 ) = 0, 0, $U$6 )</f>
        <v>Please complete all cells in row</v>
      </c>
      <c r="U19" s="98">
        <f t="shared" si="2"/>
        <v>1</v>
      </c>
      <c r="V19" s="98">
        <f>IF(Validation!$H$3=1,0,IF(ISNUMBER(H19),0,1))</f>
        <v>1</v>
      </c>
      <c r="W19" s="98">
        <f>IF(Validation!$H$3=1,0,IF(ISNUMBER(I19),0,1))</f>
        <v>1</v>
      </c>
      <c r="X19" s="98">
        <f t="shared" si="3"/>
        <v>1</v>
      </c>
      <c r="Y19" s="98">
        <f>IF(Validation!$H$3=1,0,IF(ISNUMBER(L19),0,1))</f>
        <v>1</v>
      </c>
      <c r="Z19" s="98">
        <f>IF(Validation!$H$3=1,0,IF(ISNUMBER(M19),0,1))</f>
        <v>1</v>
      </c>
      <c r="AA19" s="211"/>
      <c r="AC19" s="132"/>
      <c r="AE19" s="172"/>
      <c r="AF19" s="172"/>
      <c r="BA19" s="240" t="s">
        <v>5273</v>
      </c>
      <c r="BB19" s="227" t="s">
        <v>3883</v>
      </c>
      <c r="BC19" s="227"/>
      <c r="BD19" s="100" t="s">
        <v>750</v>
      </c>
      <c r="BE19" s="225">
        <v>3</v>
      </c>
      <c r="BF19" s="2923" t="s">
        <v>11225</v>
      </c>
      <c r="BG19" s="2924" t="s">
        <v>11231</v>
      </c>
      <c r="BH19" s="2925" t="s">
        <v>11235</v>
      </c>
      <c r="BI19" s="2281" t="s">
        <v>11257</v>
      </c>
      <c r="BJ19" s="2923" t="s">
        <v>11253</v>
      </c>
      <c r="BK19" s="2924" t="s">
        <v>11249</v>
      </c>
      <c r="BL19" s="2925" t="s">
        <v>11245</v>
      </c>
      <c r="BM19" s="2281" t="s">
        <v>12515</v>
      </c>
      <c r="BN19" s="2281" t="s">
        <v>11241</v>
      </c>
    </row>
    <row r="20" spans="2:66" s="496" customFormat="1">
      <c r="B20" s="240" t="s">
        <v>5265</v>
      </c>
      <c r="C20" s="227" t="s">
        <v>3884</v>
      </c>
      <c r="D20" s="227"/>
      <c r="E20" s="100" t="s">
        <v>750</v>
      </c>
      <c r="F20" s="225">
        <v>3</v>
      </c>
      <c r="G20" s="491"/>
      <c r="H20" s="438"/>
      <c r="I20" s="439"/>
      <c r="J20" s="226">
        <f t="shared" si="0"/>
        <v>0</v>
      </c>
      <c r="K20" s="491"/>
      <c r="L20" s="438"/>
      <c r="M20" s="439"/>
      <c r="N20" s="226">
        <f t="shared" ref="N20" si="22">SUM(K20:M20)</f>
        <v>0</v>
      </c>
      <c r="O20" s="226">
        <f t="shared" ref="O20" si="23">J20+N20</f>
        <v>0</v>
      </c>
      <c r="P20" s="71"/>
      <c r="Q20" s="840"/>
      <c r="R20" s="24" t="str">
        <f xml:space="preserve"> IF( SUM( T20:AB20 ) = 0, 0, $U$6 )</f>
        <v>Please complete all cells in row</v>
      </c>
      <c r="S20" s="71"/>
      <c r="T20" s="72"/>
      <c r="U20" s="98">
        <f t="shared" si="2"/>
        <v>1</v>
      </c>
      <c r="V20" s="98">
        <f>IF(Validation!$H$3=1,0,IF(ISNUMBER(H20),0,1))</f>
        <v>1</v>
      </c>
      <c r="W20" s="98">
        <f>IF(Validation!$H$3=1,0,IF(ISNUMBER(I20),0,1))</f>
        <v>1</v>
      </c>
      <c r="X20" s="98">
        <f t="shared" si="3"/>
        <v>1</v>
      </c>
      <c r="Y20" s="98">
        <f>IF(Validation!$H$3=1,0,IF(ISNUMBER(L20),0,1))</f>
        <v>1</v>
      </c>
      <c r="Z20" s="98">
        <f>IF(Validation!$H$3=1,0,IF(ISNUMBER(M20),0,1))</f>
        <v>1</v>
      </c>
      <c r="AA20" s="211"/>
      <c r="AB20" s="72"/>
      <c r="AC20" s="908"/>
      <c r="AD20" s="72"/>
      <c r="AE20" s="172"/>
      <c r="AF20" s="172"/>
      <c r="AG20" s="75"/>
      <c r="AH20" s="72"/>
      <c r="BA20" s="240" t="s">
        <v>5265</v>
      </c>
      <c r="BB20" s="227" t="s">
        <v>3884</v>
      </c>
      <c r="BC20" s="227"/>
      <c r="BD20" s="100" t="s">
        <v>750</v>
      </c>
      <c r="BE20" s="225">
        <v>3</v>
      </c>
      <c r="BF20" s="2926" t="s">
        <v>11226</v>
      </c>
      <c r="BG20" s="2927" t="s">
        <v>11232</v>
      </c>
      <c r="BH20" s="2928" t="s">
        <v>11236</v>
      </c>
      <c r="BI20" s="2281" t="s">
        <v>11258</v>
      </c>
      <c r="BJ20" s="2926" t="s">
        <v>11254</v>
      </c>
      <c r="BK20" s="2927" t="s">
        <v>11250</v>
      </c>
      <c r="BL20" s="2928" t="s">
        <v>11246</v>
      </c>
      <c r="BM20" s="2281" t="s">
        <v>12516</v>
      </c>
      <c r="BN20" s="2281" t="s">
        <v>11242</v>
      </c>
    </row>
    <row r="21" spans="2:66" ht="15" thickBot="1">
      <c r="B21" s="106" t="s">
        <v>5266</v>
      </c>
      <c r="C21" s="107" t="s">
        <v>2622</v>
      </c>
      <c r="D21" s="107"/>
      <c r="E21" s="108" t="s">
        <v>750</v>
      </c>
      <c r="F21" s="233">
        <v>3</v>
      </c>
      <c r="G21" s="842">
        <f xml:space="preserve"> G15 + SUM(G17:G20)</f>
        <v>0</v>
      </c>
      <c r="H21" s="848">
        <f t="shared" ref="H21:I21" si="24" xml:space="preserve"> H15 + SUM(H17:H20)</f>
        <v>0</v>
      </c>
      <c r="I21" s="849">
        <f t="shared" si="24"/>
        <v>0</v>
      </c>
      <c r="J21" s="842">
        <f t="shared" ref="J21" si="25" xml:space="preserve"> J15 + SUM(J17:J20)</f>
        <v>0</v>
      </c>
      <c r="K21" s="842">
        <f t="shared" ref="K21" si="26" xml:space="preserve"> K15 + SUM(K17:K20)</f>
        <v>0</v>
      </c>
      <c r="L21" s="848">
        <f t="shared" ref="L21" si="27" xml:space="preserve"> L15 + SUM(L17:L20)</f>
        <v>0</v>
      </c>
      <c r="M21" s="849">
        <f t="shared" ref="M21" si="28" xml:space="preserve"> M15 + SUM(M17:M20)</f>
        <v>0</v>
      </c>
      <c r="N21" s="842">
        <f t="shared" ref="N21" si="29" xml:space="preserve"> N15 + SUM(N17:N20)</f>
        <v>0</v>
      </c>
      <c r="O21" s="843">
        <f t="shared" si="4"/>
        <v>0</v>
      </c>
      <c r="Q21" s="710">
        <f t="shared" si="1"/>
        <v>0</v>
      </c>
      <c r="AA21" s="211"/>
      <c r="AC21" s="98">
        <f t="shared" ref="AC21" si="30" xml:space="preserve"> IF( (AE21 - AF21) = 0, 0, 1 )</f>
        <v>0</v>
      </c>
      <c r="AE21" s="172">
        <f t="shared" ref="AE21" si="31" xml:space="preserve"> ROUND( O21, 3)</f>
        <v>0</v>
      </c>
      <c r="AF21" s="172">
        <f xml:space="preserve"> ROUND( '2C'!G19, 3)</f>
        <v>0</v>
      </c>
      <c r="AG21" s="75" t="s">
        <v>12232</v>
      </c>
      <c r="BA21" s="106" t="s">
        <v>5266</v>
      </c>
      <c r="BB21" s="107" t="s">
        <v>2622</v>
      </c>
      <c r="BC21" s="107"/>
      <c r="BD21" s="108" t="s">
        <v>750</v>
      </c>
      <c r="BE21" s="233">
        <v>3</v>
      </c>
      <c r="BF21" s="2282" t="s">
        <v>10708</v>
      </c>
      <c r="BG21" s="2283" t="s">
        <v>10709</v>
      </c>
      <c r="BH21" s="2284" t="s">
        <v>10710</v>
      </c>
      <c r="BI21" s="2282" t="s">
        <v>10711</v>
      </c>
      <c r="BJ21" s="2282" t="s">
        <v>10752</v>
      </c>
      <c r="BK21" s="2283" t="s">
        <v>10753</v>
      </c>
      <c r="BL21" s="2284" t="s">
        <v>10754</v>
      </c>
      <c r="BM21" s="2282" t="s">
        <v>10755</v>
      </c>
      <c r="BN21" s="2285" t="s">
        <v>10756</v>
      </c>
    </row>
    <row r="22" spans="2:66" s="86" customFormat="1" ht="15" thickBot="1">
      <c r="B22" s="835"/>
      <c r="C22" s="836"/>
      <c r="D22" s="836"/>
      <c r="E22" s="837"/>
      <c r="F22" s="837"/>
      <c r="G22" s="246"/>
      <c r="H22" s="71"/>
      <c r="I22" s="71"/>
      <c r="J22" s="246"/>
      <c r="K22" s="246"/>
      <c r="L22" s="71"/>
      <c r="M22" s="71"/>
      <c r="N22" s="246"/>
      <c r="O22" s="246"/>
      <c r="P22" s="200"/>
      <c r="Q22" s="852"/>
      <c r="R22" s="200"/>
      <c r="S22" s="200"/>
      <c r="T22" s="72"/>
      <c r="U22" s="71"/>
      <c r="V22" s="71"/>
      <c r="W22" s="71"/>
      <c r="X22" s="71"/>
      <c r="Y22" s="71"/>
      <c r="Z22" s="71"/>
      <c r="AA22" s="211"/>
      <c r="AB22" s="72"/>
      <c r="AC22" s="132"/>
      <c r="AD22" s="72"/>
      <c r="AE22" s="231"/>
      <c r="AF22" s="231"/>
      <c r="AG22" s="75"/>
      <c r="AH22" s="72"/>
      <c r="BA22" s="835"/>
      <c r="BB22" s="836"/>
      <c r="BC22" s="836"/>
      <c r="BD22" s="837"/>
      <c r="BE22" s="837"/>
      <c r="BF22" s="2272"/>
      <c r="BG22" s="2270"/>
      <c r="BH22" s="2270"/>
      <c r="BI22" s="2272"/>
      <c r="BJ22" s="2272"/>
      <c r="BK22" s="2270"/>
      <c r="BL22" s="2270"/>
      <c r="BM22" s="2272"/>
      <c r="BN22" s="2272"/>
    </row>
    <row r="23" spans="2:66" s="496" customFormat="1" ht="15" thickBot="1">
      <c r="B23" s="136" t="s">
        <v>5267</v>
      </c>
      <c r="C23" s="137" t="s">
        <v>2522</v>
      </c>
      <c r="D23" s="137"/>
      <c r="E23" s="138" t="s">
        <v>750</v>
      </c>
      <c r="F23" s="806">
        <v>3</v>
      </c>
      <c r="G23" s="853"/>
      <c r="H23" s="854"/>
      <c r="I23" s="855"/>
      <c r="J23" s="856">
        <f t="shared" ref="J23" si="32">SUM(G23:I23)</f>
        <v>0</v>
      </c>
      <c r="K23" s="853"/>
      <c r="L23" s="854"/>
      <c r="M23" s="855"/>
      <c r="N23" s="856">
        <f t="shared" ref="N23" si="33">SUM(K23:M23)</f>
        <v>0</v>
      </c>
      <c r="O23" s="856">
        <f t="shared" ref="O23" si="34">J23+N23</f>
        <v>0</v>
      </c>
      <c r="P23" s="71"/>
      <c r="Q23" s="840"/>
      <c r="R23" s="24" t="str">
        <f xml:space="preserve"> IF( SUM( T23:AB23 ) = 0, 0, $U$6 )</f>
        <v>Please complete all cells in row</v>
      </c>
      <c r="S23" s="71"/>
      <c r="T23" s="72"/>
      <c r="U23" s="98">
        <f t="shared" ref="U23" si="35" xml:space="preserve"> IF( ISNUMBER( G23 ), 0, 1 )</f>
        <v>1</v>
      </c>
      <c r="V23" s="98">
        <f>IF(Validation!$H$3=1,0,IF(ISNUMBER(H23),0,1))</f>
        <v>1</v>
      </c>
      <c r="W23" s="98">
        <f>IF(Validation!$H$3=1,0,IF(ISNUMBER(I23),0,1))</f>
        <v>1</v>
      </c>
      <c r="X23" s="98">
        <f t="shared" ref="X23" si="36" xml:space="preserve"> IF( ISNUMBER( K23 ), 0, 1 )</f>
        <v>1</v>
      </c>
      <c r="Y23" s="98">
        <f>IF(Validation!$H$3=1,0,IF(ISNUMBER(L23),0,1))</f>
        <v>1</v>
      </c>
      <c r="Z23" s="98">
        <f>IF(Validation!$H$3=1,0,IF(ISNUMBER(M23),0,1))</f>
        <v>1</v>
      </c>
      <c r="AA23" s="211"/>
      <c r="AB23" s="72"/>
      <c r="AC23" s="132"/>
      <c r="AD23" s="72"/>
      <c r="AE23" s="172"/>
      <c r="AF23" s="172"/>
      <c r="AG23" s="75"/>
      <c r="AH23" s="72"/>
      <c r="BA23" s="136" t="s">
        <v>5267</v>
      </c>
      <c r="BB23" s="137" t="s">
        <v>2522</v>
      </c>
      <c r="BC23" s="137"/>
      <c r="BD23" s="138" t="s">
        <v>750</v>
      </c>
      <c r="BE23" s="806">
        <v>3</v>
      </c>
      <c r="BF23" s="2929" t="s">
        <v>11227</v>
      </c>
      <c r="BG23" s="2930" t="s">
        <v>11237</v>
      </c>
      <c r="BH23" s="2931" t="s">
        <v>11238</v>
      </c>
      <c r="BI23" s="2286" t="s">
        <v>11259</v>
      </c>
      <c r="BJ23" s="2929" t="s">
        <v>11260</v>
      </c>
      <c r="BK23" s="2930" t="s">
        <v>11261</v>
      </c>
      <c r="BL23" s="2931" t="s">
        <v>11262</v>
      </c>
      <c r="BM23" s="2286" t="s">
        <v>11263</v>
      </c>
      <c r="BN23" s="2286" t="s">
        <v>11228</v>
      </c>
    </row>
    <row r="24" spans="2:66" ht="15" thickBot="1">
      <c r="B24" s="71"/>
      <c r="C24" s="71"/>
      <c r="D24" s="71"/>
      <c r="E24" s="71"/>
      <c r="F24" s="71"/>
      <c r="G24" s="71"/>
      <c r="H24" s="71"/>
      <c r="I24" s="71"/>
      <c r="J24" s="71"/>
      <c r="K24" s="71"/>
      <c r="L24" s="71"/>
      <c r="M24" s="71"/>
      <c r="N24" s="71"/>
      <c r="O24" s="71"/>
      <c r="AA24" s="211"/>
      <c r="AC24" s="132"/>
      <c r="AE24" s="172"/>
      <c r="AF24" s="172"/>
      <c r="BA24" s="71"/>
      <c r="BB24" s="71"/>
      <c r="BC24" s="71"/>
      <c r="BD24" s="71"/>
      <c r="BE24" s="71"/>
      <c r="BF24" s="71"/>
      <c r="BG24" s="71"/>
      <c r="BH24" s="71"/>
      <c r="BI24" s="71"/>
      <c r="BJ24" s="71"/>
      <c r="BK24" s="71"/>
      <c r="BL24" s="71"/>
      <c r="BM24" s="71"/>
      <c r="BN24" s="71"/>
    </row>
    <row r="25" spans="2:66" s="71" customFormat="1" ht="15" thickBot="1">
      <c r="B25" s="118" t="s">
        <v>2458</v>
      </c>
      <c r="C25" s="119" t="s">
        <v>3716</v>
      </c>
      <c r="D25" s="1584"/>
      <c r="T25" s="72"/>
      <c r="AA25" s="211"/>
      <c r="AB25" s="72"/>
      <c r="AC25" s="132"/>
      <c r="AD25" s="72"/>
      <c r="AE25" s="172"/>
      <c r="AF25" s="172"/>
      <c r="AG25" s="75"/>
      <c r="AH25" s="72"/>
      <c r="BA25" s="118" t="s">
        <v>2458</v>
      </c>
      <c r="BB25" s="119" t="s">
        <v>3716</v>
      </c>
      <c r="BC25" s="1584"/>
    </row>
    <row r="26" spans="2:66">
      <c r="B26" s="235" t="s">
        <v>5268</v>
      </c>
      <c r="C26" s="236" t="s">
        <v>2773</v>
      </c>
      <c r="D26" s="236"/>
      <c r="E26" s="237" t="s">
        <v>750</v>
      </c>
      <c r="F26" s="238">
        <v>3</v>
      </c>
      <c r="G26" s="239"/>
      <c r="H26" s="239"/>
      <c r="I26" s="239"/>
      <c r="J26" s="239"/>
      <c r="K26" s="239"/>
      <c r="L26" s="239"/>
      <c r="M26" s="239"/>
      <c r="N26" s="239"/>
      <c r="O26" s="493"/>
      <c r="R26" s="24" t="str">
        <f xml:space="preserve"> IF( SUM( T26:AB26 ) = 0, 0, $U$6 )</f>
        <v>Please complete all cells in row</v>
      </c>
      <c r="AA26" s="98">
        <f t="shared" ref="AA26:AA30" si="37" xml:space="preserve"> IF( ISNUMBER( O26 ), 0, 1 )</f>
        <v>1</v>
      </c>
      <c r="AC26" s="132"/>
      <c r="AE26" s="172"/>
      <c r="AF26" s="172"/>
      <c r="BA26" s="235" t="s">
        <v>5268</v>
      </c>
      <c r="BB26" s="236" t="s">
        <v>2773</v>
      </c>
      <c r="BC26" s="236"/>
      <c r="BD26" s="237" t="s">
        <v>750</v>
      </c>
      <c r="BE26" s="238">
        <v>3</v>
      </c>
      <c r="BF26" s="239"/>
      <c r="BG26" s="239"/>
      <c r="BH26" s="239"/>
      <c r="BI26" s="239"/>
      <c r="BJ26" s="239"/>
      <c r="BK26" s="239"/>
      <c r="BL26" s="239"/>
      <c r="BM26" s="239"/>
      <c r="BN26" s="2932" t="s">
        <v>10757</v>
      </c>
    </row>
    <row r="27" spans="2:66">
      <c r="B27" s="240" t="s">
        <v>5269</v>
      </c>
      <c r="C27" s="92" t="s">
        <v>2774</v>
      </c>
      <c r="D27" s="92"/>
      <c r="E27" s="100" t="s">
        <v>750</v>
      </c>
      <c r="F27" s="241">
        <v>3</v>
      </c>
      <c r="G27" s="239"/>
      <c r="H27" s="239"/>
      <c r="I27" s="239"/>
      <c r="J27" s="239"/>
      <c r="K27" s="239"/>
      <c r="L27" s="239"/>
      <c r="M27" s="239"/>
      <c r="N27" s="239"/>
      <c r="O27" s="494"/>
      <c r="R27" s="24" t="str">
        <f xml:space="preserve"> IF( SUM( T27:AB27 ) = 0, 0, $U$6 )</f>
        <v>Please complete all cells in row</v>
      </c>
      <c r="AA27" s="98">
        <f t="shared" si="37"/>
        <v>1</v>
      </c>
      <c r="AC27" s="132"/>
      <c r="AE27" s="172"/>
      <c r="AF27" s="172"/>
      <c r="BA27" s="240" t="s">
        <v>5269</v>
      </c>
      <c r="BB27" s="92" t="s">
        <v>2774</v>
      </c>
      <c r="BC27" s="92"/>
      <c r="BD27" s="100" t="s">
        <v>750</v>
      </c>
      <c r="BE27" s="241">
        <v>3</v>
      </c>
      <c r="BF27" s="239"/>
      <c r="BG27" s="239"/>
      <c r="BH27" s="239"/>
      <c r="BI27" s="239"/>
      <c r="BJ27" s="239"/>
      <c r="BK27" s="239"/>
      <c r="BL27" s="239"/>
      <c r="BM27" s="239"/>
      <c r="BN27" s="2933" t="s">
        <v>10758</v>
      </c>
    </row>
    <row r="28" spans="2:66">
      <c r="B28" s="240" t="s">
        <v>5270</v>
      </c>
      <c r="C28" s="92" t="s">
        <v>2775</v>
      </c>
      <c r="D28" s="92"/>
      <c r="E28" s="100" t="s">
        <v>750</v>
      </c>
      <c r="F28" s="241">
        <v>3</v>
      </c>
      <c r="G28" s="239"/>
      <c r="H28" s="239"/>
      <c r="I28" s="239"/>
      <c r="J28" s="239"/>
      <c r="K28" s="239"/>
      <c r="L28" s="239"/>
      <c r="M28" s="239"/>
      <c r="N28" s="239"/>
      <c r="O28" s="226">
        <f>O26-O27</f>
        <v>0</v>
      </c>
      <c r="S28" s="123"/>
      <c r="T28" s="129"/>
      <c r="AA28" s="211"/>
      <c r="AC28" s="132"/>
      <c r="AE28" s="172"/>
      <c r="AF28" s="172"/>
      <c r="BA28" s="240" t="s">
        <v>5270</v>
      </c>
      <c r="BB28" s="92" t="s">
        <v>2775</v>
      </c>
      <c r="BC28" s="92"/>
      <c r="BD28" s="100" t="s">
        <v>750</v>
      </c>
      <c r="BE28" s="241">
        <v>3</v>
      </c>
      <c r="BF28" s="239"/>
      <c r="BG28" s="239"/>
      <c r="BH28" s="239"/>
      <c r="BI28" s="239"/>
      <c r="BJ28" s="239"/>
      <c r="BK28" s="239"/>
      <c r="BL28" s="239"/>
      <c r="BM28" s="239"/>
      <c r="BN28" s="226" t="s">
        <v>10759</v>
      </c>
    </row>
    <row r="29" spans="2:66">
      <c r="B29" s="240" t="s">
        <v>5271</v>
      </c>
      <c r="C29" s="92" t="s">
        <v>2776</v>
      </c>
      <c r="D29" s="92"/>
      <c r="E29" s="100" t="s">
        <v>750</v>
      </c>
      <c r="F29" s="241">
        <v>3</v>
      </c>
      <c r="G29" s="239"/>
      <c r="H29" s="239"/>
      <c r="I29" s="239"/>
      <c r="J29" s="239"/>
      <c r="K29" s="239"/>
      <c r="L29" s="239"/>
      <c r="M29" s="239"/>
      <c r="N29" s="239"/>
      <c r="O29" s="495"/>
      <c r="R29" s="24" t="str">
        <f xml:space="preserve"> IF( SUM( T29:AB29 ) = 0, 0, $U$6 )</f>
        <v>Please complete all cells in row</v>
      </c>
      <c r="AA29" s="98">
        <f t="shared" si="37"/>
        <v>1</v>
      </c>
      <c r="AC29" s="132"/>
      <c r="AE29" s="172"/>
      <c r="AF29" s="172"/>
      <c r="BA29" s="240" t="s">
        <v>5271</v>
      </c>
      <c r="BB29" s="92" t="s">
        <v>2776</v>
      </c>
      <c r="BC29" s="92"/>
      <c r="BD29" s="100" t="s">
        <v>750</v>
      </c>
      <c r="BE29" s="241">
        <v>3</v>
      </c>
      <c r="BF29" s="239"/>
      <c r="BG29" s="239"/>
      <c r="BH29" s="239"/>
      <c r="BI29" s="239"/>
      <c r="BJ29" s="239"/>
      <c r="BK29" s="239"/>
      <c r="BL29" s="239"/>
      <c r="BM29" s="239"/>
      <c r="BN29" s="2933" t="s">
        <v>10760</v>
      </c>
    </row>
    <row r="30" spans="2:66">
      <c r="B30" s="240" t="s">
        <v>5272</v>
      </c>
      <c r="C30" s="92" t="s">
        <v>2777</v>
      </c>
      <c r="D30" s="92"/>
      <c r="E30" s="100" t="s">
        <v>750</v>
      </c>
      <c r="F30" s="241">
        <v>3</v>
      </c>
      <c r="G30" s="239"/>
      <c r="H30" s="239"/>
      <c r="I30" s="239"/>
      <c r="J30" s="239"/>
      <c r="K30" s="239"/>
      <c r="L30" s="239"/>
      <c r="M30" s="239"/>
      <c r="N30" s="239"/>
      <c r="O30" s="495"/>
      <c r="R30" s="24" t="str">
        <f xml:space="preserve"> IF( SUM( T30:AB30 ) = 0, 0, $U$6 )</f>
        <v>Please complete all cells in row</v>
      </c>
      <c r="AA30" s="98">
        <f t="shared" si="37"/>
        <v>1</v>
      </c>
      <c r="AC30" s="132"/>
      <c r="AE30" s="172"/>
      <c r="AF30" s="172"/>
      <c r="BA30" s="240" t="s">
        <v>5272</v>
      </c>
      <c r="BB30" s="92" t="s">
        <v>2777</v>
      </c>
      <c r="BC30" s="92"/>
      <c r="BD30" s="100" t="s">
        <v>750</v>
      </c>
      <c r="BE30" s="241">
        <v>3</v>
      </c>
      <c r="BF30" s="239"/>
      <c r="BG30" s="239"/>
      <c r="BH30" s="239"/>
      <c r="BI30" s="239"/>
      <c r="BJ30" s="239"/>
      <c r="BK30" s="239"/>
      <c r="BL30" s="239"/>
      <c r="BM30" s="239"/>
      <c r="BN30" s="2933" t="s">
        <v>10761</v>
      </c>
    </row>
    <row r="31" spans="2:66" ht="15" thickBot="1">
      <c r="B31" s="242" t="s">
        <v>5274</v>
      </c>
      <c r="C31" s="243" t="s">
        <v>2778</v>
      </c>
      <c r="D31" s="243"/>
      <c r="E31" s="244" t="s">
        <v>750</v>
      </c>
      <c r="F31" s="245">
        <v>3</v>
      </c>
      <c r="G31" s="246"/>
      <c r="H31" s="246"/>
      <c r="I31" s="246"/>
      <c r="J31" s="246"/>
      <c r="K31" s="246"/>
      <c r="L31" s="246"/>
      <c r="M31" s="246"/>
      <c r="N31" s="246"/>
      <c r="O31" s="234">
        <f>O29-O30</f>
        <v>0</v>
      </c>
      <c r="S31" s="123"/>
      <c r="T31" s="129"/>
      <c r="AA31" s="211"/>
      <c r="AC31" s="132"/>
      <c r="AE31" s="172"/>
      <c r="AF31" s="172"/>
      <c r="BA31" s="242" t="s">
        <v>5274</v>
      </c>
      <c r="BB31" s="243" t="s">
        <v>2778</v>
      </c>
      <c r="BC31" s="243"/>
      <c r="BD31" s="244" t="s">
        <v>750</v>
      </c>
      <c r="BE31" s="245">
        <v>3</v>
      </c>
      <c r="BF31" s="246"/>
      <c r="BG31" s="246"/>
      <c r="BH31" s="246"/>
      <c r="BI31" s="246"/>
      <c r="BJ31" s="246"/>
      <c r="BK31" s="246"/>
      <c r="BL31" s="246"/>
      <c r="BM31" s="246"/>
      <c r="BN31" s="234" t="s">
        <v>10762</v>
      </c>
    </row>
    <row r="32" spans="2:66">
      <c r="B32" s="71"/>
      <c r="C32" s="71"/>
      <c r="D32" s="71"/>
      <c r="E32" s="71"/>
      <c r="F32" s="71"/>
      <c r="G32" s="71"/>
      <c r="H32" s="71"/>
      <c r="I32" s="71"/>
      <c r="J32" s="71"/>
      <c r="K32" s="71"/>
      <c r="L32" s="71"/>
      <c r="M32" s="71"/>
      <c r="N32" s="71"/>
      <c r="O32" s="71"/>
      <c r="P32" s="123"/>
      <c r="S32" s="123"/>
      <c r="T32" s="129"/>
      <c r="AA32" s="211"/>
      <c r="AB32" s="129"/>
      <c r="AC32" s="132"/>
      <c r="AD32" s="129"/>
      <c r="AE32" s="172"/>
      <c r="AF32" s="172"/>
      <c r="AH32" s="129"/>
      <c r="BA32" s="71"/>
      <c r="BB32" s="71"/>
      <c r="BC32" s="71"/>
      <c r="BD32" s="71"/>
      <c r="BE32" s="71"/>
      <c r="BF32" s="71"/>
      <c r="BG32" s="71"/>
      <c r="BH32" s="71"/>
      <c r="BI32" s="71"/>
      <c r="BJ32" s="71"/>
      <c r="BK32" s="71"/>
      <c r="BL32" s="71"/>
      <c r="BM32" s="71"/>
      <c r="BN32" s="71"/>
    </row>
    <row r="33" spans="1:66">
      <c r="B33" s="3220" t="s">
        <v>2420</v>
      </c>
      <c r="C33" s="3220"/>
      <c r="D33" s="1449"/>
      <c r="E33" s="170"/>
      <c r="F33" s="170"/>
      <c r="G33" s="170"/>
      <c r="H33" s="170"/>
      <c r="I33" s="170"/>
      <c r="J33" s="170"/>
      <c r="K33" s="170"/>
      <c r="L33" s="170"/>
      <c r="M33" s="170"/>
      <c r="N33" s="170"/>
      <c r="O33" s="131"/>
      <c r="P33" s="131"/>
      <c r="AA33" s="211"/>
      <c r="AC33" s="132"/>
      <c r="AD33" s="124"/>
      <c r="AE33" s="172"/>
      <c r="AF33" s="172"/>
      <c r="AH33" s="124"/>
    </row>
    <row r="34" spans="1:66">
      <c r="B34" s="146"/>
      <c r="C34" s="147"/>
      <c r="D34" s="147"/>
      <c r="E34" s="170"/>
      <c r="F34" s="170"/>
      <c r="G34" s="170"/>
      <c r="H34" s="170"/>
      <c r="I34" s="170"/>
      <c r="J34" s="170"/>
      <c r="K34" s="170"/>
      <c r="L34" s="170"/>
      <c r="M34" s="170"/>
      <c r="N34" s="170"/>
      <c r="O34" s="131"/>
      <c r="P34" s="131"/>
      <c r="S34" s="131"/>
      <c r="T34" s="124"/>
      <c r="AA34" s="211"/>
      <c r="AB34" s="124"/>
      <c r="AC34" s="132"/>
      <c r="AD34" s="124"/>
      <c r="AE34" s="172"/>
      <c r="AF34" s="172"/>
      <c r="AH34" s="124"/>
      <c r="BA34" s="8"/>
      <c r="BB34" s="8"/>
      <c r="BC34" s="8"/>
      <c r="BD34" s="8"/>
      <c r="BE34" s="8"/>
      <c r="BF34" s="8"/>
      <c r="BG34" s="8"/>
      <c r="BH34" s="8"/>
      <c r="BI34" s="8"/>
      <c r="BJ34" s="8"/>
      <c r="BK34" s="8"/>
      <c r="BL34" s="8"/>
      <c r="BM34" s="8"/>
      <c r="BN34" s="8"/>
    </row>
    <row r="35" spans="1:66">
      <c r="B35" s="25"/>
      <c r="C35" s="148" t="s">
        <v>2421</v>
      </c>
      <c r="D35" s="148"/>
      <c r="E35" s="170"/>
      <c r="F35" s="170"/>
      <c r="G35" s="170"/>
      <c r="H35" s="170"/>
      <c r="I35" s="170"/>
      <c r="J35" s="170"/>
      <c r="K35" s="170"/>
      <c r="L35" s="170"/>
      <c r="M35" s="170"/>
      <c r="N35" s="170"/>
      <c r="O35" s="131"/>
      <c r="P35" s="131"/>
      <c r="AA35" s="211"/>
      <c r="AC35" s="132"/>
      <c r="AD35" s="124"/>
      <c r="AE35" s="172"/>
      <c r="AF35" s="172"/>
      <c r="AH35" s="124"/>
      <c r="BA35" s="8"/>
      <c r="BB35" s="8"/>
      <c r="BC35" s="8"/>
      <c r="BD35" s="8"/>
      <c r="BE35" s="8"/>
      <c r="BF35" s="8"/>
      <c r="BG35" s="8"/>
      <c r="BH35" s="8"/>
      <c r="BI35" s="8"/>
      <c r="BJ35" s="8"/>
      <c r="BK35" s="8"/>
      <c r="BL35" s="8"/>
      <c r="BM35" s="8"/>
      <c r="BN35" s="8"/>
    </row>
    <row r="36" spans="1:66">
      <c r="B36" s="146"/>
      <c r="C36" s="147"/>
      <c r="D36" s="147"/>
      <c r="E36" s="170"/>
      <c r="F36" s="170"/>
      <c r="G36" s="170"/>
      <c r="H36" s="170"/>
      <c r="I36" s="170"/>
      <c r="J36" s="170"/>
      <c r="K36" s="170"/>
      <c r="L36" s="170"/>
      <c r="M36" s="170"/>
      <c r="N36" s="170"/>
      <c r="O36" s="131"/>
      <c r="P36" s="131"/>
      <c r="S36" s="131"/>
      <c r="T36" s="124"/>
      <c r="AA36" s="211"/>
      <c r="AB36" s="124"/>
      <c r="AC36" s="132"/>
      <c r="AD36" s="124"/>
      <c r="AE36" s="172"/>
      <c r="AF36" s="172"/>
      <c r="AH36" s="124"/>
      <c r="BA36" s="8"/>
      <c r="BB36" s="8"/>
      <c r="BC36" s="8"/>
      <c r="BD36" s="8"/>
      <c r="BE36" s="8"/>
      <c r="BF36" s="8"/>
      <c r="BG36" s="8"/>
      <c r="BH36" s="8"/>
      <c r="BI36" s="8"/>
      <c r="BJ36" s="8"/>
      <c r="BK36" s="8"/>
      <c r="BL36" s="8"/>
      <c r="BM36" s="8"/>
      <c r="BN36" s="8"/>
    </row>
    <row r="37" spans="1:66">
      <c r="B37" s="149"/>
      <c r="C37" s="148" t="s">
        <v>2422</v>
      </c>
      <c r="D37" s="148"/>
      <c r="E37" s="170"/>
      <c r="F37" s="170"/>
      <c r="G37" s="170"/>
      <c r="H37" s="170"/>
      <c r="I37" s="170"/>
      <c r="J37" s="170"/>
      <c r="K37" s="170"/>
      <c r="L37" s="170"/>
      <c r="M37" s="170"/>
      <c r="N37" s="170"/>
      <c r="O37" s="131"/>
      <c r="P37" s="131"/>
      <c r="S37" s="131"/>
      <c r="T37" s="124"/>
      <c r="AA37" s="211"/>
      <c r="AB37" s="124"/>
      <c r="AC37" s="132"/>
      <c r="AD37" s="124"/>
      <c r="AE37" s="172"/>
      <c r="AF37" s="172"/>
      <c r="AH37" s="124"/>
      <c r="BA37" s="8"/>
      <c r="BB37" s="8"/>
      <c r="BC37" s="8"/>
      <c r="BD37" s="8"/>
      <c r="BE37" s="8"/>
      <c r="BF37" s="8"/>
      <c r="BG37" s="8"/>
      <c r="BH37" s="8"/>
      <c r="BI37" s="8"/>
      <c r="BJ37" s="8"/>
      <c r="BK37" s="8"/>
      <c r="BL37" s="8"/>
      <c r="BM37" s="8"/>
      <c r="BN37" s="8"/>
    </row>
    <row r="38" spans="1:66">
      <c r="B38" s="150"/>
      <c r="C38" s="148"/>
      <c r="D38" s="148"/>
      <c r="E38" s="170"/>
      <c r="F38" s="170"/>
      <c r="G38" s="170"/>
      <c r="H38" s="170"/>
      <c r="I38" s="170"/>
      <c r="J38" s="170"/>
      <c r="K38" s="170"/>
      <c r="L38" s="170"/>
      <c r="M38" s="170"/>
      <c r="N38" s="170"/>
      <c r="O38" s="131"/>
      <c r="P38" s="131"/>
      <c r="S38" s="131"/>
      <c r="T38" s="124"/>
      <c r="AA38" s="211"/>
      <c r="AB38" s="124"/>
      <c r="AC38" s="132"/>
      <c r="AD38" s="124"/>
      <c r="AE38" s="172"/>
      <c r="AF38" s="172"/>
      <c r="AH38" s="124"/>
      <c r="BA38" s="8"/>
      <c r="BB38" s="8"/>
      <c r="BC38" s="8"/>
      <c r="BD38" s="8"/>
      <c r="BE38" s="8"/>
      <c r="BF38" s="8"/>
      <c r="BG38" s="8"/>
      <c r="BH38" s="8"/>
      <c r="BI38" s="8"/>
      <c r="BJ38" s="8"/>
      <c r="BK38" s="8"/>
      <c r="BL38" s="8"/>
      <c r="BM38" s="8"/>
      <c r="BN38" s="8"/>
    </row>
    <row r="39" spans="1:66" ht="15" thickBot="1">
      <c r="B39" s="185"/>
      <c r="C39" s="186"/>
      <c r="D39" s="186"/>
      <c r="E39" s="185"/>
      <c r="F39" s="185"/>
      <c r="G39" s="185"/>
      <c r="H39" s="185"/>
      <c r="I39" s="185"/>
      <c r="J39" s="185"/>
      <c r="K39" s="185"/>
      <c r="L39" s="185"/>
      <c r="M39" s="185"/>
      <c r="N39" s="185"/>
      <c r="O39" s="135"/>
      <c r="P39" s="131"/>
      <c r="S39" s="131"/>
      <c r="T39" s="124"/>
      <c r="AA39" s="211"/>
      <c r="AB39" s="124"/>
      <c r="AC39" s="132"/>
      <c r="AD39" s="124"/>
      <c r="AE39" s="172"/>
      <c r="AF39" s="172"/>
      <c r="AH39" s="124"/>
      <c r="BA39" s="8"/>
      <c r="BB39" s="8"/>
      <c r="BC39" s="8"/>
      <c r="BD39" s="8"/>
      <c r="BE39" s="8"/>
      <c r="BF39" s="8"/>
      <c r="BG39" s="8"/>
      <c r="BH39" s="8"/>
      <c r="BI39" s="8"/>
      <c r="BJ39" s="8"/>
      <c r="BK39" s="8"/>
      <c r="BL39" s="8"/>
      <c r="BM39" s="8"/>
      <c r="BN39" s="8"/>
    </row>
    <row r="40" spans="1:66" s="496" customFormat="1" ht="20.65" customHeight="1" thickBot="1">
      <c r="B40" s="1433" t="s">
        <v>12572</v>
      </c>
      <c r="C40" s="153"/>
      <c r="D40" s="153"/>
      <c r="E40" s="153"/>
      <c r="F40" s="153"/>
      <c r="G40" s="153"/>
      <c r="H40" s="153"/>
      <c r="I40" s="153"/>
      <c r="J40" s="153"/>
      <c r="K40" s="153"/>
      <c r="L40" s="153"/>
      <c r="M40" s="153"/>
      <c r="N40" s="153"/>
      <c r="O40" s="159"/>
      <c r="P40" s="131"/>
      <c r="Q40" s="71"/>
      <c r="R40" s="71"/>
      <c r="S40" s="131"/>
      <c r="T40" s="124"/>
      <c r="U40" s="71"/>
      <c r="V40" s="71"/>
      <c r="W40" s="71"/>
      <c r="X40" s="71"/>
      <c r="Y40" s="71"/>
      <c r="Z40" s="71"/>
      <c r="AA40" s="211"/>
      <c r="AB40" s="124"/>
      <c r="AC40" s="132"/>
      <c r="AD40" s="124"/>
      <c r="AE40" s="172"/>
      <c r="AF40" s="172"/>
      <c r="AG40" s="75"/>
      <c r="AH40" s="124"/>
    </row>
    <row r="41" spans="1:66" s="496" customFormat="1">
      <c r="B41" s="185"/>
      <c r="C41" s="186"/>
      <c r="D41" s="186"/>
      <c r="E41" s="185"/>
      <c r="F41" s="185"/>
      <c r="G41" s="185"/>
      <c r="H41" s="185"/>
      <c r="I41" s="185"/>
      <c r="J41" s="185"/>
      <c r="K41" s="185"/>
      <c r="L41" s="185"/>
      <c r="M41" s="185"/>
      <c r="N41" s="185"/>
      <c r="O41" s="135"/>
      <c r="P41" s="131"/>
      <c r="Q41" s="71"/>
      <c r="R41" s="71"/>
      <c r="S41" s="131"/>
      <c r="T41" s="124"/>
      <c r="U41" s="71"/>
      <c r="V41" s="71"/>
      <c r="W41" s="71"/>
      <c r="X41" s="71"/>
      <c r="Y41" s="71"/>
      <c r="Z41" s="71"/>
      <c r="AA41" s="211"/>
      <c r="AB41" s="124"/>
      <c r="AC41" s="132"/>
      <c r="AD41" s="124"/>
      <c r="AE41" s="172"/>
      <c r="AF41" s="172"/>
      <c r="AG41" s="75"/>
      <c r="AH41" s="124"/>
    </row>
    <row r="42" spans="1:66" ht="19.5" hidden="1" thickBot="1">
      <c r="A42" s="1649"/>
      <c r="B42" s="151" t="str">
        <f ca="1" xml:space="preserve"> RIGHT(CELL("filename", $A$1), LEN(CELL("filename", $A$1)) - SEARCH("]", CELL("filename", $A$1)))&amp;" - Line definitions"</f>
        <v>4F - Line definitions</v>
      </c>
      <c r="C42" s="152"/>
      <c r="D42" s="152"/>
      <c r="E42" s="153"/>
      <c r="F42" s="153"/>
      <c r="G42" s="153"/>
      <c r="H42" s="153"/>
      <c r="I42" s="153"/>
      <c r="J42" s="153"/>
      <c r="K42" s="153"/>
      <c r="L42" s="153"/>
      <c r="M42" s="153"/>
      <c r="N42" s="153"/>
      <c r="O42" s="159"/>
      <c r="P42" s="131"/>
      <c r="S42" s="123"/>
      <c r="T42" s="129"/>
      <c r="U42" s="211"/>
      <c r="V42" s="211"/>
      <c r="W42" s="211"/>
      <c r="X42" s="211"/>
      <c r="Y42" s="211"/>
      <c r="Z42" s="211"/>
      <c r="AA42" s="211"/>
      <c r="AB42" s="129"/>
      <c r="AC42" s="86"/>
      <c r="AD42" s="129"/>
      <c r="AH42" s="129"/>
      <c r="BA42" s="8"/>
      <c r="BB42" s="8"/>
      <c r="BC42" s="8"/>
      <c r="BD42" s="8"/>
      <c r="BE42" s="8"/>
      <c r="BF42" s="8"/>
      <c r="BG42" s="8"/>
      <c r="BH42" s="8"/>
      <c r="BI42" s="8"/>
      <c r="BJ42" s="8"/>
      <c r="BK42" s="8"/>
      <c r="BL42" s="8"/>
      <c r="BM42" s="8"/>
      <c r="BN42" s="8"/>
    </row>
    <row r="43" spans="1:66" ht="15" hidden="1" thickBot="1">
      <c r="A43" s="1649"/>
      <c r="B43" s="75"/>
      <c r="C43" s="160"/>
      <c r="D43" s="160"/>
      <c r="E43" s="75"/>
      <c r="F43" s="75"/>
      <c r="G43" s="75"/>
      <c r="H43" s="75"/>
      <c r="I43" s="75"/>
      <c r="J43" s="75"/>
      <c r="K43" s="75"/>
      <c r="L43" s="75"/>
      <c r="M43" s="75"/>
      <c r="N43" s="75"/>
      <c r="O43" s="123"/>
      <c r="P43" s="131"/>
      <c r="S43" s="123"/>
      <c r="T43" s="129"/>
      <c r="U43" s="211"/>
      <c r="V43" s="211"/>
      <c r="W43" s="211"/>
      <c r="X43" s="211"/>
      <c r="Y43" s="211"/>
      <c r="Z43" s="211"/>
      <c r="AA43" s="211"/>
      <c r="AB43" s="129"/>
      <c r="AC43" s="86"/>
      <c r="AD43" s="129"/>
      <c r="AH43" s="129"/>
      <c r="BA43" s="8"/>
      <c r="BB43" s="8"/>
      <c r="BC43" s="8"/>
      <c r="BD43" s="8"/>
      <c r="BE43" s="8"/>
      <c r="BF43" s="8"/>
      <c r="BG43" s="8"/>
      <c r="BH43" s="8"/>
      <c r="BI43" s="8"/>
      <c r="BJ43" s="8"/>
      <c r="BK43" s="8"/>
      <c r="BL43" s="8"/>
      <c r="BM43" s="8"/>
      <c r="BN43" s="8"/>
    </row>
    <row r="44" spans="1:66" ht="15" hidden="1" thickBot="1">
      <c r="A44" s="1649"/>
      <c r="B44" s="161" t="s">
        <v>2423</v>
      </c>
      <c r="C44" s="3395" t="s">
        <v>2779</v>
      </c>
      <c r="D44" s="3395"/>
      <c r="E44" s="3395"/>
      <c r="F44" s="3395"/>
      <c r="G44" s="3395"/>
      <c r="H44" s="3397"/>
      <c r="I44" s="3428" t="s">
        <v>3167</v>
      </c>
      <c r="J44" s="3395"/>
      <c r="K44" s="3395"/>
      <c r="L44" s="3395"/>
      <c r="M44" s="3395"/>
      <c r="N44" s="3395"/>
      <c r="O44" s="3397"/>
      <c r="P44" s="131"/>
      <c r="S44" s="123"/>
      <c r="T44" s="129"/>
      <c r="U44" s="90" t="s">
        <v>2425</v>
      </c>
      <c r="V44" s="211"/>
      <c r="W44" s="211"/>
      <c r="X44" s="211"/>
      <c r="Y44" s="211"/>
      <c r="Z44" s="211"/>
      <c r="AA44" s="211"/>
      <c r="AB44" s="129"/>
      <c r="AC44" s="8"/>
      <c r="AD44" s="129"/>
      <c r="AH44" s="129"/>
      <c r="BA44" s="8"/>
      <c r="BB44" s="8"/>
      <c r="BC44" s="8"/>
      <c r="BD44" s="8"/>
      <c r="BE44" s="8"/>
      <c r="BF44" s="8"/>
      <c r="BG44" s="8"/>
      <c r="BH44" s="8"/>
      <c r="BI44" s="8"/>
      <c r="BJ44" s="8"/>
      <c r="BK44" s="8"/>
      <c r="BL44" s="8"/>
      <c r="BM44" s="8"/>
      <c r="BN44" s="8"/>
    </row>
    <row r="45" spans="1:66" ht="46.5" hidden="1" customHeight="1">
      <c r="A45" s="1649"/>
      <c r="B45" s="188" t="str">
        <f t="shared" ref="B45:B50" si="38">B7</f>
        <v>4F.1</v>
      </c>
      <c r="C45" s="3216" t="s">
        <v>3885</v>
      </c>
      <c r="D45" s="3216"/>
      <c r="E45" s="3216"/>
      <c r="F45" s="3216"/>
      <c r="G45" s="3216"/>
      <c r="H45" s="3216"/>
      <c r="I45" s="3216" t="s">
        <v>3886</v>
      </c>
      <c r="J45" s="3216"/>
      <c r="K45" s="3216"/>
      <c r="L45" s="3216"/>
      <c r="M45" s="3216"/>
      <c r="N45" s="3216"/>
      <c r="O45" s="3217"/>
      <c r="P45" s="131"/>
      <c r="U45" s="210" t="s">
        <v>2432</v>
      </c>
      <c r="V45" s="211"/>
      <c r="W45" s="211"/>
      <c r="X45" s="211"/>
      <c r="Y45" s="211"/>
      <c r="Z45" s="211"/>
      <c r="AA45" s="211"/>
      <c r="AC45" s="115"/>
      <c r="AD45" s="129"/>
      <c r="AH45" s="129"/>
      <c r="BA45" s="8"/>
      <c r="BB45" s="8"/>
      <c r="BC45" s="8"/>
      <c r="BD45" s="8"/>
      <c r="BE45" s="8"/>
      <c r="BF45" s="8"/>
      <c r="BG45" s="8"/>
      <c r="BH45" s="8"/>
      <c r="BI45" s="8"/>
      <c r="BJ45" s="8"/>
      <c r="BK45" s="8"/>
      <c r="BL45" s="8"/>
      <c r="BM45" s="8"/>
      <c r="BN45" s="8"/>
    </row>
    <row r="46" spans="1:66" ht="46.5" hidden="1" customHeight="1">
      <c r="A46" s="1649"/>
      <c r="B46" s="166" t="str">
        <f t="shared" si="38"/>
        <v>4F.2</v>
      </c>
      <c r="C46" s="3198" t="s">
        <v>3887</v>
      </c>
      <c r="D46" s="3198"/>
      <c r="E46" s="3198"/>
      <c r="F46" s="3198"/>
      <c r="G46" s="3198"/>
      <c r="H46" s="3198"/>
      <c r="I46" s="3198" t="s">
        <v>3888</v>
      </c>
      <c r="J46" s="3198"/>
      <c r="K46" s="3198"/>
      <c r="L46" s="3198"/>
      <c r="M46" s="3198"/>
      <c r="N46" s="3198"/>
      <c r="O46" s="3199"/>
      <c r="P46" s="131"/>
      <c r="U46" s="210" t="s">
        <v>2432</v>
      </c>
      <c r="V46" s="211"/>
      <c r="W46" s="211"/>
      <c r="X46" s="211"/>
      <c r="Y46" s="211"/>
      <c r="Z46" s="211"/>
      <c r="AA46" s="211"/>
      <c r="AD46" s="129"/>
      <c r="AH46" s="129"/>
      <c r="BA46" s="8"/>
      <c r="BB46" s="8"/>
      <c r="BC46" s="8"/>
      <c r="BD46" s="8"/>
      <c r="BE46" s="8"/>
      <c r="BF46" s="8"/>
      <c r="BG46" s="8"/>
      <c r="BH46" s="8"/>
      <c r="BI46" s="8"/>
      <c r="BJ46" s="8"/>
      <c r="BK46" s="8"/>
      <c r="BL46" s="8"/>
      <c r="BM46" s="8"/>
      <c r="BN46" s="8"/>
    </row>
    <row r="47" spans="1:66" ht="23.25" hidden="1" customHeight="1">
      <c r="A47" s="1649"/>
      <c r="B47" s="166" t="str">
        <f t="shared" si="38"/>
        <v>4F.3</v>
      </c>
      <c r="C47" s="3198" t="s">
        <v>3889</v>
      </c>
      <c r="D47" s="3198"/>
      <c r="E47" s="3198"/>
      <c r="F47" s="3198"/>
      <c r="G47" s="3198"/>
      <c r="H47" s="3198"/>
      <c r="I47" s="3198" t="s">
        <v>3890</v>
      </c>
      <c r="J47" s="3198"/>
      <c r="K47" s="3198"/>
      <c r="L47" s="3198"/>
      <c r="M47" s="3198"/>
      <c r="N47" s="3198"/>
      <c r="O47" s="3199"/>
      <c r="P47" s="135"/>
      <c r="Q47" s="135"/>
      <c r="U47" s="210" t="s">
        <v>2428</v>
      </c>
      <c r="V47" s="211"/>
      <c r="W47" s="211"/>
      <c r="X47" s="211"/>
      <c r="Y47" s="211"/>
      <c r="Z47" s="211"/>
      <c r="AA47" s="211"/>
      <c r="AD47" s="129"/>
      <c r="AH47" s="129"/>
      <c r="BA47" s="8"/>
      <c r="BB47" s="8"/>
      <c r="BC47" s="8"/>
      <c r="BD47" s="8"/>
      <c r="BE47" s="8"/>
      <c r="BF47" s="8"/>
      <c r="BG47" s="8"/>
      <c r="BH47" s="8"/>
      <c r="BI47" s="8"/>
      <c r="BJ47" s="8"/>
      <c r="BK47" s="8"/>
      <c r="BL47" s="8"/>
      <c r="BM47" s="8"/>
      <c r="BN47" s="8"/>
    </row>
    <row r="48" spans="1:66" ht="35.25" hidden="1" customHeight="1">
      <c r="A48" s="1649"/>
      <c r="B48" s="166" t="str">
        <f t="shared" si="38"/>
        <v>4F.4</v>
      </c>
      <c r="C48" s="3198" t="s">
        <v>2780</v>
      </c>
      <c r="D48" s="3198"/>
      <c r="E48" s="3198"/>
      <c r="F48" s="3198"/>
      <c r="G48" s="3198"/>
      <c r="H48" s="3198"/>
      <c r="I48" s="3198" t="s">
        <v>3891</v>
      </c>
      <c r="J48" s="3198"/>
      <c r="K48" s="3198"/>
      <c r="L48" s="3198"/>
      <c r="M48" s="3198"/>
      <c r="N48" s="3198"/>
      <c r="O48" s="3199"/>
      <c r="P48" s="135"/>
      <c r="Q48" s="135"/>
      <c r="U48" s="210" t="s">
        <v>2426</v>
      </c>
      <c r="V48" s="211"/>
      <c r="W48" s="211"/>
      <c r="X48" s="211"/>
      <c r="Y48" s="211"/>
      <c r="Z48" s="211"/>
      <c r="AA48" s="211"/>
      <c r="AD48" s="129"/>
      <c r="AE48" s="71"/>
      <c r="AF48" s="71"/>
      <c r="AG48" s="71"/>
      <c r="AH48" s="129"/>
      <c r="BA48" s="8"/>
      <c r="BB48" s="8"/>
      <c r="BC48" s="8"/>
      <c r="BD48" s="8"/>
      <c r="BE48" s="8"/>
      <c r="BF48" s="8"/>
      <c r="BG48" s="8"/>
      <c r="BH48" s="8"/>
      <c r="BI48" s="8"/>
      <c r="BJ48" s="8"/>
      <c r="BK48" s="8"/>
      <c r="BL48" s="8"/>
      <c r="BM48" s="8"/>
      <c r="BN48" s="8"/>
    </row>
    <row r="49" spans="1:66" ht="35.25" hidden="1" customHeight="1">
      <c r="A49" s="1649"/>
      <c r="B49" s="166" t="str">
        <f t="shared" si="38"/>
        <v>4F.5</v>
      </c>
      <c r="C49" s="3198" t="s">
        <v>3892</v>
      </c>
      <c r="D49" s="3198"/>
      <c r="E49" s="3198"/>
      <c r="F49" s="3198"/>
      <c r="G49" s="3198"/>
      <c r="H49" s="3198"/>
      <c r="I49" s="3198" t="s">
        <v>3893</v>
      </c>
      <c r="J49" s="3198"/>
      <c r="K49" s="3198"/>
      <c r="L49" s="3198"/>
      <c r="M49" s="3198"/>
      <c r="N49" s="3198"/>
      <c r="O49" s="3199"/>
      <c r="P49" s="135"/>
      <c r="Q49" s="135"/>
      <c r="U49" s="210" t="s">
        <v>2426</v>
      </c>
      <c r="V49" s="211"/>
      <c r="W49" s="211"/>
      <c r="X49" s="211"/>
      <c r="Y49" s="211"/>
      <c r="Z49" s="211"/>
      <c r="AA49" s="211"/>
      <c r="AD49" s="129"/>
      <c r="AE49" s="170"/>
      <c r="AF49" s="170"/>
      <c r="AG49" s="170"/>
      <c r="AH49" s="129"/>
      <c r="BA49" s="8"/>
      <c r="BB49" s="8"/>
      <c r="BC49" s="8"/>
      <c r="BD49" s="8"/>
      <c r="BE49" s="8"/>
      <c r="BF49" s="8"/>
      <c r="BG49" s="8"/>
      <c r="BH49" s="8"/>
      <c r="BI49" s="8"/>
      <c r="BJ49" s="8"/>
      <c r="BK49" s="8"/>
      <c r="BL49" s="8"/>
      <c r="BM49" s="8"/>
      <c r="BN49" s="8"/>
    </row>
    <row r="50" spans="1:66" ht="35.25" hidden="1" customHeight="1">
      <c r="A50" s="1649"/>
      <c r="B50" s="166" t="str">
        <f t="shared" si="38"/>
        <v>4F.6</v>
      </c>
      <c r="C50" s="3198" t="s">
        <v>3894</v>
      </c>
      <c r="D50" s="3198"/>
      <c r="E50" s="3198"/>
      <c r="F50" s="3198"/>
      <c r="G50" s="3198"/>
      <c r="H50" s="3198"/>
      <c r="I50" s="3198" t="s">
        <v>3895</v>
      </c>
      <c r="J50" s="3198"/>
      <c r="K50" s="3198"/>
      <c r="L50" s="3198"/>
      <c r="M50" s="3198"/>
      <c r="N50" s="3198"/>
      <c r="O50" s="3199"/>
      <c r="P50" s="135"/>
      <c r="Q50" s="135"/>
      <c r="S50" s="123"/>
      <c r="T50" s="129"/>
      <c r="U50" s="210" t="s">
        <v>2426</v>
      </c>
      <c r="V50" s="211"/>
      <c r="W50" s="211"/>
      <c r="X50" s="211"/>
      <c r="Y50" s="211"/>
      <c r="Z50" s="211"/>
      <c r="AA50" s="211"/>
      <c r="AB50" s="129"/>
      <c r="AD50" s="129"/>
      <c r="AE50" s="170"/>
      <c r="AF50" s="170"/>
      <c r="AG50" s="170"/>
      <c r="AH50" s="129"/>
      <c r="BA50" s="8"/>
      <c r="BB50" s="8"/>
      <c r="BC50" s="8"/>
      <c r="BD50" s="8"/>
      <c r="BE50" s="8"/>
      <c r="BF50" s="8"/>
      <c r="BG50" s="8"/>
      <c r="BH50" s="8"/>
      <c r="BI50" s="8"/>
      <c r="BJ50" s="8"/>
      <c r="BK50" s="8"/>
      <c r="BL50" s="8"/>
      <c r="BM50" s="8"/>
      <c r="BN50" s="8"/>
    </row>
    <row r="51" spans="1:66" s="496" customFormat="1" ht="13.5" hidden="1" customHeight="1">
      <c r="A51" s="1649"/>
      <c r="B51" s="166" t="str">
        <f>B14</f>
        <v>4F.7</v>
      </c>
      <c r="C51" s="3198" t="s">
        <v>3717</v>
      </c>
      <c r="D51" s="3198"/>
      <c r="E51" s="3198"/>
      <c r="F51" s="3198"/>
      <c r="G51" s="3198"/>
      <c r="H51" s="3198"/>
      <c r="I51" s="3198" t="s">
        <v>3718</v>
      </c>
      <c r="J51" s="3198"/>
      <c r="K51" s="3198"/>
      <c r="L51" s="3198"/>
      <c r="M51" s="3198"/>
      <c r="N51" s="3198"/>
      <c r="O51" s="3199"/>
      <c r="P51" s="135"/>
      <c r="Q51" s="135"/>
      <c r="R51" s="71"/>
      <c r="S51" s="123"/>
      <c r="T51" s="129"/>
      <c r="U51" s="210">
        <v>1</v>
      </c>
      <c r="V51" s="211"/>
      <c r="W51" s="211"/>
      <c r="X51" s="211"/>
      <c r="Y51" s="211"/>
      <c r="Z51" s="211"/>
      <c r="AA51" s="211"/>
      <c r="AB51" s="129"/>
      <c r="AC51" s="75"/>
      <c r="AD51" s="129"/>
      <c r="AE51" s="170"/>
      <c r="AF51" s="170"/>
      <c r="AG51" s="170"/>
      <c r="AH51" s="129"/>
    </row>
    <row r="52" spans="1:66" s="496" customFormat="1" ht="23.25" hidden="1" customHeight="1">
      <c r="A52" s="1649"/>
      <c r="B52" s="166" t="str">
        <f>B15</f>
        <v>4F.8</v>
      </c>
      <c r="C52" s="3198" t="s">
        <v>3719</v>
      </c>
      <c r="D52" s="3198"/>
      <c r="E52" s="3198"/>
      <c r="F52" s="3198"/>
      <c r="G52" s="3198"/>
      <c r="H52" s="3198"/>
      <c r="I52" s="3198" t="s">
        <v>3720</v>
      </c>
      <c r="J52" s="3198"/>
      <c r="K52" s="3198"/>
      <c r="L52" s="3198"/>
      <c r="M52" s="3198"/>
      <c r="N52" s="3198"/>
      <c r="O52" s="3199"/>
      <c r="P52" s="135"/>
      <c r="Q52" s="135"/>
      <c r="R52" s="71"/>
      <c r="S52" s="123"/>
      <c r="T52" s="129"/>
      <c r="U52" s="210" t="s">
        <v>2428</v>
      </c>
      <c r="V52" s="211"/>
      <c r="W52" s="211"/>
      <c r="X52" s="211"/>
      <c r="Y52" s="211"/>
      <c r="Z52" s="211"/>
      <c r="AA52" s="211"/>
      <c r="AB52" s="129"/>
      <c r="AC52" s="75"/>
      <c r="AD52" s="129"/>
      <c r="AE52" s="170"/>
      <c r="AF52" s="170"/>
      <c r="AG52" s="170"/>
      <c r="AH52" s="129"/>
    </row>
    <row r="53" spans="1:66" s="496" customFormat="1" ht="35.25" hidden="1" customHeight="1">
      <c r="A53" s="1649"/>
      <c r="B53" s="166" t="str">
        <f t="shared" ref="B53:B54" si="39">B17</f>
        <v>4F.9</v>
      </c>
      <c r="C53" s="3198" t="s">
        <v>3897</v>
      </c>
      <c r="D53" s="3198"/>
      <c r="E53" s="3198"/>
      <c r="F53" s="3198"/>
      <c r="G53" s="3198"/>
      <c r="H53" s="3198"/>
      <c r="I53" s="3198" t="s">
        <v>3896</v>
      </c>
      <c r="J53" s="3198"/>
      <c r="K53" s="3198"/>
      <c r="L53" s="3198"/>
      <c r="M53" s="3198"/>
      <c r="N53" s="3198"/>
      <c r="O53" s="3199"/>
      <c r="P53" s="135"/>
      <c r="Q53" s="135"/>
      <c r="R53" s="71"/>
      <c r="S53" s="123"/>
      <c r="T53" s="129"/>
      <c r="U53" s="210" t="s">
        <v>2426</v>
      </c>
      <c r="V53" s="211"/>
      <c r="W53" s="211"/>
      <c r="X53" s="211"/>
      <c r="Y53" s="211"/>
      <c r="Z53" s="211"/>
      <c r="AA53" s="211"/>
      <c r="AB53" s="129"/>
      <c r="AC53" s="75"/>
      <c r="AD53" s="129"/>
      <c r="AE53" s="170"/>
      <c r="AF53" s="170"/>
      <c r="AG53" s="170"/>
      <c r="AH53" s="129"/>
    </row>
    <row r="54" spans="1:66" s="496" customFormat="1" ht="45.75" hidden="1" customHeight="1">
      <c r="A54" s="1649"/>
      <c r="B54" s="166" t="str">
        <f t="shared" si="39"/>
        <v>4F.10</v>
      </c>
      <c r="C54" s="3198" t="s">
        <v>3898</v>
      </c>
      <c r="D54" s="3198"/>
      <c r="E54" s="3198"/>
      <c r="F54" s="3198"/>
      <c r="G54" s="3198"/>
      <c r="H54" s="3198"/>
      <c r="I54" s="3198" t="s">
        <v>3899</v>
      </c>
      <c r="J54" s="3198"/>
      <c r="K54" s="3198"/>
      <c r="L54" s="3198"/>
      <c r="M54" s="3198"/>
      <c r="N54" s="3198"/>
      <c r="O54" s="3199"/>
      <c r="P54" s="135"/>
      <c r="Q54" s="135"/>
      <c r="R54" s="71"/>
      <c r="S54" s="123"/>
      <c r="T54" s="129"/>
      <c r="U54" s="210"/>
      <c r="V54" s="211"/>
      <c r="W54" s="211"/>
      <c r="X54" s="211"/>
      <c r="Y54" s="211"/>
      <c r="Z54" s="211"/>
      <c r="AA54" s="211"/>
      <c r="AB54" s="129"/>
      <c r="AC54" s="75"/>
      <c r="AD54" s="129"/>
      <c r="AE54" s="170"/>
      <c r="AF54" s="170"/>
      <c r="AG54" s="170"/>
      <c r="AH54" s="129"/>
    </row>
    <row r="55" spans="1:66" ht="35.25" hidden="1" customHeight="1">
      <c r="A55" s="1649"/>
      <c r="B55" s="166" t="str">
        <f>B19</f>
        <v>4F.11</v>
      </c>
      <c r="C55" s="3198" t="s">
        <v>3900</v>
      </c>
      <c r="D55" s="3198"/>
      <c r="E55" s="3198"/>
      <c r="F55" s="3198"/>
      <c r="G55" s="3198"/>
      <c r="H55" s="3198"/>
      <c r="I55" s="3198" t="s">
        <v>3901</v>
      </c>
      <c r="J55" s="3198"/>
      <c r="K55" s="3198"/>
      <c r="L55" s="3198"/>
      <c r="M55" s="3198"/>
      <c r="N55" s="3198"/>
      <c r="O55" s="3199"/>
      <c r="P55" s="135"/>
      <c r="Q55" s="135"/>
      <c r="U55" s="210" t="s">
        <v>2426</v>
      </c>
      <c r="V55" s="211"/>
      <c r="W55" s="211"/>
      <c r="X55" s="211"/>
      <c r="Y55" s="211"/>
      <c r="Z55" s="211"/>
      <c r="AA55" s="211"/>
      <c r="AE55" s="170"/>
      <c r="AF55" s="170"/>
      <c r="AG55" s="170"/>
      <c r="BA55" s="8"/>
      <c r="BB55" s="8"/>
      <c r="BC55" s="8"/>
      <c r="BD55" s="8"/>
      <c r="BE55" s="8"/>
      <c r="BF55" s="8"/>
      <c r="BG55" s="8"/>
      <c r="BH55" s="8"/>
      <c r="BI55" s="8"/>
      <c r="BJ55" s="8"/>
      <c r="BK55" s="8"/>
      <c r="BL55" s="8"/>
      <c r="BM55" s="8"/>
      <c r="BN55" s="8"/>
    </row>
    <row r="56" spans="1:66" s="496" customFormat="1" ht="36" hidden="1" customHeight="1">
      <c r="A56" s="1649"/>
      <c r="B56" s="166" t="str">
        <f>B20</f>
        <v>4F.12</v>
      </c>
      <c r="C56" s="3198" t="s">
        <v>3902</v>
      </c>
      <c r="D56" s="3198"/>
      <c r="E56" s="3198"/>
      <c r="F56" s="3198"/>
      <c r="G56" s="3198"/>
      <c r="H56" s="3198"/>
      <c r="I56" s="3198" t="s">
        <v>3903</v>
      </c>
      <c r="J56" s="3198"/>
      <c r="K56" s="3198"/>
      <c r="L56" s="3198"/>
      <c r="M56" s="3198"/>
      <c r="N56" s="3198"/>
      <c r="O56" s="3199"/>
      <c r="P56" s="135"/>
      <c r="Q56" s="135"/>
      <c r="R56" s="71"/>
      <c r="S56" s="71"/>
      <c r="T56" s="72"/>
      <c r="U56" s="210"/>
      <c r="V56" s="211"/>
      <c r="W56" s="211"/>
      <c r="X56" s="211"/>
      <c r="Y56" s="211"/>
      <c r="Z56" s="211"/>
      <c r="AA56" s="211"/>
      <c r="AB56" s="72"/>
      <c r="AC56" s="75"/>
      <c r="AD56" s="72"/>
      <c r="AE56" s="170"/>
      <c r="AF56" s="170"/>
      <c r="AG56" s="170"/>
      <c r="AH56" s="72"/>
    </row>
    <row r="57" spans="1:66" s="496" customFormat="1" ht="36" hidden="1" customHeight="1">
      <c r="A57" s="1649"/>
      <c r="B57" s="166" t="str">
        <f t="shared" ref="B57" si="40">B21</f>
        <v>4F.13</v>
      </c>
      <c r="C57" s="3198" t="s">
        <v>3904</v>
      </c>
      <c r="D57" s="3198"/>
      <c r="E57" s="3198"/>
      <c r="F57" s="3198"/>
      <c r="G57" s="3198"/>
      <c r="H57" s="3198"/>
      <c r="I57" s="3198" t="s">
        <v>3905</v>
      </c>
      <c r="J57" s="3198"/>
      <c r="K57" s="3198"/>
      <c r="L57" s="3198"/>
      <c r="M57" s="3198"/>
      <c r="N57" s="3198"/>
      <c r="O57" s="3199"/>
      <c r="P57" s="135"/>
      <c r="Q57" s="135"/>
      <c r="R57" s="71"/>
      <c r="S57" s="71"/>
      <c r="T57" s="72"/>
      <c r="U57" s="210" t="s">
        <v>2428</v>
      </c>
      <c r="V57" s="211"/>
      <c r="W57" s="211"/>
      <c r="X57" s="211"/>
      <c r="Y57" s="211"/>
      <c r="Z57" s="211"/>
      <c r="AA57" s="211"/>
      <c r="AB57" s="72"/>
      <c r="AC57" s="75"/>
      <c r="AD57" s="72"/>
      <c r="AE57" s="170"/>
      <c r="AF57" s="170"/>
      <c r="AG57" s="170"/>
      <c r="AH57" s="72"/>
    </row>
    <row r="58" spans="1:66" s="496" customFormat="1" ht="24.75" hidden="1" customHeight="1">
      <c r="A58" s="1649"/>
      <c r="B58" s="166" t="str">
        <f>B23</f>
        <v>4F.14</v>
      </c>
      <c r="C58" s="3198" t="s">
        <v>3906</v>
      </c>
      <c r="D58" s="3198"/>
      <c r="E58" s="3198"/>
      <c r="F58" s="3198"/>
      <c r="G58" s="3198"/>
      <c r="H58" s="3198"/>
      <c r="I58" s="3198" t="s">
        <v>3907</v>
      </c>
      <c r="J58" s="3198"/>
      <c r="K58" s="3198"/>
      <c r="L58" s="3198"/>
      <c r="M58" s="3198"/>
      <c r="N58" s="3198"/>
      <c r="O58" s="3199"/>
      <c r="P58" s="135"/>
      <c r="Q58" s="135"/>
      <c r="R58" s="71"/>
      <c r="S58" s="71"/>
      <c r="T58" s="72"/>
      <c r="U58" s="210"/>
      <c r="V58" s="211"/>
      <c r="W58" s="211"/>
      <c r="X58" s="211"/>
      <c r="Y58" s="211"/>
      <c r="Z58" s="211"/>
      <c r="AA58" s="211"/>
      <c r="AB58" s="72"/>
      <c r="AC58" s="75"/>
      <c r="AD58" s="72"/>
      <c r="AE58" s="170"/>
      <c r="AF58" s="170"/>
      <c r="AG58" s="170"/>
      <c r="AH58" s="72"/>
    </row>
    <row r="59" spans="1:66" s="248" customFormat="1" ht="14.25" hidden="1" customHeight="1" thickBot="1">
      <c r="A59" s="1698"/>
      <c r="B59" s="212"/>
      <c r="C59" s="841"/>
      <c r="D59" s="1463"/>
      <c r="E59" s="841"/>
      <c r="F59" s="841"/>
      <c r="G59" s="841"/>
      <c r="H59" s="841"/>
      <c r="I59" s="841"/>
      <c r="J59" s="841"/>
      <c r="K59" s="841"/>
      <c r="L59" s="841"/>
      <c r="M59" s="841"/>
      <c r="N59" s="841"/>
      <c r="O59" s="841"/>
      <c r="P59" s="648"/>
      <c r="Q59" s="648"/>
      <c r="R59" s="200"/>
      <c r="S59" s="200"/>
      <c r="T59" s="72"/>
      <c r="U59" s="857"/>
      <c r="V59" s="838"/>
      <c r="W59" s="838"/>
      <c r="X59" s="838"/>
      <c r="Y59" s="838"/>
      <c r="Z59" s="838"/>
      <c r="AA59" s="838"/>
      <c r="AB59" s="72"/>
      <c r="AC59" s="75"/>
      <c r="AD59" s="72"/>
      <c r="AE59" s="331"/>
      <c r="AF59" s="331"/>
      <c r="AG59" s="331"/>
      <c r="AH59" s="72"/>
    </row>
    <row r="60" spans="1:66" s="248" customFormat="1" ht="15" hidden="1" thickBot="1">
      <c r="A60" s="1698"/>
      <c r="B60" s="161" t="s">
        <v>2423</v>
      </c>
      <c r="C60" s="3395" t="s">
        <v>2424</v>
      </c>
      <c r="D60" s="3395"/>
      <c r="E60" s="3395"/>
      <c r="F60" s="3395"/>
      <c r="G60" s="3395"/>
      <c r="H60" s="3395"/>
      <c r="I60" s="3395"/>
      <c r="J60" s="3395"/>
      <c r="K60" s="3395"/>
      <c r="L60" s="3395"/>
      <c r="M60" s="3395"/>
      <c r="N60" s="3395"/>
      <c r="O60" s="3397"/>
      <c r="P60" s="648"/>
      <c r="Q60" s="648"/>
      <c r="R60" s="200"/>
      <c r="S60" s="200"/>
      <c r="T60" s="72"/>
      <c r="U60" s="857"/>
      <c r="V60" s="838"/>
      <c r="W60" s="838"/>
      <c r="X60" s="838"/>
      <c r="Y60" s="838"/>
      <c r="Z60" s="838"/>
      <c r="AA60" s="838"/>
      <c r="AB60" s="72"/>
      <c r="AC60" s="75"/>
      <c r="AD60" s="72"/>
      <c r="AE60" s="331"/>
      <c r="AF60" s="331"/>
      <c r="AG60" s="331"/>
      <c r="AH60" s="72"/>
    </row>
    <row r="61" spans="1:66" ht="58.5" hidden="1" customHeight="1">
      <c r="A61" s="1649"/>
      <c r="B61" s="188" t="str">
        <f>B26</f>
        <v>4F.15</v>
      </c>
      <c r="C61" s="3216" t="s">
        <v>3721</v>
      </c>
      <c r="D61" s="3216"/>
      <c r="E61" s="3216"/>
      <c r="F61" s="3216"/>
      <c r="G61" s="3216"/>
      <c r="H61" s="3216"/>
      <c r="I61" s="3216"/>
      <c r="J61" s="3216"/>
      <c r="K61" s="3216"/>
      <c r="L61" s="3216"/>
      <c r="M61" s="3216"/>
      <c r="N61" s="3216"/>
      <c r="O61" s="3217"/>
      <c r="P61" s="135"/>
      <c r="Q61" s="135"/>
      <c r="U61" s="210" t="s">
        <v>2624</v>
      </c>
      <c r="V61" s="211"/>
      <c r="W61" s="211"/>
      <c r="X61" s="211"/>
      <c r="Y61" s="211"/>
      <c r="Z61" s="211"/>
      <c r="AA61" s="211"/>
      <c r="AE61" s="170"/>
      <c r="AF61" s="170"/>
      <c r="AG61" s="170"/>
      <c r="BA61" s="8"/>
      <c r="BB61" s="8"/>
      <c r="BC61" s="8"/>
      <c r="BD61" s="8"/>
      <c r="BE61" s="8"/>
      <c r="BF61" s="8"/>
      <c r="BG61" s="8"/>
      <c r="BH61" s="8"/>
      <c r="BI61" s="8"/>
      <c r="BJ61" s="8"/>
      <c r="BK61" s="8"/>
      <c r="BL61" s="8"/>
      <c r="BM61" s="8"/>
      <c r="BN61" s="8"/>
    </row>
    <row r="62" spans="1:66" ht="13.5" hidden="1" customHeight="1">
      <c r="A62" s="1649"/>
      <c r="B62" s="166" t="str">
        <f t="shared" ref="B62:B66" si="41">B27</f>
        <v>4F.16</v>
      </c>
      <c r="C62" s="3198" t="s">
        <v>3908</v>
      </c>
      <c r="D62" s="3198"/>
      <c r="E62" s="3198"/>
      <c r="F62" s="3198"/>
      <c r="G62" s="3198"/>
      <c r="H62" s="3198"/>
      <c r="I62" s="3198"/>
      <c r="J62" s="3198"/>
      <c r="K62" s="3198"/>
      <c r="L62" s="3198"/>
      <c r="M62" s="3198"/>
      <c r="N62" s="3198"/>
      <c r="O62" s="3199"/>
      <c r="P62" s="135"/>
      <c r="Q62" s="135"/>
      <c r="U62" s="214">
        <v>1</v>
      </c>
      <c r="V62" s="211"/>
      <c r="W62" s="211"/>
      <c r="X62" s="211"/>
      <c r="Y62" s="211"/>
      <c r="Z62" s="211"/>
      <c r="AA62" s="211"/>
      <c r="AE62" s="185"/>
      <c r="AF62" s="185"/>
      <c r="AG62" s="185"/>
      <c r="BA62" s="8"/>
      <c r="BB62" s="8"/>
      <c r="BC62" s="8"/>
      <c r="BD62" s="8"/>
      <c r="BE62" s="8"/>
      <c r="BF62" s="8"/>
      <c r="BG62" s="8"/>
      <c r="BH62" s="8"/>
      <c r="BI62" s="8"/>
      <c r="BJ62" s="8"/>
      <c r="BK62" s="8"/>
      <c r="BL62" s="8"/>
      <c r="BM62" s="8"/>
      <c r="BN62" s="8"/>
    </row>
    <row r="63" spans="1:66" ht="13.5" hidden="1" customHeight="1">
      <c r="A63" s="1649"/>
      <c r="B63" s="166" t="str">
        <f t="shared" si="41"/>
        <v>4F.17</v>
      </c>
      <c r="C63" s="3198" t="s">
        <v>3911</v>
      </c>
      <c r="D63" s="3198"/>
      <c r="E63" s="3198"/>
      <c r="F63" s="3198"/>
      <c r="G63" s="3198"/>
      <c r="H63" s="3198"/>
      <c r="I63" s="3198"/>
      <c r="J63" s="3198"/>
      <c r="K63" s="3198"/>
      <c r="L63" s="3198"/>
      <c r="M63" s="3198"/>
      <c r="N63" s="3198"/>
      <c r="O63" s="3199"/>
      <c r="P63" s="135"/>
      <c r="Q63" s="135"/>
      <c r="U63" s="215">
        <v>1</v>
      </c>
      <c r="V63" s="211"/>
      <c r="W63" s="211"/>
      <c r="X63" s="211"/>
      <c r="Y63" s="211"/>
      <c r="Z63" s="211"/>
      <c r="AA63" s="211"/>
      <c r="AE63" s="185"/>
      <c r="AF63" s="185"/>
      <c r="AG63" s="185"/>
      <c r="BA63" s="8"/>
      <c r="BB63" s="8"/>
      <c r="BC63" s="8"/>
      <c r="BD63" s="8"/>
      <c r="BE63" s="8"/>
      <c r="BF63" s="8"/>
      <c r="BG63" s="8"/>
      <c r="BH63" s="8"/>
      <c r="BI63" s="8"/>
      <c r="BJ63" s="8"/>
      <c r="BK63" s="8"/>
      <c r="BL63" s="8"/>
      <c r="BM63" s="8"/>
      <c r="BN63" s="8"/>
    </row>
    <row r="64" spans="1:66" ht="46.5" hidden="1" customHeight="1">
      <c r="A64" s="1649"/>
      <c r="B64" s="166" t="str">
        <f t="shared" si="41"/>
        <v>4F.18</v>
      </c>
      <c r="C64" s="3198" t="s">
        <v>3722</v>
      </c>
      <c r="D64" s="3198"/>
      <c r="E64" s="3198"/>
      <c r="F64" s="3198"/>
      <c r="G64" s="3198"/>
      <c r="H64" s="3198"/>
      <c r="I64" s="3198"/>
      <c r="J64" s="3198"/>
      <c r="K64" s="3198"/>
      <c r="L64" s="3198"/>
      <c r="M64" s="3198"/>
      <c r="N64" s="3198"/>
      <c r="O64" s="3199"/>
      <c r="P64" s="135"/>
      <c r="Q64" s="135"/>
      <c r="U64" s="210" t="s">
        <v>2432</v>
      </c>
      <c r="V64" s="211"/>
      <c r="W64" s="211"/>
      <c r="X64" s="211"/>
      <c r="Y64" s="211"/>
      <c r="Z64" s="211"/>
      <c r="AA64" s="211"/>
      <c r="AE64" s="115"/>
      <c r="AF64" s="115"/>
      <c r="AG64" s="115"/>
      <c r="BA64" s="8"/>
      <c r="BB64" s="8"/>
      <c r="BC64" s="8"/>
      <c r="BD64" s="8"/>
      <c r="BE64" s="8"/>
      <c r="BF64" s="8"/>
      <c r="BG64" s="8"/>
      <c r="BH64" s="8"/>
      <c r="BI64" s="8"/>
      <c r="BJ64" s="8"/>
      <c r="BK64" s="8"/>
      <c r="BL64" s="8"/>
      <c r="BM64" s="8"/>
      <c r="BN64" s="8"/>
    </row>
    <row r="65" spans="1:66" ht="13.5" hidden="1" customHeight="1">
      <c r="A65" s="1649"/>
      <c r="B65" s="166" t="str">
        <f t="shared" si="41"/>
        <v>4F.19</v>
      </c>
      <c r="C65" s="3198" t="s">
        <v>3909</v>
      </c>
      <c r="D65" s="3198"/>
      <c r="E65" s="3198"/>
      <c r="F65" s="3198"/>
      <c r="G65" s="3198"/>
      <c r="H65" s="3198"/>
      <c r="I65" s="3198"/>
      <c r="J65" s="3198"/>
      <c r="K65" s="3198"/>
      <c r="L65" s="3198"/>
      <c r="M65" s="3198"/>
      <c r="N65" s="3198"/>
      <c r="O65" s="3199"/>
      <c r="P65" s="135"/>
      <c r="Q65" s="135"/>
      <c r="U65" s="214">
        <v>1</v>
      </c>
      <c r="V65" s="211"/>
      <c r="W65" s="211"/>
      <c r="X65" s="211"/>
      <c r="Y65" s="211"/>
      <c r="Z65" s="211"/>
      <c r="AA65" s="211"/>
      <c r="AE65" s="115"/>
      <c r="AF65" s="115"/>
      <c r="AG65" s="115"/>
      <c r="BA65" s="8"/>
      <c r="BB65" s="8"/>
      <c r="BC65" s="8"/>
      <c r="BD65" s="8"/>
      <c r="BE65" s="8"/>
      <c r="BF65" s="8"/>
      <c r="BG65" s="8"/>
      <c r="BH65" s="8"/>
      <c r="BI65" s="8"/>
      <c r="BJ65" s="8"/>
      <c r="BK65" s="8"/>
      <c r="BL65" s="8"/>
      <c r="BM65" s="8"/>
      <c r="BN65" s="8"/>
    </row>
    <row r="66" spans="1:66" ht="14.25" hidden="1" customHeight="1" thickBot="1">
      <c r="A66" s="1649"/>
      <c r="B66" s="190" t="str">
        <f t="shared" si="41"/>
        <v>4F.20</v>
      </c>
      <c r="C66" s="3218" t="s">
        <v>3910</v>
      </c>
      <c r="D66" s="3218"/>
      <c r="E66" s="3218"/>
      <c r="F66" s="3218"/>
      <c r="G66" s="3218"/>
      <c r="H66" s="3218"/>
      <c r="I66" s="3218"/>
      <c r="J66" s="3218"/>
      <c r="K66" s="3218"/>
      <c r="L66" s="3218"/>
      <c r="M66" s="3218"/>
      <c r="N66" s="3218"/>
      <c r="O66" s="3219"/>
      <c r="P66" s="135"/>
      <c r="Q66" s="135"/>
      <c r="U66" s="215">
        <v>1</v>
      </c>
      <c r="V66" s="211"/>
      <c r="W66" s="211"/>
      <c r="X66" s="211"/>
      <c r="Y66" s="211"/>
      <c r="Z66" s="211"/>
      <c r="AA66" s="211"/>
      <c r="AE66" s="185"/>
      <c r="AF66" s="185"/>
      <c r="AG66" s="185"/>
      <c r="BA66" s="8"/>
      <c r="BB66" s="8"/>
      <c r="BC66" s="8"/>
      <c r="BD66" s="8"/>
      <c r="BE66" s="8"/>
      <c r="BF66" s="8"/>
      <c r="BG66" s="8"/>
      <c r="BH66" s="8"/>
      <c r="BI66" s="8"/>
      <c r="BJ66" s="8"/>
      <c r="BK66" s="8"/>
      <c r="BL66" s="8"/>
      <c r="BM66" s="8"/>
      <c r="BN66" s="8"/>
    </row>
    <row r="67" spans="1:66" s="248" customFormat="1" hidden="1">
      <c r="A67" s="1698"/>
      <c r="B67" s="212"/>
      <c r="C67" s="3429"/>
      <c r="D67" s="3429"/>
      <c r="E67" s="3429"/>
      <c r="F67" s="3429"/>
      <c r="G67" s="3429"/>
      <c r="H67" s="3429"/>
      <c r="I67" s="3429"/>
      <c r="P67" s="135"/>
      <c r="Q67" s="135"/>
      <c r="R67" s="71"/>
      <c r="S67" s="71"/>
      <c r="T67" s="72"/>
      <c r="U67" s="211"/>
      <c r="V67" s="211"/>
      <c r="W67" s="211"/>
      <c r="X67" s="211"/>
      <c r="Y67" s="211"/>
      <c r="Z67" s="211"/>
      <c r="AA67" s="211"/>
      <c r="AB67" s="72"/>
      <c r="AC67" s="75"/>
      <c r="AD67" s="72"/>
      <c r="AE67" s="115"/>
      <c r="AF67" s="115"/>
      <c r="AG67" s="115"/>
      <c r="AH67" s="72"/>
    </row>
  </sheetData>
  <mergeCells count="54">
    <mergeCell ref="C54:H54"/>
    <mergeCell ref="I54:O54"/>
    <mergeCell ref="C56:H56"/>
    <mergeCell ref="I56:O56"/>
    <mergeCell ref="C58:H58"/>
    <mergeCell ref="I58:O58"/>
    <mergeCell ref="C51:H51"/>
    <mergeCell ref="I51:O51"/>
    <mergeCell ref="C52:H52"/>
    <mergeCell ref="I52:O52"/>
    <mergeCell ref="C53:H53"/>
    <mergeCell ref="I53:O53"/>
    <mergeCell ref="C67:I67"/>
    <mergeCell ref="C55:H55"/>
    <mergeCell ref="I55:O55"/>
    <mergeCell ref="C57:H57"/>
    <mergeCell ref="I57:O57"/>
    <mergeCell ref="C60:O60"/>
    <mergeCell ref="C61:O61"/>
    <mergeCell ref="C62:O62"/>
    <mergeCell ref="C63:O63"/>
    <mergeCell ref="C64:O64"/>
    <mergeCell ref="C65:O65"/>
    <mergeCell ref="C66:O66"/>
    <mergeCell ref="C48:H48"/>
    <mergeCell ref="I48:O48"/>
    <mergeCell ref="C49:H49"/>
    <mergeCell ref="I49:O49"/>
    <mergeCell ref="C50:H50"/>
    <mergeCell ref="I50:O50"/>
    <mergeCell ref="C45:H45"/>
    <mergeCell ref="I45:O45"/>
    <mergeCell ref="C46:H46"/>
    <mergeCell ref="I46:O46"/>
    <mergeCell ref="C47:H47"/>
    <mergeCell ref="I47:O47"/>
    <mergeCell ref="Q3:Q4"/>
    <mergeCell ref="R3:R4"/>
    <mergeCell ref="U5:AA5"/>
    <mergeCell ref="B33:C33"/>
    <mergeCell ref="C44:H44"/>
    <mergeCell ref="I44:O44"/>
    <mergeCell ref="B3:C4"/>
    <mergeCell ref="E3:E4"/>
    <mergeCell ref="F3:F4"/>
    <mergeCell ref="G3:J3"/>
    <mergeCell ref="K3:N3"/>
    <mergeCell ref="O3:O4"/>
    <mergeCell ref="BN3:BN4"/>
    <mergeCell ref="BA3:BB4"/>
    <mergeCell ref="BD3:BD4"/>
    <mergeCell ref="BE3:BE4"/>
    <mergeCell ref="BF3:BI3"/>
    <mergeCell ref="BJ3:BM3"/>
  </mergeCells>
  <conditionalFormatting sqref="R7:R11">
    <cfRule type="cellIs" dxfId="182" priority="48" operator="equal">
      <formula>0</formula>
    </cfRule>
  </conditionalFormatting>
  <conditionalFormatting sqref="R26:R27 R29:R30">
    <cfRule type="cellIs" dxfId="181" priority="47" operator="equal">
      <formula>0</formula>
    </cfRule>
  </conditionalFormatting>
  <conditionalFormatting sqref="R19">
    <cfRule type="cellIs" dxfId="180" priority="46" operator="equal">
      <formula>0</formula>
    </cfRule>
  </conditionalFormatting>
  <conditionalFormatting sqref="Q7:Q12 Q17:Q22 Q14:Q15">
    <cfRule type="cellIs" dxfId="179" priority="45" operator="equal">
      <formula>0</formula>
    </cfRule>
  </conditionalFormatting>
  <conditionalFormatting sqref="R14">
    <cfRule type="cellIs" dxfId="178" priority="39" operator="equal">
      <formula>0</formula>
    </cfRule>
  </conditionalFormatting>
  <conditionalFormatting sqref="R17">
    <cfRule type="cellIs" dxfId="177" priority="38" operator="equal">
      <formula>0</formula>
    </cfRule>
  </conditionalFormatting>
  <conditionalFormatting sqref="Q23">
    <cfRule type="cellIs" dxfId="176" priority="27" operator="equal">
      <formula>0</formula>
    </cfRule>
  </conditionalFormatting>
  <conditionalFormatting sqref="R23">
    <cfRule type="cellIs" dxfId="175" priority="24" operator="equal">
      <formula>0</formula>
    </cfRule>
  </conditionalFormatting>
  <conditionalFormatting sqref="R18">
    <cfRule type="cellIs" dxfId="174" priority="23" operator="equal">
      <formula>0</formula>
    </cfRule>
  </conditionalFormatting>
  <conditionalFormatting sqref="R20">
    <cfRule type="cellIs" dxfId="173"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 r:id="rId2"/>
  <legacyDrawingHF r:id="rId3"/>
  <extLst xmlns:x14="http://schemas.microsoft.com/office/spreadsheetml/2009/9/main">
    <ext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7.xml><?xml version="1.0" encoding="utf-8"?>
<worksheet xmlns="http://schemas.openxmlformats.org/spreadsheetml/2006/main" xmlns:r="http://schemas.openxmlformats.org/officeDocument/2006/relationships">
  <sheetPr codeName="Sheet33">
    <pageSetUpPr fitToPage="1"/>
  </sheetPr>
  <dimension ref="A1:AL46"/>
  <sheetViews>
    <sheetView workbookViewId="0"/>
  </sheetViews>
  <sheetFormatPr defaultColWidth="0" defaultRowHeight="14.25" zeroHeight="1"/>
  <cols>
    <col min="1" max="1" width="0.625" style="8" customWidth="1"/>
    <col min="2" max="2" width="5.125" style="8" customWidth="1"/>
    <col min="3" max="3" width="48.125" style="8" bestFit="1" customWidth="1"/>
    <col min="4" max="4" width="1.125" style="496" hidden="1" customWidth="1"/>
    <col min="5" max="6" width="5.125" style="8" customWidth="1"/>
    <col min="7" max="8" width="14.625" style="8" customWidth="1"/>
    <col min="9" max="9" width="14.625" style="496" customWidth="1"/>
    <col min="10" max="10" width="14.625" style="8" customWidth="1"/>
    <col min="11" max="11" width="2.625" style="71" customWidth="1"/>
    <col min="12" max="12" width="32" style="75" customWidth="1"/>
    <col min="13" max="13" width="28.25" style="71" customWidth="1"/>
    <col min="14" max="14" width="1.625" style="71" customWidth="1"/>
    <col min="15" max="15" width="1.625" style="72" hidden="1" customWidth="1"/>
    <col min="16" max="18" width="8.625" style="71" hidden="1" customWidth="1"/>
    <col min="19" max="19" width="1.625" style="72" hidden="1" customWidth="1"/>
    <col min="20" max="20" width="8.625" style="75" hidden="1" customWidth="1"/>
    <col min="21" max="21" width="1.625" style="72" hidden="1" customWidth="1"/>
    <col min="22" max="23" width="8.625" style="75" hidden="1" customWidth="1"/>
    <col min="24" max="24" width="80.625" style="75" hidden="1" customWidth="1"/>
    <col min="25" max="25" width="1.625" style="72" hidden="1" customWidth="1"/>
    <col min="26" max="28" width="8.625" style="8" hidden="1" customWidth="1"/>
    <col min="29" max="29" width="5.125" style="496" customWidth="1"/>
    <col min="30" max="30" width="48.125" style="496" bestFit="1" customWidth="1"/>
    <col min="31" max="31" width="1.125" style="496" hidden="1" customWidth="1"/>
    <col min="32" max="33" width="5.125" style="496" customWidth="1"/>
    <col min="34" max="37" width="14.625" style="496" customWidth="1"/>
    <col min="38" max="38" width="2.625" style="8" customWidth="1"/>
    <col min="39" max="16384" width="8.625" style="8" hidden="1"/>
  </cols>
  <sheetData>
    <row r="1" spans="2:37" ht="18.75">
      <c r="B1" s="67" t="s">
        <v>2781</v>
      </c>
      <c r="C1" s="67"/>
      <c r="D1" s="67"/>
      <c r="E1" s="67"/>
      <c r="F1" s="67"/>
      <c r="G1" s="67"/>
      <c r="H1" s="67"/>
      <c r="I1" s="67"/>
      <c r="J1" s="69" t="str">
        <f>Validation!B3</f>
        <v>South West Water – South West area</v>
      </c>
      <c r="K1" s="67"/>
      <c r="L1" s="70"/>
      <c r="M1" s="70" t="s">
        <v>2394</v>
      </c>
      <c r="T1" s="71"/>
      <c r="V1" s="496"/>
      <c r="W1" s="496"/>
      <c r="X1" s="496"/>
      <c r="AC1" s="67" t="s">
        <v>6671</v>
      </c>
      <c r="AD1" s="67"/>
      <c r="AE1" s="67"/>
      <c r="AF1" s="67"/>
      <c r="AG1" s="67"/>
      <c r="AH1" s="67"/>
      <c r="AI1" s="67"/>
      <c r="AJ1" s="67"/>
      <c r="AK1" s="69"/>
    </row>
    <row r="2" spans="2:37" ht="15" thickBot="1">
      <c r="B2" s="74" t="s">
        <v>12524</v>
      </c>
      <c r="C2" s="71"/>
      <c r="D2" s="71"/>
      <c r="E2" s="71"/>
      <c r="F2" s="71"/>
      <c r="G2" s="71"/>
      <c r="H2" s="71"/>
      <c r="I2" s="71"/>
      <c r="J2" s="71"/>
      <c r="L2" s="71"/>
      <c r="T2" s="71"/>
      <c r="AC2" s="74" t="str">
        <f>+B2</f>
        <v>For the 12 months ended 31 March 2019</v>
      </c>
      <c r="AD2" s="71"/>
      <c r="AE2" s="71"/>
      <c r="AF2" s="71"/>
      <c r="AG2" s="71"/>
      <c r="AH2" s="71"/>
      <c r="AI2" s="71"/>
      <c r="AJ2" s="71"/>
      <c r="AK2" s="71"/>
    </row>
    <row r="3" spans="2:37" ht="24.75" thickBot="1">
      <c r="B3" s="3312" t="s">
        <v>2395</v>
      </c>
      <c r="C3" s="3313"/>
      <c r="D3" s="1459" t="s">
        <v>6495</v>
      </c>
      <c r="E3" s="191" t="s">
        <v>2396</v>
      </c>
      <c r="F3" s="192" t="s">
        <v>2397</v>
      </c>
      <c r="G3" s="193" t="s">
        <v>40</v>
      </c>
      <c r="H3" s="375" t="s">
        <v>214</v>
      </c>
      <c r="I3" s="2079" t="s">
        <v>1800</v>
      </c>
      <c r="J3" s="195" t="s">
        <v>2554</v>
      </c>
      <c r="L3" s="195" t="s">
        <v>2577</v>
      </c>
      <c r="M3" s="195" t="s">
        <v>1361</v>
      </c>
      <c r="P3" s="3215" t="s">
        <v>2404</v>
      </c>
      <c r="Q3" s="3215"/>
      <c r="R3" s="2081"/>
      <c r="T3" s="652" t="s">
        <v>2390</v>
      </c>
      <c r="V3" s="77" t="s">
        <v>2578</v>
      </c>
      <c r="W3" s="77"/>
      <c r="X3" s="652"/>
      <c r="AC3" s="3312" t="s">
        <v>2395</v>
      </c>
      <c r="AD3" s="3313"/>
      <c r="AE3" s="2737" t="s">
        <v>6495</v>
      </c>
      <c r="AF3" s="191" t="s">
        <v>2396</v>
      </c>
      <c r="AG3" s="192" t="s">
        <v>2397</v>
      </c>
      <c r="AH3" s="193" t="s">
        <v>40</v>
      </c>
      <c r="AI3" s="194" t="s">
        <v>214</v>
      </c>
      <c r="AJ3" s="2726" t="s">
        <v>1800</v>
      </c>
      <c r="AK3" s="2725" t="s">
        <v>2554</v>
      </c>
    </row>
    <row r="4" spans="2:37" ht="15" thickBot="1">
      <c r="B4" s="71"/>
      <c r="C4" s="71"/>
      <c r="D4" s="71"/>
      <c r="E4" s="71"/>
      <c r="F4" s="71"/>
      <c r="G4" s="71"/>
      <c r="H4" s="71"/>
      <c r="I4" s="71"/>
      <c r="J4" s="71"/>
      <c r="L4" s="71"/>
      <c r="P4" s="171" t="s">
        <v>2405</v>
      </c>
      <c r="AC4" s="71"/>
      <c r="AD4" s="71"/>
      <c r="AE4" s="71"/>
      <c r="AF4" s="71"/>
      <c r="AG4" s="71"/>
      <c r="AH4" s="71"/>
      <c r="AI4" s="71"/>
      <c r="AJ4" s="71"/>
      <c r="AK4" s="71"/>
    </row>
    <row r="5" spans="2:37" ht="14.25" customHeight="1">
      <c r="B5" s="91" t="s">
        <v>5275</v>
      </c>
      <c r="C5" s="122" t="s">
        <v>2406</v>
      </c>
      <c r="D5" s="122"/>
      <c r="E5" s="93" t="s">
        <v>750</v>
      </c>
      <c r="F5" s="94">
        <v>3</v>
      </c>
      <c r="G5" s="196">
        <f xml:space="preserve"> '2A'!K6 + '2A'!K7</f>
        <v>0</v>
      </c>
      <c r="H5" s="2092">
        <f xml:space="preserve"> '2A'!N6 + '2A'!N7</f>
        <v>0</v>
      </c>
      <c r="I5" s="198">
        <f xml:space="preserve"> '2A'!O6 + '2A'!O7</f>
        <v>0</v>
      </c>
      <c r="J5" s="204">
        <f>G5+H5+I5</f>
        <v>0</v>
      </c>
      <c r="L5" s="71"/>
      <c r="P5" s="132"/>
      <c r="Q5" s="132"/>
      <c r="R5" s="132"/>
      <c r="T5" s="320"/>
      <c r="V5" s="172"/>
      <c r="AC5" s="91" t="s">
        <v>5275</v>
      </c>
      <c r="AD5" s="122" t="s">
        <v>2406</v>
      </c>
      <c r="AE5" s="122"/>
      <c r="AF5" s="93" t="s">
        <v>750</v>
      </c>
      <c r="AG5" s="94">
        <v>3</v>
      </c>
      <c r="AH5" s="196" t="s">
        <v>10763</v>
      </c>
      <c r="AI5" s="198" t="s">
        <v>10764</v>
      </c>
      <c r="AJ5" s="204" t="s">
        <v>12401</v>
      </c>
      <c r="AK5" s="204" t="s">
        <v>10767</v>
      </c>
    </row>
    <row r="6" spans="2:37">
      <c r="B6" s="99" t="s">
        <v>5276</v>
      </c>
      <c r="C6" s="92" t="s">
        <v>2587</v>
      </c>
      <c r="D6" s="92"/>
      <c r="E6" s="100" t="s">
        <v>750</v>
      </c>
      <c r="F6" s="101">
        <v>3</v>
      </c>
      <c r="G6" s="253">
        <f xml:space="preserve"> -1 * ('2B'!G17 + '2B'!H17)</f>
        <v>0</v>
      </c>
      <c r="H6" s="2093">
        <f xml:space="preserve"> -1 * ('2B'!I17 + '2B'!J17)</f>
        <v>0</v>
      </c>
      <c r="I6" s="199">
        <f xml:space="preserve"> -1 * ( '2B'!K17)</f>
        <v>0</v>
      </c>
      <c r="J6" s="205">
        <f t="shared" ref="J6:J8" si="0">G6+H6+I6</f>
        <v>0</v>
      </c>
      <c r="L6" s="71"/>
      <c r="M6" s="24"/>
      <c r="P6" s="132"/>
      <c r="Q6" s="132"/>
      <c r="R6" s="132"/>
      <c r="T6" s="86"/>
      <c r="AC6" s="99" t="s">
        <v>5276</v>
      </c>
      <c r="AD6" s="92" t="s">
        <v>2587</v>
      </c>
      <c r="AE6" s="92"/>
      <c r="AF6" s="100" t="s">
        <v>750</v>
      </c>
      <c r="AG6" s="101">
        <v>3</v>
      </c>
      <c r="AH6" s="253" t="s">
        <v>10765</v>
      </c>
      <c r="AI6" s="199" t="s">
        <v>10766</v>
      </c>
      <c r="AJ6" s="205" t="s">
        <v>12402</v>
      </c>
      <c r="AK6" s="205" t="s">
        <v>10768</v>
      </c>
    </row>
    <row r="7" spans="2:37">
      <c r="B7" s="99" t="s">
        <v>5277</v>
      </c>
      <c r="C7" s="92" t="s">
        <v>2782</v>
      </c>
      <c r="D7" s="92"/>
      <c r="E7" s="100" t="s">
        <v>750</v>
      </c>
      <c r="F7" s="101">
        <v>3</v>
      </c>
      <c r="G7" s="428"/>
      <c r="H7" s="461"/>
      <c r="I7" s="432"/>
      <c r="J7" s="205">
        <f t="shared" si="0"/>
        <v>0</v>
      </c>
      <c r="L7" s="71"/>
      <c r="M7" s="24" t="str">
        <f t="shared" ref="M7" si="1" xml:space="preserve"> IF( SUM( O7:S7 ) = 0, 0, $P$4 )</f>
        <v>Please complete all cells in row</v>
      </c>
      <c r="P7" s="98">
        <f t="shared" ref="P7:P14" si="2" xml:space="preserve"> IF( ISNUMBER( G7 ), 0, 1 )</f>
        <v>1</v>
      </c>
      <c r="Q7" s="98">
        <f>IF(Validation!$H$3=1,0,IF(ISNUMBER(H7),0,1))</f>
        <v>1</v>
      </c>
      <c r="R7" s="98">
        <f>IF(Validation!$H$3=1,0,IF(ISNUMBER(I7),0,1))</f>
        <v>1</v>
      </c>
      <c r="T7" s="132"/>
      <c r="V7" s="172"/>
      <c r="W7" s="172"/>
      <c r="AC7" s="99" t="s">
        <v>5277</v>
      </c>
      <c r="AD7" s="92" t="s">
        <v>2782</v>
      </c>
      <c r="AE7" s="92"/>
      <c r="AF7" s="100" t="s">
        <v>750</v>
      </c>
      <c r="AG7" s="101">
        <v>3</v>
      </c>
      <c r="AH7" s="2750" t="s">
        <v>10769</v>
      </c>
      <c r="AI7" s="2892" t="s">
        <v>10770</v>
      </c>
      <c r="AJ7" s="2749" t="s">
        <v>12403</v>
      </c>
      <c r="AK7" s="205" t="s">
        <v>10771</v>
      </c>
    </row>
    <row r="8" spans="2:37">
      <c r="B8" s="99" t="s">
        <v>5279</v>
      </c>
      <c r="C8" s="92" t="s">
        <v>2408</v>
      </c>
      <c r="D8" s="92"/>
      <c r="E8" s="100" t="s">
        <v>750</v>
      </c>
      <c r="F8" s="101">
        <v>3</v>
      </c>
      <c r="G8" s="2333">
        <f xml:space="preserve"> '2A'!K11</f>
        <v>0</v>
      </c>
      <c r="H8" s="2338">
        <f xml:space="preserve"> '2A'!N11</f>
        <v>0</v>
      </c>
      <c r="I8" s="2337">
        <f xml:space="preserve"> '2A'!O11</f>
        <v>0</v>
      </c>
      <c r="J8" s="205">
        <f t="shared" si="0"/>
        <v>0</v>
      </c>
      <c r="L8" s="71"/>
      <c r="N8" s="200"/>
      <c r="P8" s="132"/>
      <c r="Q8" s="132"/>
      <c r="R8" s="132"/>
      <c r="T8" s="132"/>
      <c r="V8" s="172"/>
      <c r="W8" s="172"/>
      <c r="AC8" s="99" t="s">
        <v>5279</v>
      </c>
      <c r="AD8" s="92" t="s">
        <v>2408</v>
      </c>
      <c r="AE8" s="92"/>
      <c r="AF8" s="100" t="s">
        <v>750</v>
      </c>
      <c r="AG8" s="101">
        <v>3</v>
      </c>
      <c r="AH8" s="2333" t="str">
        <f xml:space="preserve"> '2A'!BP11</f>
        <v>A19015WSW</v>
      </c>
      <c r="AI8" s="2333" t="str">
        <f xml:space="preserve"> '2A'!BS11</f>
        <v>A19015TAS</v>
      </c>
      <c r="AJ8" s="2336" t="str">
        <f>+'2A'!BT11</f>
        <v>A19015TTT</v>
      </c>
      <c r="AK8" s="205" t="s">
        <v>12517</v>
      </c>
    </row>
    <row r="9" spans="2:37" ht="15" thickBot="1">
      <c r="B9" s="106" t="s">
        <v>5278</v>
      </c>
      <c r="C9" s="107" t="s">
        <v>2783</v>
      </c>
      <c r="D9" s="107"/>
      <c r="E9" s="108" t="s">
        <v>750</v>
      </c>
      <c r="F9" s="105">
        <v>3</v>
      </c>
      <c r="G9" s="201">
        <f>SUM(G5:G8)</f>
        <v>0</v>
      </c>
      <c r="H9" s="379">
        <f>SUM(H5:H8)</f>
        <v>0</v>
      </c>
      <c r="I9" s="203">
        <f>SUM(I5:I8)</f>
        <v>0</v>
      </c>
      <c r="J9" s="206">
        <f>G9+H9+I9</f>
        <v>0</v>
      </c>
      <c r="L9" s="71"/>
      <c r="T9" s="132"/>
      <c r="V9" s="172"/>
      <c r="W9" s="172"/>
      <c r="AC9" s="106" t="s">
        <v>5278</v>
      </c>
      <c r="AD9" s="107" t="s">
        <v>2783</v>
      </c>
      <c r="AE9" s="107"/>
      <c r="AF9" s="108" t="s">
        <v>750</v>
      </c>
      <c r="AG9" s="105">
        <v>3</v>
      </c>
      <c r="AH9" s="201" t="s">
        <v>10772</v>
      </c>
      <c r="AI9" s="203" t="s">
        <v>10773</v>
      </c>
      <c r="AJ9" s="206" t="s">
        <v>12404</v>
      </c>
      <c r="AK9" s="206" t="s">
        <v>10774</v>
      </c>
    </row>
    <row r="10" spans="2:37" ht="15" thickBot="1">
      <c r="B10" s="71"/>
      <c r="C10" s="71"/>
      <c r="D10" s="71"/>
      <c r="E10" s="71"/>
      <c r="F10" s="71"/>
      <c r="G10" s="71"/>
      <c r="H10" s="71"/>
      <c r="I10" s="71"/>
      <c r="J10" s="71"/>
      <c r="L10" s="71"/>
      <c r="T10" s="132"/>
      <c r="V10" s="172"/>
      <c r="W10" s="172"/>
      <c r="AC10" s="71"/>
      <c r="AD10" s="71"/>
      <c r="AE10" s="71"/>
      <c r="AF10" s="71"/>
      <c r="AG10" s="71"/>
      <c r="AH10" s="71"/>
      <c r="AI10" s="71"/>
      <c r="AJ10" s="71"/>
      <c r="AK10" s="71"/>
    </row>
    <row r="11" spans="2:37">
      <c r="B11" s="91" t="s">
        <v>5281</v>
      </c>
      <c r="C11" s="122" t="s">
        <v>2410</v>
      </c>
      <c r="D11" s="122"/>
      <c r="E11" s="93" t="s">
        <v>750</v>
      </c>
      <c r="F11" s="94">
        <v>3</v>
      </c>
      <c r="G11" s="430"/>
      <c r="H11" s="460"/>
      <c r="I11" s="431"/>
      <c r="J11" s="204">
        <f t="shared" ref="J11:J15" si="3">G11+H11+I11</f>
        <v>0</v>
      </c>
      <c r="L11" s="71"/>
      <c r="M11" s="24" t="str">
        <f t="shared" ref="M11:M14" si="4" xml:space="preserve"> IF( SUM( O11:S11 ) = 0, 0, $P$4 )</f>
        <v>Please complete all cells in row</v>
      </c>
      <c r="P11" s="98">
        <f t="shared" si="2"/>
        <v>1</v>
      </c>
      <c r="Q11" s="98">
        <f>IF(Validation!$H$3=1,0,IF(ISNUMBER(H11),0,1))</f>
        <v>1</v>
      </c>
      <c r="R11" s="98">
        <f>IF(Validation!$H$3=1,0,IF(ISNUMBER(I11),0,1))</f>
        <v>1</v>
      </c>
      <c r="T11" s="98"/>
      <c r="V11" s="172"/>
      <c r="W11" s="172"/>
      <c r="AC11" s="91" t="s">
        <v>5281</v>
      </c>
      <c r="AD11" s="122" t="s">
        <v>2410</v>
      </c>
      <c r="AE11" s="122"/>
      <c r="AF11" s="93" t="s">
        <v>750</v>
      </c>
      <c r="AG11" s="94">
        <v>3</v>
      </c>
      <c r="AH11" s="2747" t="s">
        <v>10775</v>
      </c>
      <c r="AI11" s="2891" t="s">
        <v>10776</v>
      </c>
      <c r="AJ11" s="2746" t="s">
        <v>12405</v>
      </c>
      <c r="AK11" s="204" t="s">
        <v>10777</v>
      </c>
    </row>
    <row r="12" spans="2:37">
      <c r="B12" s="99" t="s">
        <v>5280</v>
      </c>
      <c r="C12" s="92" t="s">
        <v>2411</v>
      </c>
      <c r="D12" s="92"/>
      <c r="E12" s="100" t="s">
        <v>750</v>
      </c>
      <c r="F12" s="101">
        <v>3</v>
      </c>
      <c r="G12" s="428"/>
      <c r="H12" s="461"/>
      <c r="I12" s="432"/>
      <c r="J12" s="205">
        <f t="shared" si="3"/>
        <v>0</v>
      </c>
      <c r="L12" s="653">
        <f t="shared" ref="L12:L14" si="5" xml:space="preserve"> IF( SUM( S12:U12 ) = 0, 0, X12 )</f>
        <v>0</v>
      </c>
      <c r="M12" s="24" t="str">
        <f t="shared" si="4"/>
        <v>Please complete all cells in row</v>
      </c>
      <c r="P12" s="98">
        <f t="shared" si="2"/>
        <v>1</v>
      </c>
      <c r="Q12" s="98">
        <f>IF(Validation!$H$3=1,0,IF(ISNUMBER(H12),0,1))</f>
        <v>1</v>
      </c>
      <c r="R12" s="98">
        <f>IF(Validation!$H$3=1,0,IF(ISNUMBER(I12),0,1))</f>
        <v>1</v>
      </c>
      <c r="T12" s="98">
        <f t="shared" ref="T12:T14" si="6" xml:space="preserve"> IF( (V12 - W12) = 0, 0, 1 )</f>
        <v>0</v>
      </c>
      <c r="V12" s="172">
        <f t="shared" ref="V12:V14" si="7" xml:space="preserve"> ROUND( J12, 3)</f>
        <v>0</v>
      </c>
      <c r="W12" s="172">
        <f xml:space="preserve"> ROUND( '1A'!K12, 3)</f>
        <v>0</v>
      </c>
      <c r="X12" s="75" t="s">
        <v>12233</v>
      </c>
      <c r="AC12" s="99" t="s">
        <v>5280</v>
      </c>
      <c r="AD12" s="92" t="s">
        <v>2411</v>
      </c>
      <c r="AE12" s="92"/>
      <c r="AF12" s="100" t="s">
        <v>750</v>
      </c>
      <c r="AG12" s="101">
        <v>3</v>
      </c>
      <c r="AH12" s="2750" t="s">
        <v>10778</v>
      </c>
      <c r="AI12" s="2892" t="s">
        <v>10779</v>
      </c>
      <c r="AJ12" s="2749" t="s">
        <v>12406</v>
      </c>
      <c r="AK12" s="205" t="s">
        <v>10780</v>
      </c>
    </row>
    <row r="13" spans="2:37">
      <c r="B13" s="99" t="s">
        <v>5283</v>
      </c>
      <c r="C13" s="92" t="s">
        <v>2412</v>
      </c>
      <c r="D13" s="92"/>
      <c r="E13" s="100" t="s">
        <v>750</v>
      </c>
      <c r="F13" s="101">
        <v>3</v>
      </c>
      <c r="G13" s="428"/>
      <c r="H13" s="461"/>
      <c r="I13" s="432"/>
      <c r="J13" s="205">
        <f t="shared" si="3"/>
        <v>0</v>
      </c>
      <c r="L13" s="653">
        <f t="shared" si="5"/>
        <v>0</v>
      </c>
      <c r="M13" s="24" t="str">
        <f t="shared" si="4"/>
        <v>Please complete all cells in row</v>
      </c>
      <c r="P13" s="98">
        <f t="shared" si="2"/>
        <v>1</v>
      </c>
      <c r="Q13" s="98">
        <f>IF(Validation!$H$3=1,0,IF(ISNUMBER(H13),0,1))</f>
        <v>1</v>
      </c>
      <c r="R13" s="98">
        <f>IF(Validation!$H$3=1,0,IF(ISNUMBER(I13),0,1))</f>
        <v>1</v>
      </c>
      <c r="T13" s="98">
        <f t="shared" si="6"/>
        <v>0</v>
      </c>
      <c r="V13" s="172">
        <f t="shared" si="7"/>
        <v>0</v>
      </c>
      <c r="W13" s="172">
        <f xml:space="preserve"> ROUND( '1A'!K13, 3)</f>
        <v>0</v>
      </c>
      <c r="X13" s="75" t="s">
        <v>12235</v>
      </c>
      <c r="AC13" s="99" t="s">
        <v>5283</v>
      </c>
      <c r="AD13" s="92" t="s">
        <v>2412</v>
      </c>
      <c r="AE13" s="92"/>
      <c r="AF13" s="100" t="s">
        <v>750</v>
      </c>
      <c r="AG13" s="101">
        <v>3</v>
      </c>
      <c r="AH13" s="2750" t="s">
        <v>10781</v>
      </c>
      <c r="AI13" s="2892" t="s">
        <v>10782</v>
      </c>
      <c r="AJ13" s="2749" t="s">
        <v>12407</v>
      </c>
      <c r="AK13" s="205" t="s">
        <v>10783</v>
      </c>
    </row>
    <row r="14" spans="2:37">
      <c r="B14" s="99" t="s">
        <v>5282</v>
      </c>
      <c r="C14" s="92" t="s">
        <v>3683</v>
      </c>
      <c r="D14" s="92"/>
      <c r="E14" s="100" t="s">
        <v>750</v>
      </c>
      <c r="F14" s="101">
        <v>3</v>
      </c>
      <c r="G14" s="428"/>
      <c r="H14" s="461"/>
      <c r="I14" s="432"/>
      <c r="J14" s="205">
        <f t="shared" si="3"/>
        <v>0</v>
      </c>
      <c r="L14" s="653">
        <f t="shared" si="5"/>
        <v>0</v>
      </c>
      <c r="M14" s="24" t="str">
        <f t="shared" si="4"/>
        <v>Please complete all cells in row</v>
      </c>
      <c r="P14" s="98">
        <f t="shared" si="2"/>
        <v>1</v>
      </c>
      <c r="Q14" s="98">
        <f>IF(Validation!$H$3=1,0,IF(ISNUMBER(H14),0,1))</f>
        <v>1</v>
      </c>
      <c r="R14" s="98">
        <f>IF(Validation!$H$3=1,0,IF(ISNUMBER(I14),0,1))</f>
        <v>1</v>
      </c>
      <c r="T14" s="98">
        <f t="shared" si="6"/>
        <v>0</v>
      </c>
      <c r="V14" s="172">
        <f t="shared" si="7"/>
        <v>0</v>
      </c>
      <c r="W14" s="172">
        <f xml:space="preserve"> ROUND( '1A'!K14, 3)</f>
        <v>0</v>
      </c>
      <c r="X14" s="75" t="s">
        <v>12234</v>
      </c>
      <c r="AC14" s="99" t="s">
        <v>5282</v>
      </c>
      <c r="AD14" s="92" t="s">
        <v>3683</v>
      </c>
      <c r="AE14" s="92"/>
      <c r="AF14" s="100" t="s">
        <v>750</v>
      </c>
      <c r="AG14" s="101">
        <v>3</v>
      </c>
      <c r="AH14" s="2750" t="s">
        <v>10784</v>
      </c>
      <c r="AI14" s="2892" t="s">
        <v>10785</v>
      </c>
      <c r="AJ14" s="2749" t="s">
        <v>12408</v>
      </c>
      <c r="AK14" s="205" t="s">
        <v>10786</v>
      </c>
    </row>
    <row r="15" spans="2:37" ht="15" thickBot="1">
      <c r="B15" s="106" t="s">
        <v>5285</v>
      </c>
      <c r="C15" s="107" t="s">
        <v>3684</v>
      </c>
      <c r="D15" s="107"/>
      <c r="E15" s="108" t="s">
        <v>750</v>
      </c>
      <c r="F15" s="105">
        <v>3</v>
      </c>
      <c r="G15" s="201">
        <f xml:space="preserve"> G9 + SUM( G11:G14 )</f>
        <v>0</v>
      </c>
      <c r="H15" s="379">
        <f xml:space="preserve"> H9 + SUM( H11:H14 )</f>
        <v>0</v>
      </c>
      <c r="I15" s="203">
        <f xml:space="preserve"> I9 + SUM( I11:I14 )</f>
        <v>0</v>
      </c>
      <c r="J15" s="206">
        <f t="shared" si="3"/>
        <v>0</v>
      </c>
      <c r="L15" s="71"/>
      <c r="T15" s="132"/>
      <c r="V15" s="172"/>
      <c r="W15" s="172"/>
      <c r="AC15" s="106" t="s">
        <v>5285</v>
      </c>
      <c r="AD15" s="107" t="s">
        <v>3684</v>
      </c>
      <c r="AE15" s="107"/>
      <c r="AF15" s="108" t="s">
        <v>750</v>
      </c>
      <c r="AG15" s="105">
        <v>3</v>
      </c>
      <c r="AH15" s="201" t="s">
        <v>10787</v>
      </c>
      <c r="AI15" s="203" t="s">
        <v>10788</v>
      </c>
      <c r="AJ15" s="206" t="s">
        <v>12409</v>
      </c>
      <c r="AK15" s="206" t="s">
        <v>10789</v>
      </c>
    </row>
    <row r="16" spans="2:37" ht="15" thickBot="1">
      <c r="B16" s="71"/>
      <c r="C16" s="71"/>
      <c r="D16" s="71"/>
      <c r="E16" s="71"/>
      <c r="F16" s="71"/>
      <c r="G16" s="71"/>
      <c r="H16" s="71"/>
      <c r="I16" s="71"/>
      <c r="J16" s="71"/>
      <c r="L16" s="71"/>
      <c r="T16" s="132"/>
      <c r="V16" s="172"/>
      <c r="W16" s="172"/>
      <c r="AC16" s="71"/>
      <c r="AD16" s="71"/>
      <c r="AE16" s="71"/>
      <c r="AF16" s="71"/>
      <c r="AG16" s="71"/>
      <c r="AH16" s="71"/>
      <c r="AI16" s="71"/>
      <c r="AJ16" s="71"/>
      <c r="AK16" s="71"/>
    </row>
    <row r="17" spans="1:37">
      <c r="B17" s="91" t="s">
        <v>5284</v>
      </c>
      <c r="C17" s="122" t="s">
        <v>2415</v>
      </c>
      <c r="D17" s="122"/>
      <c r="E17" s="93" t="s">
        <v>750</v>
      </c>
      <c r="F17" s="94">
        <v>3</v>
      </c>
      <c r="G17" s="430"/>
      <c r="H17" s="460"/>
      <c r="I17" s="431"/>
      <c r="J17" s="207">
        <f t="shared" ref="J17:J18" si="8">G17+H17+I17</f>
        <v>0</v>
      </c>
      <c r="L17" s="653">
        <f t="shared" ref="L17" si="9" xml:space="preserve"> IF( SUM( S17:U17 ) = 0, 0, X17 )</f>
        <v>0</v>
      </c>
      <c r="M17" s="24" t="str">
        <f xml:space="preserve"> IF( SUM( O17:S17 ) = 0, 0, $P$4 )</f>
        <v>Please complete all cells in row</v>
      </c>
      <c r="P17" s="98">
        <f xml:space="preserve"> IF( ISNUMBER( G17 ), 0, 1 )</f>
        <v>1</v>
      </c>
      <c r="Q17" s="98">
        <f>IF(Validation!$H$3=1,0,IF(ISNUMBER(H17),0,1))</f>
        <v>1</v>
      </c>
      <c r="R17" s="98">
        <f>IF(Validation!$H$3=1,0,IF(ISNUMBER(I17),0,1))</f>
        <v>1</v>
      </c>
      <c r="T17" s="98">
        <f xml:space="preserve"> IF( (V17 - W17) = 0, 0, 1 )</f>
        <v>0</v>
      </c>
      <c r="V17" s="172">
        <f t="shared" ref="V17" si="10" xml:space="preserve"> ROUND( J17, 3)</f>
        <v>0</v>
      </c>
      <c r="W17" s="172">
        <f xml:space="preserve"> ROUND( '1A'!K17, 3)</f>
        <v>0</v>
      </c>
      <c r="X17" s="75" t="s">
        <v>12236</v>
      </c>
      <c r="AC17" s="91" t="s">
        <v>5284</v>
      </c>
      <c r="AD17" s="122" t="s">
        <v>2415</v>
      </c>
      <c r="AE17" s="122"/>
      <c r="AF17" s="93" t="s">
        <v>750</v>
      </c>
      <c r="AG17" s="94">
        <v>3</v>
      </c>
      <c r="AH17" s="2747" t="s">
        <v>10790</v>
      </c>
      <c r="AI17" s="2891" t="s">
        <v>10791</v>
      </c>
      <c r="AJ17" s="2746" t="s">
        <v>12410</v>
      </c>
      <c r="AK17" s="207" t="s">
        <v>10794</v>
      </c>
    </row>
    <row r="18" spans="1:37" ht="15" thickBot="1">
      <c r="B18" s="106" t="s">
        <v>5286</v>
      </c>
      <c r="C18" s="107" t="s">
        <v>3685</v>
      </c>
      <c r="D18" s="107"/>
      <c r="E18" s="108" t="s">
        <v>750</v>
      </c>
      <c r="F18" s="105">
        <v>3</v>
      </c>
      <c r="G18" s="201">
        <f xml:space="preserve"> G15 + G17</f>
        <v>0</v>
      </c>
      <c r="H18" s="379">
        <f xml:space="preserve"> H15 + H17</f>
        <v>0</v>
      </c>
      <c r="I18" s="203">
        <f xml:space="preserve"> I15 + I17</f>
        <v>0</v>
      </c>
      <c r="J18" s="208">
        <f t="shared" si="8"/>
        <v>0</v>
      </c>
      <c r="L18" s="71"/>
      <c r="P18" s="132"/>
      <c r="Q18" s="132"/>
      <c r="R18" s="132"/>
      <c r="T18" s="132"/>
      <c r="V18" s="172"/>
      <c r="W18" s="172"/>
      <c r="AC18" s="106" t="s">
        <v>5286</v>
      </c>
      <c r="AD18" s="107" t="s">
        <v>3685</v>
      </c>
      <c r="AE18" s="107"/>
      <c r="AF18" s="108" t="s">
        <v>750</v>
      </c>
      <c r="AG18" s="105">
        <v>3</v>
      </c>
      <c r="AH18" s="201" t="s">
        <v>10792</v>
      </c>
      <c r="AI18" s="203" t="s">
        <v>10793</v>
      </c>
      <c r="AJ18" s="206" t="s">
        <v>12411</v>
      </c>
      <c r="AK18" s="208" t="s">
        <v>10795</v>
      </c>
    </row>
    <row r="19" spans="1:37">
      <c r="B19" s="115"/>
      <c r="C19" s="157"/>
      <c r="D19" s="157"/>
      <c r="E19" s="115"/>
      <c r="F19" s="115"/>
      <c r="G19" s="115"/>
      <c r="H19" s="170"/>
      <c r="I19" s="170"/>
      <c r="J19" s="123"/>
      <c r="L19" s="71"/>
      <c r="N19" s="123"/>
      <c r="O19" s="129"/>
      <c r="T19" s="132"/>
      <c r="V19" s="172"/>
      <c r="W19" s="172"/>
      <c r="AC19" s="115"/>
      <c r="AD19" s="157"/>
      <c r="AE19" s="157"/>
      <c r="AF19" s="115"/>
      <c r="AG19" s="115"/>
      <c r="AH19" s="115"/>
      <c r="AI19" s="170"/>
      <c r="AJ19" s="170"/>
      <c r="AK19" s="123"/>
    </row>
    <row r="20" spans="1:37">
      <c r="B20" s="3220" t="s">
        <v>2420</v>
      </c>
      <c r="C20" s="3220"/>
      <c r="D20" s="1449"/>
      <c r="E20" s="170"/>
      <c r="F20" s="170"/>
      <c r="G20" s="170"/>
      <c r="H20" s="170"/>
      <c r="I20" s="170"/>
      <c r="J20" s="131"/>
      <c r="L20" s="71"/>
      <c r="T20" s="132"/>
      <c r="V20" s="172"/>
      <c r="W20" s="172"/>
    </row>
    <row r="21" spans="1:37">
      <c r="B21" s="146"/>
      <c r="C21" s="147"/>
      <c r="D21" s="147"/>
      <c r="E21" s="170"/>
      <c r="F21" s="170"/>
      <c r="G21" s="170"/>
      <c r="H21" s="170"/>
      <c r="I21" s="170"/>
      <c r="J21" s="131"/>
      <c r="L21" s="71"/>
      <c r="T21" s="132"/>
      <c r="V21" s="172"/>
      <c r="W21" s="172"/>
      <c r="AC21" s="8"/>
      <c r="AD21" s="8"/>
      <c r="AE21" s="8"/>
      <c r="AF21" s="8"/>
      <c r="AG21" s="8"/>
      <c r="AH21" s="8"/>
      <c r="AI21" s="8"/>
      <c r="AK21" s="8"/>
    </row>
    <row r="22" spans="1:37">
      <c r="B22" s="25"/>
      <c r="C22" s="148" t="s">
        <v>2421</v>
      </c>
      <c r="D22" s="148"/>
      <c r="E22" s="170"/>
      <c r="F22" s="170"/>
      <c r="G22" s="170"/>
      <c r="H22" s="170"/>
      <c r="I22" s="170"/>
      <c r="J22" s="131"/>
      <c r="L22" s="71"/>
      <c r="N22" s="123"/>
      <c r="O22" s="129"/>
      <c r="T22" s="132"/>
      <c r="V22" s="172"/>
      <c r="W22" s="172"/>
      <c r="AC22" s="8"/>
      <c r="AD22" s="8"/>
      <c r="AE22" s="8"/>
      <c r="AF22" s="8"/>
      <c r="AG22" s="8"/>
      <c r="AH22" s="8"/>
      <c r="AI22" s="8"/>
      <c r="AK22" s="8"/>
    </row>
    <row r="23" spans="1:37">
      <c r="B23" s="146"/>
      <c r="C23" s="147"/>
      <c r="D23" s="147"/>
      <c r="E23" s="170"/>
      <c r="F23" s="170"/>
      <c r="G23" s="170"/>
      <c r="H23" s="170"/>
      <c r="I23" s="170"/>
      <c r="J23" s="131"/>
      <c r="K23" s="123"/>
      <c r="L23" s="71"/>
      <c r="N23" s="123"/>
      <c r="O23" s="129"/>
      <c r="S23" s="129"/>
      <c r="T23" s="132"/>
      <c r="U23" s="129"/>
      <c r="V23" s="172"/>
      <c r="W23" s="172"/>
      <c r="Y23" s="129"/>
      <c r="AC23" s="8"/>
      <c r="AD23" s="8"/>
      <c r="AE23" s="8"/>
      <c r="AF23" s="8"/>
      <c r="AG23" s="8"/>
      <c r="AH23" s="8"/>
      <c r="AI23" s="8"/>
      <c r="AK23" s="8"/>
    </row>
    <row r="24" spans="1:37">
      <c r="B24" s="149"/>
      <c r="C24" s="148" t="s">
        <v>2422</v>
      </c>
      <c r="D24" s="148"/>
      <c r="E24" s="170"/>
      <c r="F24" s="170"/>
      <c r="G24" s="170"/>
      <c r="H24" s="170"/>
      <c r="I24" s="170"/>
      <c r="J24" s="131"/>
      <c r="K24" s="131"/>
      <c r="L24" s="71"/>
      <c r="T24" s="132"/>
      <c r="U24" s="124"/>
      <c r="V24" s="172"/>
      <c r="W24" s="172"/>
      <c r="Y24" s="124"/>
      <c r="AC24" s="8"/>
      <c r="AD24" s="8"/>
      <c r="AE24" s="8"/>
      <c r="AF24" s="8"/>
      <c r="AG24" s="8"/>
      <c r="AH24" s="8"/>
      <c r="AI24" s="8"/>
      <c r="AK24" s="8"/>
    </row>
    <row r="25" spans="1:37">
      <c r="B25" s="150"/>
      <c r="C25" s="148"/>
      <c r="D25" s="148"/>
      <c r="E25" s="170"/>
      <c r="F25" s="170"/>
      <c r="G25" s="170"/>
      <c r="H25" s="170"/>
      <c r="I25" s="170"/>
      <c r="J25" s="131"/>
      <c r="K25" s="131"/>
      <c r="L25" s="71"/>
      <c r="N25" s="131"/>
      <c r="O25" s="124"/>
      <c r="S25" s="124"/>
      <c r="T25" s="132"/>
      <c r="U25" s="124"/>
      <c r="V25" s="172"/>
      <c r="W25" s="172"/>
      <c r="Y25" s="124"/>
      <c r="AC25" s="8"/>
      <c r="AD25" s="8"/>
      <c r="AE25" s="8"/>
      <c r="AF25" s="8"/>
      <c r="AG25" s="8"/>
      <c r="AH25" s="8"/>
      <c r="AI25" s="8"/>
      <c r="AK25" s="8"/>
    </row>
    <row r="26" spans="1:37" s="496" customFormat="1">
      <c r="B26" s="2527"/>
      <c r="C26" s="186" t="s">
        <v>13522</v>
      </c>
      <c r="D26" s="148"/>
      <c r="E26" s="170"/>
      <c r="F26" s="170"/>
      <c r="G26" s="170"/>
      <c r="H26" s="170"/>
      <c r="I26" s="170"/>
      <c r="J26" s="131"/>
      <c r="K26" s="131"/>
      <c r="L26" s="71"/>
      <c r="M26" s="71"/>
      <c r="N26" s="131"/>
      <c r="O26" s="124"/>
      <c r="P26" s="71"/>
      <c r="Q26" s="71"/>
      <c r="R26" s="71"/>
      <c r="S26" s="124"/>
      <c r="T26" s="132"/>
      <c r="U26" s="124"/>
      <c r="V26" s="172"/>
      <c r="W26" s="172"/>
      <c r="X26" s="75"/>
      <c r="Y26" s="124"/>
    </row>
    <row r="27" spans="1:37" ht="15" thickBot="1">
      <c r="B27" s="185"/>
      <c r="C27" s="186"/>
      <c r="D27" s="186"/>
      <c r="E27" s="185"/>
      <c r="F27" s="185"/>
      <c r="G27" s="185"/>
      <c r="H27" s="185"/>
      <c r="I27" s="185"/>
      <c r="J27" s="135"/>
      <c r="K27" s="131"/>
      <c r="L27" s="71"/>
      <c r="N27" s="131"/>
      <c r="O27" s="124"/>
      <c r="S27" s="124"/>
      <c r="T27" s="132"/>
      <c r="U27" s="124"/>
      <c r="V27" s="172"/>
      <c r="W27" s="172"/>
      <c r="Y27" s="124"/>
      <c r="AC27" s="8"/>
      <c r="AD27" s="8"/>
      <c r="AE27" s="8"/>
      <c r="AF27" s="8"/>
      <c r="AG27" s="8"/>
      <c r="AH27" s="8"/>
      <c r="AI27" s="8"/>
      <c r="AK27" s="8"/>
    </row>
    <row r="28" spans="1:37" s="496" customFormat="1" ht="20.65" customHeight="1" thickBot="1">
      <c r="B28" s="1433" t="s">
        <v>12572</v>
      </c>
      <c r="C28" s="153"/>
      <c r="D28" s="153"/>
      <c r="E28" s="153"/>
      <c r="F28" s="153"/>
      <c r="G28" s="153"/>
      <c r="H28" s="153"/>
      <c r="I28" s="153"/>
      <c r="J28" s="159"/>
      <c r="K28" s="131"/>
      <c r="L28" s="71"/>
      <c r="M28" s="71"/>
      <c r="N28" s="131"/>
      <c r="O28" s="124"/>
      <c r="P28" s="71"/>
      <c r="Q28" s="71"/>
      <c r="R28" s="71"/>
      <c r="S28" s="124"/>
      <c r="T28" s="132"/>
      <c r="U28" s="124"/>
      <c r="V28" s="172"/>
      <c r="W28" s="172"/>
      <c r="X28" s="75"/>
      <c r="Y28" s="124"/>
    </row>
    <row r="29" spans="1:37" s="496" customFormat="1">
      <c r="B29" s="185"/>
      <c r="C29" s="186"/>
      <c r="D29" s="186"/>
      <c r="E29" s="185"/>
      <c r="F29" s="185"/>
      <c r="G29" s="185"/>
      <c r="H29" s="185"/>
      <c r="I29" s="185"/>
      <c r="J29" s="135"/>
      <c r="K29" s="131"/>
      <c r="L29" s="71"/>
      <c r="M29" s="71"/>
      <c r="N29" s="131"/>
      <c r="O29" s="124"/>
      <c r="P29" s="71"/>
      <c r="Q29" s="71"/>
      <c r="R29" s="71"/>
      <c r="S29" s="124"/>
      <c r="T29" s="132"/>
      <c r="U29" s="124"/>
      <c r="V29" s="172"/>
      <c r="W29" s="172"/>
      <c r="X29" s="75"/>
      <c r="Y29" s="124"/>
    </row>
    <row r="30" spans="1:37" ht="19.5" hidden="1" thickBot="1">
      <c r="A30" s="1649"/>
      <c r="B30" s="151" t="str">
        <f ca="1" xml:space="preserve"> RIGHT(CELL("filename", $A$1), LEN(CELL("filename", $A$1)) - SEARCH("]", CELL("filename", $A$1)))&amp;" - Line definitions"</f>
        <v>4G - Line definitions</v>
      </c>
      <c r="C30" s="152"/>
      <c r="D30" s="152"/>
      <c r="E30" s="153"/>
      <c r="F30" s="153"/>
      <c r="G30" s="153"/>
      <c r="H30" s="153"/>
      <c r="I30" s="153"/>
      <c r="J30" s="159"/>
      <c r="K30" s="131"/>
      <c r="L30" s="71"/>
      <c r="N30" s="131"/>
      <c r="O30" s="124"/>
      <c r="S30" s="124"/>
      <c r="T30" s="132"/>
      <c r="U30" s="124"/>
      <c r="V30" s="172"/>
      <c r="W30" s="172"/>
      <c r="Y30" s="124"/>
      <c r="AC30" s="8"/>
      <c r="AD30" s="8"/>
      <c r="AE30" s="8"/>
      <c r="AF30" s="8"/>
      <c r="AG30" s="8"/>
      <c r="AH30" s="8"/>
      <c r="AI30" s="8"/>
      <c r="AK30" s="8"/>
    </row>
    <row r="31" spans="1:37" ht="15" hidden="1" thickBot="1">
      <c r="A31" s="1649"/>
      <c r="B31" s="75"/>
      <c r="C31" s="160"/>
      <c r="D31" s="160"/>
      <c r="E31" s="75"/>
      <c r="F31" s="75"/>
      <c r="G31" s="75"/>
      <c r="H31" s="115"/>
      <c r="I31" s="115"/>
      <c r="J31" s="123"/>
      <c r="K31" s="131"/>
      <c r="L31" s="71"/>
      <c r="T31" s="132"/>
      <c r="U31" s="124"/>
      <c r="V31" s="172"/>
      <c r="W31" s="172"/>
      <c r="Y31" s="124"/>
      <c r="AC31" s="8"/>
      <c r="AD31" s="8"/>
      <c r="AE31" s="8"/>
      <c r="AF31" s="8"/>
      <c r="AG31" s="8"/>
      <c r="AH31" s="8"/>
      <c r="AI31" s="8"/>
      <c r="AK31" s="8"/>
    </row>
    <row r="32" spans="1:37" ht="15" hidden="1" thickBot="1">
      <c r="A32" s="1649"/>
      <c r="B32" s="161" t="s">
        <v>2423</v>
      </c>
      <c r="C32" s="3395" t="s">
        <v>2424</v>
      </c>
      <c r="D32" s="3395"/>
      <c r="E32" s="3395"/>
      <c r="F32" s="3395"/>
      <c r="G32" s="3395"/>
      <c r="H32" s="3395"/>
      <c r="I32" s="3396"/>
      <c r="J32" s="3397"/>
      <c r="K32" s="131"/>
      <c r="L32" s="71"/>
      <c r="P32" s="90" t="s">
        <v>2425</v>
      </c>
      <c r="T32" s="132"/>
      <c r="U32" s="124"/>
      <c r="V32" s="172"/>
      <c r="W32" s="172"/>
      <c r="Y32" s="124"/>
      <c r="AC32" s="8"/>
      <c r="AD32" s="8"/>
      <c r="AE32" s="8"/>
      <c r="AF32" s="8"/>
      <c r="AG32" s="8"/>
      <c r="AH32" s="8"/>
      <c r="AI32" s="8"/>
      <c r="AK32" s="8"/>
    </row>
    <row r="33" spans="1:37" ht="26.25" hidden="1" customHeight="1">
      <c r="A33" s="1649"/>
      <c r="B33" s="188" t="str">
        <f>B5</f>
        <v>4G.1</v>
      </c>
      <c r="C33" s="3216" t="s">
        <v>3686</v>
      </c>
      <c r="D33" s="3216"/>
      <c r="E33" s="3216"/>
      <c r="F33" s="3216"/>
      <c r="G33" s="3216"/>
      <c r="H33" s="3216"/>
      <c r="I33" s="3234"/>
      <c r="J33" s="3217"/>
      <c r="K33" s="131"/>
      <c r="L33" s="71"/>
      <c r="N33" s="131"/>
      <c r="O33" s="124"/>
      <c r="P33" s="210" t="s">
        <v>2428</v>
      </c>
      <c r="S33" s="124"/>
      <c r="T33" s="132"/>
      <c r="U33" s="124"/>
      <c r="V33" s="172"/>
      <c r="W33" s="172"/>
      <c r="Y33" s="124"/>
      <c r="AC33" s="8"/>
      <c r="AD33" s="8"/>
      <c r="AE33" s="8"/>
      <c r="AF33" s="8"/>
      <c r="AG33" s="8"/>
      <c r="AH33" s="8"/>
      <c r="AI33" s="8"/>
      <c r="AK33" s="8"/>
    </row>
    <row r="34" spans="1:37" ht="23.25" hidden="1" customHeight="1">
      <c r="A34" s="1649"/>
      <c r="B34" s="166" t="str">
        <f>B6</f>
        <v>4G.2</v>
      </c>
      <c r="C34" s="3198" t="s">
        <v>13514</v>
      </c>
      <c r="D34" s="3198"/>
      <c r="E34" s="3198"/>
      <c r="F34" s="3198"/>
      <c r="G34" s="3198"/>
      <c r="H34" s="3198"/>
      <c r="I34" s="3225"/>
      <c r="J34" s="3199"/>
      <c r="K34" s="131"/>
      <c r="L34" s="71"/>
      <c r="N34" s="123"/>
      <c r="O34" s="129"/>
      <c r="P34" s="210" t="s">
        <v>2428</v>
      </c>
      <c r="Q34" s="211"/>
      <c r="R34" s="211"/>
      <c r="S34" s="129"/>
      <c r="T34" s="86"/>
      <c r="U34" s="129"/>
      <c r="Y34" s="129"/>
      <c r="AC34" s="8"/>
      <c r="AD34" s="8"/>
      <c r="AE34" s="8"/>
      <c r="AF34" s="8"/>
      <c r="AG34" s="8"/>
      <c r="AH34" s="8"/>
      <c r="AI34" s="8"/>
      <c r="AK34" s="8"/>
    </row>
    <row r="35" spans="1:37" ht="23.25" hidden="1" customHeight="1">
      <c r="A35" s="1649"/>
      <c r="B35" s="166" t="str">
        <f>B7</f>
        <v>4G.3</v>
      </c>
      <c r="C35" s="3198" t="s">
        <v>3687</v>
      </c>
      <c r="D35" s="3198"/>
      <c r="E35" s="3198"/>
      <c r="F35" s="3198"/>
      <c r="G35" s="3198"/>
      <c r="H35" s="3198"/>
      <c r="I35" s="3225"/>
      <c r="J35" s="3199"/>
      <c r="K35" s="131"/>
      <c r="L35" s="71"/>
      <c r="N35" s="123"/>
      <c r="O35" s="129"/>
      <c r="P35" s="210" t="s">
        <v>2428</v>
      </c>
      <c r="Q35" s="211"/>
      <c r="R35" s="211"/>
      <c r="S35" s="129"/>
      <c r="T35" s="86"/>
      <c r="U35" s="129"/>
      <c r="Y35" s="129"/>
      <c r="AC35" s="8"/>
      <c r="AD35" s="8"/>
      <c r="AE35" s="8"/>
      <c r="AF35" s="8"/>
      <c r="AG35" s="8"/>
      <c r="AH35" s="8"/>
      <c r="AI35" s="8"/>
      <c r="AK35" s="8"/>
    </row>
    <row r="36" spans="1:37" ht="13.5" hidden="1" customHeight="1">
      <c r="A36" s="1649"/>
      <c r="B36" s="166" t="str">
        <f t="shared" ref="B36:B37" si="11">B8</f>
        <v>4G.4</v>
      </c>
      <c r="C36" s="3198" t="s">
        <v>3688</v>
      </c>
      <c r="D36" s="3198"/>
      <c r="E36" s="3198"/>
      <c r="F36" s="3198"/>
      <c r="G36" s="3198"/>
      <c r="H36" s="3198"/>
      <c r="I36" s="3225"/>
      <c r="J36" s="3199"/>
      <c r="K36" s="131"/>
      <c r="L36" s="71"/>
      <c r="N36" s="123"/>
      <c r="O36" s="129"/>
      <c r="P36" s="210">
        <v>1</v>
      </c>
      <c r="Q36" s="211"/>
      <c r="R36" s="211"/>
      <c r="S36" s="129"/>
      <c r="T36" s="86"/>
      <c r="U36" s="129"/>
      <c r="Y36" s="129"/>
      <c r="AC36" s="8"/>
      <c r="AD36" s="8"/>
      <c r="AE36" s="8"/>
      <c r="AF36" s="8"/>
      <c r="AG36" s="8"/>
      <c r="AH36" s="8"/>
      <c r="AI36" s="8"/>
      <c r="AK36" s="8"/>
    </row>
    <row r="37" spans="1:37" hidden="1">
      <c r="A37" s="1649"/>
      <c r="B37" s="166" t="str">
        <f t="shared" si="11"/>
        <v>4G.5</v>
      </c>
      <c r="C37" s="3198" t="s">
        <v>2784</v>
      </c>
      <c r="D37" s="3198"/>
      <c r="E37" s="3198"/>
      <c r="F37" s="3198"/>
      <c r="G37" s="3198"/>
      <c r="H37" s="3198"/>
      <c r="I37" s="3225"/>
      <c r="J37" s="3199"/>
      <c r="K37" s="131"/>
      <c r="L37" s="71"/>
      <c r="P37" s="210">
        <v>1</v>
      </c>
      <c r="Q37" s="211"/>
      <c r="R37" s="211"/>
      <c r="T37" s="294"/>
      <c r="U37" s="129"/>
      <c r="Y37" s="129"/>
      <c r="AC37" s="8"/>
      <c r="AD37" s="8"/>
      <c r="AE37" s="8"/>
      <c r="AF37" s="8"/>
      <c r="AG37" s="8"/>
      <c r="AH37" s="8"/>
      <c r="AI37" s="8"/>
      <c r="AK37" s="8"/>
    </row>
    <row r="38" spans="1:37" hidden="1">
      <c r="A38" s="1649"/>
      <c r="B38" s="166" t="str">
        <f>B11</f>
        <v>4G.6</v>
      </c>
      <c r="C38" s="3198" t="s">
        <v>13515</v>
      </c>
      <c r="D38" s="3198"/>
      <c r="E38" s="3198"/>
      <c r="F38" s="3198"/>
      <c r="G38" s="3198"/>
      <c r="H38" s="3198"/>
      <c r="I38" s="3225"/>
      <c r="J38" s="3199"/>
      <c r="K38" s="131"/>
      <c r="L38" s="71"/>
      <c r="P38" s="210">
        <v>1</v>
      </c>
      <c r="Q38" s="211"/>
      <c r="R38" s="211"/>
      <c r="U38" s="129"/>
      <c r="Y38" s="129"/>
      <c r="AC38" s="8"/>
      <c r="AD38" s="8"/>
      <c r="AE38" s="8"/>
      <c r="AF38" s="8"/>
      <c r="AG38" s="8"/>
      <c r="AH38" s="8"/>
      <c r="AI38" s="8"/>
      <c r="AK38" s="8"/>
    </row>
    <row r="39" spans="1:37" hidden="1">
      <c r="A39" s="1649"/>
      <c r="B39" s="166" t="str">
        <f t="shared" ref="B39:B42" si="12">B12</f>
        <v>4G.7</v>
      </c>
      <c r="C39" s="3198" t="s">
        <v>3912</v>
      </c>
      <c r="D39" s="3198"/>
      <c r="E39" s="3198"/>
      <c r="F39" s="3198"/>
      <c r="G39" s="3198"/>
      <c r="H39" s="3198"/>
      <c r="I39" s="3225"/>
      <c r="J39" s="3199"/>
      <c r="K39" s="135"/>
      <c r="L39" s="71"/>
      <c r="P39" s="210">
        <v>1</v>
      </c>
      <c r="Q39" s="211"/>
      <c r="R39" s="211"/>
      <c r="U39" s="129"/>
      <c r="Y39" s="129"/>
      <c r="AC39" s="8"/>
      <c r="AD39" s="8"/>
      <c r="AE39" s="8"/>
      <c r="AF39" s="8"/>
      <c r="AG39" s="8"/>
      <c r="AH39" s="8"/>
      <c r="AI39" s="8"/>
      <c r="AK39" s="8"/>
    </row>
    <row r="40" spans="1:37" hidden="1">
      <c r="A40" s="1649"/>
      <c r="B40" s="166" t="str">
        <f t="shared" si="12"/>
        <v>4G.8</v>
      </c>
      <c r="C40" s="3198" t="s">
        <v>3913</v>
      </c>
      <c r="D40" s="3198"/>
      <c r="E40" s="3198"/>
      <c r="F40" s="3198"/>
      <c r="G40" s="3198"/>
      <c r="H40" s="3198"/>
      <c r="I40" s="3225"/>
      <c r="J40" s="3199"/>
      <c r="K40" s="135"/>
      <c r="L40" s="71"/>
      <c r="P40" s="210">
        <v>1</v>
      </c>
      <c r="Q40" s="211"/>
      <c r="R40" s="211"/>
      <c r="U40" s="129"/>
      <c r="V40" s="71"/>
      <c r="W40" s="71"/>
      <c r="X40" s="71"/>
      <c r="Y40" s="129"/>
      <c r="AC40" s="8"/>
      <c r="AD40" s="8"/>
      <c r="AE40" s="8"/>
      <c r="AF40" s="8"/>
      <c r="AG40" s="8"/>
      <c r="AH40" s="8"/>
      <c r="AI40" s="8"/>
      <c r="AK40" s="8"/>
    </row>
    <row r="41" spans="1:37" hidden="1">
      <c r="A41" s="1649"/>
      <c r="B41" s="166" t="str">
        <f t="shared" si="12"/>
        <v>4G.9</v>
      </c>
      <c r="C41" s="3198" t="s">
        <v>3914</v>
      </c>
      <c r="D41" s="3198"/>
      <c r="E41" s="3198"/>
      <c r="F41" s="3198"/>
      <c r="G41" s="3198"/>
      <c r="H41" s="3198"/>
      <c r="I41" s="3225"/>
      <c r="J41" s="3199"/>
      <c r="K41" s="135"/>
      <c r="L41" s="71"/>
      <c r="P41" s="210">
        <v>1</v>
      </c>
      <c r="Q41" s="211"/>
      <c r="R41" s="211"/>
      <c r="U41" s="129"/>
      <c r="V41" s="170"/>
      <c r="W41" s="170"/>
      <c r="X41" s="170"/>
      <c r="Y41" s="129"/>
      <c r="AC41" s="8"/>
      <c r="AD41" s="8"/>
      <c r="AE41" s="8"/>
      <c r="AF41" s="8"/>
      <c r="AG41" s="8"/>
      <c r="AH41" s="8"/>
      <c r="AI41" s="8"/>
      <c r="AK41" s="8"/>
    </row>
    <row r="42" spans="1:37" hidden="1">
      <c r="A42" s="1649"/>
      <c r="B42" s="166" t="str">
        <f t="shared" si="12"/>
        <v>4G.10</v>
      </c>
      <c r="C42" s="3198" t="s">
        <v>2785</v>
      </c>
      <c r="D42" s="3198"/>
      <c r="E42" s="3198"/>
      <c r="F42" s="3198"/>
      <c r="G42" s="3198"/>
      <c r="H42" s="3198"/>
      <c r="I42" s="3225"/>
      <c r="J42" s="3199"/>
      <c r="K42" s="135"/>
      <c r="L42" s="71"/>
      <c r="N42" s="123"/>
      <c r="O42" s="129"/>
      <c r="P42" s="210">
        <v>1</v>
      </c>
      <c r="Q42" s="211"/>
      <c r="R42" s="211"/>
      <c r="S42" s="129"/>
      <c r="U42" s="129"/>
      <c r="V42" s="170"/>
      <c r="W42" s="170"/>
      <c r="X42" s="170"/>
      <c r="Y42" s="129"/>
      <c r="AC42" s="8"/>
      <c r="AD42" s="8"/>
      <c r="AE42" s="8"/>
      <c r="AF42" s="8"/>
      <c r="AG42" s="8"/>
      <c r="AH42" s="8"/>
      <c r="AI42" s="8"/>
      <c r="AK42" s="8"/>
    </row>
    <row r="43" spans="1:37" hidden="1">
      <c r="A43" s="1649"/>
      <c r="B43" s="166" t="str">
        <f>B17</f>
        <v>4G.11</v>
      </c>
      <c r="C43" s="3198" t="s">
        <v>3915</v>
      </c>
      <c r="D43" s="3198"/>
      <c r="E43" s="3198"/>
      <c r="F43" s="3198"/>
      <c r="G43" s="3198"/>
      <c r="H43" s="3198"/>
      <c r="I43" s="3225"/>
      <c r="J43" s="3199"/>
      <c r="K43" s="135"/>
      <c r="L43" s="71"/>
      <c r="P43" s="210">
        <v>1</v>
      </c>
      <c r="Q43" s="211"/>
      <c r="R43" s="211"/>
      <c r="V43" s="170"/>
      <c r="W43" s="170"/>
      <c r="X43" s="170"/>
      <c r="AC43" s="8"/>
      <c r="AD43" s="8"/>
      <c r="AE43" s="8"/>
      <c r="AF43" s="8"/>
      <c r="AG43" s="8"/>
      <c r="AH43" s="8"/>
      <c r="AI43" s="8"/>
      <c r="AK43" s="8"/>
    </row>
    <row r="44" spans="1:37" ht="15" hidden="1" thickBot="1">
      <c r="A44" s="1649"/>
      <c r="B44" s="190" t="str">
        <f>B18</f>
        <v>4G.12</v>
      </c>
      <c r="C44" s="3218" t="s">
        <v>2786</v>
      </c>
      <c r="D44" s="3218"/>
      <c r="E44" s="3218"/>
      <c r="F44" s="3218"/>
      <c r="G44" s="3218"/>
      <c r="H44" s="3218"/>
      <c r="I44" s="3228"/>
      <c r="J44" s="3219"/>
      <c r="K44" s="135"/>
      <c r="L44" s="71"/>
      <c r="P44" s="210">
        <v>1</v>
      </c>
      <c r="Q44" s="211"/>
      <c r="R44" s="211"/>
      <c r="V44" s="170"/>
      <c r="W44" s="170"/>
      <c r="X44" s="170"/>
      <c r="AC44" s="8"/>
      <c r="AD44" s="8"/>
      <c r="AE44" s="8"/>
      <c r="AF44" s="8"/>
      <c r="AG44" s="8"/>
      <c r="AH44" s="8"/>
      <c r="AI44" s="8"/>
      <c r="AK44" s="8"/>
    </row>
    <row r="45" spans="1:37" hidden="1">
      <c r="A45" s="1649"/>
      <c r="B45" s="212"/>
      <c r="C45" s="213"/>
      <c r="D45" s="213"/>
      <c r="E45" s="213"/>
      <c r="F45" s="213"/>
      <c r="G45" s="213"/>
      <c r="H45" s="213"/>
      <c r="I45" s="213"/>
      <c r="J45" s="213"/>
      <c r="K45" s="135"/>
      <c r="L45" s="71"/>
      <c r="P45" s="214"/>
      <c r="Q45" s="211"/>
      <c r="R45" s="211"/>
      <c r="T45" s="132"/>
      <c r="U45" s="124"/>
      <c r="V45" s="172"/>
      <c r="W45" s="496"/>
      <c r="X45" s="496"/>
      <c r="Y45" s="496"/>
      <c r="AC45" s="8"/>
      <c r="AD45" s="8"/>
      <c r="AE45" s="8"/>
      <c r="AF45" s="8"/>
      <c r="AG45" s="8"/>
      <c r="AH45" s="8"/>
      <c r="AI45" s="8"/>
      <c r="AK45" s="8"/>
    </row>
    <row r="46" spans="1:37" ht="14.25" hidden="1" customHeight="1">
      <c r="A46" s="1649"/>
      <c r="B46" s="212"/>
      <c r="C46" s="213"/>
      <c r="D46" s="213"/>
      <c r="E46" s="213"/>
      <c r="F46" s="213"/>
      <c r="G46" s="213"/>
      <c r="H46" s="213"/>
      <c r="I46" s="213"/>
      <c r="J46" s="213"/>
      <c r="K46" s="135"/>
      <c r="L46" s="71"/>
      <c r="P46" s="214"/>
      <c r="Q46" s="211"/>
      <c r="R46" s="211"/>
      <c r="T46" s="132"/>
      <c r="U46" s="124"/>
      <c r="V46" s="172"/>
      <c r="W46" s="496"/>
      <c r="X46" s="496"/>
      <c r="Y46" s="496"/>
      <c r="AC46" s="8"/>
      <c r="AD46" s="8"/>
      <c r="AE46" s="8"/>
      <c r="AF46" s="8"/>
      <c r="AG46" s="8"/>
      <c r="AH46" s="8"/>
      <c r="AI46" s="8"/>
      <c r="AK46" s="8"/>
    </row>
  </sheetData>
  <mergeCells count="17">
    <mergeCell ref="C41:J41"/>
    <mergeCell ref="C42:J42"/>
    <mergeCell ref="C43:J43"/>
    <mergeCell ref="C44:J44"/>
    <mergeCell ref="C35:J35"/>
    <mergeCell ref="C36:J36"/>
    <mergeCell ref="C37:J37"/>
    <mergeCell ref="C38:J38"/>
    <mergeCell ref="C39:J39"/>
    <mergeCell ref="C40:J40"/>
    <mergeCell ref="AC3:AD3"/>
    <mergeCell ref="C34:J34"/>
    <mergeCell ref="B3:C3"/>
    <mergeCell ref="P3:Q3"/>
    <mergeCell ref="B20:C20"/>
    <mergeCell ref="C32:J32"/>
    <mergeCell ref="C33:J33"/>
  </mergeCells>
  <conditionalFormatting sqref="M17 M7 M11:M14">
    <cfRule type="cellIs" dxfId="172" priority="10" operator="equal">
      <formula>0</formula>
    </cfRule>
  </conditionalFormatting>
  <conditionalFormatting sqref="L12:L14 L17">
    <cfRule type="cellIs" dxfId="171" priority="8" operator="equal">
      <formula>0</formula>
    </cfRule>
  </conditionalFormatting>
  <conditionalFormatting sqref="L12:L14">
    <cfRule type="cellIs" dxfId="170" priority="7" operator="equal">
      <formula>0</formula>
    </cfRule>
  </conditionalFormatting>
  <conditionalFormatting sqref="L17">
    <cfRule type="cellIs" dxfId="169" priority="6" operator="equal">
      <formula>0</formula>
    </cfRule>
  </conditionalFormatting>
  <conditionalFormatting sqref="L17">
    <cfRule type="cellIs" dxfId="168" priority="5" operator="equal">
      <formula>0</formula>
    </cfRule>
  </conditionalFormatting>
  <conditionalFormatting sqref="M6">
    <cfRule type="cellIs" dxfId="167" priority="4" operator="equal">
      <formula>0</formula>
    </cfRule>
  </conditionalFormatting>
  <conditionalFormatting sqref="I5:I9 I11:I15 I17:I18">
    <cfRule type="expression" dxfId="166"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8.xml><?xml version="1.0" encoding="utf-8"?>
<worksheet xmlns="http://schemas.openxmlformats.org/spreadsheetml/2006/main" xmlns:r="http://schemas.openxmlformats.org/officeDocument/2006/relationships">
  <sheetPr codeName="Sheet34">
    <pageSetUpPr fitToPage="1"/>
  </sheetPr>
  <dimension ref="A1:AJ98"/>
  <sheetViews>
    <sheetView workbookViewId="0"/>
  </sheetViews>
  <sheetFormatPr defaultColWidth="0" defaultRowHeight="14.25" zeroHeight="1"/>
  <cols>
    <col min="1" max="1" width="0.625" style="71" customWidth="1"/>
    <col min="2" max="2" width="7.125" style="71" customWidth="1"/>
    <col min="3" max="3" width="60.625" style="71" customWidth="1"/>
    <col min="4" max="4" width="0.25" style="71" customWidth="1"/>
    <col min="5" max="6" width="5.125" style="71" customWidth="1"/>
    <col min="7" max="8" width="12.5" style="71" customWidth="1"/>
    <col min="9" max="9" width="2.625" style="71" customWidth="1"/>
    <col min="10" max="10" width="28.625" style="75" customWidth="1"/>
    <col min="11" max="11" width="26.5" style="71" customWidth="1"/>
    <col min="12" max="12" width="1.625" style="71" customWidth="1"/>
    <col min="13" max="13" width="1.625" style="72" hidden="1" customWidth="1"/>
    <col min="14" max="15" width="10.25" style="71" hidden="1" customWidth="1"/>
    <col min="16" max="16" width="1.625" style="72" hidden="1" customWidth="1"/>
    <col min="17" max="17" width="8.125" style="75" hidden="1" customWidth="1"/>
    <col min="18" max="18" width="1.625" style="72" hidden="1" customWidth="1"/>
    <col min="19" max="20" width="8.125" style="75" hidden="1" customWidth="1"/>
    <col min="21" max="21" width="118.5" style="75" hidden="1" customWidth="1"/>
    <col min="22" max="22" width="1.625" style="72" hidden="1" customWidth="1"/>
    <col min="23" max="23" width="3.625" style="71" hidden="1" customWidth="1"/>
    <col min="24" max="24" width="8.125" style="71" hidden="1" customWidth="1"/>
    <col min="25" max="27" width="8.625" style="71" hidden="1" customWidth="1"/>
    <col min="28" max="28" width="8.625" style="71" customWidth="1"/>
    <col min="29" max="29" width="7.125" style="71" customWidth="1"/>
    <col min="30" max="30" width="60.625" style="71" customWidth="1"/>
    <col min="31" max="31" width="1.125" style="71" hidden="1" customWidth="1"/>
    <col min="32" max="33" width="5.125" style="71" customWidth="1"/>
    <col min="34" max="34" width="12.5" style="71" customWidth="1"/>
    <col min="35" max="35" width="10.75" style="71" customWidth="1"/>
    <col min="36" max="36" width="2.25" style="71" customWidth="1"/>
    <col min="37" max="16384" width="8.125" style="71" hidden="1"/>
  </cols>
  <sheetData>
    <row r="1" spans="2:35" ht="18.75">
      <c r="B1" s="67" t="s">
        <v>2787</v>
      </c>
      <c r="C1" s="67"/>
      <c r="D1" s="67"/>
      <c r="E1" s="67"/>
      <c r="F1" s="67"/>
      <c r="G1" s="69" t="str">
        <f>Validation!B3</f>
        <v>South West Water – South West area</v>
      </c>
      <c r="H1" s="69"/>
      <c r="I1" s="67"/>
      <c r="J1" s="70"/>
      <c r="K1" s="70" t="s">
        <v>2394</v>
      </c>
      <c r="Q1" s="71"/>
      <c r="S1" s="8"/>
      <c r="T1" s="8"/>
      <c r="U1" s="8"/>
      <c r="AC1" s="67" t="s">
        <v>6671</v>
      </c>
      <c r="AD1" s="67"/>
      <c r="AE1" s="67"/>
      <c r="AF1" s="67"/>
      <c r="AG1" s="67"/>
      <c r="AH1" s="69"/>
      <c r="AI1" s="69"/>
    </row>
    <row r="2" spans="2:35" ht="15" thickBot="1">
      <c r="B2" s="74" t="s">
        <v>12524</v>
      </c>
      <c r="J2" s="71"/>
      <c r="Q2" s="71"/>
      <c r="AC2" s="74" t="str">
        <f>+B2</f>
        <v>For the 12 months ended 31 March 2019</v>
      </c>
    </row>
    <row r="3" spans="2:35" ht="15" customHeight="1">
      <c r="B3" s="3287" t="s">
        <v>2395</v>
      </c>
      <c r="C3" s="3288"/>
      <c r="D3" s="1456" t="s">
        <v>6495</v>
      </c>
      <c r="E3" s="3291" t="s">
        <v>2396</v>
      </c>
      <c r="F3" s="3293" t="s">
        <v>2397</v>
      </c>
      <c r="G3" s="3208" t="s">
        <v>2642</v>
      </c>
      <c r="H3" s="3208" t="s">
        <v>12607</v>
      </c>
      <c r="I3" s="170"/>
      <c r="J3" s="3213" t="s">
        <v>2577</v>
      </c>
      <c r="K3" s="3213" t="s">
        <v>1361</v>
      </c>
      <c r="L3" s="170"/>
      <c r="AC3" s="3287" t="s">
        <v>2395</v>
      </c>
      <c r="AD3" s="3288"/>
      <c r="AE3" s="2735" t="s">
        <v>6495</v>
      </c>
      <c r="AF3" s="3291" t="s">
        <v>2396</v>
      </c>
      <c r="AG3" s="3293" t="s">
        <v>2397</v>
      </c>
      <c r="AH3" s="3208" t="s">
        <v>2642</v>
      </c>
      <c r="AI3" s="3208" t="s">
        <v>12607</v>
      </c>
    </row>
    <row r="4" spans="2:35" ht="36.75" thickBot="1">
      <c r="B4" s="3289"/>
      <c r="C4" s="3290"/>
      <c r="D4" s="1457"/>
      <c r="E4" s="3292"/>
      <c r="F4" s="3294"/>
      <c r="G4" s="3209"/>
      <c r="H4" s="3209"/>
      <c r="I4" s="170"/>
      <c r="J4" s="3427"/>
      <c r="K4" s="3214"/>
      <c r="N4" s="98" t="s">
        <v>2404</v>
      </c>
      <c r="O4" s="98"/>
      <c r="Q4" s="79" t="s">
        <v>2390</v>
      </c>
      <c r="S4" s="77" t="s">
        <v>2578</v>
      </c>
      <c r="T4" s="79"/>
      <c r="U4" s="79"/>
      <c r="Z4" s="83"/>
      <c r="AC4" s="3289"/>
      <c r="AD4" s="3290"/>
      <c r="AE4" s="2736"/>
      <c r="AF4" s="3292"/>
      <c r="AG4" s="3294"/>
      <c r="AH4" s="3209"/>
      <c r="AI4" s="3209"/>
    </row>
    <row r="5" spans="2:35" ht="15" thickBot="1">
      <c r="I5" s="170"/>
      <c r="N5" s="171" t="s">
        <v>2405</v>
      </c>
      <c r="O5" s="171"/>
      <c r="Q5" s="8"/>
    </row>
    <row r="6" spans="2:35" ht="15" thickBot="1">
      <c r="B6" s="118" t="s">
        <v>2449</v>
      </c>
      <c r="C6" s="119" t="s">
        <v>3689</v>
      </c>
      <c r="D6" s="1584"/>
      <c r="I6" s="170"/>
      <c r="N6" s="171"/>
      <c r="O6" s="171"/>
      <c r="Q6" s="496"/>
      <c r="AC6" s="118" t="s">
        <v>2449</v>
      </c>
      <c r="AD6" s="119" t="s">
        <v>3689</v>
      </c>
      <c r="AE6" s="1584"/>
    </row>
    <row r="7" spans="2:35">
      <c r="B7" s="91" t="s">
        <v>5287</v>
      </c>
      <c r="C7" s="122" t="s">
        <v>2788</v>
      </c>
      <c r="D7" s="122"/>
      <c r="E7" s="93" t="s">
        <v>750</v>
      </c>
      <c r="F7" s="94">
        <v>3</v>
      </c>
      <c r="G7" s="910">
        <f>'1E'!J11</f>
        <v>0</v>
      </c>
      <c r="I7" s="170"/>
      <c r="N7" s="132"/>
      <c r="O7" s="132"/>
      <c r="Q7" s="132"/>
      <c r="S7" s="172"/>
      <c r="T7" s="172"/>
      <c r="AC7" s="91" t="str">
        <f>+B7</f>
        <v>4H.1</v>
      </c>
      <c r="AD7" s="122" t="s">
        <v>2788</v>
      </c>
      <c r="AE7" s="122"/>
      <c r="AF7" s="93" t="s">
        <v>750</v>
      </c>
      <c r="AG7" s="94">
        <v>3</v>
      </c>
      <c r="AH7" s="2339" t="str">
        <f>'1E'!AI11</f>
        <v>BO4075</v>
      </c>
    </row>
    <row r="8" spans="2:35">
      <c r="B8" s="99" t="s">
        <v>5288</v>
      </c>
      <c r="C8" s="92" t="s">
        <v>2789</v>
      </c>
      <c r="D8" s="92"/>
      <c r="E8" s="100" t="s">
        <v>750</v>
      </c>
      <c r="F8" s="101">
        <v>3</v>
      </c>
      <c r="G8" s="395">
        <f>IF(Validation!$H$3=1, '4C'!G10 - '1E'!J11, '4C'!G10 +'4C'!H10 + '4C'!I10 - '1E'!J11)</f>
        <v>0</v>
      </c>
      <c r="I8" s="170"/>
      <c r="N8" s="132"/>
      <c r="O8" s="132"/>
      <c r="Q8" s="132"/>
      <c r="S8" s="172"/>
      <c r="T8" s="172"/>
      <c r="AC8" s="99" t="str">
        <f t="shared" ref="AC8:AC24" si="0">+B8</f>
        <v>4H.2</v>
      </c>
      <c r="AD8" s="92" t="s">
        <v>2789</v>
      </c>
      <c r="AE8" s="92"/>
      <c r="AF8" s="100" t="s">
        <v>750</v>
      </c>
      <c r="AG8" s="101">
        <v>3</v>
      </c>
      <c r="AH8" s="395" t="s">
        <v>10796</v>
      </c>
    </row>
    <row r="9" spans="2:35">
      <c r="B9" s="99" t="s">
        <v>5289</v>
      </c>
      <c r="C9" s="92" t="s">
        <v>2790</v>
      </c>
      <c r="D9" s="92"/>
      <c r="E9" s="100" t="s">
        <v>76</v>
      </c>
      <c r="F9" s="101">
        <v>2</v>
      </c>
      <c r="G9" s="911">
        <f>'1E'!J13</f>
        <v>0</v>
      </c>
      <c r="I9" s="170"/>
      <c r="N9" s="132"/>
      <c r="O9" s="132"/>
      <c r="Q9" s="132"/>
      <c r="S9" s="172"/>
      <c r="T9" s="172"/>
      <c r="AC9" s="99" t="str">
        <f t="shared" si="0"/>
        <v>4H.3</v>
      </c>
      <c r="AD9" s="92" t="s">
        <v>2790</v>
      </c>
      <c r="AE9" s="92"/>
      <c r="AF9" s="100" t="s">
        <v>76</v>
      </c>
      <c r="AG9" s="101">
        <v>2</v>
      </c>
      <c r="AH9" s="2340" t="str">
        <f>'1E'!AI13</f>
        <v>FI00300</v>
      </c>
    </row>
    <row r="10" spans="2:35">
      <c r="B10" s="99" t="s">
        <v>5292</v>
      </c>
      <c r="C10" s="92" t="s">
        <v>2791</v>
      </c>
      <c r="D10" s="92"/>
      <c r="E10" s="100" t="s">
        <v>76</v>
      </c>
      <c r="F10" s="101">
        <v>2</v>
      </c>
      <c r="G10" s="694"/>
      <c r="I10" s="170"/>
      <c r="K10" s="24" t="str">
        <f xml:space="preserve"> IF( SUM( M10:P10 ) = 0, 0, $N$5 )</f>
        <v>Please complete all cells in row</v>
      </c>
      <c r="N10" s="98">
        <f t="shared" ref="N10:O16" si="1" xml:space="preserve"> IF( ISNUMBER( G10 ), 0, 1 )</f>
        <v>1</v>
      </c>
      <c r="O10" s="98"/>
      <c r="Q10" s="132"/>
      <c r="S10" s="172"/>
      <c r="T10" s="172"/>
      <c r="AC10" s="99" t="str">
        <f t="shared" si="0"/>
        <v>4H.4</v>
      </c>
      <c r="AD10" s="92" t="s">
        <v>2791</v>
      </c>
      <c r="AE10" s="92"/>
      <c r="AF10" s="100" t="s">
        <v>76</v>
      </c>
      <c r="AG10" s="101">
        <v>2</v>
      </c>
      <c r="AH10" s="2934" t="s">
        <v>10797</v>
      </c>
    </row>
    <row r="11" spans="2:35">
      <c r="B11" s="99" t="s">
        <v>5293</v>
      </c>
      <c r="C11" s="92" t="s">
        <v>2792</v>
      </c>
      <c r="D11" s="92"/>
      <c r="E11" s="100" t="s">
        <v>76</v>
      </c>
      <c r="F11" s="101">
        <v>2</v>
      </c>
      <c r="G11" s="2721"/>
      <c r="H11" s="2719"/>
      <c r="I11" s="170"/>
      <c r="K11" s="24" t="str">
        <f xml:space="preserve"> IF( SUM( M11:P11 ) = 0, 0, $N$5 )</f>
        <v>Please complete all cells in row</v>
      </c>
      <c r="N11" s="98">
        <f t="shared" si="1"/>
        <v>1</v>
      </c>
      <c r="O11" s="98">
        <f t="shared" si="1"/>
        <v>1</v>
      </c>
      <c r="Q11" s="132"/>
      <c r="S11" s="172"/>
      <c r="T11" s="172"/>
      <c r="AC11" s="99" t="str">
        <f t="shared" si="0"/>
        <v>4H.5</v>
      </c>
      <c r="AD11" s="92" t="s">
        <v>2792</v>
      </c>
      <c r="AE11" s="92"/>
      <c r="AF11" s="100" t="s">
        <v>76</v>
      </c>
      <c r="AG11" s="101">
        <v>2</v>
      </c>
      <c r="AH11" s="2934" t="s">
        <v>10798</v>
      </c>
      <c r="AI11" s="2935" t="s">
        <v>13530</v>
      </c>
    </row>
    <row r="12" spans="2:35">
      <c r="B12" s="99" t="s">
        <v>5291</v>
      </c>
      <c r="C12" s="92" t="s">
        <v>2793</v>
      </c>
      <c r="D12" s="92"/>
      <c r="E12" s="100" t="s">
        <v>76</v>
      </c>
      <c r="F12" s="101">
        <v>2</v>
      </c>
      <c r="G12" s="694"/>
      <c r="I12" s="170"/>
      <c r="K12" s="24" t="str">
        <f xml:space="preserve"> IF( SUM( M12:P12 ) = 0, 0, $N$5 )</f>
        <v>Please complete all cells in row</v>
      </c>
      <c r="N12" s="98">
        <f t="shared" si="1"/>
        <v>1</v>
      </c>
      <c r="O12" s="98"/>
      <c r="Q12" s="132"/>
      <c r="S12" s="172"/>
      <c r="T12" s="172"/>
      <c r="AC12" s="99" t="str">
        <f t="shared" si="0"/>
        <v>4H.6</v>
      </c>
      <c r="AD12" s="92" t="s">
        <v>2793</v>
      </c>
      <c r="AE12" s="92"/>
      <c r="AF12" s="100" t="s">
        <v>76</v>
      </c>
      <c r="AG12" s="101">
        <v>2</v>
      </c>
      <c r="AH12" s="2934" t="s">
        <v>10799</v>
      </c>
    </row>
    <row r="13" spans="2:35" ht="14.25" customHeight="1">
      <c r="B13" s="99" t="s">
        <v>5294</v>
      </c>
      <c r="C13" s="92" t="s">
        <v>2794</v>
      </c>
      <c r="D13" s="92"/>
      <c r="E13" s="100" t="s">
        <v>76</v>
      </c>
      <c r="F13" s="101">
        <v>2</v>
      </c>
      <c r="G13" s="911">
        <f xml:space="preserve"> IF( ( '2I - SWT'!G23 + '2I - SWT'!G29 = 0 ), 0, ( '2I - SWT'!G23 + '2I - SWT'!G29 - '2C'!G19 - '2I - SWT'!G9 - '2I - SWT'!G15 - '2I - SWT'!G21 ) / ( '2I - SWT'!G23 + '2I - SWT'!G29 ) )</f>
        <v>8.7648544117352373E-2</v>
      </c>
      <c r="I13" s="170"/>
      <c r="N13" s="132"/>
      <c r="O13" s="132"/>
      <c r="Q13" s="132"/>
      <c r="S13" s="172" t="s">
        <v>497</v>
      </c>
      <c r="T13" s="172" t="s">
        <v>497</v>
      </c>
      <c r="U13" s="173" t="s">
        <v>12237</v>
      </c>
      <c r="AC13" s="99" t="str">
        <f t="shared" si="0"/>
        <v>4H.7</v>
      </c>
      <c r="AD13" s="92" t="s">
        <v>2794</v>
      </c>
      <c r="AE13" s="92"/>
      <c r="AF13" s="100" t="s">
        <v>76</v>
      </c>
      <c r="AG13" s="101">
        <v>2</v>
      </c>
      <c r="AH13" s="911" t="s">
        <v>10800</v>
      </c>
    </row>
    <row r="14" spans="2:35" ht="14.25" customHeight="1">
      <c r="B14" s="99" t="s">
        <v>5290</v>
      </c>
      <c r="C14" s="92" t="s">
        <v>2795</v>
      </c>
      <c r="D14" s="92"/>
      <c r="E14" s="100" t="s">
        <v>76</v>
      </c>
      <c r="F14" s="101">
        <v>2</v>
      </c>
      <c r="G14" s="911">
        <f xml:space="preserve"> IF( ( '2I - SWT'!H23 + '2I - SWT'!H29 = 0 ), 0, ( '2I - SWT'!H23 + '2I - SWT'!H29 - '2C'!H19 - '2I - SWT'!H9 - '2I - SWT'!H15  - '2I - SWT'!H21) / ( '2I - SWT'!H23 + '2I - SWT'!H29 ) )</f>
        <v>5.9891665044935027E-17</v>
      </c>
      <c r="I14" s="170"/>
      <c r="N14" s="132"/>
      <c r="O14" s="132"/>
      <c r="S14" s="172" t="s">
        <v>497</v>
      </c>
      <c r="T14" s="2237" t="s">
        <v>497</v>
      </c>
      <c r="U14" s="173" t="s">
        <v>12238</v>
      </c>
      <c r="AC14" s="99" t="str">
        <f t="shared" si="0"/>
        <v>4H.8</v>
      </c>
      <c r="AD14" s="92" t="s">
        <v>2795</v>
      </c>
      <c r="AE14" s="92"/>
      <c r="AF14" s="100" t="s">
        <v>76</v>
      </c>
      <c r="AG14" s="101">
        <v>2</v>
      </c>
      <c r="AH14" s="911" t="s">
        <v>10801</v>
      </c>
    </row>
    <row r="15" spans="2:35">
      <c r="B15" s="99" t="s">
        <v>5295</v>
      </c>
      <c r="C15" s="92" t="s">
        <v>2796</v>
      </c>
      <c r="D15" s="92"/>
      <c r="E15" s="100" t="s">
        <v>4043</v>
      </c>
      <c r="F15" s="101" t="s">
        <v>2797</v>
      </c>
      <c r="G15" s="427"/>
      <c r="I15" s="170"/>
      <c r="K15" s="24" t="str">
        <f xml:space="preserve"> IF( SUM( M15:P15 ) = 0, 0, $N$5 )</f>
        <v>Please complete all cells in row</v>
      </c>
      <c r="N15" s="98">
        <f xml:space="preserve"> IF( ISTEXT( G15 ), 0, 1 )</f>
        <v>1</v>
      </c>
      <c r="O15" s="98"/>
      <c r="Q15" s="132"/>
      <c r="S15" s="172"/>
      <c r="T15" s="172"/>
      <c r="AC15" s="99" t="str">
        <f t="shared" si="0"/>
        <v>4H.9</v>
      </c>
      <c r="AD15" s="92" t="s">
        <v>2796</v>
      </c>
      <c r="AE15" s="92"/>
      <c r="AF15" s="100" t="s">
        <v>4043</v>
      </c>
      <c r="AG15" s="101" t="s">
        <v>2797</v>
      </c>
      <c r="AH15" s="2762" t="s">
        <v>10802</v>
      </c>
    </row>
    <row r="16" spans="2:35">
      <c r="B16" s="99" t="s">
        <v>5296</v>
      </c>
      <c r="C16" s="92" t="s">
        <v>2798</v>
      </c>
      <c r="D16" s="92"/>
      <c r="E16" s="100" t="s">
        <v>76</v>
      </c>
      <c r="F16" s="101">
        <v>2</v>
      </c>
      <c r="G16" s="694"/>
      <c r="I16" s="170"/>
      <c r="K16" s="24" t="str">
        <f xml:space="preserve"> IF( SUM( M16:P16 ) = 0, 0, $N$5 )</f>
        <v>Please complete all cells in row</v>
      </c>
      <c r="N16" s="98">
        <f t="shared" si="1"/>
        <v>1</v>
      </c>
      <c r="O16" s="98"/>
      <c r="Q16" s="132"/>
      <c r="S16" s="172"/>
      <c r="T16" s="172"/>
      <c r="AC16" s="99" t="str">
        <f t="shared" si="0"/>
        <v>4H.10</v>
      </c>
      <c r="AD16" s="92" t="s">
        <v>2798</v>
      </c>
      <c r="AE16" s="92"/>
      <c r="AF16" s="100" t="s">
        <v>76</v>
      </c>
      <c r="AG16" s="101">
        <v>2</v>
      </c>
      <c r="AH16" s="2934" t="s">
        <v>10803</v>
      </c>
    </row>
    <row r="17" spans="2:35">
      <c r="B17" s="99" t="s">
        <v>5305</v>
      </c>
      <c r="C17" s="92" t="s">
        <v>2799</v>
      </c>
      <c r="D17" s="92"/>
      <c r="E17" s="100" t="s">
        <v>2800</v>
      </c>
      <c r="F17" s="101">
        <v>2</v>
      </c>
      <c r="G17" s="426"/>
      <c r="I17" s="170"/>
      <c r="K17" s="24" t="str">
        <f xml:space="preserve"> IF( SUM( M17:P17 ) = 0, 0, $N$5 )</f>
        <v>Please complete all cells in row</v>
      </c>
      <c r="N17" s="98">
        <f xml:space="preserve"> IF( ISNUMBER( G17 ), 0, 1 )</f>
        <v>1</v>
      </c>
      <c r="O17" s="98"/>
      <c r="Q17" s="132"/>
      <c r="S17" s="172"/>
      <c r="T17" s="172"/>
      <c r="AC17" s="99" t="str">
        <f t="shared" si="0"/>
        <v>4H.11</v>
      </c>
      <c r="AD17" s="92" t="s">
        <v>2799</v>
      </c>
      <c r="AE17" s="92"/>
      <c r="AF17" s="100" t="s">
        <v>2800</v>
      </c>
      <c r="AG17" s="101">
        <v>2</v>
      </c>
      <c r="AH17" s="2936" t="s">
        <v>10804</v>
      </c>
    </row>
    <row r="18" spans="2:35">
      <c r="B18" s="99" t="s">
        <v>5297</v>
      </c>
      <c r="C18" s="92" t="s">
        <v>2801</v>
      </c>
      <c r="D18" s="178"/>
      <c r="E18" s="174" t="s">
        <v>750</v>
      </c>
      <c r="F18" s="175">
        <v>3</v>
      </c>
      <c r="G18" s="395">
        <f>'1D'!K19 - '1D'!K11</f>
        <v>0</v>
      </c>
      <c r="I18" s="170"/>
      <c r="N18" s="132"/>
      <c r="O18" s="132"/>
      <c r="Q18" s="132"/>
      <c r="S18" s="172"/>
      <c r="T18" s="172"/>
      <c r="AC18" s="99" t="str">
        <f t="shared" si="0"/>
        <v>4H.12</v>
      </c>
      <c r="AD18" s="92" t="s">
        <v>2801</v>
      </c>
      <c r="AE18" s="178"/>
      <c r="AF18" s="174" t="s">
        <v>750</v>
      </c>
      <c r="AG18" s="175">
        <v>3</v>
      </c>
      <c r="AH18" s="395" t="s">
        <v>10805</v>
      </c>
    </row>
    <row r="19" spans="2:35">
      <c r="B19" s="99" t="s">
        <v>5298</v>
      </c>
      <c r="C19" s="92" t="s">
        <v>2802</v>
      </c>
      <c r="D19" s="92"/>
      <c r="E19" s="100" t="s">
        <v>2800</v>
      </c>
      <c r="F19" s="101">
        <v>2</v>
      </c>
      <c r="G19" s="426"/>
      <c r="I19" s="170"/>
      <c r="K19" s="24" t="str">
        <f xml:space="preserve"> IF( SUM( M19:P19 ) = 0, 0, $N$5 )</f>
        <v>Please complete all cells in row</v>
      </c>
      <c r="N19" s="98">
        <f xml:space="preserve"> IF( ISNUMBER( G19 ), 0, 1 )</f>
        <v>1</v>
      </c>
      <c r="O19" s="98"/>
      <c r="Q19" s="132"/>
      <c r="S19" s="172"/>
      <c r="T19" s="172"/>
      <c r="AC19" s="99" t="str">
        <f t="shared" si="0"/>
        <v>4H.13</v>
      </c>
      <c r="AD19" s="92" t="s">
        <v>2802</v>
      </c>
      <c r="AE19" s="92"/>
      <c r="AF19" s="100" t="s">
        <v>2800</v>
      </c>
      <c r="AG19" s="101">
        <v>2</v>
      </c>
      <c r="AH19" s="2936" t="s">
        <v>10806</v>
      </c>
    </row>
    <row r="20" spans="2:35">
      <c r="B20" s="99" t="s">
        <v>5299</v>
      </c>
      <c r="C20" s="92" t="s">
        <v>2803</v>
      </c>
      <c r="D20" s="92"/>
      <c r="E20" s="100" t="s">
        <v>2800</v>
      </c>
      <c r="F20" s="101">
        <v>2</v>
      </c>
      <c r="G20" s="426"/>
      <c r="I20" s="170"/>
      <c r="K20" s="24" t="str">
        <f xml:space="preserve"> IF( SUM( M20:P20 ) = 0, 0, $N$5 )</f>
        <v>Please complete all cells in row</v>
      </c>
      <c r="L20" s="170"/>
      <c r="M20" s="129"/>
      <c r="N20" s="98">
        <f xml:space="preserve"> IF( ISNUMBER( G20 ), 0, 1 )</f>
        <v>1</v>
      </c>
      <c r="O20" s="98"/>
      <c r="P20" s="129"/>
      <c r="Q20" s="132"/>
      <c r="S20" s="172"/>
      <c r="T20" s="172"/>
      <c r="V20" s="129"/>
      <c r="AC20" s="99" t="str">
        <f t="shared" si="0"/>
        <v>4H.14</v>
      </c>
      <c r="AD20" s="92" t="s">
        <v>2803</v>
      </c>
      <c r="AE20" s="92"/>
      <c r="AF20" s="100" t="s">
        <v>2800</v>
      </c>
      <c r="AG20" s="101">
        <v>2</v>
      </c>
      <c r="AH20" s="2936" t="s">
        <v>10807</v>
      </c>
    </row>
    <row r="21" spans="2:35">
      <c r="B21" s="99" t="s">
        <v>5300</v>
      </c>
      <c r="C21" s="92" t="s">
        <v>2804</v>
      </c>
      <c r="D21" s="92"/>
      <c r="E21" s="100" t="s">
        <v>2800</v>
      </c>
      <c r="F21" s="101">
        <v>2</v>
      </c>
      <c r="G21" s="912">
        <f>IF(G7 = 0, 0, +G18 / G7)</f>
        <v>0</v>
      </c>
      <c r="I21" s="170"/>
      <c r="L21" s="170"/>
      <c r="N21" s="132"/>
      <c r="O21" s="132"/>
      <c r="Q21" s="132"/>
      <c r="S21" s="172"/>
      <c r="T21" s="172"/>
      <c r="AC21" s="99" t="str">
        <f t="shared" si="0"/>
        <v>4H.15</v>
      </c>
      <c r="AD21" s="92" t="s">
        <v>2804</v>
      </c>
      <c r="AE21" s="92"/>
      <c r="AF21" s="100" t="s">
        <v>2800</v>
      </c>
      <c r="AG21" s="101">
        <v>2</v>
      </c>
      <c r="AH21" s="912" t="s">
        <v>10808</v>
      </c>
    </row>
    <row r="22" spans="2:35">
      <c r="B22" s="99" t="s">
        <v>5301</v>
      </c>
      <c r="C22" s="92" t="s">
        <v>2805</v>
      </c>
      <c r="D22" s="92"/>
      <c r="E22" s="100" t="s">
        <v>76</v>
      </c>
      <c r="F22" s="101">
        <v>2</v>
      </c>
      <c r="G22" s="694"/>
      <c r="I22" s="170"/>
      <c r="K22" s="24" t="str">
        <f xml:space="preserve"> IF( SUM( M22:P22 ) = 0, 0, $N$5 )</f>
        <v>Please complete all cells in row</v>
      </c>
      <c r="L22" s="170"/>
      <c r="M22" s="129"/>
      <c r="N22" s="98">
        <f xml:space="preserve"> IF( ISNUMBER( G22 ), 0, 1 )</f>
        <v>1</v>
      </c>
      <c r="O22" s="98"/>
      <c r="P22" s="129"/>
      <c r="Q22" s="132"/>
      <c r="S22" s="172"/>
      <c r="T22" s="172"/>
      <c r="AC22" s="99" t="str">
        <f t="shared" si="0"/>
        <v>4H.16</v>
      </c>
      <c r="AD22" s="92" t="s">
        <v>2805</v>
      </c>
      <c r="AE22" s="92"/>
      <c r="AF22" s="100" t="s">
        <v>76</v>
      </c>
      <c r="AG22" s="101">
        <v>2</v>
      </c>
      <c r="AH22" s="2934" t="s">
        <v>10809</v>
      </c>
    </row>
    <row r="23" spans="2:35">
      <c r="B23" s="99" t="s">
        <v>5302</v>
      </c>
      <c r="C23" s="92" t="s">
        <v>3691</v>
      </c>
      <c r="D23" s="92"/>
      <c r="E23" s="100" t="s">
        <v>750</v>
      </c>
      <c r="F23" s="101">
        <v>3</v>
      </c>
      <c r="G23" s="395">
        <f xml:space="preserve"> +G18 - ( -1 * '1D'!K31 )</f>
        <v>0</v>
      </c>
      <c r="I23" s="170"/>
      <c r="K23" s="35"/>
      <c r="L23" s="170"/>
      <c r="M23" s="129"/>
      <c r="N23" s="132"/>
      <c r="O23" s="132"/>
      <c r="P23" s="129"/>
      <c r="Q23" s="132"/>
      <c r="S23" s="172"/>
      <c r="T23" s="172"/>
      <c r="V23" s="129"/>
      <c r="AC23" s="99" t="str">
        <f t="shared" si="0"/>
        <v>4H.17</v>
      </c>
      <c r="AD23" s="92" t="s">
        <v>3691</v>
      </c>
      <c r="AE23" s="92"/>
      <c r="AF23" s="100" t="s">
        <v>750</v>
      </c>
      <c r="AG23" s="101">
        <v>3</v>
      </c>
      <c r="AH23" s="395" t="s">
        <v>10810</v>
      </c>
    </row>
    <row r="24" spans="2:35" ht="15" thickBot="1">
      <c r="B24" s="106" t="s">
        <v>5303</v>
      </c>
      <c r="C24" s="107" t="s">
        <v>2806</v>
      </c>
      <c r="D24" s="107"/>
      <c r="E24" s="108" t="s">
        <v>2800</v>
      </c>
      <c r="F24" s="105">
        <v>2</v>
      </c>
      <c r="G24" s="913">
        <f>IF( '1D'!K22 = 0, 0, G23 / ( -1 * '1D'!K22 ) )</f>
        <v>0</v>
      </c>
      <c r="I24" s="170"/>
      <c r="L24" s="170"/>
      <c r="M24" s="129"/>
      <c r="N24" s="132"/>
      <c r="O24" s="132"/>
      <c r="P24" s="129"/>
      <c r="Q24" s="132"/>
      <c r="R24" s="129"/>
      <c r="S24" s="172"/>
      <c r="T24" s="172"/>
      <c r="V24" s="129"/>
      <c r="AC24" s="106" t="str">
        <f t="shared" si="0"/>
        <v>4H.18</v>
      </c>
      <c r="AD24" s="107" t="s">
        <v>2806</v>
      </c>
      <c r="AE24" s="107"/>
      <c r="AF24" s="108" t="s">
        <v>2800</v>
      </c>
      <c r="AG24" s="105">
        <v>2</v>
      </c>
      <c r="AH24" s="913" t="s">
        <v>10811</v>
      </c>
    </row>
    <row r="25" spans="2:35" ht="15" thickBot="1">
      <c r="L25" s="170"/>
      <c r="N25" s="132"/>
      <c r="O25" s="132"/>
      <c r="Q25" s="132"/>
      <c r="R25" s="124"/>
      <c r="S25" s="172"/>
      <c r="T25" s="172"/>
    </row>
    <row r="26" spans="2:35" ht="15" thickBot="1">
      <c r="B26" s="118" t="s">
        <v>2458</v>
      </c>
      <c r="C26" s="119" t="s">
        <v>3690</v>
      </c>
      <c r="D26" s="1584"/>
      <c r="L26" s="170"/>
      <c r="N26" s="132"/>
      <c r="O26" s="132"/>
      <c r="Q26" s="132"/>
      <c r="R26" s="124"/>
      <c r="S26" s="172"/>
      <c r="T26" s="172"/>
      <c r="AC26" s="118" t="s">
        <v>2458</v>
      </c>
      <c r="AD26" s="119" t="s">
        <v>3690</v>
      </c>
      <c r="AE26" s="1584"/>
    </row>
    <row r="27" spans="2:35">
      <c r="B27" s="91" t="s">
        <v>5304</v>
      </c>
      <c r="C27" s="122" t="s">
        <v>2807</v>
      </c>
      <c r="D27" s="122"/>
      <c r="E27" s="93" t="s">
        <v>750</v>
      </c>
      <c r="F27" s="94">
        <v>3</v>
      </c>
      <c r="G27" s="910">
        <f>'2A'!P6</f>
        <v>0</v>
      </c>
      <c r="I27" s="170"/>
      <c r="L27" s="170"/>
      <c r="M27" s="124"/>
      <c r="N27" s="132"/>
      <c r="O27" s="132"/>
      <c r="P27" s="124"/>
      <c r="Q27" s="132"/>
      <c r="R27" s="124"/>
      <c r="S27" s="172"/>
      <c r="T27" s="172"/>
      <c r="V27" s="124"/>
      <c r="Y27" s="131"/>
      <c r="AC27" s="91" t="str">
        <f t="shared" ref="AC27:AC28" si="2">+B27</f>
        <v>4H.19</v>
      </c>
      <c r="AD27" s="122" t="s">
        <v>2807</v>
      </c>
      <c r="AE27" s="122"/>
      <c r="AF27" s="93" t="s">
        <v>750</v>
      </c>
      <c r="AG27" s="94">
        <v>3</v>
      </c>
      <c r="AH27" s="2339" t="str">
        <f>'2A'!BU6</f>
        <v>A1931PC</v>
      </c>
    </row>
    <row r="28" spans="2:35" ht="15" thickBot="1">
      <c r="B28" s="106" t="s">
        <v>5306</v>
      </c>
      <c r="C28" s="107" t="s">
        <v>2808</v>
      </c>
      <c r="D28" s="107"/>
      <c r="E28" s="108" t="s">
        <v>750</v>
      </c>
      <c r="F28" s="105">
        <v>3</v>
      </c>
      <c r="G28" s="358">
        <f>'2A'!P6 - ( -1 * '2A'!P8 )</f>
        <v>0</v>
      </c>
      <c r="I28" s="170"/>
      <c r="L28" s="170"/>
      <c r="N28" s="132"/>
      <c r="O28" s="132"/>
      <c r="Q28" s="132"/>
      <c r="R28" s="124"/>
      <c r="S28" s="172"/>
      <c r="T28" s="172"/>
      <c r="Y28" s="131"/>
      <c r="AC28" s="106" t="str">
        <f t="shared" si="2"/>
        <v>4H.20</v>
      </c>
      <c r="AD28" s="107" t="s">
        <v>2808</v>
      </c>
      <c r="AE28" s="107"/>
      <c r="AF28" s="108" t="s">
        <v>750</v>
      </c>
      <c r="AG28" s="105">
        <v>3</v>
      </c>
      <c r="AH28" s="358" t="s">
        <v>10812</v>
      </c>
    </row>
    <row r="29" spans="2:35" ht="15" thickBot="1">
      <c r="I29" s="170"/>
      <c r="L29" s="170"/>
      <c r="M29" s="124"/>
      <c r="N29" s="132"/>
      <c r="O29" s="132"/>
      <c r="P29" s="124"/>
      <c r="Q29" s="132"/>
      <c r="R29" s="124"/>
      <c r="S29" s="172"/>
      <c r="T29" s="172"/>
      <c r="V29" s="124"/>
      <c r="Y29" s="125"/>
    </row>
    <row r="30" spans="2:35" ht="15" thickBot="1">
      <c r="B30" s="118" t="s">
        <v>2464</v>
      </c>
      <c r="C30" s="119" t="s">
        <v>12608</v>
      </c>
      <c r="D30" s="1584"/>
      <c r="I30" s="170"/>
      <c r="L30" s="170"/>
      <c r="M30" s="124"/>
      <c r="N30" s="132"/>
      <c r="O30" s="132"/>
      <c r="P30" s="124"/>
      <c r="Q30" s="132"/>
      <c r="R30" s="124"/>
      <c r="S30" s="172"/>
      <c r="T30" s="172"/>
      <c r="V30" s="124"/>
      <c r="Y30" s="125"/>
      <c r="AC30" s="118" t="s">
        <v>2464</v>
      </c>
      <c r="AD30" s="119" t="s">
        <v>12608</v>
      </c>
    </row>
    <row r="31" spans="2:35">
      <c r="B31" s="2259" t="s">
        <v>5307</v>
      </c>
      <c r="C31" s="2594" t="s">
        <v>12609</v>
      </c>
      <c r="D31" s="2256"/>
      <c r="E31" s="2598" t="s">
        <v>76</v>
      </c>
      <c r="F31" s="2599">
        <v>2</v>
      </c>
      <c r="G31" s="2261"/>
      <c r="H31" s="2262"/>
      <c r="I31" s="170"/>
      <c r="K31" s="24" t="str">
        <f t="shared" ref="K31:K35" si="3" xml:space="preserve"> IF( SUM( M31:P31 ) = 0, 0, $N$5 )</f>
        <v>Please complete all cells in row</v>
      </c>
      <c r="L31" s="170"/>
      <c r="M31" s="129"/>
      <c r="N31" s="98">
        <f t="shared" ref="N31:O35" si="4" xml:space="preserve"> IF( ISNUMBER( G31 ), 0, 1 )</f>
        <v>1</v>
      </c>
      <c r="O31" s="98">
        <f t="shared" si="4"/>
        <v>1</v>
      </c>
      <c r="P31" s="124"/>
      <c r="Q31" s="132"/>
      <c r="R31" s="124"/>
      <c r="S31" s="172"/>
      <c r="T31" s="172"/>
      <c r="V31" s="124"/>
      <c r="Y31" s="125"/>
      <c r="AC31" s="2259" t="str">
        <f t="shared" ref="AC31:AC37" si="5">+B31</f>
        <v>4H.21</v>
      </c>
      <c r="AD31" s="2594" t="s">
        <v>12609</v>
      </c>
      <c r="AE31" s="2270"/>
      <c r="AF31" s="2598" t="s">
        <v>76</v>
      </c>
      <c r="AG31" s="2599">
        <v>2</v>
      </c>
      <c r="AH31" s="2937" t="s">
        <v>12989</v>
      </c>
      <c r="AI31" s="2938" t="s">
        <v>12995</v>
      </c>
    </row>
    <row r="32" spans="2:35">
      <c r="B32" s="2260" t="s">
        <v>5314</v>
      </c>
      <c r="C32" s="2595" t="s">
        <v>12540</v>
      </c>
      <c r="D32" s="2257"/>
      <c r="E32" s="2600" t="s">
        <v>76</v>
      </c>
      <c r="F32" s="2601">
        <v>2</v>
      </c>
      <c r="G32" s="2720"/>
      <c r="H32" s="2719"/>
      <c r="I32" s="170"/>
      <c r="K32" s="24" t="str">
        <f t="shared" si="3"/>
        <v>Please complete all cells in row</v>
      </c>
      <c r="L32" s="170"/>
      <c r="M32" s="129"/>
      <c r="N32" s="98">
        <f t="shared" si="4"/>
        <v>1</v>
      </c>
      <c r="O32" s="98">
        <f t="shared" si="4"/>
        <v>1</v>
      </c>
      <c r="P32" s="124"/>
      <c r="Q32" s="132"/>
      <c r="R32" s="124"/>
      <c r="S32" s="172"/>
      <c r="T32" s="172"/>
      <c r="V32" s="124"/>
      <c r="Y32" s="125"/>
      <c r="AC32" s="2260" t="str">
        <f t="shared" si="5"/>
        <v>4H.22</v>
      </c>
      <c r="AD32" s="2595" t="s">
        <v>12540</v>
      </c>
      <c r="AE32" s="2270"/>
      <c r="AF32" s="2600" t="s">
        <v>76</v>
      </c>
      <c r="AG32" s="2601">
        <v>2</v>
      </c>
      <c r="AH32" s="2939" t="s">
        <v>12990</v>
      </c>
      <c r="AI32" s="2939" t="s">
        <v>12996</v>
      </c>
    </row>
    <row r="33" spans="2:35">
      <c r="B33" s="2260" t="s">
        <v>5308</v>
      </c>
      <c r="C33" s="2595" t="s">
        <v>12610</v>
      </c>
      <c r="D33" s="2257"/>
      <c r="E33" s="2600" t="s">
        <v>76</v>
      </c>
      <c r="F33" s="2601">
        <v>2</v>
      </c>
      <c r="G33" s="2720"/>
      <c r="H33" s="2719"/>
      <c r="I33" s="170"/>
      <c r="K33" s="24" t="str">
        <f t="shared" si="3"/>
        <v>Please complete all cells in row</v>
      </c>
      <c r="L33" s="170"/>
      <c r="M33" s="129"/>
      <c r="N33" s="98">
        <f t="shared" si="4"/>
        <v>1</v>
      </c>
      <c r="O33" s="98">
        <f t="shared" si="4"/>
        <v>1</v>
      </c>
      <c r="P33" s="124"/>
      <c r="Q33" s="132"/>
      <c r="R33" s="124"/>
      <c r="S33" s="172"/>
      <c r="T33" s="172"/>
      <c r="V33" s="124"/>
      <c r="Y33" s="125"/>
      <c r="AC33" s="2260" t="str">
        <f t="shared" si="5"/>
        <v>4H.23</v>
      </c>
      <c r="AD33" s="2595" t="s">
        <v>12610</v>
      </c>
      <c r="AE33" s="2270"/>
      <c r="AF33" s="2600" t="s">
        <v>76</v>
      </c>
      <c r="AG33" s="2601">
        <v>2</v>
      </c>
      <c r="AH33" s="2939" t="s">
        <v>12991</v>
      </c>
      <c r="AI33" s="2939" t="s">
        <v>12997</v>
      </c>
    </row>
    <row r="34" spans="2:35">
      <c r="B34" s="2260" t="s">
        <v>5309</v>
      </c>
      <c r="C34" s="2595" t="s">
        <v>12541</v>
      </c>
      <c r="D34" s="2257"/>
      <c r="E34" s="2600" t="s">
        <v>76</v>
      </c>
      <c r="F34" s="2601">
        <v>2</v>
      </c>
      <c r="G34" s="2720"/>
      <c r="H34" s="2719"/>
      <c r="I34" s="170"/>
      <c r="K34" s="24" t="str">
        <f t="shared" si="3"/>
        <v>Please complete all cells in row</v>
      </c>
      <c r="L34" s="170"/>
      <c r="M34" s="129"/>
      <c r="N34" s="98">
        <f t="shared" si="4"/>
        <v>1</v>
      </c>
      <c r="O34" s="98">
        <f t="shared" si="4"/>
        <v>1</v>
      </c>
      <c r="P34" s="124"/>
      <c r="Q34" s="132"/>
      <c r="R34" s="124"/>
      <c r="S34" s="172"/>
      <c r="T34" s="172"/>
      <c r="V34" s="124"/>
      <c r="Y34" s="125"/>
      <c r="AC34" s="2260" t="str">
        <f t="shared" si="5"/>
        <v>4H.24</v>
      </c>
      <c r="AD34" s="2595" t="s">
        <v>12541</v>
      </c>
      <c r="AE34" s="2270"/>
      <c r="AF34" s="2600" t="s">
        <v>76</v>
      </c>
      <c r="AG34" s="2601">
        <v>2</v>
      </c>
      <c r="AH34" s="2939" t="s">
        <v>12992</v>
      </c>
      <c r="AI34" s="2939" t="s">
        <v>12998</v>
      </c>
    </row>
    <row r="35" spans="2:35">
      <c r="B35" s="2260" t="s">
        <v>5310</v>
      </c>
      <c r="C35" s="2595" t="s">
        <v>12611</v>
      </c>
      <c r="D35" s="2258"/>
      <c r="E35" s="2600" t="s">
        <v>76</v>
      </c>
      <c r="F35" s="2601">
        <v>2</v>
      </c>
      <c r="G35" s="2720"/>
      <c r="H35" s="2719"/>
      <c r="I35" s="170"/>
      <c r="K35" s="24" t="str">
        <f t="shared" si="3"/>
        <v>Please complete all cells in row</v>
      </c>
      <c r="L35" s="170"/>
      <c r="M35" s="129"/>
      <c r="N35" s="98">
        <f t="shared" si="4"/>
        <v>1</v>
      </c>
      <c r="O35" s="98">
        <f t="shared" si="4"/>
        <v>1</v>
      </c>
      <c r="P35" s="124"/>
      <c r="Q35" s="132"/>
      <c r="R35" s="124"/>
      <c r="S35" s="172"/>
      <c r="T35" s="172"/>
      <c r="V35" s="124"/>
      <c r="Y35" s="125"/>
      <c r="AC35" s="2260" t="str">
        <f t="shared" si="5"/>
        <v>4H.25</v>
      </c>
      <c r="AD35" s="2595" t="s">
        <v>12611</v>
      </c>
      <c r="AE35" s="2270"/>
      <c r="AF35" s="2600" t="s">
        <v>76</v>
      </c>
      <c r="AG35" s="2601">
        <v>2</v>
      </c>
      <c r="AH35" s="2939" t="s">
        <v>12993</v>
      </c>
      <c r="AI35" s="2939" t="s">
        <v>12999</v>
      </c>
    </row>
    <row r="36" spans="2:35">
      <c r="B36" s="2533" t="s">
        <v>5311</v>
      </c>
      <c r="C36" s="2596" t="s">
        <v>13528</v>
      </c>
      <c r="D36" s="2534"/>
      <c r="E36" s="2600" t="s">
        <v>76</v>
      </c>
      <c r="F36" s="2601">
        <v>2</v>
      </c>
      <c r="G36" s="2720"/>
      <c r="H36" s="2719"/>
      <c r="I36" s="170"/>
      <c r="K36" s="24" t="str">
        <f t="shared" ref="K36" si="6" xml:space="preserve"> IF( SUM( M36:P36 ) = 0, 0, $N$5 )</f>
        <v>Please complete all cells in row</v>
      </c>
      <c r="L36" s="170"/>
      <c r="M36" s="129"/>
      <c r="N36" s="98">
        <f t="shared" ref="N36" si="7" xml:space="preserve"> IF( ISNUMBER( G36 ), 0, 1 )</f>
        <v>1</v>
      </c>
      <c r="O36" s="98">
        <f t="shared" ref="O36" si="8" xml:space="preserve"> IF( ISNUMBER( H36 ), 0, 1 )</f>
        <v>1</v>
      </c>
      <c r="P36" s="124"/>
      <c r="Q36" s="132"/>
      <c r="R36" s="124"/>
      <c r="S36" s="172"/>
      <c r="T36" s="172"/>
      <c r="V36" s="124"/>
      <c r="Y36" s="125"/>
      <c r="AC36" s="2260" t="str">
        <f t="shared" si="5"/>
        <v>4H.26</v>
      </c>
      <c r="AD36" s="2596" t="s">
        <v>13528</v>
      </c>
      <c r="AE36" s="2270"/>
      <c r="AF36" s="2600" t="s">
        <v>76</v>
      </c>
      <c r="AG36" s="2601">
        <v>2</v>
      </c>
      <c r="AH36" s="2940" t="s">
        <v>13572</v>
      </c>
      <c r="AI36" s="2941" t="s">
        <v>13573</v>
      </c>
    </row>
    <row r="37" spans="2:35" ht="15" thickBot="1">
      <c r="B37" s="2440" t="s">
        <v>5312</v>
      </c>
      <c r="C37" s="2597" t="s">
        <v>12612</v>
      </c>
      <c r="D37" s="2441"/>
      <c r="E37" s="2602" t="s">
        <v>76</v>
      </c>
      <c r="F37" s="2603">
        <v>2</v>
      </c>
      <c r="G37" s="2263">
        <f>SUM(G31:G36)</f>
        <v>0</v>
      </c>
      <c r="H37" s="2264">
        <f>SUM(H31:H36)</f>
        <v>0</v>
      </c>
      <c r="I37" s="170"/>
      <c r="J37" s="1431" t="str">
        <f xml:space="preserve"> IF( Q37 = 0, "", U37 )</f>
        <v/>
      </c>
      <c r="L37" s="170"/>
      <c r="M37" s="124"/>
      <c r="N37" s="132"/>
      <c r="O37" s="132"/>
      <c r="P37" s="124"/>
      <c r="Q37" s="98">
        <f xml:space="preserve"> IF( (S37 = T37), 0, 1 )</f>
        <v>0</v>
      </c>
      <c r="R37" s="124"/>
      <c r="S37" s="172">
        <f>+G37</f>
        <v>0</v>
      </c>
      <c r="T37" s="172">
        <f>+G11</f>
        <v>0</v>
      </c>
      <c r="U37" s="75" t="s">
        <v>12783</v>
      </c>
      <c r="V37" s="124"/>
      <c r="Y37" s="125"/>
      <c r="AC37" s="2260" t="str">
        <f t="shared" si="5"/>
        <v>4H.27</v>
      </c>
      <c r="AD37" s="2604" t="s">
        <v>12612</v>
      </c>
      <c r="AE37" s="2270"/>
      <c r="AF37" s="2600" t="s">
        <v>76</v>
      </c>
      <c r="AG37" s="2601">
        <v>2</v>
      </c>
      <c r="AH37" s="2942" t="s">
        <v>12994</v>
      </c>
      <c r="AI37" s="2943" t="s">
        <v>13000</v>
      </c>
    </row>
    <row r="38" spans="2:35" ht="15" thickBot="1">
      <c r="I38" s="170"/>
      <c r="L38" s="170"/>
      <c r="M38" s="124"/>
      <c r="N38" s="132"/>
      <c r="O38" s="132"/>
      <c r="P38" s="124"/>
      <c r="Q38" s="132"/>
      <c r="R38" s="124"/>
      <c r="S38" s="172"/>
      <c r="T38" s="172"/>
      <c r="V38" s="124"/>
      <c r="Y38" s="125"/>
    </row>
    <row r="39" spans="2:35" ht="15" thickBot="1">
      <c r="B39" s="118" t="s">
        <v>2464</v>
      </c>
      <c r="C39" s="119" t="s">
        <v>2468</v>
      </c>
      <c r="D39" s="1584"/>
      <c r="I39" s="170"/>
      <c r="L39" s="170"/>
      <c r="M39" s="124"/>
      <c r="N39" s="132"/>
      <c r="O39" s="132"/>
      <c r="P39" s="124"/>
      <c r="Q39" s="132"/>
      <c r="R39" s="124"/>
      <c r="S39" s="172"/>
      <c r="T39" s="172"/>
      <c r="V39" s="124"/>
      <c r="Y39" s="125"/>
      <c r="AC39" s="118" t="s">
        <v>2464</v>
      </c>
      <c r="AD39" s="119" t="s">
        <v>2468</v>
      </c>
      <c r="AE39" s="1584"/>
    </row>
    <row r="40" spans="2:35">
      <c r="B40" s="91" t="s">
        <v>5313</v>
      </c>
      <c r="C40" s="122" t="s">
        <v>2809</v>
      </c>
      <c r="D40" s="122"/>
      <c r="E40" s="93" t="s">
        <v>76</v>
      </c>
      <c r="F40" s="93">
        <v>2</v>
      </c>
      <c r="G40" s="2437">
        <f>IF( '1E'!J8 = 0, 0, ('1E'!G6+'1E'!J7) / '1E'!J8 )</f>
        <v>0</v>
      </c>
      <c r="I40" s="170"/>
      <c r="M40" s="124"/>
      <c r="N40" s="132"/>
      <c r="O40" s="132"/>
      <c r="P40" s="124"/>
      <c r="Q40" s="132"/>
      <c r="R40" s="124"/>
      <c r="S40" s="172"/>
      <c r="T40" s="172"/>
      <c r="V40" s="124"/>
      <c r="Y40" s="176"/>
      <c r="AC40" s="91" t="str">
        <f t="shared" ref="AC40:AC47" si="9">+B40</f>
        <v>4H.28</v>
      </c>
      <c r="AD40" s="122" t="s">
        <v>2809</v>
      </c>
      <c r="AE40" s="122"/>
      <c r="AF40" s="93" t="s">
        <v>76</v>
      </c>
      <c r="AG40" s="94">
        <v>2</v>
      </c>
      <c r="AH40" s="909" t="s">
        <v>10813</v>
      </c>
    </row>
    <row r="41" spans="2:35">
      <c r="B41" s="99" t="s">
        <v>12613</v>
      </c>
      <c r="C41" s="92" t="s">
        <v>2810</v>
      </c>
      <c r="D41" s="92"/>
      <c r="E41" s="100" t="s">
        <v>76</v>
      </c>
      <c r="F41" s="100">
        <v>2</v>
      </c>
      <c r="G41" s="2438">
        <f>IF( '1E'!J8 = 0, 0, '1E'!H6 / '1E'!J8 )</f>
        <v>0</v>
      </c>
      <c r="I41" s="170"/>
      <c r="L41" s="170"/>
      <c r="M41" s="124"/>
      <c r="N41" s="132"/>
      <c r="O41" s="132"/>
      <c r="P41" s="124"/>
      <c r="Q41" s="132"/>
      <c r="R41" s="124"/>
      <c r="S41" s="172"/>
      <c r="T41" s="172"/>
      <c r="V41" s="124"/>
      <c r="Y41" s="176"/>
      <c r="AC41" s="177" t="str">
        <f t="shared" si="9"/>
        <v>4H.29</v>
      </c>
      <c r="AD41" s="178" t="s">
        <v>2810</v>
      </c>
      <c r="AE41" s="178"/>
      <c r="AF41" s="174" t="s">
        <v>76</v>
      </c>
      <c r="AG41" s="175">
        <v>2</v>
      </c>
      <c r="AH41" s="911" t="s">
        <v>10814</v>
      </c>
    </row>
    <row r="42" spans="2:35" ht="22.5" customHeight="1">
      <c r="B42" s="99" t="s">
        <v>12614</v>
      </c>
      <c r="C42" s="92" t="s">
        <v>2811</v>
      </c>
      <c r="D42" s="92"/>
      <c r="E42" s="100" t="s">
        <v>76</v>
      </c>
      <c r="F42" s="100">
        <v>2</v>
      </c>
      <c r="G42" s="2438">
        <f>IF('1E'!J8 = 0, 0, '1E'!I6 / '1E'!J8 )</f>
        <v>0</v>
      </c>
      <c r="I42" s="170"/>
      <c r="J42" s="66" t="str">
        <f xml:space="preserve"> IF( SUM( P42:R42 ) = 0, 0, U42 )</f>
        <v>The total of lines 4H.21 to 4H.23 should equal 100%</v>
      </c>
      <c r="L42" s="170"/>
      <c r="N42" s="132"/>
      <c r="O42" s="132"/>
      <c r="Q42" s="98">
        <f xml:space="preserve"> IF( (S42 - T42) = 0, 0, 1 )</f>
        <v>1</v>
      </c>
      <c r="R42" s="124"/>
      <c r="S42" s="172">
        <f xml:space="preserve"> G40 + G41 + G42</f>
        <v>0</v>
      </c>
      <c r="T42" s="231">
        <v>1</v>
      </c>
      <c r="U42" s="173" t="s">
        <v>12239</v>
      </c>
      <c r="Y42" s="176"/>
      <c r="AC42" s="177" t="str">
        <f t="shared" si="9"/>
        <v>4H.30</v>
      </c>
      <c r="AD42" s="178" t="s">
        <v>2811</v>
      </c>
      <c r="AE42" s="178"/>
      <c r="AF42" s="174" t="s">
        <v>76</v>
      </c>
      <c r="AG42" s="175">
        <v>2</v>
      </c>
      <c r="AH42" s="911" t="s">
        <v>10815</v>
      </c>
    </row>
    <row r="43" spans="2:35">
      <c r="B43" s="99" t="s">
        <v>12615</v>
      </c>
      <c r="C43" s="92" t="s">
        <v>2812</v>
      </c>
      <c r="D43" s="92"/>
      <c r="E43" s="100" t="s">
        <v>76</v>
      </c>
      <c r="F43" s="100">
        <v>2</v>
      </c>
      <c r="G43" s="2439"/>
      <c r="I43" s="170"/>
      <c r="K43" s="24" t="str">
        <f xml:space="preserve"> IF( SUM( M43:P43 ) = 0, 0, $N$5 )</f>
        <v>Please complete all cells in row</v>
      </c>
      <c r="L43" s="170"/>
      <c r="N43" s="98">
        <f xml:space="preserve"> IF( ISNUMBER( G43 ), 0, 1 )</f>
        <v>1</v>
      </c>
      <c r="O43" s="98"/>
      <c r="Q43" s="132"/>
      <c r="R43" s="124"/>
      <c r="S43" s="172"/>
      <c r="T43" s="172"/>
      <c r="Y43" s="176"/>
      <c r="AC43" s="177" t="str">
        <f t="shared" si="9"/>
        <v>4H.31</v>
      </c>
      <c r="AD43" s="178" t="s">
        <v>2812</v>
      </c>
      <c r="AE43" s="178"/>
      <c r="AF43" s="174" t="s">
        <v>76</v>
      </c>
      <c r="AG43" s="175">
        <v>2</v>
      </c>
      <c r="AH43" s="2934" t="s">
        <v>10816</v>
      </c>
    </row>
    <row r="44" spans="2:35">
      <c r="B44" s="99" t="s">
        <v>12616</v>
      </c>
      <c r="C44" s="180" t="s">
        <v>2813</v>
      </c>
      <c r="D44" s="180"/>
      <c r="E44" s="100" t="s">
        <v>76</v>
      </c>
      <c r="F44" s="100">
        <v>2</v>
      </c>
      <c r="G44" s="2439"/>
      <c r="I44" s="170"/>
      <c r="K44" s="24" t="str">
        <f xml:space="preserve"> IF( SUM( M44:P44 ) = 0, 0, $N$5 )</f>
        <v>Please complete all cells in row</v>
      </c>
      <c r="L44" s="170"/>
      <c r="M44" s="124"/>
      <c r="N44" s="98">
        <f xml:space="preserve"> IF( ISNUMBER( G44 ), 0, 1 )</f>
        <v>1</v>
      </c>
      <c r="O44" s="98"/>
      <c r="P44" s="124"/>
      <c r="Q44" s="132"/>
      <c r="R44" s="124"/>
      <c r="S44" s="172"/>
      <c r="T44" s="172"/>
      <c r="V44" s="124"/>
      <c r="Y44" s="176"/>
      <c r="AC44" s="177" t="str">
        <f t="shared" si="9"/>
        <v>4H.32</v>
      </c>
      <c r="AD44" s="179" t="s">
        <v>2813</v>
      </c>
      <c r="AE44" s="179"/>
      <c r="AF44" s="174" t="s">
        <v>76</v>
      </c>
      <c r="AG44" s="175">
        <v>2</v>
      </c>
      <c r="AH44" s="2934" t="s">
        <v>10817</v>
      </c>
    </row>
    <row r="45" spans="2:35" ht="14.25" customHeight="1">
      <c r="B45" s="99" t="s">
        <v>12617</v>
      </c>
      <c r="C45" s="180" t="s">
        <v>2814</v>
      </c>
      <c r="D45" s="180"/>
      <c r="E45" s="100" t="s">
        <v>76</v>
      </c>
      <c r="F45" s="100">
        <v>2</v>
      </c>
      <c r="G45" s="2439"/>
      <c r="I45" s="170"/>
      <c r="K45" s="24" t="str">
        <f xml:space="preserve"> IF( SUM( M45:P45 ) = 0, 0, $N$5 )</f>
        <v>Please complete all cells in row</v>
      </c>
      <c r="L45" s="170"/>
      <c r="M45" s="129"/>
      <c r="N45" s="98">
        <f xml:space="preserve"> IF( ISNUMBER( G45 ), 0, 1 )</f>
        <v>1</v>
      </c>
      <c r="O45" s="98"/>
      <c r="P45" s="129"/>
      <c r="Q45" s="86"/>
      <c r="R45" s="129"/>
      <c r="S45" s="172"/>
      <c r="V45" s="129"/>
      <c r="Y45" s="176"/>
      <c r="AC45" s="177" t="str">
        <f t="shared" si="9"/>
        <v>4H.33</v>
      </c>
      <c r="AD45" s="180" t="s">
        <v>2814</v>
      </c>
      <c r="AE45" s="179"/>
      <c r="AF45" s="174" t="s">
        <v>76</v>
      </c>
      <c r="AG45" s="175">
        <v>2</v>
      </c>
      <c r="AH45" s="2934" t="s">
        <v>10818</v>
      </c>
    </row>
    <row r="46" spans="2:35">
      <c r="B46" s="99" t="s">
        <v>12618</v>
      </c>
      <c r="C46" s="180" t="s">
        <v>2815</v>
      </c>
      <c r="D46" s="180"/>
      <c r="E46" s="100" t="s">
        <v>76</v>
      </c>
      <c r="F46" s="100">
        <v>2</v>
      </c>
      <c r="G46" s="2439"/>
      <c r="I46" s="170"/>
      <c r="K46" s="24" t="str">
        <f xml:space="preserve"> IF( SUM( M46:P46 ) = 0, 0, $N$5 )</f>
        <v>Please complete all cells in row</v>
      </c>
      <c r="L46" s="170"/>
      <c r="M46" s="129"/>
      <c r="N46" s="98">
        <f xml:space="preserve"> IF( ISNUMBER( G46 ), 0, 1 )</f>
        <v>1</v>
      </c>
      <c r="O46" s="98"/>
      <c r="P46" s="129"/>
      <c r="Q46" s="86"/>
      <c r="R46" s="129"/>
      <c r="S46" s="172"/>
      <c r="V46" s="129"/>
      <c r="Y46" s="176"/>
      <c r="AC46" s="177" t="str">
        <f t="shared" si="9"/>
        <v>4H.34</v>
      </c>
      <c r="AD46" s="180" t="s">
        <v>2815</v>
      </c>
      <c r="AE46" s="179"/>
      <c r="AF46" s="174" t="s">
        <v>76</v>
      </c>
      <c r="AG46" s="175">
        <v>2</v>
      </c>
      <c r="AH46" s="2944" t="s">
        <v>10819</v>
      </c>
    </row>
    <row r="47" spans="2:35" ht="23.25" customHeight="1" thickBot="1">
      <c r="B47" s="106" t="s">
        <v>13529</v>
      </c>
      <c r="C47" s="107" t="s">
        <v>2816</v>
      </c>
      <c r="D47" s="107"/>
      <c r="E47" s="108" t="s">
        <v>76</v>
      </c>
      <c r="F47" s="108">
        <v>2</v>
      </c>
      <c r="G47" s="762"/>
      <c r="I47" s="170"/>
      <c r="J47" s="66" t="str">
        <f xml:space="preserve"> IF( SUM( P47:R47 ) = 0, 0, U47 )</f>
        <v>The total of lines 4H.24 to 4H.28 should equal 100%</v>
      </c>
      <c r="K47" s="24" t="str">
        <f xml:space="preserve"> IF( SUM( M47:P47 ) = 0, 0, $N$5 )</f>
        <v>Please complete all cells in row</v>
      </c>
      <c r="L47" s="170"/>
      <c r="M47" s="129"/>
      <c r="N47" s="98">
        <f xml:space="preserve"> IF( ISNUMBER( G47 ), 0, 1 )</f>
        <v>1</v>
      </c>
      <c r="O47" s="98"/>
      <c r="P47" s="129"/>
      <c r="Q47" s="98">
        <f xml:space="preserve"> IF( (S47 - T47) = 0, 0, 1 )</f>
        <v>1</v>
      </c>
      <c r="R47" s="124"/>
      <c r="S47" s="172">
        <f xml:space="preserve"> SUM( G43:G47 )</f>
        <v>0</v>
      </c>
      <c r="T47" s="231">
        <v>1</v>
      </c>
      <c r="U47" s="173" t="s">
        <v>12240</v>
      </c>
      <c r="V47" s="129"/>
      <c r="Y47" s="176"/>
      <c r="AC47" s="181" t="str">
        <f t="shared" si="9"/>
        <v>4H.35</v>
      </c>
      <c r="AD47" s="107" t="s">
        <v>2816</v>
      </c>
      <c r="AE47" s="407"/>
      <c r="AF47" s="182" t="s">
        <v>76</v>
      </c>
      <c r="AG47" s="183">
        <v>2</v>
      </c>
      <c r="AH47" s="2772" t="s">
        <v>10820</v>
      </c>
    </row>
    <row r="48" spans="2:35">
      <c r="I48" s="170"/>
      <c r="L48" s="170"/>
      <c r="N48" s="125"/>
      <c r="O48" s="125"/>
      <c r="Q48" s="115"/>
      <c r="R48" s="129"/>
    </row>
    <row r="49" spans="1:23" s="170" customFormat="1">
      <c r="B49" s="3220" t="s">
        <v>2420</v>
      </c>
      <c r="C49" s="3220"/>
      <c r="D49" s="1449"/>
      <c r="J49" s="75"/>
      <c r="L49" s="131"/>
      <c r="M49" s="72"/>
      <c r="N49" s="71"/>
      <c r="O49" s="71"/>
      <c r="P49" s="72"/>
      <c r="Q49" s="75"/>
      <c r="R49" s="129"/>
      <c r="S49" s="75"/>
      <c r="T49" s="75"/>
      <c r="U49" s="75"/>
      <c r="V49" s="72"/>
      <c r="W49" s="131"/>
    </row>
    <row r="50" spans="1:23" s="170" customFormat="1">
      <c r="B50" s="146"/>
      <c r="C50" s="147"/>
      <c r="D50" s="147"/>
      <c r="J50" s="75"/>
      <c r="L50" s="131"/>
      <c r="M50" s="72"/>
      <c r="N50" s="71"/>
      <c r="O50" s="71"/>
      <c r="P50" s="72"/>
      <c r="Q50" s="75"/>
      <c r="R50" s="129"/>
      <c r="S50" s="71"/>
      <c r="T50" s="71"/>
      <c r="U50" s="71"/>
      <c r="V50" s="72"/>
      <c r="W50" s="131"/>
    </row>
    <row r="51" spans="1:23" s="170" customFormat="1">
      <c r="B51" s="25"/>
      <c r="C51" s="148" t="s">
        <v>2421</v>
      </c>
      <c r="D51" s="148"/>
      <c r="J51" s="75"/>
      <c r="L51" s="131"/>
      <c r="M51" s="72"/>
      <c r="N51" s="71"/>
      <c r="O51" s="71"/>
      <c r="P51" s="72"/>
      <c r="Q51" s="75"/>
      <c r="R51" s="129"/>
      <c r="V51" s="72"/>
      <c r="W51" s="131"/>
    </row>
    <row r="52" spans="1:23" s="170" customFormat="1">
      <c r="B52" s="146"/>
      <c r="C52" s="147"/>
      <c r="D52" s="147"/>
      <c r="J52" s="75"/>
      <c r="L52" s="131"/>
      <c r="M52" s="129"/>
      <c r="N52" s="71"/>
      <c r="O52" s="71"/>
      <c r="P52" s="129"/>
      <c r="Q52" s="75"/>
      <c r="R52" s="129"/>
      <c r="V52" s="129"/>
      <c r="W52" s="131"/>
    </row>
    <row r="53" spans="1:23" s="170" customFormat="1">
      <c r="B53" s="149"/>
      <c r="C53" s="148" t="s">
        <v>2422</v>
      </c>
      <c r="D53" s="148"/>
      <c r="J53" s="75"/>
      <c r="L53" s="131"/>
      <c r="M53" s="72"/>
      <c r="N53" s="71"/>
      <c r="O53" s="71"/>
      <c r="P53" s="72"/>
      <c r="Q53" s="75"/>
      <c r="R53" s="72"/>
      <c r="V53" s="72"/>
      <c r="W53" s="131"/>
    </row>
    <row r="54" spans="1:23" s="170" customFormat="1">
      <c r="B54" s="150"/>
      <c r="C54" s="148"/>
      <c r="D54" s="148"/>
      <c r="J54" s="75"/>
      <c r="L54" s="131"/>
      <c r="M54" s="72"/>
      <c r="N54" s="71"/>
      <c r="O54" s="71"/>
      <c r="P54" s="72"/>
      <c r="Q54" s="75"/>
      <c r="R54" s="72"/>
      <c r="V54" s="72"/>
      <c r="W54" s="131"/>
    </row>
    <row r="55" spans="1:23" s="185" customFormat="1" ht="15" thickBot="1">
      <c r="C55" s="186"/>
      <c r="D55" s="186"/>
      <c r="J55" s="75"/>
      <c r="L55" s="135"/>
      <c r="M55" s="72"/>
      <c r="N55" s="71"/>
      <c r="O55" s="71"/>
      <c r="P55" s="72"/>
      <c r="Q55" s="75"/>
      <c r="R55" s="72"/>
      <c r="S55" s="170"/>
      <c r="T55" s="170"/>
      <c r="U55" s="170"/>
      <c r="V55" s="72"/>
      <c r="W55" s="131"/>
    </row>
    <row r="56" spans="1:23" s="185" customFormat="1" ht="23.65" customHeight="1" thickBot="1">
      <c r="B56" s="1433" t="s">
        <v>12572</v>
      </c>
      <c r="C56" s="1433"/>
      <c r="D56" s="1433"/>
      <c r="E56" s="1433"/>
      <c r="F56" s="1433"/>
      <c r="G56" s="1433"/>
      <c r="H56" s="2204"/>
      <c r="J56" s="75"/>
      <c r="L56" s="135"/>
      <c r="M56" s="72"/>
      <c r="N56" s="189" t="s">
        <v>2426</v>
      </c>
      <c r="O56" s="189"/>
      <c r="P56" s="72"/>
      <c r="Q56" s="75"/>
      <c r="R56" s="72"/>
      <c r="S56" s="170"/>
      <c r="T56" s="170"/>
      <c r="U56" s="170"/>
      <c r="V56" s="72"/>
      <c r="W56" s="131"/>
    </row>
    <row r="57" spans="1:23" s="185" customFormat="1" ht="15" thickBot="1">
      <c r="C57" s="186"/>
      <c r="D57" s="186"/>
      <c r="J57" s="75"/>
      <c r="L57" s="135"/>
      <c r="M57" s="72"/>
      <c r="N57" s="71"/>
      <c r="O57" s="71"/>
      <c r="P57" s="72"/>
      <c r="Q57" s="75"/>
      <c r="R57" s="72"/>
      <c r="S57" s="170"/>
      <c r="T57" s="170"/>
      <c r="U57" s="170"/>
      <c r="V57" s="72"/>
      <c r="W57" s="131"/>
    </row>
    <row r="58" spans="1:23" s="185" customFormat="1" ht="36" customHeight="1" thickBot="1">
      <c r="B58" s="3431" t="s">
        <v>6670</v>
      </c>
      <c r="C58" s="3432"/>
      <c r="D58" s="3432"/>
      <c r="E58" s="3432"/>
      <c r="F58" s="3432"/>
      <c r="G58" s="3433"/>
      <c r="H58" s="2175"/>
      <c r="J58" s="75"/>
      <c r="L58" s="135"/>
      <c r="M58" s="72"/>
      <c r="N58" s="189" t="s">
        <v>2426</v>
      </c>
      <c r="O58" s="189"/>
      <c r="P58" s="72"/>
      <c r="Q58" s="75"/>
      <c r="R58" s="72"/>
      <c r="S58" s="170"/>
      <c r="T58" s="170"/>
      <c r="U58" s="170"/>
      <c r="V58" s="72"/>
      <c r="W58" s="131"/>
    </row>
    <row r="59" spans="1:23" s="185" customFormat="1" ht="15" thickBot="1">
      <c r="C59" s="186"/>
      <c r="D59" s="186"/>
      <c r="J59" s="75"/>
      <c r="L59" s="135"/>
      <c r="M59" s="72"/>
      <c r="N59" s="71"/>
      <c r="O59" s="71"/>
      <c r="P59" s="72"/>
      <c r="Q59" s="75"/>
      <c r="R59" s="72"/>
      <c r="S59" s="170"/>
      <c r="T59" s="170"/>
      <c r="U59" s="170"/>
      <c r="V59" s="72"/>
      <c r="W59" s="131"/>
    </row>
    <row r="60" spans="1:23" ht="19.5" thickBot="1">
      <c r="B60" s="151" t="s">
        <v>3741</v>
      </c>
      <c r="C60" s="152"/>
      <c r="D60" s="152"/>
      <c r="E60" s="153"/>
      <c r="F60" s="153"/>
      <c r="G60" s="154"/>
      <c r="H60" s="185"/>
      <c r="J60" s="71"/>
    </row>
    <row r="61" spans="1:23" ht="15" thickBot="1">
      <c r="B61" s="75"/>
      <c r="C61" s="160"/>
      <c r="D61" s="160"/>
      <c r="E61" s="75"/>
      <c r="F61" s="75"/>
      <c r="G61" s="115"/>
      <c r="H61" s="115"/>
    </row>
    <row r="62" spans="1:23" ht="117" customHeight="1" thickBot="1">
      <c r="B62" s="3431" t="s">
        <v>3743</v>
      </c>
      <c r="C62" s="3432"/>
      <c r="D62" s="3432"/>
      <c r="E62" s="3432"/>
      <c r="F62" s="3432"/>
      <c r="G62" s="3433"/>
      <c r="H62" s="2175"/>
      <c r="I62" s="75"/>
      <c r="N62" s="189" t="s">
        <v>2496</v>
      </c>
      <c r="O62" s="189"/>
    </row>
    <row r="63" spans="1:23" s="185" customFormat="1">
      <c r="C63" s="186"/>
      <c r="D63" s="186"/>
      <c r="J63" s="75"/>
      <c r="L63" s="135"/>
      <c r="M63" s="72"/>
      <c r="N63" s="71"/>
      <c r="O63" s="71"/>
      <c r="P63" s="72"/>
      <c r="Q63" s="75"/>
      <c r="R63" s="72"/>
      <c r="S63" s="170"/>
      <c r="T63" s="170"/>
      <c r="U63" s="170"/>
      <c r="V63" s="72"/>
      <c r="W63" s="131"/>
    </row>
    <row r="64" spans="1:23" s="115" customFormat="1" ht="19.5" hidden="1" thickBot="1">
      <c r="A64" s="1643"/>
      <c r="B64" s="151" t="str">
        <f ca="1" xml:space="preserve"> RIGHT(CELL("filename", $A$1), LEN(CELL("filename", $A$1)) - SEARCH("]", CELL("filename", $A$1)))&amp;" - Line definitions"</f>
        <v>4H - Line definitions</v>
      </c>
      <c r="C64" s="152"/>
      <c r="D64" s="152"/>
      <c r="E64" s="153"/>
      <c r="F64" s="153"/>
      <c r="G64" s="154"/>
      <c r="H64" s="185"/>
      <c r="I64" s="185"/>
      <c r="J64" s="75"/>
      <c r="K64" s="185"/>
      <c r="M64" s="72"/>
      <c r="N64" s="71"/>
      <c r="O64" s="71"/>
      <c r="P64" s="72"/>
      <c r="Q64" s="75"/>
      <c r="R64" s="72"/>
      <c r="S64" s="185"/>
      <c r="T64" s="185"/>
      <c r="U64" s="185"/>
      <c r="V64" s="72"/>
      <c r="W64" s="131"/>
    </row>
    <row r="65" spans="1:23" s="115" customFormat="1" ht="15" hidden="1" thickBot="1">
      <c r="A65" s="1643"/>
      <c r="B65" s="155"/>
      <c r="C65" s="156"/>
      <c r="D65" s="156"/>
      <c r="E65" s="75"/>
      <c r="F65" s="75"/>
      <c r="G65" s="75"/>
      <c r="H65" s="75"/>
      <c r="J65" s="75"/>
      <c r="M65" s="72"/>
      <c r="N65" s="71"/>
      <c r="O65" s="71"/>
      <c r="P65" s="72"/>
      <c r="Q65" s="75"/>
      <c r="R65" s="72"/>
      <c r="S65" s="185"/>
      <c r="T65" s="185"/>
      <c r="U65" s="185"/>
      <c r="V65" s="72"/>
      <c r="W65" s="131"/>
    </row>
    <row r="66" spans="1:23" s="185" customFormat="1" ht="15" hidden="1" thickBot="1">
      <c r="A66" s="1644"/>
      <c r="B66" s="161" t="s">
        <v>2423</v>
      </c>
      <c r="C66" s="3430" t="s">
        <v>2424</v>
      </c>
      <c r="D66" s="3315"/>
      <c r="E66" s="3315"/>
      <c r="F66" s="3315"/>
      <c r="G66" s="3316"/>
      <c r="H66" s="2176"/>
      <c r="I66" s="115"/>
      <c r="J66" s="75"/>
      <c r="K66" s="115"/>
      <c r="L66" s="115"/>
      <c r="M66" s="72"/>
      <c r="N66" s="187">
        <v>1</v>
      </c>
      <c r="O66" s="187"/>
      <c r="P66" s="72"/>
      <c r="Q66" s="75"/>
      <c r="R66" s="72"/>
      <c r="S66" s="115"/>
      <c r="T66" s="115"/>
      <c r="U66" s="115"/>
      <c r="V66" s="72"/>
      <c r="W66" s="123"/>
    </row>
    <row r="67" spans="1:23" s="185" customFormat="1" ht="14.25" hidden="1" customHeight="1">
      <c r="A67" s="1644"/>
      <c r="B67" s="188" t="s">
        <v>5287</v>
      </c>
      <c r="C67" s="3271" t="s">
        <v>3692</v>
      </c>
      <c r="D67" s="3272"/>
      <c r="E67" s="3272"/>
      <c r="F67" s="3272"/>
      <c r="G67" s="3273"/>
      <c r="H67" s="2175"/>
      <c r="I67" s="115"/>
      <c r="J67" s="75"/>
      <c r="K67" s="115"/>
      <c r="L67" s="115"/>
      <c r="M67" s="72"/>
      <c r="N67" s="187">
        <v>1</v>
      </c>
      <c r="O67" s="187"/>
      <c r="P67" s="72"/>
      <c r="Q67" s="75"/>
      <c r="R67" s="72"/>
      <c r="S67" s="115"/>
      <c r="T67" s="115"/>
      <c r="U67" s="115"/>
      <c r="V67" s="72"/>
      <c r="W67" s="123"/>
    </row>
    <row r="68" spans="1:23" ht="25.5" hidden="1" customHeight="1">
      <c r="A68" s="1646"/>
      <c r="B68" s="166" t="s">
        <v>5288</v>
      </c>
      <c r="C68" s="3268" t="s">
        <v>3916</v>
      </c>
      <c r="D68" s="3269"/>
      <c r="E68" s="3269"/>
      <c r="F68" s="3269"/>
      <c r="G68" s="3270"/>
      <c r="H68" s="2175"/>
      <c r="I68" s="115"/>
      <c r="K68" s="115"/>
      <c r="L68" s="115"/>
      <c r="N68" s="189">
        <v>1</v>
      </c>
      <c r="O68" s="189"/>
      <c r="S68" s="115"/>
      <c r="T68" s="115"/>
      <c r="U68" s="115"/>
    </row>
    <row r="69" spans="1:23" s="115" customFormat="1" ht="13.5" hidden="1" customHeight="1">
      <c r="A69" s="1643"/>
      <c r="B69" s="166" t="s">
        <v>5289</v>
      </c>
      <c r="C69" s="3268" t="s">
        <v>3917</v>
      </c>
      <c r="D69" s="3269"/>
      <c r="E69" s="3269"/>
      <c r="F69" s="3269"/>
      <c r="G69" s="3270"/>
      <c r="H69" s="2175"/>
      <c r="J69" s="75"/>
      <c r="M69" s="72"/>
      <c r="N69" s="189">
        <v>1</v>
      </c>
      <c r="O69" s="189"/>
      <c r="P69" s="72"/>
      <c r="Q69" s="75"/>
      <c r="R69" s="72"/>
      <c r="V69" s="72"/>
      <c r="W69" s="123"/>
    </row>
    <row r="70" spans="1:23" s="115" customFormat="1" ht="63.75" hidden="1" customHeight="1">
      <c r="A70" s="1643"/>
      <c r="B70" s="166" t="s">
        <v>5292</v>
      </c>
      <c r="C70" s="3268" t="s">
        <v>3918</v>
      </c>
      <c r="D70" s="3269"/>
      <c r="E70" s="3269"/>
      <c r="F70" s="3269"/>
      <c r="G70" s="3270"/>
      <c r="H70" s="2175"/>
      <c r="J70" s="75"/>
      <c r="M70" s="72"/>
      <c r="N70" s="189" t="s">
        <v>4044</v>
      </c>
      <c r="O70" s="189"/>
      <c r="P70" s="72"/>
      <c r="Q70" s="75"/>
      <c r="R70" s="72"/>
      <c r="V70" s="72"/>
      <c r="W70" s="123"/>
    </row>
    <row r="71" spans="1:23" s="115" customFormat="1" ht="272.25" hidden="1" customHeight="1">
      <c r="A71" s="1643"/>
      <c r="B71" s="166" t="s">
        <v>5293</v>
      </c>
      <c r="C71" s="3268" t="s">
        <v>13531</v>
      </c>
      <c r="D71" s="3269"/>
      <c r="E71" s="3269"/>
      <c r="F71" s="3269"/>
      <c r="G71" s="3270"/>
      <c r="H71" s="2175"/>
      <c r="J71" s="75"/>
      <c r="M71" s="72"/>
      <c r="N71" s="189" t="s">
        <v>4045</v>
      </c>
      <c r="O71" s="189"/>
      <c r="P71" s="72"/>
      <c r="Q71" s="75"/>
      <c r="R71" s="72"/>
      <c r="V71" s="72"/>
      <c r="W71" s="123"/>
    </row>
    <row r="72" spans="1:23" s="125" customFormat="1" ht="35.25" hidden="1" customHeight="1">
      <c r="A72" s="1645"/>
      <c r="B72" s="166" t="s">
        <v>5291</v>
      </c>
      <c r="C72" s="3268" t="s">
        <v>3693</v>
      </c>
      <c r="D72" s="3269"/>
      <c r="E72" s="3269"/>
      <c r="F72" s="3269"/>
      <c r="G72" s="3270"/>
      <c r="H72" s="2175"/>
      <c r="I72" s="115"/>
      <c r="J72" s="75"/>
      <c r="K72" s="115"/>
      <c r="L72" s="115"/>
      <c r="M72" s="72"/>
      <c r="N72" s="189" t="s">
        <v>2426</v>
      </c>
      <c r="O72" s="189"/>
      <c r="P72" s="72"/>
      <c r="Q72" s="75"/>
      <c r="R72" s="72"/>
      <c r="S72" s="115"/>
      <c r="T72" s="115"/>
      <c r="U72" s="115"/>
      <c r="V72" s="72"/>
      <c r="W72" s="123"/>
    </row>
    <row r="73" spans="1:23" s="125" customFormat="1" ht="23.25" hidden="1" customHeight="1">
      <c r="A73" s="1645"/>
      <c r="B73" s="166" t="s">
        <v>5294</v>
      </c>
      <c r="C73" s="3268" t="s">
        <v>3694</v>
      </c>
      <c r="D73" s="3269"/>
      <c r="E73" s="3269"/>
      <c r="F73" s="3269"/>
      <c r="G73" s="3270"/>
      <c r="H73" s="2175"/>
      <c r="I73" s="115"/>
      <c r="J73" s="75"/>
      <c r="K73" s="115"/>
      <c r="L73" s="115"/>
      <c r="M73" s="72"/>
      <c r="N73" s="189" t="s">
        <v>2428</v>
      </c>
      <c r="O73" s="189"/>
      <c r="P73" s="72"/>
      <c r="Q73" s="75"/>
      <c r="R73" s="72"/>
      <c r="S73" s="115"/>
      <c r="T73" s="115"/>
      <c r="U73" s="115"/>
      <c r="V73" s="72"/>
      <c r="W73" s="123"/>
    </row>
    <row r="74" spans="1:23" s="125" customFormat="1" ht="23.25" hidden="1" customHeight="1">
      <c r="A74" s="1645"/>
      <c r="B74" s="166" t="s">
        <v>5290</v>
      </c>
      <c r="C74" s="3268" t="s">
        <v>3694</v>
      </c>
      <c r="D74" s="3269"/>
      <c r="E74" s="3269"/>
      <c r="F74" s="3269"/>
      <c r="G74" s="3270"/>
      <c r="H74" s="2175"/>
      <c r="I74" s="115"/>
      <c r="J74" s="75"/>
      <c r="K74" s="115"/>
      <c r="L74" s="115"/>
      <c r="M74" s="72"/>
      <c r="N74" s="189" t="s">
        <v>2428</v>
      </c>
      <c r="O74" s="189"/>
      <c r="P74" s="72"/>
      <c r="Q74" s="75"/>
      <c r="R74" s="72"/>
      <c r="S74" s="115"/>
      <c r="T74" s="115"/>
      <c r="U74" s="115"/>
      <c r="V74" s="72"/>
      <c r="W74" s="123"/>
    </row>
    <row r="75" spans="1:23" s="125" customFormat="1" ht="60.75" hidden="1" customHeight="1">
      <c r="A75" s="1645"/>
      <c r="B75" s="166" t="s">
        <v>5295</v>
      </c>
      <c r="C75" s="3268" t="s">
        <v>3919</v>
      </c>
      <c r="D75" s="3269"/>
      <c r="E75" s="3269"/>
      <c r="F75" s="3269"/>
      <c r="G75" s="3270"/>
      <c r="H75" s="2175"/>
      <c r="I75" s="115"/>
      <c r="J75" s="75"/>
      <c r="K75" s="115"/>
      <c r="L75" s="115"/>
      <c r="M75" s="72"/>
      <c r="N75" s="189" t="s">
        <v>2624</v>
      </c>
      <c r="O75" s="189"/>
      <c r="P75" s="72"/>
      <c r="Q75" s="75"/>
      <c r="R75" s="72"/>
      <c r="S75" s="115"/>
      <c r="T75" s="115"/>
      <c r="U75" s="115"/>
      <c r="V75" s="72"/>
      <c r="W75" s="123"/>
    </row>
    <row r="76" spans="1:23" ht="52.15" hidden="1" customHeight="1">
      <c r="A76" s="1646"/>
      <c r="B76" s="166" t="s">
        <v>5296</v>
      </c>
      <c r="C76" s="3268" t="s">
        <v>3695</v>
      </c>
      <c r="D76" s="3269"/>
      <c r="E76" s="3269"/>
      <c r="F76" s="3269"/>
      <c r="G76" s="3270"/>
      <c r="H76" s="2175"/>
      <c r="I76" s="115"/>
      <c r="K76" s="115"/>
      <c r="L76" s="115"/>
      <c r="N76" s="189" t="s">
        <v>2624</v>
      </c>
      <c r="O76" s="189"/>
      <c r="S76" s="115"/>
      <c r="T76" s="115"/>
      <c r="U76" s="115"/>
    </row>
    <row r="77" spans="1:23" ht="35.25" hidden="1" customHeight="1">
      <c r="A77" s="1646"/>
      <c r="B77" s="166" t="s">
        <v>5305</v>
      </c>
      <c r="C77" s="3268" t="s">
        <v>3696</v>
      </c>
      <c r="D77" s="3269"/>
      <c r="E77" s="3269"/>
      <c r="F77" s="3269"/>
      <c r="G77" s="3270"/>
      <c r="H77" s="2175"/>
      <c r="I77" s="115"/>
      <c r="K77" s="115"/>
      <c r="L77" s="115"/>
      <c r="N77" s="189" t="s">
        <v>2426</v>
      </c>
      <c r="O77" s="189"/>
      <c r="S77" s="115"/>
      <c r="T77" s="115"/>
      <c r="U77" s="115"/>
    </row>
    <row r="78" spans="1:23" ht="35.25" hidden="1" customHeight="1">
      <c r="A78" s="1646"/>
      <c r="B78" s="166" t="s">
        <v>5297</v>
      </c>
      <c r="C78" s="3268" t="s">
        <v>3697</v>
      </c>
      <c r="D78" s="3269"/>
      <c r="E78" s="3269"/>
      <c r="F78" s="3269"/>
      <c r="G78" s="3270"/>
      <c r="H78" s="2175"/>
      <c r="I78" s="115"/>
      <c r="K78" s="115"/>
      <c r="L78" s="115"/>
      <c r="N78" s="189" t="s">
        <v>2426</v>
      </c>
      <c r="O78" s="189"/>
      <c r="S78" s="115"/>
      <c r="T78" s="115"/>
      <c r="U78" s="115"/>
    </row>
    <row r="79" spans="1:23" ht="23.25" hidden="1" customHeight="1">
      <c r="A79" s="1646"/>
      <c r="B79" s="166" t="s">
        <v>5298</v>
      </c>
      <c r="C79" s="3268" t="s">
        <v>2818</v>
      </c>
      <c r="D79" s="3269"/>
      <c r="E79" s="3269"/>
      <c r="F79" s="3269"/>
      <c r="G79" s="3270"/>
      <c r="H79" s="2175"/>
      <c r="I79" s="115"/>
      <c r="K79" s="115"/>
      <c r="L79" s="115"/>
      <c r="N79" s="189" t="s">
        <v>2428</v>
      </c>
      <c r="O79" s="189"/>
      <c r="S79" s="115"/>
      <c r="T79" s="115"/>
      <c r="U79" s="115"/>
    </row>
    <row r="80" spans="1:23" ht="58.5" hidden="1" customHeight="1">
      <c r="A80" s="1646"/>
      <c r="B80" s="166" t="s">
        <v>5299</v>
      </c>
      <c r="C80" s="3268" t="s">
        <v>3920</v>
      </c>
      <c r="D80" s="3269"/>
      <c r="E80" s="3269"/>
      <c r="F80" s="3269"/>
      <c r="G80" s="3270"/>
      <c r="H80" s="2175"/>
      <c r="I80" s="115"/>
      <c r="K80" s="115"/>
      <c r="L80" s="115"/>
      <c r="N80" s="189" t="s">
        <v>2624</v>
      </c>
      <c r="O80" s="189"/>
      <c r="S80" s="115"/>
      <c r="T80" s="115"/>
      <c r="U80" s="115"/>
    </row>
    <row r="81" spans="1:21" ht="25.5" hidden="1" customHeight="1">
      <c r="A81" s="1646"/>
      <c r="B81" s="166" t="s">
        <v>5300</v>
      </c>
      <c r="C81" s="3268" t="s">
        <v>3698</v>
      </c>
      <c r="D81" s="3269"/>
      <c r="E81" s="3269"/>
      <c r="F81" s="3269"/>
      <c r="G81" s="3270"/>
      <c r="H81" s="2175"/>
      <c r="I81" s="115"/>
      <c r="K81" s="115"/>
      <c r="L81" s="115"/>
      <c r="N81" s="189">
        <v>1</v>
      </c>
      <c r="O81" s="189"/>
      <c r="S81" s="115"/>
      <c r="T81" s="115"/>
      <c r="U81" s="115"/>
    </row>
    <row r="82" spans="1:21" ht="23.25" hidden="1" customHeight="1">
      <c r="A82" s="1646"/>
      <c r="B82" s="166" t="s">
        <v>5301</v>
      </c>
      <c r="C82" s="3268" t="s">
        <v>3921</v>
      </c>
      <c r="D82" s="3269"/>
      <c r="E82" s="3269"/>
      <c r="F82" s="3269"/>
      <c r="G82" s="3270"/>
      <c r="H82" s="2175"/>
      <c r="I82" s="115"/>
      <c r="K82" s="115"/>
      <c r="L82" s="115"/>
      <c r="N82" s="189" t="s">
        <v>2428</v>
      </c>
      <c r="O82" s="189"/>
      <c r="S82" s="115"/>
      <c r="T82" s="115"/>
      <c r="U82" s="115"/>
    </row>
    <row r="83" spans="1:21" ht="17.25" hidden="1" customHeight="1">
      <c r="A83" s="1646"/>
      <c r="B83" s="166" t="s">
        <v>5302</v>
      </c>
      <c r="C83" s="3268" t="s">
        <v>3699</v>
      </c>
      <c r="D83" s="3269"/>
      <c r="E83" s="3269"/>
      <c r="F83" s="3269"/>
      <c r="G83" s="3270"/>
      <c r="H83" s="2175"/>
      <c r="I83" s="115"/>
      <c r="K83" s="115"/>
      <c r="L83" s="115"/>
      <c r="N83" s="187">
        <v>1</v>
      </c>
      <c r="O83" s="187"/>
      <c r="S83" s="115"/>
      <c r="T83" s="115"/>
      <c r="U83" s="115"/>
    </row>
    <row r="84" spans="1:21" ht="17.25" hidden="1" customHeight="1">
      <c r="A84" s="1646"/>
      <c r="B84" s="166" t="s">
        <v>5303</v>
      </c>
      <c r="C84" s="3268" t="s">
        <v>3700</v>
      </c>
      <c r="D84" s="3269"/>
      <c r="E84" s="3269"/>
      <c r="F84" s="3269"/>
      <c r="G84" s="3270"/>
      <c r="H84" s="2175"/>
      <c r="I84" s="115"/>
      <c r="K84" s="115"/>
      <c r="L84" s="115"/>
      <c r="N84" s="187">
        <v>1</v>
      </c>
      <c r="O84" s="187"/>
      <c r="S84" s="115"/>
      <c r="T84" s="115"/>
      <c r="U84" s="115"/>
    </row>
    <row r="85" spans="1:21" ht="17.25" hidden="1" customHeight="1">
      <c r="A85" s="1646"/>
      <c r="B85" s="166" t="s">
        <v>5304</v>
      </c>
      <c r="C85" s="3268" t="s">
        <v>3701</v>
      </c>
      <c r="D85" s="3269"/>
      <c r="E85" s="3269"/>
      <c r="F85" s="3269"/>
      <c r="G85" s="3270"/>
      <c r="H85" s="2175"/>
      <c r="I85" s="115"/>
      <c r="K85" s="115"/>
      <c r="L85" s="115"/>
      <c r="N85" s="187">
        <v>1</v>
      </c>
      <c r="O85" s="187"/>
      <c r="S85" s="115"/>
      <c r="T85" s="115"/>
      <c r="U85" s="115"/>
    </row>
    <row r="86" spans="1:21" ht="38.25" hidden="1">
      <c r="A86" s="1646"/>
      <c r="B86" s="166" t="s">
        <v>5306</v>
      </c>
      <c r="C86" s="3268" t="s">
        <v>3702</v>
      </c>
      <c r="D86" s="3269"/>
      <c r="E86" s="3269"/>
      <c r="F86" s="3269"/>
      <c r="G86" s="3270"/>
      <c r="H86" s="2175"/>
      <c r="I86" s="115"/>
      <c r="K86" s="115"/>
      <c r="L86" s="115"/>
      <c r="N86" s="189" t="s">
        <v>2426</v>
      </c>
      <c r="O86" s="189"/>
      <c r="S86" s="115"/>
      <c r="T86" s="115"/>
      <c r="U86" s="115"/>
    </row>
    <row r="87" spans="1:21" ht="40.15" hidden="1" customHeight="1">
      <c r="A87" s="1646"/>
      <c r="B87" s="166" t="s">
        <v>5307</v>
      </c>
      <c r="C87" s="3268" t="s">
        <v>12776</v>
      </c>
      <c r="D87" s="3269"/>
      <c r="E87" s="3269"/>
      <c r="F87" s="3269"/>
      <c r="G87" s="3270"/>
      <c r="H87" s="2175"/>
      <c r="I87" s="115"/>
      <c r="K87" s="115"/>
      <c r="L87" s="115"/>
      <c r="N87" s="189" t="s">
        <v>2428</v>
      </c>
      <c r="O87" s="189"/>
    </row>
    <row r="88" spans="1:21" ht="69.75" hidden="1" customHeight="1">
      <c r="A88" s="1646"/>
      <c r="B88" s="166" t="s">
        <v>5314</v>
      </c>
      <c r="C88" s="3268" t="s">
        <v>12777</v>
      </c>
      <c r="D88" s="3269"/>
      <c r="E88" s="3269"/>
      <c r="F88" s="3269"/>
      <c r="G88" s="3270"/>
      <c r="H88" s="2175"/>
      <c r="I88" s="115"/>
      <c r="K88" s="115"/>
      <c r="L88" s="115"/>
      <c r="N88" s="189"/>
      <c r="O88" s="189"/>
    </row>
    <row r="89" spans="1:21" ht="40.15" hidden="1" customHeight="1">
      <c r="A89" s="1646"/>
      <c r="B89" s="166" t="s">
        <v>5308</v>
      </c>
      <c r="C89" s="3268" t="s">
        <v>12778</v>
      </c>
      <c r="D89" s="3269"/>
      <c r="E89" s="3269"/>
      <c r="F89" s="3269"/>
      <c r="G89" s="3270"/>
      <c r="H89" s="2175"/>
      <c r="I89" s="115"/>
      <c r="K89" s="115"/>
      <c r="L89" s="115"/>
      <c r="N89" s="189"/>
      <c r="O89" s="189"/>
    </row>
    <row r="90" spans="1:21" ht="48" hidden="1" customHeight="1">
      <c r="A90" s="1646"/>
      <c r="B90" s="166" t="s">
        <v>5309</v>
      </c>
      <c r="C90" s="3268" t="s">
        <v>12779</v>
      </c>
      <c r="D90" s="3269"/>
      <c r="E90" s="3269"/>
      <c r="F90" s="3269"/>
      <c r="G90" s="3270"/>
      <c r="H90" s="2175"/>
      <c r="I90" s="115"/>
      <c r="K90" s="115"/>
      <c r="L90" s="115"/>
      <c r="N90" s="189"/>
      <c r="O90" s="189"/>
    </row>
    <row r="91" spans="1:21" ht="104.25" hidden="1" customHeight="1">
      <c r="A91" s="1646"/>
      <c r="B91" s="166" t="s">
        <v>5310</v>
      </c>
      <c r="C91" s="3268" t="s">
        <v>12780</v>
      </c>
      <c r="D91" s="3269"/>
      <c r="E91" s="3269"/>
      <c r="F91" s="3269"/>
      <c r="G91" s="3270"/>
      <c r="H91" s="2175"/>
      <c r="I91" s="115"/>
      <c r="K91" s="115"/>
      <c r="L91" s="115"/>
      <c r="N91" s="189"/>
      <c r="O91" s="189"/>
    </row>
    <row r="92" spans="1:21" ht="13.5" hidden="1" customHeight="1">
      <c r="A92" s="1646"/>
      <c r="B92" s="166" t="s">
        <v>5311</v>
      </c>
      <c r="C92" s="2206" t="s">
        <v>12781</v>
      </c>
      <c r="D92" s="2207"/>
      <c r="E92" s="2207"/>
      <c r="F92" s="2207"/>
      <c r="G92" s="2208"/>
      <c r="H92" s="2175"/>
      <c r="I92" s="115"/>
      <c r="K92" s="115"/>
      <c r="L92" s="115"/>
      <c r="N92" s="189"/>
      <c r="O92" s="189"/>
    </row>
    <row r="93" spans="1:21" ht="18.75" hidden="1" customHeight="1">
      <c r="A93" s="1646"/>
      <c r="B93" s="166" t="s">
        <v>5312</v>
      </c>
      <c r="C93" s="2206" t="s">
        <v>3703</v>
      </c>
      <c r="D93" s="2207"/>
      <c r="E93" s="2207"/>
      <c r="F93" s="2207"/>
      <c r="G93" s="2208"/>
      <c r="H93" s="2175"/>
      <c r="I93" s="115"/>
      <c r="K93" s="115"/>
      <c r="L93" s="115"/>
      <c r="N93" s="189"/>
      <c r="O93" s="189"/>
    </row>
    <row r="94" spans="1:21" ht="17.25" hidden="1" customHeight="1">
      <c r="A94" s="1646"/>
      <c r="B94" s="166" t="s">
        <v>5313</v>
      </c>
      <c r="C94" s="2206" t="s">
        <v>3703</v>
      </c>
      <c r="D94" s="2207"/>
      <c r="E94" s="2207"/>
      <c r="F94" s="2207"/>
      <c r="G94" s="2208"/>
      <c r="H94" s="2175"/>
      <c r="I94" s="115"/>
      <c r="K94" s="115"/>
      <c r="L94" s="115"/>
      <c r="N94" s="187">
        <v>1</v>
      </c>
      <c r="O94" s="187"/>
    </row>
    <row r="95" spans="1:21" ht="17.25" hidden="1" customHeight="1">
      <c r="A95" s="1646"/>
      <c r="B95" s="166" t="s">
        <v>12613</v>
      </c>
      <c r="C95" s="2206" t="s">
        <v>3703</v>
      </c>
      <c r="D95" s="2207"/>
      <c r="E95" s="2207"/>
      <c r="F95" s="2207"/>
      <c r="G95" s="2208"/>
      <c r="H95" s="2175"/>
      <c r="I95" s="115"/>
      <c r="K95" s="115"/>
      <c r="L95" s="115"/>
      <c r="N95" s="187">
        <v>1</v>
      </c>
      <c r="O95" s="187"/>
    </row>
    <row r="96" spans="1:21" ht="14.25" hidden="1" customHeight="1" thickBot="1">
      <c r="A96" s="1646"/>
      <c r="B96" s="190" t="s">
        <v>12782</v>
      </c>
      <c r="C96" s="3274" t="s">
        <v>2819</v>
      </c>
      <c r="D96" s="3275"/>
      <c r="E96" s="3275"/>
      <c r="F96" s="3275"/>
      <c r="G96" s="3276"/>
      <c r="H96" s="2175"/>
      <c r="I96" s="115"/>
      <c r="K96" s="115"/>
      <c r="L96" s="115"/>
      <c r="N96" s="189">
        <v>1</v>
      </c>
      <c r="O96" s="189"/>
    </row>
    <row r="97" spans="1:12" hidden="1">
      <c r="A97" s="1646"/>
      <c r="I97" s="115"/>
      <c r="K97" s="115"/>
      <c r="L97" s="115"/>
    </row>
    <row r="98" spans="1:12" hidden="1">
      <c r="A98" s="1646"/>
    </row>
  </sheetData>
  <mergeCells count="4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C96:G96"/>
    <mergeCell ref="C84:G84"/>
    <mergeCell ref="C85:G85"/>
    <mergeCell ref="C86:G86"/>
    <mergeCell ref="C87:G87"/>
    <mergeCell ref="AC3:AD4"/>
    <mergeCell ref="AF3:AF4"/>
    <mergeCell ref="AG3:AG4"/>
    <mergeCell ref="AH3:AH4"/>
    <mergeCell ref="J3:J4"/>
    <mergeCell ref="K3:K4"/>
  </mergeCells>
  <conditionalFormatting sqref="K10:K12 K43:K47 K17 K19:K20 K15">
    <cfRule type="cellIs" dxfId="165" priority="8" operator="equal">
      <formula>0</formula>
    </cfRule>
  </conditionalFormatting>
  <conditionalFormatting sqref="J42 J47">
    <cfRule type="cellIs" dxfId="164" priority="7" operator="equal">
      <formula>0</formula>
    </cfRule>
  </conditionalFormatting>
  <conditionalFormatting sqref="K16">
    <cfRule type="cellIs" dxfId="163" priority="5" operator="equal">
      <formula>0</formula>
    </cfRule>
  </conditionalFormatting>
  <conditionalFormatting sqref="K22">
    <cfRule type="cellIs" dxfId="162" priority="4" operator="equal">
      <formula>0</formula>
    </cfRule>
  </conditionalFormatting>
  <conditionalFormatting sqref="K31:K35">
    <cfRule type="cellIs" dxfId="161" priority="3" operator="equal">
      <formula>0</formula>
    </cfRule>
  </conditionalFormatting>
  <conditionalFormatting sqref="J37">
    <cfRule type="cellIs" dxfId="160" priority="2" operator="equal">
      <formula>""</formula>
    </cfRule>
  </conditionalFormatting>
  <conditionalFormatting sqref="K36">
    <cfRule type="cellIs" dxfId="1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3" max="9" man="1"/>
  </rowBreaks>
  <legacyDrawingHF r:id="rId2"/>
</worksheet>
</file>

<file path=xl/worksheets/sheet39.xml><?xml version="1.0" encoding="utf-8"?>
<worksheet xmlns="http://schemas.openxmlformats.org/spreadsheetml/2006/main" xmlns:r="http://schemas.openxmlformats.org/officeDocument/2006/relationships">
  <sheetPr codeName="Sheet35">
    <pageSetUpPr fitToPage="1"/>
  </sheetPr>
  <dimension ref="A1:BP90"/>
  <sheetViews>
    <sheetView workbookViewId="0"/>
  </sheetViews>
  <sheetFormatPr defaultColWidth="0" defaultRowHeight="14.25" zeroHeight="1"/>
  <cols>
    <col min="1" max="1" width="0.625" style="8" customWidth="1"/>
    <col min="2" max="2" width="5.125" style="8" customWidth="1"/>
    <col min="3" max="3" width="36.5" style="8" customWidth="1"/>
    <col min="4" max="4" width="1.125" style="496" hidden="1" customWidth="1"/>
    <col min="5" max="6" width="5.125" style="8" customWidth="1"/>
    <col min="7" max="12" width="10.625" style="8" customWidth="1"/>
    <col min="13" max="14" width="5.125" style="8" customWidth="1"/>
    <col min="15" max="16" width="10.625" style="8" customWidth="1"/>
    <col min="17" max="17" width="2.625" style="169" customWidth="1"/>
    <col min="18" max="18" width="37.125" style="75" customWidth="1"/>
    <col min="19" max="19" width="1.625" style="71" customWidth="1"/>
    <col min="20" max="20" width="1.625" style="72" hidden="1" customWidth="1"/>
    <col min="21" max="27" width="4.625" style="71" hidden="1" customWidth="1"/>
    <col min="28" max="28" width="1.625" style="72" hidden="1" customWidth="1"/>
    <col min="29" max="29" width="8.625" style="73" hidden="1" customWidth="1"/>
    <col min="30" max="30" width="1.625" style="72" hidden="1" customWidth="1"/>
    <col min="31" max="32" width="8.625" style="8" hidden="1" customWidth="1"/>
    <col min="33" max="33" width="77" style="8" hidden="1" customWidth="1"/>
    <col min="34" max="34" width="1.625" style="72" hidden="1" customWidth="1"/>
    <col min="35" max="51" width="0" style="8" hidden="1" customWidth="1"/>
    <col min="52" max="52" width="8.625" style="8" customWidth="1"/>
    <col min="53" max="53" width="5.125" style="496" customWidth="1"/>
    <col min="54" max="54" width="36.5" style="496" customWidth="1"/>
    <col min="55" max="55" width="0.25" style="496" customWidth="1"/>
    <col min="56" max="57" width="5.125" style="496" customWidth="1"/>
    <col min="58" max="63" width="10.625" style="496" customWidth="1"/>
    <col min="64" max="65" width="5.125" style="496" customWidth="1"/>
    <col min="66" max="67" width="10.625" style="496" customWidth="1"/>
    <col min="68" max="68" width="8.625" style="8" customWidth="1"/>
    <col min="69" max="16384" width="8.625" style="8" hidden="1"/>
  </cols>
  <sheetData>
    <row r="1" spans="2:67" ht="18.75">
      <c r="B1" s="67" t="s">
        <v>2820</v>
      </c>
      <c r="C1" s="67"/>
      <c r="D1" s="67"/>
      <c r="E1" s="67"/>
      <c r="F1" s="67"/>
      <c r="G1" s="67"/>
      <c r="H1" s="67"/>
      <c r="I1" s="67"/>
      <c r="J1" s="67"/>
      <c r="K1" s="67"/>
      <c r="L1" s="68"/>
      <c r="M1" s="67"/>
      <c r="N1" s="67"/>
      <c r="O1" s="67"/>
      <c r="P1" s="69" t="str">
        <f>Validation!B3</f>
        <v>South West Water – South West area</v>
      </c>
      <c r="Q1" s="67"/>
      <c r="R1" s="70" t="s">
        <v>2394</v>
      </c>
      <c r="BA1" s="67" t="s">
        <v>6671</v>
      </c>
      <c r="BB1" s="67"/>
      <c r="BC1" s="67"/>
      <c r="BD1" s="67"/>
      <c r="BE1" s="67"/>
      <c r="BF1" s="67"/>
      <c r="BG1" s="67"/>
      <c r="BH1" s="67"/>
      <c r="BI1" s="67"/>
      <c r="BJ1" s="67"/>
      <c r="BK1" s="68"/>
      <c r="BL1" s="67"/>
      <c r="BM1" s="67"/>
      <c r="BN1" s="67"/>
      <c r="BO1" s="69"/>
    </row>
    <row r="2" spans="2:67" ht="15" thickBot="1">
      <c r="B2" s="74" t="s">
        <v>12524</v>
      </c>
      <c r="Q2" s="75"/>
      <c r="R2" s="71"/>
      <c r="BA2" s="74" t="str">
        <f>+B2</f>
        <v>For the 12 months ended 31 March 2019</v>
      </c>
    </row>
    <row r="3" spans="2:67" s="71" customFormat="1" ht="45" customHeight="1">
      <c r="B3" s="3200" t="s">
        <v>2395</v>
      </c>
      <c r="C3" s="3201"/>
      <c r="D3" s="1447" t="s">
        <v>11047</v>
      </c>
      <c r="E3" s="3204" t="s">
        <v>2396</v>
      </c>
      <c r="F3" s="3206" t="s">
        <v>2397</v>
      </c>
      <c r="G3" s="3210" t="s">
        <v>2821</v>
      </c>
      <c r="H3" s="3211"/>
      <c r="I3" s="3212"/>
      <c r="J3" s="3210" t="s">
        <v>12619</v>
      </c>
      <c r="K3" s="3437"/>
      <c r="L3" s="3213" t="s">
        <v>12620</v>
      </c>
      <c r="M3" s="3434" t="s">
        <v>2396</v>
      </c>
      <c r="N3" s="3206" t="s">
        <v>2397</v>
      </c>
      <c r="O3" s="3210" t="s">
        <v>12621</v>
      </c>
      <c r="P3" s="3437"/>
      <c r="Q3" s="76"/>
      <c r="R3" s="3213" t="s">
        <v>2822</v>
      </c>
      <c r="T3" s="72"/>
      <c r="U3" s="77" t="s">
        <v>2404</v>
      </c>
      <c r="V3" s="78"/>
      <c r="W3" s="78"/>
      <c r="X3" s="78"/>
      <c r="Y3" s="78"/>
      <c r="Z3" s="78"/>
      <c r="AA3" s="78"/>
      <c r="AB3" s="72"/>
      <c r="AC3" s="79" t="s">
        <v>2390</v>
      </c>
      <c r="AD3" s="72"/>
      <c r="AE3" s="77" t="s">
        <v>2578</v>
      </c>
      <c r="AF3" s="79"/>
      <c r="AG3" s="79"/>
      <c r="AH3" s="72"/>
      <c r="BA3" s="3200" t="s">
        <v>2395</v>
      </c>
      <c r="BB3" s="3201"/>
      <c r="BC3" s="2723" t="s">
        <v>11047</v>
      </c>
      <c r="BD3" s="3204" t="s">
        <v>2396</v>
      </c>
      <c r="BE3" s="3206" t="s">
        <v>2397</v>
      </c>
      <c r="BF3" s="3210" t="s">
        <v>2821</v>
      </c>
      <c r="BG3" s="3211"/>
      <c r="BH3" s="3212"/>
      <c r="BI3" s="3210" t="s">
        <v>3923</v>
      </c>
      <c r="BJ3" s="3437"/>
      <c r="BK3" s="3213" t="s">
        <v>3924</v>
      </c>
      <c r="BL3" s="3434" t="s">
        <v>2396</v>
      </c>
      <c r="BM3" s="3206" t="s">
        <v>2397</v>
      </c>
      <c r="BN3" s="3210" t="s">
        <v>3922</v>
      </c>
      <c r="BO3" s="3437"/>
    </row>
    <row r="4" spans="2:67" s="71" customFormat="1" ht="26.25" thickBot="1">
      <c r="B4" s="3202"/>
      <c r="C4" s="3203"/>
      <c r="D4" s="1448"/>
      <c r="E4" s="3438"/>
      <c r="F4" s="3207"/>
      <c r="G4" s="80" t="s">
        <v>2823</v>
      </c>
      <c r="H4" s="81" t="s">
        <v>2824</v>
      </c>
      <c r="I4" s="82" t="s">
        <v>2825</v>
      </c>
      <c r="J4" s="80" t="s">
        <v>2826</v>
      </c>
      <c r="K4" s="82" t="s">
        <v>2827</v>
      </c>
      <c r="L4" s="3427"/>
      <c r="M4" s="3435"/>
      <c r="N4" s="3436"/>
      <c r="O4" s="80" t="s">
        <v>2828</v>
      </c>
      <c r="P4" s="82" t="s">
        <v>2829</v>
      </c>
      <c r="Q4" s="75"/>
      <c r="R4" s="3214"/>
      <c r="S4" s="83"/>
      <c r="T4" s="72"/>
      <c r="AB4" s="72"/>
      <c r="AD4" s="72"/>
      <c r="AH4" s="72"/>
      <c r="BA4" s="3202"/>
      <c r="BB4" s="3203"/>
      <c r="BC4" s="2724"/>
      <c r="BD4" s="3438"/>
      <c r="BE4" s="3207"/>
      <c r="BF4" s="2731" t="s">
        <v>2823</v>
      </c>
      <c r="BG4" s="81" t="s">
        <v>2824</v>
      </c>
      <c r="BH4" s="2732" t="s">
        <v>2825</v>
      </c>
      <c r="BI4" s="2731" t="s">
        <v>2826</v>
      </c>
      <c r="BJ4" s="2732" t="s">
        <v>2827</v>
      </c>
      <c r="BK4" s="3427"/>
      <c r="BL4" s="3435"/>
      <c r="BM4" s="3436"/>
      <c r="BN4" s="2731" t="s">
        <v>2828</v>
      </c>
      <c r="BO4" s="2732" t="s">
        <v>2829</v>
      </c>
    </row>
    <row r="5" spans="2:67" ht="15" thickBot="1">
      <c r="Q5" s="75"/>
      <c r="BF5" s="2686" t="s">
        <v>1051</v>
      </c>
      <c r="BG5" s="2686" t="s">
        <v>1055</v>
      </c>
      <c r="BH5" s="2686" t="s">
        <v>13539</v>
      </c>
      <c r="BI5" s="2686" t="s">
        <v>13540</v>
      </c>
      <c r="BJ5" s="2686" t="s">
        <v>13541</v>
      </c>
      <c r="BK5" s="2686" t="s">
        <v>13542</v>
      </c>
      <c r="BL5" s="2686"/>
      <c r="BM5" s="2686"/>
      <c r="BN5" s="2686" t="s">
        <v>13543</v>
      </c>
      <c r="BO5" s="2686" t="s">
        <v>13544</v>
      </c>
    </row>
    <row r="6" spans="2:67" ht="15" thickBot="1">
      <c r="B6" s="84" t="s">
        <v>2830</v>
      </c>
      <c r="C6" s="85"/>
      <c r="D6" s="1605"/>
      <c r="E6" s="86"/>
      <c r="F6" s="86"/>
      <c r="G6" s="86"/>
      <c r="H6" s="86"/>
      <c r="I6" s="86"/>
      <c r="J6" s="86"/>
      <c r="K6" s="86"/>
      <c r="L6" s="86"/>
      <c r="M6" s="86"/>
      <c r="N6" s="86"/>
      <c r="O6" s="86"/>
      <c r="P6" s="86"/>
      <c r="Q6" s="75"/>
      <c r="BA6" s="84" t="s">
        <v>2830</v>
      </c>
      <c r="BB6" s="85"/>
      <c r="BC6" s="86"/>
      <c r="BD6" s="86"/>
      <c r="BE6" s="86"/>
      <c r="BF6" s="86"/>
      <c r="BG6" s="86"/>
      <c r="BH6" s="86"/>
      <c r="BI6" s="86"/>
      <c r="BJ6" s="86"/>
      <c r="BK6" s="86"/>
      <c r="BL6" s="86"/>
      <c r="BM6" s="86"/>
      <c r="BN6" s="86"/>
      <c r="BO6" s="86"/>
    </row>
    <row r="7" spans="2:67" ht="15.75" thickBot="1">
      <c r="B7" s="87" t="s">
        <v>2449</v>
      </c>
      <c r="C7" s="88" t="s">
        <v>2831</v>
      </c>
      <c r="D7" s="1584"/>
      <c r="E7" s="89"/>
      <c r="F7" s="89"/>
      <c r="G7" s="89"/>
      <c r="H7" s="89"/>
      <c r="I7" s="89"/>
      <c r="J7" s="86"/>
      <c r="K7" s="86"/>
      <c r="L7" s="86"/>
      <c r="M7" s="89"/>
      <c r="N7" s="89"/>
      <c r="O7" s="86"/>
      <c r="P7" s="86"/>
      <c r="Q7" s="75"/>
      <c r="U7" s="90" t="s">
        <v>2405</v>
      </c>
      <c r="BA7" s="2744" t="s">
        <v>2449</v>
      </c>
      <c r="BB7" s="88" t="s">
        <v>2831</v>
      </c>
      <c r="BC7" s="2607"/>
      <c r="BD7" s="89"/>
      <c r="BE7" s="89"/>
      <c r="BF7" s="89"/>
      <c r="BG7" s="89"/>
      <c r="BH7" s="89"/>
      <c r="BI7" s="86"/>
      <c r="BJ7" s="86"/>
      <c r="BK7" s="86"/>
      <c r="BL7" s="89"/>
      <c r="BM7" s="89"/>
      <c r="BN7" s="86"/>
      <c r="BO7" s="86"/>
    </row>
    <row r="8" spans="2:67">
      <c r="B8" s="91" t="s">
        <v>5315</v>
      </c>
      <c r="C8" s="92" t="s">
        <v>3704</v>
      </c>
      <c r="D8" s="178"/>
      <c r="E8" s="93" t="s">
        <v>750</v>
      </c>
      <c r="F8" s="94">
        <v>3</v>
      </c>
      <c r="G8" s="36"/>
      <c r="H8" s="37"/>
      <c r="I8" s="38"/>
      <c r="J8" s="95">
        <f>SUM(G8:I8)</f>
        <v>0</v>
      </c>
      <c r="K8" s="38"/>
      <c r="L8" s="39"/>
      <c r="M8" s="96" t="s">
        <v>76</v>
      </c>
      <c r="N8" s="94">
        <v>2</v>
      </c>
      <c r="O8" s="914"/>
      <c r="P8" s="915"/>
      <c r="Q8" s="97"/>
      <c r="R8" s="24" t="str">
        <f xml:space="preserve"> IF( SUM( T8:AB8 ) = 0, 0, $U$7 )</f>
        <v>Please complete all cells in row</v>
      </c>
      <c r="U8" s="98">
        <f xml:space="preserve"> IF( ISNUMBER( G8 ), 0, 1 )</f>
        <v>1</v>
      </c>
      <c r="V8" s="98">
        <f t="shared" ref="V8:W8" si="0" xml:space="preserve"> IF( ISNUMBER( H8 ), 0, 1 )</f>
        <v>1</v>
      </c>
      <c r="W8" s="98">
        <f t="shared" si="0"/>
        <v>1</v>
      </c>
      <c r="X8" s="98">
        <f xml:space="preserve"> IF( ISNUMBER( K8 ), 0, 1 )</f>
        <v>1</v>
      </c>
      <c r="Y8" s="98">
        <f xml:space="preserve"> IF( ISNUMBER( L8 ), 0, 1 )</f>
        <v>1</v>
      </c>
      <c r="Z8" s="98">
        <f xml:space="preserve"> IF( ISNUMBER( O8 ), 0, 1 )</f>
        <v>1</v>
      </c>
      <c r="AA8" s="98">
        <f xml:space="preserve"> IF( ISNUMBER( P8 ), 0, 1 )</f>
        <v>1</v>
      </c>
      <c r="AE8" s="23"/>
      <c r="AF8" s="23"/>
      <c r="AG8" s="23"/>
      <c r="BA8" s="91" t="s">
        <v>5315</v>
      </c>
      <c r="BB8" s="92" t="s">
        <v>3704</v>
      </c>
      <c r="BC8" s="178"/>
      <c r="BD8" s="93" t="s">
        <v>750</v>
      </c>
      <c r="BE8" s="94">
        <v>3</v>
      </c>
      <c r="BF8" s="2945" t="s">
        <v>10821</v>
      </c>
      <c r="BG8" s="2946" t="s">
        <v>10822</v>
      </c>
      <c r="BH8" s="2947" t="s">
        <v>10823</v>
      </c>
      <c r="BI8" s="95" t="s">
        <v>10824</v>
      </c>
      <c r="BJ8" s="2947" t="s">
        <v>10825</v>
      </c>
      <c r="BK8" s="2948" t="s">
        <v>10826</v>
      </c>
      <c r="BL8" s="96" t="s">
        <v>76</v>
      </c>
      <c r="BM8" s="94">
        <v>2</v>
      </c>
      <c r="BN8" s="2949" t="s">
        <v>10863</v>
      </c>
      <c r="BO8" s="2950" t="s">
        <v>10864</v>
      </c>
    </row>
    <row r="9" spans="2:67" s="496" customFormat="1">
      <c r="B9" s="177" t="s">
        <v>5316</v>
      </c>
      <c r="C9" s="92" t="s">
        <v>3705</v>
      </c>
      <c r="D9" s="92"/>
      <c r="E9" s="100" t="s">
        <v>750</v>
      </c>
      <c r="F9" s="101">
        <v>3</v>
      </c>
      <c r="G9" s="666"/>
      <c r="H9" s="667"/>
      <c r="I9" s="668"/>
      <c r="J9" s="102">
        <f t="shared" ref="J9:J13" si="1">SUM(G9:I9)</f>
        <v>0</v>
      </c>
      <c r="K9" s="668"/>
      <c r="L9" s="669"/>
      <c r="M9" s="103" t="s">
        <v>76</v>
      </c>
      <c r="N9" s="101">
        <v>2</v>
      </c>
      <c r="O9" s="916"/>
      <c r="P9" s="917"/>
      <c r="Q9" s="97"/>
      <c r="R9" s="24" t="str">
        <f t="shared" ref="R9:R13" si="2" xml:space="preserve"> IF( SUM( T9:AB9 ) = 0, 0, $U$7 )</f>
        <v>Please complete all cells in row</v>
      </c>
      <c r="S9" s="71"/>
      <c r="T9" s="72"/>
      <c r="U9" s="98">
        <f t="shared" ref="U9:U13" si="3" xml:space="preserve"> IF( ISNUMBER( G9 ), 0, 1 )</f>
        <v>1</v>
      </c>
      <c r="V9" s="98">
        <f t="shared" ref="V9:V13" si="4" xml:space="preserve"> IF( ISNUMBER( H9 ), 0, 1 )</f>
        <v>1</v>
      </c>
      <c r="W9" s="98">
        <f t="shared" ref="W9:W13" si="5" xml:space="preserve"> IF( ISNUMBER( I9 ), 0, 1 )</f>
        <v>1</v>
      </c>
      <c r="X9" s="98">
        <f t="shared" ref="X9:X13" si="6" xml:space="preserve"> IF( ISNUMBER( K9 ), 0, 1 )</f>
        <v>1</v>
      </c>
      <c r="Y9" s="98">
        <f t="shared" ref="Y9:Y13" si="7" xml:space="preserve"> IF( ISNUMBER( L9 ), 0, 1 )</f>
        <v>1</v>
      </c>
      <c r="Z9" s="98">
        <f t="shared" ref="Z9:Z13" si="8" xml:space="preserve"> IF( ISNUMBER( O9 ), 0, 1 )</f>
        <v>1</v>
      </c>
      <c r="AA9" s="98">
        <f t="shared" ref="AA9:AA13" si="9" xml:space="preserve"> IF( ISNUMBER( P9 ), 0, 1 )</f>
        <v>1</v>
      </c>
      <c r="AB9" s="72"/>
      <c r="AC9" s="73"/>
      <c r="AD9" s="72"/>
      <c r="AE9" s="23"/>
      <c r="AF9" s="23"/>
      <c r="AG9" s="23"/>
      <c r="AH9" s="72"/>
      <c r="BA9" s="177" t="s">
        <v>5316</v>
      </c>
      <c r="BB9" s="92" t="s">
        <v>3705</v>
      </c>
      <c r="BC9" s="92"/>
      <c r="BD9" s="100" t="s">
        <v>750</v>
      </c>
      <c r="BE9" s="101">
        <v>3</v>
      </c>
      <c r="BF9" s="2951" t="s">
        <v>10827</v>
      </c>
      <c r="BG9" s="2952" t="s">
        <v>10828</v>
      </c>
      <c r="BH9" s="2953" t="s">
        <v>10829</v>
      </c>
      <c r="BI9" s="102" t="s">
        <v>10830</v>
      </c>
      <c r="BJ9" s="2953" t="s">
        <v>10831</v>
      </c>
      <c r="BK9" s="2954" t="s">
        <v>10832</v>
      </c>
      <c r="BL9" s="103" t="s">
        <v>76</v>
      </c>
      <c r="BM9" s="101">
        <v>2</v>
      </c>
      <c r="BN9" s="2955" t="s">
        <v>10865</v>
      </c>
      <c r="BO9" s="2956" t="s">
        <v>10866</v>
      </c>
    </row>
    <row r="10" spans="2:67">
      <c r="B10" s="99" t="s">
        <v>5319</v>
      </c>
      <c r="C10" s="92" t="s">
        <v>3706</v>
      </c>
      <c r="D10" s="92"/>
      <c r="E10" s="100" t="s">
        <v>750</v>
      </c>
      <c r="F10" s="101">
        <v>3</v>
      </c>
      <c r="G10" s="40"/>
      <c r="H10" s="41"/>
      <c r="I10" s="42"/>
      <c r="J10" s="102">
        <f t="shared" si="1"/>
        <v>0</v>
      </c>
      <c r="K10" s="42"/>
      <c r="L10" s="43"/>
      <c r="M10" s="103" t="s">
        <v>76</v>
      </c>
      <c r="N10" s="101">
        <v>2</v>
      </c>
      <c r="O10" s="918"/>
      <c r="P10" s="919"/>
      <c r="Q10" s="97"/>
      <c r="R10" s="24" t="str">
        <f t="shared" si="2"/>
        <v>Please complete all cells in row</v>
      </c>
      <c r="U10" s="98">
        <f t="shared" si="3"/>
        <v>1</v>
      </c>
      <c r="V10" s="98">
        <f t="shared" si="4"/>
        <v>1</v>
      </c>
      <c r="W10" s="98">
        <f t="shared" si="5"/>
        <v>1</v>
      </c>
      <c r="X10" s="98">
        <f t="shared" si="6"/>
        <v>1</v>
      </c>
      <c r="Y10" s="98">
        <f t="shared" si="7"/>
        <v>1</v>
      </c>
      <c r="Z10" s="98">
        <f t="shared" si="8"/>
        <v>1</v>
      </c>
      <c r="AA10" s="98">
        <f t="shared" si="9"/>
        <v>1</v>
      </c>
      <c r="AE10" s="23"/>
      <c r="AF10" s="23"/>
      <c r="AG10" s="23"/>
      <c r="BA10" s="99" t="s">
        <v>5319</v>
      </c>
      <c r="BB10" s="92" t="s">
        <v>3706</v>
      </c>
      <c r="BC10" s="92"/>
      <c r="BD10" s="100" t="s">
        <v>750</v>
      </c>
      <c r="BE10" s="101">
        <v>3</v>
      </c>
      <c r="BF10" s="2957" t="s">
        <v>10833</v>
      </c>
      <c r="BG10" s="2958" t="s">
        <v>10834</v>
      </c>
      <c r="BH10" s="2959" t="s">
        <v>10835</v>
      </c>
      <c r="BI10" s="102" t="s">
        <v>10836</v>
      </c>
      <c r="BJ10" s="2959" t="s">
        <v>10837</v>
      </c>
      <c r="BK10" s="2960" t="s">
        <v>10838</v>
      </c>
      <c r="BL10" s="103" t="s">
        <v>76</v>
      </c>
      <c r="BM10" s="101">
        <v>2</v>
      </c>
      <c r="BN10" s="2961" t="s">
        <v>10867</v>
      </c>
      <c r="BO10" s="2962" t="s">
        <v>10868</v>
      </c>
    </row>
    <row r="11" spans="2:67" s="496" customFormat="1">
      <c r="B11" s="99" t="s">
        <v>5318</v>
      </c>
      <c r="C11" s="92" t="s">
        <v>3707</v>
      </c>
      <c r="D11" s="92"/>
      <c r="E11" s="100" t="s">
        <v>750</v>
      </c>
      <c r="F11" s="101">
        <v>3</v>
      </c>
      <c r="G11" s="40"/>
      <c r="H11" s="41"/>
      <c r="I11" s="42"/>
      <c r="J11" s="102">
        <f t="shared" si="1"/>
        <v>0</v>
      </c>
      <c r="K11" s="42"/>
      <c r="L11" s="43"/>
      <c r="M11" s="103" t="s">
        <v>76</v>
      </c>
      <c r="N11" s="101">
        <v>2</v>
      </c>
      <c r="O11" s="920"/>
      <c r="P11" s="921"/>
      <c r="Q11" s="97"/>
      <c r="R11" s="24" t="str">
        <f t="shared" si="2"/>
        <v>Please complete all cells in row</v>
      </c>
      <c r="S11" s="71"/>
      <c r="T11" s="72"/>
      <c r="U11" s="98">
        <f t="shared" si="3"/>
        <v>1</v>
      </c>
      <c r="V11" s="98">
        <f t="shared" si="4"/>
        <v>1</v>
      </c>
      <c r="W11" s="98">
        <f t="shared" si="5"/>
        <v>1</v>
      </c>
      <c r="X11" s="98">
        <f t="shared" si="6"/>
        <v>1</v>
      </c>
      <c r="Y11" s="98">
        <f t="shared" si="7"/>
        <v>1</v>
      </c>
      <c r="Z11" s="98">
        <f t="shared" si="8"/>
        <v>1</v>
      </c>
      <c r="AA11" s="98">
        <f t="shared" si="9"/>
        <v>1</v>
      </c>
      <c r="AB11" s="72"/>
      <c r="AC11" s="73"/>
      <c r="AD11" s="72"/>
      <c r="AE11" s="23"/>
      <c r="AF11" s="23"/>
      <c r="AG11" s="23"/>
      <c r="AH11" s="72"/>
      <c r="BA11" s="99" t="s">
        <v>5318</v>
      </c>
      <c r="BB11" s="92" t="s">
        <v>3707</v>
      </c>
      <c r="BC11" s="92"/>
      <c r="BD11" s="100" t="s">
        <v>750</v>
      </c>
      <c r="BE11" s="101">
        <v>3</v>
      </c>
      <c r="BF11" s="2957" t="s">
        <v>10839</v>
      </c>
      <c r="BG11" s="2958" t="s">
        <v>10840</v>
      </c>
      <c r="BH11" s="2959" t="s">
        <v>10841</v>
      </c>
      <c r="BI11" s="102" t="s">
        <v>10842</v>
      </c>
      <c r="BJ11" s="2959" t="s">
        <v>10843</v>
      </c>
      <c r="BK11" s="2960" t="s">
        <v>10844</v>
      </c>
      <c r="BL11" s="103" t="s">
        <v>76</v>
      </c>
      <c r="BM11" s="101">
        <v>2</v>
      </c>
      <c r="BN11" s="2963" t="s">
        <v>10869</v>
      </c>
      <c r="BO11" s="2964" t="s">
        <v>10870</v>
      </c>
    </row>
    <row r="12" spans="2:67" ht="15" customHeight="1">
      <c r="B12" s="99" t="s">
        <v>5317</v>
      </c>
      <c r="C12" s="92" t="s">
        <v>3708</v>
      </c>
      <c r="D12" s="92"/>
      <c r="E12" s="100" t="s">
        <v>750</v>
      </c>
      <c r="F12" s="101">
        <v>3</v>
      </c>
      <c r="G12" s="40"/>
      <c r="H12" s="41"/>
      <c r="I12" s="42"/>
      <c r="J12" s="102">
        <f t="shared" si="1"/>
        <v>0</v>
      </c>
      <c r="K12" s="42"/>
      <c r="L12" s="43"/>
      <c r="M12" s="103" t="s">
        <v>76</v>
      </c>
      <c r="N12" s="101">
        <v>2</v>
      </c>
      <c r="O12" s="920"/>
      <c r="P12" s="921"/>
      <c r="Q12" s="97"/>
      <c r="R12" s="24" t="str">
        <f t="shared" si="2"/>
        <v>Please complete all cells in row</v>
      </c>
      <c r="U12" s="98">
        <f t="shared" si="3"/>
        <v>1</v>
      </c>
      <c r="V12" s="98">
        <f t="shared" si="4"/>
        <v>1</v>
      </c>
      <c r="W12" s="98">
        <f t="shared" si="5"/>
        <v>1</v>
      </c>
      <c r="X12" s="98">
        <f t="shared" si="6"/>
        <v>1</v>
      </c>
      <c r="Y12" s="98">
        <f t="shared" si="7"/>
        <v>1</v>
      </c>
      <c r="Z12" s="98">
        <f t="shared" si="8"/>
        <v>1</v>
      </c>
      <c r="AA12" s="98">
        <f t="shared" si="9"/>
        <v>1</v>
      </c>
      <c r="AE12" s="23"/>
      <c r="AF12" s="23"/>
      <c r="AG12" s="23"/>
      <c r="BA12" s="99" t="s">
        <v>5317</v>
      </c>
      <c r="BB12" s="92" t="s">
        <v>3708</v>
      </c>
      <c r="BC12" s="92"/>
      <c r="BD12" s="100" t="s">
        <v>750</v>
      </c>
      <c r="BE12" s="101">
        <v>3</v>
      </c>
      <c r="BF12" s="2957" t="s">
        <v>10845</v>
      </c>
      <c r="BG12" s="2958" t="s">
        <v>10846</v>
      </c>
      <c r="BH12" s="2959" t="s">
        <v>10847</v>
      </c>
      <c r="BI12" s="102" t="s">
        <v>10848</v>
      </c>
      <c r="BJ12" s="2959" t="s">
        <v>10849</v>
      </c>
      <c r="BK12" s="2960" t="s">
        <v>10850</v>
      </c>
      <c r="BL12" s="103" t="s">
        <v>76</v>
      </c>
      <c r="BM12" s="101">
        <v>2</v>
      </c>
      <c r="BN12" s="2963" t="s">
        <v>10871</v>
      </c>
      <c r="BO12" s="2964" t="s">
        <v>10872</v>
      </c>
    </row>
    <row r="13" spans="2:67" s="496" customFormat="1" ht="15" customHeight="1" thickBot="1">
      <c r="B13" s="380" t="s">
        <v>5320</v>
      </c>
      <c r="C13" s="92" t="s">
        <v>3709</v>
      </c>
      <c r="D13" s="92"/>
      <c r="E13" s="100" t="s">
        <v>750</v>
      </c>
      <c r="F13" s="101">
        <v>3</v>
      </c>
      <c r="G13" s="670"/>
      <c r="H13" s="671"/>
      <c r="I13" s="672"/>
      <c r="J13" s="102">
        <f t="shared" si="1"/>
        <v>0</v>
      </c>
      <c r="K13" s="672"/>
      <c r="L13" s="673"/>
      <c r="M13" s="104" t="s">
        <v>76</v>
      </c>
      <c r="N13" s="105">
        <v>2</v>
      </c>
      <c r="O13" s="922"/>
      <c r="P13" s="923"/>
      <c r="Q13" s="97"/>
      <c r="R13" s="24" t="str">
        <f t="shared" si="2"/>
        <v>Please complete all cells in row</v>
      </c>
      <c r="S13" s="71"/>
      <c r="T13" s="72"/>
      <c r="U13" s="98">
        <f t="shared" si="3"/>
        <v>1</v>
      </c>
      <c r="V13" s="98">
        <f t="shared" si="4"/>
        <v>1</v>
      </c>
      <c r="W13" s="98">
        <f t="shared" si="5"/>
        <v>1</v>
      </c>
      <c r="X13" s="98">
        <f t="shared" si="6"/>
        <v>1</v>
      </c>
      <c r="Y13" s="98">
        <f t="shared" si="7"/>
        <v>1</v>
      </c>
      <c r="Z13" s="98">
        <f t="shared" si="8"/>
        <v>1</v>
      </c>
      <c r="AA13" s="98">
        <f t="shared" si="9"/>
        <v>1</v>
      </c>
      <c r="AB13" s="72"/>
      <c r="AC13" s="73"/>
      <c r="AD13" s="72"/>
      <c r="AE13" s="23"/>
      <c r="AF13" s="23"/>
      <c r="AG13" s="23"/>
      <c r="AH13" s="72"/>
      <c r="BA13" s="380" t="s">
        <v>5320</v>
      </c>
      <c r="BB13" s="92" t="s">
        <v>3709</v>
      </c>
      <c r="BC13" s="92"/>
      <c r="BD13" s="100" t="s">
        <v>750</v>
      </c>
      <c r="BE13" s="101">
        <v>3</v>
      </c>
      <c r="BF13" s="2965" t="s">
        <v>10851</v>
      </c>
      <c r="BG13" s="2966" t="s">
        <v>10852</v>
      </c>
      <c r="BH13" s="2967" t="s">
        <v>10853</v>
      </c>
      <c r="BI13" s="102" t="s">
        <v>10854</v>
      </c>
      <c r="BJ13" s="2967" t="s">
        <v>10855</v>
      </c>
      <c r="BK13" s="2968" t="s">
        <v>10856</v>
      </c>
      <c r="BL13" s="104" t="s">
        <v>76</v>
      </c>
      <c r="BM13" s="105">
        <v>2</v>
      </c>
      <c r="BN13" s="2969" t="s">
        <v>10873</v>
      </c>
      <c r="BO13" s="2970" t="s">
        <v>10874</v>
      </c>
    </row>
    <row r="14" spans="2:67" ht="15" customHeight="1" thickBot="1">
      <c r="B14" s="106" t="s">
        <v>5321</v>
      </c>
      <c r="C14" s="107" t="s">
        <v>2554</v>
      </c>
      <c r="D14" s="107"/>
      <c r="E14" s="108" t="s">
        <v>750</v>
      </c>
      <c r="F14" s="105">
        <v>3</v>
      </c>
      <c r="G14" s="109">
        <f t="shared" ref="G14:L14" si="10">SUM(G8:G13)</f>
        <v>0</v>
      </c>
      <c r="H14" s="110">
        <f t="shared" si="10"/>
        <v>0</v>
      </c>
      <c r="I14" s="111">
        <f t="shared" si="10"/>
        <v>0</v>
      </c>
      <c r="J14" s="109">
        <f t="shared" si="10"/>
        <v>0</v>
      </c>
      <c r="K14" s="111">
        <f t="shared" si="10"/>
        <v>0</v>
      </c>
      <c r="L14" s="112">
        <f t="shared" si="10"/>
        <v>0</v>
      </c>
      <c r="O14" s="113"/>
      <c r="P14" s="113"/>
      <c r="Q14" s="97"/>
      <c r="AE14" s="23"/>
      <c r="AF14" s="23"/>
      <c r="AG14" s="23"/>
      <c r="BA14" s="106" t="s">
        <v>5321</v>
      </c>
      <c r="BB14" s="107" t="s">
        <v>2554</v>
      </c>
      <c r="BC14" s="107"/>
      <c r="BD14" s="108" t="s">
        <v>750</v>
      </c>
      <c r="BE14" s="105">
        <v>3</v>
      </c>
      <c r="BF14" s="109" t="s">
        <v>10857</v>
      </c>
      <c r="BG14" s="110" t="s">
        <v>10858</v>
      </c>
      <c r="BH14" s="111" t="s">
        <v>10859</v>
      </c>
      <c r="BI14" s="109" t="s">
        <v>10860</v>
      </c>
      <c r="BJ14" s="111" t="s">
        <v>10861</v>
      </c>
      <c r="BK14" s="112" t="s">
        <v>10862</v>
      </c>
      <c r="BN14" s="113"/>
      <c r="BO14" s="113"/>
    </row>
    <row r="15" spans="2:67" ht="15" customHeight="1" thickBot="1">
      <c r="E15" s="115"/>
      <c r="F15" s="115"/>
      <c r="G15" s="116"/>
      <c r="H15" s="116"/>
      <c r="I15" s="116"/>
      <c r="J15" s="116"/>
      <c r="K15" s="117"/>
      <c r="L15" s="117"/>
      <c r="M15" s="115"/>
      <c r="N15" s="115"/>
      <c r="O15" s="113"/>
      <c r="P15" s="113"/>
      <c r="Q15" s="97"/>
      <c r="AE15" s="23"/>
      <c r="AF15" s="23"/>
      <c r="AG15" s="23"/>
      <c r="BD15" s="115"/>
      <c r="BE15" s="115"/>
      <c r="BF15" s="116"/>
      <c r="BG15" s="116"/>
      <c r="BH15" s="116"/>
      <c r="BI15" s="116"/>
      <c r="BJ15" s="117"/>
      <c r="BK15" s="117"/>
      <c r="BL15" s="115"/>
      <c r="BM15" s="115"/>
      <c r="BN15" s="113"/>
      <c r="BO15" s="113"/>
    </row>
    <row r="16" spans="2:67" ht="15" customHeight="1" thickBot="1">
      <c r="B16" s="118" t="s">
        <v>2458</v>
      </c>
      <c r="C16" s="119" t="s">
        <v>2832</v>
      </c>
      <c r="D16" s="1584"/>
      <c r="E16" s="120"/>
      <c r="F16" s="120"/>
      <c r="G16" s="121"/>
      <c r="H16" s="121"/>
      <c r="I16" s="121"/>
      <c r="J16" s="121"/>
      <c r="K16" s="121"/>
      <c r="L16" s="117"/>
      <c r="M16" s="120"/>
      <c r="N16" s="120"/>
      <c r="O16" s="113"/>
      <c r="P16" s="113"/>
      <c r="Q16" s="2"/>
      <c r="AE16" s="23"/>
      <c r="AF16" s="23"/>
      <c r="AG16" s="23"/>
      <c r="BA16" s="118" t="s">
        <v>2458</v>
      </c>
      <c r="BB16" s="119" t="s">
        <v>2832</v>
      </c>
      <c r="BC16" s="2607"/>
      <c r="BD16" s="120"/>
      <c r="BE16" s="120"/>
      <c r="BF16" s="121"/>
      <c r="BG16" s="121"/>
      <c r="BH16" s="121"/>
      <c r="BI16" s="121"/>
      <c r="BJ16" s="121"/>
      <c r="BK16" s="117"/>
      <c r="BL16" s="120"/>
      <c r="BM16" s="120"/>
      <c r="BN16" s="113"/>
      <c r="BO16" s="113"/>
    </row>
    <row r="17" spans="2:67" ht="15" customHeight="1">
      <c r="B17" s="91" t="s">
        <v>5322</v>
      </c>
      <c r="C17" s="122" t="s">
        <v>2833</v>
      </c>
      <c r="D17" s="122"/>
      <c r="E17" s="93" t="s">
        <v>2834</v>
      </c>
      <c r="F17" s="94">
        <v>3</v>
      </c>
      <c r="G17" s="36"/>
      <c r="H17" s="37"/>
      <c r="I17" s="38"/>
      <c r="J17" s="95">
        <f>SUM(G17:I17)</f>
        <v>0</v>
      </c>
      <c r="K17" s="38"/>
      <c r="L17" s="44"/>
      <c r="M17" s="96" t="s">
        <v>76</v>
      </c>
      <c r="N17" s="94">
        <v>2</v>
      </c>
      <c r="O17" s="914"/>
      <c r="P17" s="915"/>
      <c r="Q17" s="97"/>
      <c r="R17" s="24" t="str">
        <f xml:space="preserve"> IF( SUM( T17:AB17 ) = 0, 0, $U$7 )</f>
        <v>Please complete all cells in row</v>
      </c>
      <c r="U17" s="98">
        <f xml:space="preserve"> IF( ISNUMBER( G17 ), 0, 1 )</f>
        <v>1</v>
      </c>
      <c r="V17" s="98">
        <f t="shared" ref="V17:W20" si="11" xml:space="preserve"> IF( ISNUMBER( H17 ), 0, 1 )</f>
        <v>1</v>
      </c>
      <c r="W17" s="98">
        <f t="shared" si="11"/>
        <v>1</v>
      </c>
      <c r="X17" s="98">
        <f xml:space="preserve"> IF( ISNUMBER( K17 ), 0, 1 )</f>
        <v>1</v>
      </c>
      <c r="Y17" s="98">
        <f xml:space="preserve"> IF( ISNUMBER( L17 ), 0, 1 )</f>
        <v>1</v>
      </c>
      <c r="Z17" s="98">
        <f xml:space="preserve"> IF( ISNUMBER( O17 ), 0, 1 )</f>
        <v>1</v>
      </c>
      <c r="AA17" s="98">
        <f xml:space="preserve"> IF( ISNUMBER( P17 ), 0, 1 )</f>
        <v>1</v>
      </c>
      <c r="AE17" s="23"/>
      <c r="AF17" s="23"/>
      <c r="AG17" s="23"/>
      <c r="BA17" s="91" t="s">
        <v>5322</v>
      </c>
      <c r="BB17" s="122" t="s">
        <v>2833</v>
      </c>
      <c r="BC17" s="89"/>
      <c r="BD17" s="93" t="s">
        <v>2834</v>
      </c>
      <c r="BE17" s="94">
        <v>3</v>
      </c>
      <c r="BF17" s="2945" t="s">
        <v>10875</v>
      </c>
      <c r="BG17" s="2946" t="s">
        <v>10876</v>
      </c>
      <c r="BH17" s="2947" t="s">
        <v>10877</v>
      </c>
      <c r="BI17" s="95" t="s">
        <v>10878</v>
      </c>
      <c r="BJ17" s="2947" t="s">
        <v>10879</v>
      </c>
      <c r="BK17" s="2971" t="s">
        <v>10880</v>
      </c>
      <c r="BL17" s="96" t="s">
        <v>76</v>
      </c>
      <c r="BM17" s="94">
        <v>2</v>
      </c>
      <c r="BN17" s="2949" t="s">
        <v>10905</v>
      </c>
      <c r="BO17" s="2950" t="s">
        <v>10906</v>
      </c>
    </row>
    <row r="18" spans="2:67" ht="15" customHeight="1">
      <c r="B18" s="99" t="s">
        <v>5323</v>
      </c>
      <c r="C18" s="92" t="s">
        <v>2835</v>
      </c>
      <c r="D18" s="92"/>
      <c r="E18" s="100" t="s">
        <v>2834</v>
      </c>
      <c r="F18" s="101">
        <v>3</v>
      </c>
      <c r="G18" s="40"/>
      <c r="H18" s="41"/>
      <c r="I18" s="42"/>
      <c r="J18" s="102">
        <f t="shared" ref="J18" si="12">SUM(G18:I18)</f>
        <v>0</v>
      </c>
      <c r="K18" s="42"/>
      <c r="L18" s="45"/>
      <c r="M18" s="103" t="s">
        <v>76</v>
      </c>
      <c r="N18" s="101">
        <v>2</v>
      </c>
      <c r="O18" s="918"/>
      <c r="P18" s="919"/>
      <c r="Q18" s="97"/>
      <c r="R18" s="24" t="str">
        <f t="shared" ref="R18:R20" si="13" xml:space="preserve"> IF( SUM( T18:AB18 ) = 0, 0, $U$7 )</f>
        <v>Please complete all cells in row</v>
      </c>
      <c r="U18" s="98">
        <f t="shared" ref="U18:U20" si="14" xml:space="preserve"> IF( ISNUMBER( G18 ), 0, 1 )</f>
        <v>1</v>
      </c>
      <c r="V18" s="98">
        <f t="shared" si="11"/>
        <v>1</v>
      </c>
      <c r="W18" s="98">
        <f t="shared" si="11"/>
        <v>1</v>
      </c>
      <c r="X18" s="98">
        <f t="shared" ref="X18:Y20" si="15" xml:space="preserve"> IF( ISNUMBER( K18 ), 0, 1 )</f>
        <v>1</v>
      </c>
      <c r="Y18" s="98">
        <f t="shared" si="15"/>
        <v>1</v>
      </c>
      <c r="Z18" s="98">
        <f t="shared" ref="Z18:AA20" si="16" xml:space="preserve"> IF( ISNUMBER( O18 ), 0, 1 )</f>
        <v>1</v>
      </c>
      <c r="AA18" s="98">
        <f t="shared" si="16"/>
        <v>1</v>
      </c>
      <c r="AE18" s="23"/>
      <c r="AF18" s="23"/>
      <c r="AG18" s="23"/>
      <c r="BA18" s="99" t="s">
        <v>5323</v>
      </c>
      <c r="BB18" s="92" t="s">
        <v>2835</v>
      </c>
      <c r="BC18" s="92"/>
      <c r="BD18" s="100" t="s">
        <v>2834</v>
      </c>
      <c r="BE18" s="101">
        <v>3</v>
      </c>
      <c r="BF18" s="2957" t="s">
        <v>10881</v>
      </c>
      <c r="BG18" s="2958" t="s">
        <v>10882</v>
      </c>
      <c r="BH18" s="2959" t="s">
        <v>10883</v>
      </c>
      <c r="BI18" s="102" t="s">
        <v>10884</v>
      </c>
      <c r="BJ18" s="2959" t="s">
        <v>10885</v>
      </c>
      <c r="BK18" s="2972" t="s">
        <v>10886</v>
      </c>
      <c r="BL18" s="103" t="s">
        <v>76</v>
      </c>
      <c r="BM18" s="101">
        <v>2</v>
      </c>
      <c r="BN18" s="2961" t="s">
        <v>10907</v>
      </c>
      <c r="BO18" s="2962" t="s">
        <v>10908</v>
      </c>
    </row>
    <row r="19" spans="2:67" ht="15" customHeight="1">
      <c r="B19" s="99" t="s">
        <v>5324</v>
      </c>
      <c r="C19" s="92" t="s">
        <v>2836</v>
      </c>
      <c r="D19" s="92"/>
      <c r="E19" s="100" t="s">
        <v>2834</v>
      </c>
      <c r="F19" s="101">
        <v>3</v>
      </c>
      <c r="G19" s="40"/>
      <c r="H19" s="41"/>
      <c r="I19" s="42"/>
      <c r="J19" s="102">
        <f>SUM(G19:I19)</f>
        <v>0</v>
      </c>
      <c r="K19" s="42"/>
      <c r="L19" s="45"/>
      <c r="M19" s="103" t="s">
        <v>76</v>
      </c>
      <c r="N19" s="101">
        <v>2</v>
      </c>
      <c r="O19" s="918"/>
      <c r="P19" s="919"/>
      <c r="Q19" s="2"/>
      <c r="R19" s="24" t="str">
        <f t="shared" si="13"/>
        <v>Please complete all cells in row</v>
      </c>
      <c r="U19" s="98">
        <f t="shared" si="14"/>
        <v>1</v>
      </c>
      <c r="V19" s="98">
        <f t="shared" si="11"/>
        <v>1</v>
      </c>
      <c r="W19" s="98">
        <f t="shared" si="11"/>
        <v>1</v>
      </c>
      <c r="X19" s="98">
        <f t="shared" si="15"/>
        <v>1</v>
      </c>
      <c r="Y19" s="98">
        <f t="shared" si="15"/>
        <v>1</v>
      </c>
      <c r="Z19" s="98">
        <f t="shared" si="16"/>
        <v>1</v>
      </c>
      <c r="AA19" s="98">
        <f t="shared" si="16"/>
        <v>1</v>
      </c>
      <c r="AE19" s="23"/>
      <c r="AF19" s="23"/>
      <c r="AG19" s="23"/>
      <c r="BA19" s="99" t="s">
        <v>5324</v>
      </c>
      <c r="BB19" s="92" t="s">
        <v>2836</v>
      </c>
      <c r="BC19" s="92"/>
      <c r="BD19" s="100" t="s">
        <v>2834</v>
      </c>
      <c r="BE19" s="101">
        <v>3</v>
      </c>
      <c r="BF19" s="2957" t="s">
        <v>10887</v>
      </c>
      <c r="BG19" s="2958" t="s">
        <v>10888</v>
      </c>
      <c r="BH19" s="2959" t="s">
        <v>10889</v>
      </c>
      <c r="BI19" s="102" t="s">
        <v>10890</v>
      </c>
      <c r="BJ19" s="2959" t="s">
        <v>10891</v>
      </c>
      <c r="BK19" s="2972" t="s">
        <v>10892</v>
      </c>
      <c r="BL19" s="103" t="s">
        <v>76</v>
      </c>
      <c r="BM19" s="101">
        <v>2</v>
      </c>
      <c r="BN19" s="2961" t="s">
        <v>10909</v>
      </c>
      <c r="BO19" s="2962" t="s">
        <v>10910</v>
      </c>
    </row>
    <row r="20" spans="2:67" ht="15" customHeight="1" thickBot="1">
      <c r="B20" s="99" t="s">
        <v>5333</v>
      </c>
      <c r="C20" s="92" t="s">
        <v>2837</v>
      </c>
      <c r="D20" s="92"/>
      <c r="E20" s="100" t="s">
        <v>2834</v>
      </c>
      <c r="F20" s="101">
        <v>3</v>
      </c>
      <c r="G20" s="40"/>
      <c r="H20" s="41"/>
      <c r="I20" s="42"/>
      <c r="J20" s="102">
        <f t="shared" ref="J20" si="17">SUM(G20:I20)</f>
        <v>0</v>
      </c>
      <c r="K20" s="42"/>
      <c r="L20" s="45"/>
      <c r="M20" s="104" t="s">
        <v>76</v>
      </c>
      <c r="N20" s="105">
        <v>2</v>
      </c>
      <c r="O20" s="922"/>
      <c r="P20" s="923"/>
      <c r="Q20" s="2"/>
      <c r="R20" s="24" t="str">
        <f t="shared" si="13"/>
        <v>Please complete all cells in row</v>
      </c>
      <c r="U20" s="98">
        <f t="shared" si="14"/>
        <v>1</v>
      </c>
      <c r="V20" s="98">
        <f t="shared" si="11"/>
        <v>1</v>
      </c>
      <c r="W20" s="98">
        <f t="shared" si="11"/>
        <v>1</v>
      </c>
      <c r="X20" s="98">
        <f t="shared" si="15"/>
        <v>1</v>
      </c>
      <c r="Y20" s="98">
        <f t="shared" si="15"/>
        <v>1</v>
      </c>
      <c r="Z20" s="98">
        <f t="shared" si="16"/>
        <v>1</v>
      </c>
      <c r="AA20" s="98">
        <f t="shared" si="16"/>
        <v>1</v>
      </c>
      <c r="AE20" s="23"/>
      <c r="AF20" s="23"/>
      <c r="AG20" s="23"/>
      <c r="BA20" s="99" t="s">
        <v>5333</v>
      </c>
      <c r="BB20" s="92" t="s">
        <v>2837</v>
      </c>
      <c r="BC20" s="92"/>
      <c r="BD20" s="100" t="s">
        <v>2834</v>
      </c>
      <c r="BE20" s="101">
        <v>3</v>
      </c>
      <c r="BF20" s="2957" t="s">
        <v>10893</v>
      </c>
      <c r="BG20" s="2958" t="s">
        <v>10894</v>
      </c>
      <c r="BH20" s="2959" t="s">
        <v>10895</v>
      </c>
      <c r="BI20" s="102" t="s">
        <v>10896</v>
      </c>
      <c r="BJ20" s="2959" t="s">
        <v>10897</v>
      </c>
      <c r="BK20" s="2972" t="s">
        <v>10898</v>
      </c>
      <c r="BL20" s="104" t="s">
        <v>76</v>
      </c>
      <c r="BM20" s="105">
        <v>2</v>
      </c>
      <c r="BN20" s="2969" t="s">
        <v>10911</v>
      </c>
      <c r="BO20" s="2970" t="s">
        <v>10912</v>
      </c>
    </row>
    <row r="21" spans="2:67" ht="15.75" customHeight="1" thickBot="1">
      <c r="B21" s="106" t="s">
        <v>5325</v>
      </c>
      <c r="C21" s="107" t="s">
        <v>2554</v>
      </c>
      <c r="D21" s="107"/>
      <c r="E21" s="108" t="s">
        <v>2834</v>
      </c>
      <c r="F21" s="105">
        <v>3</v>
      </c>
      <c r="G21" s="109">
        <f>SUM(G17:G20)</f>
        <v>0</v>
      </c>
      <c r="H21" s="110">
        <f t="shared" ref="H21:K21" si="18">SUM(H17:H20)</f>
        <v>0</v>
      </c>
      <c r="I21" s="111">
        <f t="shared" si="18"/>
        <v>0</v>
      </c>
      <c r="J21" s="109">
        <f t="shared" si="18"/>
        <v>0</v>
      </c>
      <c r="K21" s="111">
        <f t="shared" si="18"/>
        <v>0</v>
      </c>
      <c r="L21" s="112">
        <f>SUM(L17:L20)</f>
        <v>0</v>
      </c>
      <c r="M21" s="120"/>
      <c r="N21" s="120"/>
      <c r="O21" s="113"/>
      <c r="P21" s="113"/>
      <c r="Q21" s="97"/>
      <c r="S21" s="123"/>
      <c r="T21" s="124"/>
      <c r="U21" s="125"/>
      <c r="V21" s="123"/>
      <c r="W21" s="123"/>
      <c r="X21" s="123"/>
      <c r="Y21" s="123"/>
      <c r="Z21" s="123"/>
      <c r="AA21" s="123"/>
      <c r="AB21" s="124"/>
      <c r="AD21" s="124"/>
      <c r="AE21" s="23"/>
      <c r="AF21" s="23"/>
      <c r="AG21" s="23"/>
      <c r="AH21" s="124"/>
      <c r="BA21" s="106" t="s">
        <v>5325</v>
      </c>
      <c r="BB21" s="107" t="s">
        <v>2554</v>
      </c>
      <c r="BC21" s="107"/>
      <c r="BD21" s="108" t="s">
        <v>2834</v>
      </c>
      <c r="BE21" s="105">
        <v>3</v>
      </c>
      <c r="BF21" s="109" t="s">
        <v>10899</v>
      </c>
      <c r="BG21" s="110" t="s">
        <v>10900</v>
      </c>
      <c r="BH21" s="111" t="s">
        <v>10901</v>
      </c>
      <c r="BI21" s="109" t="s">
        <v>10902</v>
      </c>
      <c r="BJ21" s="111" t="s">
        <v>10903</v>
      </c>
      <c r="BK21" s="112" t="s">
        <v>10904</v>
      </c>
      <c r="BL21" s="120"/>
      <c r="BM21" s="120"/>
      <c r="BN21" s="113"/>
      <c r="BO21" s="113"/>
    </row>
    <row r="22" spans="2:67" ht="15.75" customHeight="1" thickBot="1">
      <c r="B22" s="126"/>
      <c r="C22" s="127"/>
      <c r="D22" s="127"/>
      <c r="E22" s="120"/>
      <c r="F22" s="120"/>
      <c r="G22" s="121"/>
      <c r="H22" s="121"/>
      <c r="I22" s="121"/>
      <c r="J22" s="121"/>
      <c r="K22" s="121"/>
      <c r="L22" s="121"/>
      <c r="M22" s="120"/>
      <c r="N22" s="120"/>
      <c r="O22" s="128"/>
      <c r="P22" s="128"/>
      <c r="Q22" s="97"/>
      <c r="S22" s="123"/>
      <c r="T22" s="124"/>
      <c r="U22" s="125"/>
      <c r="V22" s="123"/>
      <c r="W22" s="123"/>
      <c r="X22" s="123"/>
      <c r="Y22" s="123"/>
      <c r="Z22" s="123"/>
      <c r="AA22" s="123"/>
      <c r="AB22" s="124"/>
      <c r="AD22" s="124"/>
      <c r="AE22" s="23"/>
      <c r="AF22" s="23"/>
      <c r="AG22" s="23"/>
      <c r="AH22" s="124"/>
      <c r="BA22" s="126"/>
      <c r="BB22" s="127"/>
      <c r="BC22" s="127"/>
      <c r="BD22" s="120"/>
      <c r="BE22" s="120"/>
      <c r="BF22" s="121"/>
      <c r="BG22" s="121"/>
      <c r="BH22" s="121"/>
      <c r="BI22" s="121"/>
      <c r="BJ22" s="121"/>
      <c r="BK22" s="121"/>
      <c r="BL22" s="120"/>
      <c r="BM22" s="120"/>
      <c r="BN22" s="128"/>
      <c r="BO22" s="128"/>
    </row>
    <row r="23" spans="2:67" ht="15" thickBot="1">
      <c r="B23" s="118" t="s">
        <v>2464</v>
      </c>
      <c r="C23" s="119" t="s">
        <v>2838</v>
      </c>
      <c r="D23" s="1584"/>
      <c r="E23" s="120"/>
      <c r="F23" s="120"/>
      <c r="G23" s="121"/>
      <c r="H23" s="121"/>
      <c r="I23" s="121"/>
      <c r="J23" s="121"/>
      <c r="K23" s="121"/>
      <c r="L23" s="117"/>
      <c r="M23" s="120"/>
      <c r="N23" s="120"/>
      <c r="O23" s="113"/>
      <c r="P23" s="113"/>
      <c r="Q23" s="97"/>
      <c r="S23" s="123"/>
      <c r="T23" s="124"/>
      <c r="U23" s="125"/>
      <c r="V23" s="123"/>
      <c r="W23" s="123"/>
      <c r="X23" s="123"/>
      <c r="Y23" s="123"/>
      <c r="Z23" s="123"/>
      <c r="AA23" s="123"/>
      <c r="AB23" s="124"/>
      <c r="AD23" s="124"/>
      <c r="AE23" s="23"/>
      <c r="AF23" s="23"/>
      <c r="AG23" s="23"/>
      <c r="AH23" s="124"/>
      <c r="BA23" s="118" t="s">
        <v>2464</v>
      </c>
      <c r="BB23" s="119" t="s">
        <v>2838</v>
      </c>
      <c r="BC23" s="2607"/>
      <c r="BD23" s="120"/>
      <c r="BE23" s="120"/>
      <c r="BF23" s="121"/>
      <c r="BG23" s="121"/>
      <c r="BH23" s="121"/>
      <c r="BI23" s="121"/>
      <c r="BJ23" s="121"/>
      <c r="BK23" s="117"/>
      <c r="BL23" s="120"/>
      <c r="BM23" s="120"/>
      <c r="BN23" s="113"/>
      <c r="BO23" s="113"/>
    </row>
    <row r="24" spans="2:67">
      <c r="B24" s="91" t="s">
        <v>5326</v>
      </c>
      <c r="C24" s="122" t="s">
        <v>2839</v>
      </c>
      <c r="D24" s="122"/>
      <c r="E24" s="93" t="s">
        <v>2834</v>
      </c>
      <c r="F24" s="94">
        <v>3</v>
      </c>
      <c r="G24" s="36"/>
      <c r="H24" s="37"/>
      <c r="I24" s="38"/>
      <c r="J24" s="95">
        <f>SUM(G24:I24)</f>
        <v>0</v>
      </c>
      <c r="K24" s="38"/>
      <c r="L24" s="46"/>
      <c r="M24" s="96" t="s">
        <v>76</v>
      </c>
      <c r="N24" s="94">
        <v>2</v>
      </c>
      <c r="O24" s="914"/>
      <c r="P24" s="915"/>
      <c r="Q24" s="97"/>
      <c r="R24" s="24" t="str">
        <f t="shared" ref="R24:R27" si="19" xml:space="preserve"> IF( SUM( T24:AB24 ) = 0, 0, $U$7 )</f>
        <v>Please complete all cells in row</v>
      </c>
      <c r="U24" s="98">
        <f t="shared" ref="U24:W27" si="20" xml:space="preserve"> IF( ISNUMBER( G24 ), 0, 1 )</f>
        <v>1</v>
      </c>
      <c r="V24" s="98">
        <f t="shared" si="20"/>
        <v>1</v>
      </c>
      <c r="W24" s="98">
        <f t="shared" si="20"/>
        <v>1</v>
      </c>
      <c r="X24" s="98">
        <f t="shared" ref="X24:Y27" si="21" xml:space="preserve"> IF( ISNUMBER( K24 ), 0, 1 )</f>
        <v>1</v>
      </c>
      <c r="Y24" s="98">
        <f t="shared" si="21"/>
        <v>1</v>
      </c>
      <c r="Z24" s="98">
        <f t="shared" ref="Z24:AA27" si="22" xml:space="preserve"> IF( ISNUMBER( O24 ), 0, 1 )</f>
        <v>1</v>
      </c>
      <c r="AA24" s="98">
        <f t="shared" si="22"/>
        <v>1</v>
      </c>
      <c r="AE24" s="23"/>
      <c r="AF24" s="23"/>
      <c r="AG24" s="23"/>
      <c r="BA24" s="91" t="s">
        <v>5326</v>
      </c>
      <c r="BB24" s="122" t="s">
        <v>2839</v>
      </c>
      <c r="BC24" s="122"/>
      <c r="BD24" s="93" t="s">
        <v>2834</v>
      </c>
      <c r="BE24" s="94">
        <v>3</v>
      </c>
      <c r="BF24" s="2945" t="s">
        <v>10913</v>
      </c>
      <c r="BG24" s="2946" t="s">
        <v>10914</v>
      </c>
      <c r="BH24" s="2947" t="s">
        <v>10915</v>
      </c>
      <c r="BI24" s="95" t="s">
        <v>10916</v>
      </c>
      <c r="BJ24" s="2947" t="s">
        <v>10917</v>
      </c>
      <c r="BK24" s="2973" t="s">
        <v>10918</v>
      </c>
      <c r="BL24" s="96" t="s">
        <v>76</v>
      </c>
      <c r="BM24" s="94">
        <v>2</v>
      </c>
      <c r="BN24" s="2949" t="s">
        <v>10943</v>
      </c>
      <c r="BO24" s="2950" t="s">
        <v>10944</v>
      </c>
    </row>
    <row r="25" spans="2:67">
      <c r="B25" s="99" t="s">
        <v>5327</v>
      </c>
      <c r="C25" s="92" t="s">
        <v>2840</v>
      </c>
      <c r="D25" s="92"/>
      <c r="E25" s="100" t="s">
        <v>2834</v>
      </c>
      <c r="F25" s="101">
        <v>3</v>
      </c>
      <c r="G25" s="40"/>
      <c r="H25" s="41"/>
      <c r="I25" s="42"/>
      <c r="J25" s="102">
        <f t="shared" ref="J25:J27" si="23">SUM(G25:I25)</f>
        <v>0</v>
      </c>
      <c r="K25" s="42"/>
      <c r="L25" s="47"/>
      <c r="M25" s="103" t="s">
        <v>76</v>
      </c>
      <c r="N25" s="101">
        <v>2</v>
      </c>
      <c r="O25" s="918"/>
      <c r="P25" s="919"/>
      <c r="Q25" s="97"/>
      <c r="R25" s="24" t="str">
        <f t="shared" si="19"/>
        <v>Please complete all cells in row</v>
      </c>
      <c r="U25" s="98">
        <f t="shared" si="20"/>
        <v>1</v>
      </c>
      <c r="V25" s="98">
        <f t="shared" si="20"/>
        <v>1</v>
      </c>
      <c r="W25" s="98">
        <f t="shared" si="20"/>
        <v>1</v>
      </c>
      <c r="X25" s="98">
        <f t="shared" si="21"/>
        <v>1</v>
      </c>
      <c r="Y25" s="98">
        <f t="shared" si="21"/>
        <v>1</v>
      </c>
      <c r="Z25" s="98">
        <f t="shared" si="22"/>
        <v>1</v>
      </c>
      <c r="AA25" s="98">
        <f t="shared" si="22"/>
        <v>1</v>
      </c>
      <c r="AE25" s="23"/>
      <c r="AF25" s="23"/>
      <c r="AG25" s="23"/>
      <c r="BA25" s="99" t="s">
        <v>5327</v>
      </c>
      <c r="BB25" s="92" t="s">
        <v>2840</v>
      </c>
      <c r="BC25" s="92"/>
      <c r="BD25" s="100" t="s">
        <v>2834</v>
      </c>
      <c r="BE25" s="101">
        <v>3</v>
      </c>
      <c r="BF25" s="2957" t="s">
        <v>10919</v>
      </c>
      <c r="BG25" s="2958" t="s">
        <v>10920</v>
      </c>
      <c r="BH25" s="2959" t="s">
        <v>10921</v>
      </c>
      <c r="BI25" s="102" t="s">
        <v>10922</v>
      </c>
      <c r="BJ25" s="2959" t="s">
        <v>10923</v>
      </c>
      <c r="BK25" s="2974" t="s">
        <v>10924</v>
      </c>
      <c r="BL25" s="103" t="s">
        <v>76</v>
      </c>
      <c r="BM25" s="101">
        <v>2</v>
      </c>
      <c r="BN25" s="2961" t="s">
        <v>10945</v>
      </c>
      <c r="BO25" s="2962" t="s">
        <v>10946</v>
      </c>
    </row>
    <row r="26" spans="2:67">
      <c r="B26" s="99" t="s">
        <v>5328</v>
      </c>
      <c r="C26" s="92" t="s">
        <v>2841</v>
      </c>
      <c r="D26" s="92"/>
      <c r="E26" s="100" t="s">
        <v>2834</v>
      </c>
      <c r="F26" s="101">
        <v>3</v>
      </c>
      <c r="G26" s="40"/>
      <c r="H26" s="41"/>
      <c r="I26" s="42"/>
      <c r="J26" s="102">
        <f>SUM(G26:I26)</f>
        <v>0</v>
      </c>
      <c r="K26" s="42"/>
      <c r="L26" s="47"/>
      <c r="M26" s="103" t="s">
        <v>76</v>
      </c>
      <c r="N26" s="101">
        <v>2</v>
      </c>
      <c r="O26" s="918"/>
      <c r="P26" s="919"/>
      <c r="Q26" s="97"/>
      <c r="R26" s="24" t="str">
        <f t="shared" si="19"/>
        <v>Please complete all cells in row</v>
      </c>
      <c r="U26" s="98">
        <f t="shared" si="20"/>
        <v>1</v>
      </c>
      <c r="V26" s="98">
        <f t="shared" si="20"/>
        <v>1</v>
      </c>
      <c r="W26" s="98">
        <f t="shared" si="20"/>
        <v>1</v>
      </c>
      <c r="X26" s="98">
        <f t="shared" si="21"/>
        <v>1</v>
      </c>
      <c r="Y26" s="98">
        <f t="shared" si="21"/>
        <v>1</v>
      </c>
      <c r="Z26" s="98">
        <f t="shared" si="22"/>
        <v>1</v>
      </c>
      <c r="AA26" s="98">
        <f t="shared" si="22"/>
        <v>1</v>
      </c>
      <c r="AB26" s="129"/>
      <c r="AD26" s="129"/>
      <c r="AE26" s="23"/>
      <c r="AF26" s="23"/>
      <c r="AG26" s="23"/>
      <c r="AH26" s="129"/>
      <c r="BA26" s="99" t="s">
        <v>5328</v>
      </c>
      <c r="BB26" s="92" t="s">
        <v>2841</v>
      </c>
      <c r="BC26" s="92"/>
      <c r="BD26" s="100" t="s">
        <v>2834</v>
      </c>
      <c r="BE26" s="101">
        <v>3</v>
      </c>
      <c r="BF26" s="2957" t="s">
        <v>10925</v>
      </c>
      <c r="BG26" s="2958" t="s">
        <v>10926</v>
      </c>
      <c r="BH26" s="2959" t="s">
        <v>10927</v>
      </c>
      <c r="BI26" s="102" t="s">
        <v>10928</v>
      </c>
      <c r="BJ26" s="2959" t="s">
        <v>10929</v>
      </c>
      <c r="BK26" s="2974" t="s">
        <v>10930</v>
      </c>
      <c r="BL26" s="103" t="s">
        <v>76</v>
      </c>
      <c r="BM26" s="101">
        <v>2</v>
      </c>
      <c r="BN26" s="2961" t="s">
        <v>10947</v>
      </c>
      <c r="BO26" s="2962" t="s">
        <v>10948</v>
      </c>
    </row>
    <row r="27" spans="2:67" ht="15" thickBot="1">
      <c r="B27" s="99" t="s">
        <v>5329</v>
      </c>
      <c r="C27" s="92" t="s">
        <v>2842</v>
      </c>
      <c r="D27" s="92"/>
      <c r="E27" s="100" t="s">
        <v>2834</v>
      </c>
      <c r="F27" s="101">
        <v>3</v>
      </c>
      <c r="G27" s="40"/>
      <c r="H27" s="41"/>
      <c r="I27" s="42"/>
      <c r="J27" s="102">
        <f t="shared" si="23"/>
        <v>0</v>
      </c>
      <c r="K27" s="42"/>
      <c r="L27" s="48"/>
      <c r="M27" s="104" t="s">
        <v>76</v>
      </c>
      <c r="N27" s="105">
        <v>2</v>
      </c>
      <c r="O27" s="922"/>
      <c r="P27" s="923"/>
      <c r="Q27" s="97"/>
      <c r="R27" s="24" t="str">
        <f t="shared" si="19"/>
        <v>Please complete all cells in row</v>
      </c>
      <c r="U27" s="98">
        <f t="shared" si="20"/>
        <v>1</v>
      </c>
      <c r="V27" s="98">
        <f t="shared" si="20"/>
        <v>1</v>
      </c>
      <c r="W27" s="98">
        <f t="shared" si="20"/>
        <v>1</v>
      </c>
      <c r="X27" s="98">
        <f t="shared" si="21"/>
        <v>1</v>
      </c>
      <c r="Y27" s="98">
        <f t="shared" si="21"/>
        <v>1</v>
      </c>
      <c r="Z27" s="98">
        <f t="shared" si="22"/>
        <v>1</v>
      </c>
      <c r="AA27" s="98">
        <f t="shared" si="22"/>
        <v>1</v>
      </c>
      <c r="AB27" s="124"/>
      <c r="AD27" s="124"/>
      <c r="AE27" s="23"/>
      <c r="AF27" s="23"/>
      <c r="AG27" s="23"/>
      <c r="AH27" s="124"/>
      <c r="BA27" s="99" t="s">
        <v>5329</v>
      </c>
      <c r="BB27" s="92" t="s">
        <v>2842</v>
      </c>
      <c r="BC27" s="92"/>
      <c r="BD27" s="100" t="s">
        <v>2834</v>
      </c>
      <c r="BE27" s="101">
        <v>3</v>
      </c>
      <c r="BF27" s="2957" t="s">
        <v>10931</v>
      </c>
      <c r="BG27" s="2958" t="s">
        <v>10932</v>
      </c>
      <c r="BH27" s="2959" t="s">
        <v>10933</v>
      </c>
      <c r="BI27" s="102" t="s">
        <v>10934</v>
      </c>
      <c r="BJ27" s="2959" t="s">
        <v>10935</v>
      </c>
      <c r="BK27" s="2975" t="s">
        <v>10936</v>
      </c>
      <c r="BL27" s="104" t="s">
        <v>76</v>
      </c>
      <c r="BM27" s="105">
        <v>2</v>
      </c>
      <c r="BN27" s="2969" t="s">
        <v>10949</v>
      </c>
      <c r="BO27" s="2970" t="s">
        <v>10950</v>
      </c>
    </row>
    <row r="28" spans="2:67" ht="15" thickBot="1">
      <c r="B28" s="106" t="s">
        <v>5330</v>
      </c>
      <c r="C28" s="107" t="s">
        <v>2554</v>
      </c>
      <c r="D28" s="107"/>
      <c r="E28" s="108" t="s">
        <v>2834</v>
      </c>
      <c r="F28" s="105">
        <v>3</v>
      </c>
      <c r="G28" s="109">
        <f>SUM(G24:G27)</f>
        <v>0</v>
      </c>
      <c r="H28" s="110">
        <f t="shared" ref="H28:K28" si="24">SUM(H24:H27)</f>
        <v>0</v>
      </c>
      <c r="I28" s="111">
        <f t="shared" si="24"/>
        <v>0</v>
      </c>
      <c r="J28" s="109">
        <f t="shared" si="24"/>
        <v>0</v>
      </c>
      <c r="K28" s="111">
        <f t="shared" si="24"/>
        <v>0</v>
      </c>
      <c r="L28" s="130">
        <f>SUM(L24:L27)</f>
        <v>0</v>
      </c>
      <c r="M28" s="120"/>
      <c r="N28" s="120"/>
      <c r="O28" s="113"/>
      <c r="P28" s="113"/>
      <c r="Q28" s="97"/>
      <c r="S28" s="123"/>
      <c r="T28" s="124"/>
      <c r="U28" s="125"/>
      <c r="V28" s="123"/>
      <c r="W28" s="123"/>
      <c r="X28" s="123"/>
      <c r="Y28" s="123"/>
      <c r="Z28" s="123"/>
      <c r="AA28" s="123"/>
      <c r="AB28" s="124"/>
      <c r="AD28" s="124"/>
      <c r="AE28" s="23"/>
      <c r="AF28" s="23"/>
      <c r="AG28" s="23"/>
      <c r="AH28" s="124"/>
      <c r="BA28" s="106" t="s">
        <v>5330</v>
      </c>
      <c r="BB28" s="107" t="s">
        <v>2554</v>
      </c>
      <c r="BC28" s="107"/>
      <c r="BD28" s="108" t="s">
        <v>2834</v>
      </c>
      <c r="BE28" s="105">
        <v>3</v>
      </c>
      <c r="BF28" s="109" t="s">
        <v>10937</v>
      </c>
      <c r="BG28" s="110" t="s">
        <v>10938</v>
      </c>
      <c r="BH28" s="111" t="s">
        <v>10939</v>
      </c>
      <c r="BI28" s="109" t="s">
        <v>10940</v>
      </c>
      <c r="BJ28" s="111" t="s">
        <v>10941</v>
      </c>
      <c r="BK28" s="130" t="s">
        <v>10942</v>
      </c>
      <c r="BL28" s="120"/>
      <c r="BM28" s="120"/>
      <c r="BN28" s="113"/>
      <c r="BO28" s="113"/>
    </row>
    <row r="29" spans="2:67" ht="15" thickBot="1">
      <c r="B29" s="126"/>
      <c r="C29" s="127"/>
      <c r="D29" s="127"/>
      <c r="E29" s="120"/>
      <c r="F29" s="120"/>
      <c r="G29" s="121"/>
      <c r="H29" s="121"/>
      <c r="I29" s="121"/>
      <c r="J29" s="121"/>
      <c r="K29" s="121"/>
      <c r="L29" s="121"/>
      <c r="M29" s="120"/>
      <c r="N29" s="120"/>
      <c r="O29" s="128"/>
      <c r="P29" s="128"/>
      <c r="Q29" s="97"/>
      <c r="S29" s="131"/>
      <c r="T29" s="124"/>
      <c r="U29" s="131"/>
      <c r="V29" s="131"/>
      <c r="W29" s="131"/>
      <c r="X29" s="131"/>
      <c r="Y29" s="131"/>
      <c r="Z29" s="131"/>
      <c r="AA29" s="131"/>
      <c r="AB29" s="124"/>
      <c r="AD29" s="124"/>
      <c r="AH29" s="124"/>
      <c r="BA29" s="126"/>
      <c r="BB29" s="127"/>
      <c r="BC29" s="127"/>
      <c r="BD29" s="120"/>
      <c r="BE29" s="120"/>
      <c r="BF29" s="121"/>
      <c r="BG29" s="121"/>
      <c r="BH29" s="121"/>
      <c r="BI29" s="121"/>
      <c r="BJ29" s="121"/>
      <c r="BK29" s="121"/>
      <c r="BL29" s="120"/>
      <c r="BM29" s="120"/>
      <c r="BN29" s="128"/>
      <c r="BO29" s="128"/>
    </row>
    <row r="30" spans="2:67" ht="15" thickBot="1">
      <c r="B30" s="118" t="s">
        <v>2473</v>
      </c>
      <c r="C30" s="119" t="s">
        <v>2843</v>
      </c>
      <c r="D30" s="1584"/>
      <c r="E30" s="120"/>
      <c r="F30" s="120"/>
      <c r="G30" s="121"/>
      <c r="H30" s="121"/>
      <c r="I30" s="121"/>
      <c r="J30" s="121"/>
      <c r="K30" s="121"/>
      <c r="L30" s="117"/>
      <c r="M30" s="120"/>
      <c r="N30" s="120"/>
      <c r="O30" s="113"/>
      <c r="P30" s="113"/>
      <c r="Q30" s="2"/>
      <c r="S30" s="131"/>
      <c r="T30" s="124"/>
      <c r="U30" s="131"/>
      <c r="V30" s="131"/>
      <c r="W30" s="131"/>
      <c r="X30" s="131"/>
      <c r="Y30" s="131"/>
      <c r="Z30" s="131"/>
      <c r="AA30" s="131"/>
      <c r="AB30" s="124"/>
      <c r="AD30" s="124"/>
      <c r="AH30" s="124"/>
      <c r="BA30" s="118" t="s">
        <v>2473</v>
      </c>
      <c r="BB30" s="119" t="s">
        <v>2843</v>
      </c>
      <c r="BC30" s="2607"/>
      <c r="BD30" s="120"/>
      <c r="BE30" s="120"/>
      <c r="BF30" s="121"/>
      <c r="BG30" s="121"/>
      <c r="BH30" s="121"/>
      <c r="BI30" s="121"/>
      <c r="BJ30" s="121"/>
      <c r="BK30" s="117"/>
      <c r="BL30" s="120"/>
      <c r="BM30" s="120"/>
      <c r="BN30" s="113"/>
      <c r="BO30" s="113"/>
    </row>
    <row r="31" spans="2:67">
      <c r="B31" s="91" t="s">
        <v>5331</v>
      </c>
      <c r="C31" s="122" t="s">
        <v>2844</v>
      </c>
      <c r="D31" s="122"/>
      <c r="E31" s="93" t="s">
        <v>750</v>
      </c>
      <c r="F31" s="94">
        <v>3</v>
      </c>
      <c r="G31" s="36"/>
      <c r="H31" s="37"/>
      <c r="I31" s="38"/>
      <c r="J31" s="95">
        <f>SUM(G31:I31)</f>
        <v>0</v>
      </c>
      <c r="K31" s="38"/>
      <c r="L31" s="46"/>
      <c r="M31" s="96" t="s">
        <v>76</v>
      </c>
      <c r="N31" s="94">
        <v>2</v>
      </c>
      <c r="O31" s="914"/>
      <c r="P31" s="915"/>
      <c r="Q31" s="2"/>
      <c r="R31" s="24" t="str">
        <f t="shared" ref="R31:R37" si="25" xml:space="preserve"> IF( SUM( T31:AB31 ) = 0, 0, $U$7 )</f>
        <v>Please complete all cells in row</v>
      </c>
      <c r="U31" s="98">
        <f t="shared" ref="U31:W37" si="26" xml:space="preserve"> IF( ISNUMBER( G31 ), 0, 1 )</f>
        <v>1</v>
      </c>
      <c r="V31" s="98">
        <f t="shared" si="26"/>
        <v>1</v>
      </c>
      <c r="W31" s="98">
        <f t="shared" si="26"/>
        <v>1</v>
      </c>
      <c r="X31" s="98">
        <f t="shared" ref="X31:Y37" si="27" xml:space="preserve"> IF( ISNUMBER( K31 ), 0, 1 )</f>
        <v>1</v>
      </c>
      <c r="Y31" s="98">
        <f t="shared" si="27"/>
        <v>1</v>
      </c>
      <c r="Z31" s="98">
        <f t="shared" ref="Z31:AA37" si="28" xml:space="preserve"> IF( ISNUMBER( O31 ), 0, 1 )</f>
        <v>1</v>
      </c>
      <c r="AA31" s="98">
        <f t="shared" si="28"/>
        <v>1</v>
      </c>
      <c r="BA31" s="91" t="s">
        <v>5331</v>
      </c>
      <c r="BB31" s="122" t="s">
        <v>2844</v>
      </c>
      <c r="BC31" s="122"/>
      <c r="BD31" s="93" t="s">
        <v>750</v>
      </c>
      <c r="BE31" s="94">
        <v>3</v>
      </c>
      <c r="BF31" s="2945" t="s">
        <v>10951</v>
      </c>
      <c r="BG31" s="2946" t="s">
        <v>10952</v>
      </c>
      <c r="BH31" s="2947" t="s">
        <v>10953</v>
      </c>
      <c r="BI31" s="95" t="s">
        <v>10954</v>
      </c>
      <c r="BJ31" s="2947" t="s">
        <v>10955</v>
      </c>
      <c r="BK31" s="2973" t="s">
        <v>10956</v>
      </c>
      <c r="BL31" s="96" t="s">
        <v>76</v>
      </c>
      <c r="BM31" s="94">
        <v>2</v>
      </c>
      <c r="BN31" s="2949" t="s">
        <v>10981</v>
      </c>
      <c r="BO31" s="2950" t="s">
        <v>10982</v>
      </c>
    </row>
    <row r="32" spans="2:67">
      <c r="B32" s="99" t="s">
        <v>5332</v>
      </c>
      <c r="C32" s="92" t="s">
        <v>2845</v>
      </c>
      <c r="D32" s="92"/>
      <c r="E32" s="100" t="s">
        <v>750</v>
      </c>
      <c r="F32" s="101">
        <v>3</v>
      </c>
      <c r="G32" s="40"/>
      <c r="H32" s="41"/>
      <c r="I32" s="42"/>
      <c r="J32" s="102">
        <f t="shared" ref="J32" si="29">SUM(G32:I32)</f>
        <v>0</v>
      </c>
      <c r="K32" s="42"/>
      <c r="L32" s="47"/>
      <c r="M32" s="103" t="s">
        <v>76</v>
      </c>
      <c r="N32" s="101">
        <v>2</v>
      </c>
      <c r="O32" s="918"/>
      <c r="P32" s="919"/>
      <c r="Q32" s="97"/>
      <c r="R32" s="24" t="str">
        <f t="shared" si="25"/>
        <v>Please complete all cells in row</v>
      </c>
      <c r="U32" s="98">
        <f t="shared" si="26"/>
        <v>1</v>
      </c>
      <c r="V32" s="98">
        <f t="shared" si="26"/>
        <v>1</v>
      </c>
      <c r="W32" s="98">
        <f t="shared" si="26"/>
        <v>1</v>
      </c>
      <c r="X32" s="98">
        <f t="shared" si="27"/>
        <v>1</v>
      </c>
      <c r="Y32" s="98">
        <f t="shared" si="27"/>
        <v>1</v>
      </c>
      <c r="Z32" s="98">
        <f t="shared" si="28"/>
        <v>1</v>
      </c>
      <c r="AA32" s="98">
        <f t="shared" si="28"/>
        <v>1</v>
      </c>
      <c r="BA32" s="99" t="s">
        <v>5332</v>
      </c>
      <c r="BB32" s="92" t="s">
        <v>2845</v>
      </c>
      <c r="BC32" s="92"/>
      <c r="BD32" s="100" t="s">
        <v>750</v>
      </c>
      <c r="BE32" s="101">
        <v>3</v>
      </c>
      <c r="BF32" s="2957" t="s">
        <v>10957</v>
      </c>
      <c r="BG32" s="2958" t="s">
        <v>10958</v>
      </c>
      <c r="BH32" s="2959" t="s">
        <v>10959</v>
      </c>
      <c r="BI32" s="102" t="s">
        <v>10960</v>
      </c>
      <c r="BJ32" s="2959" t="s">
        <v>10961</v>
      </c>
      <c r="BK32" s="2974" t="s">
        <v>10962</v>
      </c>
      <c r="BL32" s="103" t="s">
        <v>76</v>
      </c>
      <c r="BM32" s="101">
        <v>2</v>
      </c>
      <c r="BN32" s="2961" t="s">
        <v>10983</v>
      </c>
      <c r="BO32" s="2962" t="s">
        <v>10984</v>
      </c>
    </row>
    <row r="33" spans="2:67">
      <c r="B33" s="99" t="s">
        <v>5334</v>
      </c>
      <c r="C33" s="92" t="s">
        <v>2846</v>
      </c>
      <c r="D33" s="92"/>
      <c r="E33" s="100" t="s">
        <v>750</v>
      </c>
      <c r="F33" s="101">
        <v>3</v>
      </c>
      <c r="G33" s="40"/>
      <c r="H33" s="41"/>
      <c r="I33" s="42"/>
      <c r="J33" s="102">
        <f>SUM(G33:I33)</f>
        <v>0</v>
      </c>
      <c r="K33" s="42"/>
      <c r="L33" s="47"/>
      <c r="M33" s="103" t="s">
        <v>76</v>
      </c>
      <c r="N33" s="101">
        <v>2</v>
      </c>
      <c r="O33" s="918"/>
      <c r="P33" s="919"/>
      <c r="Q33" s="97"/>
      <c r="R33" s="24" t="str">
        <f t="shared" si="25"/>
        <v>Please complete all cells in row</v>
      </c>
      <c r="U33" s="98">
        <f t="shared" si="26"/>
        <v>1</v>
      </c>
      <c r="V33" s="98">
        <f t="shared" si="26"/>
        <v>1</v>
      </c>
      <c r="W33" s="98">
        <f t="shared" si="26"/>
        <v>1</v>
      </c>
      <c r="X33" s="98">
        <f t="shared" si="27"/>
        <v>1</v>
      </c>
      <c r="Y33" s="98">
        <f t="shared" si="27"/>
        <v>1</v>
      </c>
      <c r="Z33" s="98">
        <f t="shared" si="28"/>
        <v>1</v>
      </c>
      <c r="AA33" s="98">
        <f t="shared" si="28"/>
        <v>1</v>
      </c>
      <c r="AC33" s="132"/>
      <c r="BA33" s="99" t="s">
        <v>5334</v>
      </c>
      <c r="BB33" s="92" t="s">
        <v>2846</v>
      </c>
      <c r="BC33" s="92"/>
      <c r="BD33" s="100" t="s">
        <v>750</v>
      </c>
      <c r="BE33" s="101">
        <v>3</v>
      </c>
      <c r="BF33" s="2957" t="s">
        <v>10963</v>
      </c>
      <c r="BG33" s="2958" t="s">
        <v>10964</v>
      </c>
      <c r="BH33" s="2959" t="s">
        <v>10965</v>
      </c>
      <c r="BI33" s="102" t="s">
        <v>10966</v>
      </c>
      <c r="BJ33" s="2959" t="s">
        <v>10967</v>
      </c>
      <c r="BK33" s="2974" t="s">
        <v>10968</v>
      </c>
      <c r="BL33" s="103" t="s">
        <v>76</v>
      </c>
      <c r="BM33" s="101">
        <v>2</v>
      </c>
      <c r="BN33" s="2961" t="s">
        <v>10985</v>
      </c>
      <c r="BO33" s="2962" t="s">
        <v>10986</v>
      </c>
    </row>
    <row r="34" spans="2:67" s="496" customFormat="1">
      <c r="B34" s="99" t="s">
        <v>5335</v>
      </c>
      <c r="C34" s="92" t="s">
        <v>13533</v>
      </c>
      <c r="D34" s="92"/>
      <c r="E34" s="100" t="s">
        <v>750</v>
      </c>
      <c r="F34" s="101">
        <v>3</v>
      </c>
      <c r="G34" s="40"/>
      <c r="H34" s="41"/>
      <c r="I34" s="42"/>
      <c r="J34" s="102">
        <f t="shared" ref="J34:J36" si="30">SUM(G34:I34)</f>
        <v>0</v>
      </c>
      <c r="K34" s="42"/>
      <c r="L34" s="47"/>
      <c r="M34" s="103" t="s">
        <v>76</v>
      </c>
      <c r="N34" s="101">
        <v>2</v>
      </c>
      <c r="O34" s="918"/>
      <c r="P34" s="919"/>
      <c r="Q34" s="97"/>
      <c r="R34" s="24" t="str">
        <f t="shared" ref="R34:R36" si="31" xml:space="preserve"> IF( SUM( T34:AB34 ) = 0, 0, $U$7 )</f>
        <v>Please complete all cells in row</v>
      </c>
      <c r="S34" s="71"/>
      <c r="T34" s="72"/>
      <c r="U34" s="98">
        <f t="shared" ref="U34:U36" si="32" xml:space="preserve"> IF( ISNUMBER( G34 ), 0, 1 )</f>
        <v>1</v>
      </c>
      <c r="V34" s="98">
        <f t="shared" ref="V34:V36" si="33" xml:space="preserve"> IF( ISNUMBER( H34 ), 0, 1 )</f>
        <v>1</v>
      </c>
      <c r="W34" s="98">
        <f t="shared" ref="W34:W36" si="34" xml:space="preserve"> IF( ISNUMBER( I34 ), 0, 1 )</f>
        <v>1</v>
      </c>
      <c r="X34" s="98">
        <f t="shared" ref="X34:X36" si="35" xml:space="preserve"> IF( ISNUMBER( K34 ), 0, 1 )</f>
        <v>1</v>
      </c>
      <c r="Y34" s="98">
        <f t="shared" ref="Y34:Y36" si="36" xml:space="preserve"> IF( ISNUMBER( L34 ), 0, 1 )</f>
        <v>1</v>
      </c>
      <c r="Z34" s="98">
        <f t="shared" ref="Z34:Z36" si="37" xml:space="preserve"> IF( ISNUMBER( O34 ), 0, 1 )</f>
        <v>1</v>
      </c>
      <c r="AA34" s="98">
        <f t="shared" ref="AA34:AA36" si="38" xml:space="preserve"> IF( ISNUMBER( P34 ), 0, 1 )</f>
        <v>1</v>
      </c>
      <c r="AB34" s="72"/>
      <c r="AC34" s="132"/>
      <c r="AD34" s="72"/>
      <c r="AH34" s="72"/>
      <c r="BA34" s="99" t="s">
        <v>5335</v>
      </c>
      <c r="BB34" s="92" t="s">
        <v>13533</v>
      </c>
      <c r="BC34" s="2606" t="s">
        <v>13545</v>
      </c>
      <c r="BD34" s="1328" t="s">
        <v>750</v>
      </c>
      <c r="BE34" s="1329">
        <v>3</v>
      </c>
      <c r="BF34" s="2957" t="str">
        <f>+$BC34&amp;BF5</f>
        <v>CR2029N1</v>
      </c>
      <c r="BG34" s="2958" t="str">
        <f t="shared" ref="BG34:BK34" si="39">+$BC34&amp;BG5</f>
        <v>CR2029N2</v>
      </c>
      <c r="BH34" s="2959" t="str">
        <f t="shared" si="39"/>
        <v>CR2029N5</v>
      </c>
      <c r="BI34" s="102" t="str">
        <f t="shared" si="39"/>
        <v>CR2029N6</v>
      </c>
      <c r="BJ34" s="2959" t="str">
        <f t="shared" si="39"/>
        <v>CR2029MM</v>
      </c>
      <c r="BK34" s="2974" t="str">
        <f t="shared" si="39"/>
        <v>CR2029TA</v>
      </c>
      <c r="BL34" s="2605" t="s">
        <v>76</v>
      </c>
      <c r="BM34" s="1329">
        <v>2</v>
      </c>
      <c r="BN34" s="2961" t="str">
        <f t="shared" ref="BN34:BO34" si="40">+$BC34&amp;BN5</f>
        <v>CR2029RP</v>
      </c>
      <c r="BO34" s="2962" t="str">
        <f t="shared" si="40"/>
        <v>CR2029RR</v>
      </c>
    </row>
    <row r="35" spans="2:67" s="496" customFormat="1">
      <c r="B35" s="99" t="s">
        <v>5338</v>
      </c>
      <c r="C35" s="92" t="s">
        <v>13534</v>
      </c>
      <c r="D35" s="92"/>
      <c r="E35" s="100" t="s">
        <v>750</v>
      </c>
      <c r="F35" s="101">
        <v>3</v>
      </c>
      <c r="G35" s="40"/>
      <c r="H35" s="41"/>
      <c r="I35" s="42"/>
      <c r="J35" s="102">
        <f t="shared" si="30"/>
        <v>0</v>
      </c>
      <c r="K35" s="42"/>
      <c r="L35" s="47"/>
      <c r="M35" s="103" t="s">
        <v>76</v>
      </c>
      <c r="N35" s="101">
        <v>2</v>
      </c>
      <c r="O35" s="918"/>
      <c r="P35" s="919"/>
      <c r="Q35" s="97"/>
      <c r="R35" s="24" t="str">
        <f t="shared" si="31"/>
        <v>Please complete all cells in row</v>
      </c>
      <c r="S35" s="71"/>
      <c r="T35" s="72"/>
      <c r="U35" s="98">
        <f t="shared" si="32"/>
        <v>1</v>
      </c>
      <c r="V35" s="98">
        <f t="shared" si="33"/>
        <v>1</v>
      </c>
      <c r="W35" s="98">
        <f t="shared" si="34"/>
        <v>1</v>
      </c>
      <c r="X35" s="98">
        <f t="shared" si="35"/>
        <v>1</v>
      </c>
      <c r="Y35" s="98">
        <f t="shared" si="36"/>
        <v>1</v>
      </c>
      <c r="Z35" s="98">
        <f t="shared" si="37"/>
        <v>1</v>
      </c>
      <c r="AA35" s="98">
        <f t="shared" si="38"/>
        <v>1</v>
      </c>
      <c r="AB35" s="72"/>
      <c r="AC35" s="132"/>
      <c r="AD35" s="72"/>
      <c r="AH35" s="72"/>
      <c r="BA35" s="99" t="s">
        <v>5338</v>
      </c>
      <c r="BB35" s="92" t="s">
        <v>13534</v>
      </c>
      <c r="BC35" s="2606" t="s">
        <v>13546</v>
      </c>
      <c r="BD35" s="1328" t="s">
        <v>750</v>
      </c>
      <c r="BE35" s="1329">
        <v>3</v>
      </c>
      <c r="BF35" s="2957" t="str">
        <f>+$BC35&amp;BF5</f>
        <v>CR2030N1</v>
      </c>
      <c r="BG35" s="2958" t="str">
        <f t="shared" ref="BG35:BK35" si="41">+$BC35&amp;BG5</f>
        <v>CR2030N2</v>
      </c>
      <c r="BH35" s="2959" t="str">
        <f t="shared" si="41"/>
        <v>CR2030N5</v>
      </c>
      <c r="BI35" s="102" t="str">
        <f t="shared" si="41"/>
        <v>CR2030N6</v>
      </c>
      <c r="BJ35" s="2959" t="str">
        <f t="shared" si="41"/>
        <v>CR2030MM</v>
      </c>
      <c r="BK35" s="2974" t="str">
        <f t="shared" si="41"/>
        <v>CR2030TA</v>
      </c>
      <c r="BL35" s="2605" t="s">
        <v>76</v>
      </c>
      <c r="BM35" s="1329">
        <v>2</v>
      </c>
      <c r="BN35" s="2961" t="str">
        <f t="shared" ref="BN35:BO35" si="42">+$BC35&amp;BN5</f>
        <v>CR2030RP</v>
      </c>
      <c r="BO35" s="2962" t="str">
        <f t="shared" si="42"/>
        <v>CR2030RR</v>
      </c>
    </row>
    <row r="36" spans="2:67" s="496" customFormat="1">
      <c r="B36" s="99" t="s">
        <v>5336</v>
      </c>
      <c r="C36" s="92" t="s">
        <v>13535</v>
      </c>
      <c r="D36" s="92"/>
      <c r="E36" s="100" t="s">
        <v>750</v>
      </c>
      <c r="F36" s="101">
        <v>3</v>
      </c>
      <c r="G36" s="40"/>
      <c r="H36" s="41"/>
      <c r="I36" s="42"/>
      <c r="J36" s="102">
        <f t="shared" si="30"/>
        <v>0</v>
      </c>
      <c r="K36" s="42"/>
      <c r="L36" s="47"/>
      <c r="M36" s="103" t="s">
        <v>76</v>
      </c>
      <c r="N36" s="101">
        <v>2</v>
      </c>
      <c r="O36" s="918"/>
      <c r="P36" s="919"/>
      <c r="Q36" s="97"/>
      <c r="R36" s="24" t="str">
        <f t="shared" si="31"/>
        <v>Please complete all cells in row</v>
      </c>
      <c r="S36" s="71"/>
      <c r="T36" s="72"/>
      <c r="U36" s="98">
        <f t="shared" si="32"/>
        <v>1</v>
      </c>
      <c r="V36" s="98">
        <f t="shared" si="33"/>
        <v>1</v>
      </c>
      <c r="W36" s="98">
        <f t="shared" si="34"/>
        <v>1</v>
      </c>
      <c r="X36" s="98">
        <f t="shared" si="35"/>
        <v>1</v>
      </c>
      <c r="Y36" s="98">
        <f t="shared" si="36"/>
        <v>1</v>
      </c>
      <c r="Z36" s="98">
        <f t="shared" si="37"/>
        <v>1</v>
      </c>
      <c r="AA36" s="98">
        <f t="shared" si="38"/>
        <v>1</v>
      </c>
      <c r="AB36" s="72"/>
      <c r="AC36" s="132"/>
      <c r="AD36" s="72"/>
      <c r="AH36" s="72"/>
      <c r="BA36" s="99" t="s">
        <v>5336</v>
      </c>
      <c r="BB36" s="92" t="s">
        <v>13535</v>
      </c>
      <c r="BC36" s="2606" t="s">
        <v>13547</v>
      </c>
      <c r="BD36" s="1328" t="s">
        <v>750</v>
      </c>
      <c r="BE36" s="1329">
        <v>3</v>
      </c>
      <c r="BF36" s="2957" t="str">
        <f>+$BC36&amp;BF5</f>
        <v>CR2031N1</v>
      </c>
      <c r="BG36" s="2958" t="str">
        <f t="shared" ref="BG36:BK36" si="43">+$BC36&amp;BG5</f>
        <v>CR2031N2</v>
      </c>
      <c r="BH36" s="2959" t="str">
        <f t="shared" si="43"/>
        <v>CR2031N5</v>
      </c>
      <c r="BI36" s="102" t="str">
        <f t="shared" si="43"/>
        <v>CR2031N6</v>
      </c>
      <c r="BJ36" s="2959" t="str">
        <f t="shared" si="43"/>
        <v>CR2031MM</v>
      </c>
      <c r="BK36" s="2974" t="str">
        <f t="shared" si="43"/>
        <v>CR2031TA</v>
      </c>
      <c r="BL36" s="2605" t="s">
        <v>76</v>
      </c>
      <c r="BM36" s="1329">
        <v>2</v>
      </c>
      <c r="BN36" s="2961" t="str">
        <f t="shared" ref="BN36:BO36" si="44">+$BC36&amp;BN5</f>
        <v>CR2031RP</v>
      </c>
      <c r="BO36" s="2962" t="str">
        <f t="shared" si="44"/>
        <v>CR2031RR</v>
      </c>
    </row>
    <row r="37" spans="2:67" ht="15" thickBot="1">
      <c r="B37" s="99" t="s">
        <v>5337</v>
      </c>
      <c r="C37" s="92" t="s">
        <v>3165</v>
      </c>
      <c r="D37" s="92"/>
      <c r="E37" s="100" t="s">
        <v>750</v>
      </c>
      <c r="F37" s="101">
        <v>3</v>
      </c>
      <c r="G37" s="40"/>
      <c r="H37" s="41"/>
      <c r="I37" s="42"/>
      <c r="J37" s="102">
        <f t="shared" ref="J37" si="45">SUM(G37:I37)</f>
        <v>0</v>
      </c>
      <c r="K37" s="42"/>
      <c r="L37" s="47"/>
      <c r="M37" s="104" t="s">
        <v>76</v>
      </c>
      <c r="N37" s="105">
        <v>2</v>
      </c>
      <c r="O37" s="922"/>
      <c r="P37" s="923"/>
      <c r="Q37" s="97"/>
      <c r="R37" s="24" t="str">
        <f t="shared" si="25"/>
        <v>Please complete all cells in row</v>
      </c>
      <c r="U37" s="98">
        <f t="shared" si="26"/>
        <v>1</v>
      </c>
      <c r="V37" s="98">
        <f t="shared" si="26"/>
        <v>1</v>
      </c>
      <c r="W37" s="98">
        <f t="shared" si="26"/>
        <v>1</v>
      </c>
      <c r="X37" s="98">
        <f t="shared" si="27"/>
        <v>1</v>
      </c>
      <c r="Y37" s="98">
        <f t="shared" si="27"/>
        <v>1</v>
      </c>
      <c r="Z37" s="98">
        <f t="shared" si="28"/>
        <v>1</v>
      </c>
      <c r="AA37" s="98">
        <f t="shared" si="28"/>
        <v>1</v>
      </c>
      <c r="BA37" s="99" t="s">
        <v>5337</v>
      </c>
      <c r="BB37" s="92" t="s">
        <v>3165</v>
      </c>
      <c r="BC37" s="92"/>
      <c r="BD37" s="100" t="s">
        <v>750</v>
      </c>
      <c r="BE37" s="101">
        <v>3</v>
      </c>
      <c r="BF37" s="2957" t="s">
        <v>10969</v>
      </c>
      <c r="BG37" s="2958" t="s">
        <v>10970</v>
      </c>
      <c r="BH37" s="2959" t="s">
        <v>10971</v>
      </c>
      <c r="BI37" s="102" t="s">
        <v>10972</v>
      </c>
      <c r="BJ37" s="2959" t="s">
        <v>10973</v>
      </c>
      <c r="BK37" s="2974" t="s">
        <v>10974</v>
      </c>
      <c r="BL37" s="104" t="s">
        <v>76</v>
      </c>
      <c r="BM37" s="105">
        <v>2</v>
      </c>
      <c r="BN37" s="2969" t="s">
        <v>10987</v>
      </c>
      <c r="BO37" s="2970" t="s">
        <v>10988</v>
      </c>
    </row>
    <row r="38" spans="2:67" ht="15" thickBot="1">
      <c r="B38" s="106" t="s">
        <v>13536</v>
      </c>
      <c r="C38" s="107" t="s">
        <v>2554</v>
      </c>
      <c r="D38" s="107"/>
      <c r="E38" s="108" t="s">
        <v>2834</v>
      </c>
      <c r="F38" s="105">
        <v>3</v>
      </c>
      <c r="G38" s="109">
        <f xml:space="preserve"> SUM( G31:G37 )</f>
        <v>0</v>
      </c>
      <c r="H38" s="110">
        <f t="shared" ref="H38:L38" si="46" xml:space="preserve"> SUM( H31:H37 )</f>
        <v>0</v>
      </c>
      <c r="I38" s="111">
        <f t="shared" si="46"/>
        <v>0</v>
      </c>
      <c r="J38" s="109">
        <f t="shared" si="46"/>
        <v>0</v>
      </c>
      <c r="K38" s="111">
        <f t="shared" si="46"/>
        <v>0</v>
      </c>
      <c r="L38" s="133">
        <f t="shared" si="46"/>
        <v>0</v>
      </c>
      <c r="M38" s="120"/>
      <c r="N38" s="120"/>
      <c r="O38" s="113"/>
      <c r="P38" s="113"/>
      <c r="Q38" s="97"/>
      <c r="S38" s="123"/>
      <c r="T38" s="124"/>
      <c r="U38" s="125"/>
      <c r="V38" s="123"/>
      <c r="W38" s="123"/>
      <c r="X38" s="123"/>
      <c r="Y38" s="123"/>
      <c r="Z38" s="123"/>
      <c r="AA38" s="123"/>
      <c r="AB38" s="124"/>
      <c r="AD38" s="124"/>
      <c r="AH38" s="124"/>
      <c r="BA38" s="106" t="s">
        <v>13536</v>
      </c>
      <c r="BB38" s="107" t="s">
        <v>2554</v>
      </c>
      <c r="BC38" s="107"/>
      <c r="BD38" s="108" t="s">
        <v>2834</v>
      </c>
      <c r="BE38" s="105">
        <v>3</v>
      </c>
      <c r="BF38" s="109" t="s">
        <v>10975</v>
      </c>
      <c r="BG38" s="110" t="s">
        <v>10976</v>
      </c>
      <c r="BH38" s="111" t="s">
        <v>10977</v>
      </c>
      <c r="BI38" s="109" t="s">
        <v>10978</v>
      </c>
      <c r="BJ38" s="111" t="s">
        <v>10979</v>
      </c>
      <c r="BK38" s="133" t="s">
        <v>10980</v>
      </c>
      <c r="BL38" s="120"/>
      <c r="BM38" s="120"/>
      <c r="BN38" s="113"/>
      <c r="BO38" s="113"/>
    </row>
    <row r="39" spans="2:67" ht="15" thickBot="1">
      <c r="B39" s="126"/>
      <c r="C39" s="127"/>
      <c r="D39" s="127"/>
      <c r="E39" s="120"/>
      <c r="F39" s="120"/>
      <c r="G39" s="121"/>
      <c r="H39" s="121"/>
      <c r="I39" s="134"/>
      <c r="J39" s="121"/>
      <c r="K39" s="121"/>
      <c r="L39" s="121"/>
      <c r="M39" s="120"/>
      <c r="N39" s="120"/>
      <c r="O39" s="128"/>
      <c r="P39" s="128"/>
      <c r="Q39" s="97"/>
      <c r="S39" s="123"/>
      <c r="T39" s="129"/>
      <c r="U39" s="125"/>
      <c r="V39" s="123"/>
      <c r="W39" s="123"/>
      <c r="X39" s="123"/>
      <c r="Y39" s="123"/>
      <c r="Z39" s="123"/>
      <c r="AA39" s="123"/>
      <c r="AB39" s="129"/>
      <c r="AD39" s="129"/>
      <c r="AH39" s="129"/>
      <c r="BA39" s="126"/>
      <c r="BB39" s="127"/>
      <c r="BC39" s="127"/>
      <c r="BD39" s="120"/>
      <c r="BE39" s="120"/>
      <c r="BF39" s="121"/>
      <c r="BG39" s="121"/>
      <c r="BH39" s="134"/>
      <c r="BI39" s="121"/>
      <c r="BJ39" s="121"/>
      <c r="BK39" s="121"/>
      <c r="BL39" s="120"/>
      <c r="BM39" s="120"/>
      <c r="BN39" s="128"/>
      <c r="BO39" s="128"/>
    </row>
    <row r="40" spans="2:67" s="496" customFormat="1" ht="15" thickBot="1">
      <c r="B40" s="118" t="s">
        <v>2480</v>
      </c>
      <c r="C40" s="119" t="s">
        <v>3180</v>
      </c>
      <c r="D40" s="1584"/>
      <c r="E40" s="120"/>
      <c r="F40" s="120"/>
      <c r="G40" s="121"/>
      <c r="H40" s="121"/>
      <c r="I40" s="134"/>
      <c r="J40" s="121"/>
      <c r="K40" s="121"/>
      <c r="L40" s="121"/>
      <c r="M40" s="120"/>
      <c r="N40" s="120"/>
      <c r="O40" s="128"/>
      <c r="P40" s="128"/>
      <c r="Q40" s="97"/>
      <c r="R40" s="75"/>
      <c r="S40" s="123"/>
      <c r="T40" s="129"/>
      <c r="U40" s="125"/>
      <c r="V40" s="123"/>
      <c r="W40" s="123"/>
      <c r="X40" s="123"/>
      <c r="Y40" s="123"/>
      <c r="Z40" s="123"/>
      <c r="AA40" s="123"/>
      <c r="AB40" s="129"/>
      <c r="AC40" s="73"/>
      <c r="AD40" s="129"/>
      <c r="AH40" s="129"/>
      <c r="BA40" s="118" t="s">
        <v>2480</v>
      </c>
      <c r="BB40" s="119" t="s">
        <v>3180</v>
      </c>
      <c r="BC40" s="2607"/>
      <c r="BD40" s="120"/>
      <c r="BE40" s="120"/>
      <c r="BF40" s="121"/>
      <c r="BG40" s="121"/>
      <c r="BH40" s="134"/>
      <c r="BI40" s="121"/>
      <c r="BJ40" s="121"/>
      <c r="BK40" s="121"/>
      <c r="BL40" s="120"/>
      <c r="BM40" s="120"/>
      <c r="BN40" s="128"/>
      <c r="BO40" s="128"/>
    </row>
    <row r="41" spans="2:67" s="496" customFormat="1" ht="15" thickBot="1">
      <c r="B41" s="617" t="s">
        <v>13537</v>
      </c>
      <c r="C41" s="618" t="s">
        <v>3180</v>
      </c>
      <c r="D41" s="618"/>
      <c r="E41" s="138" t="s">
        <v>750</v>
      </c>
      <c r="F41" s="139">
        <v>3</v>
      </c>
      <c r="G41" s="499"/>
      <c r="H41" s="500"/>
      <c r="I41" s="501"/>
      <c r="J41" s="140">
        <f>SUM(G41:I41)</f>
        <v>0</v>
      </c>
      <c r="K41" s="501"/>
      <c r="L41" s="502"/>
      <c r="M41" s="503" t="s">
        <v>76</v>
      </c>
      <c r="N41" s="139">
        <v>2</v>
      </c>
      <c r="O41" s="924"/>
      <c r="P41" s="925"/>
      <c r="Q41" s="97"/>
      <c r="R41" s="24" t="str">
        <f t="shared" ref="R41" si="47" xml:space="preserve"> IF( SUM( T41:AB41 ) = 0, 0, $U$7 )</f>
        <v>Please complete all cells in row</v>
      </c>
      <c r="S41" s="123"/>
      <c r="T41" s="129"/>
      <c r="U41" s="98">
        <f t="shared" ref="U41" si="48" xml:space="preserve"> IF( ISNUMBER( G41 ), 0, 1 )</f>
        <v>1</v>
      </c>
      <c r="V41" s="98">
        <f t="shared" ref="V41" si="49" xml:space="preserve"> IF( ISNUMBER( H41 ), 0, 1 )</f>
        <v>1</v>
      </c>
      <c r="W41" s="98">
        <f t="shared" ref="W41" si="50" xml:space="preserve"> IF( ISNUMBER( I41 ), 0, 1 )</f>
        <v>1</v>
      </c>
      <c r="X41" s="98">
        <f t="shared" ref="X41" si="51" xml:space="preserve"> IF( ISNUMBER( K41 ), 0, 1 )</f>
        <v>1</v>
      </c>
      <c r="Y41" s="98">
        <f t="shared" ref="Y41" si="52" xml:space="preserve"> IF( ISNUMBER( L41 ), 0, 1 )</f>
        <v>1</v>
      </c>
      <c r="Z41" s="98">
        <f t="shared" ref="Z41" si="53" xml:space="preserve"> IF( ISNUMBER( O41 ), 0, 1 )</f>
        <v>1</v>
      </c>
      <c r="AA41" s="98">
        <f t="shared" ref="AA41" si="54" xml:space="preserve"> IF( ISNUMBER( P41 ), 0, 1 )</f>
        <v>1</v>
      </c>
      <c r="AB41" s="129"/>
      <c r="AC41" s="73"/>
      <c r="AD41" s="129"/>
      <c r="AH41" s="129"/>
      <c r="BA41" s="617" t="s">
        <v>13537</v>
      </c>
      <c r="BB41" s="618" t="s">
        <v>3180</v>
      </c>
      <c r="BC41" s="618"/>
      <c r="BD41" s="138" t="s">
        <v>750</v>
      </c>
      <c r="BE41" s="139">
        <v>3</v>
      </c>
      <c r="BF41" s="2976" t="s">
        <v>10989</v>
      </c>
      <c r="BG41" s="2977" t="s">
        <v>10990</v>
      </c>
      <c r="BH41" s="2978" t="s">
        <v>10991</v>
      </c>
      <c r="BI41" s="140" t="s">
        <v>10992</v>
      </c>
      <c r="BJ41" s="2978" t="s">
        <v>10993</v>
      </c>
      <c r="BK41" s="2979" t="s">
        <v>10994</v>
      </c>
      <c r="BL41" s="503" t="s">
        <v>76</v>
      </c>
      <c r="BM41" s="139">
        <v>2</v>
      </c>
      <c r="BN41" s="2980" t="s">
        <v>10995</v>
      </c>
      <c r="BO41" s="2981" t="s">
        <v>10996</v>
      </c>
    </row>
    <row r="42" spans="2:67" s="496" customFormat="1" ht="15" thickBot="1">
      <c r="B42" s="126"/>
      <c r="C42" s="127"/>
      <c r="D42" s="127"/>
      <c r="E42" s="120"/>
      <c r="F42" s="120"/>
      <c r="G42" s="121"/>
      <c r="H42" s="121"/>
      <c r="I42" s="134"/>
      <c r="J42" s="121"/>
      <c r="K42" s="121"/>
      <c r="L42" s="121"/>
      <c r="M42" s="120"/>
      <c r="N42" s="120"/>
      <c r="O42" s="128"/>
      <c r="P42" s="128"/>
      <c r="Q42" s="97"/>
      <c r="R42" s="498"/>
      <c r="S42" s="123"/>
      <c r="T42" s="129"/>
      <c r="U42" s="125"/>
      <c r="V42" s="123"/>
      <c r="W42" s="123"/>
      <c r="X42" s="123"/>
      <c r="Y42" s="123"/>
      <c r="Z42" s="123"/>
      <c r="AA42" s="123"/>
      <c r="AB42" s="129"/>
      <c r="AC42" s="73"/>
      <c r="AD42" s="129"/>
      <c r="AH42" s="129"/>
      <c r="BA42" s="126"/>
      <c r="BB42" s="127"/>
      <c r="BC42" s="127"/>
      <c r="BD42" s="120"/>
      <c r="BE42" s="120"/>
      <c r="BF42" s="121"/>
      <c r="BG42" s="121"/>
      <c r="BH42" s="134"/>
      <c r="BI42" s="121"/>
      <c r="BJ42" s="121"/>
      <c r="BK42" s="121"/>
      <c r="BL42" s="120"/>
      <c r="BM42" s="120"/>
      <c r="BN42" s="128"/>
      <c r="BO42" s="128"/>
    </row>
    <row r="43" spans="2:67" ht="15" thickBot="1">
      <c r="B43" s="118" t="s">
        <v>2718</v>
      </c>
      <c r="C43" s="119" t="s">
        <v>2554</v>
      </c>
      <c r="D43" s="1584"/>
      <c r="E43" s="120"/>
      <c r="F43" s="120"/>
      <c r="G43" s="121"/>
      <c r="H43" s="121"/>
      <c r="I43" s="121"/>
      <c r="J43" s="121"/>
      <c r="K43" s="121"/>
      <c r="L43" s="121"/>
      <c r="M43" s="120"/>
      <c r="N43" s="120"/>
      <c r="O43" s="128"/>
      <c r="P43" s="128"/>
      <c r="Q43" s="123"/>
      <c r="S43" s="123"/>
      <c r="T43" s="129"/>
      <c r="U43" s="135"/>
      <c r="V43" s="123"/>
      <c r="W43" s="123"/>
      <c r="X43" s="123"/>
      <c r="Y43" s="123"/>
      <c r="Z43" s="123"/>
      <c r="AA43" s="123"/>
      <c r="AB43" s="129"/>
      <c r="AD43" s="129"/>
      <c r="AH43" s="129"/>
      <c r="BA43" s="118" t="s">
        <v>2718</v>
      </c>
      <c r="BB43" s="119" t="s">
        <v>2554</v>
      </c>
      <c r="BC43" s="2607"/>
      <c r="BD43" s="120"/>
      <c r="BE43" s="120"/>
      <c r="BF43" s="121"/>
      <c r="BG43" s="121"/>
      <c r="BH43" s="121"/>
      <c r="BI43" s="121"/>
      <c r="BJ43" s="121"/>
      <c r="BK43" s="121"/>
      <c r="BL43" s="120"/>
      <c r="BM43" s="120"/>
      <c r="BN43" s="128"/>
      <c r="BO43" s="128"/>
    </row>
    <row r="44" spans="2:67" ht="15" thickBot="1">
      <c r="B44" s="136" t="s">
        <v>13538</v>
      </c>
      <c r="C44" s="137" t="s">
        <v>3710</v>
      </c>
      <c r="D44" s="137"/>
      <c r="E44" s="138" t="s">
        <v>750</v>
      </c>
      <c r="F44" s="139">
        <v>3</v>
      </c>
      <c r="G44" s="140">
        <f xml:space="preserve"> G14 + G21 + G28 + G38 + G41</f>
        <v>0</v>
      </c>
      <c r="H44" s="141">
        <f t="shared" ref="H44:L44" si="55" xml:space="preserve"> H14 + H21 + H28 + H38 + H41</f>
        <v>0</v>
      </c>
      <c r="I44" s="142">
        <f t="shared" si="55"/>
        <v>0</v>
      </c>
      <c r="J44" s="140">
        <f t="shared" si="55"/>
        <v>0</v>
      </c>
      <c r="K44" s="142">
        <f t="shared" si="55"/>
        <v>0</v>
      </c>
      <c r="L44" s="143">
        <f t="shared" si="55"/>
        <v>0</v>
      </c>
      <c r="M44" s="120"/>
      <c r="N44" s="120"/>
      <c r="O44" s="113"/>
      <c r="P44" s="113"/>
      <c r="Q44" s="131"/>
      <c r="R44" s="497">
        <f xml:space="preserve"> IF( SUM( AB44:AD44 ) = 0, 0, AG44 )</f>
        <v>0</v>
      </c>
      <c r="S44" s="123"/>
      <c r="T44" s="129"/>
      <c r="U44" s="125"/>
      <c r="V44" s="123"/>
      <c r="W44" s="123"/>
      <c r="X44" s="123"/>
      <c r="Y44" s="123"/>
      <c r="Z44" s="123"/>
      <c r="AA44" s="123"/>
      <c r="AB44" s="129"/>
      <c r="AC44" s="98">
        <f xml:space="preserve"> IF( (AE44 - AF44) = 0, 0, 1 )</f>
        <v>0</v>
      </c>
      <c r="AD44" s="129"/>
      <c r="AE44" s="117">
        <f xml:space="preserve"> ROUND( K44, 3 )</f>
        <v>0</v>
      </c>
      <c r="AF44" s="117">
        <f xml:space="preserve"> ROUND( ('1C'!K11 + '1C'!K18 + '1C'!K26 + '1C'!K36), 3 )</f>
        <v>0</v>
      </c>
      <c r="AG44" s="144" t="s">
        <v>3926</v>
      </c>
      <c r="AH44" s="129"/>
      <c r="BA44" s="136" t="s">
        <v>13538</v>
      </c>
      <c r="BB44" s="137" t="s">
        <v>3710</v>
      </c>
      <c r="BC44" s="137"/>
      <c r="BD44" s="138" t="s">
        <v>750</v>
      </c>
      <c r="BE44" s="139">
        <v>3</v>
      </c>
      <c r="BF44" s="140" t="s">
        <v>10997</v>
      </c>
      <c r="BG44" s="141" t="s">
        <v>10998</v>
      </c>
      <c r="BH44" s="142" t="s">
        <v>10999</v>
      </c>
      <c r="BI44" s="140" t="s">
        <v>11000</v>
      </c>
      <c r="BJ44" s="142" t="s">
        <v>11001</v>
      </c>
      <c r="BK44" s="143" t="s">
        <v>11002</v>
      </c>
      <c r="BL44" s="120"/>
      <c r="BM44" s="120"/>
      <c r="BN44" s="113"/>
      <c r="BO44" s="113"/>
    </row>
    <row r="45" spans="2:67">
      <c r="B45" s="126"/>
      <c r="C45" s="127"/>
      <c r="D45" s="127"/>
      <c r="E45" s="120"/>
      <c r="F45" s="120"/>
      <c r="G45" s="145"/>
      <c r="H45" s="145"/>
      <c r="I45" s="145"/>
      <c r="J45" s="145"/>
      <c r="K45" s="145"/>
      <c r="L45" s="145"/>
      <c r="M45" s="120"/>
      <c r="N45" s="120"/>
      <c r="O45" s="128"/>
      <c r="P45" s="128"/>
      <c r="Q45" s="131"/>
      <c r="S45" s="115"/>
      <c r="T45" s="129"/>
      <c r="U45" s="115"/>
      <c r="V45" s="115"/>
      <c r="W45" s="115"/>
      <c r="X45" s="115"/>
      <c r="Y45" s="115"/>
      <c r="Z45" s="115"/>
      <c r="AA45" s="115"/>
      <c r="AB45" s="129"/>
      <c r="AD45" s="129"/>
      <c r="AH45" s="129"/>
      <c r="BA45" s="126"/>
      <c r="BB45" s="127"/>
      <c r="BC45" s="127"/>
      <c r="BD45" s="120"/>
      <c r="BE45" s="120"/>
      <c r="BF45" s="145"/>
      <c r="BG45" s="145"/>
      <c r="BH45" s="145"/>
      <c r="BI45" s="145"/>
      <c r="BJ45" s="145"/>
      <c r="BK45" s="145"/>
      <c r="BL45" s="120"/>
      <c r="BM45" s="120"/>
      <c r="BN45" s="128"/>
      <c r="BO45" s="128"/>
    </row>
    <row r="46" spans="2:67">
      <c r="B46" s="3220" t="s">
        <v>2420</v>
      </c>
      <c r="C46" s="3220"/>
      <c r="D46" s="1449"/>
      <c r="E46" s="120"/>
      <c r="F46" s="120"/>
      <c r="G46" s="145"/>
      <c r="H46" s="145"/>
      <c r="I46" s="145"/>
      <c r="J46" s="145"/>
      <c r="K46" s="145"/>
      <c r="L46" s="145"/>
      <c r="M46" s="120"/>
      <c r="N46" s="120"/>
      <c r="O46" s="128"/>
      <c r="P46" s="128"/>
      <c r="Q46" s="131"/>
      <c r="S46" s="115"/>
      <c r="T46" s="129"/>
      <c r="U46" s="115"/>
      <c r="V46" s="115"/>
      <c r="W46" s="115"/>
      <c r="X46" s="115"/>
      <c r="Y46" s="115"/>
      <c r="Z46" s="115"/>
      <c r="AA46" s="115"/>
      <c r="AB46" s="129"/>
      <c r="AD46" s="129"/>
      <c r="AH46" s="129"/>
    </row>
    <row r="47" spans="2:67">
      <c r="B47" s="146"/>
      <c r="C47" s="147"/>
      <c r="D47" s="147"/>
      <c r="E47" s="120"/>
      <c r="F47" s="120"/>
      <c r="G47" s="145"/>
      <c r="H47" s="145"/>
      <c r="I47" s="145"/>
      <c r="J47" s="145"/>
      <c r="K47" s="145"/>
      <c r="L47" s="145"/>
      <c r="M47" s="120"/>
      <c r="N47" s="120"/>
      <c r="O47" s="145"/>
      <c r="P47" s="145"/>
      <c r="Q47" s="131"/>
      <c r="S47" s="125"/>
      <c r="T47" s="129"/>
      <c r="U47" s="125"/>
      <c r="V47" s="125"/>
      <c r="W47" s="125"/>
      <c r="X47" s="125"/>
      <c r="Y47" s="125"/>
      <c r="Z47" s="125"/>
      <c r="AA47" s="125"/>
      <c r="AB47" s="129"/>
      <c r="AD47" s="129"/>
      <c r="AH47" s="129"/>
      <c r="BA47" s="8"/>
      <c r="BB47" s="8"/>
      <c r="BC47" s="8"/>
      <c r="BD47" s="8"/>
      <c r="BE47" s="8"/>
      <c r="BF47" s="8"/>
      <c r="BG47" s="8"/>
      <c r="BH47" s="8"/>
      <c r="BI47" s="8"/>
      <c r="BJ47" s="8"/>
      <c r="BK47" s="8"/>
      <c r="BL47" s="8"/>
      <c r="BM47" s="8"/>
      <c r="BN47" s="8"/>
      <c r="BO47" s="8"/>
    </row>
    <row r="48" spans="2:67">
      <c r="B48" s="25"/>
      <c r="C48" s="148" t="s">
        <v>2421</v>
      </c>
      <c r="D48" s="148"/>
      <c r="E48" s="120"/>
      <c r="F48" s="120"/>
      <c r="G48" s="145"/>
      <c r="H48" s="145"/>
      <c r="I48" s="145"/>
      <c r="J48" s="145"/>
      <c r="K48" s="145"/>
      <c r="L48" s="145"/>
      <c r="M48" s="120"/>
      <c r="N48" s="120"/>
      <c r="O48" s="145"/>
      <c r="P48" s="145"/>
      <c r="Q48" s="131"/>
      <c r="S48" s="125"/>
      <c r="T48" s="129"/>
      <c r="U48" s="125"/>
      <c r="V48" s="125"/>
      <c r="W48" s="125"/>
      <c r="X48" s="125"/>
      <c r="Y48" s="125"/>
      <c r="Z48" s="125"/>
      <c r="AA48" s="125"/>
      <c r="AB48" s="129"/>
      <c r="AD48" s="129"/>
      <c r="AH48" s="129"/>
      <c r="BA48" s="8"/>
      <c r="BB48" s="8"/>
      <c r="BC48" s="8"/>
      <c r="BD48" s="8"/>
      <c r="BE48" s="8"/>
      <c r="BF48" s="8"/>
      <c r="BG48" s="8"/>
      <c r="BH48" s="8"/>
      <c r="BI48" s="8"/>
      <c r="BJ48" s="8"/>
      <c r="BK48" s="8"/>
      <c r="BL48" s="8"/>
      <c r="BM48" s="8"/>
      <c r="BN48" s="8"/>
      <c r="BO48" s="8"/>
    </row>
    <row r="49" spans="1:67">
      <c r="B49" s="146"/>
      <c r="C49" s="147"/>
      <c r="D49" s="147"/>
      <c r="E49" s="120"/>
      <c r="F49" s="120"/>
      <c r="G49" s="145"/>
      <c r="H49" s="145"/>
      <c r="I49" s="145"/>
      <c r="J49" s="145"/>
      <c r="K49" s="145"/>
      <c r="L49" s="145"/>
      <c r="M49" s="120"/>
      <c r="N49" s="120"/>
      <c r="O49" s="145"/>
      <c r="P49" s="145"/>
      <c r="Q49" s="131"/>
      <c r="S49" s="125"/>
      <c r="T49" s="129"/>
      <c r="U49" s="125"/>
      <c r="V49" s="125"/>
      <c r="W49" s="125"/>
      <c r="X49" s="125"/>
      <c r="Y49" s="125"/>
      <c r="Z49" s="125"/>
      <c r="AA49" s="125"/>
      <c r="AB49" s="129"/>
      <c r="AD49" s="129"/>
      <c r="AH49" s="129"/>
      <c r="BA49" s="8"/>
      <c r="BB49" s="8"/>
      <c r="BC49" s="8"/>
      <c r="BD49" s="8"/>
      <c r="BE49" s="8"/>
      <c r="BF49" s="8"/>
      <c r="BG49" s="8"/>
      <c r="BH49" s="8"/>
      <c r="BI49" s="8"/>
      <c r="BJ49" s="8"/>
      <c r="BK49" s="8"/>
      <c r="BL49" s="8"/>
      <c r="BM49" s="8"/>
      <c r="BN49" s="8"/>
      <c r="BO49" s="8"/>
    </row>
    <row r="50" spans="1:67">
      <c r="B50" s="149"/>
      <c r="C50" s="148" t="s">
        <v>2422</v>
      </c>
      <c r="D50" s="148"/>
      <c r="Q50" s="131"/>
      <c r="T50" s="129"/>
      <c r="AB50" s="129"/>
      <c r="AD50" s="129"/>
      <c r="AH50" s="129"/>
      <c r="BA50" s="8"/>
      <c r="BB50" s="8"/>
      <c r="BC50" s="8"/>
      <c r="BD50" s="8"/>
      <c r="BE50" s="8"/>
      <c r="BF50" s="8"/>
      <c r="BG50" s="8"/>
      <c r="BH50" s="8"/>
      <c r="BI50" s="8"/>
      <c r="BJ50" s="8"/>
      <c r="BK50" s="8"/>
      <c r="BL50" s="8"/>
      <c r="BM50" s="8"/>
      <c r="BN50" s="8"/>
      <c r="BO50" s="8"/>
    </row>
    <row r="51" spans="1:67">
      <c r="B51" s="150"/>
      <c r="C51" s="148"/>
      <c r="D51" s="148"/>
      <c r="Q51" s="135"/>
      <c r="BA51" s="8"/>
      <c r="BB51" s="8"/>
      <c r="BC51" s="8"/>
      <c r="BD51" s="8"/>
      <c r="BE51" s="8"/>
      <c r="BF51" s="8"/>
      <c r="BG51" s="8"/>
      <c r="BH51" s="8"/>
      <c r="BI51" s="8"/>
      <c r="BJ51" s="8"/>
      <c r="BK51" s="8"/>
      <c r="BL51" s="8"/>
      <c r="BM51" s="8"/>
      <c r="BN51" s="8"/>
      <c r="BO51" s="8"/>
    </row>
    <row r="52" spans="1:67" ht="15" thickBot="1">
      <c r="B52" s="148"/>
      <c r="C52" s="148"/>
      <c r="D52" s="148"/>
      <c r="Q52" s="135"/>
      <c r="U52" s="115"/>
      <c r="BA52" s="8"/>
      <c r="BB52" s="8"/>
      <c r="BC52" s="8"/>
      <c r="BD52" s="8"/>
      <c r="BE52" s="8"/>
      <c r="BF52" s="8"/>
      <c r="BG52" s="8"/>
      <c r="BH52" s="8"/>
      <c r="BI52" s="8"/>
      <c r="BJ52" s="8"/>
      <c r="BK52" s="8"/>
      <c r="BL52" s="8"/>
      <c r="BM52" s="8"/>
      <c r="BN52" s="8"/>
      <c r="BO52" s="8"/>
    </row>
    <row r="53" spans="1:67" ht="20.65" customHeight="1" thickBot="1">
      <c r="B53" s="1433" t="s">
        <v>12572</v>
      </c>
      <c r="C53" s="2203"/>
      <c r="D53" s="2203"/>
      <c r="E53" s="2203"/>
      <c r="F53" s="2203"/>
      <c r="G53" s="2203"/>
      <c r="H53" s="153"/>
      <c r="I53" s="153"/>
      <c r="J53" s="153"/>
      <c r="K53" s="153"/>
      <c r="L53" s="153"/>
      <c r="M53" s="153"/>
      <c r="N53" s="153"/>
      <c r="O53" s="153"/>
      <c r="P53" s="154"/>
      <c r="Q53" s="2"/>
      <c r="BA53" s="8"/>
      <c r="BB53" s="8"/>
      <c r="BC53" s="8"/>
      <c r="BD53" s="8"/>
      <c r="BE53" s="8"/>
      <c r="BF53" s="8"/>
      <c r="BG53" s="8"/>
      <c r="BH53" s="8"/>
      <c r="BI53" s="8"/>
      <c r="BJ53" s="8"/>
      <c r="BK53" s="8"/>
      <c r="BL53" s="8"/>
      <c r="BM53" s="8"/>
      <c r="BN53" s="8"/>
      <c r="BO53" s="8"/>
    </row>
    <row r="54" spans="1:67">
      <c r="B54" s="155"/>
      <c r="C54" s="156"/>
      <c r="D54" s="156"/>
      <c r="E54" s="75"/>
      <c r="F54" s="75"/>
      <c r="G54" s="75"/>
      <c r="H54" s="115"/>
      <c r="I54" s="115"/>
      <c r="J54" s="115"/>
      <c r="P54" s="8" t="s">
        <v>2447</v>
      </c>
      <c r="Q54" s="2"/>
      <c r="BA54" s="8"/>
      <c r="BB54" s="8"/>
      <c r="BC54" s="8"/>
      <c r="BD54" s="8"/>
      <c r="BE54" s="8"/>
      <c r="BF54" s="8"/>
      <c r="BG54" s="8"/>
      <c r="BH54" s="8"/>
      <c r="BI54" s="8"/>
      <c r="BJ54" s="8"/>
      <c r="BK54" s="8"/>
      <c r="BL54" s="8"/>
      <c r="BM54" s="8"/>
      <c r="BN54" s="8"/>
      <c r="BO54" s="8"/>
    </row>
    <row r="55" spans="1:67" ht="33" customHeight="1">
      <c r="B55" s="115"/>
      <c r="C55" s="157"/>
      <c r="D55" s="157"/>
      <c r="E55" s="115"/>
      <c r="F55" s="115"/>
      <c r="G55" s="115"/>
      <c r="H55" s="115"/>
      <c r="I55" s="115"/>
      <c r="J55" s="115"/>
      <c r="Q55" s="2"/>
      <c r="BA55" s="8"/>
      <c r="BB55" s="8"/>
      <c r="BC55" s="8"/>
      <c r="BD55" s="8"/>
      <c r="BE55" s="8"/>
      <c r="BF55" s="8"/>
      <c r="BG55" s="8"/>
      <c r="BH55" s="8"/>
      <c r="BI55" s="8"/>
      <c r="BJ55" s="8"/>
      <c r="BK55" s="8"/>
      <c r="BL55" s="8"/>
      <c r="BM55" s="8"/>
      <c r="BN55" s="8"/>
      <c r="BO55" s="8"/>
    </row>
    <row r="56" spans="1:67">
      <c r="B56" s="158"/>
      <c r="C56" s="157"/>
      <c r="D56" s="157"/>
      <c r="E56" s="115"/>
      <c r="F56" s="115"/>
      <c r="G56" s="115"/>
      <c r="H56" s="115"/>
      <c r="I56" s="115"/>
      <c r="J56" s="115"/>
      <c r="Q56" s="2"/>
      <c r="BA56" s="8"/>
      <c r="BB56" s="8"/>
      <c r="BC56" s="8"/>
      <c r="BD56" s="8"/>
      <c r="BE56" s="8"/>
      <c r="BF56" s="8"/>
      <c r="BG56" s="8"/>
      <c r="BH56" s="8"/>
      <c r="BI56" s="8"/>
      <c r="BJ56" s="8"/>
      <c r="BK56" s="8"/>
      <c r="BL56" s="8"/>
      <c r="BM56" s="8"/>
      <c r="BN56" s="8"/>
      <c r="BO56" s="8"/>
    </row>
    <row r="57" spans="1:67">
      <c r="B57" s="115"/>
      <c r="C57" s="157"/>
      <c r="D57" s="157"/>
      <c r="E57" s="115"/>
      <c r="F57" s="115"/>
      <c r="G57" s="115"/>
      <c r="H57" s="115"/>
      <c r="I57" s="115"/>
      <c r="J57" s="123"/>
      <c r="Q57" s="2"/>
      <c r="BA57" s="8"/>
      <c r="BB57" s="8"/>
      <c r="BC57" s="8"/>
      <c r="BD57" s="8"/>
      <c r="BE57" s="8"/>
      <c r="BF57" s="8"/>
      <c r="BG57" s="8"/>
      <c r="BH57" s="8"/>
      <c r="BI57" s="8"/>
      <c r="BJ57" s="8"/>
      <c r="BK57" s="8"/>
      <c r="BL57" s="8"/>
      <c r="BM57" s="8"/>
      <c r="BN57" s="8"/>
      <c r="BO57" s="8"/>
    </row>
    <row r="58" spans="1:67" ht="19.5" hidden="1" thickBot="1">
      <c r="A58" s="1649"/>
      <c r="B58" s="151" t="str">
        <f ca="1" xml:space="preserve"> RIGHT(CELL("filename", $A$1), LEN(CELL("filename", $A$1)) - SEARCH("]", CELL("filename", $A$1)))&amp;" - Line definitions"</f>
        <v>4I - Line definitions</v>
      </c>
      <c r="C58" s="152"/>
      <c r="D58" s="152"/>
      <c r="E58" s="153"/>
      <c r="F58" s="153"/>
      <c r="G58" s="153"/>
      <c r="H58" s="153"/>
      <c r="I58" s="153"/>
      <c r="J58" s="153"/>
      <c r="K58" s="153"/>
      <c r="L58" s="153"/>
      <c r="M58" s="153"/>
      <c r="N58" s="153"/>
      <c r="O58" s="153"/>
      <c r="P58" s="159"/>
      <c r="Q58" s="2"/>
      <c r="BA58" s="8"/>
      <c r="BB58" s="8"/>
      <c r="BC58" s="8"/>
      <c r="BD58" s="8"/>
      <c r="BE58" s="8"/>
      <c r="BF58" s="8"/>
      <c r="BG58" s="8"/>
      <c r="BH58" s="8"/>
      <c r="BI58" s="8"/>
      <c r="BJ58" s="8"/>
      <c r="BK58" s="8"/>
      <c r="BL58" s="8"/>
      <c r="BM58" s="8"/>
      <c r="BN58" s="8"/>
      <c r="BO58" s="8"/>
    </row>
    <row r="59" spans="1:67" ht="15" hidden="1" thickBot="1">
      <c r="A59" s="1649"/>
      <c r="B59" s="75"/>
      <c r="C59" s="160"/>
      <c r="D59" s="160"/>
      <c r="E59" s="75"/>
      <c r="F59" s="75"/>
      <c r="G59" s="75"/>
      <c r="H59" s="115"/>
      <c r="I59" s="115"/>
      <c r="J59" s="123"/>
      <c r="Q59" s="2"/>
      <c r="BA59" s="8"/>
      <c r="BB59" s="8"/>
      <c r="BC59" s="8"/>
      <c r="BD59" s="8"/>
      <c r="BE59" s="8"/>
      <c r="BF59" s="8"/>
      <c r="BG59" s="8"/>
      <c r="BH59" s="8"/>
      <c r="BI59" s="8"/>
      <c r="BJ59" s="8"/>
      <c r="BK59" s="8"/>
      <c r="BL59" s="8"/>
      <c r="BM59" s="8"/>
      <c r="BN59" s="8"/>
      <c r="BO59" s="8"/>
    </row>
    <row r="60" spans="1:67" ht="15" hidden="1" thickBot="1">
      <c r="A60" s="1649"/>
      <c r="B60" s="161" t="s">
        <v>2423</v>
      </c>
      <c r="C60" s="162" t="s">
        <v>2424</v>
      </c>
      <c r="D60" s="1460"/>
      <c r="E60" s="163"/>
      <c r="F60" s="163"/>
      <c r="G60" s="163"/>
      <c r="H60" s="163"/>
      <c r="I60" s="163"/>
      <c r="J60" s="163"/>
      <c r="K60" s="163"/>
      <c r="L60" s="163"/>
      <c r="M60" s="163"/>
      <c r="N60" s="163"/>
      <c r="O60" s="163"/>
      <c r="P60" s="164"/>
      <c r="Q60" s="2"/>
      <c r="U60" s="90" t="s">
        <v>2425</v>
      </c>
      <c r="BA60" s="8"/>
      <c r="BB60" s="8"/>
      <c r="BC60" s="8"/>
      <c r="BD60" s="8"/>
      <c r="BE60" s="8"/>
      <c r="BF60" s="8"/>
      <c r="BG60" s="8"/>
      <c r="BH60" s="8"/>
      <c r="BI60" s="8"/>
      <c r="BJ60" s="8"/>
      <c r="BK60" s="8"/>
      <c r="BL60" s="8"/>
      <c r="BM60" s="8"/>
      <c r="BN60" s="8"/>
      <c r="BO60" s="8"/>
    </row>
    <row r="61" spans="1:67" ht="46.5" hidden="1" customHeight="1">
      <c r="A61" s="1649"/>
      <c r="B61" s="858" t="s">
        <v>5315</v>
      </c>
      <c r="C61" s="3442" t="s">
        <v>11048</v>
      </c>
      <c r="D61" s="3443"/>
      <c r="E61" s="3443"/>
      <c r="F61" s="3443"/>
      <c r="G61" s="3443"/>
      <c r="H61" s="3443"/>
      <c r="I61" s="3443"/>
      <c r="J61" s="3443"/>
      <c r="K61" s="3443"/>
      <c r="L61" s="3443"/>
      <c r="M61" s="3443"/>
      <c r="N61" s="3443"/>
      <c r="O61" s="3443"/>
      <c r="P61" s="3444"/>
      <c r="Q61" s="2"/>
      <c r="U61" s="168" t="s">
        <v>2432</v>
      </c>
      <c r="BA61" s="8"/>
      <c r="BB61" s="8"/>
      <c r="BC61" s="8"/>
      <c r="BD61" s="8"/>
      <c r="BE61" s="8"/>
      <c r="BF61" s="8"/>
      <c r="BG61" s="8"/>
      <c r="BH61" s="8"/>
      <c r="BI61" s="8"/>
      <c r="BJ61" s="8"/>
      <c r="BK61" s="8"/>
      <c r="BL61" s="8"/>
      <c r="BM61" s="8"/>
      <c r="BN61" s="8"/>
      <c r="BO61" s="8"/>
    </row>
    <row r="62" spans="1:67" s="496" customFormat="1" ht="48.75" hidden="1" customHeight="1">
      <c r="A62" s="1649"/>
      <c r="B62" s="858" t="s">
        <v>5316</v>
      </c>
      <c r="C62" s="3439" t="s">
        <v>11049</v>
      </c>
      <c r="D62" s="3440"/>
      <c r="E62" s="3440"/>
      <c r="F62" s="3440"/>
      <c r="G62" s="3440"/>
      <c r="H62" s="3440"/>
      <c r="I62" s="3440"/>
      <c r="J62" s="3440"/>
      <c r="K62" s="3440"/>
      <c r="L62" s="3440"/>
      <c r="M62" s="3440"/>
      <c r="N62" s="3440"/>
      <c r="O62" s="3440"/>
      <c r="P62" s="3441"/>
      <c r="Q62" s="2"/>
      <c r="R62" s="75"/>
      <c r="S62" s="71"/>
      <c r="T62" s="72"/>
      <c r="U62" s="168" t="s">
        <v>2432</v>
      </c>
      <c r="V62" s="71"/>
      <c r="W62" s="71"/>
      <c r="X62" s="71"/>
      <c r="Y62" s="71"/>
      <c r="Z62" s="71"/>
      <c r="AA62" s="71"/>
      <c r="AB62" s="72"/>
      <c r="AC62" s="73"/>
      <c r="AD62" s="72"/>
      <c r="AH62" s="72"/>
    </row>
    <row r="63" spans="1:67" ht="48.75" hidden="1" customHeight="1">
      <c r="A63" s="1649"/>
      <c r="B63" s="166" t="s">
        <v>5319</v>
      </c>
      <c r="C63" s="3439" t="s">
        <v>11050</v>
      </c>
      <c r="D63" s="3440"/>
      <c r="E63" s="3440"/>
      <c r="F63" s="3440"/>
      <c r="G63" s="3440"/>
      <c r="H63" s="3440"/>
      <c r="I63" s="3440"/>
      <c r="J63" s="3440"/>
      <c r="K63" s="3440"/>
      <c r="L63" s="3440"/>
      <c r="M63" s="3440"/>
      <c r="N63" s="3440"/>
      <c r="O63" s="3440"/>
      <c r="P63" s="3441"/>
      <c r="Q63" s="2"/>
      <c r="U63" s="168" t="s">
        <v>2432</v>
      </c>
      <c r="BA63" s="8"/>
      <c r="BB63" s="8"/>
      <c r="BC63" s="8"/>
      <c r="BD63" s="8"/>
      <c r="BE63" s="8"/>
      <c r="BF63" s="8"/>
      <c r="BG63" s="8"/>
      <c r="BH63" s="8"/>
      <c r="BI63" s="8"/>
      <c r="BJ63" s="8"/>
      <c r="BK63" s="8"/>
      <c r="BL63" s="8"/>
      <c r="BM63" s="8"/>
      <c r="BN63" s="8"/>
      <c r="BO63" s="8"/>
    </row>
    <row r="64" spans="1:67" s="496" customFormat="1" ht="48.75" hidden="1" customHeight="1">
      <c r="A64" s="1649"/>
      <c r="B64" s="166" t="s">
        <v>5318</v>
      </c>
      <c r="C64" s="3439" t="s">
        <v>11051</v>
      </c>
      <c r="D64" s="3440"/>
      <c r="E64" s="3440"/>
      <c r="F64" s="3440"/>
      <c r="G64" s="3440"/>
      <c r="H64" s="3440"/>
      <c r="I64" s="3440"/>
      <c r="J64" s="3440"/>
      <c r="K64" s="3440"/>
      <c r="L64" s="3440"/>
      <c r="M64" s="3440"/>
      <c r="N64" s="3440"/>
      <c r="O64" s="3440"/>
      <c r="P64" s="3441"/>
      <c r="Q64" s="2"/>
      <c r="R64" s="75"/>
      <c r="S64" s="71"/>
      <c r="T64" s="72"/>
      <c r="U64" s="168" t="s">
        <v>2432</v>
      </c>
      <c r="V64" s="71"/>
      <c r="W64" s="71"/>
      <c r="X64" s="71"/>
      <c r="Y64" s="71"/>
      <c r="Z64" s="71"/>
      <c r="AA64" s="71"/>
      <c r="AB64" s="72"/>
      <c r="AC64" s="73"/>
      <c r="AD64" s="72"/>
      <c r="AH64" s="72"/>
    </row>
    <row r="65" spans="1:67" ht="48.75" hidden="1" customHeight="1">
      <c r="A65" s="1649"/>
      <c r="B65" s="166" t="s">
        <v>5317</v>
      </c>
      <c r="C65" s="3439" t="s">
        <v>11052</v>
      </c>
      <c r="D65" s="3440"/>
      <c r="E65" s="3440"/>
      <c r="F65" s="3440"/>
      <c r="G65" s="3440"/>
      <c r="H65" s="3440"/>
      <c r="I65" s="3440"/>
      <c r="J65" s="3440"/>
      <c r="K65" s="3440"/>
      <c r="L65" s="3440"/>
      <c r="M65" s="3440"/>
      <c r="N65" s="3440"/>
      <c r="O65" s="3440"/>
      <c r="P65" s="3441"/>
      <c r="Q65" s="2"/>
      <c r="U65" s="168" t="s">
        <v>2432</v>
      </c>
      <c r="BA65" s="8"/>
      <c r="BB65" s="8"/>
      <c r="BC65" s="8"/>
      <c r="BD65" s="8"/>
      <c r="BE65" s="8"/>
      <c r="BF65" s="8"/>
      <c r="BG65" s="8"/>
      <c r="BH65" s="8"/>
      <c r="BI65" s="8"/>
      <c r="BJ65" s="8"/>
      <c r="BK65" s="8"/>
      <c r="BL65" s="8"/>
      <c r="BM65" s="8"/>
      <c r="BN65" s="8"/>
      <c r="BO65" s="8"/>
    </row>
    <row r="66" spans="1:67" s="496" customFormat="1" ht="48" hidden="1" customHeight="1">
      <c r="A66" s="1649"/>
      <c r="B66" s="166" t="s">
        <v>5320</v>
      </c>
      <c r="C66" s="3439" t="s">
        <v>11053</v>
      </c>
      <c r="D66" s="3440"/>
      <c r="E66" s="3440"/>
      <c r="F66" s="3440"/>
      <c r="G66" s="3440"/>
      <c r="H66" s="3440"/>
      <c r="I66" s="3440"/>
      <c r="J66" s="3440"/>
      <c r="K66" s="3440"/>
      <c r="L66" s="3440"/>
      <c r="M66" s="3440"/>
      <c r="N66" s="3440"/>
      <c r="O66" s="3440"/>
      <c r="P66" s="3441"/>
      <c r="Q66" s="2"/>
      <c r="R66" s="75"/>
      <c r="S66" s="71"/>
      <c r="T66" s="72"/>
      <c r="U66" s="168" t="s">
        <v>2432</v>
      </c>
      <c r="V66" s="71"/>
      <c r="W66" s="71"/>
      <c r="X66" s="71"/>
      <c r="Y66" s="71"/>
      <c r="Z66" s="71"/>
      <c r="AA66" s="71"/>
      <c r="AB66" s="72"/>
      <c r="AC66" s="73"/>
      <c r="AD66" s="72"/>
      <c r="AH66" s="72"/>
    </row>
    <row r="67" spans="1:67" ht="13.5" hidden="1" customHeight="1">
      <c r="A67" s="1649"/>
      <c r="B67" s="166" t="s">
        <v>5321</v>
      </c>
      <c r="C67" s="3439" t="s">
        <v>3711</v>
      </c>
      <c r="D67" s="3440"/>
      <c r="E67" s="3440"/>
      <c r="F67" s="3440"/>
      <c r="G67" s="3440"/>
      <c r="H67" s="3440"/>
      <c r="I67" s="3440"/>
      <c r="J67" s="3440"/>
      <c r="K67" s="3440"/>
      <c r="L67" s="3440"/>
      <c r="M67" s="3440"/>
      <c r="N67" s="3440"/>
      <c r="O67" s="3440"/>
      <c r="P67" s="3441"/>
      <c r="Q67" s="2"/>
      <c r="U67" s="165">
        <v>1</v>
      </c>
      <c r="BA67" s="8"/>
      <c r="BB67" s="8"/>
      <c r="BC67" s="8"/>
      <c r="BD67" s="8"/>
      <c r="BE67" s="8"/>
      <c r="BF67" s="8"/>
      <c r="BG67" s="8"/>
      <c r="BH67" s="8"/>
      <c r="BI67" s="8"/>
      <c r="BJ67" s="8"/>
      <c r="BK67" s="8"/>
      <c r="BL67" s="8"/>
      <c r="BM67" s="8"/>
      <c r="BN67" s="8"/>
      <c r="BO67" s="8"/>
    </row>
    <row r="68" spans="1:67" ht="13.5" hidden="1" customHeight="1">
      <c r="A68" s="1649"/>
      <c r="B68" s="166" t="s">
        <v>5322</v>
      </c>
      <c r="C68" s="3439" t="s">
        <v>2847</v>
      </c>
      <c r="D68" s="3440"/>
      <c r="E68" s="3440"/>
      <c r="F68" s="3440"/>
      <c r="G68" s="3440"/>
      <c r="H68" s="3440"/>
      <c r="I68" s="3440"/>
      <c r="J68" s="3440"/>
      <c r="K68" s="3440"/>
      <c r="L68" s="3440"/>
      <c r="M68" s="3440"/>
      <c r="N68" s="3440"/>
      <c r="O68" s="3440"/>
      <c r="P68" s="3441"/>
      <c r="Q68" s="2"/>
      <c r="U68" s="165">
        <v>1</v>
      </c>
      <c r="BA68" s="8"/>
      <c r="BB68" s="8"/>
      <c r="BC68" s="8"/>
      <c r="BD68" s="8"/>
      <c r="BE68" s="8"/>
      <c r="BF68" s="8"/>
      <c r="BG68" s="8"/>
      <c r="BH68" s="8"/>
      <c r="BI68" s="8"/>
      <c r="BJ68" s="8"/>
      <c r="BK68" s="8"/>
      <c r="BL68" s="8"/>
      <c r="BM68" s="8"/>
      <c r="BN68" s="8"/>
      <c r="BO68" s="8"/>
    </row>
    <row r="69" spans="1:67" ht="13.5" hidden="1" customHeight="1">
      <c r="A69" s="1649"/>
      <c r="B69" s="166" t="s">
        <v>5323</v>
      </c>
      <c r="C69" s="3439" t="s">
        <v>2848</v>
      </c>
      <c r="D69" s="3440"/>
      <c r="E69" s="3440"/>
      <c r="F69" s="3440"/>
      <c r="G69" s="3440"/>
      <c r="H69" s="3440"/>
      <c r="I69" s="3440"/>
      <c r="J69" s="3440"/>
      <c r="K69" s="3440"/>
      <c r="L69" s="3440"/>
      <c r="M69" s="3440"/>
      <c r="N69" s="3440"/>
      <c r="O69" s="3440"/>
      <c r="P69" s="3441"/>
      <c r="Q69" s="2"/>
      <c r="U69" s="165">
        <v>1</v>
      </c>
      <c r="BA69" s="8"/>
      <c r="BB69" s="8"/>
      <c r="BC69" s="8"/>
      <c r="BD69" s="8"/>
      <c r="BE69" s="8"/>
      <c r="BF69" s="8"/>
      <c r="BG69" s="8"/>
      <c r="BH69" s="8"/>
      <c r="BI69" s="8"/>
      <c r="BJ69" s="8"/>
      <c r="BK69" s="8"/>
      <c r="BL69" s="8"/>
      <c r="BM69" s="8"/>
      <c r="BN69" s="8"/>
      <c r="BO69" s="8"/>
    </row>
    <row r="70" spans="1:67" ht="13.5" hidden="1" customHeight="1">
      <c r="A70" s="1649"/>
      <c r="B70" s="166" t="s">
        <v>5324</v>
      </c>
      <c r="C70" s="3439" t="s">
        <v>2849</v>
      </c>
      <c r="D70" s="3440"/>
      <c r="E70" s="3440"/>
      <c r="F70" s="3440"/>
      <c r="G70" s="3440"/>
      <c r="H70" s="3440"/>
      <c r="I70" s="3440"/>
      <c r="J70" s="3440"/>
      <c r="K70" s="3440"/>
      <c r="L70" s="3440"/>
      <c r="M70" s="3440"/>
      <c r="N70" s="3440"/>
      <c r="O70" s="3440"/>
      <c r="P70" s="3441"/>
      <c r="Q70" s="2"/>
      <c r="U70" s="165">
        <v>1</v>
      </c>
      <c r="BA70" s="8"/>
      <c r="BB70" s="8"/>
      <c r="BC70" s="8"/>
      <c r="BD70" s="8"/>
      <c r="BE70" s="8"/>
      <c r="BF70" s="8"/>
      <c r="BG70" s="8"/>
      <c r="BH70" s="8"/>
      <c r="BI70" s="8"/>
      <c r="BJ70" s="8"/>
      <c r="BK70" s="8"/>
      <c r="BL70" s="8"/>
      <c r="BM70" s="8"/>
      <c r="BN70" s="8"/>
      <c r="BO70" s="8"/>
    </row>
    <row r="71" spans="1:67" ht="13.5" hidden="1" customHeight="1">
      <c r="A71" s="1649"/>
      <c r="B71" s="166" t="s">
        <v>5333</v>
      </c>
      <c r="C71" s="3439" t="s">
        <v>2850</v>
      </c>
      <c r="D71" s="3440"/>
      <c r="E71" s="3440"/>
      <c r="F71" s="3440"/>
      <c r="G71" s="3440"/>
      <c r="H71" s="3440"/>
      <c r="I71" s="3440"/>
      <c r="J71" s="3440"/>
      <c r="K71" s="3440"/>
      <c r="L71" s="3440"/>
      <c r="M71" s="3440"/>
      <c r="N71" s="3440"/>
      <c r="O71" s="3440"/>
      <c r="P71" s="3441"/>
      <c r="Q71" s="2"/>
      <c r="U71" s="165">
        <v>1</v>
      </c>
      <c r="BA71" s="8"/>
      <c r="BB71" s="8"/>
      <c r="BC71" s="8"/>
      <c r="BD71" s="8"/>
      <c r="BE71" s="8"/>
      <c r="BF71" s="8"/>
      <c r="BG71" s="8"/>
      <c r="BH71" s="8"/>
      <c r="BI71" s="8"/>
      <c r="BJ71" s="8"/>
      <c r="BK71" s="8"/>
      <c r="BL71" s="8"/>
      <c r="BM71" s="8"/>
      <c r="BN71" s="8"/>
      <c r="BO71" s="8"/>
    </row>
    <row r="72" spans="1:67" ht="13.5" hidden="1" customHeight="1">
      <c r="A72" s="1649"/>
      <c r="B72" s="166" t="s">
        <v>5325</v>
      </c>
      <c r="C72" s="3439" t="s">
        <v>3712</v>
      </c>
      <c r="D72" s="3440"/>
      <c r="E72" s="3440"/>
      <c r="F72" s="3440"/>
      <c r="G72" s="3440"/>
      <c r="H72" s="3440"/>
      <c r="I72" s="3440"/>
      <c r="J72" s="3440"/>
      <c r="K72" s="3440"/>
      <c r="L72" s="3440"/>
      <c r="M72" s="3440"/>
      <c r="N72" s="3440"/>
      <c r="O72" s="3440"/>
      <c r="P72" s="3441"/>
      <c r="Q72" s="2"/>
      <c r="U72" s="165">
        <v>1</v>
      </c>
      <c r="BA72" s="8"/>
      <c r="BB72" s="8"/>
      <c r="BC72" s="8"/>
      <c r="BD72" s="8"/>
      <c r="BE72" s="8"/>
      <c r="BF72" s="8"/>
      <c r="BG72" s="8"/>
      <c r="BH72" s="8"/>
      <c r="BI72" s="8"/>
      <c r="BJ72" s="8"/>
      <c r="BK72" s="8"/>
      <c r="BL72" s="8"/>
      <c r="BM72" s="8"/>
      <c r="BN72" s="8"/>
      <c r="BO72" s="8"/>
    </row>
    <row r="73" spans="1:67" ht="13.5" hidden="1" customHeight="1">
      <c r="A73" s="1649"/>
      <c r="B73" s="166" t="s">
        <v>5326</v>
      </c>
      <c r="C73" s="3439" t="s">
        <v>2851</v>
      </c>
      <c r="D73" s="3440"/>
      <c r="E73" s="3440"/>
      <c r="F73" s="3440"/>
      <c r="G73" s="3440"/>
      <c r="H73" s="3440"/>
      <c r="I73" s="3440"/>
      <c r="J73" s="3440"/>
      <c r="K73" s="3440"/>
      <c r="L73" s="3440"/>
      <c r="M73" s="3440"/>
      <c r="N73" s="3440"/>
      <c r="O73" s="3440"/>
      <c r="P73" s="3441"/>
      <c r="Q73" s="2"/>
      <c r="U73" s="165">
        <v>1</v>
      </c>
      <c r="BA73" s="8"/>
      <c r="BB73" s="8"/>
      <c r="BC73" s="8"/>
      <c r="BD73" s="8"/>
      <c r="BE73" s="8"/>
      <c r="BF73" s="8"/>
      <c r="BG73" s="8"/>
      <c r="BH73" s="8"/>
      <c r="BI73" s="8"/>
      <c r="BJ73" s="8"/>
      <c r="BK73" s="8"/>
      <c r="BL73" s="8"/>
      <c r="BM73" s="8"/>
      <c r="BN73" s="8"/>
      <c r="BO73" s="8"/>
    </row>
    <row r="74" spans="1:67" ht="13.5" hidden="1" customHeight="1">
      <c r="A74" s="1649"/>
      <c r="B74" s="166" t="s">
        <v>5327</v>
      </c>
      <c r="C74" s="3439" t="s">
        <v>2852</v>
      </c>
      <c r="D74" s="3440"/>
      <c r="E74" s="3440"/>
      <c r="F74" s="3440"/>
      <c r="G74" s="3440"/>
      <c r="H74" s="3440"/>
      <c r="I74" s="3440"/>
      <c r="J74" s="3440"/>
      <c r="K74" s="3440"/>
      <c r="L74" s="3440"/>
      <c r="M74" s="3440"/>
      <c r="N74" s="3440"/>
      <c r="O74" s="3440"/>
      <c r="P74" s="3441"/>
      <c r="Q74" s="2"/>
      <c r="U74" s="165">
        <v>1</v>
      </c>
      <c r="BA74" s="8"/>
      <c r="BB74" s="8"/>
      <c r="BC74" s="8"/>
      <c r="BD74" s="8"/>
      <c r="BE74" s="8"/>
      <c r="BF74" s="8"/>
      <c r="BG74" s="8"/>
      <c r="BH74" s="8"/>
      <c r="BI74" s="8"/>
      <c r="BJ74" s="8"/>
      <c r="BK74" s="8"/>
      <c r="BL74" s="8"/>
      <c r="BM74" s="8"/>
      <c r="BN74" s="8"/>
      <c r="BO74" s="8"/>
    </row>
    <row r="75" spans="1:67" ht="13.5" hidden="1" customHeight="1">
      <c r="A75" s="1649"/>
      <c r="B75" s="166" t="s">
        <v>5328</v>
      </c>
      <c r="C75" s="3439" t="s">
        <v>2853</v>
      </c>
      <c r="D75" s="3440"/>
      <c r="E75" s="3440"/>
      <c r="F75" s="3440"/>
      <c r="G75" s="3440"/>
      <c r="H75" s="3440"/>
      <c r="I75" s="3440"/>
      <c r="J75" s="3440"/>
      <c r="K75" s="3440"/>
      <c r="L75" s="3440"/>
      <c r="M75" s="3440"/>
      <c r="N75" s="3440"/>
      <c r="O75" s="3440"/>
      <c r="P75" s="3441"/>
      <c r="Q75" s="2"/>
      <c r="U75" s="165">
        <v>1</v>
      </c>
      <c r="BA75" s="8"/>
      <c r="BB75" s="8"/>
      <c r="BC75" s="8"/>
      <c r="BD75" s="8"/>
      <c r="BE75" s="8"/>
      <c r="BF75" s="8"/>
      <c r="BG75" s="8"/>
      <c r="BH75" s="8"/>
      <c r="BI75" s="8"/>
      <c r="BJ75" s="8"/>
      <c r="BK75" s="8"/>
      <c r="BL75" s="8"/>
      <c r="BM75" s="8"/>
      <c r="BN75" s="8"/>
      <c r="BO75" s="8"/>
    </row>
    <row r="76" spans="1:67" ht="13.5" hidden="1" customHeight="1">
      <c r="A76" s="1649"/>
      <c r="B76" s="166" t="s">
        <v>5329</v>
      </c>
      <c r="C76" s="3439" t="s">
        <v>2854</v>
      </c>
      <c r="D76" s="3440"/>
      <c r="E76" s="3440"/>
      <c r="F76" s="3440"/>
      <c r="G76" s="3440"/>
      <c r="H76" s="3440"/>
      <c r="I76" s="3440"/>
      <c r="J76" s="3440"/>
      <c r="K76" s="3440"/>
      <c r="L76" s="3440"/>
      <c r="M76" s="3440"/>
      <c r="N76" s="3440"/>
      <c r="O76" s="3440"/>
      <c r="P76" s="3441"/>
      <c r="Q76" s="2"/>
      <c r="U76" s="165">
        <v>1</v>
      </c>
      <c r="BA76" s="8"/>
      <c r="BB76" s="8"/>
      <c r="BC76" s="8"/>
      <c r="BD76" s="8"/>
      <c r="BE76" s="8"/>
      <c r="BF76" s="8"/>
      <c r="BG76" s="8"/>
      <c r="BH76" s="8"/>
      <c r="BI76" s="8"/>
      <c r="BJ76" s="8"/>
      <c r="BK76" s="8"/>
      <c r="BL76" s="8"/>
      <c r="BM76" s="8"/>
      <c r="BN76" s="8"/>
      <c r="BO76" s="8"/>
    </row>
    <row r="77" spans="1:67" ht="13.5" hidden="1" customHeight="1">
      <c r="A77" s="1649"/>
      <c r="B77" s="166" t="s">
        <v>5330</v>
      </c>
      <c r="C77" s="3439" t="s">
        <v>3713</v>
      </c>
      <c r="D77" s="3440"/>
      <c r="E77" s="3440"/>
      <c r="F77" s="3440"/>
      <c r="G77" s="3440"/>
      <c r="H77" s="3440"/>
      <c r="I77" s="3440"/>
      <c r="J77" s="3440"/>
      <c r="K77" s="3440"/>
      <c r="L77" s="3440"/>
      <c r="M77" s="3440"/>
      <c r="N77" s="3440"/>
      <c r="O77" s="3440"/>
      <c r="P77" s="3441"/>
      <c r="Q77" s="2"/>
      <c r="U77" s="165">
        <v>1</v>
      </c>
      <c r="BA77" s="8"/>
      <c r="BB77" s="8"/>
      <c r="BC77" s="8"/>
      <c r="BD77" s="8"/>
      <c r="BE77" s="8"/>
      <c r="BF77" s="8"/>
      <c r="BG77" s="8"/>
      <c r="BH77" s="8"/>
      <c r="BI77" s="8"/>
      <c r="BJ77" s="8"/>
      <c r="BK77" s="8"/>
      <c r="BL77" s="8"/>
      <c r="BM77" s="8"/>
      <c r="BN77" s="8"/>
      <c r="BO77" s="8"/>
    </row>
    <row r="78" spans="1:67" ht="13.5" hidden="1" customHeight="1">
      <c r="A78" s="1649"/>
      <c r="B78" s="166" t="s">
        <v>5331</v>
      </c>
      <c r="C78" s="3439" t="s">
        <v>2855</v>
      </c>
      <c r="D78" s="3440"/>
      <c r="E78" s="3440"/>
      <c r="F78" s="3440"/>
      <c r="G78" s="3440"/>
      <c r="H78" s="3440"/>
      <c r="I78" s="3440"/>
      <c r="J78" s="3440"/>
      <c r="K78" s="3440"/>
      <c r="L78" s="3440"/>
      <c r="M78" s="3440"/>
      <c r="N78" s="3440"/>
      <c r="O78" s="3440"/>
      <c r="P78" s="3441"/>
      <c r="Q78" s="2"/>
      <c r="U78" s="165">
        <v>1</v>
      </c>
      <c r="BA78" s="8"/>
      <c r="BB78" s="8"/>
      <c r="BC78" s="8"/>
      <c r="BD78" s="8"/>
      <c r="BE78" s="8"/>
      <c r="BF78" s="8"/>
      <c r="BG78" s="8"/>
      <c r="BH78" s="8"/>
      <c r="BI78" s="8"/>
      <c r="BJ78" s="8"/>
      <c r="BK78" s="8"/>
      <c r="BL78" s="8"/>
      <c r="BM78" s="8"/>
      <c r="BN78" s="8"/>
      <c r="BO78" s="8"/>
    </row>
    <row r="79" spans="1:67" ht="13.5" hidden="1" customHeight="1">
      <c r="A79" s="1649"/>
      <c r="B79" s="166" t="s">
        <v>5332</v>
      </c>
      <c r="C79" s="3439" t="s">
        <v>2856</v>
      </c>
      <c r="D79" s="3440"/>
      <c r="E79" s="3440"/>
      <c r="F79" s="3440"/>
      <c r="G79" s="3440"/>
      <c r="H79" s="3440"/>
      <c r="I79" s="3440"/>
      <c r="J79" s="3440"/>
      <c r="K79" s="3440"/>
      <c r="L79" s="3440"/>
      <c r="M79" s="3440"/>
      <c r="N79" s="3440"/>
      <c r="O79" s="3440"/>
      <c r="P79" s="3441"/>
      <c r="Q79" s="2"/>
      <c r="U79" s="165">
        <v>1</v>
      </c>
      <c r="BA79" s="8"/>
      <c r="BB79" s="8"/>
      <c r="BC79" s="8"/>
      <c r="BD79" s="8"/>
      <c r="BE79" s="8"/>
      <c r="BF79" s="8"/>
      <c r="BG79" s="8"/>
      <c r="BH79" s="8"/>
      <c r="BI79" s="8"/>
      <c r="BJ79" s="8"/>
      <c r="BK79" s="8"/>
      <c r="BL79" s="8"/>
      <c r="BM79" s="8"/>
      <c r="BN79" s="8"/>
      <c r="BO79" s="8"/>
    </row>
    <row r="80" spans="1:67" ht="13.5" hidden="1" customHeight="1">
      <c r="A80" s="1649"/>
      <c r="B80" s="166" t="s">
        <v>5334</v>
      </c>
      <c r="C80" s="3439" t="s">
        <v>2857</v>
      </c>
      <c r="D80" s="3440"/>
      <c r="E80" s="3440"/>
      <c r="F80" s="3440"/>
      <c r="G80" s="3440"/>
      <c r="H80" s="3440"/>
      <c r="I80" s="3440"/>
      <c r="J80" s="3440"/>
      <c r="K80" s="3440"/>
      <c r="L80" s="3440"/>
      <c r="M80" s="3440"/>
      <c r="N80" s="3440"/>
      <c r="O80" s="3440"/>
      <c r="P80" s="3441"/>
      <c r="Q80" s="2"/>
      <c r="U80" s="165">
        <v>1</v>
      </c>
      <c r="BA80" s="8"/>
      <c r="BB80" s="8"/>
      <c r="BC80" s="8"/>
      <c r="BD80" s="8"/>
      <c r="BE80" s="8"/>
      <c r="BF80" s="8"/>
      <c r="BG80" s="8"/>
      <c r="BH80" s="8"/>
      <c r="BI80" s="8"/>
      <c r="BJ80" s="8"/>
      <c r="BK80" s="8"/>
      <c r="BL80" s="8"/>
      <c r="BM80" s="8"/>
      <c r="BN80" s="8"/>
      <c r="BO80" s="8"/>
    </row>
    <row r="81" spans="1:67" s="496" customFormat="1" ht="13.5" hidden="1" customHeight="1">
      <c r="A81" s="1649"/>
      <c r="B81" s="166" t="s">
        <v>5335</v>
      </c>
      <c r="C81" s="3439" t="s">
        <v>13548</v>
      </c>
      <c r="D81" s="3440"/>
      <c r="E81" s="3440"/>
      <c r="F81" s="3440"/>
      <c r="G81" s="3440"/>
      <c r="H81" s="3440"/>
      <c r="I81" s="3440"/>
      <c r="J81" s="3440"/>
      <c r="K81" s="3440"/>
      <c r="L81" s="3440"/>
      <c r="M81" s="3440"/>
      <c r="N81" s="3440"/>
      <c r="O81" s="3440"/>
      <c r="P81" s="3441"/>
      <c r="Q81" s="2"/>
      <c r="R81" s="75"/>
      <c r="S81" s="71"/>
      <c r="T81" s="72"/>
      <c r="U81" s="165">
        <v>1</v>
      </c>
      <c r="V81" s="71"/>
      <c r="W81" s="71"/>
      <c r="X81" s="71"/>
      <c r="Y81" s="71"/>
      <c r="Z81" s="71"/>
      <c r="AA81" s="71"/>
      <c r="AB81" s="72"/>
      <c r="AC81" s="73"/>
      <c r="AD81" s="72"/>
      <c r="AH81" s="72"/>
    </row>
    <row r="82" spans="1:67" s="496" customFormat="1" ht="13.5" hidden="1" customHeight="1">
      <c r="A82" s="1649"/>
      <c r="B82" s="166" t="s">
        <v>5338</v>
      </c>
      <c r="C82" s="3439" t="s">
        <v>13549</v>
      </c>
      <c r="D82" s="3440"/>
      <c r="E82" s="3440"/>
      <c r="F82" s="3440"/>
      <c r="G82" s="3440"/>
      <c r="H82" s="3440"/>
      <c r="I82" s="3440"/>
      <c r="J82" s="3440"/>
      <c r="K82" s="3440"/>
      <c r="L82" s="3440"/>
      <c r="M82" s="3440"/>
      <c r="N82" s="3440"/>
      <c r="O82" s="3440"/>
      <c r="P82" s="3441"/>
      <c r="Q82" s="2"/>
      <c r="R82" s="75"/>
      <c r="S82" s="71"/>
      <c r="T82" s="72"/>
      <c r="U82" s="165">
        <v>1</v>
      </c>
      <c r="V82" s="71"/>
      <c r="W82" s="71"/>
      <c r="X82" s="71"/>
      <c r="Y82" s="71"/>
      <c r="Z82" s="71"/>
      <c r="AA82" s="71"/>
      <c r="AB82" s="72"/>
      <c r="AC82" s="73"/>
      <c r="AD82" s="72"/>
      <c r="AH82" s="72"/>
    </row>
    <row r="83" spans="1:67" s="496" customFormat="1" ht="13.5" hidden="1" customHeight="1">
      <c r="A83" s="1649"/>
      <c r="B83" s="166" t="s">
        <v>5336</v>
      </c>
      <c r="C83" s="3439" t="s">
        <v>13550</v>
      </c>
      <c r="D83" s="3440"/>
      <c r="E83" s="3440"/>
      <c r="F83" s="3440"/>
      <c r="G83" s="3440"/>
      <c r="H83" s="3440"/>
      <c r="I83" s="3440"/>
      <c r="J83" s="3440"/>
      <c r="K83" s="3440"/>
      <c r="L83" s="3440"/>
      <c r="M83" s="3440"/>
      <c r="N83" s="3440"/>
      <c r="O83" s="3440"/>
      <c r="P83" s="3441"/>
      <c r="Q83" s="2"/>
      <c r="R83" s="75"/>
      <c r="S83" s="71"/>
      <c r="T83" s="72"/>
      <c r="U83" s="165">
        <v>1</v>
      </c>
      <c r="V83" s="71"/>
      <c r="W83" s="71"/>
      <c r="X83" s="71"/>
      <c r="Y83" s="71"/>
      <c r="Z83" s="71"/>
      <c r="AA83" s="71"/>
      <c r="AB83" s="72"/>
      <c r="AC83" s="73"/>
      <c r="AD83" s="72"/>
      <c r="AH83" s="72"/>
    </row>
    <row r="84" spans="1:67" ht="13.5" hidden="1" customHeight="1">
      <c r="A84" s="1649"/>
      <c r="B84" s="166" t="s">
        <v>5337</v>
      </c>
      <c r="C84" s="3439" t="s">
        <v>2858</v>
      </c>
      <c r="D84" s="3440"/>
      <c r="E84" s="3440"/>
      <c r="F84" s="3440"/>
      <c r="G84" s="3440"/>
      <c r="H84" s="3440"/>
      <c r="I84" s="3440"/>
      <c r="J84" s="3440"/>
      <c r="K84" s="3440"/>
      <c r="L84" s="3440"/>
      <c r="M84" s="3440"/>
      <c r="N84" s="3440"/>
      <c r="O84" s="3440"/>
      <c r="P84" s="3441"/>
      <c r="Q84" s="2"/>
      <c r="U84" s="165">
        <v>1</v>
      </c>
      <c r="BA84" s="8"/>
      <c r="BB84" s="8"/>
      <c r="BC84" s="8"/>
      <c r="BD84" s="8"/>
      <c r="BE84" s="8"/>
      <c r="BF84" s="8"/>
      <c r="BG84" s="8"/>
      <c r="BH84" s="8"/>
      <c r="BI84" s="8"/>
      <c r="BJ84" s="8"/>
      <c r="BK84" s="8"/>
      <c r="BL84" s="8"/>
      <c r="BM84" s="8"/>
      <c r="BN84" s="8"/>
      <c r="BO84" s="8"/>
    </row>
    <row r="85" spans="1:67" ht="13.5" hidden="1" customHeight="1">
      <c r="A85" s="1649"/>
      <c r="B85" s="166" t="s">
        <v>13536</v>
      </c>
      <c r="C85" s="3439" t="s">
        <v>3714</v>
      </c>
      <c r="D85" s="3440"/>
      <c r="E85" s="3440"/>
      <c r="F85" s="3440"/>
      <c r="G85" s="3440"/>
      <c r="H85" s="3440"/>
      <c r="I85" s="3440"/>
      <c r="J85" s="3440"/>
      <c r="K85" s="3440"/>
      <c r="L85" s="3440"/>
      <c r="M85" s="3440"/>
      <c r="N85" s="3440"/>
      <c r="O85" s="3440"/>
      <c r="P85" s="3441"/>
      <c r="Q85" s="2"/>
      <c r="U85" s="165">
        <v>1</v>
      </c>
      <c r="BA85" s="8"/>
      <c r="BB85" s="8"/>
      <c r="BC85" s="8"/>
      <c r="BD85" s="8"/>
      <c r="BE85" s="8"/>
      <c r="BF85" s="8"/>
      <c r="BG85" s="8"/>
      <c r="BH85" s="8"/>
      <c r="BI85" s="8"/>
      <c r="BJ85" s="8"/>
      <c r="BK85" s="8"/>
      <c r="BL85" s="8"/>
      <c r="BM85" s="8"/>
      <c r="BN85" s="8"/>
      <c r="BO85" s="8"/>
    </row>
    <row r="86" spans="1:67" s="496" customFormat="1" ht="13.5" hidden="1" customHeight="1">
      <c r="A86" s="1649"/>
      <c r="B86" s="820" t="s">
        <v>13537</v>
      </c>
      <c r="C86" s="3439" t="s">
        <v>3715</v>
      </c>
      <c r="D86" s="3440"/>
      <c r="E86" s="3440"/>
      <c r="F86" s="3440"/>
      <c r="G86" s="3440"/>
      <c r="H86" s="3440"/>
      <c r="I86" s="3440"/>
      <c r="J86" s="3440"/>
      <c r="K86" s="3440"/>
      <c r="L86" s="3440"/>
      <c r="M86" s="3440"/>
      <c r="N86" s="3440"/>
      <c r="O86" s="3440"/>
      <c r="P86" s="3441"/>
      <c r="Q86" s="2"/>
      <c r="R86" s="75"/>
      <c r="S86" s="71"/>
      <c r="T86" s="72"/>
      <c r="U86" s="165">
        <v>1</v>
      </c>
      <c r="V86" s="71"/>
      <c r="W86" s="71"/>
      <c r="X86" s="71"/>
      <c r="Y86" s="71"/>
      <c r="Z86" s="71"/>
      <c r="AA86" s="71"/>
      <c r="AB86" s="72"/>
      <c r="AC86" s="73"/>
      <c r="AD86" s="72"/>
      <c r="AH86" s="72"/>
    </row>
    <row r="87" spans="1:67" ht="35.25" hidden="1" customHeight="1" thickBot="1">
      <c r="A87" s="1649"/>
      <c r="B87" s="859" t="s">
        <v>13538</v>
      </c>
      <c r="C87" s="3445" t="s">
        <v>3925</v>
      </c>
      <c r="D87" s="3446"/>
      <c r="E87" s="3446"/>
      <c r="F87" s="3446"/>
      <c r="G87" s="3446"/>
      <c r="H87" s="3446"/>
      <c r="I87" s="3446"/>
      <c r="J87" s="3446"/>
      <c r="K87" s="3446"/>
      <c r="L87" s="3446"/>
      <c r="M87" s="3446"/>
      <c r="N87" s="3446"/>
      <c r="O87" s="3446"/>
      <c r="P87" s="3447"/>
      <c r="Q87" s="2"/>
      <c r="U87" s="168" t="s">
        <v>2426</v>
      </c>
      <c r="BA87" s="8"/>
      <c r="BB87" s="8"/>
      <c r="BC87" s="8"/>
      <c r="BD87" s="8"/>
      <c r="BE87" s="8"/>
      <c r="BF87" s="8"/>
      <c r="BG87" s="8"/>
      <c r="BH87" s="8"/>
      <c r="BI87" s="8"/>
      <c r="BJ87" s="8"/>
      <c r="BK87" s="8"/>
      <c r="BL87" s="8"/>
      <c r="BM87" s="8"/>
      <c r="BN87" s="8"/>
      <c r="BO87" s="8"/>
    </row>
    <row r="88" spans="1:67" hidden="1">
      <c r="A88" s="1649"/>
      <c r="Q88" s="2"/>
      <c r="U88" s="168"/>
      <c r="BA88" s="8"/>
      <c r="BB88" s="8"/>
      <c r="BC88" s="8"/>
      <c r="BD88" s="8"/>
      <c r="BE88" s="8"/>
      <c r="BF88" s="8"/>
      <c r="BG88" s="8"/>
      <c r="BH88" s="8"/>
      <c r="BI88" s="8"/>
      <c r="BJ88" s="8"/>
      <c r="BK88" s="8"/>
      <c r="BL88" s="8"/>
      <c r="BM88" s="8"/>
      <c r="BN88" s="8"/>
      <c r="BO88" s="8"/>
    </row>
    <row r="89" spans="1:67" hidden="1">
      <c r="BA89" s="8"/>
      <c r="BB89" s="8"/>
      <c r="BC89" s="8"/>
      <c r="BD89" s="8"/>
      <c r="BE89" s="8"/>
      <c r="BF89" s="8"/>
      <c r="BG89" s="8"/>
      <c r="BH89" s="8"/>
      <c r="BI89" s="8"/>
      <c r="BJ89" s="8"/>
      <c r="BK89" s="8"/>
      <c r="BL89" s="8"/>
      <c r="BM89" s="8"/>
      <c r="BN89" s="8"/>
      <c r="BO89" s="8"/>
    </row>
    <row r="90" spans="1:67" hidden="1">
      <c r="BA90" s="8"/>
      <c r="BB90" s="8"/>
      <c r="BC90" s="8"/>
      <c r="BD90" s="8"/>
      <c r="BE90" s="8"/>
      <c r="BF90" s="8"/>
      <c r="BG90" s="8"/>
      <c r="BH90" s="8"/>
      <c r="BI90" s="8"/>
      <c r="BJ90" s="8"/>
      <c r="BK90" s="8"/>
      <c r="BL90" s="8"/>
      <c r="BM90" s="8"/>
      <c r="BN90" s="8"/>
      <c r="BO90" s="8"/>
    </row>
  </sheetData>
  <mergeCells count="47">
    <mergeCell ref="C87:P87"/>
    <mergeCell ref="C77:P77"/>
    <mergeCell ref="C78:P78"/>
    <mergeCell ref="C79:P79"/>
    <mergeCell ref="C80:P80"/>
    <mergeCell ref="C84:P84"/>
    <mergeCell ref="C85:P85"/>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BK3:BK4"/>
    <mergeCell ref="BL3:BL4"/>
    <mergeCell ref="BM3:BM4"/>
    <mergeCell ref="BN3:BO3"/>
    <mergeCell ref="BA3:BB4"/>
    <mergeCell ref="BD3:BD4"/>
    <mergeCell ref="BE3:BE4"/>
    <mergeCell ref="BF3:BH3"/>
    <mergeCell ref="BI3:BJ3"/>
  </mergeCells>
  <conditionalFormatting sqref="R8:R13">
    <cfRule type="cellIs" dxfId="158" priority="7" operator="equal">
      <formula>0</formula>
    </cfRule>
  </conditionalFormatting>
  <conditionalFormatting sqref="R10:R13">
    <cfRule type="cellIs" dxfId="157" priority="6" operator="equal">
      <formula>0</formula>
    </cfRule>
  </conditionalFormatting>
  <conditionalFormatting sqref="R17:R20">
    <cfRule type="cellIs" dxfId="156" priority="5" operator="equal">
      <formula>0</formula>
    </cfRule>
  </conditionalFormatting>
  <conditionalFormatting sqref="R24:R27">
    <cfRule type="cellIs" dxfId="155" priority="4" operator="equal">
      <formula>0</formula>
    </cfRule>
  </conditionalFormatting>
  <conditionalFormatting sqref="R44">
    <cfRule type="cellIs" dxfId="154" priority="2" operator="equal">
      <formula>0</formula>
    </cfRule>
  </conditionalFormatting>
  <conditionalFormatting sqref="R31:R37">
    <cfRule type="cellIs" dxfId="153" priority="3" operator="equal">
      <formula>0</formula>
    </cfRule>
  </conditionalFormatting>
  <conditionalFormatting sqref="R41">
    <cfRule type="cellIs" dxfId="15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&amp;K8573622018-19 annual performance report tables&amp;R&amp;G</oddHeader>
    <oddFooter>&amp;L&amp;9&amp;K857362&amp;A&amp;R&amp;9&amp;K857362Printed: &amp;D &amp;T</oddFooter>
  </headerFooter>
  <drawing r:id="rId2"/>
  <legacyDrawingHF r:id="rId3"/>
</worksheet>
</file>

<file path=xl/worksheets/sheet4.xml><?xml version="1.0" encoding="utf-8"?>
<worksheet xmlns="http://schemas.openxmlformats.org/spreadsheetml/2006/main" xmlns:r="http://schemas.openxmlformats.org/officeDocument/2006/relationships">
  <sheetPr codeName="Sheet2">
    <pageSetUpPr fitToPage="1"/>
  </sheetPr>
  <dimension ref="A1:H61"/>
  <sheetViews>
    <sheetView workbookViewId="0">
      <selection activeCell="B3" sqref="B3"/>
    </sheetView>
  </sheetViews>
  <sheetFormatPr defaultColWidth="12.125" defaultRowHeight="14.25"/>
  <cols>
    <col min="1" max="1" width="1.625" style="8" customWidth="1"/>
    <col min="2" max="2" width="71.125" style="8" customWidth="1"/>
    <col min="3" max="4" width="22.5" style="8" customWidth="1"/>
    <col min="5" max="5" width="106" style="8" customWidth="1"/>
    <col min="6" max="6" width="1.625" style="8" customWidth="1"/>
    <col min="7" max="16383" width="12.125" style="8"/>
    <col min="16384" max="16384" width="12.125" style="8" customWidth="1"/>
  </cols>
  <sheetData>
    <row r="1" spans="1:8" ht="18.75">
      <c r="B1" s="6" t="s">
        <v>2385</v>
      </c>
      <c r="C1" s="6"/>
      <c r="D1" s="6"/>
      <c r="E1" s="7"/>
    </row>
    <row r="2" spans="1:8" ht="15" thickBot="1">
      <c r="B2" s="74" t="s">
        <v>3744</v>
      </c>
    </row>
    <row r="3" spans="1:8" ht="15" thickBot="1">
      <c r="A3" s="10"/>
      <c r="B3" s="483" t="s">
        <v>12214</v>
      </c>
      <c r="C3" s="9" t="s">
        <v>2387</v>
      </c>
      <c r="D3" s="10"/>
      <c r="E3" s="10"/>
      <c r="G3" s="10" t="str">
        <f>VLOOKUP(Validation!B3,Lists!B4:D26,3,FALSE)</f>
        <v>WaSC</v>
      </c>
      <c r="H3" s="10">
        <f>IF(G3="Woc",1,0)</f>
        <v>0</v>
      </c>
    </row>
    <row r="5" spans="1:8">
      <c r="B5" s="3197" t="s">
        <v>2388</v>
      </c>
      <c r="C5" s="3197"/>
      <c r="D5" s="3197"/>
      <c r="E5" s="3197"/>
    </row>
    <row r="6" spans="1:8" ht="15" thickBot="1"/>
    <row r="7" spans="1:8" ht="26.25" thickBot="1">
      <c r="B7" s="11" t="s">
        <v>3174</v>
      </c>
      <c r="C7" s="12" t="s">
        <v>2389</v>
      </c>
      <c r="D7" s="13" t="s">
        <v>2390</v>
      </c>
      <c r="E7" s="14" t="s">
        <v>2391</v>
      </c>
    </row>
    <row r="8" spans="1:8" ht="20.25" customHeight="1">
      <c r="A8" s="16"/>
      <c r="B8" s="421" t="str">
        <f>+'1A'!B1</f>
        <v>1A - Income statement</v>
      </c>
      <c r="C8" s="15" t="str">
        <f>IF($B$3="Select company","",IF((SUM('1A'!O6:S36))&gt;0,"Review validation checks on sheet","No issues identified"))</f>
        <v>Review validation checks on sheet</v>
      </c>
      <c r="D8" s="1613"/>
      <c r="E8" s="1615" t="str">
        <f>+'1A'!B43</f>
        <v>Please refer to RAG 4.08 - Guideline for the table definitions in the annual performance report for the reporting year 2018-19</v>
      </c>
    </row>
    <row r="9" spans="1:8" ht="20.25" customHeight="1">
      <c r="A9" s="16"/>
      <c r="B9" s="422" t="str">
        <f>+'1B'!B1</f>
        <v>1B - Statement of comprehensive income</v>
      </c>
      <c r="C9" s="17" t="str">
        <f>IF($B$3="Select company","",IF((SUM('1B'!O7:S8))&gt;0,"Review validation checks on sheet","No issues identified"))</f>
        <v>Review validation checks on sheet</v>
      </c>
      <c r="D9" s="1614"/>
      <c r="E9" s="1616" t="str">
        <f>+'1B'!B19</f>
        <v>Please refer to RAG 4.08 - Guideline for the table definitions in the annual performance report for the reporting year 2018-19</v>
      </c>
    </row>
    <row r="10" spans="1:8" ht="20.25" customHeight="1">
      <c r="A10" s="16"/>
      <c r="B10" s="422" t="str">
        <f>+'1C'!B1</f>
        <v>1C - Statement of financial position</v>
      </c>
      <c r="C10" s="17" t="str">
        <f>IF($B$3="Select company","",IF((SUM('1C'!O7:S49))&gt;0,"Review validation checks on sheet","No issues identified"))</f>
        <v>Review validation checks on sheet</v>
      </c>
      <c r="D10" s="1614"/>
      <c r="E10" s="1616" t="str">
        <f>+'1C'!B59</f>
        <v>Please refer to RAG 4.08 - Guideline for the table definitions in the annual performance report for the reporting year 2018-19</v>
      </c>
    </row>
    <row r="11" spans="1:8" ht="20.25" customHeight="1">
      <c r="A11" s="16"/>
      <c r="B11" s="422" t="str">
        <f>+'1D'!B1</f>
        <v>1D - Statement of cash flows</v>
      </c>
      <c r="C11" s="17" t="str">
        <f>IF($B$3="Select company","",IF((SUM('1D'!O8:S33))&gt;0,"Review validation checks on sheet","No issues identified"))</f>
        <v>Review validation checks on sheet</v>
      </c>
      <c r="D11" s="1614"/>
      <c r="E11" s="1616" t="str">
        <f>+'1D'!B45</f>
        <v>Please refer to RAG 4.08 - Guideline for the table definitions in the annual performance report for the reporting year 2018-19</v>
      </c>
    </row>
    <row r="12" spans="1:8" ht="20.25" customHeight="1">
      <c r="A12" s="16"/>
      <c r="B12" s="422" t="str">
        <f>+'1E'!B1</f>
        <v>1E - Net debt analysis at 31 March 2019</v>
      </c>
      <c r="C12" s="17" t="str">
        <f>IF($B$3="Select company","",IF((SUM('1E'!O6:T23))&gt;0,"Review validation checks on sheet","No issues identified"))</f>
        <v>Review validation checks on sheet</v>
      </c>
      <c r="D12" s="17" t="str">
        <f>IF($B$3="Select company","",IF((SUM('1E'!T6:Y23))&gt;0,"Review validation checks on sheet","No issues identified"))</f>
        <v>Review validation checks on sheet</v>
      </c>
      <c r="E12" s="1620" t="str">
        <f>+'1E'!B32</f>
        <v>Please refer to RAG 4.08 - Guideline for the table definitions in the annual performance report for the reporting year 2018-19</v>
      </c>
    </row>
    <row r="13" spans="1:8" s="496" customFormat="1" ht="20.25" customHeight="1" thickBot="1">
      <c r="A13" s="16"/>
      <c r="B13" s="2342" t="str">
        <f>+'1F'!B1</f>
        <v>1F - Financial flows (Price Base - 2012-13 RPI Average)</v>
      </c>
      <c r="C13" s="904" t="str">
        <f>IF($B$3="Select company","",IF((SUM('1F'!V8:AI41))&gt;0,"Review validation checks on sheet","No issues identified"))</f>
        <v>Review validation checks on sheet</v>
      </c>
      <c r="D13" s="2344"/>
      <c r="E13" s="2343" t="str">
        <f>+'1F'!B52</f>
        <v>Please refer to RAG 4.08 - Guideline for the table definitions in the annual performance report for the reporting year 2018-19</v>
      </c>
    </row>
    <row r="14" spans="1:8" ht="15" thickBot="1">
      <c r="A14" s="16"/>
      <c r="B14" s="19"/>
      <c r="C14" s="20"/>
      <c r="D14" s="20"/>
      <c r="E14" s="16"/>
    </row>
    <row r="15" spans="1:8" ht="26.25" thickBot="1">
      <c r="A15" s="16"/>
      <c r="B15" s="11" t="s">
        <v>3175</v>
      </c>
      <c r="C15" s="13" t="str">
        <f>C7</f>
        <v>All expected cells completed?</v>
      </c>
      <c r="D15" s="13" t="str">
        <f>D7</f>
        <v>Other validations</v>
      </c>
      <c r="E15" s="14" t="s">
        <v>2391</v>
      </c>
    </row>
    <row r="16" spans="1:8" ht="20.25" customHeight="1">
      <c r="A16" s="16"/>
      <c r="B16" s="421" t="str">
        <f>+'2A'!B1</f>
        <v>2A - Segmental income statement</v>
      </c>
      <c r="C16" s="15" t="str">
        <f>IF($B$3="Select company","",IF((SUM('2A'!U6:AF20))&gt;0,"Review validation checks on sheet","No issues identified"))</f>
        <v>Review validation checks on sheet</v>
      </c>
      <c r="D16" s="1617" t="str">
        <f>IF($B$3="Select company","",IF((SUM('2A'!AF6:AL20))&gt;0,"Review validation checks on sheet","No issues identified"))</f>
        <v>Review validation checks on sheet</v>
      </c>
      <c r="E16" s="1615" t="str">
        <f>+'2A'!B30</f>
        <v>Please refer to RAG 4.08 - Guideline for the table definitions in the annual performance report for the reporting year 2018-19</v>
      </c>
    </row>
    <row r="17" spans="1:5" ht="20.25" customHeight="1">
      <c r="A17" s="16"/>
      <c r="B17" s="422" t="str">
        <f>+'2B'!B1</f>
        <v>2B - Totex analysis - wholesale water and wastewater</v>
      </c>
      <c r="C17" s="2123" t="str">
        <f>IF($B$3="Select company","",IF((SUM('2B'!Q6:V39))&gt;0,"Review validation checks on sheet","No issues identified"))</f>
        <v>Review validation checks on sheet</v>
      </c>
      <c r="D17" s="1618" t="str">
        <f>IF($B$3="Select company","",IF((SUM('2B'!V6:X39))&gt;0,"Review validation checks on sheet","No issues identified"))</f>
        <v>No issues identified</v>
      </c>
      <c r="E17" s="1620" t="str">
        <f>+'2B'!B48</f>
        <v>Please refer to RAG 4.08 - Guideline for the table definitions in the annual performance report for the reporting year 2018-19</v>
      </c>
    </row>
    <row r="18" spans="1:5" ht="20.25" customHeight="1">
      <c r="A18" s="16"/>
      <c r="B18" s="422" t="str">
        <f>+'2C'!B1</f>
        <v>2C - Operating cost analysis - retail</v>
      </c>
      <c r="C18" s="17" t="str">
        <f>IF($B$3="Select company","",IF((SUM('2C'!M6:P21))&gt;0,"Review validation checks on sheet","No issues identified"))</f>
        <v>Review validation checks on sheet</v>
      </c>
      <c r="D18" s="1614"/>
      <c r="E18" s="1620" t="str">
        <f>+'2C'!B30</f>
        <v>Please refer to RAG 4.08 - Guideline for the table definitions in the annual performance report for the reporting year 2018-19</v>
      </c>
    </row>
    <row r="19" spans="1:5" ht="20.25" customHeight="1">
      <c r="A19" s="16"/>
      <c r="B19" s="422" t="str">
        <f>+'2D'!B1</f>
        <v>2D - Historic cost analysis of fixed assets - wholesale &amp; retail</v>
      </c>
      <c r="C19" s="17" t="str">
        <f>IF($B$3="Select company","",IF((SUM('2D'!S7:AA26))&gt;0,"Review validation checks on sheet","No issues identified"))</f>
        <v>Review validation checks on sheet</v>
      </c>
      <c r="D19" s="1618" t="str">
        <f>IF($B$3="Select company","",IF((SUM('2D'!AA7:AJ27))&gt;0,"Review validation checks on sheet","No issues identified"))</f>
        <v>No issues identified</v>
      </c>
      <c r="E19" s="1620" t="str">
        <f>+'2D'!B36</f>
        <v>Please refer to RAG 4.08 - Guideline for the table definitions in the annual performance report for the reporting year 2018-19</v>
      </c>
    </row>
    <row r="20" spans="1:5" ht="20.25" customHeight="1">
      <c r="A20" s="16"/>
      <c r="B20" s="422" t="str">
        <f>+'2E'!B1</f>
        <v>2E - Analysis of 'grants and contributions' and land sales - wholesale</v>
      </c>
      <c r="C20" s="17" t="str">
        <f>IF($B$3="Select company","",IF((SUM('2E'!N7:R49))&gt;0,"Review validation checks on sheet","No issues identified"))</f>
        <v>Review validation checks on sheet</v>
      </c>
      <c r="D20" s="1614"/>
      <c r="E20" s="1620" t="str">
        <f>+'2E'!B59</f>
        <v>Please refer to RAG 4.08 - Guideline for the table definitions in the annual performance report for the reporting year 2018-19</v>
      </c>
    </row>
    <row r="21" spans="1:5" ht="20.25" customHeight="1">
      <c r="A21" s="16"/>
      <c r="B21" s="422" t="str">
        <f>+'2F - SWT'!B1</f>
        <v>2F - Household - revenues by customer type</v>
      </c>
      <c r="C21" s="17" t="str">
        <f>IF($B$3="Select company","",IF((SUM('2F - SWT'!M5:R10))&gt;0,"Review validation checks on sheet","No issues identified"))</f>
        <v>No issues identified</v>
      </c>
      <c r="D21" s="1614"/>
      <c r="E21" s="1620" t="str">
        <f>+'2F - SWT'!B20</f>
        <v>Please refer to RAG 4.08 - Guideline for the table definitions in the annual performance report for the reporting year 2018-19</v>
      </c>
    </row>
    <row r="22" spans="1:5" ht="20.25" customHeight="1">
      <c r="A22" s="16"/>
      <c r="B22" s="422" t="str">
        <f>+'2G'!B1</f>
        <v>2G - Non-household water - revenues by tariff type</v>
      </c>
      <c r="C22" s="17" t="str">
        <f>IF($B$3="Select company","",IF((SUM('2G'!N6:R34))&gt;0,"Review validation checks on sheet","No issues identified"))</f>
        <v>Review validation checks on sheet</v>
      </c>
      <c r="D22" s="1618" t="str">
        <f>IF($B$3="Select company","",IF((SUM('2G'!R6:T30))&gt;0,"Review validation checks on sheet","No issues identified"))</f>
        <v>Review validation checks on sheet</v>
      </c>
      <c r="E22" s="1620" t="str">
        <f>+'2G'!B43</f>
        <v>Please refer to RAG 4.08 - Guideline for the table definitions in the annual performance report for the reporting year 2018-19</v>
      </c>
    </row>
    <row r="23" spans="1:5" ht="20.25" customHeight="1">
      <c r="A23" s="16"/>
      <c r="B23" s="422" t="str">
        <f>+'2H'!B1</f>
        <v>2H - Non-household wastewater - revenues by tariff type</v>
      </c>
      <c r="C23" s="17" t="str">
        <f>IF($B$3="Select company","",IF(G3="WoC","",IF((SUM('2H'!N6:R37))&gt;0,"Review validation checks on sheet","No issues identified")))</f>
        <v>Review validation checks on sheet</v>
      </c>
      <c r="D23" s="1618" t="str">
        <f>IF($B$3="Select company","",IF(G3="WoC","",IF((SUM('2H'!R6:T33))&gt;0,"Review validation checks on sheet","No issues identified")))</f>
        <v>Review validation checks on sheet</v>
      </c>
      <c r="E23" s="1620" t="str">
        <f>+'2H'!B46</f>
        <v>Please refer to RAG 4.08 - Guideline for the table definitions in the annual performance report for the reporting year 2018-19</v>
      </c>
    </row>
    <row r="24" spans="1:5" ht="20.25" customHeight="1">
      <c r="A24" s="16"/>
      <c r="B24" s="422" t="str">
        <f>+'2I - SWT'!B1</f>
        <v>2I - Revenue analysis</v>
      </c>
      <c r="C24" s="17" t="str">
        <f>IF($B$3="Select company","",IF((SUM('2I - SWT'!N6:R50))&gt;0,"Review validation checks on sheet","No issues identified"))</f>
        <v>No issues identified</v>
      </c>
      <c r="D24" s="1618" t="str">
        <f>IF($B$3="Select company","",IF((SUM('2I - SWT'!R6:V50))&gt;0,"Review validation checks on sheet","No issues identified"))</f>
        <v>Review validation checks on sheet</v>
      </c>
      <c r="E24" s="1620" t="str">
        <f>+'2I - SWT'!B62</f>
        <v>Please refer to RAG 4.08 - Guideline for the table definitions in the annual performance report for the reporting year 2018-19</v>
      </c>
    </row>
    <row r="25" spans="1:5" s="496" customFormat="1" ht="20.25" customHeight="1">
      <c r="A25" s="16"/>
      <c r="B25" s="2347" t="str">
        <f>+'2J'!B1</f>
        <v>2J - Infrastructure network reinforcement costs</v>
      </c>
      <c r="C25" s="17" t="str">
        <f>IF($B$3="Select company","",IF((SUM('2J'!M6:P15))&gt;0,"Review validation checks on sheet","No issues identified"))</f>
        <v>Review validation checks on sheet</v>
      </c>
      <c r="D25" s="2348" t="str">
        <f>IF($B$3="Select company","",IF((SUM('2J'!P6:R16))&gt;0,"Review validation checks on sheet","No issues identified"))</f>
        <v>No issues identified</v>
      </c>
      <c r="E25" s="1620" t="str">
        <f>+'2J'!B25</f>
        <v>Please refer to RAG 4.08 - Guideline for the table definitions in the annual performance report for the reporting year 2018-19</v>
      </c>
    </row>
    <row r="26" spans="1:5" s="496" customFormat="1" ht="20.25" customHeight="1" thickBot="1">
      <c r="A26" s="16"/>
      <c r="B26" s="2345" t="str">
        <f>+'2K'!B1</f>
        <v>2K - Infrastructure charges reconciliation</v>
      </c>
      <c r="C26" s="904" t="str">
        <f>IF($B$3="Select company","",IF((SUM('2K'!M7:P11))&gt;0,"Review validation checks on sheet","No issues identified"))</f>
        <v>Review validation checks on sheet</v>
      </c>
      <c r="D26" s="2346"/>
      <c r="E26" s="2343" t="str">
        <f>+'2K'!B24</f>
        <v>Please refer to RAG 4.08 - Guideline for the table definitions in the annual performance report for the reporting year 2018-19</v>
      </c>
    </row>
    <row r="27" spans="1:5" ht="15" thickBot="1">
      <c r="A27" s="10"/>
      <c r="B27" s="21"/>
      <c r="C27" s="21"/>
      <c r="D27" s="21"/>
      <c r="E27" s="16"/>
    </row>
    <row r="28" spans="1:5" ht="26.25" thickBot="1">
      <c r="A28" s="10"/>
      <c r="B28" s="22" t="s">
        <v>3176</v>
      </c>
      <c r="C28" s="12" t="s">
        <v>2389</v>
      </c>
      <c r="D28" s="13" t="s">
        <v>2390</v>
      </c>
      <c r="E28" s="14" t="s">
        <v>2391</v>
      </c>
    </row>
    <row r="29" spans="1:5" ht="20.25" customHeight="1">
      <c r="A29" s="23"/>
      <c r="B29" s="421" t="str">
        <f>+'3A - SWT'!B1</f>
        <v>3A - Outcome performance table</v>
      </c>
      <c r="C29" s="15" t="str">
        <f>IF($B$3="Select company","",IF((SUM('3A - SWT'!U5:AE60))&gt;0,"Review validation checks on sheet","No issues identified"))</f>
        <v>Review validation checks on sheet</v>
      </c>
      <c r="D29" s="1617" t="str">
        <f>IF($B$3="Select company","",IF((SUM('3A - SWT'!AE5:AH60))&gt;0,"Review validation checks on sheet","No issues identified"))</f>
        <v>No issues identified</v>
      </c>
      <c r="E29" s="1621" t="str">
        <f>+'3A - SWT'!B69</f>
        <v>Please refer to RAG 4.08 - Guideline for the table definitions in the annual performance report for the reporting year 2018-19</v>
      </c>
    </row>
    <row r="30" spans="1:5" s="496" customFormat="1" ht="20.25" customHeight="1">
      <c r="A30" s="23"/>
      <c r="B30" s="422" t="str">
        <f>+'3B - SWT'!B1</f>
        <v>3B - Sub-measure performance table</v>
      </c>
      <c r="C30" s="17" t="str">
        <f>IF($B$3="Select company","",IF((SUM('3B - SWT'!O5:R44))&gt;0,"Review validation checks on sheet","No issues identified"))</f>
        <v>No issues identified</v>
      </c>
      <c r="D30" s="1618" t="str">
        <f>IF($B$3="Select company","",IF((SUM('3B - SWT'!R5:U44))&gt;0,"Review validation checks on sheet","No issues identified"))</f>
        <v>No issues identified</v>
      </c>
      <c r="E30" s="1620" t="str">
        <f>+'3B - SWT'!B53</f>
        <v>Please refer to RAG 4.08 - Guideline for the table definitions in the annual performance report for the reporting year 2018-19</v>
      </c>
    </row>
    <row r="31" spans="1:5" s="496" customFormat="1" ht="20.25" customHeight="1">
      <c r="A31" s="23"/>
      <c r="B31" s="422" t="str">
        <f>+'3C'!B1</f>
        <v>3C - AIM table</v>
      </c>
      <c r="C31" s="17" t="str">
        <f>IF($B$3="Select company","",IF((SUM('3C'!N5:T29))&gt;0,"Review validation checks on sheet","No issues identified"))</f>
        <v>No issues identified</v>
      </c>
      <c r="D31" s="1618" t="str">
        <f>IF($B$3="Select company","",IF((SUM('3C'!T5:Z29))&gt;0,"Review validation checks on sheet","No issues identified"))</f>
        <v>No issues identified</v>
      </c>
      <c r="E31" s="1616" t="str">
        <f>+'3C'!B39</f>
        <v>Please refer to RAG 4.08 - Guideline for the table definitions in the annual performance report for the reporting year 2018-19</v>
      </c>
    </row>
    <row r="32" spans="1:5" s="496" customFormat="1" ht="20.25" customHeight="1" thickBot="1">
      <c r="A32" s="23"/>
      <c r="B32" s="422" t="str">
        <f>+'3D - SWT'!B1</f>
        <v>3D - SIM table</v>
      </c>
      <c r="C32" s="17" t="str">
        <f>IF($B$3="Select company","",IF((SUM('3D - SWT'!K7:M12))&gt;0,"Review validation checks on sheet","No issues identified"))</f>
        <v>No issues identified</v>
      </c>
      <c r="D32" s="1618" t="str">
        <f>IF($B$3="Select company","",IF((SUM('3D - SWT'!M7:Q12))&gt;0,"Review validation checks on sheet","No issues identified"))</f>
        <v>No issues identified</v>
      </c>
      <c r="E32" s="1616" t="str">
        <f>+'3D - SWT'!B23</f>
        <v>Please refer to RAG 4.08 - Guideline for the table definitions in the annual performance report for the reporting year 2018-19</v>
      </c>
    </row>
    <row r="33" spans="1:5" s="496" customFormat="1" ht="20.25" customHeight="1" thickBot="1">
      <c r="A33" s="23"/>
      <c r="B33" s="903" t="str">
        <f>+'3S - SWT'!B2</f>
        <v>3S - Shadow reporting of new definition data</v>
      </c>
      <c r="C33" s="904" t="str">
        <f>IF($B$3="Select company","",IF(SUM('3S - SWT'!LF7:LF71)&gt;0,"Review validation checks on sheet","No issues identified"))</f>
        <v>Review validation checks on sheet</v>
      </c>
      <c r="D33" s="1619"/>
      <c r="E33" s="1612" t="str">
        <f>+'3S - SWT'!B79</f>
        <v>3S line guidance</v>
      </c>
    </row>
    <row r="34" spans="1:5" ht="15" thickBot="1">
      <c r="A34" s="10"/>
      <c r="B34" s="21"/>
      <c r="C34" s="21"/>
      <c r="D34" s="21"/>
      <c r="E34" s="16"/>
    </row>
    <row r="35" spans="1:5" ht="26.25" thickBot="1">
      <c r="A35" s="10"/>
      <c r="B35" s="22" t="s">
        <v>3177</v>
      </c>
      <c r="C35" s="12" t="s">
        <v>2389</v>
      </c>
      <c r="D35" s="13" t="s">
        <v>2390</v>
      </c>
      <c r="E35" s="14" t="s">
        <v>2391</v>
      </c>
    </row>
    <row r="36" spans="1:5" ht="20.25" customHeight="1">
      <c r="A36" s="16"/>
      <c r="B36" s="421" t="str">
        <f>+'4A - SWT'!B1</f>
        <v>4A - Non-financial information</v>
      </c>
      <c r="C36" s="15" t="str">
        <f>IF($B$3="Select company","",IF((SUM('4A - SWT'!L8:O17))&gt;0,"Review validation checks on sheet","No issues identified"))</f>
        <v>No issues identified</v>
      </c>
      <c r="D36" s="1613"/>
      <c r="E36" s="1615" t="str">
        <f>+'4A - SWT'!B26</f>
        <v>Please refer to RAG 4.08 - Guideline for the table definitions in the annual performance report for the reporting year 2018-19</v>
      </c>
    </row>
    <row r="37" spans="1:5" ht="20.25" customHeight="1">
      <c r="A37" s="16"/>
      <c r="B37" s="422" t="str">
        <f>+'4B'!B1</f>
        <v xml:space="preserve">4B - Wholesale totex analysis </v>
      </c>
      <c r="C37" s="17" t="str">
        <f>IF($B$3="Select company","",IF((SUM('4B'!P7:W23))&gt;0,"Review validation checks on sheet","No issues identified"))</f>
        <v>Review validation checks on sheet</v>
      </c>
      <c r="D37" s="1614"/>
      <c r="E37" s="1616" t="str">
        <f>+'4B'!B33</f>
        <v>Please refer to RAG 4.08 - Guideline for the table definitions in the annual performance report for the reporting year 2018-19</v>
      </c>
    </row>
    <row r="38" spans="1:5" ht="20.25" customHeight="1">
      <c r="A38" s="16"/>
      <c r="B38" s="422" t="str">
        <f>+'4C'!B1</f>
        <v>4C - Impact of AMP performance to date on RCV</v>
      </c>
      <c r="C38" s="17" t="str">
        <f>IF($B$3="Select company","",IF((SUM('4C'!M6:Q10))&gt;0,"Review validation checks on sheet","No issues identified"))</f>
        <v>Review validation checks on sheet</v>
      </c>
      <c r="D38" s="1614"/>
      <c r="E38" s="1620" t="str">
        <f>+'4C'!B20</f>
        <v>Please refer to RAG 4.08 - Guideline for the table definitions in the annual performance report for the reporting year 2018-19</v>
      </c>
    </row>
    <row r="39" spans="1:5" ht="20.25" customHeight="1">
      <c r="A39" s="16"/>
      <c r="B39" s="422" t="str">
        <f>+'4D'!B1</f>
        <v>4D - Wholesale totex analysis - water</v>
      </c>
      <c r="C39" s="17" t="str">
        <f>IF($B$3="Select company","",IF((SUM('4D'!R7:Y49))&gt;0,"Review validation checks on sheet","No issues identified"))</f>
        <v>Review validation checks on sheet</v>
      </c>
      <c r="D39" s="1618" t="str">
        <f>IF($B$3="Select company","",IF((SUM('4D'!Y7:AA50))&gt;0,"Review validation checks on sheet","No issues identified"))</f>
        <v>No issues identified</v>
      </c>
      <c r="E39" s="1620" t="str">
        <f>+'4D'!B59</f>
        <v>Please refer to RAG 4.08 - Guideline for the table definitions in the annual performance report for the reporting year 2018-19</v>
      </c>
    </row>
    <row r="40" spans="1:5" ht="20.25" customHeight="1">
      <c r="A40" s="16"/>
      <c r="B40" s="422" t="str">
        <f>+'4E'!B1</f>
        <v>4E - Wholesale totex analysis - wastewater</v>
      </c>
      <c r="C40" s="17" t="str">
        <f>IF($B$3="Select company","",IF(G3="WoC","",IF((SUM('4E'!T7:AC51))&gt;0,"Review validation checks on sheet","No issues identified")))</f>
        <v>Review validation checks on sheet</v>
      </c>
      <c r="D40" s="1618" t="str">
        <f>IF($B$3="Select company","",IF(G3="WoC","",IF((SUM('4E'!AC7:AE52))&gt;0,"Review validation checks on sheet","No issues identified")))</f>
        <v>No issues identified</v>
      </c>
      <c r="E40" s="1620" t="str">
        <f>+'4E'!B61</f>
        <v>Please refer to RAG 4.08 - Guideline for the table definitions in the annual performance report for the reporting year 2018-19</v>
      </c>
    </row>
    <row r="41" spans="1:5" ht="20.25" customHeight="1">
      <c r="A41" s="16"/>
      <c r="B41" s="422" t="str">
        <f>+'4F'!B1</f>
        <v>4F - Cost analysis - household retail</v>
      </c>
      <c r="C41" s="17" t="str">
        <f>IF($B$3="Select company","",IF((SUM('4F'!T7:AB30))&gt;0,"Review validation checks on sheet","No issues identified"))</f>
        <v>Review validation checks on sheet</v>
      </c>
      <c r="D41" s="1618" t="str">
        <f>IF($B$3="Select company","",IF((SUM('4F'!AB7:AD31))&gt;0,"Review validation checks on sheet","No issues identified"))</f>
        <v>No issues identified</v>
      </c>
      <c r="E41" s="1620" t="str">
        <f>+'4F'!B40</f>
        <v>Please refer to RAG 4.08 - Guideline for the table definitions in the annual performance report for the reporting year 2018-19</v>
      </c>
    </row>
    <row r="42" spans="1:5" ht="20.25" customHeight="1">
      <c r="A42" s="16"/>
      <c r="B42" s="422" t="str">
        <f>+'4G'!B1</f>
        <v>4G - Wholesale current cost financial performance</v>
      </c>
      <c r="C42" s="17" t="str">
        <f>IF($B$3="Select company","",IF((SUM('4G'!O5:S17))&gt;0,"Review validation checks on sheet","No issues identified"))</f>
        <v>Review validation checks on sheet</v>
      </c>
      <c r="D42" s="1618" t="str">
        <f>IF($B$3="Select company","",IF((SUM('4G'!S5:U17))&gt;0,"Review validation checks on sheet","No issues identified"))</f>
        <v>No issues identified</v>
      </c>
      <c r="E42" s="1620" t="str">
        <f>+'4G'!B28</f>
        <v>Please refer to RAG 4.08 - Guideline for the table definitions in the annual performance report for the reporting year 2018-19</v>
      </c>
    </row>
    <row r="43" spans="1:5" ht="20.25" customHeight="1">
      <c r="A43" s="16"/>
      <c r="B43" s="422" t="str">
        <f>+'4H'!B1</f>
        <v>4H - Financial metrics</v>
      </c>
      <c r="C43" s="17" t="str">
        <f>IF($B$3="Select company","",IF((SUM('4H'!M10:P47))&gt;0,"Review validation checks on sheet","No issues identified"))</f>
        <v>Review validation checks on sheet</v>
      </c>
      <c r="D43" s="1618" t="str">
        <f>IF($B$3="Select company","",IF((SUM('4H'!P7:R47))&gt;0,"Review validation checks on sheet","No issues identified"))</f>
        <v>Review validation checks on sheet</v>
      </c>
      <c r="E43" s="1616" t="str">
        <f>+'4H'!B56</f>
        <v>Please refer to RAG 4.08 - Guideline for the table definitions in the annual performance report for the reporting year 2018-19</v>
      </c>
    </row>
    <row r="44" spans="1:5" ht="20.25" customHeight="1">
      <c r="A44" s="16"/>
      <c r="B44" s="422" t="str">
        <f>+'4I'!B1</f>
        <v>4I - Financial derivatives</v>
      </c>
      <c r="C44" s="17" t="str">
        <f>IF($B$3="Select company","",IF((SUM('4I'!T8:AB41))&gt;0,"Review validation checks on sheet","No issues identified"))</f>
        <v>Review validation checks on sheet</v>
      </c>
      <c r="D44" s="1618" t="str">
        <f>IF($B$3="Select company","",IF((SUM('4I'!AB8:AD44))&gt;0,"Review validation checks on sheet","No issues identified"))</f>
        <v>No issues identified</v>
      </c>
      <c r="E44" s="1616" t="str">
        <f>+'4I'!B53</f>
        <v>Please refer to RAG 4.08 - Guideline for the table definitions in the annual performance report for the reporting year 2018-19</v>
      </c>
    </row>
    <row r="45" spans="1:5" ht="19.5" customHeight="1">
      <c r="B45" s="422" t="str">
        <f>+'4J'!B1</f>
        <v>4J - Atypical expenditure by business unit - Wholesale water</v>
      </c>
      <c r="C45" s="17" t="str">
        <f>IF($B$3="Select company","",IF((SUM('4J'!R7:Z48))&gt;0,"Review validation checks on sheet","No issues identified"))</f>
        <v>Review validation checks on sheet</v>
      </c>
      <c r="D45" s="1618" t="str">
        <f>IF($B$3="Select company","",IF((SUM('4J'!Z30:AB52))&gt;0,"Review validation checks on sheet","No issues identified"))</f>
        <v>No issues identified</v>
      </c>
      <c r="E45" s="1616" t="str">
        <f>+'4J'!B61</f>
        <v>Please refer to RAG 4.08 - Guideline for the table definitions in the annual performance report for the reporting year 2018-19</v>
      </c>
    </row>
    <row r="46" spans="1:5" ht="19.5" customHeight="1">
      <c r="B46" s="422" t="str">
        <f>+'4K'!B1</f>
        <v>4K - Atypical expenditure by business unit - Wholesale wastewater</v>
      </c>
      <c r="C46" s="17" t="str">
        <f>IF($B$3="Select company","",IF(G3="WoC","",IF((SUM('4K'!T7:AD48))&gt;0,"Review validation checks on sheet","No issues identified")))</f>
        <v>Review validation checks on sheet</v>
      </c>
      <c r="D46" s="1618" t="str">
        <f>IF($B$3="Select company","",IF(G3="WoC","",IF((SUM('4K'!AD30:AF52))&gt;0,"Review validation checks on sheet","No issues identified")))</f>
        <v>No issues identified</v>
      </c>
      <c r="E46" s="1616" t="str">
        <f>+'4K'!B61</f>
        <v>Please refer to RAG 4.08 - Guideline for the table definitions in the annual performance report for the reporting year 2018-19</v>
      </c>
    </row>
    <row r="47" spans="1:5" ht="19.5" customHeight="1">
      <c r="B47" s="422" t="str">
        <f>+'4L'!B1</f>
        <v>4L - Enhancement expenditure by purpose - Wholesale water</v>
      </c>
      <c r="C47" s="17" t="str">
        <f>IF($B$3="Select company","",IF((SUM('4L'!Y8:AN44))&gt;0,"Review validation checks on sheet","No issues identified"))</f>
        <v>Review validation checks on sheet</v>
      </c>
      <c r="D47" s="1618" t="str">
        <f>IF($B$3="Select company","",IF((SUM('4L'!AN45:AP47))&gt;0,"Review validation checks on sheet","No issues identified"))</f>
        <v>No issues identified</v>
      </c>
      <c r="E47" s="1616" t="str">
        <f>+'4L'!B54</f>
        <v>Please refer to RAG 4.08 - Guideline for the table definitions in the annual performance report for the reporting year 2018-19</v>
      </c>
    </row>
    <row r="48" spans="1:5" ht="19.5" customHeight="1">
      <c r="B48" s="422" t="str">
        <f>+'4M'!B1</f>
        <v>4M - Enhancement expenditure by purpose - Wholesale wastewater</v>
      </c>
      <c r="C48" s="17" t="str">
        <f>IF($B$3="Select company","",IF(G3="WoC","",IF((SUM('4M'!AC8:AV51))&gt;0,"Review validation checks on sheet","No issues identified")))</f>
        <v>Review validation checks on sheet</v>
      </c>
      <c r="D48" s="1618" t="str">
        <f>IF($B$3="Select company","",IF(G3="WoC","",IF((SUM('4M'!AV52:AX53))&gt;0,"Review validation checks on sheet","No issues identified")))</f>
        <v>No issues identified</v>
      </c>
      <c r="E48" s="1616" t="str">
        <f>+'4M'!B61</f>
        <v>Please refer to RAG 4.08 - Guideline for the table definitions in the annual performance report for the reporting year 2018-19</v>
      </c>
    </row>
    <row r="49" spans="1:5" ht="19.5" customHeight="1">
      <c r="B49" s="422" t="str">
        <f>+'4N'!B1</f>
        <v>4N - Sewage treatment - Functional expenditure</v>
      </c>
      <c r="C49" s="17" t="str">
        <f>IF($B$3="Select company","",IF(G3="WoC","",IF((SUM('4N'!L6:N21))&gt;0,"Review validation checks on sheet","No issues identified")))</f>
        <v>Review validation checks on sheet</v>
      </c>
      <c r="D49" s="1622"/>
      <c r="E49" s="1616" t="str">
        <f>+'4N'!B30</f>
        <v>Please refer to RAG 4.08 - Guideline for the table definitions in the annual performance report for the reporting year 2018-19</v>
      </c>
    </row>
    <row r="50" spans="1:5" ht="19.5" customHeight="1">
      <c r="B50" s="422" t="str">
        <f>+'4O'!B1</f>
        <v>4O - Large sewage treatment works - Wholesale wastewater</v>
      </c>
      <c r="C50" s="1622"/>
      <c r="D50" s="1622"/>
      <c r="E50" s="1616" t="str">
        <f>+'4O'!B32</f>
        <v>Please refer to RAG 4.08 - Guideline for the table definitions in the annual performance report for the reporting year 2018-19</v>
      </c>
    </row>
    <row r="51" spans="1:5" ht="19.5" customHeight="1">
      <c r="B51" s="422" t="str">
        <f>+'4P'!B1</f>
        <v>4P - Non-financial data for WR, WT and WD - Wholesale water</v>
      </c>
      <c r="C51" s="17" t="str">
        <f>IF($B$3="Select company","",IF((SUM('4P'!L6:N123))&gt;0,"Review validation checks on sheet","No issues identified"))</f>
        <v>Review validation checks on sheet</v>
      </c>
      <c r="D51" s="1618" t="str">
        <f>IF($B$3="Select company","",IF((SUM('4P'!N13:P13))&gt;0,"Review validation checks on sheet","No issues identified"))</f>
        <v>Review validation checks on sheet</v>
      </c>
      <c r="E51" s="1616" t="str">
        <f>+'4P'!B132</f>
        <v>Please refer to RAG 4.08 - Guideline for the table definitions in the annual performance report for the reporting year 2018-19</v>
      </c>
    </row>
    <row r="52" spans="1:5" ht="19.5" customHeight="1">
      <c r="B52" s="422" t="str">
        <f>+'4Q'!B1</f>
        <v>4Q - Non-financial data - Properties, population and other - Wholesale water</v>
      </c>
      <c r="C52" s="17" t="str">
        <f>IF($B$3="Select company","",IF((SUM('4Q'!L6:N37))&gt;0,"Review validation checks on sheet","No issues identified"))</f>
        <v>Review validation checks on sheet</v>
      </c>
      <c r="D52" s="1622"/>
      <c r="E52" s="1616" t="str">
        <f>+'4Q'!B46</f>
        <v>Please refer to RAG 4.08 - Guideline for the table definitions in the annual performance report for the reporting year 2018-19</v>
      </c>
    </row>
    <row r="53" spans="1:5" ht="19.5" customHeight="1">
      <c r="B53" s="422" t="str">
        <f>+'4R'!B1</f>
        <v>4R - Non-financial data - Wastewater network and sludge - Wholesale wastewater</v>
      </c>
      <c r="C53" s="17" t="str">
        <f>IF($B$3="Select company","",IF(G3="WoC","",IF((SUM('4R'!L6:N55))&gt;0,"Review validation checks on sheet","No issues identified")))</f>
        <v>Review validation checks on sheet</v>
      </c>
      <c r="D53" s="1622"/>
      <c r="E53" s="1616" t="str">
        <f>+'4R'!B64</f>
        <v>Please refer to RAG 4.08 - Guideline for the table definitions in the annual performance report for the reporting year 2018-19</v>
      </c>
    </row>
    <row r="54" spans="1:5" ht="19.5" customHeight="1">
      <c r="B54" s="422" t="str">
        <f>+'4S'!B1</f>
        <v>4S - Non-financial data - sewage treatment - Wholesale wastewater</v>
      </c>
      <c r="C54" s="17" t="str">
        <f>IF($B$3="Select company","",IF(G3="WoC","",IF((SUM('4S'!AK8:BL38))&gt;0,"Review validation checks on sheet","No issues identified")))</f>
        <v>Review validation checks on sheet</v>
      </c>
      <c r="D54" s="1622"/>
      <c r="E54" s="1616" t="str">
        <f>+'4S'!B47</f>
        <v>Please refer to RAG 4.08 - Guideline for the table definitions in the annual performance report for the reporting year 2018-19</v>
      </c>
    </row>
    <row r="55" spans="1:5" ht="19.5" customHeight="1">
      <c r="B55" s="422" t="str">
        <f>+'4T'!B1</f>
        <v>4T - Non-financial data - sludge treatment - Wholesale wastewater</v>
      </c>
      <c r="C55" s="17" t="str">
        <f>IF($B$3="Select company","",IF(G3="WoC","",IF((SUM('4T'!M6:P21))&gt;0,"Review validation checks on sheet","No issues identified")))</f>
        <v>Review validation checks on sheet</v>
      </c>
      <c r="D55" s="1618" t="str">
        <f>IF($B$3="Select company","",IF(G3="WoC","",IF((SUM('4T'!P14:R22))&gt;0,"Review validation checks on sheet","No issues identified")))</f>
        <v>Review validation checks on sheet</v>
      </c>
      <c r="E55" s="1616" t="str">
        <f>+'4T'!B31</f>
        <v>Please refer to RAG 4.08 - Guideline for the table definitions in the annual performance report for the reporting year 2018-19</v>
      </c>
    </row>
    <row r="56" spans="1:5" ht="19.5" customHeight="1">
      <c r="B56" s="422" t="str">
        <f>+'4U'!B1</f>
        <v>4U - Non-financial data - Properties, population and other - Wholesale wastewater</v>
      </c>
      <c r="C56" s="17" t="str">
        <f>IF($B$3="Select company","",IF((SUM('4U'!L6:N31))&gt;0,"Review validation checks on sheet","No issues identified"))</f>
        <v>Review validation checks on sheet</v>
      </c>
      <c r="D56" s="1622"/>
      <c r="E56" s="1616" t="str">
        <f>+'4U'!B40</f>
        <v>Please refer to RAG 4.08 - Guideline for the table definitions in the annual performance report for the reporting year 2018-19</v>
      </c>
    </row>
    <row r="57" spans="1:5" ht="19.5" customHeight="1">
      <c r="B57" s="422" t="str">
        <f>+'4V'!B1</f>
        <v xml:space="preserve">4V - Operating cost analysis - water resources </v>
      </c>
      <c r="C57" s="17" t="str">
        <f>IF($B$3="Select company","",IF((SUM('4V'!S7:AA36))&gt;0,"Review validation checks on sheet","No issues identified"))</f>
        <v>Review validation checks on sheet</v>
      </c>
      <c r="D57" s="1618" t="str">
        <f>IF($B$3="Select company","",IF((SUM('4V'!AA18:AC34))&gt;0,"Review validation checks on sheet","No issues identified"))</f>
        <v>No issues identified</v>
      </c>
      <c r="E57" s="1616" t="str">
        <f>+'4V'!B45</f>
        <v>Please refer to RAG 4.08 - Guideline for the table definitions in the annual performance report for the reporting year 2018-19</v>
      </c>
    </row>
    <row r="58" spans="1:5" ht="19.5" customHeight="1" thickBot="1">
      <c r="B58" s="423" t="str">
        <f>+'4W'!B1</f>
        <v>4W - Operating cost analysis - sludge transport, treatment and disposal</v>
      </c>
      <c r="C58" s="18" t="str">
        <f>IF($B$3="Select company","",IF(G3="WoC","",IF((SUM('4W'!T6:AC68))&gt;0,"Review validation checks on sheet","No issues identified")))</f>
        <v>Review validation checks on sheet</v>
      </c>
      <c r="D58" s="1674" t="str">
        <f>IF($B$3="Select company","",IF(G3="WoC","",IF((SUM('4W'!AC17:AE49))&gt;0,"Review validation checks on sheet","No issues identified")))</f>
        <v>No issues identified</v>
      </c>
      <c r="E58" s="1623" t="str">
        <f>+'4W'!B77</f>
        <v>Please refer to RAG 4.08 - Guideline for the table definitions in the annual performance report for the reporting year 2018-19</v>
      </c>
    </row>
    <row r="59" spans="1:5" ht="15" thickBot="1"/>
    <row r="60" spans="1:5" s="496" customFormat="1" ht="26.25" thickBot="1">
      <c r="A60" s="10"/>
      <c r="B60" s="22" t="s">
        <v>2525</v>
      </c>
      <c r="C60" s="12" t="s">
        <v>2389</v>
      </c>
      <c r="D60" s="13" t="s">
        <v>2390</v>
      </c>
      <c r="E60" s="14" t="s">
        <v>2391</v>
      </c>
    </row>
    <row r="61" spans="1:5" s="496" customFormat="1" ht="20.25" customHeight="1" thickBot="1">
      <c r="A61" s="16"/>
      <c r="B61" s="1609" t="str">
        <f>+Bioresources!B1</f>
        <v>Bidding activity: bioresources market</v>
      </c>
      <c r="C61" s="1610" t="str">
        <f>IF($B$3="Select company","",IF(G3="WoC","",IF((SUM(Bioresources!K6:M41))&gt;0,"Review validation checks on sheet","No issues identified")))</f>
        <v>Review validation checks on sheet</v>
      </c>
      <c r="D61" s="1611"/>
      <c r="E61" s="2474" t="str">
        <f ca="1">+Bioresources!B49</f>
        <v>Bioresources - Line definitions</v>
      </c>
    </row>
  </sheetData>
  <mergeCells count="1">
    <mergeCell ref="B5:E5"/>
  </mergeCells>
  <conditionalFormatting sqref="C36:C43 C8:C12 D43 D16 C24:D25 D39:D41 C16:C24">
    <cfRule type="cellIs" dxfId="2939" priority="137" operator="equal">
      <formula>"Review validation checks on sheet"</formula>
    </cfRule>
  </conditionalFormatting>
  <conditionalFormatting sqref="C23:D23 C40:D40 C61:D61">
    <cfRule type="expression" dxfId="2938" priority="136">
      <formula>$H$3=1</formula>
    </cfRule>
  </conditionalFormatting>
  <conditionalFormatting sqref="D30:D31">
    <cfRule type="cellIs" dxfId="2937" priority="127" operator="equal">
      <formula>"Review validation checks on sheet"</formula>
    </cfRule>
  </conditionalFormatting>
  <conditionalFormatting sqref="D22">
    <cfRule type="cellIs" dxfId="2936" priority="134" operator="equal">
      <formula>"Review validation checks on sheet"</formula>
    </cfRule>
  </conditionalFormatting>
  <conditionalFormatting sqref="D23">
    <cfRule type="cellIs" dxfId="2935" priority="133" operator="equal">
      <formula>"Review validation checks on sheet"</formula>
    </cfRule>
  </conditionalFormatting>
  <conditionalFormatting sqref="D23">
    <cfRule type="expression" dxfId="2934" priority="132">
      <formula>$H$3=1</formula>
    </cfRule>
  </conditionalFormatting>
  <conditionalFormatting sqref="C8:D12 C36:D43 C16:D25">
    <cfRule type="containsBlanks" dxfId="2933" priority="131">
      <formula>LEN(TRIM(C8))=0</formula>
    </cfRule>
  </conditionalFormatting>
  <conditionalFormatting sqref="D29:D31 C30:D31">
    <cfRule type="cellIs" dxfId="2932" priority="128" operator="equal">
      <formula>"Review validation checks on sheet"</formula>
    </cfRule>
  </conditionalFormatting>
  <conditionalFormatting sqref="C29:D31">
    <cfRule type="containsBlanks" dxfId="2931" priority="125">
      <formula>LEN(TRIM(C29))=0</formula>
    </cfRule>
    <cfRule type="cellIs" dxfId="2930" priority="130" operator="equal">
      <formula>"Review validation checks on sheet"</formula>
    </cfRule>
  </conditionalFormatting>
  <conditionalFormatting sqref="D42">
    <cfRule type="cellIs" dxfId="2929" priority="124" operator="equal">
      <formula>"Review validation checks on sheet"</formula>
    </cfRule>
  </conditionalFormatting>
  <conditionalFormatting sqref="D17">
    <cfRule type="cellIs" dxfId="2928" priority="123" operator="equal">
      <formula>"Review validation checks on sheet"</formula>
    </cfRule>
  </conditionalFormatting>
  <conditionalFormatting sqref="D17">
    <cfRule type="cellIs" dxfId="2927" priority="122" operator="equal">
      <formula>"Review validation checks on sheet"</formula>
    </cfRule>
  </conditionalFormatting>
  <conditionalFormatting sqref="D19">
    <cfRule type="cellIs" dxfId="2926" priority="121" operator="equal">
      <formula>"Review validation checks on sheet"</formula>
    </cfRule>
  </conditionalFormatting>
  <conditionalFormatting sqref="D19">
    <cfRule type="cellIs" dxfId="2925" priority="120" operator="equal">
      <formula>"Review validation checks on sheet"</formula>
    </cfRule>
  </conditionalFormatting>
  <conditionalFormatting sqref="C25:D25">
    <cfRule type="cellIs" dxfId="2924" priority="119" operator="equal">
      <formula>"Review validation checks on sheet"</formula>
    </cfRule>
  </conditionalFormatting>
  <conditionalFormatting sqref="C25:D25">
    <cfRule type="containsBlanks" dxfId="2923" priority="118">
      <formula>LEN(TRIM(C25))=0</formula>
    </cfRule>
  </conditionalFormatting>
  <conditionalFormatting sqref="D24">
    <cfRule type="cellIs" dxfId="2922" priority="116" operator="equal">
      <formula>"Review validation checks on sheet"</formula>
    </cfRule>
  </conditionalFormatting>
  <conditionalFormatting sqref="D33">
    <cfRule type="cellIs" dxfId="2921" priority="114" operator="equal">
      <formula>"Review validation checks on sheet"</formula>
    </cfRule>
  </conditionalFormatting>
  <conditionalFormatting sqref="D33">
    <cfRule type="containsBlanks" dxfId="2920" priority="113">
      <formula>LEN(TRIM(D33))=0</formula>
    </cfRule>
  </conditionalFormatting>
  <conditionalFormatting sqref="D33">
    <cfRule type="cellIs" dxfId="2919" priority="112" operator="equal">
      <formula>"Review validation checks on sheet"</formula>
    </cfRule>
  </conditionalFormatting>
  <conditionalFormatting sqref="D33">
    <cfRule type="containsBlanks" dxfId="2918" priority="111">
      <formula>LEN(TRIM(D33))=0</formula>
    </cfRule>
  </conditionalFormatting>
  <conditionalFormatting sqref="C32:D32">
    <cfRule type="cellIs" dxfId="2917" priority="109" operator="equal">
      <formula>"Review validation checks on sheet"</formula>
    </cfRule>
  </conditionalFormatting>
  <conditionalFormatting sqref="D32">
    <cfRule type="cellIs" dxfId="2916" priority="108" operator="equal">
      <formula>"Review validation checks on sheet"</formula>
    </cfRule>
  </conditionalFormatting>
  <conditionalFormatting sqref="C32:D32">
    <cfRule type="containsBlanks" dxfId="2915" priority="107">
      <formula>LEN(TRIM(C32))=0</formula>
    </cfRule>
    <cfRule type="cellIs" dxfId="2914" priority="110" operator="equal">
      <formula>"Review validation checks on sheet"</formula>
    </cfRule>
  </conditionalFormatting>
  <conditionalFormatting sqref="D49:D50 D52:D54 D56">
    <cfRule type="cellIs" dxfId="2913" priority="106" operator="equal">
      <formula>"Review validation checks on sheet"</formula>
    </cfRule>
  </conditionalFormatting>
  <conditionalFormatting sqref="D49:D50 D52:D54 D56">
    <cfRule type="containsBlanks" dxfId="2912" priority="105">
      <formula>LEN(TRIM(D49))=0</formula>
    </cfRule>
  </conditionalFormatting>
  <conditionalFormatting sqref="D49:D50 D52:D54 D56">
    <cfRule type="cellIs" dxfId="2911" priority="104" operator="equal">
      <formula>"Review validation checks on sheet"</formula>
    </cfRule>
  </conditionalFormatting>
  <conditionalFormatting sqref="D49:D50 D52:D54 D56">
    <cfRule type="containsBlanks" dxfId="2910" priority="103">
      <formula>LEN(TRIM(D49))=0</formula>
    </cfRule>
  </conditionalFormatting>
  <conditionalFormatting sqref="C44:D44">
    <cfRule type="cellIs" dxfId="2909" priority="102" operator="equal">
      <formula>"Review validation checks on sheet"</formula>
    </cfRule>
  </conditionalFormatting>
  <conditionalFormatting sqref="C44:D44">
    <cfRule type="containsBlanks" dxfId="2908" priority="101">
      <formula>LEN(TRIM(C44))=0</formula>
    </cfRule>
  </conditionalFormatting>
  <conditionalFormatting sqref="D49:D50 D52:D54 D56">
    <cfRule type="cellIs" dxfId="2907" priority="100" operator="equal">
      <formula>"Review validation checks on sheet"</formula>
    </cfRule>
  </conditionalFormatting>
  <conditionalFormatting sqref="D49:D50 D52:D54 D56">
    <cfRule type="containsBlanks" dxfId="2906" priority="99">
      <formula>LEN(TRIM(D49))=0</formula>
    </cfRule>
  </conditionalFormatting>
  <conditionalFormatting sqref="C33">
    <cfRule type="cellIs" dxfId="2905" priority="92" operator="equal">
      <formula>"Review validation checks on sheet"</formula>
    </cfRule>
  </conditionalFormatting>
  <conditionalFormatting sqref="C33">
    <cfRule type="containsBlanks" dxfId="2904" priority="91">
      <formula>LEN(TRIM(C33))=0</formula>
    </cfRule>
  </conditionalFormatting>
  <conditionalFormatting sqref="C33">
    <cfRule type="cellIs" dxfId="2903" priority="90" operator="equal">
      <formula>"Review validation checks on sheet"</formula>
    </cfRule>
  </conditionalFormatting>
  <conditionalFormatting sqref="C33">
    <cfRule type="containsBlanks" dxfId="2902" priority="89">
      <formula>LEN(TRIM(C33))=0</formula>
    </cfRule>
  </conditionalFormatting>
  <conditionalFormatting sqref="C24">
    <cfRule type="cellIs" dxfId="2901" priority="94" operator="equal">
      <formula>"Review validation checks on sheet"</formula>
    </cfRule>
  </conditionalFormatting>
  <conditionalFormatting sqref="C24">
    <cfRule type="containsBlanks" dxfId="2900" priority="93">
      <formula>LEN(TRIM(C24))=0</formula>
    </cfRule>
  </conditionalFormatting>
  <conditionalFormatting sqref="C45">
    <cfRule type="cellIs" dxfId="2899" priority="82" operator="equal">
      <formula>"Review validation checks on sheet"</formula>
    </cfRule>
  </conditionalFormatting>
  <conditionalFormatting sqref="C45">
    <cfRule type="containsBlanks" dxfId="2898" priority="81">
      <formula>LEN(TRIM(C45))=0</formula>
    </cfRule>
  </conditionalFormatting>
  <conditionalFormatting sqref="C46">
    <cfRule type="cellIs" dxfId="2897" priority="80" operator="equal">
      <formula>"Review validation checks on sheet"</formula>
    </cfRule>
  </conditionalFormatting>
  <conditionalFormatting sqref="C46">
    <cfRule type="containsBlanks" dxfId="2896" priority="79">
      <formula>LEN(TRIM(C46))=0</formula>
    </cfRule>
  </conditionalFormatting>
  <conditionalFormatting sqref="C47">
    <cfRule type="cellIs" dxfId="2895" priority="78" operator="equal">
      <formula>"Review validation checks on sheet"</formula>
    </cfRule>
  </conditionalFormatting>
  <conditionalFormatting sqref="C47">
    <cfRule type="containsBlanks" dxfId="2894" priority="77">
      <formula>LEN(TRIM(C47))=0</formula>
    </cfRule>
  </conditionalFormatting>
  <conditionalFormatting sqref="C48">
    <cfRule type="cellIs" dxfId="2893" priority="76" operator="equal">
      <formula>"Review validation checks on sheet"</formula>
    </cfRule>
  </conditionalFormatting>
  <conditionalFormatting sqref="C48">
    <cfRule type="containsBlanks" dxfId="2892" priority="75">
      <formula>LEN(TRIM(C48))=0</formula>
    </cfRule>
  </conditionalFormatting>
  <conditionalFormatting sqref="C49">
    <cfRule type="cellIs" dxfId="2891" priority="74" operator="equal">
      <formula>"Review validation checks on sheet"</formula>
    </cfRule>
  </conditionalFormatting>
  <conditionalFormatting sqref="C49">
    <cfRule type="containsBlanks" dxfId="2890" priority="73">
      <formula>LEN(TRIM(C49))=0</formula>
    </cfRule>
  </conditionalFormatting>
  <conditionalFormatting sqref="C51">
    <cfRule type="cellIs" dxfId="2889" priority="70" operator="equal">
      <formula>"Review validation checks on sheet"</formula>
    </cfRule>
  </conditionalFormatting>
  <conditionalFormatting sqref="C51">
    <cfRule type="containsBlanks" dxfId="2888" priority="69">
      <formula>LEN(TRIM(C51))=0</formula>
    </cfRule>
  </conditionalFormatting>
  <conditionalFormatting sqref="C52">
    <cfRule type="cellIs" dxfId="2887" priority="68" operator="equal">
      <formula>"Review validation checks on sheet"</formula>
    </cfRule>
  </conditionalFormatting>
  <conditionalFormatting sqref="C52">
    <cfRule type="containsBlanks" dxfId="2886" priority="67">
      <formula>LEN(TRIM(C52))=0</formula>
    </cfRule>
  </conditionalFormatting>
  <conditionalFormatting sqref="C53">
    <cfRule type="cellIs" dxfId="2885" priority="64" operator="equal">
      <formula>"Review validation checks on sheet"</formula>
    </cfRule>
  </conditionalFormatting>
  <conditionalFormatting sqref="C53">
    <cfRule type="containsBlanks" dxfId="2884" priority="63">
      <formula>LEN(TRIM(C53))=0</formula>
    </cfRule>
  </conditionalFormatting>
  <conditionalFormatting sqref="C54">
    <cfRule type="cellIs" dxfId="2883" priority="62" operator="equal">
      <formula>"Review validation checks on sheet"</formula>
    </cfRule>
  </conditionalFormatting>
  <conditionalFormatting sqref="C54">
    <cfRule type="containsBlanks" dxfId="2882" priority="61">
      <formula>LEN(TRIM(C54))=0</formula>
    </cfRule>
  </conditionalFormatting>
  <conditionalFormatting sqref="C55">
    <cfRule type="cellIs" dxfId="2881" priority="60" operator="equal">
      <formula>"Review validation checks on sheet"</formula>
    </cfRule>
  </conditionalFormatting>
  <conditionalFormatting sqref="C55">
    <cfRule type="containsBlanks" dxfId="2880" priority="59">
      <formula>LEN(TRIM(C55))=0</formula>
    </cfRule>
  </conditionalFormatting>
  <conditionalFormatting sqref="C56">
    <cfRule type="cellIs" dxfId="2879" priority="58" operator="equal">
      <formula>"Review validation checks on sheet"</formula>
    </cfRule>
  </conditionalFormatting>
  <conditionalFormatting sqref="C56">
    <cfRule type="containsBlanks" dxfId="2878" priority="57">
      <formula>LEN(TRIM(C56))=0</formula>
    </cfRule>
  </conditionalFormatting>
  <conditionalFormatting sqref="C57">
    <cfRule type="cellIs" dxfId="2877" priority="56" operator="equal">
      <formula>"Review validation checks on sheet"</formula>
    </cfRule>
  </conditionalFormatting>
  <conditionalFormatting sqref="C57">
    <cfRule type="containsBlanks" dxfId="2876" priority="55">
      <formula>LEN(TRIM(C57))=0</formula>
    </cfRule>
  </conditionalFormatting>
  <conditionalFormatting sqref="C58">
    <cfRule type="cellIs" dxfId="2875" priority="54" operator="equal">
      <formula>"Review validation checks on sheet"</formula>
    </cfRule>
  </conditionalFormatting>
  <conditionalFormatting sqref="C58">
    <cfRule type="containsBlanks" dxfId="2874" priority="53">
      <formula>LEN(TRIM(C58))=0</formula>
    </cfRule>
  </conditionalFormatting>
  <conditionalFormatting sqref="C61">
    <cfRule type="cellIs" dxfId="2873" priority="52" operator="equal">
      <formula>"Review validation checks on sheet"</formula>
    </cfRule>
  </conditionalFormatting>
  <conditionalFormatting sqref="C61:D61">
    <cfRule type="containsBlanks" dxfId="2872" priority="51">
      <formula>LEN(TRIM(C61))=0</formula>
    </cfRule>
  </conditionalFormatting>
  <conditionalFormatting sqref="D25">
    <cfRule type="cellIs" dxfId="2871" priority="49" operator="equal">
      <formula>"Review validation checks on sheet"</formula>
    </cfRule>
  </conditionalFormatting>
  <conditionalFormatting sqref="D12">
    <cfRule type="cellIs" dxfId="2870" priority="47" operator="equal">
      <formula>"Review validation checks on sheet"</formula>
    </cfRule>
  </conditionalFormatting>
  <conditionalFormatting sqref="D12">
    <cfRule type="cellIs" dxfId="2869" priority="46" operator="equal">
      <formula>"Review validation checks on sheet"</formula>
    </cfRule>
  </conditionalFormatting>
  <conditionalFormatting sqref="D12">
    <cfRule type="cellIs" dxfId="2868" priority="45" operator="equal">
      <formula>"Review validation checks on sheet"</formula>
    </cfRule>
  </conditionalFormatting>
  <conditionalFormatting sqref="D12">
    <cfRule type="cellIs" dxfId="2867" priority="44" operator="equal">
      <formula>"Review validation checks on sheet"</formula>
    </cfRule>
  </conditionalFormatting>
  <conditionalFormatting sqref="D12">
    <cfRule type="containsBlanks" dxfId="2866" priority="43">
      <formula>LEN(TRIM(D12))=0</formula>
    </cfRule>
  </conditionalFormatting>
  <conditionalFormatting sqref="D12">
    <cfRule type="cellIs" dxfId="2865" priority="41" operator="equal">
      <formula>"Review validation checks on sheet"</formula>
    </cfRule>
  </conditionalFormatting>
  <conditionalFormatting sqref="D12">
    <cfRule type="cellIs" dxfId="2864" priority="39" operator="equal">
      <formula>"Review validation checks on sheet"</formula>
    </cfRule>
  </conditionalFormatting>
  <conditionalFormatting sqref="D45">
    <cfRule type="cellIs" dxfId="2863" priority="38" operator="equal">
      <formula>"Review validation checks on sheet"</formula>
    </cfRule>
  </conditionalFormatting>
  <conditionalFormatting sqref="D45">
    <cfRule type="containsBlanks" dxfId="2862" priority="37">
      <formula>LEN(TRIM(D45))=0</formula>
    </cfRule>
  </conditionalFormatting>
  <conditionalFormatting sqref="D46">
    <cfRule type="cellIs" dxfId="2861" priority="36" operator="equal">
      <formula>"Review validation checks on sheet"</formula>
    </cfRule>
  </conditionalFormatting>
  <conditionalFormatting sqref="D46">
    <cfRule type="containsBlanks" dxfId="2860" priority="35">
      <formula>LEN(TRIM(D46))=0</formula>
    </cfRule>
  </conditionalFormatting>
  <conditionalFormatting sqref="D47">
    <cfRule type="cellIs" dxfId="2859" priority="34" operator="equal">
      <formula>"Review validation checks on sheet"</formula>
    </cfRule>
  </conditionalFormatting>
  <conditionalFormatting sqref="D47">
    <cfRule type="containsBlanks" dxfId="2858" priority="33">
      <formula>LEN(TRIM(D47))=0</formula>
    </cfRule>
  </conditionalFormatting>
  <conditionalFormatting sqref="D48">
    <cfRule type="cellIs" dxfId="2857" priority="32" operator="equal">
      <formula>"Review validation checks on sheet"</formula>
    </cfRule>
  </conditionalFormatting>
  <conditionalFormatting sqref="D48">
    <cfRule type="containsBlanks" dxfId="2856" priority="31">
      <formula>LEN(TRIM(D48))=0</formula>
    </cfRule>
  </conditionalFormatting>
  <conditionalFormatting sqref="D51">
    <cfRule type="cellIs" dxfId="2855" priority="30" operator="equal">
      <formula>"Review validation checks on sheet"</formula>
    </cfRule>
  </conditionalFormatting>
  <conditionalFormatting sqref="D51">
    <cfRule type="containsBlanks" dxfId="2854" priority="29">
      <formula>LEN(TRIM(D51))=0</formula>
    </cfRule>
  </conditionalFormatting>
  <conditionalFormatting sqref="D55">
    <cfRule type="cellIs" dxfId="2853" priority="28" operator="equal">
      <formula>"Review validation checks on sheet"</formula>
    </cfRule>
  </conditionalFormatting>
  <conditionalFormatting sqref="D55">
    <cfRule type="containsBlanks" dxfId="2852" priority="27">
      <formula>LEN(TRIM(D55))=0</formula>
    </cfRule>
  </conditionalFormatting>
  <conditionalFormatting sqref="D57">
    <cfRule type="cellIs" dxfId="2851" priority="26" operator="equal">
      <formula>"Review validation checks on sheet"</formula>
    </cfRule>
  </conditionalFormatting>
  <conditionalFormatting sqref="D57">
    <cfRule type="containsBlanks" dxfId="2850" priority="25">
      <formula>LEN(TRIM(D57))=0</formula>
    </cfRule>
  </conditionalFormatting>
  <conditionalFormatting sqref="D58">
    <cfRule type="cellIs" dxfId="2849" priority="24" operator="equal">
      <formula>"Review validation checks on sheet"</formula>
    </cfRule>
  </conditionalFormatting>
  <conditionalFormatting sqref="D58">
    <cfRule type="containsBlanks" dxfId="2848" priority="23">
      <formula>LEN(TRIM(D58))=0</formula>
    </cfRule>
  </conditionalFormatting>
  <conditionalFormatting sqref="C50">
    <cfRule type="cellIs" dxfId="2847" priority="22" operator="equal">
      <formula>"Review validation checks on sheet"</formula>
    </cfRule>
  </conditionalFormatting>
  <conditionalFormatting sqref="C50">
    <cfRule type="containsBlanks" dxfId="2846" priority="21">
      <formula>LEN(TRIM(C50))=0</formula>
    </cfRule>
  </conditionalFormatting>
  <conditionalFormatting sqref="C50">
    <cfRule type="cellIs" dxfId="2845" priority="20" operator="equal">
      <formula>"Review validation checks on sheet"</formula>
    </cfRule>
  </conditionalFormatting>
  <conditionalFormatting sqref="C50">
    <cfRule type="containsBlanks" dxfId="2844" priority="19">
      <formula>LEN(TRIM(C50))=0</formula>
    </cfRule>
  </conditionalFormatting>
  <conditionalFormatting sqref="C50">
    <cfRule type="cellIs" dxfId="2843" priority="18" operator="equal">
      <formula>"Review validation checks on sheet"</formula>
    </cfRule>
  </conditionalFormatting>
  <conditionalFormatting sqref="C50">
    <cfRule type="containsBlanks" dxfId="2842" priority="17">
      <formula>LEN(TRIM(C50))=0</formula>
    </cfRule>
  </conditionalFormatting>
  <conditionalFormatting sqref="C13">
    <cfRule type="cellIs" dxfId="2841" priority="16" operator="equal">
      <formula>"Review validation checks on sheet"</formula>
    </cfRule>
  </conditionalFormatting>
  <conditionalFormatting sqref="C13">
    <cfRule type="containsBlanks" dxfId="2840" priority="15">
      <formula>LEN(TRIM(C13))=0</formula>
    </cfRule>
  </conditionalFormatting>
  <conditionalFormatting sqref="C26">
    <cfRule type="cellIs" dxfId="2839" priority="6" operator="equal">
      <formula>"Review validation checks on sheet"</formula>
    </cfRule>
  </conditionalFormatting>
  <conditionalFormatting sqref="C26">
    <cfRule type="cellIs" dxfId="2838" priority="4" operator="equal">
      <formula>"Review validation checks on sheet"</formula>
    </cfRule>
  </conditionalFormatting>
  <conditionalFormatting sqref="C26">
    <cfRule type="containsBlanks" dxfId="2837" priority="3">
      <formula>LEN(TRIM(C26))=0</formula>
    </cfRule>
  </conditionalFormatting>
  <conditionalFormatting sqref="D13">
    <cfRule type="containsBlanks" dxfId="2836" priority="7">
      <formula>LEN(TRIM(D13))=0</formula>
    </cfRule>
  </conditionalFormatting>
  <conditionalFormatting sqref="C26">
    <cfRule type="containsBlanks" dxfId="2835" priority="5">
      <formula>LEN(TRIM(C26))=0</formula>
    </cfRule>
  </conditionalFormatting>
  <conditionalFormatting sqref="D26">
    <cfRule type="containsBlanks" dxfId="2834" priority="1">
      <formula>LEN(TRIM(D26))=0</formula>
    </cfRule>
  </conditionalFormatting>
  <hyperlinks>
    <hyperlink ref="B8" location="'1A'!B1" display="A1 - table name"/>
    <hyperlink ref="B9" location="'1B'!B1" display="'1B'!B1"/>
    <hyperlink ref="B10" location="'1C'!B1" display="'1C'!B1"/>
    <hyperlink ref="B11" location="'1D'!B1" display="'1D'!B1"/>
    <hyperlink ref="B12" location="'1E'!B1" display="'1E'!B1"/>
    <hyperlink ref="B16" location="'2A'!B1" display="'2A'!B1"/>
    <hyperlink ref="B17" location="'2B'!B1" display="'2B'!B1"/>
    <hyperlink ref="B18" location="'2C'!B1" display="'2C'!B1"/>
    <hyperlink ref="B19" location="'2D'!B1" display="'2D'!B1"/>
    <hyperlink ref="B20" location="'2E'!B1" display="'2E'!B1"/>
    <hyperlink ref="B21" location="'2F'!B1" display="'2F'!B1"/>
    <hyperlink ref="B22" location="'2G'!B1" display="'2G'!B1"/>
    <hyperlink ref="B23" location="'2H'!B1" display="'2H'!B1"/>
    <hyperlink ref="B24" location="'2I'!B1" display="'2I'!B1"/>
    <hyperlink ref="B29" location="'3A'!B1" display="'3A'!B1"/>
    <hyperlink ref="B36" location="'4A'!B1" display="'4A'!B1"/>
    <hyperlink ref="B37" location="'4B'!B1" display="'4B'!B1"/>
    <hyperlink ref="B38" location="'4C'!B1" display="'4C'!B1"/>
    <hyperlink ref="B39" location="'4D'!B1" display="'4D'!B1"/>
    <hyperlink ref="B40" location="'4E'!B1" display="'4E'!B1"/>
    <hyperlink ref="B41" location="'4F'!B1" display="'4F'!B1"/>
    <hyperlink ref="B42" location="'4G'!B1" display="'4G'!B1"/>
    <hyperlink ref="B43" location="'4H'!B1" display="'4H'!B1"/>
    <hyperlink ref="B44" location="'4I'!B1" display="'4I'!B1"/>
    <hyperlink ref="B30" location="'3B'!B1" display="'3B'!B1"/>
    <hyperlink ref="B31" location="'3C'!B1" display="'3C'!B1"/>
    <hyperlink ref="B32" location="'3D'!B1" display="'3D'!B1"/>
    <hyperlink ref="B25" location="'2J'!B1" display="'2J'!B1"/>
    <hyperlink ref="B45" location="'4J'!Print_Area" display="'4J'!Print_Area"/>
    <hyperlink ref="B46" location="'4K'!B1" display="'4K'!B1"/>
    <hyperlink ref="B47" location="'4L'!B1" display="'4L'!B1"/>
    <hyperlink ref="B48" location="'4M'!B1" display="'4M'!B1"/>
    <hyperlink ref="B49" location="'4N'!B1" display="'4N'!B1"/>
    <hyperlink ref="B50" location="'4O'!B1" display="'4O'!B1"/>
    <hyperlink ref="B51" location="'4P'!B1" display="'4P'!B1"/>
    <hyperlink ref="B52" location="'4Q'!B1" display="'4Q'!B1"/>
    <hyperlink ref="B53" location="'4R'!B1" display="'4R'!B1"/>
    <hyperlink ref="B54" location="'4S'!B1" display="'4S'!B1"/>
    <hyperlink ref="B55" location="'4T'!B1" display="'4T'!B1"/>
    <hyperlink ref="B56" location="'4U'!B1" display="'4U'!B1"/>
    <hyperlink ref="B57" location="'4V'!B1" display="'4V'!B1"/>
    <hyperlink ref="B58" location="'4W'!B1" display="'4W'!B1"/>
    <hyperlink ref="B61" location="'4A'!B1" display="'4A'!B1"/>
    <hyperlink ref="E33" location="'3S'!B75" display="'3S'!B75"/>
    <hyperlink ref="B13" location="'1E'!B1" display="'1E'!B1"/>
    <hyperlink ref="B26" location="'2J'!B1" display="'2J'!B1"/>
    <hyperlink ref="E61" location="Bioresources!B49" display="Bioresources!B49"/>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Lists!$B$4:$B$26</xm:f>
          </x14:formula1>
          <xm:sqref>B3</xm:sqref>
        </x14:dataValidation>
      </x14:dataValidations>
    </ext>
  </extLst>
</worksheet>
</file>

<file path=xl/worksheets/sheet40.xml><?xml version="1.0" encoding="utf-8"?>
<worksheet xmlns="http://schemas.openxmlformats.org/spreadsheetml/2006/main" xmlns:r="http://schemas.openxmlformats.org/officeDocument/2006/relationships">
  <sheetPr codeName="Sheet37">
    <pageSetUpPr fitToPage="1"/>
  </sheetPr>
  <dimension ref="A1:AX96"/>
  <sheetViews>
    <sheetView workbookViewId="0"/>
  </sheetViews>
  <sheetFormatPr defaultColWidth="0" defaultRowHeight="14.25" zeroHeight="1"/>
  <cols>
    <col min="1" max="1" width="0.625" style="496" customWidth="1"/>
    <col min="2" max="2" width="5.625" style="496" customWidth="1"/>
    <col min="3" max="3" width="45.125" style="496" customWidth="1"/>
    <col min="4" max="4" width="0.125" style="496" hidden="1" customWidth="1"/>
    <col min="5" max="6" width="5.125" style="496" customWidth="1"/>
    <col min="7" max="13" width="11.125" style="496" customWidth="1"/>
    <col min="14" max="14" width="31.5" style="496" customWidth="1"/>
    <col min="15" max="15" width="2.5" style="496" customWidth="1"/>
    <col min="16" max="16" width="33.5" style="496" customWidth="1"/>
    <col min="17" max="17" width="1" style="86" customWidth="1"/>
    <col min="18" max="18" width="1.625" style="72" hidden="1" customWidth="1"/>
    <col min="19" max="25" width="3.5" style="86" hidden="1" customWidth="1"/>
    <col min="26" max="26" width="1.625" style="72" hidden="1" customWidth="1"/>
    <col min="27" max="27" width="9.625" style="73" hidden="1" customWidth="1"/>
    <col min="28" max="28" width="1.625" style="72" hidden="1" customWidth="1"/>
    <col min="29" max="29" width="8.625" style="496" hidden="1" customWidth="1"/>
    <col min="30" max="30" width="10.125" style="496" hidden="1" customWidth="1"/>
    <col min="31" max="31" width="77" style="496" hidden="1" customWidth="1"/>
    <col min="32" max="32" width="1.625" style="72" hidden="1" customWidth="1"/>
    <col min="33" max="36" width="5.625" style="86" hidden="1" customWidth="1"/>
    <col min="37" max="37" width="5.625" style="86" customWidth="1"/>
    <col min="38" max="38" width="10" style="86" customWidth="1"/>
    <col min="39" max="39" width="51.5" style="86" bestFit="1" customWidth="1"/>
    <col min="40" max="40" width="0.875" style="86" customWidth="1"/>
    <col min="41" max="41" width="12.625" style="86" customWidth="1"/>
    <col min="42" max="42" width="12.5" style="86" customWidth="1"/>
    <col min="43" max="43" width="13.125" style="86" customWidth="1"/>
    <col min="44" max="44" width="14.125" style="86" customWidth="1"/>
    <col min="45" max="45" width="16.625" style="86" bestFit="1" customWidth="1"/>
    <col min="46" max="46" width="15.5" style="86" bestFit="1" customWidth="1"/>
    <col min="47" max="47" width="13.625" style="86" bestFit="1" customWidth="1"/>
    <col min="48" max="49" width="13.125" style="86" bestFit="1" customWidth="1"/>
    <col min="50" max="50" width="12.5" style="86" customWidth="1"/>
    <col min="51" max="16384" width="8.625" style="86" hidden="1"/>
  </cols>
  <sheetData>
    <row r="1" spans="1:49" s="200" customFormat="1" ht="18.75">
      <c r="A1" s="496"/>
      <c r="B1" s="67" t="s">
        <v>4046</v>
      </c>
      <c r="C1" s="67"/>
      <c r="D1" s="67"/>
      <c r="E1" s="67"/>
      <c r="F1" s="67"/>
      <c r="G1" s="67"/>
      <c r="H1" s="67"/>
      <c r="I1" s="67"/>
      <c r="J1" s="67"/>
      <c r="K1" s="67"/>
      <c r="L1" s="67"/>
      <c r="M1" s="67"/>
      <c r="N1" s="69" t="str">
        <f>Validation!B3</f>
        <v>South West Water – South West area</v>
      </c>
      <c r="O1" s="69"/>
      <c r="P1" s="70" t="s">
        <v>2394</v>
      </c>
      <c r="Q1" s="71"/>
      <c r="R1" s="72"/>
      <c r="S1" s="71"/>
      <c r="T1" s="71"/>
      <c r="U1" s="71"/>
      <c r="V1" s="71"/>
      <c r="W1" s="71"/>
      <c r="X1" s="71"/>
      <c r="Y1" s="71"/>
      <c r="Z1" s="72"/>
      <c r="AA1" s="73"/>
      <c r="AB1" s="72"/>
      <c r="AC1" s="496"/>
      <c r="AD1" s="496"/>
      <c r="AE1" s="496"/>
      <c r="AF1" s="72"/>
      <c r="AL1" s="67" t="s">
        <v>4046</v>
      </c>
      <c r="AM1" s="67"/>
      <c r="AN1" s="67"/>
      <c r="AO1" s="67"/>
      <c r="AP1" s="67"/>
      <c r="AQ1" s="67"/>
      <c r="AR1" s="67"/>
      <c r="AS1" s="67"/>
      <c r="AT1" s="67"/>
      <c r="AU1" s="67"/>
      <c r="AV1" s="67"/>
      <c r="AW1" s="67"/>
    </row>
    <row r="2" spans="1:49" s="1508" customFormat="1" ht="15" thickBot="1">
      <c r="A2" s="1504"/>
      <c r="B2" s="74" t="s">
        <v>12524</v>
      </c>
      <c r="C2" s="1505"/>
      <c r="D2" s="1505"/>
      <c r="E2" s="1505"/>
      <c r="F2" s="1505"/>
      <c r="G2" s="1505"/>
      <c r="H2" s="1505"/>
      <c r="I2" s="1505"/>
      <c r="J2" s="1505"/>
      <c r="K2" s="1505"/>
      <c r="L2" s="1505"/>
      <c r="M2" s="1505"/>
      <c r="N2" s="1505"/>
      <c r="O2" s="1506"/>
      <c r="P2" s="176"/>
      <c r="Q2" s="176"/>
      <c r="R2" s="72"/>
      <c r="S2" s="176"/>
      <c r="T2" s="176"/>
      <c r="U2" s="176"/>
      <c r="V2" s="176"/>
      <c r="W2" s="176"/>
      <c r="X2" s="176"/>
      <c r="Y2" s="176"/>
      <c r="Z2" s="72"/>
      <c r="AA2" s="73"/>
      <c r="AB2" s="72"/>
      <c r="AC2" s="496"/>
      <c r="AD2" s="496"/>
      <c r="AE2" s="496"/>
      <c r="AF2" s="72"/>
      <c r="AL2" s="74" t="str">
        <f>+B2</f>
        <v>For the 12 months ended 31 March 2019</v>
      </c>
      <c r="AM2" s="1505"/>
      <c r="AN2" s="1505"/>
      <c r="AO2" s="1505"/>
      <c r="AP2" s="1505"/>
      <c r="AQ2" s="1505"/>
      <c r="AR2" s="1505"/>
      <c r="AS2" s="1505"/>
      <c r="AT2" s="1505"/>
      <c r="AU2" s="1505"/>
      <c r="AV2" s="1505"/>
      <c r="AW2" s="1505"/>
    </row>
    <row r="3" spans="1:49" s="200" customFormat="1" ht="24" customHeight="1" thickBot="1">
      <c r="A3" s="496"/>
      <c r="B3" s="3467" t="s">
        <v>2395</v>
      </c>
      <c r="C3" s="3468"/>
      <c r="D3" s="1799" t="s">
        <v>6495</v>
      </c>
      <c r="E3" s="3204" t="s">
        <v>2396</v>
      </c>
      <c r="F3" s="3206" t="s">
        <v>2397</v>
      </c>
      <c r="G3" s="3231" t="s">
        <v>2746</v>
      </c>
      <c r="H3" s="3233"/>
      <c r="I3" s="3231" t="s">
        <v>3673</v>
      </c>
      <c r="J3" s="3232"/>
      <c r="K3" s="3232"/>
      <c r="L3" s="3233"/>
      <c r="M3" s="3213" t="s">
        <v>2554</v>
      </c>
      <c r="N3" s="3213" t="s">
        <v>4047</v>
      </c>
      <c r="O3" s="71"/>
      <c r="P3" s="3213" t="s">
        <v>1361</v>
      </c>
      <c r="Q3" s="71"/>
      <c r="R3" s="72"/>
      <c r="S3" s="77" t="s">
        <v>2404</v>
      </c>
      <c r="T3" s="78"/>
      <c r="U3" s="77"/>
      <c r="V3" s="77"/>
      <c r="W3" s="1699"/>
      <c r="X3" s="1699"/>
      <c r="Y3" s="1699"/>
      <c r="Z3" s="72"/>
      <c r="AA3" s="1636" t="s">
        <v>2390</v>
      </c>
      <c r="AB3" s="72"/>
      <c r="AC3" s="77" t="s">
        <v>2578</v>
      </c>
      <c r="AD3" s="1636"/>
      <c r="AE3" s="1636"/>
      <c r="AF3" s="72"/>
      <c r="AL3" s="3312" t="s">
        <v>2395</v>
      </c>
      <c r="AM3" s="3313"/>
      <c r="AN3" s="2737" t="s">
        <v>6495</v>
      </c>
      <c r="AO3" s="191" t="s">
        <v>2396</v>
      </c>
      <c r="AP3" s="192" t="s">
        <v>2397</v>
      </c>
      <c r="AQ3" s="3244" t="s">
        <v>2746</v>
      </c>
      <c r="AR3" s="3246"/>
      <c r="AS3" s="3244" t="s">
        <v>3673</v>
      </c>
      <c r="AT3" s="3245"/>
      <c r="AU3" s="3245"/>
      <c r="AV3" s="3245"/>
      <c r="AW3" s="3213" t="s">
        <v>2554</v>
      </c>
    </row>
    <row r="4" spans="1:49" s="200" customFormat="1" ht="26.25" thickBot="1">
      <c r="A4" s="496"/>
      <c r="B4" s="3469"/>
      <c r="C4" s="3470"/>
      <c r="D4" s="1804"/>
      <c r="E4" s="3205"/>
      <c r="F4" s="3207"/>
      <c r="G4" s="1797" t="s">
        <v>2749</v>
      </c>
      <c r="H4" s="1805" t="s">
        <v>2750</v>
      </c>
      <c r="I4" s="388" t="s">
        <v>2751</v>
      </c>
      <c r="J4" s="81" t="s">
        <v>2752</v>
      </c>
      <c r="K4" s="81" t="s">
        <v>2747</v>
      </c>
      <c r="L4" s="1798" t="s">
        <v>2748</v>
      </c>
      <c r="M4" s="3214"/>
      <c r="N4" s="3214"/>
      <c r="O4" s="71"/>
      <c r="P4" s="3214"/>
      <c r="Q4" s="71"/>
      <c r="R4" s="72"/>
      <c r="S4" s="71"/>
      <c r="W4" s="663"/>
      <c r="X4" s="663"/>
      <c r="Y4" s="663"/>
      <c r="Z4" s="72"/>
      <c r="AA4" s="71"/>
      <c r="AB4" s="72"/>
      <c r="AC4" s="71"/>
      <c r="AD4" s="71"/>
      <c r="AE4" s="71"/>
      <c r="AF4" s="72"/>
      <c r="AL4" s="929"/>
      <c r="AM4" s="929"/>
      <c r="AN4" s="929"/>
      <c r="AO4" s="929"/>
      <c r="AP4" s="929"/>
      <c r="AQ4" s="1465" t="s">
        <v>2749</v>
      </c>
      <c r="AR4" s="2726" t="s">
        <v>2750</v>
      </c>
      <c r="AS4" s="1700" t="s">
        <v>2751</v>
      </c>
      <c r="AT4" s="2740" t="s">
        <v>2752</v>
      </c>
      <c r="AU4" s="2740" t="s">
        <v>2747</v>
      </c>
      <c r="AV4" s="930" t="s">
        <v>2748</v>
      </c>
      <c r="AW4" s="3214"/>
    </row>
    <row r="5" spans="1:49" s="200" customFormat="1" ht="15" customHeight="1" thickBot="1">
      <c r="A5" s="86"/>
      <c r="B5" s="931"/>
      <c r="C5" s="931"/>
      <c r="D5" s="931"/>
      <c r="E5" s="929"/>
      <c r="F5" s="929"/>
      <c r="G5" s="932"/>
      <c r="H5" s="932"/>
      <c r="I5" s="932"/>
      <c r="J5" s="932"/>
      <c r="K5" s="932"/>
      <c r="L5" s="932"/>
      <c r="M5" s="932"/>
      <c r="N5" s="932"/>
      <c r="O5" s="932"/>
      <c r="P5"/>
      <c r="Q5" s="71"/>
      <c r="R5" s="72"/>
      <c r="S5" s="71"/>
      <c r="T5" s="90" t="s">
        <v>2405</v>
      </c>
      <c r="U5" s="90"/>
      <c r="V5" s="90"/>
      <c r="W5" s="90"/>
      <c r="X5" s="90"/>
      <c r="Y5" s="90"/>
      <c r="Z5" s="72"/>
      <c r="AA5" s="73"/>
      <c r="AB5" s="72"/>
      <c r="AC5" s="496"/>
      <c r="AD5" s="496"/>
      <c r="AE5" s="496"/>
      <c r="AF5" s="72"/>
      <c r="AL5" s="931"/>
      <c r="AM5" s="931"/>
      <c r="AN5" s="931"/>
      <c r="AO5" s="929"/>
      <c r="AP5" s="929"/>
      <c r="AQ5" s="932"/>
      <c r="AR5" s="932"/>
      <c r="AS5" s="932"/>
      <c r="AT5" s="932"/>
      <c r="AU5" s="932"/>
      <c r="AV5" s="932"/>
      <c r="AW5" s="932"/>
    </row>
    <row r="6" spans="1:49" customFormat="1" ht="15" thickBot="1">
      <c r="A6" s="933"/>
      <c r="B6" s="934" t="s">
        <v>2449</v>
      </c>
      <c r="C6" s="935" t="s">
        <v>4048</v>
      </c>
      <c r="D6" s="936"/>
      <c r="E6" s="936"/>
      <c r="F6" s="936"/>
      <c r="G6" s="936"/>
      <c r="H6" s="936"/>
      <c r="I6" s="933"/>
      <c r="J6" s="933"/>
      <c r="K6" s="933"/>
      <c r="L6" s="933"/>
      <c r="M6" s="933"/>
      <c r="N6" s="933"/>
      <c r="Q6" s="71"/>
      <c r="R6" s="72"/>
      <c r="S6" s="71"/>
      <c r="T6" s="90"/>
      <c r="U6" s="90"/>
      <c r="V6" s="90"/>
      <c r="W6" s="90"/>
      <c r="X6" s="90"/>
      <c r="Y6" s="90"/>
      <c r="Z6" s="72"/>
      <c r="AA6" s="73"/>
      <c r="AB6" s="72"/>
      <c r="AC6" s="496"/>
      <c r="AD6" s="496"/>
      <c r="AE6" s="496"/>
      <c r="AF6" s="72"/>
      <c r="AL6" s="934" t="s">
        <v>2449</v>
      </c>
      <c r="AM6" s="935" t="s">
        <v>4048</v>
      </c>
      <c r="AN6" s="936"/>
      <c r="AO6" s="936"/>
      <c r="AP6" s="936"/>
      <c r="AQ6" s="936"/>
      <c r="AR6" s="936"/>
      <c r="AS6" s="971"/>
      <c r="AT6" s="971"/>
      <c r="AU6" s="971"/>
      <c r="AV6" s="971"/>
      <c r="AW6" s="971"/>
    </row>
    <row r="7" spans="1:49" customFormat="1">
      <c r="A7" s="933"/>
      <c r="B7" s="937" t="s">
        <v>5339</v>
      </c>
      <c r="C7" s="938" t="s">
        <v>2588</v>
      </c>
      <c r="D7" s="938"/>
      <c r="E7" s="939" t="s">
        <v>750</v>
      </c>
      <c r="F7" s="940">
        <v>3</v>
      </c>
      <c r="G7" s="941"/>
      <c r="H7" s="1496"/>
      <c r="I7" s="1488"/>
      <c r="J7" s="942"/>
      <c r="K7" s="942"/>
      <c r="L7" s="982"/>
      <c r="M7" s="943">
        <f>+SUM(G7:L7)</f>
        <v>0</v>
      </c>
      <c r="N7" s="944"/>
      <c r="P7" s="945" t="str">
        <f t="shared" ref="P7:P10" si="0" xml:space="preserve"> IF( SUM( R7:Z7 ) = 0, 0, $T$5 )</f>
        <v>Please complete all cells in row</v>
      </c>
      <c r="Q7" s="946"/>
      <c r="R7" s="72"/>
      <c r="S7" s="71"/>
      <c r="T7" s="98">
        <f t="shared" ref="T7:Y7" si="1" xml:space="preserve"> IF( ISNUMBER( G7 ), 0, 1 )</f>
        <v>1</v>
      </c>
      <c r="U7" s="98">
        <f t="shared" si="1"/>
        <v>1</v>
      </c>
      <c r="V7" s="98">
        <f t="shared" si="1"/>
        <v>1</v>
      </c>
      <c r="W7" s="98">
        <f t="shared" si="1"/>
        <v>1</v>
      </c>
      <c r="X7" s="98">
        <f t="shared" si="1"/>
        <v>1</v>
      </c>
      <c r="Y7" s="98">
        <f t="shared" si="1"/>
        <v>1</v>
      </c>
      <c r="Z7" s="72"/>
      <c r="AA7" s="73"/>
      <c r="AB7" s="72"/>
      <c r="AC7" s="496"/>
      <c r="AD7" s="496"/>
      <c r="AE7" s="496"/>
      <c r="AF7" s="72"/>
      <c r="AL7" s="937" t="s">
        <v>5339</v>
      </c>
      <c r="AM7" s="938" t="s">
        <v>2588</v>
      </c>
      <c r="AN7" s="938"/>
      <c r="AO7" s="939" t="s">
        <v>750</v>
      </c>
      <c r="AP7" s="940">
        <v>3</v>
      </c>
      <c r="AQ7" s="2982" t="s">
        <v>7135</v>
      </c>
      <c r="AR7" s="2983" t="s">
        <v>7136</v>
      </c>
      <c r="AS7" s="2984" t="s">
        <v>7137</v>
      </c>
      <c r="AT7" s="2985" t="s">
        <v>7138</v>
      </c>
      <c r="AU7" s="2985" t="s">
        <v>7139</v>
      </c>
      <c r="AV7" s="2986" t="s">
        <v>7140</v>
      </c>
      <c r="AW7" s="2287" t="s">
        <v>7141</v>
      </c>
    </row>
    <row r="8" spans="1:49" customFormat="1">
      <c r="A8" s="933"/>
      <c r="B8" s="947" t="s">
        <v>5340</v>
      </c>
      <c r="C8" s="948" t="s">
        <v>2589</v>
      </c>
      <c r="D8" s="948"/>
      <c r="E8" s="949" t="s">
        <v>750</v>
      </c>
      <c r="F8" s="950">
        <v>3</v>
      </c>
      <c r="G8" s="951"/>
      <c r="H8" s="1497"/>
      <c r="I8" s="1489"/>
      <c r="J8" s="952"/>
      <c r="K8" s="952"/>
      <c r="L8" s="984"/>
      <c r="M8" s="953">
        <f>+SUM(G8:L8)</f>
        <v>0</v>
      </c>
      <c r="N8" s="954"/>
      <c r="P8" s="945" t="str">
        <f t="shared" si="0"/>
        <v>Please complete all cells in row</v>
      </c>
      <c r="Q8" s="946"/>
      <c r="R8" s="72"/>
      <c r="S8" s="71"/>
      <c r="T8" s="98">
        <f t="shared" ref="T8:T10" si="2" xml:space="preserve"> IF( ISNUMBER( G8 ), 0, 1 )</f>
        <v>1</v>
      </c>
      <c r="U8" s="98">
        <f t="shared" ref="U8:Y10" si="3" xml:space="preserve"> IF( ISNUMBER( H8 ), 0, 1 )</f>
        <v>1</v>
      </c>
      <c r="V8" s="98">
        <f t="shared" si="3"/>
        <v>1</v>
      </c>
      <c r="W8" s="98">
        <f t="shared" si="3"/>
        <v>1</v>
      </c>
      <c r="X8" s="98">
        <f t="shared" si="3"/>
        <v>1</v>
      </c>
      <c r="Y8" s="98">
        <f t="shared" si="3"/>
        <v>1</v>
      </c>
      <c r="Z8" s="72"/>
      <c r="AA8" s="73"/>
      <c r="AB8" s="72"/>
      <c r="AC8" s="23"/>
      <c r="AD8" s="23"/>
      <c r="AE8" s="23"/>
      <c r="AF8" s="72"/>
      <c r="AL8" s="947" t="s">
        <v>5340</v>
      </c>
      <c r="AM8" s="948" t="s">
        <v>2589</v>
      </c>
      <c r="AN8" s="948"/>
      <c r="AO8" s="949" t="s">
        <v>750</v>
      </c>
      <c r="AP8" s="950">
        <v>3</v>
      </c>
      <c r="AQ8" s="2987" t="s">
        <v>7142</v>
      </c>
      <c r="AR8" s="2988" t="s">
        <v>7143</v>
      </c>
      <c r="AS8" s="2989" t="s">
        <v>7144</v>
      </c>
      <c r="AT8" s="2990" t="s">
        <v>7145</v>
      </c>
      <c r="AU8" s="2990" t="s">
        <v>7146</v>
      </c>
      <c r="AV8" s="2991" t="s">
        <v>7147</v>
      </c>
      <c r="AW8" s="2288" t="s">
        <v>7148</v>
      </c>
    </row>
    <row r="9" spans="1:49" customFormat="1">
      <c r="A9" s="933"/>
      <c r="B9" s="947" t="s">
        <v>5341</v>
      </c>
      <c r="C9" s="948" t="s">
        <v>3790</v>
      </c>
      <c r="D9" s="948"/>
      <c r="E9" s="949" t="s">
        <v>750</v>
      </c>
      <c r="F9" s="950">
        <v>3</v>
      </c>
      <c r="G9" s="951"/>
      <c r="H9" s="1497"/>
      <c r="I9" s="1489"/>
      <c r="J9" s="952"/>
      <c r="K9" s="952"/>
      <c r="L9" s="984"/>
      <c r="M9" s="953">
        <f>+SUM(G9:L9)</f>
        <v>0</v>
      </c>
      <c r="N9" s="954"/>
      <c r="P9" s="945" t="str">
        <f t="shared" si="0"/>
        <v>Please complete all cells in row</v>
      </c>
      <c r="Q9" s="946"/>
      <c r="R9" s="72"/>
      <c r="S9" s="71"/>
      <c r="T9" s="98">
        <f t="shared" si="2"/>
        <v>1</v>
      </c>
      <c r="U9" s="98">
        <f t="shared" si="3"/>
        <v>1</v>
      </c>
      <c r="V9" s="98">
        <f t="shared" si="3"/>
        <v>1</v>
      </c>
      <c r="W9" s="98">
        <f t="shared" si="3"/>
        <v>1</v>
      </c>
      <c r="X9" s="98">
        <f t="shared" si="3"/>
        <v>1</v>
      </c>
      <c r="Y9" s="98">
        <f t="shared" si="3"/>
        <v>1</v>
      </c>
      <c r="Z9" s="72"/>
      <c r="AA9" s="73"/>
      <c r="AB9" s="72"/>
      <c r="AC9" s="23"/>
      <c r="AD9" s="23"/>
      <c r="AE9" s="23"/>
      <c r="AF9" s="72"/>
      <c r="AL9" s="947" t="s">
        <v>5341</v>
      </c>
      <c r="AM9" s="948" t="s">
        <v>3790</v>
      </c>
      <c r="AN9" s="948"/>
      <c r="AO9" s="949" t="s">
        <v>750</v>
      </c>
      <c r="AP9" s="950">
        <v>3</v>
      </c>
      <c r="AQ9" s="2987" t="s">
        <v>7149</v>
      </c>
      <c r="AR9" s="2988" t="s">
        <v>7150</v>
      </c>
      <c r="AS9" s="2989" t="s">
        <v>7151</v>
      </c>
      <c r="AT9" s="2990" t="s">
        <v>7152</v>
      </c>
      <c r="AU9" s="2990" t="s">
        <v>7153</v>
      </c>
      <c r="AV9" s="2991" t="s">
        <v>7154</v>
      </c>
      <c r="AW9" s="2288" t="s">
        <v>7155</v>
      </c>
    </row>
    <row r="10" spans="1:49" customFormat="1">
      <c r="A10" s="933"/>
      <c r="B10" s="947" t="s">
        <v>5342</v>
      </c>
      <c r="C10" s="948" t="s">
        <v>3663</v>
      </c>
      <c r="D10" s="948"/>
      <c r="E10" s="949" t="s">
        <v>750</v>
      </c>
      <c r="F10" s="950">
        <v>3</v>
      </c>
      <c r="G10" s="951"/>
      <c r="H10" s="1497"/>
      <c r="I10" s="1489"/>
      <c r="J10" s="952"/>
      <c r="K10" s="952"/>
      <c r="L10" s="984"/>
      <c r="M10" s="953">
        <f>+SUM(G10:L10)</f>
        <v>0</v>
      </c>
      <c r="N10" s="954"/>
      <c r="P10" s="945" t="str">
        <f t="shared" si="0"/>
        <v>Please complete all cells in row</v>
      </c>
      <c r="Q10" s="946"/>
      <c r="R10" s="72"/>
      <c r="S10" s="71"/>
      <c r="T10" s="98">
        <f t="shared" si="2"/>
        <v>1</v>
      </c>
      <c r="U10" s="98">
        <f t="shared" si="3"/>
        <v>1</v>
      </c>
      <c r="V10" s="98">
        <f t="shared" si="3"/>
        <v>1</v>
      </c>
      <c r="W10" s="98">
        <f t="shared" si="3"/>
        <v>1</v>
      </c>
      <c r="X10" s="98">
        <f t="shared" si="3"/>
        <v>1</v>
      </c>
      <c r="Y10" s="98">
        <f t="shared" si="3"/>
        <v>1</v>
      </c>
      <c r="Z10" s="72"/>
      <c r="AA10" s="73"/>
      <c r="AB10" s="72"/>
      <c r="AC10" s="23"/>
      <c r="AD10" s="23"/>
      <c r="AE10" s="23"/>
      <c r="AF10" s="72"/>
      <c r="AL10" s="947" t="s">
        <v>5342</v>
      </c>
      <c r="AM10" s="948" t="s">
        <v>3663</v>
      </c>
      <c r="AN10" s="948"/>
      <c r="AO10" s="949" t="s">
        <v>750</v>
      </c>
      <c r="AP10" s="950">
        <v>3</v>
      </c>
      <c r="AQ10" s="2987" t="s">
        <v>7156</v>
      </c>
      <c r="AR10" s="2988" t="s">
        <v>7157</v>
      </c>
      <c r="AS10" s="2989" t="s">
        <v>7158</v>
      </c>
      <c r="AT10" s="2990" t="s">
        <v>7159</v>
      </c>
      <c r="AU10" s="2990" t="s">
        <v>7160</v>
      </c>
      <c r="AV10" s="2991" t="s">
        <v>7161</v>
      </c>
      <c r="AW10" s="2288" t="s">
        <v>7162</v>
      </c>
    </row>
    <row r="11" spans="1:49" customFormat="1">
      <c r="A11" s="971"/>
      <c r="B11" s="947"/>
      <c r="C11" s="955" t="s">
        <v>2591</v>
      </c>
      <c r="D11" s="956"/>
      <c r="E11" s="957"/>
      <c r="F11" s="958"/>
      <c r="G11" s="959"/>
      <c r="H11" s="959"/>
      <c r="I11" s="959"/>
      <c r="J11" s="959"/>
      <c r="K11" s="959"/>
      <c r="L11" s="959"/>
      <c r="M11" s="959"/>
      <c r="N11" s="2042"/>
      <c r="O11" s="496"/>
      <c r="P11" s="2043"/>
      <c r="R11" s="72"/>
      <c r="S11" s="71"/>
      <c r="Z11" s="72"/>
      <c r="AA11" s="73"/>
      <c r="AB11" s="72"/>
      <c r="AC11" s="23"/>
      <c r="AD11" s="23"/>
      <c r="AE11" s="23"/>
      <c r="AF11" s="72"/>
      <c r="AL11" s="947"/>
      <c r="AM11" s="955" t="s">
        <v>2591</v>
      </c>
      <c r="AN11" s="956"/>
      <c r="AO11" s="957"/>
      <c r="AP11" s="958"/>
      <c r="AQ11" s="2289"/>
      <c r="AR11" s="2992"/>
      <c r="AS11" s="2289"/>
      <c r="AT11" s="2289"/>
      <c r="AU11" s="2289"/>
      <c r="AV11" s="2289"/>
      <c r="AW11" s="2289"/>
    </row>
    <row r="12" spans="1:49" customFormat="1">
      <c r="A12" s="933"/>
      <c r="B12" s="960" t="s">
        <v>5343</v>
      </c>
      <c r="C12" s="961" t="s">
        <v>4049</v>
      </c>
      <c r="D12" s="961"/>
      <c r="E12" s="949" t="s">
        <v>750</v>
      </c>
      <c r="F12" s="962">
        <v>3</v>
      </c>
      <c r="G12" s="951"/>
      <c r="H12" s="1497"/>
      <c r="I12" s="1489"/>
      <c r="J12" s="952"/>
      <c r="K12" s="952"/>
      <c r="L12" s="984"/>
      <c r="M12" s="953">
        <f>+SUM(G12:L12)</f>
        <v>0</v>
      </c>
      <c r="N12" s="954"/>
      <c r="P12" s="945" t="str">
        <f t="shared" ref="P12:P15" si="4" xml:space="preserve"> IF( SUM( R12:Z12 ) = 0, 0, $T$5 )</f>
        <v>Please complete all cells in row</v>
      </c>
      <c r="Q12" s="946"/>
      <c r="R12" s="72"/>
      <c r="S12" s="71"/>
      <c r="T12" s="98">
        <f t="shared" ref="T12:Y15" si="5" xml:space="preserve"> IF( ISNUMBER( G12 ), 0, 1 )</f>
        <v>1</v>
      </c>
      <c r="U12" s="98">
        <f t="shared" si="5"/>
        <v>1</v>
      </c>
      <c r="V12" s="98">
        <f t="shared" si="5"/>
        <v>1</v>
      </c>
      <c r="W12" s="98">
        <f t="shared" si="5"/>
        <v>1</v>
      </c>
      <c r="X12" s="98">
        <f t="shared" si="5"/>
        <v>1</v>
      </c>
      <c r="Y12" s="98">
        <f t="shared" si="5"/>
        <v>1</v>
      </c>
      <c r="Z12" s="72"/>
      <c r="AA12" s="73"/>
      <c r="AB12" s="72"/>
      <c r="AC12" s="23"/>
      <c r="AD12" s="23"/>
      <c r="AE12" s="23"/>
      <c r="AF12" s="72"/>
      <c r="AL12" s="960" t="s">
        <v>5343</v>
      </c>
      <c r="AM12" s="961" t="s">
        <v>4049</v>
      </c>
      <c r="AN12" s="961"/>
      <c r="AO12" s="949" t="s">
        <v>750</v>
      </c>
      <c r="AP12" s="962">
        <v>3</v>
      </c>
      <c r="AQ12" s="2987" t="s">
        <v>7163</v>
      </c>
      <c r="AR12" s="2988" t="s">
        <v>7164</v>
      </c>
      <c r="AS12" s="2989" t="s">
        <v>7165</v>
      </c>
      <c r="AT12" s="2990" t="s">
        <v>7166</v>
      </c>
      <c r="AU12" s="2990" t="s">
        <v>7167</v>
      </c>
      <c r="AV12" s="2991" t="s">
        <v>7168</v>
      </c>
      <c r="AW12" s="2288" t="s">
        <v>7169</v>
      </c>
    </row>
    <row r="13" spans="1:49" customFormat="1">
      <c r="A13" s="933"/>
      <c r="B13" s="947" t="s">
        <v>5344</v>
      </c>
      <c r="C13" s="948" t="s">
        <v>4050</v>
      </c>
      <c r="D13" s="948"/>
      <c r="E13" s="949" t="s">
        <v>750</v>
      </c>
      <c r="F13" s="962">
        <v>3</v>
      </c>
      <c r="G13" s="951"/>
      <c r="H13" s="1497"/>
      <c r="I13" s="1489"/>
      <c r="J13" s="952"/>
      <c r="K13" s="952"/>
      <c r="L13" s="984"/>
      <c r="M13" s="953">
        <f>+SUM(G13:L13)</f>
        <v>0</v>
      </c>
      <c r="N13" s="954"/>
      <c r="P13" s="945" t="str">
        <f t="shared" si="4"/>
        <v>Please complete all cells in row</v>
      </c>
      <c r="Q13" s="946"/>
      <c r="R13" s="72"/>
      <c r="S13" s="71"/>
      <c r="T13" s="98">
        <f t="shared" si="5"/>
        <v>1</v>
      </c>
      <c r="U13" s="98">
        <f t="shared" si="5"/>
        <v>1</v>
      </c>
      <c r="V13" s="98">
        <f t="shared" si="5"/>
        <v>1</v>
      </c>
      <c r="W13" s="98">
        <f t="shared" si="5"/>
        <v>1</v>
      </c>
      <c r="X13" s="98">
        <f t="shared" si="5"/>
        <v>1</v>
      </c>
      <c r="Y13" s="98">
        <f t="shared" si="5"/>
        <v>1</v>
      </c>
      <c r="Z13" s="72"/>
      <c r="AA13" s="73"/>
      <c r="AB13" s="72"/>
      <c r="AC13" s="23"/>
      <c r="AD13" s="23"/>
      <c r="AE13" s="23"/>
      <c r="AF13" s="72"/>
      <c r="AL13" s="947" t="s">
        <v>5344</v>
      </c>
      <c r="AM13" s="948" t="s">
        <v>4050</v>
      </c>
      <c r="AN13" s="948"/>
      <c r="AO13" s="949" t="s">
        <v>750</v>
      </c>
      <c r="AP13" s="962">
        <v>3</v>
      </c>
      <c r="AQ13" s="2987" t="s">
        <v>7170</v>
      </c>
      <c r="AR13" s="2988" t="s">
        <v>7171</v>
      </c>
      <c r="AS13" s="2989" t="s">
        <v>7172</v>
      </c>
      <c r="AT13" s="2990" t="s">
        <v>7173</v>
      </c>
      <c r="AU13" s="2990" t="s">
        <v>7174</v>
      </c>
      <c r="AV13" s="2991" t="s">
        <v>7175</v>
      </c>
      <c r="AW13" s="2288" t="s">
        <v>7176</v>
      </c>
    </row>
    <row r="14" spans="1:49" customFormat="1">
      <c r="A14" s="933"/>
      <c r="B14" s="947" t="s">
        <v>5347</v>
      </c>
      <c r="C14" s="948" t="s">
        <v>4051</v>
      </c>
      <c r="D14" s="948"/>
      <c r="E14" s="949" t="s">
        <v>750</v>
      </c>
      <c r="F14" s="962">
        <v>3</v>
      </c>
      <c r="G14" s="951"/>
      <c r="H14" s="1497"/>
      <c r="I14" s="1489"/>
      <c r="J14" s="952"/>
      <c r="K14" s="952"/>
      <c r="L14" s="984"/>
      <c r="M14" s="953">
        <f>+SUM(G14:L14)</f>
        <v>0</v>
      </c>
      <c r="N14" s="954"/>
      <c r="P14" s="945" t="str">
        <f t="shared" si="4"/>
        <v>Please complete all cells in row</v>
      </c>
      <c r="Q14" s="946"/>
      <c r="R14" s="72"/>
      <c r="S14" s="71"/>
      <c r="T14" s="98">
        <f t="shared" si="5"/>
        <v>1</v>
      </c>
      <c r="U14" s="98">
        <f t="shared" si="5"/>
        <v>1</v>
      </c>
      <c r="V14" s="98">
        <f t="shared" si="5"/>
        <v>1</v>
      </c>
      <c r="W14" s="98">
        <f t="shared" si="5"/>
        <v>1</v>
      </c>
      <c r="X14" s="98">
        <f t="shared" si="5"/>
        <v>1</v>
      </c>
      <c r="Y14" s="98">
        <f t="shared" si="5"/>
        <v>1</v>
      </c>
      <c r="Z14" s="72"/>
      <c r="AA14" s="73"/>
      <c r="AB14" s="72"/>
      <c r="AC14" s="23"/>
      <c r="AD14" s="23"/>
      <c r="AE14" s="23"/>
      <c r="AF14" s="72"/>
      <c r="AL14" s="947" t="s">
        <v>5347</v>
      </c>
      <c r="AM14" s="948" t="s">
        <v>4051</v>
      </c>
      <c r="AN14" s="948"/>
      <c r="AO14" s="949" t="s">
        <v>750</v>
      </c>
      <c r="AP14" s="962">
        <v>3</v>
      </c>
      <c r="AQ14" s="2987" t="s">
        <v>7177</v>
      </c>
      <c r="AR14" s="2988" t="s">
        <v>7178</v>
      </c>
      <c r="AS14" s="2989" t="s">
        <v>7179</v>
      </c>
      <c r="AT14" s="2990" t="s">
        <v>7180</v>
      </c>
      <c r="AU14" s="2990" t="s">
        <v>7181</v>
      </c>
      <c r="AV14" s="2991" t="s">
        <v>7182</v>
      </c>
      <c r="AW14" s="2288" t="s">
        <v>7183</v>
      </c>
    </row>
    <row r="15" spans="1:49" customFormat="1">
      <c r="A15" s="933"/>
      <c r="B15" s="947" t="s">
        <v>5345</v>
      </c>
      <c r="C15" s="948" t="s">
        <v>3611</v>
      </c>
      <c r="D15" s="948"/>
      <c r="E15" s="949" t="s">
        <v>750</v>
      </c>
      <c r="F15" s="962">
        <v>3</v>
      </c>
      <c r="G15" s="951"/>
      <c r="H15" s="1497"/>
      <c r="I15" s="1489"/>
      <c r="J15" s="952"/>
      <c r="K15" s="952"/>
      <c r="L15" s="984"/>
      <c r="M15" s="953">
        <f>+SUM(G15:L15)</f>
        <v>0</v>
      </c>
      <c r="N15" s="954"/>
      <c r="P15" s="945" t="str">
        <f t="shared" si="4"/>
        <v>Please complete all cells in row</v>
      </c>
      <c r="Q15" s="946"/>
      <c r="R15" s="72"/>
      <c r="S15" s="71"/>
      <c r="T15" s="98">
        <f t="shared" si="5"/>
        <v>1</v>
      </c>
      <c r="U15" s="98">
        <f t="shared" si="5"/>
        <v>1</v>
      </c>
      <c r="V15" s="98">
        <f t="shared" si="5"/>
        <v>1</v>
      </c>
      <c r="W15" s="98">
        <f t="shared" si="5"/>
        <v>1</v>
      </c>
      <c r="X15" s="98">
        <f t="shared" si="5"/>
        <v>1</v>
      </c>
      <c r="Y15" s="98">
        <f t="shared" si="5"/>
        <v>1</v>
      </c>
      <c r="Z15" s="72"/>
      <c r="AA15" s="73"/>
      <c r="AB15" s="72"/>
      <c r="AC15" s="23"/>
      <c r="AD15" s="23"/>
      <c r="AE15" s="23"/>
      <c r="AF15" s="72"/>
      <c r="AL15" s="947" t="s">
        <v>5345</v>
      </c>
      <c r="AM15" s="948" t="s">
        <v>3611</v>
      </c>
      <c r="AN15" s="948"/>
      <c r="AO15" s="949" t="s">
        <v>750</v>
      </c>
      <c r="AP15" s="962">
        <v>3</v>
      </c>
      <c r="AQ15" s="2987" t="s">
        <v>7184</v>
      </c>
      <c r="AR15" s="2988" t="s">
        <v>7185</v>
      </c>
      <c r="AS15" s="2989" t="s">
        <v>7186</v>
      </c>
      <c r="AT15" s="2990" t="s">
        <v>7187</v>
      </c>
      <c r="AU15" s="2990" t="s">
        <v>7188</v>
      </c>
      <c r="AV15" s="2991" t="s">
        <v>7189</v>
      </c>
      <c r="AW15" s="2288" t="s">
        <v>7190</v>
      </c>
    </row>
    <row r="16" spans="1:49" customFormat="1" ht="15" thickBot="1">
      <c r="A16" s="933"/>
      <c r="B16" s="963" t="s">
        <v>5346</v>
      </c>
      <c r="C16" s="964" t="s">
        <v>4052</v>
      </c>
      <c r="D16" s="964"/>
      <c r="E16" s="965" t="s">
        <v>750</v>
      </c>
      <c r="F16" s="966">
        <v>3</v>
      </c>
      <c r="G16" s="967">
        <f t="shared" ref="G16" si="6">+SUM(G7:G15)</f>
        <v>0</v>
      </c>
      <c r="H16" s="1498">
        <f>+SUM(H7:H15)</f>
        <v>0</v>
      </c>
      <c r="I16" s="1490">
        <f>+SUM(I7:I15)</f>
        <v>0</v>
      </c>
      <c r="J16" s="968">
        <f>+SUM(J7:J15)</f>
        <v>0</v>
      </c>
      <c r="K16" s="968">
        <f>+SUM(K7:K15)</f>
        <v>0</v>
      </c>
      <c r="L16" s="1510">
        <f>+SUM(L7:L15)</f>
        <v>0</v>
      </c>
      <c r="M16" s="969">
        <f>+SUM(G16:L16)</f>
        <v>0</v>
      </c>
      <c r="N16" s="970"/>
      <c r="P16" s="597"/>
      <c r="R16" s="72"/>
      <c r="S16" s="71"/>
      <c r="Z16" s="72"/>
      <c r="AA16" s="73"/>
      <c r="AB16" s="72"/>
      <c r="AC16" s="23"/>
      <c r="AD16" s="23"/>
      <c r="AE16" s="23"/>
      <c r="AF16" s="72"/>
      <c r="AL16" s="963" t="s">
        <v>5346</v>
      </c>
      <c r="AM16" s="964" t="s">
        <v>4052</v>
      </c>
      <c r="AN16" s="964"/>
      <c r="AO16" s="965" t="s">
        <v>750</v>
      </c>
      <c r="AP16" s="966">
        <v>3</v>
      </c>
      <c r="AQ16" s="967" t="s">
        <v>7191</v>
      </c>
      <c r="AR16" s="1498" t="s">
        <v>7192</v>
      </c>
      <c r="AS16" s="1490" t="s">
        <v>7193</v>
      </c>
      <c r="AT16" s="968" t="s">
        <v>7194</v>
      </c>
      <c r="AU16" s="968" t="s">
        <v>7195</v>
      </c>
      <c r="AV16" s="1510" t="s">
        <v>7196</v>
      </c>
      <c r="AW16" s="2290" t="s">
        <v>7197</v>
      </c>
    </row>
    <row r="17" spans="1:49" customFormat="1" ht="15" thickBot="1">
      <c r="A17" s="933"/>
      <c r="B17" s="971"/>
      <c r="C17" s="971"/>
      <c r="D17" s="971"/>
      <c r="E17" s="971"/>
      <c r="F17" s="971"/>
      <c r="G17" s="933"/>
      <c r="H17" s="933"/>
      <c r="I17" s="933"/>
      <c r="J17" s="933"/>
      <c r="K17" s="933"/>
      <c r="L17" s="933"/>
      <c r="M17" s="933"/>
      <c r="N17" s="2133"/>
      <c r="P17" s="597"/>
      <c r="R17" s="72"/>
      <c r="S17" s="71"/>
      <c r="Z17" s="72"/>
      <c r="AA17" s="73"/>
      <c r="AB17" s="72"/>
      <c r="AC17" s="23"/>
      <c r="AD17" s="23"/>
      <c r="AE17" s="23"/>
      <c r="AF17" s="72"/>
      <c r="AL17" s="971"/>
      <c r="AM17" s="971"/>
      <c r="AN17" s="971"/>
      <c r="AO17" s="971"/>
      <c r="AP17" s="971"/>
      <c r="AQ17" s="2993"/>
      <c r="AR17" s="2993"/>
      <c r="AS17" s="2993"/>
      <c r="AT17" s="2993"/>
      <c r="AU17" s="2993"/>
      <c r="AV17" s="2993"/>
      <c r="AW17" s="2993"/>
    </row>
    <row r="18" spans="1:49" customFormat="1">
      <c r="A18" s="933"/>
      <c r="B18" s="937" t="s">
        <v>5348</v>
      </c>
      <c r="C18" s="938" t="s">
        <v>2593</v>
      </c>
      <c r="D18" s="938"/>
      <c r="E18" s="939" t="s">
        <v>750</v>
      </c>
      <c r="F18" s="940">
        <v>3</v>
      </c>
      <c r="G18" s="941"/>
      <c r="H18" s="1496"/>
      <c r="I18" s="1488"/>
      <c r="J18" s="942"/>
      <c r="K18" s="942"/>
      <c r="L18" s="982"/>
      <c r="M18" s="943">
        <f>+SUM(G18:L18)</f>
        <v>0</v>
      </c>
      <c r="N18" s="944"/>
      <c r="P18" s="945" t="str">
        <f t="shared" ref="P18" si="7" xml:space="preserve"> IF( SUM( R18:Z18 ) = 0, 0, $T$5 )</f>
        <v>Please complete all cells in row</v>
      </c>
      <c r="Q18" s="946"/>
      <c r="R18" s="72"/>
      <c r="S18" s="71"/>
      <c r="T18" s="98">
        <f t="shared" ref="T18:Y18" si="8" xml:space="preserve"> IF( ISNUMBER( G18 ), 0, 1 )</f>
        <v>1</v>
      </c>
      <c r="U18" s="98">
        <f t="shared" si="8"/>
        <v>1</v>
      </c>
      <c r="V18" s="98">
        <f t="shared" si="8"/>
        <v>1</v>
      </c>
      <c r="W18" s="98">
        <f t="shared" si="8"/>
        <v>1</v>
      </c>
      <c r="X18" s="98">
        <f t="shared" si="8"/>
        <v>1</v>
      </c>
      <c r="Y18" s="98">
        <f t="shared" si="8"/>
        <v>1</v>
      </c>
      <c r="Z18" s="72"/>
      <c r="AA18" s="73"/>
      <c r="AB18" s="72"/>
      <c r="AC18" s="23"/>
      <c r="AD18" s="23"/>
      <c r="AE18" s="23"/>
      <c r="AF18" s="72"/>
      <c r="AL18" s="937" t="s">
        <v>5348</v>
      </c>
      <c r="AM18" s="938" t="s">
        <v>2593</v>
      </c>
      <c r="AN18" s="938"/>
      <c r="AO18" s="939" t="s">
        <v>750</v>
      </c>
      <c r="AP18" s="940">
        <v>3</v>
      </c>
      <c r="AQ18" s="2982" t="s">
        <v>7198</v>
      </c>
      <c r="AR18" s="2983" t="s">
        <v>7199</v>
      </c>
      <c r="AS18" s="2984" t="s">
        <v>7200</v>
      </c>
      <c r="AT18" s="2985" t="s">
        <v>7201</v>
      </c>
      <c r="AU18" s="2985" t="s">
        <v>7202</v>
      </c>
      <c r="AV18" s="2986" t="s">
        <v>7203</v>
      </c>
      <c r="AW18" s="2287" t="s">
        <v>7204</v>
      </c>
    </row>
    <row r="19" spans="1:49" customFormat="1" ht="15" thickBot="1">
      <c r="A19" s="933"/>
      <c r="B19" s="963" t="s">
        <v>5357</v>
      </c>
      <c r="C19" s="964" t="s">
        <v>2594</v>
      </c>
      <c r="D19" s="964"/>
      <c r="E19" s="965" t="s">
        <v>750</v>
      </c>
      <c r="F19" s="966">
        <v>3</v>
      </c>
      <c r="G19" s="967">
        <f t="shared" ref="G19" si="9">+G16+G18</f>
        <v>0</v>
      </c>
      <c r="H19" s="1498">
        <f>+H16+H18</f>
        <v>0</v>
      </c>
      <c r="I19" s="1490">
        <f>+I16+I18</f>
        <v>0</v>
      </c>
      <c r="J19" s="968">
        <f>+J16+J18</f>
        <v>0</v>
      </c>
      <c r="K19" s="968">
        <f>+K16+K18</f>
        <v>0</v>
      </c>
      <c r="L19" s="1510">
        <f>+L16+L18</f>
        <v>0</v>
      </c>
      <c r="M19" s="969">
        <f>+SUM(G19:L19)</f>
        <v>0</v>
      </c>
      <c r="N19" s="970"/>
      <c r="P19" s="597"/>
      <c r="R19" s="72"/>
      <c r="S19" s="71"/>
      <c r="Z19" s="72"/>
      <c r="AA19" s="73"/>
      <c r="AB19" s="72"/>
      <c r="AC19" s="23"/>
      <c r="AD19" s="23"/>
      <c r="AE19" s="23"/>
      <c r="AF19" s="72"/>
      <c r="AL19" s="963" t="s">
        <v>5357</v>
      </c>
      <c r="AM19" s="964" t="s">
        <v>2594</v>
      </c>
      <c r="AN19" s="964"/>
      <c r="AO19" s="965" t="s">
        <v>750</v>
      </c>
      <c r="AP19" s="966">
        <v>3</v>
      </c>
      <c r="AQ19" s="967" t="s">
        <v>7205</v>
      </c>
      <c r="AR19" s="1498" t="s">
        <v>7206</v>
      </c>
      <c r="AS19" s="1490" t="s">
        <v>7207</v>
      </c>
      <c r="AT19" s="968" t="s">
        <v>7208</v>
      </c>
      <c r="AU19" s="968" t="s">
        <v>7209</v>
      </c>
      <c r="AV19" s="1510" t="s">
        <v>7210</v>
      </c>
      <c r="AW19" s="2290" t="s">
        <v>7211</v>
      </c>
    </row>
    <row r="20" spans="1:49" customFormat="1" ht="15" thickBot="1">
      <c r="A20" s="933"/>
      <c r="B20" s="971"/>
      <c r="C20" s="971"/>
      <c r="D20" s="971"/>
      <c r="E20" s="971"/>
      <c r="F20" s="971"/>
      <c r="G20" s="933"/>
      <c r="H20" s="933"/>
      <c r="I20" s="933"/>
      <c r="J20" s="933"/>
      <c r="K20" s="933"/>
      <c r="L20" s="933"/>
      <c r="M20" s="933"/>
      <c r="N20" s="2133"/>
      <c r="P20" s="597"/>
      <c r="R20" s="72"/>
      <c r="S20" s="71"/>
      <c r="Z20" s="72"/>
      <c r="AA20" s="73"/>
      <c r="AB20" s="72"/>
      <c r="AC20" s="23"/>
      <c r="AD20" s="23"/>
      <c r="AE20" s="23"/>
      <c r="AF20" s="72"/>
      <c r="AL20" s="971"/>
      <c r="AM20" s="971"/>
      <c r="AN20" s="971"/>
      <c r="AO20" s="971"/>
      <c r="AP20" s="971"/>
      <c r="AQ20" s="2993"/>
      <c r="AR20" s="2993"/>
      <c r="AS20" s="2993"/>
      <c r="AT20" s="2993"/>
      <c r="AU20" s="2993"/>
      <c r="AV20" s="2993"/>
      <c r="AW20" s="2993"/>
    </row>
    <row r="21" spans="1:49" customFormat="1" ht="15" thickBot="1">
      <c r="A21" s="933"/>
      <c r="B21" s="934" t="s">
        <v>2458</v>
      </c>
      <c r="C21" s="935" t="s">
        <v>4053</v>
      </c>
      <c r="D21" s="972"/>
      <c r="E21" s="936"/>
      <c r="F21" s="936"/>
      <c r="G21" s="933"/>
      <c r="H21" s="933"/>
      <c r="I21" s="933"/>
      <c r="J21" s="933"/>
      <c r="K21" s="933"/>
      <c r="L21" s="933"/>
      <c r="M21" s="933"/>
      <c r="N21" s="2133"/>
      <c r="P21" s="597"/>
      <c r="R21" s="124"/>
      <c r="S21" s="71"/>
      <c r="Z21" s="124"/>
      <c r="AA21" s="73"/>
      <c r="AB21" s="124"/>
      <c r="AC21" s="23"/>
      <c r="AD21" s="23"/>
      <c r="AE21" s="23"/>
      <c r="AF21" s="124"/>
      <c r="AL21" s="934" t="s">
        <v>2458</v>
      </c>
      <c r="AM21" s="935" t="s">
        <v>4053</v>
      </c>
      <c r="AN21" s="2742"/>
      <c r="AO21" s="936"/>
      <c r="AP21" s="936"/>
      <c r="AQ21" s="2993"/>
      <c r="AR21" s="2993"/>
      <c r="AS21" s="2993"/>
      <c r="AT21" s="2993"/>
      <c r="AU21" s="2993"/>
      <c r="AV21" s="2993"/>
      <c r="AW21" s="2993"/>
    </row>
    <row r="22" spans="1:49" customFormat="1">
      <c r="A22" s="933"/>
      <c r="B22" s="937" t="s">
        <v>5349</v>
      </c>
      <c r="C22" s="938" t="s">
        <v>2596</v>
      </c>
      <c r="D22" s="938"/>
      <c r="E22" s="939" t="s">
        <v>750</v>
      </c>
      <c r="F22" s="940">
        <v>3</v>
      </c>
      <c r="G22" s="973"/>
      <c r="H22" s="1499"/>
      <c r="I22" s="973"/>
      <c r="J22" s="974"/>
      <c r="K22" s="974"/>
      <c r="L22" s="1839"/>
      <c r="M22" s="943">
        <f t="shared" ref="M22:M31" si="10">+SUM(G22:L22)</f>
        <v>0</v>
      </c>
      <c r="N22" s="944"/>
      <c r="P22" s="945" t="str">
        <f t="shared" ref="P22:P26" si="11" xml:space="preserve"> IF( SUM( R22:Z22 ) = 0, 0, $T$5 )</f>
        <v>Please complete all cells in row</v>
      </c>
      <c r="Q22" s="946"/>
      <c r="R22" s="124"/>
      <c r="S22" s="71"/>
      <c r="T22" s="98">
        <f t="shared" ref="T22:Y26" si="12" xml:space="preserve"> IF( ISNUMBER( G22 ), 0, 1 )</f>
        <v>1</v>
      </c>
      <c r="U22" s="98">
        <f t="shared" si="12"/>
        <v>1</v>
      </c>
      <c r="V22" s="98">
        <f t="shared" si="12"/>
        <v>1</v>
      </c>
      <c r="W22" s="98">
        <f t="shared" si="12"/>
        <v>1</v>
      </c>
      <c r="X22" s="98">
        <f t="shared" si="12"/>
        <v>1</v>
      </c>
      <c r="Y22" s="98">
        <f t="shared" si="12"/>
        <v>1</v>
      </c>
      <c r="Z22" s="124"/>
      <c r="AA22" s="73"/>
      <c r="AB22" s="124"/>
      <c r="AC22" s="23"/>
      <c r="AD22" s="23"/>
      <c r="AE22" s="23"/>
      <c r="AF22" s="124"/>
      <c r="AL22" s="937" t="s">
        <v>5349</v>
      </c>
      <c r="AM22" s="938" t="s">
        <v>2596</v>
      </c>
      <c r="AN22" s="938"/>
      <c r="AO22" s="939" t="s">
        <v>750</v>
      </c>
      <c r="AP22" s="940">
        <v>3</v>
      </c>
      <c r="AQ22" s="2994" t="s">
        <v>7212</v>
      </c>
      <c r="AR22" s="2995" t="s">
        <v>7213</v>
      </c>
      <c r="AS22" s="2996" t="s">
        <v>7214</v>
      </c>
      <c r="AT22" s="2997" t="s">
        <v>7215</v>
      </c>
      <c r="AU22" s="2997" t="s">
        <v>7216</v>
      </c>
      <c r="AV22" s="2998" t="s">
        <v>7217</v>
      </c>
      <c r="AW22" s="2287" t="s">
        <v>7218</v>
      </c>
    </row>
    <row r="23" spans="1:49" customFormat="1">
      <c r="A23" s="933"/>
      <c r="B23" s="947" t="s">
        <v>5350</v>
      </c>
      <c r="C23" s="948" t="s">
        <v>2753</v>
      </c>
      <c r="D23" s="948"/>
      <c r="E23" s="949" t="s">
        <v>750</v>
      </c>
      <c r="F23" s="950">
        <v>3</v>
      </c>
      <c r="G23" s="975"/>
      <c r="H23" s="1500"/>
      <c r="I23" s="975"/>
      <c r="J23" s="976"/>
      <c r="K23" s="976"/>
      <c r="L23" s="1840"/>
      <c r="M23" s="953">
        <f t="shared" si="10"/>
        <v>0</v>
      </c>
      <c r="N23" s="954"/>
      <c r="P23" s="945" t="str">
        <f t="shared" si="11"/>
        <v>Please complete all cells in row</v>
      </c>
      <c r="Q23" s="946"/>
      <c r="R23" s="124"/>
      <c r="S23" s="71"/>
      <c r="T23" s="98">
        <f t="shared" si="12"/>
        <v>1</v>
      </c>
      <c r="U23" s="98">
        <f t="shared" si="12"/>
        <v>1</v>
      </c>
      <c r="V23" s="98">
        <f t="shared" si="12"/>
        <v>1</v>
      </c>
      <c r="W23" s="98">
        <f t="shared" si="12"/>
        <v>1</v>
      </c>
      <c r="X23" s="98">
        <f t="shared" si="12"/>
        <v>1</v>
      </c>
      <c r="Y23" s="98">
        <f xml:space="preserve"> IF( ISNUMBER( L23 ), 0, 1 )</f>
        <v>1</v>
      </c>
      <c r="Z23" s="124"/>
      <c r="AA23" s="73"/>
      <c r="AB23" s="124"/>
      <c r="AC23" s="23"/>
      <c r="AD23" s="23"/>
      <c r="AE23" s="23"/>
      <c r="AF23" s="124"/>
      <c r="AL23" s="947" t="s">
        <v>5350</v>
      </c>
      <c r="AM23" s="948" t="s">
        <v>2753</v>
      </c>
      <c r="AN23" s="948"/>
      <c r="AO23" s="949" t="s">
        <v>750</v>
      </c>
      <c r="AP23" s="950">
        <v>3</v>
      </c>
      <c r="AQ23" s="2999" t="s">
        <v>7219</v>
      </c>
      <c r="AR23" s="3000" t="s">
        <v>7220</v>
      </c>
      <c r="AS23" s="3001" t="s">
        <v>7221</v>
      </c>
      <c r="AT23" s="3002" t="s">
        <v>7222</v>
      </c>
      <c r="AU23" s="3002" t="s">
        <v>7223</v>
      </c>
      <c r="AV23" s="3003" t="s">
        <v>7224</v>
      </c>
      <c r="AW23" s="2288" t="s">
        <v>7225</v>
      </c>
    </row>
    <row r="24" spans="1:49" customFormat="1">
      <c r="A24" s="933"/>
      <c r="B24" s="947" t="s">
        <v>5351</v>
      </c>
      <c r="C24" s="948" t="s">
        <v>2598</v>
      </c>
      <c r="D24" s="948"/>
      <c r="E24" s="949" t="s">
        <v>750</v>
      </c>
      <c r="F24" s="950">
        <v>3</v>
      </c>
      <c r="G24" s="975"/>
      <c r="H24" s="1500"/>
      <c r="I24" s="975"/>
      <c r="J24" s="976"/>
      <c r="K24" s="976"/>
      <c r="L24" s="1840"/>
      <c r="M24" s="953">
        <f t="shared" si="10"/>
        <v>0</v>
      </c>
      <c r="N24" s="954"/>
      <c r="P24" s="945" t="str">
        <f t="shared" si="11"/>
        <v>Please complete all cells in row</v>
      </c>
      <c r="Q24" s="946"/>
      <c r="R24" s="72"/>
      <c r="S24" s="71"/>
      <c r="T24" s="98">
        <f t="shared" si="12"/>
        <v>1</v>
      </c>
      <c r="U24" s="98">
        <f t="shared" si="12"/>
        <v>1</v>
      </c>
      <c r="V24" s="98">
        <f t="shared" si="12"/>
        <v>1</v>
      </c>
      <c r="W24" s="98">
        <f t="shared" si="12"/>
        <v>1</v>
      </c>
      <c r="X24" s="98">
        <f t="shared" si="12"/>
        <v>1</v>
      </c>
      <c r="Y24" s="98">
        <f t="shared" si="12"/>
        <v>1</v>
      </c>
      <c r="Z24" s="72"/>
      <c r="AA24" s="73"/>
      <c r="AB24" s="72"/>
      <c r="AC24" s="23"/>
      <c r="AD24" s="23"/>
      <c r="AE24" s="23"/>
      <c r="AF24" s="72"/>
      <c r="AL24" s="947" t="s">
        <v>5351</v>
      </c>
      <c r="AM24" s="948" t="s">
        <v>2598</v>
      </c>
      <c r="AN24" s="948"/>
      <c r="AO24" s="949" t="s">
        <v>750</v>
      </c>
      <c r="AP24" s="950">
        <v>3</v>
      </c>
      <c r="AQ24" s="2999" t="s">
        <v>7226</v>
      </c>
      <c r="AR24" s="3000" t="s">
        <v>7227</v>
      </c>
      <c r="AS24" s="3001" t="s">
        <v>7228</v>
      </c>
      <c r="AT24" s="3002" t="s">
        <v>7229</v>
      </c>
      <c r="AU24" s="3002" t="s">
        <v>7230</v>
      </c>
      <c r="AV24" s="3003" t="s">
        <v>7231</v>
      </c>
      <c r="AW24" s="2288" t="s">
        <v>7232</v>
      </c>
    </row>
    <row r="25" spans="1:49" customFormat="1">
      <c r="A25" s="933"/>
      <c r="B25" s="947" t="s">
        <v>5352</v>
      </c>
      <c r="C25" s="948" t="s">
        <v>2599</v>
      </c>
      <c r="D25" s="948"/>
      <c r="E25" s="949" t="s">
        <v>750</v>
      </c>
      <c r="F25" s="950">
        <v>3</v>
      </c>
      <c r="G25" s="975"/>
      <c r="H25" s="1500"/>
      <c r="I25" s="975"/>
      <c r="J25" s="976"/>
      <c r="K25" s="976"/>
      <c r="L25" s="1840"/>
      <c r="M25" s="953">
        <f t="shared" si="10"/>
        <v>0</v>
      </c>
      <c r="N25" s="954"/>
      <c r="P25" s="945" t="str">
        <f t="shared" si="11"/>
        <v>Please complete all cells in row</v>
      </c>
      <c r="Q25" s="946"/>
      <c r="R25" s="72"/>
      <c r="S25" s="71"/>
      <c r="T25" s="98">
        <f t="shared" si="12"/>
        <v>1</v>
      </c>
      <c r="U25" s="98">
        <f t="shared" si="12"/>
        <v>1</v>
      </c>
      <c r="V25" s="98">
        <f t="shared" si="12"/>
        <v>1</v>
      </c>
      <c r="W25" s="98">
        <f t="shared" si="12"/>
        <v>1</v>
      </c>
      <c r="X25" s="98">
        <f t="shared" si="12"/>
        <v>1</v>
      </c>
      <c r="Y25" s="98">
        <f t="shared" si="12"/>
        <v>1</v>
      </c>
      <c r="Z25" s="72"/>
      <c r="AA25" s="73"/>
      <c r="AB25" s="72"/>
      <c r="AC25" s="23"/>
      <c r="AD25" s="23"/>
      <c r="AE25" s="23"/>
      <c r="AF25" s="72"/>
      <c r="AL25" s="947" t="s">
        <v>5352</v>
      </c>
      <c r="AM25" s="948" t="s">
        <v>2599</v>
      </c>
      <c r="AN25" s="948"/>
      <c r="AO25" s="949" t="s">
        <v>750</v>
      </c>
      <c r="AP25" s="950">
        <v>3</v>
      </c>
      <c r="AQ25" s="2999" t="s">
        <v>7233</v>
      </c>
      <c r="AR25" s="3000" t="s">
        <v>7234</v>
      </c>
      <c r="AS25" s="3001" t="s">
        <v>7235</v>
      </c>
      <c r="AT25" s="3002" t="s">
        <v>7236</v>
      </c>
      <c r="AU25" s="3002" t="s">
        <v>7237</v>
      </c>
      <c r="AV25" s="3003" t="s">
        <v>7238</v>
      </c>
      <c r="AW25" s="2288" t="s">
        <v>7239</v>
      </c>
    </row>
    <row r="26" spans="1:49" customFormat="1">
      <c r="A26" s="933"/>
      <c r="B26" s="947" t="s">
        <v>5353</v>
      </c>
      <c r="C26" s="948" t="s">
        <v>3794</v>
      </c>
      <c r="D26" s="948"/>
      <c r="E26" s="949" t="s">
        <v>750</v>
      </c>
      <c r="F26" s="950">
        <v>3</v>
      </c>
      <c r="G26" s="975"/>
      <c r="H26" s="1500"/>
      <c r="I26" s="975"/>
      <c r="J26" s="976"/>
      <c r="K26" s="976"/>
      <c r="L26" s="1840"/>
      <c r="M26" s="953">
        <f t="shared" si="10"/>
        <v>0</v>
      </c>
      <c r="N26" s="954"/>
      <c r="P26" s="945" t="str">
        <f t="shared" si="11"/>
        <v>Please complete all cells in row</v>
      </c>
      <c r="Q26" s="946"/>
      <c r="R26" s="72"/>
      <c r="S26" s="71"/>
      <c r="T26" s="98">
        <f t="shared" si="12"/>
        <v>1</v>
      </c>
      <c r="U26" s="98">
        <f t="shared" si="12"/>
        <v>1</v>
      </c>
      <c r="V26" s="98">
        <f t="shared" si="12"/>
        <v>1</v>
      </c>
      <c r="W26" s="98">
        <f t="shared" si="12"/>
        <v>1</v>
      </c>
      <c r="X26" s="98">
        <f t="shared" si="12"/>
        <v>1</v>
      </c>
      <c r="Y26" s="98">
        <f t="shared" si="12"/>
        <v>1</v>
      </c>
      <c r="Z26" s="72"/>
      <c r="AA26" s="73"/>
      <c r="AB26" s="129"/>
      <c r="AC26" s="23"/>
      <c r="AD26" s="23"/>
      <c r="AE26" s="23"/>
      <c r="AF26" s="129"/>
      <c r="AL26" s="947" t="s">
        <v>5353</v>
      </c>
      <c r="AM26" s="948" t="s">
        <v>3794</v>
      </c>
      <c r="AN26" s="948"/>
      <c r="AO26" s="949" t="s">
        <v>750</v>
      </c>
      <c r="AP26" s="950">
        <v>3</v>
      </c>
      <c r="AQ26" s="2999" t="s">
        <v>7240</v>
      </c>
      <c r="AR26" s="3000" t="s">
        <v>7241</v>
      </c>
      <c r="AS26" s="3001" t="s">
        <v>7242</v>
      </c>
      <c r="AT26" s="3002" t="s">
        <v>7243</v>
      </c>
      <c r="AU26" s="3002" t="s">
        <v>7244</v>
      </c>
      <c r="AV26" s="3003" t="s">
        <v>7245</v>
      </c>
      <c r="AW26" s="2288" t="s">
        <v>7246</v>
      </c>
    </row>
    <row r="27" spans="1:49" customFormat="1">
      <c r="A27" s="933"/>
      <c r="B27" s="947" t="s">
        <v>5354</v>
      </c>
      <c r="C27" s="948" t="s">
        <v>2600</v>
      </c>
      <c r="D27" s="948"/>
      <c r="E27" s="949" t="s">
        <v>750</v>
      </c>
      <c r="F27" s="950">
        <v>3</v>
      </c>
      <c r="G27" s="977">
        <f t="shared" ref="G27" si="13">SUM(G22:G26)</f>
        <v>0</v>
      </c>
      <c r="H27" s="1501">
        <f>SUM(H22:H26)</f>
        <v>0</v>
      </c>
      <c r="I27" s="977">
        <f>SUM(I22:I26)</f>
        <v>0</v>
      </c>
      <c r="J27" s="1841">
        <f>SUM(J22:J26)</f>
        <v>0</v>
      </c>
      <c r="K27" s="1841">
        <f>SUM(K22:K26)</f>
        <v>0</v>
      </c>
      <c r="L27" s="1842">
        <f>SUM(L22:L26)</f>
        <v>0</v>
      </c>
      <c r="M27" s="977">
        <f t="shared" si="10"/>
        <v>0</v>
      </c>
      <c r="N27" s="954"/>
      <c r="P27" s="597"/>
      <c r="R27" s="72"/>
      <c r="S27" s="71"/>
      <c r="Z27" s="72"/>
      <c r="AA27" s="73"/>
      <c r="AB27" s="124"/>
      <c r="AC27" s="23"/>
      <c r="AD27" s="23"/>
      <c r="AE27" s="23"/>
      <c r="AF27" s="124"/>
      <c r="AL27" s="947" t="s">
        <v>5354</v>
      </c>
      <c r="AM27" s="948" t="s">
        <v>2600</v>
      </c>
      <c r="AN27" s="948"/>
      <c r="AO27" s="949" t="s">
        <v>750</v>
      </c>
      <c r="AP27" s="950">
        <v>3</v>
      </c>
      <c r="AQ27" s="2292" t="s">
        <v>7247</v>
      </c>
      <c r="AR27" s="2293" t="s">
        <v>7248</v>
      </c>
      <c r="AS27" s="2294" t="s">
        <v>7249</v>
      </c>
      <c r="AT27" s="2292" t="s">
        <v>7250</v>
      </c>
      <c r="AU27" s="2292" t="s">
        <v>7251</v>
      </c>
      <c r="AV27" s="2295" t="s">
        <v>7252</v>
      </c>
      <c r="AW27" s="2292" t="s">
        <v>7253</v>
      </c>
    </row>
    <row r="28" spans="1:49" customFormat="1">
      <c r="A28" s="933"/>
      <c r="B28" s="947" t="s">
        <v>5355</v>
      </c>
      <c r="C28" s="948" t="s">
        <v>2593</v>
      </c>
      <c r="D28" s="948"/>
      <c r="E28" s="949" t="s">
        <v>750</v>
      </c>
      <c r="F28" s="950">
        <v>3</v>
      </c>
      <c r="G28" s="951"/>
      <c r="H28" s="1497"/>
      <c r="I28" s="975"/>
      <c r="J28" s="976"/>
      <c r="K28" s="976"/>
      <c r="L28" s="1840"/>
      <c r="M28" s="953">
        <f t="shared" si="10"/>
        <v>0</v>
      </c>
      <c r="N28" s="954"/>
      <c r="P28" s="945" t="str">
        <f t="shared" ref="P28" si="14" xml:space="preserve"> IF( SUM( R28:Z28 ) = 0, 0, $T$5 )</f>
        <v>Please complete all cells in row</v>
      </c>
      <c r="Q28" s="946"/>
      <c r="R28" s="124"/>
      <c r="S28" s="71"/>
      <c r="T28" s="98">
        <f t="shared" ref="T28:Y28" si="15" xml:space="preserve"> IF( ISNUMBER( G28 ), 0, 1 )</f>
        <v>1</v>
      </c>
      <c r="U28" s="98">
        <f t="shared" si="15"/>
        <v>1</v>
      </c>
      <c r="V28" s="98">
        <f t="shared" si="15"/>
        <v>1</v>
      </c>
      <c r="W28" s="98">
        <f t="shared" si="15"/>
        <v>1</v>
      </c>
      <c r="X28" s="98">
        <f t="shared" si="15"/>
        <v>1</v>
      </c>
      <c r="Y28" s="98">
        <f t="shared" si="15"/>
        <v>1</v>
      </c>
      <c r="Z28" s="124"/>
      <c r="AA28" s="73"/>
      <c r="AB28" s="124"/>
      <c r="AC28" s="23"/>
      <c r="AD28" s="23"/>
      <c r="AE28" s="23"/>
      <c r="AF28" s="124"/>
      <c r="AL28" s="947" t="s">
        <v>5355</v>
      </c>
      <c r="AM28" s="948" t="s">
        <v>2593</v>
      </c>
      <c r="AN28" s="948"/>
      <c r="AO28" s="949" t="s">
        <v>750</v>
      </c>
      <c r="AP28" s="950">
        <v>3</v>
      </c>
      <c r="AQ28" s="2987" t="s">
        <v>7254</v>
      </c>
      <c r="AR28" s="2988" t="s">
        <v>7255</v>
      </c>
      <c r="AS28" s="3001" t="s">
        <v>7256</v>
      </c>
      <c r="AT28" s="3002" t="s">
        <v>7257</v>
      </c>
      <c r="AU28" s="3002" t="s">
        <v>7258</v>
      </c>
      <c r="AV28" s="3003" t="s">
        <v>7259</v>
      </c>
      <c r="AW28" s="2288" t="s">
        <v>7260</v>
      </c>
    </row>
    <row r="29" spans="1:49" customFormat="1">
      <c r="A29" s="933"/>
      <c r="B29" s="947" t="s">
        <v>5356</v>
      </c>
      <c r="C29" s="948" t="s">
        <v>2601</v>
      </c>
      <c r="D29" s="948"/>
      <c r="E29" s="949" t="s">
        <v>750</v>
      </c>
      <c r="F29" s="950">
        <v>3</v>
      </c>
      <c r="G29" s="977">
        <f t="shared" ref="G29:L29" si="16">SUM(G27:G28)</f>
        <v>0</v>
      </c>
      <c r="H29" s="1501">
        <f t="shared" si="16"/>
        <v>0</v>
      </c>
      <c r="I29" s="977">
        <f t="shared" si="16"/>
        <v>0</v>
      </c>
      <c r="J29" s="1841">
        <f t="shared" si="16"/>
        <v>0</v>
      </c>
      <c r="K29" s="1841">
        <f t="shared" si="16"/>
        <v>0</v>
      </c>
      <c r="L29" s="1842">
        <f t="shared" si="16"/>
        <v>0</v>
      </c>
      <c r="M29" s="977">
        <f t="shared" si="10"/>
        <v>0</v>
      </c>
      <c r="N29" s="954"/>
      <c r="P29" s="597"/>
      <c r="R29" s="124"/>
      <c r="S29" s="71"/>
      <c r="Z29" s="124"/>
      <c r="AA29" s="73"/>
      <c r="AB29" s="124"/>
      <c r="AC29" s="496"/>
      <c r="AD29" s="496"/>
      <c r="AE29" s="496"/>
      <c r="AF29" s="124"/>
      <c r="AL29" s="947" t="s">
        <v>5356</v>
      </c>
      <c r="AM29" s="948" t="s">
        <v>2601</v>
      </c>
      <c r="AN29" s="948"/>
      <c r="AO29" s="949" t="s">
        <v>750</v>
      </c>
      <c r="AP29" s="950">
        <v>3</v>
      </c>
      <c r="AQ29" s="2292" t="s">
        <v>7261</v>
      </c>
      <c r="AR29" s="2293" t="s">
        <v>7262</v>
      </c>
      <c r="AS29" s="2294" t="s">
        <v>7263</v>
      </c>
      <c r="AT29" s="2292" t="s">
        <v>7264</v>
      </c>
      <c r="AU29" s="2292" t="s">
        <v>7265</v>
      </c>
      <c r="AV29" s="2295" t="s">
        <v>7266</v>
      </c>
      <c r="AW29" s="2292" t="s">
        <v>7267</v>
      </c>
    </row>
    <row r="30" spans="1:49" customFormat="1">
      <c r="A30" s="933"/>
      <c r="B30" s="947" t="s">
        <v>5358</v>
      </c>
      <c r="C30" s="948" t="s">
        <v>3612</v>
      </c>
      <c r="D30" s="948"/>
      <c r="E30" s="949" t="s">
        <v>750</v>
      </c>
      <c r="F30" s="978">
        <v>3</v>
      </c>
      <c r="G30" s="951"/>
      <c r="H30" s="1497"/>
      <c r="I30" s="975"/>
      <c r="J30" s="976"/>
      <c r="K30" s="976"/>
      <c r="L30" s="1840"/>
      <c r="M30" s="953">
        <f t="shared" si="10"/>
        <v>0</v>
      </c>
      <c r="N30" s="954"/>
      <c r="P30" s="1639" t="str">
        <f>IF(SUM(R30:Z30)&lt;&gt;0,$T$5,IF(SUM(Z30:AB30)=0,0,$AE$30))</f>
        <v>Please complete all cells in row</v>
      </c>
      <c r="Q30" s="946"/>
      <c r="R30" s="124"/>
      <c r="S30" s="71"/>
      <c r="T30" s="98">
        <f t="shared" ref="T30:Y30" si="17" xml:space="preserve"> IF( ISNUMBER( G30 ), 0, 1 )</f>
        <v>1</v>
      </c>
      <c r="U30" s="98">
        <f t="shared" si="17"/>
        <v>1</v>
      </c>
      <c r="V30" s="98">
        <f t="shared" si="17"/>
        <v>1</v>
      </c>
      <c r="W30" s="98">
        <f t="shared" si="17"/>
        <v>1</v>
      </c>
      <c r="X30" s="98">
        <f t="shared" si="17"/>
        <v>1</v>
      </c>
      <c r="Y30" s="98">
        <f t="shared" si="17"/>
        <v>1</v>
      </c>
      <c r="Z30" s="124"/>
      <c r="AA30" s="98">
        <f xml:space="preserve"> IF( (AC30 - AD30) = 0, 0, 1 )</f>
        <v>0</v>
      </c>
      <c r="AB30" s="124"/>
      <c r="AC30" s="117">
        <f>+M30</f>
        <v>0</v>
      </c>
      <c r="AD30" s="117">
        <f xml:space="preserve"> ROUND( ('2B'!G30+'2B'!H30), 3 )</f>
        <v>0</v>
      </c>
      <c r="AE30" s="144" t="s">
        <v>6514</v>
      </c>
      <c r="AF30" s="124"/>
      <c r="AL30" s="947" t="s">
        <v>5358</v>
      </c>
      <c r="AM30" s="948" t="s">
        <v>3612</v>
      </c>
      <c r="AN30" s="948"/>
      <c r="AO30" s="949" t="s">
        <v>750</v>
      </c>
      <c r="AP30" s="978">
        <v>3</v>
      </c>
      <c r="AQ30" s="2987" t="s">
        <v>7268</v>
      </c>
      <c r="AR30" s="2988" t="s">
        <v>7269</v>
      </c>
      <c r="AS30" s="3001" t="s">
        <v>7270</v>
      </c>
      <c r="AT30" s="3002" t="s">
        <v>7271</v>
      </c>
      <c r="AU30" s="3002" t="s">
        <v>7272</v>
      </c>
      <c r="AV30" s="3003" t="s">
        <v>7273</v>
      </c>
      <c r="AW30" s="2288" t="s">
        <v>7274</v>
      </c>
    </row>
    <row r="31" spans="1:49" customFormat="1" ht="15" thickBot="1">
      <c r="A31" s="933"/>
      <c r="B31" s="963" t="s">
        <v>5359</v>
      </c>
      <c r="C31" s="964" t="s">
        <v>2602</v>
      </c>
      <c r="D31" s="964"/>
      <c r="E31" s="965" t="s">
        <v>750</v>
      </c>
      <c r="F31" s="1761">
        <v>3</v>
      </c>
      <c r="G31" s="979">
        <f t="shared" ref="G31" si="18">G19+G29-G30</f>
        <v>0</v>
      </c>
      <c r="H31" s="1502">
        <f>H19+H29-H30</f>
        <v>0</v>
      </c>
      <c r="I31" s="979">
        <f t="shared" ref="I31:L31" si="19">I19+I29-I30</f>
        <v>0</v>
      </c>
      <c r="J31" s="987">
        <f t="shared" si="19"/>
        <v>0</v>
      </c>
      <c r="K31" s="987">
        <f t="shared" si="19"/>
        <v>0</v>
      </c>
      <c r="L31" s="1843">
        <f t="shared" si="19"/>
        <v>0</v>
      </c>
      <c r="M31" s="969">
        <f t="shared" si="10"/>
        <v>0</v>
      </c>
      <c r="N31" s="970"/>
      <c r="P31" s="597"/>
      <c r="R31" s="72"/>
      <c r="S31" s="71"/>
      <c r="Z31" s="72"/>
      <c r="AA31" s="73"/>
      <c r="AB31" s="72"/>
      <c r="AC31" s="496"/>
      <c r="AD31" s="496"/>
      <c r="AE31" s="496"/>
      <c r="AF31" s="72"/>
      <c r="AL31" s="963" t="s">
        <v>5359</v>
      </c>
      <c r="AM31" s="964" t="s">
        <v>2602</v>
      </c>
      <c r="AN31" s="964"/>
      <c r="AO31" s="965" t="s">
        <v>750</v>
      </c>
      <c r="AP31" s="962">
        <v>3</v>
      </c>
      <c r="AQ31" s="2296" t="s">
        <v>7275</v>
      </c>
      <c r="AR31" s="2297" t="s">
        <v>7276</v>
      </c>
      <c r="AS31" s="2297" t="s">
        <v>7277</v>
      </c>
      <c r="AT31" s="2297" t="s">
        <v>7278</v>
      </c>
      <c r="AU31" s="2297" t="s">
        <v>7279</v>
      </c>
      <c r="AV31" s="2297" t="s">
        <v>7280</v>
      </c>
      <c r="AW31" s="2288" t="s">
        <v>7281</v>
      </c>
    </row>
    <row r="32" spans="1:49" customFormat="1" ht="15" thickBot="1">
      <c r="A32" s="933"/>
      <c r="B32" s="933"/>
      <c r="C32" s="933"/>
      <c r="D32" s="933"/>
      <c r="E32" s="933"/>
      <c r="F32" s="933"/>
      <c r="G32" s="933"/>
      <c r="H32" s="933"/>
      <c r="I32" s="933"/>
      <c r="J32" s="933"/>
      <c r="K32" s="933"/>
      <c r="L32" s="933"/>
      <c r="M32" s="933"/>
      <c r="N32" s="2133"/>
      <c r="P32" s="597"/>
      <c r="R32" s="72"/>
      <c r="S32" s="71"/>
      <c r="Z32" s="72"/>
      <c r="AA32" s="73"/>
      <c r="AB32" s="72"/>
      <c r="AC32" s="496"/>
      <c r="AD32" s="496"/>
      <c r="AE32" s="496"/>
      <c r="AF32" s="72"/>
      <c r="AL32" s="971"/>
      <c r="AM32" s="971"/>
      <c r="AN32" s="971"/>
      <c r="AO32" s="971"/>
      <c r="AP32" s="971"/>
      <c r="AQ32" s="2993"/>
      <c r="AR32" s="2993"/>
      <c r="AS32" s="2993"/>
      <c r="AT32" s="2993"/>
      <c r="AU32" s="2993"/>
      <c r="AV32" s="2993"/>
      <c r="AW32" s="2993"/>
    </row>
    <row r="33" spans="1:49" customFormat="1" ht="15" thickBot="1">
      <c r="A33" s="933"/>
      <c r="B33" s="934" t="s">
        <v>2464</v>
      </c>
      <c r="C33" s="935" t="s">
        <v>4054</v>
      </c>
      <c r="D33" s="972"/>
      <c r="E33" s="980"/>
      <c r="F33" s="980"/>
      <c r="G33" s="980"/>
      <c r="H33" s="980"/>
      <c r="I33" s="980"/>
      <c r="J33" s="980"/>
      <c r="K33" s="980"/>
      <c r="L33" s="980"/>
      <c r="M33" s="980"/>
      <c r="N33" s="2133"/>
      <c r="P33" s="597"/>
      <c r="R33" s="72"/>
      <c r="S33" s="71"/>
      <c r="Z33" s="72"/>
      <c r="AA33" s="132"/>
      <c r="AB33" s="72"/>
      <c r="AC33" s="496"/>
      <c r="AD33" s="496"/>
      <c r="AE33" s="496"/>
      <c r="AF33" s="72"/>
      <c r="AL33" s="934" t="s">
        <v>2464</v>
      </c>
      <c r="AM33" s="935" t="s">
        <v>4054</v>
      </c>
      <c r="AN33" s="2742"/>
      <c r="AO33" s="980"/>
      <c r="AP33" s="980"/>
      <c r="AQ33" s="2298"/>
      <c r="AR33" s="2298"/>
      <c r="AS33" s="2298"/>
      <c r="AT33" s="2298"/>
      <c r="AU33" s="2298"/>
      <c r="AV33" s="2298"/>
      <c r="AW33" s="2298"/>
    </row>
    <row r="34" spans="1:49" customFormat="1">
      <c r="A34" s="933"/>
      <c r="B34" s="937" t="s">
        <v>5367</v>
      </c>
      <c r="C34" s="938" t="s">
        <v>2604</v>
      </c>
      <c r="D34" s="938"/>
      <c r="E34" s="939" t="s">
        <v>750</v>
      </c>
      <c r="F34" s="981">
        <v>3</v>
      </c>
      <c r="G34" s="941"/>
      <c r="H34" s="1496"/>
      <c r="I34" s="1488"/>
      <c r="J34" s="942"/>
      <c r="K34" s="982"/>
      <c r="L34" s="982"/>
      <c r="M34" s="1511">
        <f>+SUM(G34:L34)</f>
        <v>0</v>
      </c>
      <c r="N34" s="983"/>
      <c r="P34" s="945" t="str">
        <f t="shared" ref="P34:P35" si="20" xml:space="preserve"> IF( SUM( R34:Z34 ) = 0, 0, $T$5 )</f>
        <v>Please complete all cells in row</v>
      </c>
      <c r="Q34" s="946"/>
      <c r="R34" s="72"/>
      <c r="S34" s="71"/>
      <c r="T34" s="98">
        <f t="shared" ref="T34:Y35" si="21" xml:space="preserve"> IF( ISNUMBER( G34 ), 0, 1 )</f>
        <v>1</v>
      </c>
      <c r="U34" s="98">
        <f t="shared" si="21"/>
        <v>1</v>
      </c>
      <c r="V34" s="98">
        <f t="shared" si="21"/>
        <v>1</v>
      </c>
      <c r="W34" s="98">
        <f t="shared" si="21"/>
        <v>1</v>
      </c>
      <c r="X34" s="98">
        <f t="shared" si="21"/>
        <v>1</v>
      </c>
      <c r="Y34" s="98">
        <f t="shared" si="21"/>
        <v>1</v>
      </c>
      <c r="Z34" s="72"/>
      <c r="AA34" s="73"/>
      <c r="AB34" s="72"/>
      <c r="AC34" s="496"/>
      <c r="AD34" s="496"/>
      <c r="AE34" s="496"/>
      <c r="AF34" s="72"/>
      <c r="AL34" s="937" t="s">
        <v>5367</v>
      </c>
      <c r="AM34" s="938" t="s">
        <v>2604</v>
      </c>
      <c r="AN34" s="938"/>
      <c r="AO34" s="939" t="s">
        <v>750</v>
      </c>
      <c r="AP34" s="981">
        <v>3</v>
      </c>
      <c r="AQ34" s="2982" t="s">
        <v>7282</v>
      </c>
      <c r="AR34" s="2983" t="s">
        <v>7283</v>
      </c>
      <c r="AS34" s="2984" t="s">
        <v>7284</v>
      </c>
      <c r="AT34" s="2985" t="s">
        <v>7285</v>
      </c>
      <c r="AU34" s="2986" t="s">
        <v>7286</v>
      </c>
      <c r="AV34" s="2986" t="s">
        <v>7287</v>
      </c>
      <c r="AW34" s="2299" t="s">
        <v>7288</v>
      </c>
    </row>
    <row r="35" spans="1:49" customFormat="1">
      <c r="A35" s="933"/>
      <c r="B35" s="947" t="s">
        <v>5360</v>
      </c>
      <c r="C35" s="948" t="s">
        <v>2605</v>
      </c>
      <c r="D35" s="948"/>
      <c r="E35" s="949" t="s">
        <v>750</v>
      </c>
      <c r="F35" s="978">
        <v>3</v>
      </c>
      <c r="G35" s="951"/>
      <c r="H35" s="1497"/>
      <c r="I35" s="1489"/>
      <c r="J35" s="952"/>
      <c r="K35" s="984"/>
      <c r="L35" s="984"/>
      <c r="M35" s="1512">
        <f>+SUM(G35:L35)</f>
        <v>0</v>
      </c>
      <c r="N35" s="985"/>
      <c r="P35" s="945" t="str">
        <f t="shared" si="20"/>
        <v>Please complete all cells in row</v>
      </c>
      <c r="Q35" s="946"/>
      <c r="R35" s="124"/>
      <c r="S35" s="71"/>
      <c r="T35" s="98">
        <f t="shared" si="21"/>
        <v>1</v>
      </c>
      <c r="U35" s="98">
        <f t="shared" si="21"/>
        <v>1</v>
      </c>
      <c r="V35" s="98">
        <f t="shared" si="21"/>
        <v>1</v>
      </c>
      <c r="W35" s="98">
        <f t="shared" si="21"/>
        <v>1</v>
      </c>
      <c r="X35" s="98">
        <f t="shared" si="21"/>
        <v>1</v>
      </c>
      <c r="Y35" s="98">
        <f t="shared" si="21"/>
        <v>1</v>
      </c>
      <c r="Z35" s="124"/>
      <c r="AA35" s="73"/>
      <c r="AB35" s="124"/>
      <c r="AC35" s="496"/>
      <c r="AD35" s="496"/>
      <c r="AE35" s="496"/>
      <c r="AF35" s="124"/>
      <c r="AL35" s="947" t="s">
        <v>5360</v>
      </c>
      <c r="AM35" s="948" t="s">
        <v>2605</v>
      </c>
      <c r="AN35" s="948"/>
      <c r="AO35" s="949" t="s">
        <v>750</v>
      </c>
      <c r="AP35" s="978">
        <v>3</v>
      </c>
      <c r="AQ35" s="2987" t="s">
        <v>7289</v>
      </c>
      <c r="AR35" s="2988" t="s">
        <v>7290</v>
      </c>
      <c r="AS35" s="2989" t="s">
        <v>7291</v>
      </c>
      <c r="AT35" s="2990" t="s">
        <v>7292</v>
      </c>
      <c r="AU35" s="2991" t="s">
        <v>7293</v>
      </c>
      <c r="AV35" s="2991" t="s">
        <v>7294</v>
      </c>
      <c r="AW35" s="2300" t="s">
        <v>7295</v>
      </c>
    </row>
    <row r="36" spans="1:49" customFormat="1" ht="15" thickBot="1">
      <c r="A36" s="933"/>
      <c r="B36" s="963" t="s">
        <v>5361</v>
      </c>
      <c r="C36" s="964" t="s">
        <v>2606</v>
      </c>
      <c r="D36" s="964"/>
      <c r="E36" s="965" t="s">
        <v>750</v>
      </c>
      <c r="F36" s="986">
        <v>3</v>
      </c>
      <c r="G36" s="979">
        <f t="shared" ref="G36" si="22">SUM(G31:G35)</f>
        <v>0</v>
      </c>
      <c r="H36" s="1502">
        <f>SUM(H31:H35)</f>
        <v>0</v>
      </c>
      <c r="I36" s="1494">
        <f>SUM(I31:I35)</f>
        <v>0</v>
      </c>
      <c r="J36" s="987">
        <f>SUM(J31:J35)</f>
        <v>0</v>
      </c>
      <c r="K36" s="988">
        <f>SUM(K31:K35)</f>
        <v>0</v>
      </c>
      <c r="L36" s="988">
        <f>SUM(L31:L35)</f>
        <v>0</v>
      </c>
      <c r="M36" s="1513">
        <f>+SUM(G36:L36)</f>
        <v>0</v>
      </c>
      <c r="N36" s="970"/>
      <c r="P36" s="597"/>
      <c r="R36" s="129"/>
      <c r="S36" s="71"/>
      <c r="Z36" s="129"/>
      <c r="AA36" s="73"/>
      <c r="AB36" s="129"/>
      <c r="AC36" s="496"/>
      <c r="AD36" s="496"/>
      <c r="AE36" s="496"/>
      <c r="AF36" s="129"/>
      <c r="AL36" s="963" t="s">
        <v>5361</v>
      </c>
      <c r="AM36" s="964" t="s">
        <v>2606</v>
      </c>
      <c r="AN36" s="964"/>
      <c r="AO36" s="965" t="s">
        <v>750</v>
      </c>
      <c r="AP36" s="986">
        <v>3</v>
      </c>
      <c r="AQ36" s="2296" t="s">
        <v>7296</v>
      </c>
      <c r="AR36" s="2297" t="s">
        <v>7297</v>
      </c>
      <c r="AS36" s="2301" t="s">
        <v>7298</v>
      </c>
      <c r="AT36" s="2302" t="s">
        <v>7299</v>
      </c>
      <c r="AU36" s="2303" t="s">
        <v>7300</v>
      </c>
      <c r="AV36" s="2303" t="s">
        <v>7301</v>
      </c>
      <c r="AW36" s="2304" t="s">
        <v>7302</v>
      </c>
    </row>
    <row r="37" spans="1:49" customFormat="1" ht="15" thickBot="1">
      <c r="A37" s="933"/>
      <c r="B37" s="998"/>
      <c r="C37" s="990"/>
      <c r="D37" s="990"/>
      <c r="E37" s="991"/>
      <c r="F37" s="991"/>
      <c r="G37" s="991"/>
      <c r="H37" s="991"/>
      <c r="I37" s="991"/>
      <c r="J37" s="991"/>
      <c r="K37" s="991"/>
      <c r="L37" s="991"/>
      <c r="M37" s="991"/>
      <c r="N37" s="2134"/>
      <c r="P37" s="597"/>
      <c r="R37" s="129"/>
      <c r="S37" s="71"/>
      <c r="Z37" s="129"/>
      <c r="AA37" s="73"/>
      <c r="AB37" s="129"/>
      <c r="AC37" s="496"/>
      <c r="AD37" s="496"/>
      <c r="AE37" s="496"/>
      <c r="AF37" s="129"/>
      <c r="AL37" s="998"/>
      <c r="AM37" s="990"/>
      <c r="AN37" s="990"/>
      <c r="AO37" s="991"/>
      <c r="AP37" s="991"/>
      <c r="AQ37" s="2305"/>
      <c r="AR37" s="2305"/>
      <c r="AS37" s="2305"/>
      <c r="AT37" s="2305"/>
      <c r="AU37" s="2305"/>
      <c r="AV37" s="2305"/>
      <c r="AW37" s="2305"/>
    </row>
    <row r="38" spans="1:49" customFormat="1" ht="15" thickBot="1">
      <c r="A38" s="933"/>
      <c r="B38" s="934" t="s">
        <v>2473</v>
      </c>
      <c r="C38" s="1792" t="s">
        <v>4055</v>
      </c>
      <c r="D38" s="972"/>
      <c r="E38" s="991"/>
      <c r="F38" s="991"/>
      <c r="G38" s="992"/>
      <c r="H38" s="992"/>
      <c r="I38" s="992"/>
      <c r="J38" s="992"/>
      <c r="K38" s="992"/>
      <c r="L38" s="992"/>
      <c r="M38" s="992"/>
      <c r="N38" s="2135"/>
      <c r="P38" s="597"/>
      <c r="R38" s="129"/>
      <c r="Z38" s="129"/>
      <c r="AA38" s="73"/>
      <c r="AB38" s="129"/>
      <c r="AC38" s="496"/>
      <c r="AD38" s="496"/>
      <c r="AE38" s="496"/>
      <c r="AF38" s="129"/>
      <c r="AL38" s="934" t="s">
        <v>2473</v>
      </c>
      <c r="AM38" s="935" t="s">
        <v>4055</v>
      </c>
      <c r="AN38" s="2742"/>
      <c r="AO38" s="991"/>
      <c r="AP38" s="991"/>
      <c r="AQ38" s="2272"/>
      <c r="AR38" s="2272"/>
      <c r="AS38" s="2272"/>
      <c r="AT38" s="2272"/>
      <c r="AU38" s="2272"/>
      <c r="AV38" s="2272"/>
      <c r="AW38" s="2272"/>
    </row>
    <row r="39" spans="1:49" customFormat="1">
      <c r="A39" s="933"/>
      <c r="B39" s="937" t="s">
        <v>5362</v>
      </c>
      <c r="C39" s="2132" t="s">
        <v>4056</v>
      </c>
      <c r="D39" s="994"/>
      <c r="E39" s="939" t="s">
        <v>750</v>
      </c>
      <c r="F39" s="940">
        <v>3</v>
      </c>
      <c r="G39" s="941"/>
      <c r="H39" s="1496"/>
      <c r="I39" s="1488"/>
      <c r="J39" s="942"/>
      <c r="K39" s="982"/>
      <c r="L39" s="982"/>
      <c r="M39" s="1514">
        <f t="shared" ref="M39:M49" si="23">+SUM(G39:L39)</f>
        <v>0</v>
      </c>
      <c r="N39" s="983"/>
      <c r="P39" s="1639">
        <f t="shared" ref="P39:P48" si="24">(IF(SUM(T39:Z39)=0,IF(S39=1,AE$39,0),$T$5))</f>
        <v>0</v>
      </c>
      <c r="Q39" s="946"/>
      <c r="R39" s="129"/>
      <c r="S39" s="1864">
        <f xml:space="preserve"> IF( AND(OR(C39 = "Item 1",C39=""), OR( G39 &lt;&gt; 0, H39 &lt;&gt; 0, I39 &lt;&gt; 0, J39 &lt;&gt; 0, K39 &lt;&gt; 0, L39 &lt;&gt; 0) ), 1, 0 )</f>
        <v>0</v>
      </c>
      <c r="T39" s="1864">
        <f xml:space="preserve"> IF(AND($C39="Item 1",$M39=0), 0, IF( ISNUMBER( G39 ), 0, 1 ))</f>
        <v>0</v>
      </c>
      <c r="U39" s="1864">
        <f t="shared" ref="U39:Y39" si="25" xml:space="preserve"> IF(AND($C39="Item 1",$M39=0), 0, IF( ISNUMBER( H39 ), 0, 1 ))</f>
        <v>0</v>
      </c>
      <c r="V39" s="1864">
        <f t="shared" si="25"/>
        <v>0</v>
      </c>
      <c r="W39" s="1864">
        <f t="shared" si="25"/>
        <v>0</v>
      </c>
      <c r="X39" s="1864">
        <f t="shared" si="25"/>
        <v>0</v>
      </c>
      <c r="Y39" s="1864">
        <f t="shared" si="25"/>
        <v>0</v>
      </c>
      <c r="Z39" s="72"/>
      <c r="AA39" s="73"/>
      <c r="AB39" s="129"/>
      <c r="AC39" s="496"/>
      <c r="AD39" s="496"/>
      <c r="AE39" s="496" t="s">
        <v>11708</v>
      </c>
      <c r="AF39" s="129"/>
      <c r="AL39" s="937" t="s">
        <v>5362</v>
      </c>
      <c r="AM39" s="3004" t="s">
        <v>7303</v>
      </c>
      <c r="AN39" s="3005"/>
      <c r="AO39" s="939" t="s">
        <v>750</v>
      </c>
      <c r="AP39" s="940">
        <v>3</v>
      </c>
      <c r="AQ39" s="2982" t="s">
        <v>7303</v>
      </c>
      <c r="AR39" s="2983" t="s">
        <v>7304</v>
      </c>
      <c r="AS39" s="2984" t="s">
        <v>7305</v>
      </c>
      <c r="AT39" s="2985" t="s">
        <v>7306</v>
      </c>
      <c r="AU39" s="2986" t="s">
        <v>7307</v>
      </c>
      <c r="AV39" s="2986" t="s">
        <v>7308</v>
      </c>
      <c r="AW39" s="2306" t="s">
        <v>7309</v>
      </c>
    </row>
    <row r="40" spans="1:49" customFormat="1">
      <c r="A40" s="933"/>
      <c r="B40" s="947" t="s">
        <v>5363</v>
      </c>
      <c r="C40" s="2132" t="s">
        <v>4057</v>
      </c>
      <c r="D40" s="952"/>
      <c r="E40" s="949" t="s">
        <v>750</v>
      </c>
      <c r="F40" s="950">
        <v>3</v>
      </c>
      <c r="G40" s="951"/>
      <c r="H40" s="1497"/>
      <c r="I40" s="1489"/>
      <c r="J40" s="952"/>
      <c r="K40" s="984"/>
      <c r="L40" s="984"/>
      <c r="M40" s="1515">
        <f t="shared" si="23"/>
        <v>0</v>
      </c>
      <c r="N40" s="985"/>
      <c r="P40" s="1639">
        <f t="shared" si="24"/>
        <v>0</v>
      </c>
      <c r="Q40" s="946"/>
      <c r="R40" s="129"/>
      <c r="S40" s="1864">
        <f xml:space="preserve"> IF( AND(OR(C40 = "Item 2",C40=""), OR( G40 &lt;&gt; 0, H40 &lt;&gt; 0, I40 &lt;&gt; 0, J40 &lt;&gt; 0, K40 &lt;&gt; 0, L40 &lt;&gt; 0) ), 1, 0 )</f>
        <v>0</v>
      </c>
      <c r="T40" s="1864">
        <f xml:space="preserve"> IF(AND($C40="Item 2",$M40=0), 0, IF( ISNUMBER( G40 ), 0, 1 ))</f>
        <v>0</v>
      </c>
      <c r="U40" s="1864">
        <f t="shared" ref="U40:Y40" si="26" xml:space="preserve"> IF(AND($C40="Item 2",$M40=0), 0, IF( ISNUMBER( H40 ), 0, 1 ))</f>
        <v>0</v>
      </c>
      <c r="V40" s="1864">
        <f t="shared" si="26"/>
        <v>0</v>
      </c>
      <c r="W40" s="1864">
        <f t="shared" si="26"/>
        <v>0</v>
      </c>
      <c r="X40" s="1864">
        <f t="shared" si="26"/>
        <v>0</v>
      </c>
      <c r="Y40" s="1864">
        <f t="shared" si="26"/>
        <v>0</v>
      </c>
      <c r="Z40" s="129"/>
      <c r="AA40" s="73"/>
      <c r="AB40" s="129"/>
      <c r="AC40" s="496"/>
      <c r="AD40" s="496"/>
      <c r="AE40" s="496"/>
      <c r="AF40" s="129"/>
      <c r="AL40" s="947" t="s">
        <v>5363</v>
      </c>
      <c r="AM40" s="3004" t="s">
        <v>7310</v>
      </c>
      <c r="AN40" s="3006"/>
      <c r="AO40" s="949" t="s">
        <v>750</v>
      </c>
      <c r="AP40" s="950">
        <v>3</v>
      </c>
      <c r="AQ40" s="2987" t="s">
        <v>7310</v>
      </c>
      <c r="AR40" s="2988" t="s">
        <v>7311</v>
      </c>
      <c r="AS40" s="2989" t="s">
        <v>7312</v>
      </c>
      <c r="AT40" s="2990" t="s">
        <v>7313</v>
      </c>
      <c r="AU40" s="2991" t="s">
        <v>7314</v>
      </c>
      <c r="AV40" s="2991" t="s">
        <v>7315</v>
      </c>
      <c r="AW40" s="2307" t="s">
        <v>7316</v>
      </c>
    </row>
    <row r="41" spans="1:49" customFormat="1">
      <c r="A41" s="933"/>
      <c r="B41" s="947" t="s">
        <v>5364</v>
      </c>
      <c r="C41" s="2132" t="s">
        <v>4058</v>
      </c>
      <c r="D41" s="952"/>
      <c r="E41" s="949" t="s">
        <v>750</v>
      </c>
      <c r="F41" s="950">
        <v>3</v>
      </c>
      <c r="G41" s="951"/>
      <c r="H41" s="1497"/>
      <c r="I41" s="1489"/>
      <c r="J41" s="952"/>
      <c r="K41" s="984"/>
      <c r="L41" s="984"/>
      <c r="M41" s="1515">
        <f t="shared" si="23"/>
        <v>0</v>
      </c>
      <c r="N41" s="995"/>
      <c r="P41" s="1639">
        <f t="shared" si="24"/>
        <v>0</v>
      </c>
      <c r="Q41" s="946"/>
      <c r="R41" s="129"/>
      <c r="S41" s="1864">
        <f xml:space="preserve"> IF( AND(OR(C41 = "Item 3",C41=""), OR( G41 &lt;&gt; 0, H41 &lt;&gt; 0, I41 &lt;&gt; 0, J41 &lt;&gt; 0, K41 &lt;&gt; 0, L41 &lt;&gt; 0) ), 1, 0 )</f>
        <v>0</v>
      </c>
      <c r="T41" s="1864">
        <f xml:space="preserve"> IF(AND($C41="Item 3",$M41=0), 0, IF( ISNUMBER( G41 ), 0, 1 ))</f>
        <v>0</v>
      </c>
      <c r="U41" s="1864">
        <f t="shared" ref="U41:Y41" si="27" xml:space="preserve"> IF(AND($C41="Item 3",$M41=0), 0, IF( ISNUMBER( H41 ), 0, 1 ))</f>
        <v>0</v>
      </c>
      <c r="V41" s="1864">
        <f t="shared" si="27"/>
        <v>0</v>
      </c>
      <c r="W41" s="1864">
        <f t="shared" si="27"/>
        <v>0</v>
      </c>
      <c r="X41" s="1864">
        <f t="shared" si="27"/>
        <v>0</v>
      </c>
      <c r="Y41" s="1864">
        <f t="shared" si="27"/>
        <v>0</v>
      </c>
      <c r="Z41" s="129"/>
      <c r="AA41" s="73"/>
      <c r="AB41" s="129"/>
      <c r="AC41" s="117"/>
      <c r="AD41" s="117"/>
      <c r="AE41" s="144"/>
      <c r="AF41" s="129"/>
      <c r="AL41" s="947" t="s">
        <v>5364</v>
      </c>
      <c r="AM41" s="3004" t="s">
        <v>7317</v>
      </c>
      <c r="AN41" s="3006"/>
      <c r="AO41" s="949" t="s">
        <v>750</v>
      </c>
      <c r="AP41" s="950">
        <v>3</v>
      </c>
      <c r="AQ41" s="2987" t="s">
        <v>7317</v>
      </c>
      <c r="AR41" s="2988" t="s">
        <v>7318</v>
      </c>
      <c r="AS41" s="2989" t="s">
        <v>7319</v>
      </c>
      <c r="AT41" s="2990" t="s">
        <v>7320</v>
      </c>
      <c r="AU41" s="2991" t="s">
        <v>7321</v>
      </c>
      <c r="AV41" s="2991" t="s">
        <v>7322</v>
      </c>
      <c r="AW41" s="2307" t="s">
        <v>7323</v>
      </c>
    </row>
    <row r="42" spans="1:49" customFormat="1">
      <c r="A42" s="933"/>
      <c r="B42" s="996" t="s">
        <v>5365</v>
      </c>
      <c r="C42" s="2132" t="s">
        <v>4059</v>
      </c>
      <c r="D42" s="952"/>
      <c r="E42" s="949" t="s">
        <v>750</v>
      </c>
      <c r="F42" s="950">
        <v>3</v>
      </c>
      <c r="G42" s="951"/>
      <c r="H42" s="1497"/>
      <c r="I42" s="1489"/>
      <c r="J42" s="952"/>
      <c r="K42" s="984"/>
      <c r="L42" s="984"/>
      <c r="M42" s="1515">
        <f t="shared" si="23"/>
        <v>0</v>
      </c>
      <c r="N42" s="995"/>
      <c r="P42" s="1639">
        <f t="shared" si="24"/>
        <v>0</v>
      </c>
      <c r="Q42" s="946"/>
      <c r="R42" s="129"/>
      <c r="S42" s="1864">
        <f xml:space="preserve"> IF( AND(OR(C42 = "Item 4",C42=""), OR( G42 &lt;&gt; 0, H42 &lt;&gt; 0, I42 &lt;&gt; 0, J42 &lt;&gt; 0, K42 &lt;&gt; 0, L42 &lt;&gt; 0) ), 1, 0 )</f>
        <v>0</v>
      </c>
      <c r="T42" s="1864">
        <f xml:space="preserve"> IF(AND($C42="Item 4",$M42=0), 0, IF( ISNUMBER( G42 ), 0, 1 ))</f>
        <v>0</v>
      </c>
      <c r="U42" s="1864">
        <f t="shared" ref="U42:Y42" si="28" xml:space="preserve"> IF(AND($C42="Item 4",$M42=0), 0, IF( ISNUMBER( H42 ), 0, 1 ))</f>
        <v>0</v>
      </c>
      <c r="V42" s="1864">
        <f t="shared" si="28"/>
        <v>0</v>
      </c>
      <c r="W42" s="1864">
        <f t="shared" si="28"/>
        <v>0</v>
      </c>
      <c r="X42" s="1864">
        <f t="shared" si="28"/>
        <v>0</v>
      </c>
      <c r="Y42" s="1864">
        <f t="shared" si="28"/>
        <v>0</v>
      </c>
      <c r="Z42" s="129"/>
      <c r="AA42" s="73"/>
      <c r="AB42" s="129"/>
      <c r="AC42" s="496"/>
      <c r="AD42" s="496"/>
      <c r="AE42" s="496"/>
      <c r="AF42" s="129"/>
      <c r="AL42" s="996" t="s">
        <v>5365</v>
      </c>
      <c r="AM42" s="3004" t="s">
        <v>7324</v>
      </c>
      <c r="AN42" s="3006"/>
      <c r="AO42" s="949" t="s">
        <v>750</v>
      </c>
      <c r="AP42" s="950">
        <v>3</v>
      </c>
      <c r="AQ42" s="2987" t="s">
        <v>7324</v>
      </c>
      <c r="AR42" s="2988" t="s">
        <v>7325</v>
      </c>
      <c r="AS42" s="2989" t="s">
        <v>7326</v>
      </c>
      <c r="AT42" s="2990" t="s">
        <v>7327</v>
      </c>
      <c r="AU42" s="2991" t="s">
        <v>7328</v>
      </c>
      <c r="AV42" s="2991" t="s">
        <v>7329</v>
      </c>
      <c r="AW42" s="2307" t="s">
        <v>7330</v>
      </c>
    </row>
    <row r="43" spans="1:49" customFormat="1">
      <c r="A43" s="933"/>
      <c r="B43" s="947" t="s">
        <v>5366</v>
      </c>
      <c r="C43" s="2132" t="s">
        <v>4060</v>
      </c>
      <c r="D43" s="952"/>
      <c r="E43" s="949" t="s">
        <v>750</v>
      </c>
      <c r="F43" s="950">
        <v>3</v>
      </c>
      <c r="G43" s="951"/>
      <c r="H43" s="1497"/>
      <c r="I43" s="1489"/>
      <c r="J43" s="952"/>
      <c r="K43" s="984"/>
      <c r="L43" s="984"/>
      <c r="M43" s="1515">
        <f t="shared" si="23"/>
        <v>0</v>
      </c>
      <c r="N43" s="995"/>
      <c r="P43" s="1639">
        <f t="shared" si="24"/>
        <v>0</v>
      </c>
      <c r="Q43" s="946"/>
      <c r="R43" s="129"/>
      <c r="S43" s="1864">
        <f xml:space="preserve"> IF( AND(OR(C43 = "Item 5",C43=""), OR( G43 &lt;&gt; 0, H43 &lt;&gt; 0, I43 &lt;&gt; 0, J43 &lt;&gt; 0, K43 &lt;&gt; 0, L43 &lt;&gt; 0) ), 1, 0 )</f>
        <v>0</v>
      </c>
      <c r="T43" s="1864">
        <f xml:space="preserve"> IF(AND($C43="Item 5",$M43=0), 0, IF( ISNUMBER( G43 ), 0, 1 ))</f>
        <v>0</v>
      </c>
      <c r="U43" s="1864">
        <f t="shared" ref="U43:Y43" si="29" xml:space="preserve"> IF(AND($C43="Item 5",$M43=0), 0, IF( ISNUMBER( H43 ), 0, 1 ))</f>
        <v>0</v>
      </c>
      <c r="V43" s="1864">
        <f t="shared" si="29"/>
        <v>0</v>
      </c>
      <c r="W43" s="1864">
        <f t="shared" si="29"/>
        <v>0</v>
      </c>
      <c r="X43" s="1864">
        <f t="shared" si="29"/>
        <v>0</v>
      </c>
      <c r="Y43" s="1864">
        <f t="shared" si="29"/>
        <v>0</v>
      </c>
      <c r="Z43" s="129"/>
      <c r="AA43" s="73"/>
      <c r="AB43" s="129"/>
      <c r="AC43" s="496"/>
      <c r="AD43" s="496"/>
      <c r="AE43" s="496"/>
      <c r="AF43" s="129"/>
      <c r="AL43" s="947" t="s">
        <v>5366</v>
      </c>
      <c r="AM43" s="3004" t="s">
        <v>7331</v>
      </c>
      <c r="AN43" s="3006"/>
      <c r="AO43" s="949" t="s">
        <v>750</v>
      </c>
      <c r="AP43" s="950">
        <v>3</v>
      </c>
      <c r="AQ43" s="2987" t="s">
        <v>7331</v>
      </c>
      <c r="AR43" s="2988" t="s">
        <v>7332</v>
      </c>
      <c r="AS43" s="2989" t="s">
        <v>7333</v>
      </c>
      <c r="AT43" s="2990" t="s">
        <v>7334</v>
      </c>
      <c r="AU43" s="2991" t="s">
        <v>7335</v>
      </c>
      <c r="AV43" s="2991" t="s">
        <v>7336</v>
      </c>
      <c r="AW43" s="2307" t="s">
        <v>7337</v>
      </c>
    </row>
    <row r="44" spans="1:49" customFormat="1">
      <c r="A44" s="933"/>
      <c r="B44" s="1436" t="s">
        <v>5373</v>
      </c>
      <c r="C44" s="2132" t="s">
        <v>5368</v>
      </c>
      <c r="D44" s="1437"/>
      <c r="E44" s="949" t="s">
        <v>750</v>
      </c>
      <c r="F44" s="950">
        <v>3</v>
      </c>
      <c r="G44" s="1438"/>
      <c r="H44" s="1503"/>
      <c r="I44" s="1495"/>
      <c r="J44" s="1437"/>
      <c r="K44" s="1439"/>
      <c r="L44" s="1439"/>
      <c r="M44" s="1515">
        <f t="shared" ref="M44:M48" si="30">+SUM(G44:L44)</f>
        <v>0</v>
      </c>
      <c r="N44" s="995"/>
      <c r="P44" s="1639">
        <f t="shared" si="24"/>
        <v>0</v>
      </c>
      <c r="Q44" s="946"/>
      <c r="R44" s="129"/>
      <c r="S44" s="1864">
        <f xml:space="preserve"> IF( AND(OR(C44 = "Item 6",C44=""), OR( G44 &lt;&gt; 0, H44 &lt;&gt; 0, I44 &lt;&gt; 0, J44 &lt;&gt; 0, K44 &lt;&gt; 0, L44 &lt;&gt; 0) ), 1, 0 )</f>
        <v>0</v>
      </c>
      <c r="T44" s="1864">
        <f xml:space="preserve"> IF(AND($C44="Item 6",$M44=0), 0, IF( ISNUMBER( G44 ), 0, 1 ))</f>
        <v>0</v>
      </c>
      <c r="U44" s="1864">
        <f t="shared" ref="U44:Y44" si="31" xml:space="preserve"> IF(AND($C44="Item 6",$M44=0), 0, IF( ISNUMBER( H44 ), 0, 1 ))</f>
        <v>0</v>
      </c>
      <c r="V44" s="1864">
        <f t="shared" si="31"/>
        <v>0</v>
      </c>
      <c r="W44" s="1864">
        <f t="shared" si="31"/>
        <v>0</v>
      </c>
      <c r="X44" s="1864">
        <f t="shared" si="31"/>
        <v>0</v>
      </c>
      <c r="Y44" s="1864">
        <f t="shared" si="31"/>
        <v>0</v>
      </c>
      <c r="Z44" s="129"/>
      <c r="AA44" s="73"/>
      <c r="AB44" s="129"/>
      <c r="AC44" s="496"/>
      <c r="AD44" s="496"/>
      <c r="AE44" s="496"/>
      <c r="AF44" s="129"/>
      <c r="AL44" s="1436" t="s">
        <v>5373</v>
      </c>
      <c r="AM44" s="3004" t="s">
        <v>7338</v>
      </c>
      <c r="AN44" s="3007"/>
      <c r="AO44" s="949" t="s">
        <v>750</v>
      </c>
      <c r="AP44" s="950">
        <v>3</v>
      </c>
      <c r="AQ44" s="3008" t="s">
        <v>7338</v>
      </c>
      <c r="AR44" s="3009" t="s">
        <v>7339</v>
      </c>
      <c r="AS44" s="3010" t="s">
        <v>7340</v>
      </c>
      <c r="AT44" s="3011" t="s">
        <v>7341</v>
      </c>
      <c r="AU44" s="3012" t="s">
        <v>7342</v>
      </c>
      <c r="AV44" s="3012" t="s">
        <v>7343</v>
      </c>
      <c r="AW44" s="2307" t="s">
        <v>7344</v>
      </c>
    </row>
    <row r="45" spans="1:49" customFormat="1">
      <c r="A45" s="933"/>
      <c r="B45" s="1436" t="s">
        <v>5374</v>
      </c>
      <c r="C45" s="2132" t="s">
        <v>5369</v>
      </c>
      <c r="D45" s="1437"/>
      <c r="E45" s="949" t="s">
        <v>750</v>
      </c>
      <c r="F45" s="950">
        <v>3</v>
      </c>
      <c r="G45" s="1438"/>
      <c r="H45" s="1503"/>
      <c r="I45" s="1495"/>
      <c r="J45" s="1437"/>
      <c r="K45" s="1439"/>
      <c r="L45" s="1439"/>
      <c r="M45" s="1515">
        <f t="shared" si="30"/>
        <v>0</v>
      </c>
      <c r="N45" s="995"/>
      <c r="P45" s="1639">
        <f t="shared" si="24"/>
        <v>0</v>
      </c>
      <c r="Q45" s="946"/>
      <c r="R45" s="129"/>
      <c r="S45" s="1864">
        <f xml:space="preserve"> IF( AND(OR(C45 = "Item 7",C45=""), OR( G45 &lt;&gt; 0, H45 &lt;&gt; 0, I45 &lt;&gt; 0, J45 &lt;&gt; 0, K45 &lt;&gt; 0, L45 &lt;&gt; 0) ), 1, 0 )</f>
        <v>0</v>
      </c>
      <c r="T45" s="1864">
        <f xml:space="preserve"> IF(AND($C45="Item 7",$M45=0), 0, IF( ISNUMBER( G45 ), 0, 1 ))</f>
        <v>0</v>
      </c>
      <c r="U45" s="1864">
        <f t="shared" ref="U45:Y45" si="32" xml:space="preserve"> IF(AND($C45="Item 7",$M45=0), 0, IF( ISNUMBER( H45 ), 0, 1 ))</f>
        <v>0</v>
      </c>
      <c r="V45" s="1864">
        <f t="shared" si="32"/>
        <v>0</v>
      </c>
      <c r="W45" s="1864">
        <f t="shared" si="32"/>
        <v>0</v>
      </c>
      <c r="X45" s="1864">
        <f t="shared" si="32"/>
        <v>0</v>
      </c>
      <c r="Y45" s="1864">
        <f t="shared" si="32"/>
        <v>0</v>
      </c>
      <c r="Z45" s="129"/>
      <c r="AA45" s="73"/>
      <c r="AB45" s="129"/>
      <c r="AC45" s="496"/>
      <c r="AD45" s="496"/>
      <c r="AE45" s="496"/>
      <c r="AF45" s="129"/>
      <c r="AL45" s="1436" t="s">
        <v>5374</v>
      </c>
      <c r="AM45" s="3004" t="s">
        <v>7345</v>
      </c>
      <c r="AN45" s="3007"/>
      <c r="AO45" s="949" t="s">
        <v>750</v>
      </c>
      <c r="AP45" s="950">
        <v>3</v>
      </c>
      <c r="AQ45" s="3008" t="s">
        <v>7345</v>
      </c>
      <c r="AR45" s="3009" t="s">
        <v>7346</v>
      </c>
      <c r="AS45" s="3010" t="s">
        <v>7347</v>
      </c>
      <c r="AT45" s="3011" t="s">
        <v>7348</v>
      </c>
      <c r="AU45" s="3012" t="s">
        <v>7349</v>
      </c>
      <c r="AV45" s="3012" t="s">
        <v>7350</v>
      </c>
      <c r="AW45" s="2307" t="s">
        <v>7351</v>
      </c>
    </row>
    <row r="46" spans="1:49" customFormat="1">
      <c r="A46" s="933"/>
      <c r="B46" s="1436" t="s">
        <v>6516</v>
      </c>
      <c r="C46" s="2132" t="s">
        <v>5370</v>
      </c>
      <c r="D46" s="1437"/>
      <c r="E46" s="949" t="s">
        <v>750</v>
      </c>
      <c r="F46" s="950">
        <v>3</v>
      </c>
      <c r="G46" s="1438"/>
      <c r="H46" s="1503"/>
      <c r="I46" s="1495"/>
      <c r="J46" s="1437"/>
      <c r="K46" s="1439"/>
      <c r="L46" s="1439"/>
      <c r="M46" s="1515">
        <f t="shared" si="30"/>
        <v>0</v>
      </c>
      <c r="N46" s="995"/>
      <c r="P46" s="1639">
        <f t="shared" si="24"/>
        <v>0</v>
      </c>
      <c r="Q46" s="946"/>
      <c r="R46" s="129"/>
      <c r="S46" s="1864">
        <f xml:space="preserve"> IF( AND(OR(C46 = "Item 8",C46=""), OR( G46 &lt;&gt; 0, H46 &lt;&gt; 0, I46 &lt;&gt; 0, J46 &lt;&gt; 0, K46 &lt;&gt; 0, L46 &lt;&gt; 0) ), 1, 0 )</f>
        <v>0</v>
      </c>
      <c r="T46" s="1864">
        <f xml:space="preserve"> IF(AND($C46="Item 8",$M46=0), 0, IF( ISNUMBER( G46 ), 0, 1 ))</f>
        <v>0</v>
      </c>
      <c r="U46" s="1864">
        <f t="shared" ref="U46:Y46" si="33" xml:space="preserve"> IF(AND($C46="Item 8",$M46=0), 0, IF( ISNUMBER( H46 ), 0, 1 ))</f>
        <v>0</v>
      </c>
      <c r="V46" s="1864">
        <f t="shared" si="33"/>
        <v>0</v>
      </c>
      <c r="W46" s="1864">
        <f t="shared" si="33"/>
        <v>0</v>
      </c>
      <c r="X46" s="1864">
        <f t="shared" si="33"/>
        <v>0</v>
      </c>
      <c r="Y46" s="1864">
        <f t="shared" si="33"/>
        <v>0</v>
      </c>
      <c r="Z46" s="129"/>
      <c r="AA46" s="73"/>
      <c r="AB46" s="129"/>
      <c r="AC46" s="496"/>
      <c r="AD46" s="496"/>
      <c r="AE46" s="496"/>
      <c r="AF46" s="129"/>
      <c r="AL46" s="1436" t="s">
        <v>6516</v>
      </c>
      <c r="AM46" s="3004" t="s">
        <v>7352</v>
      </c>
      <c r="AN46" s="3007"/>
      <c r="AO46" s="949" t="s">
        <v>750</v>
      </c>
      <c r="AP46" s="950">
        <v>3</v>
      </c>
      <c r="AQ46" s="3008" t="s">
        <v>7352</v>
      </c>
      <c r="AR46" s="3009" t="s">
        <v>7353</v>
      </c>
      <c r="AS46" s="3010" t="s">
        <v>7354</v>
      </c>
      <c r="AT46" s="3011" t="s">
        <v>7355</v>
      </c>
      <c r="AU46" s="3012" t="s">
        <v>7356</v>
      </c>
      <c r="AV46" s="3012" t="s">
        <v>7357</v>
      </c>
      <c r="AW46" s="2307" t="s">
        <v>7358</v>
      </c>
    </row>
    <row r="47" spans="1:49" customFormat="1">
      <c r="A47" s="933"/>
      <c r="B47" s="1436" t="s">
        <v>6517</v>
      </c>
      <c r="C47" s="2132" t="s">
        <v>5371</v>
      </c>
      <c r="D47" s="1437"/>
      <c r="E47" s="949" t="s">
        <v>750</v>
      </c>
      <c r="F47" s="950">
        <v>3</v>
      </c>
      <c r="G47" s="1438"/>
      <c r="H47" s="1503"/>
      <c r="I47" s="1495"/>
      <c r="J47" s="1437"/>
      <c r="K47" s="1439"/>
      <c r="L47" s="1439"/>
      <c r="M47" s="1515">
        <f t="shared" si="30"/>
        <v>0</v>
      </c>
      <c r="N47" s="995"/>
      <c r="P47" s="1639">
        <f t="shared" si="24"/>
        <v>0</v>
      </c>
      <c r="Q47" s="946"/>
      <c r="R47" s="129"/>
      <c r="S47" s="1864">
        <f xml:space="preserve"> IF( AND(OR(C47 = "Item 9",C47=""), OR( G47 &lt;&gt; 0, H47 &lt;&gt; 0, I47 &lt;&gt; 0, J47 &lt;&gt; 0, K47 &lt;&gt; 0, L47 &lt;&gt; 0) ), 1, 0 )</f>
        <v>0</v>
      </c>
      <c r="T47" s="1864">
        <f xml:space="preserve"> IF(AND($C47="Item 9",$M47=0), 0, IF( ISNUMBER( G47 ), 0, 1 ))</f>
        <v>0</v>
      </c>
      <c r="U47" s="1864">
        <f t="shared" ref="U47:Y47" si="34" xml:space="preserve"> IF(AND($C47="Item 9",$M47=0), 0, IF( ISNUMBER( H47 ), 0, 1 ))</f>
        <v>0</v>
      </c>
      <c r="V47" s="1864">
        <f t="shared" si="34"/>
        <v>0</v>
      </c>
      <c r="W47" s="1864">
        <f t="shared" si="34"/>
        <v>0</v>
      </c>
      <c r="X47" s="1864">
        <f t="shared" si="34"/>
        <v>0</v>
      </c>
      <c r="Y47" s="1864">
        <f t="shared" si="34"/>
        <v>0</v>
      </c>
      <c r="Z47" s="129"/>
      <c r="AA47" s="73"/>
      <c r="AB47" s="129"/>
      <c r="AC47" s="496"/>
      <c r="AD47" s="496"/>
      <c r="AE47" s="496"/>
      <c r="AF47" s="129"/>
      <c r="AL47" s="1436" t="s">
        <v>6517</v>
      </c>
      <c r="AM47" s="3004" t="s">
        <v>7359</v>
      </c>
      <c r="AN47" s="3007"/>
      <c r="AO47" s="949" t="s">
        <v>750</v>
      </c>
      <c r="AP47" s="950">
        <v>3</v>
      </c>
      <c r="AQ47" s="3008" t="s">
        <v>7359</v>
      </c>
      <c r="AR47" s="3009" t="s">
        <v>7360</v>
      </c>
      <c r="AS47" s="3010" t="s">
        <v>7361</v>
      </c>
      <c r="AT47" s="3011" t="s">
        <v>7362</v>
      </c>
      <c r="AU47" s="3012" t="s">
        <v>7363</v>
      </c>
      <c r="AV47" s="3012" t="s">
        <v>7364</v>
      </c>
      <c r="AW47" s="2307" t="s">
        <v>7365</v>
      </c>
    </row>
    <row r="48" spans="1:49" customFormat="1">
      <c r="A48" s="933"/>
      <c r="B48" s="1436" t="s">
        <v>6518</v>
      </c>
      <c r="C48" s="2132" t="s">
        <v>5372</v>
      </c>
      <c r="D48" s="1437"/>
      <c r="E48" s="949" t="s">
        <v>750</v>
      </c>
      <c r="F48" s="950">
        <v>3</v>
      </c>
      <c r="G48" s="1438"/>
      <c r="H48" s="1503"/>
      <c r="I48" s="1495"/>
      <c r="J48" s="1437"/>
      <c r="K48" s="1439"/>
      <c r="L48" s="1439"/>
      <c r="M48" s="1515">
        <f t="shared" si="30"/>
        <v>0</v>
      </c>
      <c r="N48" s="995"/>
      <c r="P48" s="1639">
        <f t="shared" si="24"/>
        <v>0</v>
      </c>
      <c r="Q48" s="946"/>
      <c r="R48" s="72"/>
      <c r="S48" s="1864">
        <f xml:space="preserve"> IF( AND(OR(C48 = "Item 10",C48=""), OR( G48 &lt;&gt; 0, H48 &lt;&gt; 0, I48 &lt;&gt; 0, J48 &lt;&gt; 0, K48 &lt;&gt; 0, L48 &lt;&gt; 0) ), 1, 0 )</f>
        <v>0</v>
      </c>
      <c r="T48" s="1864">
        <f xml:space="preserve"> IF(AND($C48="Item 10",$M48=0), 0, IF( ISNUMBER( G48 ), 0, 1 ))</f>
        <v>0</v>
      </c>
      <c r="U48" s="1864">
        <f t="shared" ref="U48:Y48" si="35" xml:space="preserve"> IF(AND($C48="Item 10",$M48=0), 0, IF( ISNUMBER( H48 ), 0, 1 ))</f>
        <v>0</v>
      </c>
      <c r="V48" s="1864">
        <f t="shared" si="35"/>
        <v>0</v>
      </c>
      <c r="W48" s="1864">
        <f t="shared" si="35"/>
        <v>0</v>
      </c>
      <c r="X48" s="1864">
        <f t="shared" si="35"/>
        <v>0</v>
      </c>
      <c r="Y48" s="1864">
        <f t="shared" si="35"/>
        <v>0</v>
      </c>
      <c r="Z48" s="72"/>
      <c r="AA48" s="73"/>
      <c r="AB48" s="72"/>
      <c r="AC48" s="496"/>
      <c r="AD48" s="496"/>
      <c r="AE48" s="496"/>
      <c r="AF48" s="72"/>
      <c r="AL48" s="1436" t="s">
        <v>6518</v>
      </c>
      <c r="AM48" s="3004" t="s">
        <v>7366</v>
      </c>
      <c r="AN48" s="3007"/>
      <c r="AO48" s="949" t="s">
        <v>750</v>
      </c>
      <c r="AP48" s="950">
        <v>3</v>
      </c>
      <c r="AQ48" s="3008" t="s">
        <v>7366</v>
      </c>
      <c r="AR48" s="3009" t="s">
        <v>7367</v>
      </c>
      <c r="AS48" s="3010" t="s">
        <v>7368</v>
      </c>
      <c r="AT48" s="3011" t="s">
        <v>7369</v>
      </c>
      <c r="AU48" s="3012" t="s">
        <v>7370</v>
      </c>
      <c r="AV48" s="3012" t="s">
        <v>7371</v>
      </c>
      <c r="AW48" s="2307" t="s">
        <v>7372</v>
      </c>
    </row>
    <row r="49" spans="1:49" customFormat="1" ht="15" thickBot="1">
      <c r="A49" s="933"/>
      <c r="B49" s="963" t="s">
        <v>6519</v>
      </c>
      <c r="C49" s="964" t="s">
        <v>4061</v>
      </c>
      <c r="D49" s="964"/>
      <c r="E49" s="965" t="s">
        <v>750</v>
      </c>
      <c r="F49" s="966">
        <v>3</v>
      </c>
      <c r="G49" s="2044">
        <f t="shared" ref="G49:L49" si="36">+SUM(G39:G48)</f>
        <v>0</v>
      </c>
      <c r="H49" s="2045">
        <f t="shared" si="36"/>
        <v>0</v>
      </c>
      <c r="I49" s="2046">
        <f t="shared" si="36"/>
        <v>0</v>
      </c>
      <c r="J49" s="2047">
        <f t="shared" si="36"/>
        <v>0</v>
      </c>
      <c r="K49" s="2048">
        <f t="shared" si="36"/>
        <v>0</v>
      </c>
      <c r="L49" s="2048">
        <f t="shared" si="36"/>
        <v>0</v>
      </c>
      <c r="M49" s="1516">
        <f t="shared" si="23"/>
        <v>0</v>
      </c>
      <c r="N49" s="997"/>
      <c r="R49" s="72"/>
      <c r="Z49" s="72"/>
      <c r="AA49" s="73"/>
      <c r="AB49" s="129"/>
      <c r="AC49" s="496"/>
      <c r="AD49" s="496"/>
      <c r="AE49" s="496"/>
      <c r="AF49" s="72"/>
      <c r="AL49" s="963" t="s">
        <v>6519</v>
      </c>
      <c r="AM49" s="964" t="s">
        <v>4061</v>
      </c>
      <c r="AN49" s="1702"/>
      <c r="AO49" s="965" t="s">
        <v>750</v>
      </c>
      <c r="AP49" s="966">
        <v>3</v>
      </c>
      <c r="AQ49" s="3013" t="s">
        <v>7373</v>
      </c>
      <c r="AR49" s="3014" t="s">
        <v>7374</v>
      </c>
      <c r="AS49" s="3015" t="s">
        <v>7375</v>
      </c>
      <c r="AT49" s="3016" t="s">
        <v>7376</v>
      </c>
      <c r="AU49" s="3017" t="s">
        <v>7377</v>
      </c>
      <c r="AV49" s="3017" t="s">
        <v>7378</v>
      </c>
      <c r="AW49" s="2308" t="s">
        <v>7379</v>
      </c>
    </row>
    <row r="50" spans="1:49" customFormat="1" ht="15" thickBot="1">
      <c r="A50" s="933"/>
      <c r="B50" s="998"/>
      <c r="C50" s="990"/>
      <c r="D50" s="990"/>
      <c r="E50" s="991"/>
      <c r="F50" s="991"/>
      <c r="G50" s="992"/>
      <c r="H50" s="992"/>
      <c r="I50" s="992"/>
      <c r="J50" s="992"/>
      <c r="K50" s="992"/>
      <c r="L50" s="992"/>
      <c r="M50" s="992"/>
      <c r="N50" s="993"/>
      <c r="P50" s="893"/>
      <c r="R50" s="72"/>
      <c r="Z50" s="72"/>
      <c r="AA50" s="73"/>
      <c r="AB50" s="129"/>
      <c r="AC50" s="496"/>
      <c r="AD50" s="496"/>
      <c r="AE50" s="496"/>
      <c r="AF50" s="72"/>
      <c r="AL50" s="998"/>
      <c r="AM50" s="990"/>
      <c r="AN50" s="990"/>
      <c r="AO50" s="991"/>
      <c r="AP50" s="991"/>
      <c r="AQ50" s="2272"/>
      <c r="AR50" s="2272"/>
      <c r="AS50" s="2272"/>
      <c r="AT50" s="2272"/>
      <c r="AU50" s="2272"/>
      <c r="AV50" s="2272"/>
      <c r="AW50" s="2272"/>
    </row>
    <row r="51" spans="1:49" customFormat="1" ht="15" thickBot="1">
      <c r="A51" s="933"/>
      <c r="B51" s="934" t="s">
        <v>2480</v>
      </c>
      <c r="C51" s="1792" t="s">
        <v>4062</v>
      </c>
      <c r="D51" s="972"/>
      <c r="E51" s="991"/>
      <c r="F51" s="991"/>
      <c r="G51" s="992"/>
      <c r="H51" s="992"/>
      <c r="I51" s="992"/>
      <c r="J51" s="992"/>
      <c r="K51" s="992"/>
      <c r="L51" s="992"/>
      <c r="M51" s="992"/>
      <c r="N51" s="993"/>
      <c r="R51" s="72"/>
      <c r="S51" s="86"/>
      <c r="Z51" s="72"/>
      <c r="AA51" s="73"/>
      <c r="AB51" s="129"/>
      <c r="AC51" s="496"/>
      <c r="AD51" s="496"/>
      <c r="AE51" s="496"/>
      <c r="AF51" s="72"/>
      <c r="AL51" s="934" t="s">
        <v>2480</v>
      </c>
      <c r="AM51" s="999" t="s">
        <v>4062</v>
      </c>
      <c r="AN51" s="2742"/>
      <c r="AO51" s="991"/>
      <c r="AP51" s="991"/>
      <c r="AQ51" s="2272"/>
      <c r="AR51" s="2272"/>
      <c r="AS51" s="2272"/>
      <c r="AT51" s="2272"/>
      <c r="AU51" s="2272"/>
      <c r="AV51" s="2272"/>
      <c r="AW51" s="2272"/>
    </row>
    <row r="52" spans="1:49" customFormat="1" ht="27" customHeight="1" thickBot="1">
      <c r="A52" s="933"/>
      <c r="B52" s="1000" t="s">
        <v>6520</v>
      </c>
      <c r="C52" s="1001" t="s">
        <v>4063</v>
      </c>
      <c r="D52" s="1002"/>
      <c r="E52" s="1003" t="s">
        <v>750</v>
      </c>
      <c r="F52" s="1004">
        <v>3</v>
      </c>
      <c r="G52" s="2049">
        <f t="shared" ref="G52:L52" si="37">+G49+G36</f>
        <v>0</v>
      </c>
      <c r="H52" s="2050">
        <f t="shared" si="37"/>
        <v>0</v>
      </c>
      <c r="I52" s="2051">
        <f t="shared" si="37"/>
        <v>0</v>
      </c>
      <c r="J52" s="2052">
        <f t="shared" si="37"/>
        <v>0</v>
      </c>
      <c r="K52" s="2052">
        <f t="shared" si="37"/>
        <v>0</v>
      </c>
      <c r="L52" s="2053">
        <f t="shared" si="37"/>
        <v>0</v>
      </c>
      <c r="M52" s="2054">
        <f>+SUM(G52:L52)</f>
        <v>0</v>
      </c>
      <c r="N52" s="993"/>
      <c r="P52" s="1431">
        <f xml:space="preserve"> IF( SUM( Z52:AB52 ) = 0, 0, AE52 )</f>
        <v>0</v>
      </c>
      <c r="R52" s="72"/>
      <c r="S52" s="86"/>
      <c r="Z52" s="72"/>
      <c r="AA52" s="98">
        <f xml:space="preserve"> IF( (AC52 - AD52) = 0, 0, 1 )</f>
        <v>0</v>
      </c>
      <c r="AB52" s="129"/>
      <c r="AC52" s="117">
        <f xml:space="preserve"> ROUND( M52, 3 )</f>
        <v>0</v>
      </c>
      <c r="AD52" s="117">
        <f xml:space="preserve"> ROUND( ('4D'!M39), 3 )</f>
        <v>0</v>
      </c>
      <c r="AE52" s="144" t="s">
        <v>6515</v>
      </c>
      <c r="AF52" s="72"/>
      <c r="AL52" s="1000" t="s">
        <v>6520</v>
      </c>
      <c r="AM52" s="1001" t="s">
        <v>4063</v>
      </c>
      <c r="AN52" s="1703"/>
      <c r="AO52" s="1003" t="s">
        <v>750</v>
      </c>
      <c r="AP52" s="1004">
        <v>3</v>
      </c>
      <c r="AQ52" s="3018" t="s">
        <v>7380</v>
      </c>
      <c r="AR52" s="3019" t="s">
        <v>7381</v>
      </c>
      <c r="AS52" s="3020" t="s">
        <v>7382</v>
      </c>
      <c r="AT52" s="3021" t="s">
        <v>7383</v>
      </c>
      <c r="AU52" s="3021" t="s">
        <v>7384</v>
      </c>
      <c r="AV52" s="3022" t="s">
        <v>7385</v>
      </c>
      <c r="AW52" s="3023" t="s">
        <v>7386</v>
      </c>
    </row>
    <row r="53" spans="1:49"/>
    <row r="54" spans="1:49">
      <c r="B54" s="3457" t="s">
        <v>2420</v>
      </c>
      <c r="C54" s="3457"/>
      <c r="D54" s="1005"/>
      <c r="E54" s="170"/>
      <c r="F54" s="170"/>
      <c r="G54" s="170"/>
      <c r="H54" s="170"/>
      <c r="I54" s="170"/>
      <c r="J54" s="170"/>
      <c r="K54" s="170"/>
      <c r="L54" s="170"/>
      <c r="M54" s="170"/>
      <c r="N54" s="170"/>
    </row>
    <row r="55" spans="1:49">
      <c r="B55" s="1006"/>
      <c r="C55" s="1007"/>
      <c r="D55" s="1007"/>
      <c r="E55" s="170"/>
      <c r="F55" s="170"/>
      <c r="G55" s="170"/>
      <c r="H55" s="170"/>
      <c r="I55" s="170"/>
      <c r="J55" s="170"/>
      <c r="K55" s="170"/>
      <c r="L55" s="170"/>
      <c r="M55" s="170"/>
      <c r="N55" s="170"/>
    </row>
    <row r="56" spans="1:49">
      <c r="B56" s="1008"/>
      <c r="C56" s="1009" t="s">
        <v>2421</v>
      </c>
      <c r="D56" s="1009"/>
      <c r="E56" s="170"/>
      <c r="F56" s="170"/>
      <c r="G56" s="170"/>
      <c r="H56" s="170"/>
      <c r="I56" s="170"/>
      <c r="J56" s="170"/>
      <c r="K56" s="170"/>
      <c r="L56" s="170"/>
      <c r="M56" s="170"/>
      <c r="N56" s="170"/>
    </row>
    <row r="57" spans="1:49">
      <c r="B57" s="1006"/>
      <c r="C57" s="1007"/>
      <c r="D57" s="1007"/>
      <c r="E57" s="170"/>
      <c r="F57" s="170"/>
      <c r="G57" s="170"/>
      <c r="H57" s="170" t="s">
        <v>4064</v>
      </c>
      <c r="I57" s="170"/>
      <c r="J57" s="170"/>
      <c r="K57" s="170"/>
      <c r="L57" s="170"/>
      <c r="M57" s="170"/>
      <c r="N57" s="170"/>
    </row>
    <row r="58" spans="1:49">
      <c r="B58" s="1010"/>
      <c r="C58" s="1009" t="s">
        <v>2422</v>
      </c>
      <c r="D58" s="1009"/>
      <c r="E58" s="170"/>
      <c r="F58" s="170"/>
      <c r="G58" s="170"/>
      <c r="H58" s="170"/>
      <c r="I58" s="170"/>
      <c r="J58" s="170"/>
      <c r="K58" s="170"/>
      <c r="L58" s="170"/>
      <c r="M58" s="170"/>
      <c r="N58" s="170"/>
    </row>
    <row r="59" spans="1:49" s="200" customFormat="1">
      <c r="A59" s="496"/>
      <c r="B59" s="185"/>
      <c r="C59" s="186"/>
      <c r="D59" s="186"/>
      <c r="E59" s="185"/>
      <c r="F59" s="185"/>
      <c r="G59" s="185"/>
      <c r="H59" s="185"/>
      <c r="I59" s="185"/>
      <c r="J59" s="185"/>
      <c r="K59" s="185"/>
      <c r="L59" s="185"/>
      <c r="M59" s="185"/>
      <c r="N59" s="185"/>
      <c r="O59" s="496"/>
      <c r="P59" s="86"/>
      <c r="R59" s="72"/>
      <c r="Z59" s="72"/>
      <c r="AA59" s="73"/>
      <c r="AB59" s="72"/>
      <c r="AC59" s="496"/>
      <c r="AD59" s="496"/>
      <c r="AE59" s="496"/>
      <c r="AF59" s="72"/>
    </row>
    <row r="60" spans="1:49" s="200" customFormat="1" ht="15" thickBot="1">
      <c r="A60" s="496"/>
      <c r="B60" s="185"/>
      <c r="C60" s="186"/>
      <c r="D60" s="186"/>
      <c r="E60" s="185"/>
      <c r="F60" s="185"/>
      <c r="G60" s="185"/>
      <c r="H60" s="185"/>
      <c r="I60" s="185"/>
      <c r="J60" s="185"/>
      <c r="K60" s="185"/>
      <c r="L60" s="185"/>
      <c r="M60" s="185"/>
      <c r="N60" s="185"/>
      <c r="O60" s="496"/>
      <c r="P60" s="86"/>
      <c r="R60" s="72"/>
      <c r="Z60" s="72"/>
      <c r="AA60" s="73"/>
      <c r="AB60" s="72"/>
      <c r="AC60" s="496"/>
      <c r="AD60" s="496"/>
      <c r="AE60" s="496"/>
      <c r="AF60" s="72"/>
    </row>
    <row r="61" spans="1:49" s="200" customFormat="1" ht="14.65" customHeight="1" thickBot="1">
      <c r="A61" s="496"/>
      <c r="B61" s="1433" t="s">
        <v>12572</v>
      </c>
      <c r="C61" s="1012"/>
      <c r="D61" s="1012"/>
      <c r="E61" s="1012"/>
      <c r="F61" s="1012"/>
      <c r="G61" s="1012"/>
      <c r="H61" s="1012"/>
      <c r="I61" s="1012"/>
      <c r="J61" s="1012"/>
      <c r="K61" s="1012"/>
      <c r="L61" s="1012"/>
      <c r="M61" s="1012"/>
      <c r="N61" s="1012"/>
      <c r="O61" s="1013"/>
      <c r="P61" s="86"/>
      <c r="R61" s="72"/>
      <c r="Z61" s="72"/>
      <c r="AA61" s="73"/>
      <c r="AB61" s="72"/>
      <c r="AC61" s="496"/>
      <c r="AD61" s="496"/>
      <c r="AE61" s="496"/>
      <c r="AF61" s="72"/>
    </row>
    <row r="62" spans="1:49" s="200" customFormat="1" ht="15" thickBot="1">
      <c r="A62" s="496"/>
      <c r="B62" s="185"/>
      <c r="C62" s="186"/>
      <c r="D62" s="186"/>
      <c r="E62" s="185"/>
      <c r="F62" s="185"/>
      <c r="G62" s="185"/>
      <c r="H62" s="185"/>
      <c r="I62" s="185"/>
      <c r="J62" s="185"/>
      <c r="K62" s="185"/>
      <c r="L62" s="185"/>
      <c r="M62" s="185"/>
      <c r="N62" s="185"/>
      <c r="O62" s="496"/>
      <c r="P62" s="86"/>
      <c r="R62" s="72"/>
      <c r="Z62" s="72"/>
      <c r="AA62" s="73"/>
      <c r="AB62" s="72"/>
      <c r="AC62" s="496"/>
      <c r="AD62" s="496"/>
      <c r="AE62" s="496"/>
      <c r="AF62" s="72"/>
    </row>
    <row r="63" spans="1:49" s="200" customFormat="1" ht="15" hidden="1" thickBot="1">
      <c r="A63" s="1649"/>
      <c r="B63" s="34" t="str">
        <f ca="1" xml:space="preserve"> RIGHT(CELL("filename", $A$1), LEN(CELL("filename", $A$1)) - SEARCH("]", CELL("filename", $A$1)))&amp;" - Line definitions"</f>
        <v>4J - Line definitions</v>
      </c>
      <c r="C63" s="1011"/>
      <c r="D63" s="1011"/>
      <c r="E63" s="1012"/>
      <c r="F63" s="1012"/>
      <c r="G63" s="1012"/>
      <c r="H63" s="1012"/>
      <c r="I63" s="1012"/>
      <c r="J63" s="1012"/>
      <c r="K63" s="1012"/>
      <c r="L63" s="1012"/>
      <c r="M63" s="1012"/>
      <c r="N63" s="1012"/>
      <c r="O63" s="1013"/>
      <c r="P63" s="1014"/>
      <c r="R63" s="72"/>
      <c r="Z63" s="72"/>
      <c r="AA63" s="73"/>
      <c r="AB63" s="72"/>
      <c r="AC63" s="496"/>
      <c r="AD63" s="496"/>
      <c r="AE63" s="496"/>
      <c r="AF63" s="72"/>
    </row>
    <row r="64" spans="1:49" s="200" customFormat="1" ht="15" hidden="1" thickBot="1">
      <c r="A64" s="1649"/>
      <c r="B64" s="1015"/>
      <c r="C64" s="1016"/>
      <c r="D64" s="1016"/>
      <c r="E64" s="1014"/>
      <c r="F64" s="1014"/>
      <c r="G64" s="1014"/>
      <c r="H64" s="1014"/>
      <c r="I64" s="1014"/>
      <c r="J64" s="1014"/>
      <c r="K64" s="1014"/>
      <c r="L64" s="1014"/>
      <c r="M64" s="1014"/>
      <c r="N64" s="1014"/>
      <c r="O64" s="1014"/>
      <c r="P64" s="1014"/>
      <c r="R64" s="72"/>
      <c r="Z64" s="72"/>
      <c r="AA64" s="73"/>
      <c r="AB64" s="72"/>
      <c r="AC64" s="496"/>
      <c r="AD64" s="496"/>
      <c r="AE64" s="496"/>
      <c r="AF64" s="72"/>
    </row>
    <row r="65" spans="1:32" s="200" customFormat="1" ht="15" hidden="1" thickBot="1">
      <c r="A65" s="1649"/>
      <c r="B65" s="1017" t="s">
        <v>2423</v>
      </c>
      <c r="C65" s="3458" t="s">
        <v>2424</v>
      </c>
      <c r="D65" s="3459"/>
      <c r="E65" s="3459"/>
      <c r="F65" s="3459"/>
      <c r="G65" s="3459"/>
      <c r="H65" s="3459"/>
      <c r="I65" s="3459"/>
      <c r="J65" s="3459"/>
      <c r="K65" s="3459"/>
      <c r="L65" s="3459"/>
      <c r="M65" s="3459"/>
      <c r="N65" s="3459"/>
      <c r="O65" s="3460"/>
      <c r="P65" s="1018"/>
      <c r="R65" s="72"/>
      <c r="Z65" s="72"/>
      <c r="AA65" s="73"/>
      <c r="AB65" s="72"/>
      <c r="AC65" s="496"/>
      <c r="AD65" s="496"/>
      <c r="AE65" s="496"/>
      <c r="AF65" s="72"/>
    </row>
    <row r="66" spans="1:32" s="200" customFormat="1" ht="14.25" hidden="1" customHeight="1">
      <c r="A66" s="1649"/>
      <c r="B66" s="1019">
        <v>1</v>
      </c>
      <c r="C66" s="3461" t="s">
        <v>4065</v>
      </c>
      <c r="D66" s="3462"/>
      <c r="E66" s="3462"/>
      <c r="F66" s="3462"/>
      <c r="G66" s="3462"/>
      <c r="H66" s="3462"/>
      <c r="I66" s="3462"/>
      <c r="J66" s="3462"/>
      <c r="K66" s="3462"/>
      <c r="L66" s="3462"/>
      <c r="M66" s="3462"/>
      <c r="N66" s="3462"/>
      <c r="O66" s="3463"/>
      <c r="P66" s="1020"/>
      <c r="R66" s="72"/>
      <c r="Z66" s="72"/>
      <c r="AA66" s="73"/>
      <c r="AB66" s="72"/>
      <c r="AC66" s="496"/>
      <c r="AD66" s="496"/>
      <c r="AE66" s="496"/>
      <c r="AF66" s="72"/>
    </row>
    <row r="67" spans="1:32" s="200" customFormat="1" ht="45" hidden="1" customHeight="1">
      <c r="A67" s="1649"/>
      <c r="B67" s="1021">
        <f t="shared" ref="B67:B89" si="38" xml:space="preserve"> B66 + 1</f>
        <v>2</v>
      </c>
      <c r="C67" s="3451" t="s">
        <v>4066</v>
      </c>
      <c r="D67" s="3452"/>
      <c r="E67" s="3452"/>
      <c r="F67" s="3452"/>
      <c r="G67" s="3452"/>
      <c r="H67" s="3452"/>
      <c r="I67" s="3452"/>
      <c r="J67" s="3452"/>
      <c r="K67" s="3452"/>
      <c r="L67" s="3452"/>
      <c r="M67" s="3452"/>
      <c r="N67" s="3452"/>
      <c r="O67" s="3453"/>
      <c r="P67" s="1020"/>
      <c r="R67" s="72"/>
      <c r="Z67" s="72"/>
      <c r="AA67" s="73"/>
      <c r="AB67" s="72"/>
      <c r="AC67" s="496"/>
      <c r="AD67" s="496"/>
      <c r="AE67" s="496"/>
      <c r="AF67" s="72"/>
    </row>
    <row r="68" spans="1:32" s="200" customFormat="1" ht="14.25" hidden="1" customHeight="1">
      <c r="A68" s="1649"/>
      <c r="B68" s="1021">
        <f t="shared" si="38"/>
        <v>3</v>
      </c>
      <c r="C68" s="3451" t="s">
        <v>4067</v>
      </c>
      <c r="D68" s="3452"/>
      <c r="E68" s="3452"/>
      <c r="F68" s="3452"/>
      <c r="G68" s="3452"/>
      <c r="H68" s="3452"/>
      <c r="I68" s="3452"/>
      <c r="J68" s="3452"/>
      <c r="K68" s="3452"/>
      <c r="L68" s="3452"/>
      <c r="M68" s="3452"/>
      <c r="N68" s="3452"/>
      <c r="O68" s="3453"/>
      <c r="P68" s="1020"/>
      <c r="R68" s="72"/>
      <c r="Z68" s="72"/>
      <c r="AA68" s="73"/>
      <c r="AB68" s="72"/>
      <c r="AC68" s="496"/>
      <c r="AD68" s="496"/>
      <c r="AE68" s="496"/>
      <c r="AF68" s="72"/>
    </row>
    <row r="69" spans="1:32" s="200" customFormat="1" ht="13.5" hidden="1" customHeight="1">
      <c r="A69" s="1649"/>
      <c r="B69" s="1021">
        <f t="shared" si="38"/>
        <v>4</v>
      </c>
      <c r="C69" s="3451" t="s">
        <v>3667</v>
      </c>
      <c r="D69" s="3452"/>
      <c r="E69" s="3452"/>
      <c r="F69" s="3452"/>
      <c r="G69" s="3452"/>
      <c r="H69" s="3452"/>
      <c r="I69" s="3452"/>
      <c r="J69" s="3452"/>
      <c r="K69" s="3452"/>
      <c r="L69" s="3452"/>
      <c r="M69" s="3452"/>
      <c r="N69" s="3452"/>
      <c r="O69" s="3453"/>
      <c r="P69" s="1020"/>
      <c r="R69" s="72"/>
      <c r="Z69" s="72"/>
      <c r="AA69" s="73"/>
      <c r="AB69" s="72"/>
      <c r="AC69" s="496"/>
      <c r="AD69" s="496"/>
      <c r="AE69" s="496"/>
      <c r="AF69" s="72"/>
    </row>
    <row r="70" spans="1:32" s="200" customFormat="1" ht="14.25" hidden="1" customHeight="1">
      <c r="A70" s="1649"/>
      <c r="B70" s="1021">
        <f t="shared" si="38"/>
        <v>5</v>
      </c>
      <c r="C70" s="3464" t="s">
        <v>3795</v>
      </c>
      <c r="D70" s="3465"/>
      <c r="E70" s="3465"/>
      <c r="F70" s="3465"/>
      <c r="G70" s="3465"/>
      <c r="H70" s="3465"/>
      <c r="I70" s="3465"/>
      <c r="J70" s="3465"/>
      <c r="K70" s="3465"/>
      <c r="L70" s="3465"/>
      <c r="M70" s="3465"/>
      <c r="N70" s="3465"/>
      <c r="O70" s="3466"/>
      <c r="P70" s="1020"/>
      <c r="R70" s="72"/>
      <c r="Z70" s="72"/>
      <c r="AA70" s="73"/>
      <c r="AB70" s="72"/>
      <c r="AC70" s="496"/>
      <c r="AD70" s="496"/>
      <c r="AE70" s="496"/>
      <c r="AF70" s="72"/>
    </row>
    <row r="71" spans="1:32" s="200" customFormat="1" ht="14.25" hidden="1" customHeight="1">
      <c r="A71" s="1649"/>
      <c r="B71" s="1021">
        <f t="shared" si="38"/>
        <v>6</v>
      </c>
      <c r="C71" s="3464" t="s">
        <v>3796</v>
      </c>
      <c r="D71" s="3465"/>
      <c r="E71" s="3465"/>
      <c r="F71" s="3465"/>
      <c r="G71" s="3465"/>
      <c r="H71" s="3465"/>
      <c r="I71" s="3465"/>
      <c r="J71" s="3465"/>
      <c r="K71" s="3465"/>
      <c r="L71" s="3465"/>
      <c r="M71" s="3465"/>
      <c r="N71" s="3465"/>
      <c r="O71" s="3466"/>
      <c r="P71" s="1020"/>
      <c r="R71" s="72"/>
      <c r="Z71" s="72"/>
      <c r="AA71" s="73"/>
      <c r="AB71" s="72"/>
      <c r="AC71" s="496"/>
      <c r="AD71" s="496"/>
      <c r="AE71" s="496"/>
      <c r="AF71" s="72"/>
    </row>
    <row r="72" spans="1:32" s="200" customFormat="1" ht="14.25" hidden="1" customHeight="1">
      <c r="A72" s="1649"/>
      <c r="B72" s="1021">
        <f t="shared" si="38"/>
        <v>7</v>
      </c>
      <c r="C72" s="3464" t="s">
        <v>12927</v>
      </c>
      <c r="D72" s="3465"/>
      <c r="E72" s="3465"/>
      <c r="F72" s="3465"/>
      <c r="G72" s="3465"/>
      <c r="H72" s="3465"/>
      <c r="I72" s="3465"/>
      <c r="J72" s="3465"/>
      <c r="K72" s="3465"/>
      <c r="L72" s="3465"/>
      <c r="M72" s="3465"/>
      <c r="N72" s="3465"/>
      <c r="O72" s="3466"/>
      <c r="P72" s="1020"/>
      <c r="R72" s="72"/>
      <c r="Z72" s="72"/>
      <c r="AA72" s="73"/>
      <c r="AB72" s="72"/>
      <c r="AC72" s="496"/>
      <c r="AD72" s="496"/>
      <c r="AE72" s="496"/>
      <c r="AF72" s="72"/>
    </row>
    <row r="73" spans="1:32" s="200" customFormat="1" ht="13.5" hidden="1" customHeight="1">
      <c r="A73" s="1649"/>
      <c r="B73" s="1021">
        <f t="shared" si="38"/>
        <v>8</v>
      </c>
      <c r="C73" s="3451" t="s">
        <v>4068</v>
      </c>
      <c r="D73" s="3452"/>
      <c r="E73" s="3452"/>
      <c r="F73" s="3452"/>
      <c r="G73" s="3452"/>
      <c r="H73" s="3452"/>
      <c r="I73" s="3452"/>
      <c r="J73" s="3452"/>
      <c r="K73" s="3452"/>
      <c r="L73" s="3452"/>
      <c r="M73" s="3452"/>
      <c r="N73" s="3452"/>
      <c r="O73" s="3453"/>
      <c r="P73" s="1020"/>
      <c r="R73" s="72"/>
      <c r="Z73" s="72"/>
      <c r="AA73" s="73"/>
      <c r="AB73" s="72"/>
      <c r="AC73" s="496"/>
      <c r="AD73" s="496"/>
      <c r="AE73" s="496"/>
      <c r="AF73" s="72"/>
    </row>
    <row r="74" spans="1:32" s="200" customFormat="1" ht="14.25" hidden="1" customHeight="1">
      <c r="A74" s="1649"/>
      <c r="B74" s="1021">
        <f t="shared" si="38"/>
        <v>9</v>
      </c>
      <c r="C74" s="3451" t="s">
        <v>12928</v>
      </c>
      <c r="D74" s="3452"/>
      <c r="E74" s="3452"/>
      <c r="F74" s="3452"/>
      <c r="G74" s="3452"/>
      <c r="H74" s="3452"/>
      <c r="I74" s="3452"/>
      <c r="J74" s="3452"/>
      <c r="K74" s="3452"/>
      <c r="L74" s="3452"/>
      <c r="M74" s="3452"/>
      <c r="N74" s="3452"/>
      <c r="O74" s="3453"/>
      <c r="P74" s="1020"/>
      <c r="R74" s="72"/>
      <c r="Z74" s="72"/>
      <c r="AA74" s="73"/>
      <c r="AB74" s="72"/>
      <c r="AC74" s="496"/>
      <c r="AD74" s="496"/>
      <c r="AE74" s="496"/>
      <c r="AF74" s="72"/>
    </row>
    <row r="75" spans="1:32" s="200" customFormat="1" ht="13.5" hidden="1" customHeight="1">
      <c r="A75" s="1649"/>
      <c r="B75" s="1021">
        <f t="shared" si="38"/>
        <v>10</v>
      </c>
      <c r="C75" s="3451" t="s">
        <v>4069</v>
      </c>
      <c r="D75" s="3452"/>
      <c r="E75" s="3452"/>
      <c r="F75" s="3452"/>
      <c r="G75" s="3452"/>
      <c r="H75" s="3452"/>
      <c r="I75" s="3452"/>
      <c r="J75" s="3452"/>
      <c r="K75" s="3452"/>
      <c r="L75" s="3452"/>
      <c r="M75" s="3452"/>
      <c r="N75" s="3452"/>
      <c r="O75" s="3453"/>
      <c r="P75" s="1020"/>
      <c r="R75" s="72"/>
      <c r="Z75" s="72"/>
      <c r="AA75" s="73"/>
      <c r="AB75" s="72"/>
      <c r="AC75" s="496"/>
      <c r="AD75" s="496"/>
      <c r="AE75" s="496"/>
      <c r="AF75" s="72"/>
    </row>
    <row r="76" spans="1:32" s="200" customFormat="1" ht="13.5" hidden="1" customHeight="1">
      <c r="A76" s="1649"/>
      <c r="B76" s="1021">
        <f t="shared" si="38"/>
        <v>11</v>
      </c>
      <c r="C76" s="3451" t="s">
        <v>12929</v>
      </c>
      <c r="D76" s="3452"/>
      <c r="E76" s="3452"/>
      <c r="F76" s="3452"/>
      <c r="G76" s="3452"/>
      <c r="H76" s="3452"/>
      <c r="I76" s="3452"/>
      <c r="J76" s="3452"/>
      <c r="K76" s="3452"/>
      <c r="L76" s="3452"/>
      <c r="M76" s="3452"/>
      <c r="N76" s="3452"/>
      <c r="O76" s="3453"/>
      <c r="P76" s="1020"/>
      <c r="R76" s="72"/>
      <c r="Z76" s="72"/>
      <c r="AA76" s="73"/>
      <c r="AB76" s="72"/>
      <c r="AC76" s="496"/>
      <c r="AD76" s="496"/>
      <c r="AE76" s="496"/>
      <c r="AF76" s="72"/>
    </row>
    <row r="77" spans="1:32" s="200" customFormat="1" ht="13.5" hidden="1" customHeight="1">
      <c r="A77" s="1649"/>
      <c r="B77" s="1021">
        <f t="shared" si="38"/>
        <v>12</v>
      </c>
      <c r="C77" s="3451" t="s">
        <v>4070</v>
      </c>
      <c r="D77" s="3452"/>
      <c r="E77" s="3452"/>
      <c r="F77" s="3452"/>
      <c r="G77" s="3452"/>
      <c r="H77" s="3452"/>
      <c r="I77" s="3452"/>
      <c r="J77" s="3452"/>
      <c r="K77" s="3452"/>
      <c r="L77" s="3452"/>
      <c r="M77" s="3452"/>
      <c r="N77" s="3452"/>
      <c r="O77" s="3453"/>
      <c r="P77" s="1020"/>
      <c r="R77" s="72"/>
      <c r="Z77" s="72"/>
      <c r="AA77" s="73"/>
      <c r="AB77" s="72"/>
      <c r="AC77" s="496"/>
      <c r="AD77" s="496"/>
      <c r="AE77" s="496"/>
      <c r="AF77" s="72"/>
    </row>
    <row r="78" spans="1:32" s="200" customFormat="1" ht="13.5" hidden="1" customHeight="1">
      <c r="A78" s="1649"/>
      <c r="B78" s="1021">
        <f t="shared" si="38"/>
        <v>13</v>
      </c>
      <c r="C78" s="3451" t="s">
        <v>4071</v>
      </c>
      <c r="D78" s="3452"/>
      <c r="E78" s="3452"/>
      <c r="F78" s="3452"/>
      <c r="G78" s="3452"/>
      <c r="H78" s="3452"/>
      <c r="I78" s="3452"/>
      <c r="J78" s="3452"/>
      <c r="K78" s="3452"/>
      <c r="L78" s="3452"/>
      <c r="M78" s="3452"/>
      <c r="N78" s="3452"/>
      <c r="O78" s="3453"/>
      <c r="P78" s="1020"/>
      <c r="R78" s="72"/>
      <c r="Z78" s="72"/>
      <c r="AA78" s="73"/>
      <c r="AB78" s="72"/>
      <c r="AC78" s="496"/>
      <c r="AD78" s="496"/>
      <c r="AE78" s="496"/>
      <c r="AF78" s="72"/>
    </row>
    <row r="79" spans="1:32" s="200" customFormat="1" ht="14.25" hidden="1" customHeight="1">
      <c r="A79" s="1649"/>
      <c r="B79" s="1021">
        <f t="shared" si="38"/>
        <v>14</v>
      </c>
      <c r="C79" s="3451" t="s">
        <v>12930</v>
      </c>
      <c r="D79" s="3452"/>
      <c r="E79" s="3452"/>
      <c r="F79" s="3452"/>
      <c r="G79" s="3452"/>
      <c r="H79" s="3452"/>
      <c r="I79" s="3452"/>
      <c r="J79" s="3452"/>
      <c r="K79" s="3452"/>
      <c r="L79" s="3452"/>
      <c r="M79" s="3452"/>
      <c r="N79" s="3452"/>
      <c r="O79" s="3453"/>
      <c r="P79" s="1020"/>
      <c r="R79" s="72"/>
      <c r="Z79" s="72"/>
      <c r="AA79" s="73"/>
      <c r="AB79" s="72"/>
      <c r="AC79" s="496"/>
      <c r="AD79" s="496"/>
      <c r="AE79" s="496"/>
      <c r="AF79" s="72"/>
    </row>
    <row r="80" spans="1:32" s="200" customFormat="1" ht="14.25" hidden="1" customHeight="1">
      <c r="A80" s="1649"/>
      <c r="B80" s="1021">
        <f t="shared" si="38"/>
        <v>15</v>
      </c>
      <c r="C80" s="3451" t="s">
        <v>12931</v>
      </c>
      <c r="D80" s="3452"/>
      <c r="E80" s="3452"/>
      <c r="F80" s="3452"/>
      <c r="G80" s="3452"/>
      <c r="H80" s="3452"/>
      <c r="I80" s="3452"/>
      <c r="J80" s="3452"/>
      <c r="K80" s="3452"/>
      <c r="L80" s="3452"/>
      <c r="M80" s="3452"/>
      <c r="N80" s="3452"/>
      <c r="O80" s="3453"/>
      <c r="P80" s="1020"/>
      <c r="R80" s="72"/>
      <c r="Z80" s="72"/>
      <c r="AA80" s="73"/>
      <c r="AB80" s="72"/>
      <c r="AC80" s="496"/>
      <c r="AD80" s="496"/>
      <c r="AE80" s="496"/>
      <c r="AF80" s="72"/>
    </row>
    <row r="81" spans="1:32" s="200" customFormat="1" ht="50.25" hidden="1" customHeight="1">
      <c r="A81" s="1649"/>
      <c r="B81" s="1021">
        <f t="shared" si="38"/>
        <v>16</v>
      </c>
      <c r="C81" s="3451" t="s">
        <v>4072</v>
      </c>
      <c r="D81" s="3452"/>
      <c r="E81" s="3452"/>
      <c r="F81" s="3452"/>
      <c r="G81" s="3452"/>
      <c r="H81" s="3452"/>
      <c r="I81" s="3452"/>
      <c r="J81" s="3452"/>
      <c r="K81" s="3452"/>
      <c r="L81" s="3452"/>
      <c r="M81" s="3452"/>
      <c r="N81" s="3452"/>
      <c r="O81" s="3453"/>
      <c r="P81" s="1020"/>
      <c r="R81" s="72"/>
      <c r="Z81" s="72"/>
      <c r="AA81" s="73"/>
      <c r="AB81" s="72"/>
      <c r="AC81" s="496"/>
      <c r="AD81" s="496"/>
      <c r="AE81" s="496"/>
      <c r="AF81" s="72"/>
    </row>
    <row r="82" spans="1:32" s="200" customFormat="1" ht="14.25" hidden="1" customHeight="1">
      <c r="A82" s="1649"/>
      <c r="B82" s="1021">
        <f t="shared" si="38"/>
        <v>17</v>
      </c>
      <c r="C82" s="3451" t="s">
        <v>12932</v>
      </c>
      <c r="D82" s="3452"/>
      <c r="E82" s="3452"/>
      <c r="F82" s="3452"/>
      <c r="G82" s="3452"/>
      <c r="H82" s="3452"/>
      <c r="I82" s="3452"/>
      <c r="J82" s="3452"/>
      <c r="K82" s="3452"/>
      <c r="L82" s="3452"/>
      <c r="M82" s="3452"/>
      <c r="N82" s="3452"/>
      <c r="O82" s="3453"/>
      <c r="P82" s="1020"/>
      <c r="R82" s="72"/>
      <c r="Z82" s="72"/>
      <c r="AA82" s="73"/>
      <c r="AB82" s="72"/>
      <c r="AC82" s="496"/>
      <c r="AD82" s="496"/>
      <c r="AE82" s="496"/>
      <c r="AF82" s="72"/>
    </row>
    <row r="83" spans="1:32" s="200" customFormat="1" ht="13.5" hidden="1" customHeight="1">
      <c r="A83" s="1649"/>
      <c r="B83" s="1021">
        <f t="shared" si="38"/>
        <v>18</v>
      </c>
      <c r="C83" s="3451" t="s">
        <v>4073</v>
      </c>
      <c r="D83" s="3452"/>
      <c r="E83" s="3452"/>
      <c r="F83" s="3452"/>
      <c r="G83" s="3452"/>
      <c r="H83" s="3452"/>
      <c r="I83" s="3452"/>
      <c r="J83" s="3452"/>
      <c r="K83" s="3452"/>
      <c r="L83" s="3452"/>
      <c r="M83" s="3452"/>
      <c r="N83" s="3452"/>
      <c r="O83" s="3453"/>
      <c r="P83" s="1020"/>
      <c r="R83" s="72"/>
      <c r="Z83" s="72"/>
      <c r="AA83" s="73"/>
      <c r="AB83" s="72"/>
      <c r="AC83" s="496"/>
      <c r="AD83" s="496"/>
      <c r="AE83" s="496"/>
      <c r="AF83" s="72"/>
    </row>
    <row r="84" spans="1:32" s="200" customFormat="1" hidden="1">
      <c r="A84" s="1649"/>
      <c r="B84" s="1021">
        <f t="shared" si="38"/>
        <v>19</v>
      </c>
      <c r="C84" s="3451" t="s">
        <v>12933</v>
      </c>
      <c r="D84" s="3452"/>
      <c r="E84" s="3452"/>
      <c r="F84" s="3452"/>
      <c r="G84" s="3452"/>
      <c r="H84" s="3452"/>
      <c r="I84" s="3452"/>
      <c r="J84" s="3452"/>
      <c r="K84" s="3452"/>
      <c r="L84" s="3452"/>
      <c r="M84" s="3452"/>
      <c r="N84" s="3452"/>
      <c r="O84" s="3453"/>
      <c r="P84" s="1020"/>
      <c r="R84" s="72"/>
      <c r="Z84" s="72"/>
      <c r="AA84" s="73"/>
      <c r="AB84" s="72"/>
      <c r="AC84" s="496"/>
      <c r="AD84" s="496"/>
      <c r="AE84" s="496"/>
      <c r="AF84" s="72"/>
    </row>
    <row r="85" spans="1:32" s="200" customFormat="1" ht="14.25" hidden="1" customHeight="1">
      <c r="A85" s="1649"/>
      <c r="B85" s="1021">
        <f t="shared" si="38"/>
        <v>20</v>
      </c>
      <c r="C85" s="3451" t="s">
        <v>4074</v>
      </c>
      <c r="D85" s="3452"/>
      <c r="E85" s="3452"/>
      <c r="F85" s="3452"/>
      <c r="G85" s="3452"/>
      <c r="H85" s="3452"/>
      <c r="I85" s="3452"/>
      <c r="J85" s="3452"/>
      <c r="K85" s="3452"/>
      <c r="L85" s="3452"/>
      <c r="M85" s="3452"/>
      <c r="N85" s="3452"/>
      <c r="O85" s="3453"/>
      <c r="P85" s="1020"/>
      <c r="R85" s="72"/>
      <c r="Z85" s="72"/>
      <c r="AA85" s="73"/>
      <c r="AB85" s="72"/>
      <c r="AC85" s="496"/>
      <c r="AD85" s="496"/>
      <c r="AE85" s="496"/>
      <c r="AF85" s="72"/>
    </row>
    <row r="86" spans="1:32" s="200" customFormat="1" hidden="1">
      <c r="A86" s="1649"/>
      <c r="B86" s="1021">
        <f t="shared" si="38"/>
        <v>21</v>
      </c>
      <c r="C86" s="3451" t="s">
        <v>12934</v>
      </c>
      <c r="D86" s="3452"/>
      <c r="E86" s="3452"/>
      <c r="F86" s="3452"/>
      <c r="G86" s="3452"/>
      <c r="H86" s="3452"/>
      <c r="I86" s="3452"/>
      <c r="J86" s="3452"/>
      <c r="K86" s="3452"/>
      <c r="L86" s="3452"/>
      <c r="M86" s="3452"/>
      <c r="N86" s="3452"/>
      <c r="O86" s="3453"/>
      <c r="P86" s="1020"/>
      <c r="R86" s="72"/>
      <c r="Z86" s="72"/>
      <c r="AA86" s="73"/>
      <c r="AB86" s="72"/>
      <c r="AC86" s="496"/>
      <c r="AD86" s="496"/>
      <c r="AE86" s="496"/>
      <c r="AF86" s="72"/>
    </row>
    <row r="87" spans="1:32" s="200" customFormat="1" ht="14.25" hidden="1" customHeight="1">
      <c r="A87" s="1649"/>
      <c r="B87" s="1021">
        <f t="shared" si="38"/>
        <v>22</v>
      </c>
      <c r="C87" s="3451" t="s">
        <v>2612</v>
      </c>
      <c r="D87" s="3452"/>
      <c r="E87" s="3452"/>
      <c r="F87" s="3452"/>
      <c r="G87" s="3452"/>
      <c r="H87" s="3452"/>
      <c r="I87" s="3452"/>
      <c r="J87" s="3452"/>
      <c r="K87" s="3452"/>
      <c r="L87" s="3452"/>
      <c r="M87" s="3452"/>
      <c r="N87" s="3452"/>
      <c r="O87" s="3453"/>
      <c r="P87" s="1020"/>
      <c r="R87" s="72"/>
      <c r="Z87" s="72"/>
      <c r="AA87" s="73"/>
      <c r="AB87" s="72"/>
      <c r="AC87" s="496"/>
      <c r="AD87" s="496"/>
      <c r="AE87" s="496"/>
      <c r="AF87" s="72"/>
    </row>
    <row r="88" spans="1:32" s="200" customFormat="1" hidden="1">
      <c r="A88" s="1649"/>
      <c r="B88" s="1021">
        <f t="shared" si="38"/>
        <v>23</v>
      </c>
      <c r="C88" s="3451" t="s">
        <v>2613</v>
      </c>
      <c r="D88" s="3452"/>
      <c r="E88" s="3452"/>
      <c r="F88" s="3452"/>
      <c r="G88" s="3452"/>
      <c r="H88" s="3452"/>
      <c r="I88" s="3452"/>
      <c r="J88" s="3452"/>
      <c r="K88" s="3452"/>
      <c r="L88" s="3452"/>
      <c r="M88" s="3452"/>
      <c r="N88" s="3452"/>
      <c r="O88" s="3453"/>
      <c r="P88" s="1020"/>
      <c r="R88" s="72"/>
      <c r="Z88" s="72"/>
      <c r="AA88" s="73"/>
      <c r="AB88" s="72"/>
      <c r="AC88" s="496"/>
      <c r="AD88" s="496"/>
      <c r="AE88" s="496"/>
      <c r="AF88" s="72"/>
    </row>
    <row r="89" spans="1:32" s="200" customFormat="1" hidden="1">
      <c r="A89" s="1649"/>
      <c r="B89" s="1021">
        <f t="shared" si="38"/>
        <v>24</v>
      </c>
      <c r="C89" s="3451" t="s">
        <v>12935</v>
      </c>
      <c r="D89" s="3452"/>
      <c r="E89" s="3452"/>
      <c r="F89" s="3452"/>
      <c r="G89" s="3452"/>
      <c r="H89" s="3452"/>
      <c r="I89" s="3452"/>
      <c r="J89" s="3452"/>
      <c r="K89" s="3452"/>
      <c r="L89" s="3452"/>
      <c r="M89" s="3452"/>
      <c r="N89" s="3452"/>
      <c r="O89" s="3453"/>
      <c r="P89" s="1020"/>
      <c r="R89" s="72"/>
      <c r="Z89" s="72"/>
      <c r="AA89" s="73"/>
      <c r="AB89" s="72"/>
      <c r="AC89" s="496"/>
      <c r="AD89" s="496"/>
      <c r="AE89" s="496"/>
      <c r="AF89" s="72"/>
    </row>
    <row r="90" spans="1:32" s="200" customFormat="1" ht="25.5" hidden="1" customHeight="1">
      <c r="A90" s="1649"/>
      <c r="B90" s="1022" t="s">
        <v>11715</v>
      </c>
      <c r="C90" s="3451" t="s">
        <v>12784</v>
      </c>
      <c r="D90" s="3452"/>
      <c r="E90" s="3452"/>
      <c r="F90" s="3452"/>
      <c r="G90" s="3452"/>
      <c r="H90" s="3452"/>
      <c r="I90" s="3452"/>
      <c r="J90" s="3452"/>
      <c r="K90" s="3452"/>
      <c r="L90" s="3452"/>
      <c r="M90" s="3452"/>
      <c r="N90" s="3452"/>
      <c r="O90" s="3453"/>
      <c r="P90" s="1020"/>
      <c r="R90" s="72"/>
      <c r="Z90" s="72"/>
      <c r="AA90" s="73"/>
      <c r="AB90" s="72"/>
      <c r="AC90" s="496"/>
      <c r="AD90" s="496"/>
      <c r="AE90" s="496"/>
      <c r="AF90" s="72"/>
    </row>
    <row r="91" spans="1:32" s="200" customFormat="1" ht="13.5" hidden="1" customHeight="1">
      <c r="A91" s="1649"/>
      <c r="B91" s="1022">
        <v>35</v>
      </c>
      <c r="C91" s="3451" t="s">
        <v>12936</v>
      </c>
      <c r="D91" s="3452"/>
      <c r="E91" s="3452"/>
      <c r="F91" s="3452"/>
      <c r="G91" s="3452"/>
      <c r="H91" s="3452"/>
      <c r="I91" s="3452"/>
      <c r="J91" s="3452"/>
      <c r="K91" s="3452"/>
      <c r="L91" s="3452"/>
      <c r="M91" s="3452"/>
      <c r="N91" s="3452"/>
      <c r="O91" s="3453"/>
      <c r="P91" s="1020"/>
      <c r="R91" s="72"/>
      <c r="Z91" s="72"/>
      <c r="AA91" s="73"/>
      <c r="AB91" s="72"/>
      <c r="AC91" s="496"/>
      <c r="AD91" s="496"/>
      <c r="AE91" s="496"/>
      <c r="AF91" s="72"/>
    </row>
    <row r="92" spans="1:32" s="200" customFormat="1" hidden="1">
      <c r="A92" s="1649"/>
      <c r="B92" s="1022">
        <v>36</v>
      </c>
      <c r="C92" s="3451" t="s">
        <v>12937</v>
      </c>
      <c r="D92" s="3452"/>
      <c r="E92" s="3452"/>
      <c r="F92" s="3452"/>
      <c r="G92" s="3452"/>
      <c r="H92" s="3452"/>
      <c r="I92" s="3452"/>
      <c r="J92" s="3452"/>
      <c r="K92" s="3452"/>
      <c r="L92" s="3452"/>
      <c r="M92" s="3452"/>
      <c r="N92" s="3452"/>
      <c r="O92" s="3453"/>
      <c r="P92" s="1020"/>
      <c r="R92" s="72"/>
      <c r="Z92" s="72"/>
      <c r="AA92" s="73"/>
      <c r="AB92" s="72"/>
      <c r="AC92" s="496"/>
      <c r="AD92" s="496"/>
      <c r="AE92" s="496"/>
      <c r="AF92" s="72"/>
    </row>
    <row r="93" spans="1:32" s="200" customFormat="1" ht="15" hidden="1" thickBot="1">
      <c r="A93" s="1649"/>
      <c r="B93" s="1023"/>
      <c r="C93" s="1020"/>
      <c r="D93" s="1020"/>
      <c r="E93" s="1024"/>
      <c r="F93" s="1020"/>
      <c r="G93" s="1020"/>
      <c r="H93" s="1020"/>
      <c r="I93" s="1020"/>
      <c r="J93" s="1020"/>
      <c r="K93" s="1020"/>
      <c r="L93" s="1020"/>
      <c r="M93" s="1020"/>
      <c r="N93" s="1020"/>
      <c r="O93" s="1020"/>
      <c r="P93" s="1020"/>
      <c r="R93" s="72"/>
      <c r="Z93" s="72"/>
      <c r="AA93" s="73"/>
      <c r="AB93" s="72"/>
      <c r="AC93" s="496"/>
      <c r="AD93" s="496"/>
      <c r="AE93" s="496"/>
      <c r="AF93" s="72"/>
    </row>
    <row r="94" spans="1:32" s="200" customFormat="1" ht="15" customHeight="1" thickBot="1">
      <c r="A94" s="86"/>
      <c r="B94" s="3454" t="s">
        <v>4075</v>
      </c>
      <c r="C94" s="3455"/>
      <c r="D94" s="3455"/>
      <c r="E94" s="3455"/>
      <c r="F94" s="3455"/>
      <c r="G94" s="3455"/>
      <c r="H94" s="3455"/>
      <c r="I94" s="3455"/>
      <c r="J94" s="3455"/>
      <c r="K94" s="3455"/>
      <c r="L94" s="3455"/>
      <c r="M94" s="3455"/>
      <c r="N94" s="3455"/>
      <c r="O94" s="3456"/>
      <c r="P94" s="1020"/>
      <c r="R94" s="72"/>
      <c r="Z94" s="72"/>
      <c r="AA94" s="73"/>
      <c r="AB94" s="72"/>
      <c r="AC94" s="496"/>
      <c r="AD94" s="496"/>
      <c r="AE94" s="496"/>
      <c r="AF94" s="72"/>
    </row>
    <row r="95" spans="1:32" s="200" customFormat="1" ht="30" customHeight="1" thickBot="1">
      <c r="A95" s="86"/>
      <c r="B95" s="3448" t="s">
        <v>6509</v>
      </c>
      <c r="C95" s="3449"/>
      <c r="D95" s="3449"/>
      <c r="E95" s="3449"/>
      <c r="F95" s="3449"/>
      <c r="G95" s="3449"/>
      <c r="H95" s="3449"/>
      <c r="I95" s="3449"/>
      <c r="J95" s="3449"/>
      <c r="K95" s="3449"/>
      <c r="L95" s="3449"/>
      <c r="M95" s="3449"/>
      <c r="N95" s="3449"/>
      <c r="O95" s="3450"/>
      <c r="P95" s="1020"/>
      <c r="R95" s="72"/>
      <c r="Z95" s="72"/>
      <c r="AA95" s="73"/>
      <c r="AB95" s="72"/>
      <c r="AC95" s="496"/>
      <c r="AD95" s="496"/>
      <c r="AE95" s="496"/>
      <c r="AF95" s="72"/>
    </row>
    <row r="96" spans="1:32" s="200" customFormat="1" hidden="1">
      <c r="A96" s="496"/>
      <c r="B96" s="496"/>
      <c r="C96" s="496"/>
      <c r="D96" s="496"/>
      <c r="E96" s="496"/>
      <c r="F96" s="496"/>
      <c r="G96" s="496"/>
      <c r="H96" s="496"/>
      <c r="I96" s="496"/>
      <c r="J96" s="496"/>
      <c r="K96" s="496"/>
      <c r="L96" s="496"/>
      <c r="M96" s="496"/>
      <c r="N96" s="496"/>
      <c r="O96" s="496"/>
      <c r="P96" s="496"/>
      <c r="R96" s="72"/>
      <c r="Z96" s="72"/>
      <c r="AA96" s="73"/>
      <c r="AB96" s="72"/>
      <c r="AC96" s="496"/>
      <c r="AD96" s="496"/>
      <c r="AE96" s="496"/>
      <c r="AF96" s="72"/>
    </row>
  </sheetData>
  <mergeCells count="43">
    <mergeCell ref="C74:O74"/>
    <mergeCell ref="C80:O80"/>
    <mergeCell ref="C81:O81"/>
    <mergeCell ref="P3:P4"/>
    <mergeCell ref="G3:H3"/>
    <mergeCell ref="I3:L3"/>
    <mergeCell ref="M3:M4"/>
    <mergeCell ref="N3:N4"/>
    <mergeCell ref="B3:C4"/>
    <mergeCell ref="E3:E4"/>
    <mergeCell ref="F3:F4"/>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s>
  <conditionalFormatting sqref="P40:P48">
    <cfRule type="cellIs" dxfId="151" priority="23" operator="equal">
      <formula>0</formula>
    </cfRule>
  </conditionalFormatting>
  <conditionalFormatting sqref="P52">
    <cfRule type="cellIs" dxfId="150" priority="20" operator="equal">
      <formula>0</formula>
    </cfRule>
  </conditionalFormatting>
  <conditionalFormatting sqref="P34:P35">
    <cfRule type="cellIs" dxfId="149" priority="18" operator="equal">
      <formula>0</formula>
    </cfRule>
  </conditionalFormatting>
  <conditionalFormatting sqref="P30">
    <cfRule type="cellIs" dxfId="148" priority="16" operator="equal">
      <formula>0</formula>
    </cfRule>
  </conditionalFormatting>
  <conditionalFormatting sqref="P28">
    <cfRule type="cellIs" dxfId="147" priority="14" operator="equal">
      <formula>0</formula>
    </cfRule>
  </conditionalFormatting>
  <conditionalFormatting sqref="P22:P26">
    <cfRule type="cellIs" dxfId="146" priority="12" operator="equal">
      <formula>0</formula>
    </cfRule>
  </conditionalFormatting>
  <conditionalFormatting sqref="P18">
    <cfRule type="cellIs" dxfId="145" priority="10" operator="equal">
      <formula>0</formula>
    </cfRule>
  </conditionalFormatting>
  <conditionalFormatting sqref="P12:P15">
    <cfRule type="cellIs" dxfId="144" priority="8" operator="equal">
      <formula>0</formula>
    </cfRule>
  </conditionalFormatting>
  <conditionalFormatting sqref="P7:P10">
    <cfRule type="cellIs" dxfId="143" priority="6" operator="equal">
      <formula>0</formula>
    </cfRule>
  </conditionalFormatting>
  <conditionalFormatting sqref="P39:P48">
    <cfRule type="cellIs" dxfId="142" priority="2" operator="equal">
      <formula>0</formula>
    </cfRule>
  </conditionalFormatting>
  <conditionalFormatting sqref="P39:P48">
    <cfRule type="cellIs" dxfId="141"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1.xml><?xml version="1.0" encoding="utf-8"?>
<worksheet xmlns="http://schemas.openxmlformats.org/spreadsheetml/2006/main" xmlns:r="http://schemas.openxmlformats.org/officeDocument/2006/relationships">
  <sheetPr codeName="Sheet38">
    <pageSetUpPr fitToPage="1"/>
  </sheetPr>
  <dimension ref="A1:AZ97"/>
  <sheetViews>
    <sheetView workbookViewId="0"/>
  </sheetViews>
  <sheetFormatPr defaultColWidth="0" defaultRowHeight="14.25" zeroHeight="1"/>
  <cols>
    <col min="1" max="1" width="0.625" customWidth="1"/>
    <col min="2" max="2" width="8.625" customWidth="1"/>
    <col min="3" max="3" width="45.125" bestFit="1" customWidth="1"/>
    <col min="4" max="4" width="0.625" hidden="1" customWidth="1"/>
    <col min="5" max="6" width="8.625" customWidth="1"/>
    <col min="7" max="15" width="13.125" customWidth="1"/>
    <col min="16" max="16" width="33.125" customWidth="1"/>
    <col min="17" max="17" width="1.625" customWidth="1"/>
    <col min="18" max="18" width="31" customWidth="1"/>
    <col min="19" max="19" width="2.625" customWidth="1"/>
    <col min="20" max="20" width="1.625" style="1764" hidden="1" customWidth="1"/>
    <col min="21" max="29" width="3.5" hidden="1" customWidth="1"/>
    <col min="30" max="30" width="1.625" style="1764" hidden="1" customWidth="1"/>
    <col min="31" max="31" width="0" hidden="1" customWidth="1"/>
    <col min="32" max="32" width="1.625" style="1764" hidden="1" customWidth="1"/>
    <col min="33" max="33" width="10.125" hidden="1" customWidth="1"/>
    <col min="34" max="34" width="10.625" hidden="1" customWidth="1"/>
    <col min="35" max="35" width="67.625" hidden="1" customWidth="1"/>
    <col min="36" max="36" width="1.625" style="1764" hidden="1" customWidth="1"/>
    <col min="37" max="38" width="8.625" customWidth="1"/>
    <col min="39" max="39" width="47.625" bestFit="1" customWidth="1"/>
    <col min="40" max="40" width="0.625" customWidth="1"/>
    <col min="41" max="42" width="8.625" customWidth="1"/>
    <col min="43" max="43" width="11.125" bestFit="1" customWidth="1"/>
    <col min="44" max="44" width="13.125" bestFit="1" customWidth="1"/>
    <col min="45" max="45" width="11.625" bestFit="1" customWidth="1"/>
    <col min="46" max="51" width="12.625" bestFit="1" customWidth="1"/>
    <col min="52" max="52" width="8.625" customWidth="1"/>
    <col min="53" max="16384" width="8.625" hidden="1"/>
  </cols>
  <sheetData>
    <row r="1" spans="1:51" ht="18.75">
      <c r="A1" s="1025"/>
      <c r="B1" s="1026" t="s">
        <v>4076</v>
      </c>
      <c r="C1" s="1026"/>
      <c r="D1" s="1026"/>
      <c r="E1" s="1026"/>
      <c r="F1" s="1026"/>
      <c r="G1" s="1026"/>
      <c r="H1" s="1026"/>
      <c r="I1" s="1026"/>
      <c r="J1" s="1027"/>
      <c r="K1" s="1027"/>
      <c r="L1" s="1027"/>
      <c r="M1" s="1027"/>
      <c r="N1" s="1027"/>
      <c r="O1" s="1027"/>
      <c r="P1" s="1027" t="str">
        <f>Validation!B3</f>
        <v>South West Water – South West area</v>
      </c>
      <c r="Q1" s="1026"/>
      <c r="R1" s="70" t="s">
        <v>2394</v>
      </c>
      <c r="S1" s="71"/>
      <c r="T1" s="72"/>
      <c r="U1" s="71"/>
      <c r="V1" s="71"/>
      <c r="W1" s="71"/>
      <c r="X1" s="71"/>
      <c r="Y1" s="71"/>
      <c r="Z1" s="71"/>
      <c r="AA1" s="71"/>
      <c r="AB1" s="71"/>
      <c r="AC1" s="71"/>
      <c r="AD1" s="1772"/>
      <c r="AL1" s="1026" t="s">
        <v>4076</v>
      </c>
      <c r="AM1" s="1026"/>
      <c r="AN1" s="1026"/>
      <c r="AO1" s="1026"/>
      <c r="AP1" s="1026"/>
      <c r="AQ1" s="1026"/>
      <c r="AR1" s="1026"/>
      <c r="AS1" s="1026"/>
      <c r="AT1" s="1027"/>
      <c r="AU1" s="1027"/>
      <c r="AV1" s="1027"/>
      <c r="AW1" s="1027"/>
      <c r="AX1" s="1027"/>
      <c r="AY1" s="1027"/>
    </row>
    <row r="2" spans="1:51" ht="15" thickBot="1">
      <c r="A2" s="933"/>
      <c r="B2" s="74" t="s">
        <v>12524</v>
      </c>
      <c r="C2" s="1028"/>
      <c r="D2" s="1028"/>
      <c r="E2" s="1028"/>
      <c r="F2" s="1028"/>
      <c r="G2" s="1028"/>
      <c r="H2" s="1028"/>
      <c r="I2" s="1028"/>
      <c r="J2" s="933"/>
      <c r="K2" s="933"/>
      <c r="L2" s="933"/>
      <c r="M2" s="933"/>
      <c r="N2" s="933"/>
      <c r="O2" s="933"/>
      <c r="P2" s="933"/>
      <c r="Q2" s="933"/>
      <c r="R2" s="71"/>
      <c r="S2" s="71"/>
      <c r="T2" s="72"/>
      <c r="U2" s="71"/>
      <c r="V2" s="71"/>
      <c r="W2" s="71"/>
      <c r="X2" s="71"/>
      <c r="Y2" s="71"/>
      <c r="Z2" s="71"/>
      <c r="AA2" s="71"/>
      <c r="AB2" s="71"/>
      <c r="AC2" s="71"/>
      <c r="AD2" s="1772"/>
      <c r="AL2" s="74" t="str">
        <f>+B2</f>
        <v>For the 12 months ended 31 March 2019</v>
      </c>
      <c r="AM2" s="1028"/>
      <c r="AN2" s="1028"/>
      <c r="AO2" s="1028"/>
      <c r="AP2" s="1028"/>
      <c r="AQ2" s="1028"/>
      <c r="AR2" s="1028"/>
      <c r="AS2" s="1028"/>
      <c r="AT2" s="971"/>
      <c r="AU2" s="971"/>
      <c r="AV2" s="971"/>
      <c r="AW2" s="971"/>
      <c r="AX2" s="971"/>
      <c r="AY2" s="971"/>
    </row>
    <row r="3" spans="1:51" ht="16.5" customHeight="1">
      <c r="A3" s="1029"/>
      <c r="B3" s="3200" t="s">
        <v>2395</v>
      </c>
      <c r="C3" s="3201"/>
      <c r="D3" s="1030" t="s">
        <v>6495</v>
      </c>
      <c r="E3" s="3480" t="s">
        <v>2396</v>
      </c>
      <c r="F3" s="3482" t="s">
        <v>2397</v>
      </c>
      <c r="G3" s="3404" t="s">
        <v>4078</v>
      </c>
      <c r="H3" s="3405"/>
      <c r="I3" s="3426"/>
      <c r="J3" s="3425" t="s">
        <v>4079</v>
      </c>
      <c r="K3" s="3426"/>
      <c r="L3" s="3425" t="s">
        <v>1195</v>
      </c>
      <c r="M3" s="3405"/>
      <c r="N3" s="3426"/>
      <c r="O3" s="3495" t="s">
        <v>2554</v>
      </c>
      <c r="P3" s="3491" t="s">
        <v>4047</v>
      </c>
      <c r="Q3" s="1029"/>
      <c r="R3" s="3213" t="s">
        <v>1361</v>
      </c>
      <c r="S3" s="71"/>
      <c r="T3" s="72"/>
      <c r="U3" s="71"/>
      <c r="V3" s="71"/>
      <c r="W3" s="71"/>
      <c r="X3" s="71"/>
      <c r="Y3" s="90"/>
      <c r="Z3" s="90"/>
      <c r="AA3" s="90"/>
      <c r="AB3" s="90"/>
      <c r="AC3" s="90"/>
      <c r="AD3" s="72"/>
      <c r="AL3" s="3200" t="s">
        <v>2423</v>
      </c>
      <c r="AM3" s="3478" t="s">
        <v>4077</v>
      </c>
      <c r="AN3" s="3478" t="s">
        <v>6495</v>
      </c>
      <c r="AO3" s="3480" t="s">
        <v>2396</v>
      </c>
      <c r="AP3" s="3482" t="s">
        <v>2397</v>
      </c>
      <c r="AQ3" s="3484" t="s">
        <v>4078</v>
      </c>
      <c r="AR3" s="3485"/>
      <c r="AS3" s="3486"/>
      <c r="AT3" s="3473" t="s">
        <v>4079</v>
      </c>
      <c r="AU3" s="3474"/>
      <c r="AV3" s="3475" t="s">
        <v>1195</v>
      </c>
      <c r="AW3" s="3476"/>
      <c r="AX3" s="3477"/>
      <c r="AY3" s="3398" t="s">
        <v>2554</v>
      </c>
    </row>
    <row r="4" spans="1:51" ht="192.75" thickBot="1">
      <c r="A4" s="1029"/>
      <c r="B4" s="3202"/>
      <c r="C4" s="3203"/>
      <c r="D4" s="1031"/>
      <c r="E4" s="3493"/>
      <c r="F4" s="3494"/>
      <c r="G4" s="219" t="s">
        <v>2761</v>
      </c>
      <c r="H4" s="220" t="s">
        <v>2762</v>
      </c>
      <c r="I4" s="221" t="s">
        <v>2763</v>
      </c>
      <c r="J4" s="222" t="s">
        <v>2764</v>
      </c>
      <c r="K4" s="221" t="s">
        <v>4080</v>
      </c>
      <c r="L4" s="222" t="s">
        <v>2765</v>
      </c>
      <c r="M4" s="220" t="s">
        <v>2766</v>
      </c>
      <c r="N4" s="221" t="s">
        <v>2767</v>
      </c>
      <c r="O4" s="3496"/>
      <c r="P4" s="3492"/>
      <c r="Q4" s="1029"/>
      <c r="R4" s="3214"/>
      <c r="S4" s="71"/>
      <c r="T4" s="72"/>
      <c r="U4" s="77" t="s">
        <v>2404</v>
      </c>
      <c r="V4" s="77"/>
      <c r="W4" s="77"/>
      <c r="X4" s="77"/>
      <c r="Y4" s="77"/>
      <c r="Z4" s="77"/>
      <c r="AA4" s="77"/>
      <c r="AB4" s="77"/>
      <c r="AC4" s="77"/>
      <c r="AD4" s="72"/>
      <c r="AE4" s="1655" t="s">
        <v>2390</v>
      </c>
      <c r="AF4" s="72"/>
      <c r="AG4" s="77" t="s">
        <v>2578</v>
      </c>
      <c r="AH4" s="1655"/>
      <c r="AI4" s="1655"/>
      <c r="AJ4" s="72"/>
      <c r="AL4" s="3202"/>
      <c r="AM4" s="3479"/>
      <c r="AN4" s="3479"/>
      <c r="AO4" s="3481"/>
      <c r="AP4" s="3483"/>
      <c r="AQ4" s="1032" t="s">
        <v>2761</v>
      </c>
      <c r="AR4" s="1032" t="s">
        <v>2762</v>
      </c>
      <c r="AS4" s="1032" t="s">
        <v>2763</v>
      </c>
      <c r="AT4" s="1032" t="s">
        <v>2764</v>
      </c>
      <c r="AU4" s="1032" t="s">
        <v>4080</v>
      </c>
      <c r="AV4" s="1032" t="s">
        <v>2765</v>
      </c>
      <c r="AW4" s="1032" t="s">
        <v>2766</v>
      </c>
      <c r="AX4" s="1032" t="s">
        <v>2767</v>
      </c>
      <c r="AY4" s="3399"/>
    </row>
    <row r="5" spans="1:51" ht="15" thickBot="1">
      <c r="A5" s="933"/>
      <c r="B5" s="1033"/>
      <c r="C5" s="1033"/>
      <c r="D5" s="1033"/>
      <c r="E5" s="1033"/>
      <c r="F5" s="1033"/>
      <c r="G5" s="1033"/>
      <c r="H5" s="1033"/>
      <c r="I5" s="1033"/>
      <c r="J5" s="1034"/>
      <c r="K5" s="1034"/>
      <c r="L5" s="1034"/>
      <c r="M5" s="1034"/>
      <c r="N5" s="1034"/>
      <c r="O5" s="1034"/>
      <c r="P5" s="1034"/>
      <c r="S5" s="71"/>
      <c r="T5" s="72"/>
      <c r="U5" s="71"/>
      <c r="V5" s="90" t="s">
        <v>2405</v>
      </c>
      <c r="W5" s="90"/>
      <c r="X5" s="90"/>
      <c r="Y5" s="90"/>
      <c r="Z5" s="90"/>
      <c r="AA5" s="90"/>
      <c r="AB5" s="90"/>
      <c r="AC5" s="90"/>
      <c r="AD5" s="72"/>
      <c r="AL5" s="1033"/>
      <c r="AM5" s="1033"/>
      <c r="AN5" s="1033"/>
      <c r="AO5" s="1033"/>
      <c r="AP5" s="1033"/>
      <c r="AQ5" s="1033"/>
      <c r="AR5" s="1033"/>
      <c r="AS5" s="1033"/>
      <c r="AT5" s="3024"/>
      <c r="AU5" s="3024"/>
      <c r="AV5" s="3024"/>
      <c r="AW5" s="3024"/>
      <c r="AX5" s="3024"/>
      <c r="AY5" s="3024"/>
    </row>
    <row r="6" spans="1:51" ht="15" thickBot="1">
      <c r="A6" s="933"/>
      <c r="B6" s="934" t="s">
        <v>2449</v>
      </c>
      <c r="C6" s="935" t="s">
        <v>4048</v>
      </c>
      <c r="D6" s="936"/>
      <c r="E6" s="936"/>
      <c r="F6" s="936"/>
      <c r="G6" s="936"/>
      <c r="H6" s="936"/>
      <c r="I6" s="936"/>
      <c r="J6" s="933"/>
      <c r="K6" s="933"/>
      <c r="L6" s="933"/>
      <c r="M6" s="933"/>
      <c r="N6" s="933"/>
      <c r="O6" s="933"/>
      <c r="P6" s="933"/>
      <c r="S6" s="71"/>
      <c r="T6" s="72"/>
      <c r="U6" s="71"/>
      <c r="V6" s="90"/>
      <c r="W6" s="90"/>
      <c r="X6" s="90"/>
      <c r="Y6" s="90"/>
      <c r="Z6" s="90"/>
      <c r="AA6" s="90"/>
      <c r="AB6" s="90"/>
      <c r="AC6" s="90"/>
      <c r="AD6" s="72"/>
      <c r="AL6" s="934" t="s">
        <v>2449</v>
      </c>
      <c r="AM6" s="935" t="s">
        <v>4048</v>
      </c>
      <c r="AN6" s="936"/>
      <c r="AO6" s="936"/>
      <c r="AP6" s="936"/>
      <c r="AQ6" s="936"/>
      <c r="AR6" s="936"/>
      <c r="AS6" s="936"/>
      <c r="AT6" s="971"/>
      <c r="AU6" s="971"/>
      <c r="AV6" s="971"/>
      <c r="AW6" s="971"/>
      <c r="AX6" s="971"/>
      <c r="AY6" s="971"/>
    </row>
    <row r="7" spans="1:51">
      <c r="A7" s="933"/>
      <c r="B7" s="1551" t="s">
        <v>6528</v>
      </c>
      <c r="C7" s="938" t="s">
        <v>2588</v>
      </c>
      <c r="D7" s="938"/>
      <c r="E7" s="939" t="s">
        <v>750</v>
      </c>
      <c r="F7" s="940">
        <v>3</v>
      </c>
      <c r="G7" s="941"/>
      <c r="H7" s="1488"/>
      <c r="I7" s="942"/>
      <c r="J7" s="941"/>
      <c r="K7" s="942"/>
      <c r="L7" s="942"/>
      <c r="M7" s="942"/>
      <c r="N7" s="982"/>
      <c r="O7" s="943">
        <f>+SUM(G7:N7)</f>
        <v>0</v>
      </c>
      <c r="P7" s="944"/>
      <c r="R7" s="945" t="str">
        <f t="shared" ref="R7:R10" si="0" xml:space="preserve"> IF( SUM( T7:AD7 ) = 0, 0, $V$5 )</f>
        <v>Please complete all cells in row</v>
      </c>
      <c r="S7" s="946"/>
      <c r="T7" s="72"/>
      <c r="V7" s="98">
        <f>IF(Validation!$H$3=1,0,IF(ISNUMBER(G7),0,1))</f>
        <v>1</v>
      </c>
      <c r="W7" s="98">
        <f>IF(Validation!$H$3=1,0,IF(ISNUMBER(H7),0,1))</f>
        <v>1</v>
      </c>
      <c r="X7" s="98">
        <f>IF(Validation!$H$3=1,0,IF(ISNUMBER(I7),0,1))</f>
        <v>1</v>
      </c>
      <c r="Y7" s="98">
        <f>IF(Validation!$H$3=1,0,IF(ISNUMBER(J7),0,1))</f>
        <v>1</v>
      </c>
      <c r="Z7" s="98">
        <f>IF(Validation!$H$3=1,0,IF(ISNUMBER(K7),0,1))</f>
        <v>1</v>
      </c>
      <c r="AA7" s="98">
        <f>IF(Validation!$H$3=1,0,IF(ISNUMBER(L7),0,1))</f>
        <v>1</v>
      </c>
      <c r="AB7" s="98">
        <f>IF(Validation!$H$3=1,0,IF(ISNUMBER(M7),0,1))</f>
        <v>1</v>
      </c>
      <c r="AC7" s="98">
        <f>IF(Validation!$H$3=1,0,IF(ISNUMBER(N7),0,1))</f>
        <v>1</v>
      </c>
      <c r="AD7" s="72"/>
      <c r="AL7" s="1551" t="s">
        <v>6528</v>
      </c>
      <c r="AM7" s="938" t="s">
        <v>2588</v>
      </c>
      <c r="AN7" s="938"/>
      <c r="AO7" s="939" t="s">
        <v>750</v>
      </c>
      <c r="AP7" s="940">
        <v>3</v>
      </c>
      <c r="AQ7" s="2982" t="s">
        <v>7387</v>
      </c>
      <c r="AR7" s="2984" t="s">
        <v>7388</v>
      </c>
      <c r="AS7" s="2985" t="s">
        <v>7389</v>
      </c>
      <c r="AT7" s="2982" t="s">
        <v>7390</v>
      </c>
      <c r="AU7" s="2985" t="s">
        <v>7391</v>
      </c>
      <c r="AV7" s="2985" t="s">
        <v>7392</v>
      </c>
      <c r="AW7" s="2985" t="s">
        <v>7393</v>
      </c>
      <c r="AX7" s="2986" t="s">
        <v>7394</v>
      </c>
      <c r="AY7" s="2287" t="s">
        <v>7395</v>
      </c>
    </row>
    <row r="8" spans="1:51">
      <c r="A8" s="933"/>
      <c r="B8" s="947" t="s">
        <v>6529</v>
      </c>
      <c r="C8" s="948" t="s">
        <v>2589</v>
      </c>
      <c r="D8" s="948"/>
      <c r="E8" s="949" t="s">
        <v>750</v>
      </c>
      <c r="F8" s="950">
        <v>3</v>
      </c>
      <c r="G8" s="951"/>
      <c r="H8" s="1489"/>
      <c r="I8" s="952"/>
      <c r="J8" s="951"/>
      <c r="K8" s="952"/>
      <c r="L8" s="952"/>
      <c r="M8" s="952"/>
      <c r="N8" s="984"/>
      <c r="O8" s="953">
        <f t="shared" ref="O8:O10" si="1">+SUM(G8:N8)</f>
        <v>0</v>
      </c>
      <c r="P8" s="954"/>
      <c r="R8" s="945" t="str">
        <f t="shared" si="0"/>
        <v>Please complete all cells in row</v>
      </c>
      <c r="S8" s="946"/>
      <c r="T8" s="72"/>
      <c r="V8" s="98">
        <f>IF(Validation!$H$3=1,0,IF(ISNUMBER(G8),0,1))</f>
        <v>1</v>
      </c>
      <c r="W8" s="98">
        <f>IF(Validation!$H$3=1,0,IF(ISNUMBER(H8),0,1))</f>
        <v>1</v>
      </c>
      <c r="X8" s="98">
        <f>IF(Validation!$H$3=1,0,IF(ISNUMBER(I8),0,1))</f>
        <v>1</v>
      </c>
      <c r="Y8" s="98">
        <f>IF(Validation!$H$3=1,0,IF(ISNUMBER(J8),0,1))</f>
        <v>1</v>
      </c>
      <c r="Z8" s="98">
        <f>IF(Validation!$H$3=1,0,IF(ISNUMBER(K8),0,1))</f>
        <v>1</v>
      </c>
      <c r="AA8" s="98">
        <f>IF(Validation!$H$3=1,0,IF(ISNUMBER(L8),0,1))</f>
        <v>1</v>
      </c>
      <c r="AB8" s="98">
        <f>IF(Validation!$H$3=1,0,IF(ISNUMBER(M8),0,1))</f>
        <v>1</v>
      </c>
      <c r="AC8" s="98">
        <f>IF(Validation!$H$3=1,0,IF(ISNUMBER(N8),0,1))</f>
        <v>1</v>
      </c>
      <c r="AD8" s="72"/>
      <c r="AL8" s="947" t="s">
        <v>6529</v>
      </c>
      <c r="AM8" s="948" t="s">
        <v>2589</v>
      </c>
      <c r="AN8" s="948"/>
      <c r="AO8" s="949" t="s">
        <v>750</v>
      </c>
      <c r="AP8" s="950">
        <v>3</v>
      </c>
      <c r="AQ8" s="2987" t="s">
        <v>7396</v>
      </c>
      <c r="AR8" s="2989" t="s">
        <v>7397</v>
      </c>
      <c r="AS8" s="2990" t="s">
        <v>7398</v>
      </c>
      <c r="AT8" s="2987" t="s">
        <v>7399</v>
      </c>
      <c r="AU8" s="2990" t="s">
        <v>7400</v>
      </c>
      <c r="AV8" s="2990" t="s">
        <v>7401</v>
      </c>
      <c r="AW8" s="2990" t="s">
        <v>7402</v>
      </c>
      <c r="AX8" s="2991" t="s">
        <v>7403</v>
      </c>
      <c r="AY8" s="2288" t="s">
        <v>7404</v>
      </c>
    </row>
    <row r="9" spans="1:51">
      <c r="A9" s="933"/>
      <c r="B9" s="947" t="s">
        <v>6530</v>
      </c>
      <c r="C9" s="948" t="s">
        <v>4081</v>
      </c>
      <c r="D9" s="948"/>
      <c r="E9" s="949" t="s">
        <v>750</v>
      </c>
      <c r="F9" s="950">
        <v>3</v>
      </c>
      <c r="G9" s="951"/>
      <c r="H9" s="1489"/>
      <c r="I9" s="952"/>
      <c r="J9" s="951"/>
      <c r="K9" s="952"/>
      <c r="L9" s="952"/>
      <c r="M9" s="952"/>
      <c r="N9" s="984"/>
      <c r="O9" s="953">
        <f t="shared" si="1"/>
        <v>0</v>
      </c>
      <c r="P9" s="954"/>
      <c r="R9" s="945" t="str">
        <f t="shared" si="0"/>
        <v>Please complete all cells in row</v>
      </c>
      <c r="S9" s="946"/>
      <c r="T9" s="72"/>
      <c r="V9" s="98">
        <f>IF(Validation!$H$3=1,0,IF(ISNUMBER(G9),0,1))</f>
        <v>1</v>
      </c>
      <c r="W9" s="98">
        <f>IF(Validation!$H$3=1,0,IF(ISNUMBER(H9),0,1))</f>
        <v>1</v>
      </c>
      <c r="X9" s="98">
        <f>IF(Validation!$H$3=1,0,IF(ISNUMBER(I9),0,1))</f>
        <v>1</v>
      </c>
      <c r="Y9" s="98">
        <f>IF(Validation!$H$3=1,0,IF(ISNUMBER(J9),0,1))</f>
        <v>1</v>
      </c>
      <c r="Z9" s="98">
        <f>IF(Validation!$H$3=1,0,IF(ISNUMBER(K9),0,1))</f>
        <v>1</v>
      </c>
      <c r="AA9" s="98">
        <f>IF(Validation!$H$3=1,0,IF(ISNUMBER(L9),0,1))</f>
        <v>1</v>
      </c>
      <c r="AB9" s="98">
        <f>IF(Validation!$H$3=1,0,IF(ISNUMBER(M9),0,1))</f>
        <v>1</v>
      </c>
      <c r="AC9" s="98">
        <f>IF(Validation!$H$3=1,0,IF(ISNUMBER(N9),0,1))</f>
        <v>1</v>
      </c>
      <c r="AD9" s="72"/>
      <c r="AL9" s="947" t="s">
        <v>6530</v>
      </c>
      <c r="AM9" s="948" t="s">
        <v>4081</v>
      </c>
      <c r="AN9" s="948"/>
      <c r="AO9" s="949" t="s">
        <v>750</v>
      </c>
      <c r="AP9" s="950">
        <v>3</v>
      </c>
      <c r="AQ9" s="2987" t="s">
        <v>7405</v>
      </c>
      <c r="AR9" s="2989" t="s">
        <v>7406</v>
      </c>
      <c r="AS9" s="2990" t="s">
        <v>7407</v>
      </c>
      <c r="AT9" s="2987" t="s">
        <v>7408</v>
      </c>
      <c r="AU9" s="2990" t="s">
        <v>7409</v>
      </c>
      <c r="AV9" s="2990" t="s">
        <v>7410</v>
      </c>
      <c r="AW9" s="2990" t="s">
        <v>7411</v>
      </c>
      <c r="AX9" s="2991" t="s">
        <v>7412</v>
      </c>
      <c r="AY9" s="2288" t="s">
        <v>7413</v>
      </c>
    </row>
    <row r="10" spans="1:51">
      <c r="A10" s="933"/>
      <c r="B10" s="947" t="s">
        <v>6531</v>
      </c>
      <c r="C10" s="948" t="s">
        <v>3676</v>
      </c>
      <c r="D10" s="948"/>
      <c r="E10" s="949" t="s">
        <v>750</v>
      </c>
      <c r="F10" s="950">
        <v>3</v>
      </c>
      <c r="G10" s="951"/>
      <c r="H10" s="1489"/>
      <c r="I10" s="952"/>
      <c r="J10" s="951"/>
      <c r="K10" s="952"/>
      <c r="L10" s="952"/>
      <c r="M10" s="952"/>
      <c r="N10" s="984"/>
      <c r="O10" s="953">
        <f t="shared" si="1"/>
        <v>0</v>
      </c>
      <c r="P10" s="954"/>
      <c r="R10" s="945" t="str">
        <f t="shared" si="0"/>
        <v>Please complete all cells in row</v>
      </c>
      <c r="S10" s="946"/>
      <c r="T10" s="72"/>
      <c r="V10" s="98">
        <f>IF(Validation!$H$3=1,0,IF(ISNUMBER(G10),0,1))</f>
        <v>1</v>
      </c>
      <c r="W10" s="98">
        <f>IF(Validation!$H$3=1,0,IF(ISNUMBER(H10),0,1))</f>
        <v>1</v>
      </c>
      <c r="X10" s="98">
        <f>IF(Validation!$H$3=1,0,IF(ISNUMBER(I10),0,1))</f>
        <v>1</v>
      </c>
      <c r="Y10" s="98">
        <f>IF(Validation!$H$3=1,0,IF(ISNUMBER(J10),0,1))</f>
        <v>1</v>
      </c>
      <c r="Z10" s="98">
        <f>IF(Validation!$H$3=1,0,IF(ISNUMBER(K10),0,1))</f>
        <v>1</v>
      </c>
      <c r="AA10" s="98">
        <f>IF(Validation!$H$3=1,0,IF(ISNUMBER(L10),0,1))</f>
        <v>1</v>
      </c>
      <c r="AB10" s="98">
        <f>IF(Validation!$H$3=1,0,IF(ISNUMBER(M10),0,1))</f>
        <v>1</v>
      </c>
      <c r="AC10" s="98">
        <f>IF(Validation!$H$3=1,0,IF(ISNUMBER(N10),0,1))</f>
        <v>1</v>
      </c>
      <c r="AD10" s="72"/>
      <c r="AL10" s="947" t="s">
        <v>6531</v>
      </c>
      <c r="AM10" s="948" t="s">
        <v>3676</v>
      </c>
      <c r="AN10" s="948"/>
      <c r="AO10" s="949" t="s">
        <v>750</v>
      </c>
      <c r="AP10" s="950">
        <v>3</v>
      </c>
      <c r="AQ10" s="2987" t="s">
        <v>7414</v>
      </c>
      <c r="AR10" s="2989" t="s">
        <v>7415</v>
      </c>
      <c r="AS10" s="2990" t="s">
        <v>7416</v>
      </c>
      <c r="AT10" s="2987" t="s">
        <v>7417</v>
      </c>
      <c r="AU10" s="2990" t="s">
        <v>7418</v>
      </c>
      <c r="AV10" s="2990" t="s">
        <v>7419</v>
      </c>
      <c r="AW10" s="2990" t="s">
        <v>7420</v>
      </c>
      <c r="AX10" s="2991" t="s">
        <v>7421</v>
      </c>
      <c r="AY10" s="2288" t="s">
        <v>7422</v>
      </c>
    </row>
    <row r="11" spans="1:51">
      <c r="A11" s="971"/>
      <c r="B11" s="2055"/>
      <c r="C11" s="955" t="s">
        <v>2591</v>
      </c>
      <c r="D11" s="956"/>
      <c r="E11" s="957"/>
      <c r="F11" s="958"/>
      <c r="G11" s="959"/>
      <c r="H11" s="959"/>
      <c r="I11" s="959"/>
      <c r="J11" s="959"/>
      <c r="K11" s="959"/>
      <c r="L11" s="959"/>
      <c r="M11" s="959"/>
      <c r="N11" s="959"/>
      <c r="O11" s="959"/>
      <c r="P11" s="2056"/>
      <c r="Q11" s="496"/>
      <c r="R11" s="597"/>
      <c r="AL11" s="2055"/>
      <c r="AM11" s="955" t="s">
        <v>2591</v>
      </c>
      <c r="AN11" s="956"/>
      <c r="AO11" s="957"/>
      <c r="AP11" s="958"/>
      <c r="AQ11" s="2289"/>
      <c r="AR11" s="2289"/>
      <c r="AS11" s="2289"/>
      <c r="AT11" s="2289"/>
      <c r="AU11" s="2289"/>
      <c r="AV11" s="2289"/>
      <c r="AW11" s="2289"/>
      <c r="AX11" s="2289"/>
      <c r="AY11" s="2289"/>
    </row>
    <row r="12" spans="1:51">
      <c r="A12" s="933"/>
      <c r="B12" s="947" t="s">
        <v>6532</v>
      </c>
      <c r="C12" s="961" t="s">
        <v>4049</v>
      </c>
      <c r="D12" s="961"/>
      <c r="E12" s="949" t="s">
        <v>750</v>
      </c>
      <c r="F12" s="962">
        <v>3</v>
      </c>
      <c r="G12" s="951"/>
      <c r="H12" s="1489"/>
      <c r="I12" s="952"/>
      <c r="J12" s="951"/>
      <c r="K12" s="952"/>
      <c r="L12" s="952"/>
      <c r="M12" s="952"/>
      <c r="N12" s="984"/>
      <c r="O12" s="953">
        <f t="shared" ref="O12:O16" si="2">+SUM(G12:N12)</f>
        <v>0</v>
      </c>
      <c r="P12" s="954"/>
      <c r="R12" s="945" t="str">
        <f t="shared" ref="R12:R15" si="3" xml:space="preserve"> IF( SUM( T12:AD12 ) = 0, 0, $V$5 )</f>
        <v>Please complete all cells in row</v>
      </c>
      <c r="S12" s="946"/>
      <c r="T12" s="72"/>
      <c r="V12" s="98">
        <f>IF(Validation!$H$3=1,0,IF(ISNUMBER(G12),0,1))</f>
        <v>1</v>
      </c>
      <c r="W12" s="98">
        <f>IF(Validation!$H$3=1,0,IF(ISNUMBER(H12),0,1))</f>
        <v>1</v>
      </c>
      <c r="X12" s="98">
        <f>IF(Validation!$H$3=1,0,IF(ISNUMBER(I12),0,1))</f>
        <v>1</v>
      </c>
      <c r="Y12" s="98">
        <f>IF(Validation!$H$3=1,0,IF(ISNUMBER(J12),0,1))</f>
        <v>1</v>
      </c>
      <c r="Z12" s="98">
        <f>IF(Validation!$H$3=1,0,IF(ISNUMBER(K12),0,1))</f>
        <v>1</v>
      </c>
      <c r="AA12" s="98">
        <f>IF(Validation!$H$3=1,0,IF(ISNUMBER(L12),0,1))</f>
        <v>1</v>
      </c>
      <c r="AB12" s="98">
        <f>IF(Validation!$H$3=1,0,IF(ISNUMBER(M12),0,1))</f>
        <v>1</v>
      </c>
      <c r="AC12" s="98">
        <f>IF(Validation!$H$3=1,0,IF(ISNUMBER(N12),0,1))</f>
        <v>1</v>
      </c>
      <c r="AD12" s="72"/>
      <c r="AL12" s="947" t="s">
        <v>6532</v>
      </c>
      <c r="AM12" s="961" t="s">
        <v>4049</v>
      </c>
      <c r="AN12" s="961"/>
      <c r="AO12" s="949" t="s">
        <v>750</v>
      </c>
      <c r="AP12" s="962">
        <v>3</v>
      </c>
      <c r="AQ12" s="2987" t="s">
        <v>7423</v>
      </c>
      <c r="AR12" s="2989" t="s">
        <v>7424</v>
      </c>
      <c r="AS12" s="2990" t="s">
        <v>7425</v>
      </c>
      <c r="AT12" s="2987" t="s">
        <v>7426</v>
      </c>
      <c r="AU12" s="2990" t="s">
        <v>7427</v>
      </c>
      <c r="AV12" s="2990" t="s">
        <v>7428</v>
      </c>
      <c r="AW12" s="2990" t="s">
        <v>7429</v>
      </c>
      <c r="AX12" s="2991" t="s">
        <v>7430</v>
      </c>
      <c r="AY12" s="2288" t="s">
        <v>7431</v>
      </c>
    </row>
    <row r="13" spans="1:51">
      <c r="A13" s="933"/>
      <c r="B13" s="947" t="s">
        <v>6533</v>
      </c>
      <c r="C13" s="948" t="s">
        <v>4050</v>
      </c>
      <c r="D13" s="948"/>
      <c r="E13" s="949" t="s">
        <v>750</v>
      </c>
      <c r="F13" s="962">
        <v>3</v>
      </c>
      <c r="G13" s="951"/>
      <c r="H13" s="1489"/>
      <c r="I13" s="952"/>
      <c r="J13" s="951"/>
      <c r="K13" s="952"/>
      <c r="L13" s="952"/>
      <c r="M13" s="952"/>
      <c r="N13" s="984"/>
      <c r="O13" s="953">
        <f t="shared" si="2"/>
        <v>0</v>
      </c>
      <c r="P13" s="954"/>
      <c r="R13" s="945" t="str">
        <f t="shared" si="3"/>
        <v>Please complete all cells in row</v>
      </c>
      <c r="S13" s="946"/>
      <c r="T13" s="72"/>
      <c r="V13" s="98">
        <f>IF(Validation!$H$3=1,0,IF(ISNUMBER(G13),0,1))</f>
        <v>1</v>
      </c>
      <c r="W13" s="98">
        <f>IF(Validation!$H$3=1,0,IF(ISNUMBER(H13),0,1))</f>
        <v>1</v>
      </c>
      <c r="X13" s="98">
        <f>IF(Validation!$H$3=1,0,IF(ISNUMBER(I13),0,1))</f>
        <v>1</v>
      </c>
      <c r="Y13" s="98">
        <f>IF(Validation!$H$3=1,0,IF(ISNUMBER(J13),0,1))</f>
        <v>1</v>
      </c>
      <c r="Z13" s="98">
        <f>IF(Validation!$H$3=1,0,IF(ISNUMBER(K13),0,1))</f>
        <v>1</v>
      </c>
      <c r="AA13" s="98">
        <f>IF(Validation!$H$3=1,0,IF(ISNUMBER(L13),0,1))</f>
        <v>1</v>
      </c>
      <c r="AB13" s="98">
        <f>IF(Validation!$H$3=1,0,IF(ISNUMBER(M13),0,1))</f>
        <v>1</v>
      </c>
      <c r="AC13" s="98">
        <f>IF(Validation!$H$3=1,0,IF(ISNUMBER(N13),0,1))</f>
        <v>1</v>
      </c>
      <c r="AD13" s="72"/>
      <c r="AL13" s="947" t="s">
        <v>6533</v>
      </c>
      <c r="AM13" s="948" t="s">
        <v>4050</v>
      </c>
      <c r="AN13" s="948"/>
      <c r="AO13" s="949" t="s">
        <v>750</v>
      </c>
      <c r="AP13" s="962">
        <v>3</v>
      </c>
      <c r="AQ13" s="2987" t="s">
        <v>7432</v>
      </c>
      <c r="AR13" s="2989" t="s">
        <v>7433</v>
      </c>
      <c r="AS13" s="2990" t="s">
        <v>7434</v>
      </c>
      <c r="AT13" s="2987" t="s">
        <v>7435</v>
      </c>
      <c r="AU13" s="2990" t="s">
        <v>7436</v>
      </c>
      <c r="AV13" s="2990" t="s">
        <v>7437</v>
      </c>
      <c r="AW13" s="2990" t="s">
        <v>7438</v>
      </c>
      <c r="AX13" s="2991" t="s">
        <v>7439</v>
      </c>
      <c r="AY13" s="2288" t="s">
        <v>7440</v>
      </c>
    </row>
    <row r="14" spans="1:51">
      <c r="A14" s="933"/>
      <c r="B14" s="947" t="s">
        <v>6534</v>
      </c>
      <c r="C14" s="948" t="s">
        <v>4051</v>
      </c>
      <c r="D14" s="948"/>
      <c r="E14" s="949" t="s">
        <v>750</v>
      </c>
      <c r="F14" s="962">
        <v>3</v>
      </c>
      <c r="G14" s="951"/>
      <c r="H14" s="1489"/>
      <c r="I14" s="952"/>
      <c r="J14" s="951"/>
      <c r="K14" s="952"/>
      <c r="L14" s="952"/>
      <c r="M14" s="952"/>
      <c r="N14" s="984"/>
      <c r="O14" s="953">
        <f t="shared" si="2"/>
        <v>0</v>
      </c>
      <c r="P14" s="954"/>
      <c r="R14" s="945" t="str">
        <f t="shared" si="3"/>
        <v>Please complete all cells in row</v>
      </c>
      <c r="S14" s="946"/>
      <c r="T14" s="72"/>
      <c r="V14" s="98">
        <f>IF(Validation!$H$3=1,0,IF(ISNUMBER(G14),0,1))</f>
        <v>1</v>
      </c>
      <c r="W14" s="98">
        <f>IF(Validation!$H$3=1,0,IF(ISNUMBER(H14),0,1))</f>
        <v>1</v>
      </c>
      <c r="X14" s="98">
        <f>IF(Validation!$H$3=1,0,IF(ISNUMBER(I14),0,1))</f>
        <v>1</v>
      </c>
      <c r="Y14" s="98">
        <f>IF(Validation!$H$3=1,0,IF(ISNUMBER(J14),0,1))</f>
        <v>1</v>
      </c>
      <c r="Z14" s="98">
        <f>IF(Validation!$H$3=1,0,IF(ISNUMBER(K14),0,1))</f>
        <v>1</v>
      </c>
      <c r="AA14" s="98">
        <f>IF(Validation!$H$3=1,0,IF(ISNUMBER(L14),0,1))</f>
        <v>1</v>
      </c>
      <c r="AB14" s="98">
        <f>IF(Validation!$H$3=1,0,IF(ISNUMBER(M14),0,1))</f>
        <v>1</v>
      </c>
      <c r="AC14" s="98">
        <f>IF(Validation!$H$3=1,0,IF(ISNUMBER(N14),0,1))</f>
        <v>1</v>
      </c>
      <c r="AD14" s="72"/>
      <c r="AL14" s="947" t="s">
        <v>6534</v>
      </c>
      <c r="AM14" s="948" t="s">
        <v>4051</v>
      </c>
      <c r="AN14" s="948"/>
      <c r="AO14" s="949" t="s">
        <v>750</v>
      </c>
      <c r="AP14" s="962">
        <v>3</v>
      </c>
      <c r="AQ14" s="2987" t="s">
        <v>7441</v>
      </c>
      <c r="AR14" s="2989" t="s">
        <v>7442</v>
      </c>
      <c r="AS14" s="2990" t="s">
        <v>7443</v>
      </c>
      <c r="AT14" s="2987" t="s">
        <v>7444</v>
      </c>
      <c r="AU14" s="2990" t="s">
        <v>7445</v>
      </c>
      <c r="AV14" s="2990" t="s">
        <v>7446</v>
      </c>
      <c r="AW14" s="2990" t="s">
        <v>7447</v>
      </c>
      <c r="AX14" s="2991" t="s">
        <v>7448</v>
      </c>
      <c r="AY14" s="2288" t="s">
        <v>7449</v>
      </c>
    </row>
    <row r="15" spans="1:51">
      <c r="A15" s="933"/>
      <c r="B15" s="947" t="s">
        <v>6535</v>
      </c>
      <c r="C15" s="948" t="s">
        <v>3611</v>
      </c>
      <c r="D15" s="948"/>
      <c r="E15" s="949" t="s">
        <v>750</v>
      </c>
      <c r="F15" s="962">
        <v>3</v>
      </c>
      <c r="G15" s="951"/>
      <c r="H15" s="1489"/>
      <c r="I15" s="952"/>
      <c r="J15" s="951"/>
      <c r="K15" s="952"/>
      <c r="L15" s="952"/>
      <c r="M15" s="952"/>
      <c r="N15" s="984"/>
      <c r="O15" s="953">
        <f t="shared" si="2"/>
        <v>0</v>
      </c>
      <c r="P15" s="954"/>
      <c r="R15" s="945" t="str">
        <f t="shared" si="3"/>
        <v>Please complete all cells in row</v>
      </c>
      <c r="S15" s="946"/>
      <c r="T15" s="72"/>
      <c r="V15" s="98">
        <f>IF(Validation!$H$3=1,0,IF(ISNUMBER(G15),0,1))</f>
        <v>1</v>
      </c>
      <c r="W15" s="98">
        <f>IF(Validation!$H$3=1,0,IF(ISNUMBER(H15),0,1))</f>
        <v>1</v>
      </c>
      <c r="X15" s="98">
        <f>IF(Validation!$H$3=1,0,IF(ISNUMBER(I15),0,1))</f>
        <v>1</v>
      </c>
      <c r="Y15" s="98">
        <f>IF(Validation!$H$3=1,0,IF(ISNUMBER(J15),0,1))</f>
        <v>1</v>
      </c>
      <c r="Z15" s="98">
        <f>IF(Validation!$H$3=1,0,IF(ISNUMBER(K15),0,1))</f>
        <v>1</v>
      </c>
      <c r="AA15" s="98">
        <f>IF(Validation!$H$3=1,0,IF(ISNUMBER(L15),0,1))</f>
        <v>1</v>
      </c>
      <c r="AB15" s="98">
        <f>IF(Validation!$H$3=1,0,IF(ISNUMBER(M15),0,1))</f>
        <v>1</v>
      </c>
      <c r="AC15" s="98">
        <f>IF(Validation!$H$3=1,0,IF(ISNUMBER(N15),0,1))</f>
        <v>1</v>
      </c>
      <c r="AD15" s="72"/>
      <c r="AL15" s="947" t="s">
        <v>6535</v>
      </c>
      <c r="AM15" s="948" t="s">
        <v>3611</v>
      </c>
      <c r="AN15" s="948"/>
      <c r="AO15" s="949" t="s">
        <v>750</v>
      </c>
      <c r="AP15" s="962">
        <v>3</v>
      </c>
      <c r="AQ15" s="2987" t="s">
        <v>7450</v>
      </c>
      <c r="AR15" s="2989" t="s">
        <v>7451</v>
      </c>
      <c r="AS15" s="2990" t="s">
        <v>7452</v>
      </c>
      <c r="AT15" s="2987" t="s">
        <v>7453</v>
      </c>
      <c r="AU15" s="2990" t="s">
        <v>7454</v>
      </c>
      <c r="AV15" s="2990" t="s">
        <v>7455</v>
      </c>
      <c r="AW15" s="2990" t="s">
        <v>7456</v>
      </c>
      <c r="AX15" s="2991" t="s">
        <v>7457</v>
      </c>
      <c r="AY15" s="2288" t="s">
        <v>7458</v>
      </c>
    </row>
    <row r="16" spans="1:51" ht="15" thickBot="1">
      <c r="A16" s="933"/>
      <c r="B16" s="963" t="s">
        <v>6536</v>
      </c>
      <c r="C16" s="964" t="s">
        <v>4052</v>
      </c>
      <c r="D16" s="964"/>
      <c r="E16" s="965" t="s">
        <v>750</v>
      </c>
      <c r="F16" s="966">
        <v>3</v>
      </c>
      <c r="G16" s="967">
        <f t="shared" ref="G16" si="4">+SUM(G7:G15)</f>
        <v>0</v>
      </c>
      <c r="H16" s="1490">
        <f t="shared" ref="H16:N16" si="5">+SUM(H7:H15)</f>
        <v>0</v>
      </c>
      <c r="I16" s="968">
        <f t="shared" si="5"/>
        <v>0</v>
      </c>
      <c r="J16" s="967">
        <f t="shared" si="5"/>
        <v>0</v>
      </c>
      <c r="K16" s="968">
        <f t="shared" si="5"/>
        <v>0</v>
      </c>
      <c r="L16" s="968">
        <f t="shared" si="5"/>
        <v>0</v>
      </c>
      <c r="M16" s="968">
        <f t="shared" si="5"/>
        <v>0</v>
      </c>
      <c r="N16" s="1510">
        <f t="shared" si="5"/>
        <v>0</v>
      </c>
      <c r="O16" s="969">
        <f t="shared" si="2"/>
        <v>0</v>
      </c>
      <c r="P16" s="970"/>
      <c r="R16" s="597"/>
      <c r="AL16" s="963" t="s">
        <v>6536</v>
      </c>
      <c r="AM16" s="964" t="s">
        <v>4052</v>
      </c>
      <c r="AN16" s="964"/>
      <c r="AO16" s="965" t="s">
        <v>750</v>
      </c>
      <c r="AP16" s="966">
        <v>3</v>
      </c>
      <c r="AQ16" s="967" t="s">
        <v>7459</v>
      </c>
      <c r="AR16" s="1490" t="s">
        <v>7460</v>
      </c>
      <c r="AS16" s="968" t="s">
        <v>7461</v>
      </c>
      <c r="AT16" s="967" t="s">
        <v>7462</v>
      </c>
      <c r="AU16" s="968" t="s">
        <v>7463</v>
      </c>
      <c r="AV16" s="968" t="s">
        <v>7464</v>
      </c>
      <c r="AW16" s="968" t="s">
        <v>7465</v>
      </c>
      <c r="AX16" s="1510" t="s">
        <v>7466</v>
      </c>
      <c r="AY16" s="2290" t="s">
        <v>7467</v>
      </c>
    </row>
    <row r="17" spans="1:51" ht="15" thickBot="1">
      <c r="A17" s="933"/>
      <c r="B17" s="971"/>
      <c r="C17" s="971"/>
      <c r="D17" s="971"/>
      <c r="E17" s="971"/>
      <c r="F17" s="971"/>
      <c r="G17" s="933"/>
      <c r="H17" s="933"/>
      <c r="I17" s="933"/>
      <c r="J17" s="933"/>
      <c r="K17" s="933"/>
      <c r="L17" s="933"/>
      <c r="M17" s="933"/>
      <c r="N17" s="933"/>
      <c r="O17" s="933"/>
      <c r="P17" s="933"/>
      <c r="R17" s="597"/>
      <c r="AL17" s="971"/>
      <c r="AM17" s="971"/>
      <c r="AN17" s="971"/>
      <c r="AO17" s="971"/>
      <c r="AP17" s="971"/>
      <c r="AQ17" s="2993"/>
      <c r="AR17" s="2993"/>
      <c r="AS17" s="2993"/>
      <c r="AT17" s="2993"/>
      <c r="AU17" s="2993"/>
      <c r="AV17" s="2993"/>
      <c r="AW17" s="2993"/>
      <c r="AX17" s="2993"/>
      <c r="AY17" s="2993"/>
    </row>
    <row r="18" spans="1:51">
      <c r="A18" s="933"/>
      <c r="B18" s="937" t="s">
        <v>6537</v>
      </c>
      <c r="C18" s="938" t="s">
        <v>2593</v>
      </c>
      <c r="D18" s="938"/>
      <c r="E18" s="939" t="s">
        <v>750</v>
      </c>
      <c r="F18" s="940">
        <v>3</v>
      </c>
      <c r="G18" s="941"/>
      <c r="H18" s="1488"/>
      <c r="I18" s="942"/>
      <c r="J18" s="941"/>
      <c r="K18" s="942"/>
      <c r="L18" s="942"/>
      <c r="M18" s="942"/>
      <c r="N18" s="982"/>
      <c r="O18" s="943">
        <f t="shared" ref="O18:O19" si="6">+SUM(G18:N18)</f>
        <v>0</v>
      </c>
      <c r="P18" s="944"/>
      <c r="R18" s="945" t="str">
        <f t="shared" ref="R18" si="7" xml:space="preserve"> IF( SUM( T18:AD18 ) = 0, 0, $V$5 )</f>
        <v>Please complete all cells in row</v>
      </c>
      <c r="S18" s="946"/>
      <c r="T18" s="72"/>
      <c r="V18" s="98">
        <f>IF(Validation!$H$3=1,0,IF(ISNUMBER(G18),0,1))</f>
        <v>1</v>
      </c>
      <c r="W18" s="98">
        <f>IF(Validation!$H$3=1,0,IF(ISNUMBER(H18),0,1))</f>
        <v>1</v>
      </c>
      <c r="X18" s="98">
        <f>IF(Validation!$H$3=1,0,IF(ISNUMBER(I18),0,1))</f>
        <v>1</v>
      </c>
      <c r="Y18" s="98">
        <f>IF(Validation!$H$3=1,0,IF(ISNUMBER(J18),0,1))</f>
        <v>1</v>
      </c>
      <c r="Z18" s="98">
        <f>IF(Validation!$H$3=1,0,IF(ISNUMBER(K18),0,1))</f>
        <v>1</v>
      </c>
      <c r="AA18" s="98">
        <f>IF(Validation!$H$3=1,0,IF(ISNUMBER(L18),0,1))</f>
        <v>1</v>
      </c>
      <c r="AB18" s="98">
        <f>IF(Validation!$H$3=1,0,IF(ISNUMBER(M18),0,1))</f>
        <v>1</v>
      </c>
      <c r="AC18" s="98">
        <f>IF(Validation!$H$3=1,0,IF(ISNUMBER(N18),0,1))</f>
        <v>1</v>
      </c>
      <c r="AD18" s="72"/>
      <c r="AL18" s="937" t="s">
        <v>6537</v>
      </c>
      <c r="AM18" s="938" t="s">
        <v>2593</v>
      </c>
      <c r="AN18" s="938"/>
      <c r="AO18" s="939" t="s">
        <v>750</v>
      </c>
      <c r="AP18" s="940">
        <v>3</v>
      </c>
      <c r="AQ18" s="2982" t="s">
        <v>7468</v>
      </c>
      <c r="AR18" s="2984" t="s">
        <v>7469</v>
      </c>
      <c r="AS18" s="2985" t="s">
        <v>7470</v>
      </c>
      <c r="AT18" s="2982" t="s">
        <v>7471</v>
      </c>
      <c r="AU18" s="2985" t="s">
        <v>7472</v>
      </c>
      <c r="AV18" s="2985" t="s">
        <v>7473</v>
      </c>
      <c r="AW18" s="2985" t="s">
        <v>7474</v>
      </c>
      <c r="AX18" s="2986" t="s">
        <v>7475</v>
      </c>
      <c r="AY18" s="2287" t="s">
        <v>7476</v>
      </c>
    </row>
    <row r="19" spans="1:51" ht="15" thickBot="1">
      <c r="A19" s="933"/>
      <c r="B19" s="963" t="s">
        <v>6538</v>
      </c>
      <c r="C19" s="964" t="s">
        <v>2594</v>
      </c>
      <c r="D19" s="964"/>
      <c r="E19" s="965" t="s">
        <v>750</v>
      </c>
      <c r="F19" s="966">
        <v>3</v>
      </c>
      <c r="G19" s="967">
        <f t="shared" ref="G19:N19" si="8">+G16+G18</f>
        <v>0</v>
      </c>
      <c r="H19" s="1490">
        <f t="shared" si="8"/>
        <v>0</v>
      </c>
      <c r="I19" s="968">
        <f t="shared" si="8"/>
        <v>0</v>
      </c>
      <c r="J19" s="967">
        <f t="shared" si="8"/>
        <v>0</v>
      </c>
      <c r="K19" s="968">
        <f t="shared" si="8"/>
        <v>0</v>
      </c>
      <c r="L19" s="968">
        <f t="shared" si="8"/>
        <v>0</v>
      </c>
      <c r="M19" s="968">
        <f t="shared" si="8"/>
        <v>0</v>
      </c>
      <c r="N19" s="1510">
        <f t="shared" si="8"/>
        <v>0</v>
      </c>
      <c r="O19" s="969">
        <f t="shared" si="6"/>
        <v>0</v>
      </c>
      <c r="P19" s="970"/>
      <c r="R19" s="597"/>
      <c r="AL19" s="963" t="s">
        <v>6538</v>
      </c>
      <c r="AM19" s="964" t="s">
        <v>2594</v>
      </c>
      <c r="AN19" s="964"/>
      <c r="AO19" s="965" t="s">
        <v>750</v>
      </c>
      <c r="AP19" s="966">
        <v>3</v>
      </c>
      <c r="AQ19" s="967" t="s">
        <v>7477</v>
      </c>
      <c r="AR19" s="1490" t="s">
        <v>7478</v>
      </c>
      <c r="AS19" s="968" t="s">
        <v>7479</v>
      </c>
      <c r="AT19" s="967" t="s">
        <v>7480</v>
      </c>
      <c r="AU19" s="968" t="s">
        <v>7481</v>
      </c>
      <c r="AV19" s="968" t="s">
        <v>7482</v>
      </c>
      <c r="AW19" s="968" t="s">
        <v>7483</v>
      </c>
      <c r="AX19" s="1510" t="s">
        <v>7484</v>
      </c>
      <c r="AY19" s="2290" t="s">
        <v>7485</v>
      </c>
    </row>
    <row r="20" spans="1:51" ht="15" thickBot="1">
      <c r="A20" s="933"/>
      <c r="B20" s="971"/>
      <c r="C20" s="971"/>
      <c r="D20" s="971"/>
      <c r="E20" s="971"/>
      <c r="F20" s="971"/>
      <c r="G20" s="933"/>
      <c r="H20" s="933"/>
      <c r="I20" s="933"/>
      <c r="J20" s="933"/>
      <c r="K20" s="933"/>
      <c r="L20" s="933"/>
      <c r="M20" s="933"/>
      <c r="N20" s="933"/>
      <c r="O20" s="933"/>
      <c r="P20" s="933"/>
      <c r="R20" s="597"/>
      <c r="AL20" s="971"/>
      <c r="AM20" s="971"/>
      <c r="AN20" s="971"/>
      <c r="AO20" s="971"/>
      <c r="AP20" s="971"/>
      <c r="AQ20" s="2993"/>
      <c r="AR20" s="2993"/>
      <c r="AS20" s="2993"/>
      <c r="AT20" s="2993"/>
      <c r="AU20" s="2993"/>
      <c r="AV20" s="2993"/>
      <c r="AW20" s="2993"/>
      <c r="AX20" s="2993"/>
      <c r="AY20" s="2993"/>
    </row>
    <row r="21" spans="1:51" ht="15" thickBot="1">
      <c r="A21" s="933"/>
      <c r="B21" s="934" t="s">
        <v>2458</v>
      </c>
      <c r="C21" s="935" t="s">
        <v>4053</v>
      </c>
      <c r="D21" s="972"/>
      <c r="E21" s="936"/>
      <c r="F21" s="936"/>
      <c r="G21" s="933"/>
      <c r="H21" s="933"/>
      <c r="I21" s="933"/>
      <c r="J21" s="933"/>
      <c r="K21" s="933"/>
      <c r="L21" s="933"/>
      <c r="M21" s="933"/>
      <c r="N21" s="933"/>
      <c r="O21" s="933"/>
      <c r="P21" s="933"/>
      <c r="R21" s="597"/>
      <c r="AL21" s="934" t="s">
        <v>2458</v>
      </c>
      <c r="AM21" s="935" t="s">
        <v>4053</v>
      </c>
      <c r="AN21" s="2742"/>
      <c r="AO21" s="936"/>
      <c r="AP21" s="936"/>
      <c r="AQ21" s="2993"/>
      <c r="AR21" s="2993"/>
      <c r="AS21" s="2993"/>
      <c r="AT21" s="2993"/>
      <c r="AU21" s="2993"/>
      <c r="AV21" s="2993"/>
      <c r="AW21" s="2993"/>
      <c r="AX21" s="2993"/>
      <c r="AY21" s="2993"/>
    </row>
    <row r="22" spans="1:51">
      <c r="A22" s="933"/>
      <c r="B22" s="937" t="s">
        <v>6539</v>
      </c>
      <c r="C22" s="938" t="s">
        <v>2596</v>
      </c>
      <c r="D22" s="938"/>
      <c r="E22" s="939" t="s">
        <v>750</v>
      </c>
      <c r="F22" s="940">
        <v>3</v>
      </c>
      <c r="G22" s="973"/>
      <c r="H22" s="1491"/>
      <c r="I22" s="974"/>
      <c r="J22" s="973"/>
      <c r="K22" s="974"/>
      <c r="L22" s="974"/>
      <c r="M22" s="974"/>
      <c r="N22" s="1839"/>
      <c r="O22" s="943">
        <f t="shared" ref="O22:O31" si="9">+SUM(G22:N22)</f>
        <v>0</v>
      </c>
      <c r="P22" s="944"/>
      <c r="R22" s="945" t="str">
        <f t="shared" ref="R22:R28" si="10" xml:space="preserve"> IF( SUM( T22:AD22 ) = 0, 0, $V$5 )</f>
        <v>Please complete all cells in row</v>
      </c>
      <c r="S22" s="946"/>
      <c r="T22" s="72"/>
      <c r="V22" s="98">
        <f>IF(Validation!$H$3=1,0,IF(ISNUMBER(G22),0,1))</f>
        <v>1</v>
      </c>
      <c r="W22" s="98">
        <f>IF(Validation!$H$3=1,0,IF(ISNUMBER(H22),0,1))</f>
        <v>1</v>
      </c>
      <c r="X22" s="98">
        <f>IF(Validation!$H$3=1,0,IF(ISNUMBER(I22),0,1))</f>
        <v>1</v>
      </c>
      <c r="Y22" s="98">
        <f>IF(Validation!$H$3=1,0,IF(ISNUMBER(J22),0,1))</f>
        <v>1</v>
      </c>
      <c r="Z22" s="98">
        <f>IF(Validation!$H$3=1,0,IF(ISNUMBER(K22),0,1))</f>
        <v>1</v>
      </c>
      <c r="AA22" s="98">
        <f>IF(Validation!$H$3=1,0,IF(ISNUMBER(L22),0,1))</f>
        <v>1</v>
      </c>
      <c r="AB22" s="98">
        <f>IF(Validation!$H$3=1,0,IF(ISNUMBER(M22),0,1))</f>
        <v>1</v>
      </c>
      <c r="AC22" s="98">
        <f>IF(Validation!$H$3=1,0,IF(ISNUMBER(N22),0,1))</f>
        <v>1</v>
      </c>
      <c r="AD22" s="72"/>
      <c r="AL22" s="937" t="s">
        <v>6539</v>
      </c>
      <c r="AM22" s="938" t="s">
        <v>2596</v>
      </c>
      <c r="AN22" s="938"/>
      <c r="AO22" s="939" t="s">
        <v>750</v>
      </c>
      <c r="AP22" s="940">
        <v>3</v>
      </c>
      <c r="AQ22" s="2994" t="s">
        <v>7486</v>
      </c>
      <c r="AR22" s="2996" t="s">
        <v>7487</v>
      </c>
      <c r="AS22" s="2997" t="s">
        <v>7488</v>
      </c>
      <c r="AT22" s="2994" t="s">
        <v>7489</v>
      </c>
      <c r="AU22" s="2997" t="s">
        <v>7490</v>
      </c>
      <c r="AV22" s="2997" t="s">
        <v>7491</v>
      </c>
      <c r="AW22" s="2997" t="s">
        <v>7492</v>
      </c>
      <c r="AX22" s="2998" t="s">
        <v>7493</v>
      </c>
      <c r="AY22" s="2287" t="s">
        <v>7494</v>
      </c>
    </row>
    <row r="23" spans="1:51">
      <c r="A23" s="933"/>
      <c r="B23" s="947" t="s">
        <v>6540</v>
      </c>
      <c r="C23" s="948" t="s">
        <v>2753</v>
      </c>
      <c r="D23" s="948"/>
      <c r="E23" s="949" t="s">
        <v>750</v>
      </c>
      <c r="F23" s="950">
        <v>3</v>
      </c>
      <c r="G23" s="975"/>
      <c r="H23" s="1492"/>
      <c r="I23" s="976"/>
      <c r="J23" s="975"/>
      <c r="K23" s="976"/>
      <c r="L23" s="976"/>
      <c r="M23" s="976"/>
      <c r="N23" s="1840"/>
      <c r="O23" s="953">
        <f t="shared" si="9"/>
        <v>0</v>
      </c>
      <c r="P23" s="954"/>
      <c r="R23" s="945" t="str">
        <f t="shared" si="10"/>
        <v>Please complete all cells in row</v>
      </c>
      <c r="S23" s="946"/>
      <c r="T23" s="72"/>
      <c r="V23" s="98">
        <f>IF(Validation!$H$3=1,0,IF(ISNUMBER(G23),0,1))</f>
        <v>1</v>
      </c>
      <c r="W23" s="98">
        <f>IF(Validation!$H$3=1,0,IF(ISNUMBER(H23),0,1))</f>
        <v>1</v>
      </c>
      <c r="X23" s="98">
        <f>IF(Validation!$H$3=1,0,IF(ISNUMBER(I23),0,1))</f>
        <v>1</v>
      </c>
      <c r="Y23" s="98">
        <f>IF(Validation!$H$3=1,0,IF(ISNUMBER(J23),0,1))</f>
        <v>1</v>
      </c>
      <c r="Z23" s="98">
        <f>IF(Validation!$H$3=1,0,IF(ISNUMBER(K23),0,1))</f>
        <v>1</v>
      </c>
      <c r="AA23" s="98">
        <f>IF(Validation!$H$3=1,0,IF(ISNUMBER(L23),0,1))</f>
        <v>1</v>
      </c>
      <c r="AB23" s="98">
        <f>IF(Validation!$H$3=1,0,IF(ISNUMBER(M23),0,1))</f>
        <v>1</v>
      </c>
      <c r="AC23" s="98">
        <f>IF(Validation!$H$3=1,0,IF(ISNUMBER(N23),0,1))</f>
        <v>1</v>
      </c>
      <c r="AD23" s="72"/>
      <c r="AL23" s="947" t="s">
        <v>6540</v>
      </c>
      <c r="AM23" s="948" t="s">
        <v>2753</v>
      </c>
      <c r="AN23" s="948"/>
      <c r="AO23" s="949" t="s">
        <v>750</v>
      </c>
      <c r="AP23" s="950">
        <v>3</v>
      </c>
      <c r="AQ23" s="2999" t="s">
        <v>7495</v>
      </c>
      <c r="AR23" s="3001" t="s">
        <v>7496</v>
      </c>
      <c r="AS23" s="3002" t="s">
        <v>7497</v>
      </c>
      <c r="AT23" s="2999" t="s">
        <v>7498</v>
      </c>
      <c r="AU23" s="3002" t="s">
        <v>7499</v>
      </c>
      <c r="AV23" s="3002" t="s">
        <v>7500</v>
      </c>
      <c r="AW23" s="3002" t="s">
        <v>7501</v>
      </c>
      <c r="AX23" s="3003" t="s">
        <v>7502</v>
      </c>
      <c r="AY23" s="2288" t="s">
        <v>7503</v>
      </c>
    </row>
    <row r="24" spans="1:51">
      <c r="A24" s="933"/>
      <c r="B24" s="947" t="s">
        <v>6541</v>
      </c>
      <c r="C24" s="948" t="s">
        <v>2598</v>
      </c>
      <c r="D24" s="948"/>
      <c r="E24" s="949" t="s">
        <v>750</v>
      </c>
      <c r="F24" s="950">
        <v>3</v>
      </c>
      <c r="G24" s="975"/>
      <c r="H24" s="1492"/>
      <c r="I24" s="976"/>
      <c r="J24" s="975"/>
      <c r="K24" s="976"/>
      <c r="L24" s="976"/>
      <c r="M24" s="976"/>
      <c r="N24" s="1840"/>
      <c r="O24" s="953">
        <f t="shared" si="9"/>
        <v>0</v>
      </c>
      <c r="P24" s="954"/>
      <c r="R24" s="945" t="str">
        <f t="shared" si="10"/>
        <v>Please complete all cells in row</v>
      </c>
      <c r="S24" s="946"/>
      <c r="T24" s="72"/>
      <c r="V24" s="98">
        <f>IF(Validation!$H$3=1,0,IF(ISNUMBER(G24),0,1))</f>
        <v>1</v>
      </c>
      <c r="W24" s="98">
        <f>IF(Validation!$H$3=1,0,IF(ISNUMBER(H24),0,1))</f>
        <v>1</v>
      </c>
      <c r="X24" s="98">
        <f>IF(Validation!$H$3=1,0,IF(ISNUMBER(I24),0,1))</f>
        <v>1</v>
      </c>
      <c r="Y24" s="98">
        <f>IF(Validation!$H$3=1,0,IF(ISNUMBER(J24),0,1))</f>
        <v>1</v>
      </c>
      <c r="Z24" s="98">
        <f>IF(Validation!$H$3=1,0,IF(ISNUMBER(K24),0,1))</f>
        <v>1</v>
      </c>
      <c r="AA24" s="98">
        <f>IF(Validation!$H$3=1,0,IF(ISNUMBER(L24),0,1))</f>
        <v>1</v>
      </c>
      <c r="AB24" s="98">
        <f>IF(Validation!$H$3=1,0,IF(ISNUMBER(M24),0,1))</f>
        <v>1</v>
      </c>
      <c r="AC24" s="98">
        <f>IF(Validation!$H$3=1,0,IF(ISNUMBER(N24),0,1))</f>
        <v>1</v>
      </c>
      <c r="AD24" s="72"/>
      <c r="AL24" s="947" t="s">
        <v>6541</v>
      </c>
      <c r="AM24" s="948" t="s">
        <v>2598</v>
      </c>
      <c r="AN24" s="948"/>
      <c r="AO24" s="949" t="s">
        <v>750</v>
      </c>
      <c r="AP24" s="950">
        <v>3</v>
      </c>
      <c r="AQ24" s="2999" t="s">
        <v>7504</v>
      </c>
      <c r="AR24" s="3001" t="s">
        <v>7505</v>
      </c>
      <c r="AS24" s="3002" t="s">
        <v>7506</v>
      </c>
      <c r="AT24" s="2999" t="s">
        <v>7507</v>
      </c>
      <c r="AU24" s="3002" t="s">
        <v>7508</v>
      </c>
      <c r="AV24" s="3002" t="s">
        <v>7509</v>
      </c>
      <c r="AW24" s="3002" t="s">
        <v>7510</v>
      </c>
      <c r="AX24" s="3003" t="s">
        <v>7511</v>
      </c>
      <c r="AY24" s="2288" t="s">
        <v>7512</v>
      </c>
    </row>
    <row r="25" spans="1:51">
      <c r="A25" s="933"/>
      <c r="B25" s="947" t="s">
        <v>6542</v>
      </c>
      <c r="C25" s="948" t="s">
        <v>2599</v>
      </c>
      <c r="D25" s="948"/>
      <c r="E25" s="949" t="s">
        <v>750</v>
      </c>
      <c r="F25" s="950">
        <v>3</v>
      </c>
      <c r="G25" s="975"/>
      <c r="H25" s="1492"/>
      <c r="I25" s="976"/>
      <c r="J25" s="975"/>
      <c r="K25" s="976"/>
      <c r="L25" s="976"/>
      <c r="M25" s="976"/>
      <c r="N25" s="1840"/>
      <c r="O25" s="953">
        <f t="shared" si="9"/>
        <v>0</v>
      </c>
      <c r="P25" s="954"/>
      <c r="R25" s="945" t="str">
        <f t="shared" si="10"/>
        <v>Please complete all cells in row</v>
      </c>
      <c r="S25" s="946"/>
      <c r="T25" s="72"/>
      <c r="V25" s="98">
        <f>IF(Validation!$H$3=1,0,IF(ISNUMBER(G25),0,1))</f>
        <v>1</v>
      </c>
      <c r="W25" s="98">
        <f>IF(Validation!$H$3=1,0,IF(ISNUMBER(H25),0,1))</f>
        <v>1</v>
      </c>
      <c r="X25" s="98">
        <f>IF(Validation!$H$3=1,0,IF(ISNUMBER(I25),0,1))</f>
        <v>1</v>
      </c>
      <c r="Y25" s="98">
        <f>IF(Validation!$H$3=1,0,IF(ISNUMBER(J25),0,1))</f>
        <v>1</v>
      </c>
      <c r="Z25" s="98">
        <f>IF(Validation!$H$3=1,0,IF(ISNUMBER(K25),0,1))</f>
        <v>1</v>
      </c>
      <c r="AA25" s="98">
        <f>IF(Validation!$H$3=1,0,IF(ISNUMBER(L25),0,1))</f>
        <v>1</v>
      </c>
      <c r="AB25" s="98">
        <f>IF(Validation!$H$3=1,0,IF(ISNUMBER(M25),0,1))</f>
        <v>1</v>
      </c>
      <c r="AC25" s="98">
        <f>IF(Validation!$H$3=1,0,IF(ISNUMBER(N25),0,1))</f>
        <v>1</v>
      </c>
      <c r="AD25" s="72"/>
      <c r="AL25" s="947" t="s">
        <v>6542</v>
      </c>
      <c r="AM25" s="948" t="s">
        <v>2599</v>
      </c>
      <c r="AN25" s="948"/>
      <c r="AO25" s="949" t="s">
        <v>750</v>
      </c>
      <c r="AP25" s="950">
        <v>3</v>
      </c>
      <c r="AQ25" s="2999" t="s">
        <v>7513</v>
      </c>
      <c r="AR25" s="3001" t="s">
        <v>7514</v>
      </c>
      <c r="AS25" s="3002" t="s">
        <v>7515</v>
      </c>
      <c r="AT25" s="2999" t="s">
        <v>7516</v>
      </c>
      <c r="AU25" s="3002" t="s">
        <v>7517</v>
      </c>
      <c r="AV25" s="3002" t="s">
        <v>7518</v>
      </c>
      <c r="AW25" s="3002" t="s">
        <v>7519</v>
      </c>
      <c r="AX25" s="3003" t="s">
        <v>7520</v>
      </c>
      <c r="AY25" s="2288" t="s">
        <v>7521</v>
      </c>
    </row>
    <row r="26" spans="1:51">
      <c r="A26" s="933"/>
      <c r="B26" s="947" t="s">
        <v>6543</v>
      </c>
      <c r="C26" s="948" t="s">
        <v>3794</v>
      </c>
      <c r="D26" s="948"/>
      <c r="E26" s="949" t="s">
        <v>750</v>
      </c>
      <c r="F26" s="950">
        <v>3</v>
      </c>
      <c r="G26" s="975"/>
      <c r="H26" s="1492"/>
      <c r="I26" s="976"/>
      <c r="J26" s="975"/>
      <c r="K26" s="976"/>
      <c r="L26" s="976"/>
      <c r="M26" s="976"/>
      <c r="N26" s="1840"/>
      <c r="O26" s="953">
        <f t="shared" si="9"/>
        <v>0</v>
      </c>
      <c r="P26" s="954"/>
      <c r="R26" s="945" t="str">
        <f t="shared" si="10"/>
        <v>Please complete all cells in row</v>
      </c>
      <c r="S26" s="946"/>
      <c r="T26" s="72"/>
      <c r="V26" s="98">
        <f>IF(Validation!$H$3=1,0,IF(ISNUMBER(G26),0,1))</f>
        <v>1</v>
      </c>
      <c r="W26" s="98">
        <f>IF(Validation!$H$3=1,0,IF(ISNUMBER(H26),0,1))</f>
        <v>1</v>
      </c>
      <c r="X26" s="98">
        <f>IF(Validation!$H$3=1,0,IF(ISNUMBER(I26),0,1))</f>
        <v>1</v>
      </c>
      <c r="Y26" s="98">
        <f>IF(Validation!$H$3=1,0,IF(ISNUMBER(J26),0,1))</f>
        <v>1</v>
      </c>
      <c r="Z26" s="98">
        <f>IF(Validation!$H$3=1,0,IF(ISNUMBER(K26),0,1))</f>
        <v>1</v>
      </c>
      <c r="AA26" s="98">
        <f>IF(Validation!$H$3=1,0,IF(ISNUMBER(L26),0,1))</f>
        <v>1</v>
      </c>
      <c r="AB26" s="98">
        <f>IF(Validation!$H$3=1,0,IF(ISNUMBER(M26),0,1))</f>
        <v>1</v>
      </c>
      <c r="AC26" s="98">
        <f>IF(Validation!$H$3=1,0,IF(ISNUMBER(N26),0,1))</f>
        <v>1</v>
      </c>
      <c r="AD26" s="72"/>
      <c r="AL26" s="947" t="s">
        <v>6543</v>
      </c>
      <c r="AM26" s="948" t="s">
        <v>3794</v>
      </c>
      <c r="AN26" s="948"/>
      <c r="AO26" s="949" t="s">
        <v>750</v>
      </c>
      <c r="AP26" s="950">
        <v>3</v>
      </c>
      <c r="AQ26" s="2999" t="s">
        <v>7522</v>
      </c>
      <c r="AR26" s="3001" t="s">
        <v>7523</v>
      </c>
      <c r="AS26" s="3002" t="s">
        <v>7524</v>
      </c>
      <c r="AT26" s="2999" t="s">
        <v>7525</v>
      </c>
      <c r="AU26" s="3002" t="s">
        <v>7526</v>
      </c>
      <c r="AV26" s="3002" t="s">
        <v>7527</v>
      </c>
      <c r="AW26" s="3002" t="s">
        <v>7528</v>
      </c>
      <c r="AX26" s="3003" t="s">
        <v>7529</v>
      </c>
      <c r="AY26" s="2288" t="s">
        <v>7530</v>
      </c>
    </row>
    <row r="27" spans="1:51">
      <c r="A27" s="933"/>
      <c r="B27" s="947" t="s">
        <v>6544</v>
      </c>
      <c r="C27" s="948" t="s">
        <v>2600</v>
      </c>
      <c r="D27" s="948"/>
      <c r="E27" s="949" t="s">
        <v>750</v>
      </c>
      <c r="F27" s="950">
        <v>3</v>
      </c>
      <c r="G27" s="977">
        <f t="shared" ref="G27" si="11">SUM(G22:G26)</f>
        <v>0</v>
      </c>
      <c r="H27" s="1493">
        <f t="shared" ref="H27:N27" si="12">SUM(H22:H26)</f>
        <v>0</v>
      </c>
      <c r="I27" s="977">
        <f t="shared" si="12"/>
        <v>0</v>
      </c>
      <c r="J27" s="977">
        <f t="shared" si="12"/>
        <v>0</v>
      </c>
      <c r="K27" s="1841">
        <f t="shared" si="12"/>
        <v>0</v>
      </c>
      <c r="L27" s="1841">
        <f t="shared" si="12"/>
        <v>0</v>
      </c>
      <c r="M27" s="1841">
        <f t="shared" si="12"/>
        <v>0</v>
      </c>
      <c r="N27" s="1842">
        <f t="shared" si="12"/>
        <v>0</v>
      </c>
      <c r="O27" s="977">
        <f t="shared" si="9"/>
        <v>0</v>
      </c>
      <c r="P27" s="954"/>
      <c r="R27" s="597"/>
      <c r="AL27" s="947" t="s">
        <v>6544</v>
      </c>
      <c r="AM27" s="948" t="s">
        <v>2600</v>
      </c>
      <c r="AN27" s="948"/>
      <c r="AO27" s="949" t="s">
        <v>750</v>
      </c>
      <c r="AP27" s="950">
        <v>3</v>
      </c>
      <c r="AQ27" s="2292" t="s">
        <v>7531</v>
      </c>
      <c r="AR27" s="2294" t="s">
        <v>7532</v>
      </c>
      <c r="AS27" s="2292" t="s">
        <v>7533</v>
      </c>
      <c r="AT27" s="2292" t="s">
        <v>7534</v>
      </c>
      <c r="AU27" s="2292" t="s">
        <v>7535</v>
      </c>
      <c r="AV27" s="2292" t="s">
        <v>7536</v>
      </c>
      <c r="AW27" s="2292" t="s">
        <v>7537</v>
      </c>
      <c r="AX27" s="2295" t="s">
        <v>7538</v>
      </c>
      <c r="AY27" s="2292" t="s">
        <v>7539</v>
      </c>
    </row>
    <row r="28" spans="1:51">
      <c r="A28" s="933"/>
      <c r="B28" s="947" t="s">
        <v>6545</v>
      </c>
      <c r="C28" s="948" t="s">
        <v>2593</v>
      </c>
      <c r="D28" s="948"/>
      <c r="E28" s="949" t="s">
        <v>750</v>
      </c>
      <c r="F28" s="950">
        <v>3</v>
      </c>
      <c r="G28" s="951"/>
      <c r="H28" s="1489"/>
      <c r="I28" s="976"/>
      <c r="J28" s="951"/>
      <c r="K28" s="976"/>
      <c r="L28" s="976"/>
      <c r="M28" s="976"/>
      <c r="N28" s="1840"/>
      <c r="O28" s="953">
        <f t="shared" si="9"/>
        <v>0</v>
      </c>
      <c r="P28" s="954"/>
      <c r="R28" s="945" t="str">
        <f t="shared" si="10"/>
        <v>Please complete all cells in row</v>
      </c>
      <c r="S28" s="946"/>
      <c r="T28" s="72"/>
      <c r="V28" s="98">
        <f>IF(Validation!$H$3=1,0,IF(ISNUMBER(G28),0,1))</f>
        <v>1</v>
      </c>
      <c r="W28" s="98">
        <f>IF(Validation!$H$3=1,0,IF(ISNUMBER(H28),0,1))</f>
        <v>1</v>
      </c>
      <c r="X28" s="98">
        <f>IF(Validation!$H$3=1,0,IF(ISNUMBER(I28),0,1))</f>
        <v>1</v>
      </c>
      <c r="Y28" s="98">
        <f>IF(Validation!$H$3=1,0,IF(ISNUMBER(J28),0,1))</f>
        <v>1</v>
      </c>
      <c r="Z28" s="98">
        <f>IF(Validation!$H$3=1,0,IF(ISNUMBER(K28),0,1))</f>
        <v>1</v>
      </c>
      <c r="AA28" s="98">
        <f>IF(Validation!$H$3=1,0,IF(ISNUMBER(L28),0,1))</f>
        <v>1</v>
      </c>
      <c r="AB28" s="98">
        <f>IF(Validation!$H$3=1,0,IF(ISNUMBER(M28),0,1))</f>
        <v>1</v>
      </c>
      <c r="AC28" s="98">
        <f>IF(Validation!$H$3=1,0,IF(ISNUMBER(N28),0,1))</f>
        <v>1</v>
      </c>
      <c r="AD28" s="72"/>
      <c r="AL28" s="947" t="s">
        <v>6545</v>
      </c>
      <c r="AM28" s="948" t="s">
        <v>2593</v>
      </c>
      <c r="AN28" s="948"/>
      <c r="AO28" s="949" t="s">
        <v>750</v>
      </c>
      <c r="AP28" s="950">
        <v>3</v>
      </c>
      <c r="AQ28" s="2987" t="s">
        <v>7540</v>
      </c>
      <c r="AR28" s="2989" t="s">
        <v>7541</v>
      </c>
      <c r="AS28" s="3002" t="s">
        <v>7542</v>
      </c>
      <c r="AT28" s="2987" t="s">
        <v>7543</v>
      </c>
      <c r="AU28" s="3002" t="s">
        <v>7544</v>
      </c>
      <c r="AV28" s="3002" t="s">
        <v>7545</v>
      </c>
      <c r="AW28" s="3002" t="s">
        <v>7546</v>
      </c>
      <c r="AX28" s="3003" t="s">
        <v>7547</v>
      </c>
      <c r="AY28" s="2288" t="s">
        <v>7548</v>
      </c>
    </row>
    <row r="29" spans="1:51">
      <c r="A29" s="933"/>
      <c r="B29" s="947" t="s">
        <v>6546</v>
      </c>
      <c r="C29" s="948" t="s">
        <v>2601</v>
      </c>
      <c r="D29" s="948"/>
      <c r="E29" s="949" t="s">
        <v>750</v>
      </c>
      <c r="F29" s="950">
        <v>3</v>
      </c>
      <c r="G29" s="977">
        <f t="shared" ref="G29:I29" si="13">SUM(G27:G28)</f>
        <v>0</v>
      </c>
      <c r="H29" s="1493">
        <f t="shared" si="13"/>
        <v>0</v>
      </c>
      <c r="I29" s="977">
        <f t="shared" si="13"/>
        <v>0</v>
      </c>
      <c r="J29" s="977">
        <f t="shared" ref="J29:N29" si="14">SUM(J27:J28)</f>
        <v>0</v>
      </c>
      <c r="K29" s="1841">
        <f t="shared" si="14"/>
        <v>0</v>
      </c>
      <c r="L29" s="1841">
        <f t="shared" si="14"/>
        <v>0</v>
      </c>
      <c r="M29" s="1841">
        <f t="shared" si="14"/>
        <v>0</v>
      </c>
      <c r="N29" s="1842">
        <f t="shared" si="14"/>
        <v>0</v>
      </c>
      <c r="O29" s="977">
        <f t="shared" si="9"/>
        <v>0</v>
      </c>
      <c r="P29" s="954"/>
      <c r="R29" s="597"/>
      <c r="AL29" s="947" t="s">
        <v>6546</v>
      </c>
      <c r="AM29" s="948" t="s">
        <v>2601</v>
      </c>
      <c r="AN29" s="948"/>
      <c r="AO29" s="949" t="s">
        <v>750</v>
      </c>
      <c r="AP29" s="950">
        <v>3</v>
      </c>
      <c r="AQ29" s="2292" t="s">
        <v>7549</v>
      </c>
      <c r="AR29" s="2294" t="s">
        <v>7550</v>
      </c>
      <c r="AS29" s="2292" t="s">
        <v>7551</v>
      </c>
      <c r="AT29" s="2292" t="s">
        <v>7552</v>
      </c>
      <c r="AU29" s="2292" t="s">
        <v>7553</v>
      </c>
      <c r="AV29" s="2292" t="s">
        <v>7554</v>
      </c>
      <c r="AW29" s="2292" t="s">
        <v>7555</v>
      </c>
      <c r="AX29" s="2295" t="s">
        <v>7556</v>
      </c>
      <c r="AY29" s="2292" t="s">
        <v>7557</v>
      </c>
    </row>
    <row r="30" spans="1:51">
      <c r="A30" s="933"/>
      <c r="B30" s="947" t="s">
        <v>6547</v>
      </c>
      <c r="C30" s="948" t="s">
        <v>6506</v>
      </c>
      <c r="D30" s="948"/>
      <c r="E30" s="949" t="s">
        <v>750</v>
      </c>
      <c r="F30" s="978">
        <v>3</v>
      </c>
      <c r="G30" s="951"/>
      <c r="H30" s="1489"/>
      <c r="I30" s="976"/>
      <c r="J30" s="951"/>
      <c r="K30" s="976"/>
      <c r="L30" s="976"/>
      <c r="M30" s="976"/>
      <c r="N30" s="1840"/>
      <c r="O30" s="953">
        <f t="shared" si="9"/>
        <v>0</v>
      </c>
      <c r="P30" s="954"/>
      <c r="R30" s="1639" t="str">
        <f>IF(SUM(T30:AD30)&lt;&gt; 0,$V$5,IF(SUM(AD30:AF30)=0,0,$AI$30))</f>
        <v>Please complete all cells in row</v>
      </c>
      <c r="S30" s="946"/>
      <c r="T30" s="72"/>
      <c r="V30" s="98">
        <f>IF(Validation!$H$3=1,0,IF(ISNUMBER(G30),0,1))</f>
        <v>1</v>
      </c>
      <c r="W30" s="98">
        <f>IF(Validation!$H$3=1,0,IF(ISNUMBER(H30),0,1))</f>
        <v>1</v>
      </c>
      <c r="X30" s="98">
        <f>IF(Validation!$H$3=1,0,IF(ISNUMBER(I30),0,1))</f>
        <v>1</v>
      </c>
      <c r="Y30" s="98">
        <f>IF(Validation!$H$3=1,0,IF(ISNUMBER(J30),0,1))</f>
        <v>1</v>
      </c>
      <c r="Z30" s="98">
        <f>IF(Validation!$H$3=1,0,IF(ISNUMBER(K30),0,1))</f>
        <v>1</v>
      </c>
      <c r="AA30" s="98">
        <f>IF(Validation!$H$3=1,0,IF(ISNUMBER(L30),0,1))</f>
        <v>1</v>
      </c>
      <c r="AB30" s="98">
        <f>IF(Validation!$H$3=1,0,IF(ISNUMBER(M30),0,1))</f>
        <v>1</v>
      </c>
      <c r="AC30" s="98">
        <f>IF(Validation!$H$3=1,0,IF(ISNUMBER(N30),0,1))</f>
        <v>1</v>
      </c>
      <c r="AD30" s="72"/>
      <c r="AE30" s="98">
        <f xml:space="preserve"> IF( (AG30 - AH30) = 0, 0, 1 )</f>
        <v>0</v>
      </c>
      <c r="AF30" s="124"/>
      <c r="AG30" s="117">
        <f xml:space="preserve"> ROUND( O30, 3 )</f>
        <v>0</v>
      </c>
      <c r="AH30" s="117">
        <f xml:space="preserve"> ROUND( ('2B'!I30+'2B'!J30), 3 )</f>
        <v>0</v>
      </c>
      <c r="AI30" s="144" t="s">
        <v>6508</v>
      </c>
      <c r="AJ30" s="124"/>
      <c r="AL30" s="947" t="s">
        <v>6547</v>
      </c>
      <c r="AM30" s="948" t="s">
        <v>6506</v>
      </c>
      <c r="AN30" s="948"/>
      <c r="AO30" s="949" t="s">
        <v>750</v>
      </c>
      <c r="AP30" s="978">
        <v>3</v>
      </c>
      <c r="AQ30" s="2987" t="s">
        <v>7558</v>
      </c>
      <c r="AR30" s="2989" t="s">
        <v>7559</v>
      </c>
      <c r="AS30" s="3002" t="s">
        <v>7560</v>
      </c>
      <c r="AT30" s="2987" t="s">
        <v>7561</v>
      </c>
      <c r="AU30" s="3002" t="s">
        <v>7562</v>
      </c>
      <c r="AV30" s="3002" t="s">
        <v>7563</v>
      </c>
      <c r="AW30" s="3002" t="s">
        <v>7564</v>
      </c>
      <c r="AX30" s="3003" t="s">
        <v>7565</v>
      </c>
      <c r="AY30" s="2288" t="s">
        <v>7566</v>
      </c>
    </row>
    <row r="31" spans="1:51" ht="15" thickBot="1">
      <c r="A31" s="933"/>
      <c r="B31" s="963" t="s">
        <v>6548</v>
      </c>
      <c r="C31" s="964" t="s">
        <v>2602</v>
      </c>
      <c r="D31" s="964"/>
      <c r="E31" s="965" t="s">
        <v>750</v>
      </c>
      <c r="F31" s="1761">
        <v>3</v>
      </c>
      <c r="G31" s="979">
        <f t="shared" ref="G31" si="15">G19+G29-G30</f>
        <v>0</v>
      </c>
      <c r="H31" s="1494">
        <f>H19+H29-H30</f>
        <v>0</v>
      </c>
      <c r="I31" s="1494">
        <f>I19+I29-I30</f>
        <v>0</v>
      </c>
      <c r="J31" s="979">
        <f>J19+J29-J30</f>
        <v>0</v>
      </c>
      <c r="K31" s="968">
        <f t="shared" ref="K31:N31" si="16">K19+K29-K30</f>
        <v>0</v>
      </c>
      <c r="L31" s="968">
        <f t="shared" si="16"/>
        <v>0</v>
      </c>
      <c r="M31" s="968">
        <f t="shared" si="16"/>
        <v>0</v>
      </c>
      <c r="N31" s="1844">
        <f t="shared" si="16"/>
        <v>0</v>
      </c>
      <c r="O31" s="969">
        <f t="shared" si="9"/>
        <v>0</v>
      </c>
      <c r="P31" s="970"/>
      <c r="R31" s="597"/>
      <c r="AL31" s="963" t="s">
        <v>6548</v>
      </c>
      <c r="AM31" s="964" t="s">
        <v>2602</v>
      </c>
      <c r="AN31" s="964"/>
      <c r="AO31" s="965" t="s">
        <v>750</v>
      </c>
      <c r="AP31" s="962">
        <v>3</v>
      </c>
      <c r="AQ31" s="2296" t="s">
        <v>7567</v>
      </c>
      <c r="AR31" s="2301" t="s">
        <v>7568</v>
      </c>
      <c r="AS31" s="2301" t="s">
        <v>7569</v>
      </c>
      <c r="AT31" s="2296" t="s">
        <v>7570</v>
      </c>
      <c r="AU31" s="2309" t="s">
        <v>7571</v>
      </c>
      <c r="AV31" s="2309" t="s">
        <v>7572</v>
      </c>
      <c r="AW31" s="2309" t="s">
        <v>7573</v>
      </c>
      <c r="AX31" s="2310" t="s">
        <v>7574</v>
      </c>
      <c r="AY31" s="2288" t="s">
        <v>7575</v>
      </c>
    </row>
    <row r="32" spans="1:51" ht="15" thickBot="1">
      <c r="A32" s="933"/>
      <c r="B32" s="933"/>
      <c r="C32" s="933"/>
      <c r="D32" s="933"/>
      <c r="E32" s="933"/>
      <c r="F32" s="933"/>
      <c r="G32" s="933"/>
      <c r="H32" s="933"/>
      <c r="I32" s="933"/>
      <c r="J32" s="933"/>
      <c r="K32" s="933"/>
      <c r="L32" s="933"/>
      <c r="M32" s="933"/>
      <c r="N32" s="933"/>
      <c r="O32" s="933"/>
      <c r="P32" s="933"/>
      <c r="R32" s="597"/>
      <c r="AL32" s="971"/>
      <c r="AM32" s="971"/>
      <c r="AN32" s="971"/>
      <c r="AO32" s="971"/>
      <c r="AP32" s="971"/>
      <c r="AQ32" s="2993"/>
      <c r="AR32" s="2993"/>
      <c r="AS32" s="2993"/>
      <c r="AT32" s="2993"/>
      <c r="AU32" s="2993"/>
      <c r="AV32" s="2993"/>
      <c r="AW32" s="2993"/>
      <c r="AX32" s="2993"/>
      <c r="AY32" s="2993"/>
    </row>
    <row r="33" spans="1:51" ht="15" thickBot="1">
      <c r="A33" s="933"/>
      <c r="B33" s="934" t="s">
        <v>2464</v>
      </c>
      <c r="C33" s="935" t="s">
        <v>4054</v>
      </c>
      <c r="D33" s="972"/>
      <c r="E33" s="980"/>
      <c r="F33" s="980"/>
      <c r="G33" s="980"/>
      <c r="H33" s="980"/>
      <c r="I33" s="980"/>
      <c r="J33" s="980"/>
      <c r="K33" s="980"/>
      <c r="L33" s="980"/>
      <c r="M33" s="980"/>
      <c r="N33" s="980"/>
      <c r="O33" s="980"/>
      <c r="P33" s="933"/>
      <c r="R33" s="597"/>
      <c r="AL33" s="934" t="s">
        <v>2464</v>
      </c>
      <c r="AM33" s="935" t="s">
        <v>4054</v>
      </c>
      <c r="AN33" s="2742"/>
      <c r="AO33" s="980"/>
      <c r="AP33" s="980"/>
      <c r="AQ33" s="2298"/>
      <c r="AR33" s="2298"/>
      <c r="AS33" s="2298"/>
      <c r="AT33" s="2298"/>
      <c r="AU33" s="2298"/>
      <c r="AV33" s="2298"/>
      <c r="AW33" s="2298"/>
      <c r="AX33" s="2298"/>
      <c r="AY33" s="2298"/>
    </row>
    <row r="34" spans="1:51">
      <c r="A34" s="933"/>
      <c r="B34" s="937" t="s">
        <v>6549</v>
      </c>
      <c r="C34" s="938" t="s">
        <v>2604</v>
      </c>
      <c r="D34" s="938"/>
      <c r="E34" s="939" t="s">
        <v>750</v>
      </c>
      <c r="F34" s="981">
        <v>3</v>
      </c>
      <c r="G34" s="941"/>
      <c r="H34" s="1488"/>
      <c r="I34" s="942"/>
      <c r="J34" s="941"/>
      <c r="K34" s="942"/>
      <c r="L34" s="942"/>
      <c r="M34" s="982"/>
      <c r="N34" s="982"/>
      <c r="O34" s="1511">
        <f t="shared" ref="O34:O36" si="17">+SUM(G34:N34)</f>
        <v>0</v>
      </c>
      <c r="P34" s="983"/>
      <c r="R34" s="945" t="str">
        <f t="shared" ref="R34:R35" si="18" xml:space="preserve"> IF( SUM( T34:AD34 ) = 0, 0, $V$5 )</f>
        <v>Please complete all cells in row</v>
      </c>
      <c r="S34" s="946"/>
      <c r="T34" s="72"/>
      <c r="V34" s="98">
        <f>IF(Validation!$H$3=1,0,IF(ISNUMBER(G34),0,1))</f>
        <v>1</v>
      </c>
      <c r="W34" s="98">
        <f>IF(Validation!$H$3=1,0,IF(ISNUMBER(H34),0,1))</f>
        <v>1</v>
      </c>
      <c r="X34" s="98">
        <f>IF(Validation!$H$3=1,0,IF(ISNUMBER(I34),0,1))</f>
        <v>1</v>
      </c>
      <c r="Y34" s="98">
        <f>IF(Validation!$H$3=1,0,IF(ISNUMBER(J34),0,1))</f>
        <v>1</v>
      </c>
      <c r="Z34" s="98">
        <f>IF(Validation!$H$3=1,0,IF(ISNUMBER(K34),0,1))</f>
        <v>1</v>
      </c>
      <c r="AA34" s="98">
        <f>IF(Validation!$H$3=1,0,IF(ISNUMBER(L34),0,1))</f>
        <v>1</v>
      </c>
      <c r="AB34" s="98">
        <f>IF(Validation!$H$3=1,0,IF(ISNUMBER(M34),0,1))</f>
        <v>1</v>
      </c>
      <c r="AC34" s="98">
        <f>IF(Validation!$H$3=1,0,IF(ISNUMBER(N34),0,1))</f>
        <v>1</v>
      </c>
      <c r="AD34" s="72"/>
      <c r="AL34" s="937" t="s">
        <v>6549</v>
      </c>
      <c r="AM34" s="938" t="s">
        <v>2604</v>
      </c>
      <c r="AN34" s="938"/>
      <c r="AO34" s="939" t="s">
        <v>750</v>
      </c>
      <c r="AP34" s="981">
        <v>3</v>
      </c>
      <c r="AQ34" s="2982" t="s">
        <v>7576</v>
      </c>
      <c r="AR34" s="2984" t="s">
        <v>7577</v>
      </c>
      <c r="AS34" s="2985" t="s">
        <v>7578</v>
      </c>
      <c r="AT34" s="2982" t="s">
        <v>7579</v>
      </c>
      <c r="AU34" s="2985" t="s">
        <v>7580</v>
      </c>
      <c r="AV34" s="2985" t="s">
        <v>7581</v>
      </c>
      <c r="AW34" s="2986" t="s">
        <v>7582</v>
      </c>
      <c r="AX34" s="2986" t="s">
        <v>7583</v>
      </c>
      <c r="AY34" s="2299" t="s">
        <v>7584</v>
      </c>
    </row>
    <row r="35" spans="1:51">
      <c r="A35" s="933"/>
      <c r="B35" s="947" t="s">
        <v>6550</v>
      </c>
      <c r="C35" s="948" t="s">
        <v>2605</v>
      </c>
      <c r="D35" s="948"/>
      <c r="E35" s="949" t="s">
        <v>750</v>
      </c>
      <c r="F35" s="978">
        <v>3</v>
      </c>
      <c r="G35" s="951"/>
      <c r="H35" s="1489"/>
      <c r="I35" s="952"/>
      <c r="J35" s="951"/>
      <c r="K35" s="952"/>
      <c r="L35" s="952"/>
      <c r="M35" s="984"/>
      <c r="N35" s="984"/>
      <c r="O35" s="1512">
        <f t="shared" si="17"/>
        <v>0</v>
      </c>
      <c r="P35" s="985"/>
      <c r="R35" s="945" t="str">
        <f t="shared" si="18"/>
        <v>Please complete all cells in row</v>
      </c>
      <c r="S35" s="946"/>
      <c r="T35" s="72"/>
      <c r="V35" s="98">
        <f>IF(Validation!$H$3=1,0,IF(ISNUMBER(G35),0,1))</f>
        <v>1</v>
      </c>
      <c r="W35" s="98">
        <f>IF(Validation!$H$3=1,0,IF(ISNUMBER(H35),0,1))</f>
        <v>1</v>
      </c>
      <c r="X35" s="98">
        <f>IF(Validation!$H$3=1,0,IF(ISNUMBER(I35),0,1))</f>
        <v>1</v>
      </c>
      <c r="Y35" s="98">
        <f>IF(Validation!$H$3=1,0,IF(ISNUMBER(J35),0,1))</f>
        <v>1</v>
      </c>
      <c r="Z35" s="98">
        <f>IF(Validation!$H$3=1,0,IF(ISNUMBER(K35),0,1))</f>
        <v>1</v>
      </c>
      <c r="AA35" s="98">
        <f>IF(Validation!$H$3=1,0,IF(ISNUMBER(L35),0,1))</f>
        <v>1</v>
      </c>
      <c r="AB35" s="98">
        <f>IF(Validation!$H$3=1,0,IF(ISNUMBER(M35),0,1))</f>
        <v>1</v>
      </c>
      <c r="AC35" s="98">
        <f>IF(Validation!$H$3=1,0,IF(ISNUMBER(N35),0,1))</f>
        <v>1</v>
      </c>
      <c r="AD35" s="72"/>
      <c r="AL35" s="947" t="s">
        <v>6550</v>
      </c>
      <c r="AM35" s="948" t="s">
        <v>2605</v>
      </c>
      <c r="AN35" s="948"/>
      <c r="AO35" s="949" t="s">
        <v>750</v>
      </c>
      <c r="AP35" s="978">
        <v>3</v>
      </c>
      <c r="AQ35" s="2987" t="s">
        <v>7585</v>
      </c>
      <c r="AR35" s="2989" t="s">
        <v>7586</v>
      </c>
      <c r="AS35" s="2990" t="s">
        <v>7587</v>
      </c>
      <c r="AT35" s="2987" t="s">
        <v>7588</v>
      </c>
      <c r="AU35" s="2990" t="s">
        <v>7589</v>
      </c>
      <c r="AV35" s="2990" t="s">
        <v>7590</v>
      </c>
      <c r="AW35" s="2991" t="s">
        <v>7591</v>
      </c>
      <c r="AX35" s="2991" t="s">
        <v>7592</v>
      </c>
      <c r="AY35" s="2300" t="s">
        <v>7593</v>
      </c>
    </row>
    <row r="36" spans="1:51" ht="15" thickBot="1">
      <c r="A36" s="933"/>
      <c r="B36" s="963" t="s">
        <v>6551</v>
      </c>
      <c r="C36" s="964" t="s">
        <v>2606</v>
      </c>
      <c r="D36" s="964"/>
      <c r="E36" s="965" t="s">
        <v>750</v>
      </c>
      <c r="F36" s="986">
        <v>3</v>
      </c>
      <c r="G36" s="979">
        <f t="shared" ref="G36" si="19">SUM(G31:G35)</f>
        <v>0</v>
      </c>
      <c r="H36" s="1494">
        <f t="shared" ref="H36:N36" si="20">SUM(H31:H35)</f>
        <v>0</v>
      </c>
      <c r="I36" s="987">
        <f t="shared" si="20"/>
        <v>0</v>
      </c>
      <c r="J36" s="979">
        <f t="shared" si="20"/>
        <v>0</v>
      </c>
      <c r="K36" s="987">
        <f t="shared" si="20"/>
        <v>0</v>
      </c>
      <c r="L36" s="987">
        <f t="shared" si="20"/>
        <v>0</v>
      </c>
      <c r="M36" s="988">
        <f t="shared" si="20"/>
        <v>0</v>
      </c>
      <c r="N36" s="988">
        <f t="shared" si="20"/>
        <v>0</v>
      </c>
      <c r="O36" s="1513">
        <f t="shared" si="17"/>
        <v>0</v>
      </c>
      <c r="P36" s="970"/>
      <c r="R36" s="597"/>
      <c r="AL36" s="963" t="s">
        <v>6551</v>
      </c>
      <c r="AM36" s="964" t="s">
        <v>2606</v>
      </c>
      <c r="AN36" s="964"/>
      <c r="AO36" s="965" t="s">
        <v>750</v>
      </c>
      <c r="AP36" s="986">
        <v>3</v>
      </c>
      <c r="AQ36" s="2296" t="s">
        <v>7594</v>
      </c>
      <c r="AR36" s="2301" t="s">
        <v>7595</v>
      </c>
      <c r="AS36" s="2302" t="s">
        <v>7596</v>
      </c>
      <c r="AT36" s="2296" t="s">
        <v>7597</v>
      </c>
      <c r="AU36" s="2302" t="s">
        <v>7598</v>
      </c>
      <c r="AV36" s="2302" t="s">
        <v>7599</v>
      </c>
      <c r="AW36" s="2303" t="s">
        <v>7600</v>
      </c>
      <c r="AX36" s="2303" t="s">
        <v>7601</v>
      </c>
      <c r="AY36" s="2304" t="s">
        <v>7602</v>
      </c>
    </row>
    <row r="37" spans="1:51" ht="15" thickBot="1">
      <c r="A37" s="933"/>
      <c r="B37" s="1552"/>
      <c r="C37" s="989"/>
      <c r="D37" s="990"/>
      <c r="E37" s="991"/>
      <c r="F37" s="991"/>
      <c r="G37" s="991"/>
      <c r="H37" s="991"/>
      <c r="I37" s="991"/>
      <c r="J37" s="991"/>
      <c r="K37" s="991"/>
      <c r="L37" s="991"/>
      <c r="M37" s="991"/>
      <c r="N37" s="991"/>
      <c r="O37" s="991"/>
      <c r="P37" s="991"/>
      <c r="R37" s="597"/>
      <c r="AL37" s="1552"/>
      <c r="AM37" s="989"/>
      <c r="AN37" s="990"/>
      <c r="AO37" s="991"/>
      <c r="AP37" s="991"/>
      <c r="AQ37" s="2305"/>
      <c r="AR37" s="2305"/>
      <c r="AS37" s="2305"/>
      <c r="AT37" s="2305"/>
      <c r="AU37" s="2305"/>
      <c r="AV37" s="2305"/>
      <c r="AW37" s="2305"/>
      <c r="AX37" s="2305"/>
      <c r="AY37" s="2305"/>
    </row>
    <row r="38" spans="1:51" ht="15" thickBot="1">
      <c r="A38" s="933"/>
      <c r="B38" s="934" t="s">
        <v>2473</v>
      </c>
      <c r="C38" s="1792" t="s">
        <v>4055</v>
      </c>
      <c r="D38" s="972"/>
      <c r="E38" s="991"/>
      <c r="F38" s="991"/>
      <c r="G38" s="992"/>
      <c r="H38" s="992"/>
      <c r="I38" s="992"/>
      <c r="J38" s="992"/>
      <c r="K38" s="992"/>
      <c r="L38" s="992"/>
      <c r="M38" s="992"/>
      <c r="N38" s="992"/>
      <c r="O38" s="992"/>
      <c r="P38" s="993"/>
      <c r="R38" s="597"/>
      <c r="AL38" s="934" t="s">
        <v>2473</v>
      </c>
      <c r="AM38" s="935" t="s">
        <v>4055</v>
      </c>
      <c r="AN38" s="2742"/>
      <c r="AO38" s="991"/>
      <c r="AP38" s="991"/>
      <c r="AQ38" s="2272"/>
      <c r="AR38" s="2272"/>
      <c r="AS38" s="2272"/>
      <c r="AT38" s="2272"/>
      <c r="AU38" s="2272"/>
      <c r="AV38" s="2272"/>
      <c r="AW38" s="2272"/>
      <c r="AX38" s="2272"/>
      <c r="AY38" s="2272"/>
    </row>
    <row r="39" spans="1:51">
      <c r="A39" s="933"/>
      <c r="B39" s="937" t="s">
        <v>6552</v>
      </c>
      <c r="C39" s="2136" t="s">
        <v>4056</v>
      </c>
      <c r="D39" s="938"/>
      <c r="E39" s="939" t="s">
        <v>750</v>
      </c>
      <c r="F39" s="940">
        <v>3</v>
      </c>
      <c r="G39" s="941"/>
      <c r="H39" s="1488"/>
      <c r="I39" s="942"/>
      <c r="J39" s="941"/>
      <c r="K39" s="942"/>
      <c r="L39" s="942"/>
      <c r="M39" s="982"/>
      <c r="N39" s="982"/>
      <c r="O39" s="1514">
        <f t="shared" ref="O39:O49" si="21">+SUM(G39:N39)</f>
        <v>0</v>
      </c>
      <c r="P39" s="983"/>
      <c r="R39" s="945">
        <f>(IF(SUM(V39:AD39)=0,IF(U39=1,AI$39,0),$V$5))</f>
        <v>0</v>
      </c>
      <c r="S39" s="946"/>
      <c r="T39" s="72"/>
      <c r="U39" s="98">
        <f xml:space="preserve"> IF( AND(OR(C39 = "Item 1",C39=""), OR( G39 &lt;&gt; 0, H39 &lt;&gt; 0, I39 &lt;&gt; 0, J39 &lt;&gt; 0, K39 &lt;&gt; 0, L39 &lt;&gt; 0, M39 &lt;&gt; 0, N39 &lt;&gt; 0) ), 1, 0 )</f>
        <v>0</v>
      </c>
      <c r="V39" s="98">
        <f xml:space="preserve"> IF(AND($C39="Item 1",$O39=0), 0, IF( ISNUMBER( G39 ), 0, 1 ))</f>
        <v>0</v>
      </c>
      <c r="W39" s="98">
        <f t="shared" ref="W39:AC39" si="22" xml:space="preserve"> IF(AND($C39="Item 1",$O39=0), 0, IF( ISNUMBER( H39 ), 0, 1 ))</f>
        <v>0</v>
      </c>
      <c r="X39" s="98">
        <f t="shared" si="22"/>
        <v>0</v>
      </c>
      <c r="Y39" s="98">
        <f t="shared" si="22"/>
        <v>0</v>
      </c>
      <c r="Z39" s="98">
        <f t="shared" si="22"/>
        <v>0</v>
      </c>
      <c r="AA39" s="98">
        <f t="shared" si="22"/>
        <v>0</v>
      </c>
      <c r="AB39" s="98">
        <f t="shared" si="22"/>
        <v>0</v>
      </c>
      <c r="AC39" s="98">
        <f t="shared" si="22"/>
        <v>0</v>
      </c>
      <c r="AD39" s="72"/>
      <c r="AF39" s="72"/>
      <c r="AI39" t="s">
        <v>11708</v>
      </c>
      <c r="AL39" s="937" t="s">
        <v>6552</v>
      </c>
      <c r="AM39" s="2990" t="s">
        <v>7603</v>
      </c>
      <c r="AN39" s="938"/>
      <c r="AO39" s="939" t="s">
        <v>750</v>
      </c>
      <c r="AP39" s="940">
        <v>3</v>
      </c>
      <c r="AQ39" s="2982" t="s">
        <v>7603</v>
      </c>
      <c r="AR39" s="2984" t="s">
        <v>7604</v>
      </c>
      <c r="AS39" s="2985" t="s">
        <v>7605</v>
      </c>
      <c r="AT39" s="2982" t="s">
        <v>7606</v>
      </c>
      <c r="AU39" s="2985" t="s">
        <v>7607</v>
      </c>
      <c r="AV39" s="2985" t="s">
        <v>7608</v>
      </c>
      <c r="AW39" s="2986" t="s">
        <v>7609</v>
      </c>
      <c r="AX39" s="2986" t="s">
        <v>7610</v>
      </c>
      <c r="AY39" s="2306" t="s">
        <v>7611</v>
      </c>
    </row>
    <row r="40" spans="1:51">
      <c r="A40" s="933"/>
      <c r="B40" s="947" t="s">
        <v>6553</v>
      </c>
      <c r="C40" s="2137" t="s">
        <v>4057</v>
      </c>
      <c r="D40" s="1035"/>
      <c r="E40" s="949" t="s">
        <v>750</v>
      </c>
      <c r="F40" s="950">
        <v>3</v>
      </c>
      <c r="G40" s="951"/>
      <c r="H40" s="1489"/>
      <c r="I40" s="952"/>
      <c r="J40" s="951"/>
      <c r="K40" s="952"/>
      <c r="L40" s="952"/>
      <c r="M40" s="984"/>
      <c r="N40" s="984"/>
      <c r="O40" s="1515">
        <f t="shared" si="21"/>
        <v>0</v>
      </c>
      <c r="P40" s="985"/>
      <c r="R40" s="945">
        <f t="shared" ref="R40:R49" si="23">(IF(SUM(V40:AD40)=0,IF(U40=1,AI$39,0),$V$5))</f>
        <v>0</v>
      </c>
      <c r="S40" s="946"/>
      <c r="T40" s="72"/>
      <c r="U40" s="98">
        <f xml:space="preserve"> IF( AND(OR(C40 = "Item 2",C40=""), OR( G40 &lt;&gt; 0, H40 &lt;&gt; 0, I40 &lt;&gt; 0, J40 &lt;&gt; 0, K40 &lt;&gt; 0, L40 &lt;&gt; 0, M40 &lt;&gt; 0, N40 &lt;&gt; 0) ), 1, 0 )</f>
        <v>0</v>
      </c>
      <c r="V40" s="98">
        <f xml:space="preserve"> IF(AND($C40="Item 2",$O40=0), 0, IF( ISNUMBER( G40 ), 0, 1 ))</f>
        <v>0</v>
      </c>
      <c r="W40" s="98">
        <f t="shared" ref="W40:AC40" si="24" xml:space="preserve"> IF(AND($C40="Item 2",$O40=0), 0, IF( ISNUMBER( H40 ), 0, 1 ))</f>
        <v>0</v>
      </c>
      <c r="X40" s="98">
        <f t="shared" si="24"/>
        <v>0</v>
      </c>
      <c r="Y40" s="98">
        <f t="shared" si="24"/>
        <v>0</v>
      </c>
      <c r="Z40" s="98">
        <f t="shared" si="24"/>
        <v>0</v>
      </c>
      <c r="AA40" s="98">
        <f t="shared" si="24"/>
        <v>0</v>
      </c>
      <c r="AB40" s="98">
        <f t="shared" si="24"/>
        <v>0</v>
      </c>
      <c r="AC40" s="98">
        <f t="shared" si="24"/>
        <v>0</v>
      </c>
      <c r="AD40" s="72"/>
      <c r="AF40" s="72"/>
      <c r="AL40" s="947" t="s">
        <v>6553</v>
      </c>
      <c r="AM40" s="2990" t="s">
        <v>7612</v>
      </c>
      <c r="AN40" s="3025"/>
      <c r="AO40" s="949" t="s">
        <v>750</v>
      </c>
      <c r="AP40" s="950">
        <v>3</v>
      </c>
      <c r="AQ40" s="2987" t="s">
        <v>7612</v>
      </c>
      <c r="AR40" s="2989" t="s">
        <v>7613</v>
      </c>
      <c r="AS40" s="2990" t="s">
        <v>7614</v>
      </c>
      <c r="AT40" s="2987" t="s">
        <v>7615</v>
      </c>
      <c r="AU40" s="2990" t="s">
        <v>7616</v>
      </c>
      <c r="AV40" s="2990" t="s">
        <v>7617</v>
      </c>
      <c r="AW40" s="2991" t="s">
        <v>7618</v>
      </c>
      <c r="AX40" s="2991" t="s">
        <v>7619</v>
      </c>
      <c r="AY40" s="2307" t="s">
        <v>7620</v>
      </c>
    </row>
    <row r="41" spans="1:51">
      <c r="A41" s="933"/>
      <c r="B41" s="947" t="s">
        <v>6554</v>
      </c>
      <c r="C41" s="2137" t="s">
        <v>4058</v>
      </c>
      <c r="D41" s="1035"/>
      <c r="E41" s="949" t="s">
        <v>750</v>
      </c>
      <c r="F41" s="950">
        <v>3</v>
      </c>
      <c r="G41" s="951"/>
      <c r="H41" s="1489"/>
      <c r="I41" s="952"/>
      <c r="J41" s="951"/>
      <c r="K41" s="952"/>
      <c r="L41" s="952"/>
      <c r="M41" s="984"/>
      <c r="N41" s="984"/>
      <c r="O41" s="1515">
        <f t="shared" si="21"/>
        <v>0</v>
      </c>
      <c r="P41" s="995"/>
      <c r="R41" s="945">
        <f t="shared" si="23"/>
        <v>0</v>
      </c>
      <c r="S41" s="946"/>
      <c r="T41" s="72"/>
      <c r="U41" s="98">
        <f xml:space="preserve"> IF( AND(OR(C41 = "Item 3",C41=""), OR( G41 &lt;&gt; 0, H41 &lt;&gt; 0, I41 &lt;&gt; 0, J41 &lt;&gt; 0, K41 &lt;&gt; 0, L41 &lt;&gt; 0, M41 &lt;&gt; 0, N41 &lt;&gt; 0) ), 1, 0 )</f>
        <v>0</v>
      </c>
      <c r="V41" s="98">
        <f xml:space="preserve"> IF(AND($C41="Item 3",$O41=0), 0, IF( ISNUMBER( G41 ), 0, 1 ))</f>
        <v>0</v>
      </c>
      <c r="W41" s="98">
        <f t="shared" ref="W41:AC41" si="25" xml:space="preserve"> IF(AND($C41="Item 3",$O41=0), 0, IF( ISNUMBER( H41 ), 0, 1 ))</f>
        <v>0</v>
      </c>
      <c r="X41" s="98">
        <f t="shared" si="25"/>
        <v>0</v>
      </c>
      <c r="Y41" s="98">
        <f t="shared" si="25"/>
        <v>0</v>
      </c>
      <c r="Z41" s="98">
        <f t="shared" si="25"/>
        <v>0</v>
      </c>
      <c r="AA41" s="98">
        <f t="shared" si="25"/>
        <v>0</v>
      </c>
      <c r="AB41" s="98">
        <f t="shared" si="25"/>
        <v>0</v>
      </c>
      <c r="AC41" s="98">
        <f t="shared" si="25"/>
        <v>0</v>
      </c>
      <c r="AD41" s="72"/>
      <c r="AF41" s="72"/>
      <c r="AL41" s="947" t="s">
        <v>6554</v>
      </c>
      <c r="AM41" s="2990" t="s">
        <v>7621</v>
      </c>
      <c r="AN41" s="3025"/>
      <c r="AO41" s="949" t="s">
        <v>750</v>
      </c>
      <c r="AP41" s="950">
        <v>3</v>
      </c>
      <c r="AQ41" s="2987" t="s">
        <v>7621</v>
      </c>
      <c r="AR41" s="2989" t="s">
        <v>7622</v>
      </c>
      <c r="AS41" s="2990" t="s">
        <v>7623</v>
      </c>
      <c r="AT41" s="2987" t="s">
        <v>7624</v>
      </c>
      <c r="AU41" s="2990" t="s">
        <v>7625</v>
      </c>
      <c r="AV41" s="2990" t="s">
        <v>7626</v>
      </c>
      <c r="AW41" s="2991" t="s">
        <v>7627</v>
      </c>
      <c r="AX41" s="2991" t="s">
        <v>7628</v>
      </c>
      <c r="AY41" s="2307" t="s">
        <v>7629</v>
      </c>
    </row>
    <row r="42" spans="1:51">
      <c r="A42" s="933"/>
      <c r="B42" s="996" t="s">
        <v>6555</v>
      </c>
      <c r="C42" s="2137" t="s">
        <v>4059</v>
      </c>
      <c r="D42" s="1035"/>
      <c r="E42" s="949" t="s">
        <v>750</v>
      </c>
      <c r="F42" s="950">
        <v>3</v>
      </c>
      <c r="G42" s="951"/>
      <c r="H42" s="1489"/>
      <c r="I42" s="952"/>
      <c r="J42" s="951"/>
      <c r="K42" s="952"/>
      <c r="L42" s="952"/>
      <c r="M42" s="984"/>
      <c r="N42" s="984"/>
      <c r="O42" s="1515">
        <f t="shared" si="21"/>
        <v>0</v>
      </c>
      <c r="P42" s="995"/>
      <c r="R42" s="945">
        <f t="shared" si="23"/>
        <v>0</v>
      </c>
      <c r="S42" s="946"/>
      <c r="T42" s="72"/>
      <c r="U42" s="98">
        <f xml:space="preserve"> IF( AND(OR(C42 = "Item 4",C42=""), OR( G42 &lt;&gt; 0, H42 &lt;&gt; 0, I42 &lt;&gt; 0, J42 &lt;&gt; 0, K42 &lt;&gt; 0, L42 &lt;&gt; 0, M42 &lt;&gt; 0, N42 &lt;&gt; 0) ), 1, 0 )</f>
        <v>0</v>
      </c>
      <c r="V42" s="98">
        <f xml:space="preserve"> IF(AND($C42="Item 4",$O42=0), 0, IF( ISNUMBER( G42 ), 0, 1 ))</f>
        <v>0</v>
      </c>
      <c r="W42" s="98">
        <f t="shared" ref="W42:AC42" si="26" xml:space="preserve"> IF(AND($C42="Item 4",$O42=0), 0, IF( ISNUMBER( H42 ), 0, 1 ))</f>
        <v>0</v>
      </c>
      <c r="X42" s="98">
        <f t="shared" si="26"/>
        <v>0</v>
      </c>
      <c r="Y42" s="98">
        <f t="shared" si="26"/>
        <v>0</v>
      </c>
      <c r="Z42" s="98">
        <f t="shared" si="26"/>
        <v>0</v>
      </c>
      <c r="AA42" s="98">
        <f t="shared" si="26"/>
        <v>0</v>
      </c>
      <c r="AB42" s="98">
        <f t="shared" si="26"/>
        <v>0</v>
      </c>
      <c r="AC42" s="98">
        <f t="shared" si="26"/>
        <v>0</v>
      </c>
      <c r="AD42" s="72"/>
      <c r="AF42" s="72"/>
      <c r="AL42" s="996" t="s">
        <v>6555</v>
      </c>
      <c r="AM42" s="2990" t="s">
        <v>7630</v>
      </c>
      <c r="AN42" s="3025"/>
      <c r="AO42" s="949" t="s">
        <v>750</v>
      </c>
      <c r="AP42" s="950">
        <v>3</v>
      </c>
      <c r="AQ42" s="2987" t="s">
        <v>7630</v>
      </c>
      <c r="AR42" s="2989" t="s">
        <v>7631</v>
      </c>
      <c r="AS42" s="2990" t="s">
        <v>7632</v>
      </c>
      <c r="AT42" s="2987" t="s">
        <v>7633</v>
      </c>
      <c r="AU42" s="2990" t="s">
        <v>7634</v>
      </c>
      <c r="AV42" s="2990" t="s">
        <v>7635</v>
      </c>
      <c r="AW42" s="2991" t="s">
        <v>7636</v>
      </c>
      <c r="AX42" s="2991" t="s">
        <v>7637</v>
      </c>
      <c r="AY42" s="2307" t="s">
        <v>7638</v>
      </c>
    </row>
    <row r="43" spans="1:51">
      <c r="A43" s="933"/>
      <c r="B43" s="947" t="s">
        <v>6556</v>
      </c>
      <c r="C43" s="2137" t="s">
        <v>4060</v>
      </c>
      <c r="D43" s="1035"/>
      <c r="E43" s="949" t="s">
        <v>750</v>
      </c>
      <c r="F43" s="950">
        <v>3</v>
      </c>
      <c r="G43" s="951"/>
      <c r="H43" s="1489"/>
      <c r="I43" s="952"/>
      <c r="J43" s="951"/>
      <c r="K43" s="952"/>
      <c r="L43" s="952"/>
      <c r="M43" s="984"/>
      <c r="N43" s="984"/>
      <c r="O43" s="1515">
        <f t="shared" si="21"/>
        <v>0</v>
      </c>
      <c r="P43" s="995"/>
      <c r="R43" s="945">
        <f t="shared" si="23"/>
        <v>0</v>
      </c>
      <c r="S43" s="946"/>
      <c r="T43" s="72"/>
      <c r="U43" s="98">
        <f xml:space="preserve"> IF( AND(OR(C43 = "Item 5",C43=""), OR( G43 &lt;&gt; 0, H43 &lt;&gt; 0, I43 &lt;&gt; 0, J43 &lt;&gt; 0, K43 &lt;&gt; 0, L43 &lt;&gt; 0, M43 &lt;&gt; 0, N43 &lt;&gt; 0) ), 1, 0 )</f>
        <v>0</v>
      </c>
      <c r="V43" s="98">
        <f xml:space="preserve"> IF(AND($C43="Item 5",$O43=0), 0, IF( ISNUMBER( G43 ), 0, 1 ))</f>
        <v>0</v>
      </c>
      <c r="W43" s="98">
        <f t="shared" ref="W43:AC43" si="27" xml:space="preserve"> IF(AND($C43="Item 5",$O43=0), 0, IF( ISNUMBER( H43 ), 0, 1 ))</f>
        <v>0</v>
      </c>
      <c r="X43" s="98">
        <f t="shared" si="27"/>
        <v>0</v>
      </c>
      <c r="Y43" s="98">
        <f t="shared" si="27"/>
        <v>0</v>
      </c>
      <c r="Z43" s="98">
        <f t="shared" si="27"/>
        <v>0</v>
      </c>
      <c r="AA43" s="98">
        <f t="shared" si="27"/>
        <v>0</v>
      </c>
      <c r="AB43" s="98">
        <f t="shared" si="27"/>
        <v>0</v>
      </c>
      <c r="AC43" s="98">
        <f t="shared" si="27"/>
        <v>0</v>
      </c>
      <c r="AD43" s="72"/>
      <c r="AF43" s="72"/>
      <c r="AL43" s="947" t="s">
        <v>6556</v>
      </c>
      <c r="AM43" s="2990" t="s">
        <v>7639</v>
      </c>
      <c r="AN43" s="3025"/>
      <c r="AO43" s="949" t="s">
        <v>750</v>
      </c>
      <c r="AP43" s="950">
        <v>3</v>
      </c>
      <c r="AQ43" s="2987" t="s">
        <v>7639</v>
      </c>
      <c r="AR43" s="2989" t="s">
        <v>7640</v>
      </c>
      <c r="AS43" s="2990" t="s">
        <v>7641</v>
      </c>
      <c r="AT43" s="2987" t="s">
        <v>7642</v>
      </c>
      <c r="AU43" s="2990" t="s">
        <v>7643</v>
      </c>
      <c r="AV43" s="2990" t="s">
        <v>7644</v>
      </c>
      <c r="AW43" s="2991" t="s">
        <v>7645</v>
      </c>
      <c r="AX43" s="2991" t="s">
        <v>7646</v>
      </c>
      <c r="AY43" s="2307" t="s">
        <v>7647</v>
      </c>
    </row>
    <row r="44" spans="1:51">
      <c r="A44" s="933"/>
      <c r="B44" s="1436" t="s">
        <v>6521</v>
      </c>
      <c r="C44" s="2137" t="s">
        <v>5368</v>
      </c>
      <c r="D44" s="1637"/>
      <c r="E44" s="949" t="s">
        <v>750</v>
      </c>
      <c r="F44" s="950">
        <v>3</v>
      </c>
      <c r="G44" s="1438"/>
      <c r="H44" s="1495"/>
      <c r="I44" s="1437"/>
      <c r="J44" s="1438"/>
      <c r="K44" s="1437"/>
      <c r="L44" s="1437"/>
      <c r="M44" s="1439"/>
      <c r="N44" s="1439"/>
      <c r="O44" s="1656">
        <f t="shared" si="21"/>
        <v>0</v>
      </c>
      <c r="P44" s="995"/>
      <c r="R44" s="945">
        <f t="shared" si="23"/>
        <v>0</v>
      </c>
      <c r="S44" s="946"/>
      <c r="T44" s="72"/>
      <c r="U44" s="98">
        <f xml:space="preserve"> IF( AND(OR(C44 = "Item 6",C44=""), OR( G44 &lt;&gt; 0, H44 &lt;&gt; 0, I44 &lt;&gt; 0, J44 &lt;&gt; 0, K44 &lt;&gt; 0, L44 &lt;&gt; 0, M44 &lt;&gt; 0, N44 &lt;&gt; 0) ), 1, 0 )</f>
        <v>0</v>
      </c>
      <c r="V44" s="98">
        <f xml:space="preserve"> IF(AND($C44="Item 6",$O44=0), 0, IF( ISNUMBER( G44 ), 0, 1 ))</f>
        <v>0</v>
      </c>
      <c r="W44" s="98">
        <f t="shared" ref="W44:AC44" si="28" xml:space="preserve"> IF(AND($C44="Item 6",$O44=0), 0, IF( ISNUMBER( H44 ), 0, 1 ))</f>
        <v>0</v>
      </c>
      <c r="X44" s="98">
        <f t="shared" si="28"/>
        <v>0</v>
      </c>
      <c r="Y44" s="98">
        <f t="shared" si="28"/>
        <v>0</v>
      </c>
      <c r="Z44" s="98">
        <f t="shared" si="28"/>
        <v>0</v>
      </c>
      <c r="AA44" s="98">
        <f t="shared" si="28"/>
        <v>0</v>
      </c>
      <c r="AB44" s="98">
        <f t="shared" si="28"/>
        <v>0</v>
      </c>
      <c r="AC44" s="98">
        <f t="shared" si="28"/>
        <v>0</v>
      </c>
      <c r="AD44" s="72"/>
      <c r="AF44" s="72"/>
      <c r="AL44" s="1436" t="s">
        <v>6521</v>
      </c>
      <c r="AM44" s="2990" t="s">
        <v>7648</v>
      </c>
      <c r="AN44" s="3026"/>
      <c r="AO44" s="949" t="s">
        <v>750</v>
      </c>
      <c r="AP44" s="950">
        <v>3</v>
      </c>
      <c r="AQ44" s="3008" t="s">
        <v>7648</v>
      </c>
      <c r="AR44" s="3010" t="s">
        <v>7649</v>
      </c>
      <c r="AS44" s="3011" t="s">
        <v>7650</v>
      </c>
      <c r="AT44" s="3008" t="s">
        <v>7651</v>
      </c>
      <c r="AU44" s="3011" t="s">
        <v>7652</v>
      </c>
      <c r="AV44" s="3011" t="s">
        <v>7653</v>
      </c>
      <c r="AW44" s="3012" t="s">
        <v>7654</v>
      </c>
      <c r="AX44" s="3012" t="s">
        <v>7655</v>
      </c>
      <c r="AY44" s="2311" t="s">
        <v>7656</v>
      </c>
    </row>
    <row r="45" spans="1:51">
      <c r="A45" s="933"/>
      <c r="B45" s="1436" t="s">
        <v>6522</v>
      </c>
      <c r="C45" s="2137" t="s">
        <v>5369</v>
      </c>
      <c r="D45" s="1637"/>
      <c r="E45" s="949" t="s">
        <v>750</v>
      </c>
      <c r="F45" s="950">
        <v>3</v>
      </c>
      <c r="G45" s="1438"/>
      <c r="H45" s="1495"/>
      <c r="I45" s="1437"/>
      <c r="J45" s="1438"/>
      <c r="K45" s="1437"/>
      <c r="L45" s="1437"/>
      <c r="M45" s="1439"/>
      <c r="N45" s="1439"/>
      <c r="O45" s="1656">
        <f t="shared" si="21"/>
        <v>0</v>
      </c>
      <c r="P45" s="995"/>
      <c r="R45" s="945">
        <f t="shared" si="23"/>
        <v>0</v>
      </c>
      <c r="S45" s="946"/>
      <c r="T45" s="72"/>
      <c r="U45" s="98">
        <f xml:space="preserve"> IF( AND(OR(C45 = "Item 7",C45=""), OR( G45 &lt;&gt; 0, H45 &lt;&gt; 0, I45 &lt;&gt; 0, J45 &lt;&gt; 0, K45 &lt;&gt; 0, L45 &lt;&gt; 0, M45 &lt;&gt; 0, N45 &lt;&gt; 0) ), 1, 0 )</f>
        <v>0</v>
      </c>
      <c r="V45" s="98">
        <f xml:space="preserve"> IF(AND($C45="Item 7",$O45=0), 0, IF( ISNUMBER( G45 ), 0, 1 ))</f>
        <v>0</v>
      </c>
      <c r="W45" s="98">
        <f t="shared" ref="W45:AC45" si="29" xml:space="preserve"> IF(AND($C45="Item 7",$O45=0), 0, IF( ISNUMBER( H45 ), 0, 1 ))</f>
        <v>0</v>
      </c>
      <c r="X45" s="98">
        <f t="shared" si="29"/>
        <v>0</v>
      </c>
      <c r="Y45" s="98">
        <f t="shared" si="29"/>
        <v>0</v>
      </c>
      <c r="Z45" s="98">
        <f t="shared" si="29"/>
        <v>0</v>
      </c>
      <c r="AA45" s="98">
        <f t="shared" si="29"/>
        <v>0</v>
      </c>
      <c r="AB45" s="98">
        <f t="shared" si="29"/>
        <v>0</v>
      </c>
      <c r="AC45" s="98">
        <f t="shared" si="29"/>
        <v>0</v>
      </c>
      <c r="AD45" s="72"/>
      <c r="AF45" s="72"/>
      <c r="AL45" s="1436" t="s">
        <v>6522</v>
      </c>
      <c r="AM45" s="2990" t="s">
        <v>7657</v>
      </c>
      <c r="AN45" s="3026"/>
      <c r="AO45" s="949" t="s">
        <v>750</v>
      </c>
      <c r="AP45" s="950">
        <v>3</v>
      </c>
      <c r="AQ45" s="3008" t="s">
        <v>7657</v>
      </c>
      <c r="AR45" s="3010" t="s">
        <v>7658</v>
      </c>
      <c r="AS45" s="3011" t="s">
        <v>7659</v>
      </c>
      <c r="AT45" s="3008" t="s">
        <v>7660</v>
      </c>
      <c r="AU45" s="3011" t="s">
        <v>7661</v>
      </c>
      <c r="AV45" s="3011" t="s">
        <v>7662</v>
      </c>
      <c r="AW45" s="3012" t="s">
        <v>7663</v>
      </c>
      <c r="AX45" s="3012" t="s">
        <v>7664</v>
      </c>
      <c r="AY45" s="2311" t="s">
        <v>7665</v>
      </c>
    </row>
    <row r="46" spans="1:51">
      <c r="A46" s="933"/>
      <c r="B46" s="1436" t="s">
        <v>6523</v>
      </c>
      <c r="C46" s="2137" t="s">
        <v>5370</v>
      </c>
      <c r="D46" s="1637"/>
      <c r="E46" s="949" t="s">
        <v>750</v>
      </c>
      <c r="F46" s="950">
        <v>3</v>
      </c>
      <c r="G46" s="1438"/>
      <c r="H46" s="1495"/>
      <c r="I46" s="1437"/>
      <c r="J46" s="1438"/>
      <c r="K46" s="1437"/>
      <c r="L46" s="1437"/>
      <c r="M46" s="1439"/>
      <c r="N46" s="1439"/>
      <c r="O46" s="1656">
        <f t="shared" si="21"/>
        <v>0</v>
      </c>
      <c r="P46" s="995"/>
      <c r="R46" s="945">
        <f t="shared" si="23"/>
        <v>0</v>
      </c>
      <c r="S46" s="946"/>
      <c r="T46" s="72"/>
      <c r="U46" s="98">
        <f xml:space="preserve"> IF( AND(OR(C46 = "Item 8",C46=""), OR( G46 &lt;&gt; 0, H46 &lt;&gt; 0, I46 &lt;&gt; 0, J46 &lt;&gt; 0, K46 &lt;&gt; 0, L46 &lt;&gt; 0, M46 &lt;&gt; 0, N46 &lt;&gt; 0) ), 1, 0 )</f>
        <v>0</v>
      </c>
      <c r="V46" s="98">
        <f xml:space="preserve"> IF(AND($C46="Item 8",$O46=0), 0, IF( ISNUMBER( G46 ), 0, 1 ))</f>
        <v>0</v>
      </c>
      <c r="W46" s="98">
        <f t="shared" ref="W46:AC46" si="30" xml:space="preserve"> IF(AND($C46="Item 8",$O46=0), 0, IF( ISNUMBER( H46 ), 0, 1 ))</f>
        <v>0</v>
      </c>
      <c r="X46" s="98">
        <f t="shared" si="30"/>
        <v>0</v>
      </c>
      <c r="Y46" s="98">
        <f t="shared" si="30"/>
        <v>0</v>
      </c>
      <c r="Z46" s="98">
        <f t="shared" si="30"/>
        <v>0</v>
      </c>
      <c r="AA46" s="98">
        <f t="shared" si="30"/>
        <v>0</v>
      </c>
      <c r="AB46" s="98">
        <f t="shared" si="30"/>
        <v>0</v>
      </c>
      <c r="AC46" s="98">
        <f t="shared" si="30"/>
        <v>0</v>
      </c>
      <c r="AD46" s="72"/>
      <c r="AF46" s="72"/>
      <c r="AL46" s="1436" t="s">
        <v>6523</v>
      </c>
      <c r="AM46" s="2990" t="s">
        <v>7666</v>
      </c>
      <c r="AN46" s="3026"/>
      <c r="AO46" s="949" t="s">
        <v>750</v>
      </c>
      <c r="AP46" s="950">
        <v>3</v>
      </c>
      <c r="AQ46" s="3008" t="s">
        <v>7666</v>
      </c>
      <c r="AR46" s="3010" t="s">
        <v>7667</v>
      </c>
      <c r="AS46" s="3011" t="s">
        <v>7668</v>
      </c>
      <c r="AT46" s="3008" t="s">
        <v>7669</v>
      </c>
      <c r="AU46" s="3011" t="s">
        <v>7670</v>
      </c>
      <c r="AV46" s="3011" t="s">
        <v>7671</v>
      </c>
      <c r="AW46" s="3012" t="s">
        <v>7672</v>
      </c>
      <c r="AX46" s="3012" t="s">
        <v>7673</v>
      </c>
      <c r="AY46" s="2311" t="s">
        <v>7674</v>
      </c>
    </row>
    <row r="47" spans="1:51">
      <c r="A47" s="933"/>
      <c r="B47" s="1436" t="s">
        <v>6524</v>
      </c>
      <c r="C47" s="2137" t="s">
        <v>5371</v>
      </c>
      <c r="D47" s="1637"/>
      <c r="E47" s="949" t="s">
        <v>750</v>
      </c>
      <c r="F47" s="950">
        <v>3</v>
      </c>
      <c r="G47" s="1438"/>
      <c r="H47" s="1495"/>
      <c r="I47" s="1437"/>
      <c r="J47" s="1438"/>
      <c r="K47" s="1437"/>
      <c r="L47" s="1437"/>
      <c r="M47" s="1439"/>
      <c r="N47" s="1439"/>
      <c r="O47" s="1656">
        <f t="shared" si="21"/>
        <v>0</v>
      </c>
      <c r="P47" s="995"/>
      <c r="R47" s="945">
        <f t="shared" si="23"/>
        <v>0</v>
      </c>
      <c r="S47" s="946"/>
      <c r="T47" s="72"/>
      <c r="U47" s="98">
        <f xml:space="preserve"> IF( AND(OR(C47 = "Item 9",C47=""), OR( G47 &lt;&gt; 0, H47 &lt;&gt; 0, I47 &lt;&gt; 0, J47 &lt;&gt; 0, K47 &lt;&gt; 0, L47 &lt;&gt; 0, M47 &lt;&gt; 0, N47 &lt;&gt; 0) ), 1, 0 )</f>
        <v>0</v>
      </c>
      <c r="V47" s="98">
        <f xml:space="preserve"> IF(AND($C47="Item 9",$O47=0), 0, IF( ISNUMBER( G47 ), 0, 1 ))</f>
        <v>0</v>
      </c>
      <c r="W47" s="98">
        <f t="shared" ref="W47:AC47" si="31" xml:space="preserve"> IF(AND($C47="Item 9",$O47=0), 0, IF( ISNUMBER( H47 ), 0, 1 ))</f>
        <v>0</v>
      </c>
      <c r="X47" s="98">
        <f t="shared" si="31"/>
        <v>0</v>
      </c>
      <c r="Y47" s="98">
        <f t="shared" si="31"/>
        <v>0</v>
      </c>
      <c r="Z47" s="98">
        <f t="shared" si="31"/>
        <v>0</v>
      </c>
      <c r="AA47" s="98">
        <f t="shared" si="31"/>
        <v>0</v>
      </c>
      <c r="AB47" s="98">
        <f t="shared" si="31"/>
        <v>0</v>
      </c>
      <c r="AC47" s="98">
        <f t="shared" si="31"/>
        <v>0</v>
      </c>
      <c r="AD47" s="72"/>
      <c r="AF47" s="72"/>
      <c r="AL47" s="1436" t="s">
        <v>6524</v>
      </c>
      <c r="AM47" s="2990" t="s">
        <v>7675</v>
      </c>
      <c r="AN47" s="3026"/>
      <c r="AO47" s="949" t="s">
        <v>750</v>
      </c>
      <c r="AP47" s="950">
        <v>3</v>
      </c>
      <c r="AQ47" s="3008" t="s">
        <v>7675</v>
      </c>
      <c r="AR47" s="3010" t="s">
        <v>7676</v>
      </c>
      <c r="AS47" s="3011" t="s">
        <v>7677</v>
      </c>
      <c r="AT47" s="3008" t="s">
        <v>7678</v>
      </c>
      <c r="AU47" s="3011" t="s">
        <v>7679</v>
      </c>
      <c r="AV47" s="3011" t="s">
        <v>7680</v>
      </c>
      <c r="AW47" s="3012" t="s">
        <v>7681</v>
      </c>
      <c r="AX47" s="3012" t="s">
        <v>7682</v>
      </c>
      <c r="AY47" s="2311" t="s">
        <v>7683</v>
      </c>
    </row>
    <row r="48" spans="1:51">
      <c r="A48" s="933"/>
      <c r="B48" s="1436" t="s">
        <v>6525</v>
      </c>
      <c r="C48" s="2137" t="s">
        <v>5372</v>
      </c>
      <c r="D48" s="1637"/>
      <c r="E48" s="949" t="s">
        <v>750</v>
      </c>
      <c r="F48" s="950">
        <v>3</v>
      </c>
      <c r="G48" s="1438"/>
      <c r="H48" s="1495"/>
      <c r="I48" s="1437"/>
      <c r="J48" s="1438"/>
      <c r="K48" s="1437"/>
      <c r="L48" s="1437"/>
      <c r="M48" s="1439"/>
      <c r="N48" s="1439"/>
      <c r="O48" s="1656">
        <f t="shared" si="21"/>
        <v>0</v>
      </c>
      <c r="P48" s="995"/>
      <c r="R48" s="945">
        <f t="shared" si="23"/>
        <v>0</v>
      </c>
      <c r="S48" s="946"/>
      <c r="T48" s="72"/>
      <c r="U48" s="98">
        <f xml:space="preserve"> IF( AND(OR(C48 = "Item 10",C48=""), OR( G48 &lt;&gt; 0, H48 &lt;&gt; 0, I48 &lt;&gt; 0, J48 &lt;&gt; 0, K48 &lt;&gt; 0, L48 &lt;&gt; 0, M48 &lt;&gt; 0, N48 &lt;&gt; 0) ), 1, 0 )</f>
        <v>0</v>
      </c>
      <c r="V48" s="98">
        <f xml:space="preserve"> IF(AND($C48="Item 10",$O48=0), 0, IF( ISNUMBER( G48 ), 0, 1 ))</f>
        <v>0</v>
      </c>
      <c r="W48" s="98">
        <f t="shared" ref="W48:AC48" si="32" xml:space="preserve"> IF(AND($C48="Item 10",$O48=0), 0, IF( ISNUMBER( H48 ), 0, 1 ))</f>
        <v>0</v>
      </c>
      <c r="X48" s="98">
        <f t="shared" si="32"/>
        <v>0</v>
      </c>
      <c r="Y48" s="98">
        <f t="shared" si="32"/>
        <v>0</v>
      </c>
      <c r="Z48" s="98">
        <f t="shared" si="32"/>
        <v>0</v>
      </c>
      <c r="AA48" s="98">
        <f t="shared" si="32"/>
        <v>0</v>
      </c>
      <c r="AB48" s="98">
        <f t="shared" si="32"/>
        <v>0</v>
      </c>
      <c r="AC48" s="98">
        <f t="shared" si="32"/>
        <v>0</v>
      </c>
      <c r="AD48" s="72"/>
      <c r="AF48" s="72"/>
      <c r="AL48" s="1436" t="s">
        <v>6525</v>
      </c>
      <c r="AM48" s="2990" t="s">
        <v>7684</v>
      </c>
      <c r="AN48" s="3026"/>
      <c r="AO48" s="949" t="s">
        <v>750</v>
      </c>
      <c r="AP48" s="950">
        <v>3</v>
      </c>
      <c r="AQ48" s="3008" t="s">
        <v>7684</v>
      </c>
      <c r="AR48" s="3010" t="s">
        <v>7685</v>
      </c>
      <c r="AS48" s="3011" t="s">
        <v>7686</v>
      </c>
      <c r="AT48" s="3008" t="s">
        <v>7687</v>
      </c>
      <c r="AU48" s="3011" t="s">
        <v>7688</v>
      </c>
      <c r="AV48" s="3011" t="s">
        <v>7689</v>
      </c>
      <c r="AW48" s="3012" t="s">
        <v>7690</v>
      </c>
      <c r="AX48" s="3012" t="s">
        <v>7691</v>
      </c>
      <c r="AY48" s="2311" t="s">
        <v>7692</v>
      </c>
    </row>
    <row r="49" spans="1:51" ht="15" thickBot="1">
      <c r="A49" s="971"/>
      <c r="B49" s="963" t="s">
        <v>6526</v>
      </c>
      <c r="C49" s="964" t="s">
        <v>4061</v>
      </c>
      <c r="D49" s="964"/>
      <c r="E49" s="965" t="s">
        <v>750</v>
      </c>
      <c r="F49" s="966">
        <v>3</v>
      </c>
      <c r="G49" s="2044">
        <f t="shared" ref="G49:N49" si="33">+SUM(G39:G48)</f>
        <v>0</v>
      </c>
      <c r="H49" s="2046">
        <f t="shared" si="33"/>
        <v>0</v>
      </c>
      <c r="I49" s="2047">
        <f t="shared" si="33"/>
        <v>0</v>
      </c>
      <c r="J49" s="2044">
        <f t="shared" si="33"/>
        <v>0</v>
      </c>
      <c r="K49" s="2047">
        <f t="shared" si="33"/>
        <v>0</v>
      </c>
      <c r="L49" s="2047">
        <f t="shared" si="33"/>
        <v>0</v>
      </c>
      <c r="M49" s="2048">
        <f t="shared" si="33"/>
        <v>0</v>
      </c>
      <c r="N49" s="2048">
        <f t="shared" si="33"/>
        <v>0</v>
      </c>
      <c r="O49" s="1516">
        <f t="shared" si="21"/>
        <v>0</v>
      </c>
      <c r="P49" s="997"/>
      <c r="R49" s="945">
        <f t="shared" si="23"/>
        <v>0</v>
      </c>
      <c r="T49" s="72"/>
      <c r="AD49" s="72"/>
      <c r="AF49" s="72"/>
      <c r="AL49" s="963" t="s">
        <v>6526</v>
      </c>
      <c r="AM49" s="2313" t="s">
        <v>4061</v>
      </c>
      <c r="AN49" s="964"/>
      <c r="AO49" s="965" t="s">
        <v>750</v>
      </c>
      <c r="AP49" s="966">
        <v>3</v>
      </c>
      <c r="AQ49" s="3013" t="s">
        <v>7693</v>
      </c>
      <c r="AR49" s="3015" t="s">
        <v>7694</v>
      </c>
      <c r="AS49" s="3016" t="s">
        <v>7695</v>
      </c>
      <c r="AT49" s="3013" t="s">
        <v>7696</v>
      </c>
      <c r="AU49" s="3016" t="s">
        <v>7697</v>
      </c>
      <c r="AV49" s="3016" t="s">
        <v>7698</v>
      </c>
      <c r="AW49" s="3017" t="s">
        <v>7699</v>
      </c>
      <c r="AX49" s="3017" t="s">
        <v>7700</v>
      </c>
      <c r="AY49" s="2308" t="s">
        <v>7701</v>
      </c>
    </row>
    <row r="50" spans="1:51" ht="15" thickBot="1">
      <c r="A50" s="933"/>
      <c r="B50" s="998"/>
      <c r="C50" s="990"/>
      <c r="D50" s="990"/>
      <c r="E50" s="991"/>
      <c r="F50" s="991"/>
      <c r="G50" s="992"/>
      <c r="H50" s="992"/>
      <c r="I50" s="992"/>
      <c r="J50" s="992"/>
      <c r="K50" s="992"/>
      <c r="L50" s="992"/>
      <c r="M50" s="992"/>
      <c r="N50" s="992"/>
      <c r="O50" s="992"/>
      <c r="P50" s="993"/>
      <c r="T50" s="72"/>
      <c r="AD50" s="72"/>
      <c r="AF50" s="72"/>
      <c r="AL50" s="998"/>
      <c r="AM50" s="990"/>
      <c r="AN50" s="990"/>
      <c r="AO50" s="991"/>
      <c r="AP50" s="991"/>
      <c r="AQ50" s="2272"/>
      <c r="AR50" s="2272"/>
      <c r="AS50" s="2272"/>
      <c r="AT50" s="2272"/>
      <c r="AU50" s="2272"/>
      <c r="AV50" s="2272"/>
      <c r="AW50" s="2272"/>
      <c r="AX50" s="2272"/>
      <c r="AY50" s="2272"/>
    </row>
    <row r="51" spans="1:51" ht="15" thickBot="1">
      <c r="A51" s="933"/>
      <c r="B51" s="934" t="s">
        <v>2480</v>
      </c>
      <c r="C51" s="1792" t="s">
        <v>4062</v>
      </c>
      <c r="D51" s="972"/>
      <c r="E51" s="991"/>
      <c r="F51" s="991"/>
      <c r="G51" s="992"/>
      <c r="H51" s="992"/>
      <c r="I51" s="992"/>
      <c r="J51" s="992"/>
      <c r="K51" s="992"/>
      <c r="L51" s="992"/>
      <c r="M51" s="992"/>
      <c r="N51" s="992"/>
      <c r="O51" s="992"/>
      <c r="P51" s="993"/>
      <c r="T51" s="72"/>
      <c r="AD51" s="72"/>
      <c r="AF51" s="72"/>
      <c r="AL51" s="934" t="s">
        <v>2480</v>
      </c>
      <c r="AM51" s="999" t="s">
        <v>4062</v>
      </c>
      <c r="AN51" s="2742"/>
      <c r="AO51" s="991"/>
      <c r="AP51" s="991"/>
      <c r="AQ51" s="2272"/>
      <c r="AR51" s="2272"/>
      <c r="AS51" s="2272"/>
      <c r="AT51" s="2272"/>
      <c r="AU51" s="2272"/>
      <c r="AV51" s="2272"/>
      <c r="AW51" s="2272"/>
      <c r="AX51" s="2272"/>
      <c r="AY51" s="2272"/>
    </row>
    <row r="52" spans="1:51" ht="24" customHeight="1" thickBot="1">
      <c r="A52" s="971"/>
      <c r="B52" s="1000" t="s">
        <v>6527</v>
      </c>
      <c r="C52" s="1001" t="s">
        <v>4063</v>
      </c>
      <c r="D52" s="1001"/>
      <c r="E52" s="1003" t="s">
        <v>750</v>
      </c>
      <c r="F52" s="1004">
        <v>3</v>
      </c>
      <c r="G52" s="2049">
        <f t="shared" ref="G52:N52" si="34">+G49+G36</f>
        <v>0</v>
      </c>
      <c r="H52" s="2051">
        <f t="shared" si="34"/>
        <v>0</v>
      </c>
      <c r="I52" s="2052">
        <f t="shared" si="34"/>
        <v>0</v>
      </c>
      <c r="J52" s="2049">
        <f t="shared" si="34"/>
        <v>0</v>
      </c>
      <c r="K52" s="2052">
        <f t="shared" si="34"/>
        <v>0</v>
      </c>
      <c r="L52" s="2052">
        <f t="shared" si="34"/>
        <v>0</v>
      </c>
      <c r="M52" s="2057">
        <f t="shared" si="34"/>
        <v>0</v>
      </c>
      <c r="N52" s="1638">
        <f t="shared" si="34"/>
        <v>0</v>
      </c>
      <c r="O52" s="2054">
        <f>+SUM(G52:N52)</f>
        <v>0</v>
      </c>
      <c r="P52" s="993"/>
      <c r="R52" s="1431">
        <f xml:space="preserve"> IF( SUM( AD52:AF52 ) = 0, 0, AI52 )</f>
        <v>0</v>
      </c>
      <c r="T52" s="72"/>
      <c r="AD52" s="72"/>
      <c r="AE52" s="98">
        <f xml:space="preserve"> IF( (AG52 - AH52) = 0, 0, 1 )</f>
        <v>0</v>
      </c>
      <c r="AF52" s="129"/>
      <c r="AG52" s="117">
        <f xml:space="preserve"> ROUND( O52, 3 )</f>
        <v>0</v>
      </c>
      <c r="AH52" s="117">
        <f xml:space="preserve"> ROUND( ('4E'!O39), 3 )</f>
        <v>0</v>
      </c>
      <c r="AI52" s="144" t="s">
        <v>6503</v>
      </c>
      <c r="AJ52" s="72"/>
      <c r="AL52" s="1000" t="s">
        <v>6527</v>
      </c>
      <c r="AM52" s="1001" t="s">
        <v>4063</v>
      </c>
      <c r="AN52" s="1001"/>
      <c r="AO52" s="1003" t="s">
        <v>750</v>
      </c>
      <c r="AP52" s="1004">
        <v>3</v>
      </c>
      <c r="AQ52" s="3018" t="s">
        <v>7702</v>
      </c>
      <c r="AR52" s="3020" t="s">
        <v>7703</v>
      </c>
      <c r="AS52" s="3021" t="s">
        <v>7704</v>
      </c>
      <c r="AT52" s="3018" t="s">
        <v>7705</v>
      </c>
      <c r="AU52" s="3021" t="s">
        <v>7706</v>
      </c>
      <c r="AV52" s="3021" t="s">
        <v>7707</v>
      </c>
      <c r="AW52" s="3027" t="s">
        <v>7708</v>
      </c>
      <c r="AX52" s="2312" t="s">
        <v>7709</v>
      </c>
      <c r="AY52" s="3023" t="s">
        <v>7710</v>
      </c>
    </row>
    <row r="53" spans="1:51">
      <c r="AL53" s="496"/>
      <c r="AM53" s="496"/>
      <c r="AN53" s="496"/>
      <c r="AO53" s="496"/>
      <c r="AP53" s="496"/>
      <c r="AQ53" s="2274"/>
      <c r="AR53" s="2274"/>
      <c r="AS53" s="2274"/>
      <c r="AT53" s="2274"/>
      <c r="AU53" s="2274"/>
      <c r="AV53" s="2274"/>
      <c r="AW53" s="2274"/>
      <c r="AX53" s="2274"/>
      <c r="AY53" s="2274"/>
    </row>
    <row r="54" spans="1:51">
      <c r="B54" s="3490" t="s">
        <v>2420</v>
      </c>
      <c r="C54" s="3490"/>
      <c r="D54" s="972"/>
      <c r="E54" s="933"/>
      <c r="F54" s="933"/>
      <c r="G54" s="933"/>
      <c r="H54" s="933"/>
      <c r="I54" s="933"/>
      <c r="J54" s="933"/>
      <c r="K54" s="933"/>
      <c r="L54" s="933"/>
      <c r="M54" s="933"/>
      <c r="N54" s="933"/>
      <c r="O54" s="933"/>
      <c r="P54" s="933"/>
      <c r="Q54" s="933"/>
      <c r="R54" s="933"/>
      <c r="S54" s="933"/>
      <c r="T54" s="1787"/>
      <c r="U54" s="933"/>
      <c r="V54" s="933"/>
      <c r="W54" s="933"/>
      <c r="X54" s="933"/>
      <c r="Y54" s="933"/>
      <c r="Z54" s="933"/>
      <c r="AA54" s="933"/>
      <c r="AQ54" s="1754"/>
      <c r="AR54" s="1754"/>
      <c r="AS54" s="1754"/>
      <c r="AT54" s="1754"/>
      <c r="AU54" s="1754"/>
      <c r="AV54" s="1754"/>
      <c r="AW54" s="1754"/>
      <c r="AX54" s="1754"/>
      <c r="AY54" s="1754"/>
    </row>
    <row r="55" spans="1:51">
      <c r="B55" s="351"/>
      <c r="C55" s="1036"/>
      <c r="D55" s="1036"/>
      <c r="E55" s="933"/>
      <c r="F55" s="933"/>
      <c r="G55" s="933"/>
      <c r="H55" s="933"/>
      <c r="I55" s="933"/>
      <c r="J55" s="933"/>
      <c r="K55" s="933"/>
      <c r="L55" s="933"/>
      <c r="M55" s="933"/>
      <c r="N55" s="933"/>
      <c r="O55" s="933"/>
      <c r="P55" s="933"/>
      <c r="Q55" s="933"/>
      <c r="R55" s="933"/>
      <c r="S55" s="933"/>
      <c r="T55" s="1787"/>
      <c r="U55" s="933"/>
      <c r="V55" s="933"/>
      <c r="W55" s="933"/>
      <c r="X55" s="933"/>
      <c r="Y55" s="933"/>
      <c r="Z55" s="933"/>
      <c r="AA55" s="933"/>
    </row>
    <row r="56" spans="1:51">
      <c r="B56" s="1037"/>
      <c r="C56" s="1038" t="s">
        <v>2421</v>
      </c>
      <c r="D56" s="1038"/>
      <c r="E56" s="933"/>
      <c r="F56" s="933"/>
      <c r="G56" s="933"/>
      <c r="H56" s="933"/>
      <c r="I56" s="933"/>
      <c r="J56" s="933"/>
      <c r="K56" s="933"/>
      <c r="L56" s="933"/>
      <c r="M56" s="933"/>
      <c r="N56" s="933"/>
      <c r="O56" s="933"/>
      <c r="P56" s="933"/>
      <c r="Q56" s="933"/>
      <c r="R56" s="933"/>
      <c r="S56" s="933"/>
      <c r="T56" s="1787"/>
      <c r="U56" s="933"/>
      <c r="V56" s="933"/>
      <c r="W56" s="933"/>
      <c r="X56" s="933"/>
      <c r="Y56" s="933"/>
      <c r="Z56" s="933"/>
      <c r="AA56" s="933"/>
    </row>
    <row r="57" spans="1:51">
      <c r="B57" s="351"/>
      <c r="C57" s="1036"/>
      <c r="D57" s="1036"/>
      <c r="E57" s="933"/>
      <c r="F57" s="933"/>
      <c r="G57" s="933"/>
      <c r="H57" s="933"/>
      <c r="I57" s="933"/>
      <c r="J57" s="933"/>
      <c r="K57" s="933"/>
      <c r="L57" s="933"/>
      <c r="M57" s="933"/>
      <c r="N57" s="933"/>
      <c r="O57" s="933"/>
      <c r="P57" s="933"/>
      <c r="Q57" s="933"/>
      <c r="R57" s="933"/>
      <c r="S57" s="933"/>
      <c r="T57" s="1787"/>
      <c r="U57" s="933"/>
      <c r="V57" s="933"/>
      <c r="W57" s="933"/>
      <c r="X57" s="933"/>
      <c r="Y57" s="933"/>
      <c r="Z57" s="933"/>
      <c r="AA57" s="933"/>
    </row>
    <row r="58" spans="1:51">
      <c r="B58" s="1039"/>
      <c r="C58" s="1038" t="s">
        <v>4082</v>
      </c>
      <c r="D58" s="1038"/>
      <c r="E58" s="933"/>
      <c r="F58" s="933"/>
      <c r="G58" s="933"/>
      <c r="H58" s="933"/>
      <c r="I58" s="933"/>
      <c r="J58" s="933"/>
      <c r="K58" s="933"/>
      <c r="L58" s="933"/>
      <c r="M58" s="933"/>
      <c r="N58" s="933"/>
      <c r="O58" s="933"/>
      <c r="P58" s="933"/>
      <c r="Q58" s="933"/>
      <c r="R58" s="933"/>
      <c r="S58" s="933"/>
      <c r="T58" s="1787"/>
      <c r="U58" s="933"/>
      <c r="V58" s="933"/>
      <c r="W58" s="933"/>
      <c r="X58" s="933"/>
      <c r="Y58" s="933"/>
      <c r="Z58" s="933"/>
      <c r="AA58" s="933"/>
    </row>
    <row r="59" spans="1:51">
      <c r="B59" s="1040"/>
      <c r="C59" s="1041"/>
      <c r="D59" s="1041"/>
      <c r="E59" s="933"/>
      <c r="F59" s="933"/>
      <c r="G59" s="933"/>
      <c r="H59" s="933"/>
      <c r="I59" s="933"/>
      <c r="J59" s="933"/>
      <c r="K59" s="933"/>
      <c r="L59" s="933"/>
      <c r="M59" s="933"/>
      <c r="N59" s="933"/>
      <c r="O59" s="933"/>
      <c r="P59" s="933"/>
      <c r="Q59" s="933"/>
      <c r="R59" s="933"/>
      <c r="S59" s="933"/>
      <c r="T59" s="1787"/>
      <c r="U59" s="933"/>
      <c r="V59" s="933"/>
      <c r="W59" s="933"/>
      <c r="X59" s="933"/>
      <c r="Y59" s="933"/>
      <c r="Z59" s="933"/>
      <c r="AA59" s="933"/>
    </row>
    <row r="60" spans="1:51" ht="15" thickBot="1">
      <c r="B60" s="1040"/>
      <c r="C60" s="1041"/>
      <c r="D60" s="1041"/>
      <c r="E60" s="933"/>
      <c r="F60" s="933"/>
      <c r="G60" s="933"/>
      <c r="H60" s="933"/>
      <c r="I60" s="933"/>
      <c r="J60" s="933"/>
      <c r="K60" s="933"/>
      <c r="L60" s="933"/>
      <c r="M60" s="933"/>
      <c r="N60" s="933"/>
      <c r="O60" s="933"/>
      <c r="P60" s="933"/>
      <c r="Q60" s="933"/>
      <c r="R60" s="933"/>
      <c r="S60" s="933"/>
      <c r="T60" s="1787"/>
      <c r="U60" s="933"/>
      <c r="V60" s="933"/>
      <c r="W60" s="933"/>
      <c r="X60" s="933"/>
      <c r="Y60" s="933"/>
      <c r="Z60" s="933"/>
      <c r="AA60" s="933"/>
    </row>
    <row r="61" spans="1:51" ht="15" thickBot="1">
      <c r="B61" s="1433" t="s">
        <v>12572</v>
      </c>
      <c r="C61" s="2188"/>
      <c r="D61" s="2188"/>
      <c r="E61" s="2188"/>
      <c r="F61" s="2188"/>
      <c r="G61" s="2188"/>
      <c r="H61" s="2188"/>
      <c r="I61" s="2188"/>
      <c r="J61" s="2188"/>
      <c r="K61" s="2188"/>
      <c r="L61" s="2188"/>
      <c r="M61" s="2188"/>
      <c r="N61" s="2188"/>
      <c r="O61" s="2189"/>
      <c r="P61" s="933"/>
      <c r="Q61" s="933"/>
      <c r="R61" s="933"/>
      <c r="S61" s="933"/>
      <c r="T61" s="1787"/>
      <c r="U61" s="933"/>
      <c r="V61" s="933"/>
      <c r="W61" s="933"/>
      <c r="X61" s="933"/>
      <c r="Y61" s="933"/>
      <c r="Z61" s="933"/>
      <c r="AA61" s="933"/>
    </row>
    <row r="62" spans="1:51">
      <c r="B62" s="1040"/>
      <c r="C62" s="1041"/>
      <c r="D62" s="1041"/>
      <c r="E62" s="933"/>
      <c r="F62" s="933"/>
      <c r="G62" s="933"/>
      <c r="H62" s="933"/>
      <c r="I62" s="933"/>
      <c r="J62" s="933"/>
      <c r="K62" s="933"/>
      <c r="L62" s="933"/>
      <c r="M62" s="933"/>
      <c r="N62" s="933"/>
      <c r="O62" s="933"/>
      <c r="P62" s="933"/>
      <c r="Q62" s="933"/>
      <c r="R62" s="933"/>
      <c r="S62" s="933"/>
      <c r="T62" s="1787"/>
      <c r="U62" s="933"/>
      <c r="V62" s="933"/>
      <c r="W62" s="933"/>
      <c r="X62" s="933"/>
      <c r="Y62" s="933"/>
      <c r="Z62" s="933"/>
      <c r="AA62" s="933"/>
    </row>
    <row r="63" spans="1:51" ht="15" hidden="1" thickBot="1">
      <c r="A63" s="1696"/>
      <c r="B63" s="3497" t="str">
        <f ca="1" xml:space="preserve"> RIGHT(CELL("filename", $A$1), LEN(CELL("filename", $A$1)) - SEARCH("]", CELL("filename", $A$1)))&amp;" - Line definitions"</f>
        <v>4K - Line definitions</v>
      </c>
      <c r="C63" s="3498"/>
      <c r="D63" s="3498"/>
      <c r="E63" s="3498"/>
      <c r="F63" s="3498"/>
      <c r="G63" s="3498"/>
      <c r="H63" s="3498"/>
      <c r="I63" s="3498"/>
      <c r="J63" s="3498"/>
      <c r="K63" s="3498"/>
      <c r="L63" s="3498"/>
      <c r="M63" s="3498"/>
      <c r="N63" s="3498"/>
      <c r="O63" s="3499"/>
      <c r="P63" s="933"/>
      <c r="Q63" s="933"/>
      <c r="R63" s="933"/>
      <c r="S63" s="933"/>
      <c r="T63" s="1787"/>
      <c r="U63" s="933"/>
      <c r="V63" s="933"/>
      <c r="W63" s="933"/>
      <c r="X63" s="933"/>
      <c r="Y63" s="933"/>
      <c r="Z63" s="933"/>
      <c r="AA63" s="933"/>
    </row>
    <row r="64" spans="1:51" ht="15" hidden="1" thickBot="1">
      <c r="A64" s="1696"/>
      <c r="B64" s="1015"/>
      <c r="C64" s="1014"/>
      <c r="D64" s="1014"/>
      <c r="E64" s="1014"/>
      <c r="F64" s="1014"/>
      <c r="G64" s="1014"/>
      <c r="H64" s="1014"/>
      <c r="I64" s="1014"/>
      <c r="J64" s="1014"/>
      <c r="K64" s="1014"/>
      <c r="L64" s="1014"/>
      <c r="M64" s="1014"/>
      <c r="N64" s="1014"/>
      <c r="O64" s="1014"/>
      <c r="P64" s="1014"/>
      <c r="Q64" s="1014"/>
      <c r="R64" s="1014"/>
      <c r="S64" s="1014"/>
      <c r="T64" s="1787"/>
      <c r="U64" s="1014"/>
      <c r="V64" s="1014"/>
      <c r="W64" s="1014"/>
      <c r="X64" s="1014"/>
      <c r="Y64" s="1014"/>
      <c r="Z64" s="1014"/>
      <c r="AA64" s="1014"/>
    </row>
    <row r="65" spans="1:27" ht="15" hidden="1" thickBot="1">
      <c r="A65" s="1696"/>
      <c r="B65" s="1901" t="s">
        <v>2423</v>
      </c>
      <c r="C65" s="3500" t="s">
        <v>2424</v>
      </c>
      <c r="D65" s="3501"/>
      <c r="E65" s="3501"/>
      <c r="F65" s="3501"/>
      <c r="G65" s="3501"/>
      <c r="H65" s="3501"/>
      <c r="I65" s="3501"/>
      <c r="J65" s="3501"/>
      <c r="K65" s="3501"/>
      <c r="L65" s="3501"/>
      <c r="M65" s="3501"/>
      <c r="N65" s="3501"/>
      <c r="O65" s="3502"/>
      <c r="P65" s="1014"/>
      <c r="Q65" s="1014"/>
      <c r="R65" s="1014"/>
      <c r="S65" s="1014"/>
      <c r="T65" s="1787"/>
      <c r="U65" s="1014"/>
      <c r="V65" s="1014"/>
      <c r="W65" s="1014"/>
      <c r="X65" s="1014"/>
      <c r="Y65" s="1014"/>
      <c r="Z65" s="1014"/>
      <c r="AA65" s="1014"/>
    </row>
    <row r="66" spans="1:27" ht="14.25" hidden="1" customHeight="1">
      <c r="A66" s="1696"/>
      <c r="B66" s="1902">
        <v>1</v>
      </c>
      <c r="C66" s="3503" t="s">
        <v>4065</v>
      </c>
      <c r="D66" s="3504"/>
      <c r="E66" s="3504"/>
      <c r="F66" s="3504"/>
      <c r="G66" s="3504"/>
      <c r="H66" s="3504"/>
      <c r="I66" s="3504"/>
      <c r="J66" s="3504"/>
      <c r="K66" s="3504"/>
      <c r="L66" s="3504"/>
      <c r="M66" s="3504"/>
      <c r="N66" s="3504"/>
      <c r="O66" s="3505"/>
      <c r="P66" s="1014"/>
      <c r="Q66" s="1014"/>
      <c r="R66" s="1014"/>
      <c r="S66" s="1014"/>
      <c r="T66" s="1787"/>
      <c r="U66" s="1014"/>
      <c r="V66" s="1014"/>
      <c r="W66" s="1014"/>
      <c r="X66" s="1014"/>
      <c r="Y66" s="1014"/>
      <c r="Z66" s="1014"/>
      <c r="AA66" s="1014"/>
    </row>
    <row r="67" spans="1:27" ht="66" hidden="1" customHeight="1">
      <c r="A67" s="1696"/>
      <c r="B67" s="1903">
        <f>+B66+1</f>
        <v>2</v>
      </c>
      <c r="C67" s="3487" t="s">
        <v>4083</v>
      </c>
      <c r="D67" s="3488"/>
      <c r="E67" s="3488"/>
      <c r="F67" s="3488"/>
      <c r="G67" s="3488"/>
      <c r="H67" s="3488"/>
      <c r="I67" s="3488"/>
      <c r="J67" s="3488"/>
      <c r="K67" s="3488"/>
      <c r="L67" s="3488"/>
      <c r="M67" s="3488"/>
      <c r="N67" s="3488"/>
      <c r="O67" s="3489"/>
      <c r="P67" s="1014"/>
      <c r="Q67" s="1014"/>
      <c r="R67" s="1014"/>
      <c r="S67" s="1014"/>
      <c r="T67" s="1787"/>
      <c r="U67" s="1014"/>
      <c r="V67" s="1014"/>
      <c r="W67" s="1014"/>
      <c r="X67" s="1014"/>
      <c r="Y67" s="1014"/>
      <c r="Z67" s="1014"/>
      <c r="AA67" s="1014"/>
    </row>
    <row r="68" spans="1:27" ht="14.25" hidden="1" customHeight="1">
      <c r="A68" s="1696"/>
      <c r="B68" s="1903">
        <f t="shared" ref="B68:B89" si="35">+B67+1</f>
        <v>3</v>
      </c>
      <c r="C68" s="3487" t="s">
        <v>3680</v>
      </c>
      <c r="D68" s="3488"/>
      <c r="E68" s="3488"/>
      <c r="F68" s="3488"/>
      <c r="G68" s="3488"/>
      <c r="H68" s="3488"/>
      <c r="I68" s="3488"/>
      <c r="J68" s="3488"/>
      <c r="K68" s="3488"/>
      <c r="L68" s="3488"/>
      <c r="M68" s="3488"/>
      <c r="N68" s="3488"/>
      <c r="O68" s="3489"/>
      <c r="P68" s="1014"/>
      <c r="Q68" s="1014"/>
      <c r="R68" s="1014"/>
      <c r="S68" s="1014"/>
      <c r="T68" s="1787"/>
      <c r="U68" s="1014"/>
      <c r="V68" s="1014"/>
      <c r="W68" s="1014"/>
      <c r="X68" s="1014"/>
      <c r="Y68" s="1014"/>
      <c r="Z68" s="1014"/>
      <c r="AA68" s="1014"/>
    </row>
    <row r="69" spans="1:27" ht="14.25" hidden="1" customHeight="1">
      <c r="A69" s="1696"/>
      <c r="B69" s="1903">
        <f t="shared" si="35"/>
        <v>4</v>
      </c>
      <c r="C69" s="3487" t="s">
        <v>3681</v>
      </c>
      <c r="D69" s="3488"/>
      <c r="E69" s="3488"/>
      <c r="F69" s="3488"/>
      <c r="G69" s="3488"/>
      <c r="H69" s="3488"/>
      <c r="I69" s="3488"/>
      <c r="J69" s="3488"/>
      <c r="K69" s="3488"/>
      <c r="L69" s="3488"/>
      <c r="M69" s="3488"/>
      <c r="N69" s="3488"/>
      <c r="O69" s="3489"/>
      <c r="P69" s="1014"/>
      <c r="Q69" s="1014"/>
      <c r="R69" s="1014"/>
      <c r="S69" s="1014"/>
      <c r="T69" s="1787"/>
      <c r="U69" s="1014"/>
      <c r="V69" s="1014"/>
      <c r="W69" s="1014"/>
      <c r="X69" s="1014"/>
      <c r="Y69" s="1014"/>
      <c r="Z69" s="1014"/>
      <c r="AA69" s="1014"/>
    </row>
    <row r="70" spans="1:27" ht="27" hidden="1" customHeight="1">
      <c r="A70" s="1696"/>
      <c r="B70" s="1903">
        <f t="shared" si="35"/>
        <v>5</v>
      </c>
      <c r="C70" s="3487" t="s">
        <v>4084</v>
      </c>
      <c r="D70" s="3488"/>
      <c r="E70" s="3488"/>
      <c r="F70" s="3488"/>
      <c r="G70" s="3488"/>
      <c r="H70" s="3488"/>
      <c r="I70" s="3488"/>
      <c r="J70" s="3488"/>
      <c r="K70" s="3488"/>
      <c r="L70" s="3488"/>
      <c r="M70" s="3488"/>
      <c r="N70" s="3488"/>
      <c r="O70" s="3489"/>
      <c r="P70" s="1014"/>
      <c r="Q70" s="1014"/>
      <c r="R70" s="1014"/>
      <c r="S70" s="1014"/>
      <c r="T70" s="1787"/>
      <c r="U70" s="1014"/>
      <c r="V70" s="1014"/>
      <c r="W70" s="1014"/>
      <c r="X70" s="1014"/>
      <c r="Y70" s="1014"/>
      <c r="Z70" s="1014"/>
      <c r="AA70" s="1014"/>
    </row>
    <row r="71" spans="1:27" ht="14.25" hidden="1" customHeight="1">
      <c r="A71" s="1696"/>
      <c r="B71" s="1903">
        <f t="shared" si="35"/>
        <v>6</v>
      </c>
      <c r="C71" s="3487" t="s">
        <v>4085</v>
      </c>
      <c r="D71" s="3488"/>
      <c r="E71" s="3488"/>
      <c r="F71" s="3488"/>
      <c r="G71" s="3488"/>
      <c r="H71" s="3488"/>
      <c r="I71" s="3488"/>
      <c r="J71" s="3488"/>
      <c r="K71" s="3488"/>
      <c r="L71" s="3488"/>
      <c r="M71" s="3488"/>
      <c r="N71" s="3488"/>
      <c r="O71" s="3489"/>
      <c r="P71" s="1014"/>
      <c r="Q71" s="1014"/>
      <c r="R71" s="1014"/>
      <c r="S71" s="1014"/>
      <c r="T71" s="1787"/>
      <c r="U71" s="1014"/>
      <c r="V71" s="1014"/>
      <c r="W71" s="1014"/>
      <c r="X71" s="1014"/>
      <c r="Y71" s="1014"/>
      <c r="Z71" s="1014"/>
      <c r="AA71" s="1014"/>
    </row>
    <row r="72" spans="1:27" ht="14.25" hidden="1" customHeight="1">
      <c r="A72" s="1696"/>
      <c r="B72" s="1903">
        <f t="shared" si="35"/>
        <v>7</v>
      </c>
      <c r="C72" s="3487" t="s">
        <v>12938</v>
      </c>
      <c r="D72" s="3488"/>
      <c r="E72" s="3488"/>
      <c r="F72" s="3488"/>
      <c r="G72" s="3488"/>
      <c r="H72" s="3488"/>
      <c r="I72" s="3488"/>
      <c r="J72" s="3488"/>
      <c r="K72" s="3488"/>
      <c r="L72" s="3488"/>
      <c r="M72" s="3488"/>
      <c r="N72" s="3488"/>
      <c r="O72" s="3489"/>
      <c r="P72" s="1014"/>
      <c r="Q72" s="1014"/>
      <c r="R72" s="1014"/>
      <c r="S72" s="1014"/>
      <c r="T72" s="1787"/>
      <c r="U72" s="1014"/>
      <c r="V72" s="1014"/>
      <c r="W72" s="1014"/>
      <c r="X72" s="1014"/>
      <c r="Y72" s="1014"/>
      <c r="Z72" s="1014"/>
      <c r="AA72" s="1014"/>
    </row>
    <row r="73" spans="1:27" ht="14.25" hidden="1" customHeight="1">
      <c r="A73" s="1696"/>
      <c r="B73" s="1903">
        <f t="shared" si="35"/>
        <v>8</v>
      </c>
      <c r="C73" s="3487" t="s">
        <v>2609</v>
      </c>
      <c r="D73" s="3488"/>
      <c r="E73" s="3488"/>
      <c r="F73" s="3488"/>
      <c r="G73" s="3488"/>
      <c r="H73" s="3488"/>
      <c r="I73" s="3488"/>
      <c r="J73" s="3488"/>
      <c r="K73" s="3488"/>
      <c r="L73" s="3488"/>
      <c r="M73" s="3488"/>
      <c r="N73" s="3488"/>
      <c r="O73" s="3489"/>
      <c r="P73" s="1014"/>
      <c r="Q73" s="1014"/>
      <c r="R73" s="1014"/>
      <c r="S73" s="1014"/>
      <c r="T73" s="1787"/>
      <c r="U73" s="1014"/>
      <c r="V73" s="1014"/>
      <c r="W73" s="1014"/>
      <c r="X73" s="1014"/>
      <c r="Y73" s="1014"/>
      <c r="Z73" s="1014"/>
      <c r="AA73" s="1014"/>
    </row>
    <row r="74" spans="1:27" ht="14.25" hidden="1" customHeight="1">
      <c r="A74" s="1696"/>
      <c r="B74" s="1903">
        <f t="shared" si="35"/>
        <v>9</v>
      </c>
      <c r="C74" s="3487" t="s">
        <v>12939</v>
      </c>
      <c r="D74" s="3488"/>
      <c r="E74" s="3488"/>
      <c r="F74" s="3488"/>
      <c r="G74" s="3488"/>
      <c r="H74" s="3488"/>
      <c r="I74" s="3488"/>
      <c r="J74" s="3488"/>
      <c r="K74" s="3488"/>
      <c r="L74" s="3488"/>
      <c r="M74" s="3488"/>
      <c r="N74" s="3488"/>
      <c r="O74" s="3489"/>
      <c r="P74" s="1014"/>
      <c r="Q74" s="1014"/>
      <c r="R74" s="1014"/>
      <c r="S74" s="1014"/>
      <c r="T74" s="1787"/>
      <c r="U74" s="1014"/>
      <c r="V74" s="1014"/>
      <c r="W74" s="1014"/>
      <c r="X74" s="1014"/>
      <c r="Y74" s="1014"/>
      <c r="Z74" s="1014"/>
      <c r="AA74" s="1014"/>
    </row>
    <row r="75" spans="1:27" ht="14.25" hidden="1" customHeight="1">
      <c r="A75" s="1696"/>
      <c r="B75" s="1904">
        <f t="shared" si="35"/>
        <v>10</v>
      </c>
      <c r="C75" s="3487" t="s">
        <v>4086</v>
      </c>
      <c r="D75" s="3488"/>
      <c r="E75" s="3488"/>
      <c r="F75" s="3488"/>
      <c r="G75" s="3488"/>
      <c r="H75" s="3488"/>
      <c r="I75" s="3488"/>
      <c r="J75" s="3488"/>
      <c r="K75" s="3488"/>
      <c r="L75" s="3488"/>
      <c r="M75" s="3488"/>
      <c r="N75" s="3488"/>
      <c r="O75" s="3489"/>
      <c r="P75" s="1014"/>
      <c r="Q75" s="1014"/>
      <c r="R75" s="1014"/>
      <c r="S75" s="1014"/>
      <c r="T75" s="1787"/>
      <c r="U75" s="1014"/>
      <c r="V75" s="1014"/>
      <c r="W75" s="1014"/>
      <c r="X75" s="1014"/>
      <c r="Y75" s="1014"/>
      <c r="Z75" s="1014"/>
      <c r="AA75" s="1014"/>
    </row>
    <row r="76" spans="1:27" ht="14.25" hidden="1" customHeight="1">
      <c r="A76" s="1696"/>
      <c r="B76" s="1904">
        <f t="shared" si="35"/>
        <v>11</v>
      </c>
      <c r="C76" s="3487" t="s">
        <v>12940</v>
      </c>
      <c r="D76" s="3488"/>
      <c r="E76" s="3488"/>
      <c r="F76" s="3488"/>
      <c r="G76" s="3488"/>
      <c r="H76" s="3488"/>
      <c r="I76" s="3488"/>
      <c r="J76" s="3488"/>
      <c r="K76" s="3488"/>
      <c r="L76" s="3488"/>
      <c r="M76" s="3488"/>
      <c r="N76" s="3488"/>
      <c r="O76" s="3489"/>
      <c r="P76" s="1014"/>
      <c r="Q76" s="1014"/>
      <c r="R76" s="1014"/>
      <c r="S76" s="1014"/>
      <c r="T76" s="1787"/>
      <c r="U76" s="1014"/>
      <c r="V76" s="1014"/>
      <c r="W76" s="1014"/>
      <c r="X76" s="1014"/>
      <c r="Y76" s="1014"/>
      <c r="Z76" s="1014"/>
      <c r="AA76" s="1014"/>
    </row>
    <row r="77" spans="1:27" ht="26.65" hidden="1" customHeight="1">
      <c r="A77" s="1696"/>
      <c r="B77" s="1904">
        <f t="shared" si="35"/>
        <v>12</v>
      </c>
      <c r="C77" s="3487" t="s">
        <v>4070</v>
      </c>
      <c r="D77" s="3488"/>
      <c r="E77" s="3488"/>
      <c r="F77" s="3488"/>
      <c r="G77" s="3488"/>
      <c r="H77" s="3488"/>
      <c r="I77" s="3488"/>
      <c r="J77" s="3488"/>
      <c r="K77" s="3488"/>
      <c r="L77" s="3488"/>
      <c r="M77" s="3488"/>
      <c r="N77" s="3488"/>
      <c r="O77" s="3489"/>
      <c r="P77" s="1014"/>
      <c r="Q77" s="1014"/>
      <c r="R77" s="1014"/>
      <c r="S77" s="1014"/>
      <c r="T77" s="1787"/>
      <c r="U77" s="1014"/>
      <c r="V77" s="1014"/>
      <c r="W77" s="1014"/>
      <c r="X77" s="1014"/>
      <c r="Y77" s="1014"/>
      <c r="Z77" s="1014"/>
      <c r="AA77" s="1014"/>
    </row>
    <row r="78" spans="1:27" ht="30" hidden="1" customHeight="1">
      <c r="A78" s="1696"/>
      <c r="B78" s="1904">
        <f t="shared" si="35"/>
        <v>13</v>
      </c>
      <c r="C78" s="3487" t="s">
        <v>4071</v>
      </c>
      <c r="D78" s="3488"/>
      <c r="E78" s="3488"/>
      <c r="F78" s="3488"/>
      <c r="G78" s="3488"/>
      <c r="H78" s="3488"/>
      <c r="I78" s="3488"/>
      <c r="J78" s="3488"/>
      <c r="K78" s="3488"/>
      <c r="L78" s="3488"/>
      <c r="M78" s="3488"/>
      <c r="N78" s="3488"/>
      <c r="O78" s="3489"/>
      <c r="P78" s="1014"/>
      <c r="Q78" s="1014"/>
      <c r="R78" s="1014"/>
      <c r="S78" s="1014"/>
      <c r="T78" s="1787"/>
      <c r="U78" s="1014"/>
      <c r="V78" s="1014"/>
      <c r="W78" s="1014"/>
      <c r="X78" s="1014"/>
      <c r="Y78" s="1014"/>
      <c r="Z78" s="1014"/>
      <c r="AA78" s="1014"/>
    </row>
    <row r="79" spans="1:27" ht="14.25" hidden="1" customHeight="1">
      <c r="A79" s="1696"/>
      <c r="B79" s="1904">
        <f t="shared" si="35"/>
        <v>14</v>
      </c>
      <c r="C79" s="3487" t="s">
        <v>12941</v>
      </c>
      <c r="D79" s="3488"/>
      <c r="E79" s="3488"/>
      <c r="F79" s="3488"/>
      <c r="G79" s="3488"/>
      <c r="H79" s="3488"/>
      <c r="I79" s="3488"/>
      <c r="J79" s="3488"/>
      <c r="K79" s="3488"/>
      <c r="L79" s="3488"/>
      <c r="M79" s="3488"/>
      <c r="N79" s="3488"/>
      <c r="O79" s="3489"/>
      <c r="P79" s="1014"/>
      <c r="Q79" s="1014"/>
      <c r="R79" s="1014"/>
      <c r="S79" s="1014"/>
      <c r="T79" s="1787"/>
      <c r="U79" s="1014"/>
      <c r="V79" s="1014"/>
      <c r="W79" s="1014"/>
      <c r="X79" s="1014"/>
      <c r="Y79" s="1014"/>
      <c r="Z79" s="1014"/>
      <c r="AA79" s="1014"/>
    </row>
    <row r="80" spans="1:27" ht="14.25" hidden="1" customHeight="1">
      <c r="A80" s="1696"/>
      <c r="B80" s="1904">
        <f t="shared" si="35"/>
        <v>15</v>
      </c>
      <c r="C80" s="3487" t="s">
        <v>12942</v>
      </c>
      <c r="D80" s="3488"/>
      <c r="E80" s="3488"/>
      <c r="F80" s="3488"/>
      <c r="G80" s="3488"/>
      <c r="H80" s="3488"/>
      <c r="I80" s="3488"/>
      <c r="J80" s="3488"/>
      <c r="K80" s="3488"/>
      <c r="L80" s="3488"/>
      <c r="M80" s="3488"/>
      <c r="N80" s="3488"/>
      <c r="O80" s="3489"/>
      <c r="P80" s="1014"/>
      <c r="Q80" s="1014"/>
      <c r="R80" s="1014"/>
      <c r="S80" s="1014"/>
      <c r="T80" s="1787"/>
      <c r="U80" s="1014"/>
      <c r="V80" s="1014"/>
      <c r="W80" s="1014"/>
      <c r="X80" s="1014"/>
      <c r="Y80" s="1014"/>
      <c r="Z80" s="1014"/>
      <c r="AA80" s="1014"/>
    </row>
    <row r="81" spans="1:27" ht="44.65" hidden="1" customHeight="1">
      <c r="A81" s="1696"/>
      <c r="B81" s="1904">
        <f t="shared" si="35"/>
        <v>16</v>
      </c>
      <c r="C81" s="3487" t="s">
        <v>4072</v>
      </c>
      <c r="D81" s="3488"/>
      <c r="E81" s="3488"/>
      <c r="F81" s="3488"/>
      <c r="G81" s="3488"/>
      <c r="H81" s="3488"/>
      <c r="I81" s="3488"/>
      <c r="J81" s="3488"/>
      <c r="K81" s="3488"/>
      <c r="L81" s="3488"/>
      <c r="M81" s="3488"/>
      <c r="N81" s="3488"/>
      <c r="O81" s="3489"/>
      <c r="P81" s="1014"/>
      <c r="Q81" s="1014"/>
      <c r="R81" s="1014"/>
      <c r="S81" s="1014"/>
      <c r="T81" s="1787"/>
      <c r="U81" s="1014"/>
      <c r="V81" s="1014"/>
      <c r="W81" s="1014"/>
      <c r="X81" s="1014"/>
      <c r="Y81" s="1014"/>
      <c r="Z81" s="1014"/>
      <c r="AA81" s="1014"/>
    </row>
    <row r="82" spans="1:27" ht="14.25" hidden="1" customHeight="1">
      <c r="A82" s="1696"/>
      <c r="B82" s="1904">
        <f t="shared" si="35"/>
        <v>17</v>
      </c>
      <c r="C82" s="3487" t="s">
        <v>12943</v>
      </c>
      <c r="D82" s="3488"/>
      <c r="E82" s="3488"/>
      <c r="F82" s="3488"/>
      <c r="G82" s="3488"/>
      <c r="H82" s="3488"/>
      <c r="I82" s="3488"/>
      <c r="J82" s="3488"/>
      <c r="K82" s="3488"/>
      <c r="L82" s="3488"/>
      <c r="M82" s="3488"/>
      <c r="N82" s="3488"/>
      <c r="O82" s="3489"/>
      <c r="P82" s="1014"/>
      <c r="Q82" s="1014"/>
      <c r="R82" s="1014"/>
      <c r="S82" s="1014"/>
      <c r="T82" s="1787"/>
      <c r="U82" s="1014"/>
      <c r="V82" s="1014"/>
      <c r="W82" s="1014"/>
      <c r="X82" s="1014"/>
      <c r="Y82" s="1014"/>
      <c r="Z82" s="1014"/>
      <c r="AA82" s="1014"/>
    </row>
    <row r="83" spans="1:27" ht="14.25" hidden="1" customHeight="1">
      <c r="A83" s="1696"/>
      <c r="B83" s="1904">
        <f t="shared" si="35"/>
        <v>18</v>
      </c>
      <c r="C83" s="3487" t="s">
        <v>4087</v>
      </c>
      <c r="D83" s="3488"/>
      <c r="E83" s="3488"/>
      <c r="F83" s="3488"/>
      <c r="G83" s="3488"/>
      <c r="H83" s="3488"/>
      <c r="I83" s="3488"/>
      <c r="J83" s="3488"/>
      <c r="K83" s="3488"/>
      <c r="L83" s="3488"/>
      <c r="M83" s="3488"/>
      <c r="N83" s="3488"/>
      <c r="O83" s="3489"/>
      <c r="P83" s="1014"/>
      <c r="Q83" s="1014"/>
      <c r="R83" s="1014"/>
      <c r="S83" s="1014"/>
      <c r="T83" s="1787"/>
      <c r="U83" s="1014"/>
      <c r="V83" s="1014"/>
      <c r="W83" s="1014"/>
      <c r="X83" s="1014"/>
      <c r="Y83" s="1014"/>
      <c r="Z83" s="1014"/>
      <c r="AA83" s="1014"/>
    </row>
    <row r="84" spans="1:27" ht="14.25" hidden="1" customHeight="1">
      <c r="A84" s="1696"/>
      <c r="B84" s="1904">
        <f t="shared" si="35"/>
        <v>19</v>
      </c>
      <c r="C84" s="3487" t="s">
        <v>12944</v>
      </c>
      <c r="D84" s="3488"/>
      <c r="E84" s="3488"/>
      <c r="F84" s="3488"/>
      <c r="G84" s="3488"/>
      <c r="H84" s="3488"/>
      <c r="I84" s="3488"/>
      <c r="J84" s="3488"/>
      <c r="K84" s="3488"/>
      <c r="L84" s="3488"/>
      <c r="M84" s="3488"/>
      <c r="N84" s="3488"/>
      <c r="O84" s="3489"/>
      <c r="P84" s="1014"/>
      <c r="Q84" s="1014"/>
      <c r="R84" s="1014"/>
      <c r="S84" s="1014"/>
      <c r="T84" s="1787"/>
      <c r="U84" s="1014"/>
      <c r="V84" s="1014"/>
      <c r="W84" s="1014"/>
      <c r="X84" s="1014"/>
      <c r="Y84" s="1014"/>
      <c r="Z84" s="1014"/>
      <c r="AA84" s="1014"/>
    </row>
    <row r="85" spans="1:27" ht="14.25" hidden="1" customHeight="1">
      <c r="A85" s="1696"/>
      <c r="B85" s="1904">
        <f t="shared" si="35"/>
        <v>20</v>
      </c>
      <c r="C85" s="3487" t="s">
        <v>4088</v>
      </c>
      <c r="D85" s="3488"/>
      <c r="E85" s="3488"/>
      <c r="F85" s="3488"/>
      <c r="G85" s="3488"/>
      <c r="H85" s="3488"/>
      <c r="I85" s="3488"/>
      <c r="J85" s="3488"/>
      <c r="K85" s="3488"/>
      <c r="L85" s="3488"/>
      <c r="M85" s="3488"/>
      <c r="N85" s="3488"/>
      <c r="O85" s="3489"/>
      <c r="P85" s="1014"/>
      <c r="Q85" s="1014"/>
      <c r="R85" s="1014"/>
      <c r="S85" s="1014"/>
      <c r="T85" s="1787"/>
      <c r="U85" s="1014"/>
      <c r="V85" s="1014"/>
      <c r="W85" s="1014"/>
      <c r="X85" s="1014"/>
      <c r="Y85" s="1014"/>
      <c r="Z85" s="1014"/>
      <c r="AA85" s="1014"/>
    </row>
    <row r="86" spans="1:27" ht="14.25" hidden="1" customHeight="1">
      <c r="A86" s="1696"/>
      <c r="B86" s="1904">
        <f t="shared" si="35"/>
        <v>21</v>
      </c>
      <c r="C86" s="3487" t="s">
        <v>12945</v>
      </c>
      <c r="D86" s="3488"/>
      <c r="E86" s="3488"/>
      <c r="F86" s="3488"/>
      <c r="G86" s="3488"/>
      <c r="H86" s="3488"/>
      <c r="I86" s="3488"/>
      <c r="J86" s="3488"/>
      <c r="K86" s="3488"/>
      <c r="L86" s="3488"/>
      <c r="M86" s="3488"/>
      <c r="N86" s="3488"/>
      <c r="O86" s="3489"/>
      <c r="P86" s="1014"/>
      <c r="Q86" s="1014"/>
      <c r="R86" s="1014"/>
      <c r="S86" s="1014"/>
      <c r="T86" s="1787"/>
      <c r="U86" s="1014"/>
      <c r="V86" s="1014"/>
      <c r="W86" s="1014"/>
      <c r="X86" s="1014"/>
      <c r="Y86" s="1014"/>
      <c r="Z86" s="1014"/>
      <c r="AA86" s="1014"/>
    </row>
    <row r="87" spans="1:27" ht="14.25" hidden="1" customHeight="1">
      <c r="A87" s="1696"/>
      <c r="B87" s="1904">
        <f t="shared" si="35"/>
        <v>22</v>
      </c>
      <c r="C87" s="3487" t="s">
        <v>2612</v>
      </c>
      <c r="D87" s="3488"/>
      <c r="E87" s="3488"/>
      <c r="F87" s="3488"/>
      <c r="G87" s="3488"/>
      <c r="H87" s="3488"/>
      <c r="I87" s="3488"/>
      <c r="J87" s="3488"/>
      <c r="K87" s="3488"/>
      <c r="L87" s="3488"/>
      <c r="M87" s="3488"/>
      <c r="N87" s="3488"/>
      <c r="O87" s="3489"/>
      <c r="P87" s="1014"/>
      <c r="Q87" s="1014"/>
      <c r="R87" s="1014"/>
      <c r="S87" s="1014"/>
      <c r="T87" s="1787"/>
      <c r="U87" s="1014"/>
      <c r="V87" s="1014"/>
      <c r="W87" s="1014"/>
      <c r="X87" s="1014"/>
      <c r="Y87" s="1014"/>
      <c r="Z87" s="1014"/>
      <c r="AA87" s="1014"/>
    </row>
    <row r="88" spans="1:27" ht="14.25" hidden="1" customHeight="1">
      <c r="A88" s="1696"/>
      <c r="B88" s="1904">
        <f t="shared" si="35"/>
        <v>23</v>
      </c>
      <c r="C88" s="3487" t="s">
        <v>2613</v>
      </c>
      <c r="D88" s="3488"/>
      <c r="E88" s="3488"/>
      <c r="F88" s="3488"/>
      <c r="G88" s="3488"/>
      <c r="H88" s="3488"/>
      <c r="I88" s="3488"/>
      <c r="J88" s="3488"/>
      <c r="K88" s="3488"/>
      <c r="L88" s="3488"/>
      <c r="M88" s="3488"/>
      <c r="N88" s="3488"/>
      <c r="O88" s="3489"/>
      <c r="P88" s="1014"/>
      <c r="Q88" s="1014"/>
      <c r="R88" s="1014"/>
      <c r="S88" s="1014"/>
      <c r="T88" s="1787"/>
      <c r="U88" s="1014"/>
      <c r="V88" s="1014"/>
      <c r="W88" s="1014"/>
      <c r="X88" s="1014"/>
      <c r="Y88" s="1014"/>
      <c r="Z88" s="1014"/>
      <c r="AA88" s="1014"/>
    </row>
    <row r="89" spans="1:27" ht="14.25" hidden="1" customHeight="1">
      <c r="A89" s="1696"/>
      <c r="B89" s="1905">
        <f t="shared" si="35"/>
        <v>24</v>
      </c>
      <c r="C89" s="3487" t="s">
        <v>12946</v>
      </c>
      <c r="D89" s="3488"/>
      <c r="E89" s="3488"/>
      <c r="F89" s="3488"/>
      <c r="G89" s="3488"/>
      <c r="H89" s="3488"/>
      <c r="I89" s="3488"/>
      <c r="J89" s="3488"/>
      <c r="K89" s="3488"/>
      <c r="L89" s="3488"/>
      <c r="M89" s="3488"/>
      <c r="N89" s="3488"/>
      <c r="O89" s="3489"/>
      <c r="P89" s="1014"/>
      <c r="Q89" s="1014"/>
      <c r="R89" s="1014"/>
      <c r="S89" s="1014"/>
      <c r="T89" s="1787"/>
      <c r="U89" s="1014"/>
      <c r="V89" s="1014"/>
      <c r="W89" s="1014"/>
      <c r="X89" s="1014"/>
      <c r="Y89" s="1014"/>
      <c r="Z89" s="1014"/>
      <c r="AA89" s="1014"/>
    </row>
    <row r="90" spans="1:27" ht="27" hidden="1" customHeight="1">
      <c r="A90" s="1696"/>
      <c r="B90" s="1907" t="s">
        <v>11715</v>
      </c>
      <c r="C90" s="3487" t="s">
        <v>12785</v>
      </c>
      <c r="D90" s="3488"/>
      <c r="E90" s="3488"/>
      <c r="F90" s="3488"/>
      <c r="G90" s="3488"/>
      <c r="H90" s="3488"/>
      <c r="I90" s="3488"/>
      <c r="J90" s="3488"/>
      <c r="K90" s="3488"/>
      <c r="L90" s="3488"/>
      <c r="M90" s="3488"/>
      <c r="N90" s="3488"/>
      <c r="O90" s="3489"/>
      <c r="P90" s="1014"/>
      <c r="Q90" s="1014"/>
      <c r="R90" s="1014"/>
      <c r="S90" s="1014"/>
      <c r="T90" s="1787"/>
      <c r="U90" s="1014"/>
      <c r="V90" s="1014"/>
      <c r="W90" s="1014"/>
      <c r="X90" s="1014"/>
      <c r="Y90" s="1014"/>
      <c r="Z90" s="1014"/>
      <c r="AA90" s="1014"/>
    </row>
    <row r="91" spans="1:27" ht="14.25" hidden="1" customHeight="1">
      <c r="A91" s="1696"/>
      <c r="B91" s="1905">
        <v>35</v>
      </c>
      <c r="C91" s="3487" t="s">
        <v>12947</v>
      </c>
      <c r="D91" s="3488"/>
      <c r="E91" s="3488"/>
      <c r="F91" s="3488"/>
      <c r="G91" s="3488"/>
      <c r="H91" s="3488"/>
      <c r="I91" s="3488"/>
      <c r="J91" s="3488"/>
      <c r="K91" s="3488"/>
      <c r="L91" s="3488"/>
      <c r="M91" s="3488"/>
      <c r="N91" s="3488"/>
      <c r="O91" s="3489"/>
      <c r="P91" s="1014"/>
      <c r="Q91" s="1014"/>
      <c r="R91" s="1014"/>
      <c r="S91" s="1014"/>
      <c r="T91" s="1787"/>
      <c r="U91" s="1014"/>
      <c r="V91" s="1014"/>
      <c r="W91" s="1014"/>
      <c r="X91" s="1014"/>
      <c r="Y91" s="1014"/>
      <c r="Z91" s="1014"/>
      <c r="AA91" s="1014"/>
    </row>
    <row r="92" spans="1:27" ht="15" hidden="1" customHeight="1" thickBot="1">
      <c r="A92" s="1696"/>
      <c r="B92" s="1906">
        <v>36</v>
      </c>
      <c r="C92" s="3487" t="s">
        <v>12948</v>
      </c>
      <c r="D92" s="3488"/>
      <c r="E92" s="3488"/>
      <c r="F92" s="3488"/>
      <c r="G92" s="3488"/>
      <c r="H92" s="3488"/>
      <c r="I92" s="3488"/>
      <c r="J92" s="3488"/>
      <c r="K92" s="3488"/>
      <c r="L92" s="3488"/>
      <c r="M92" s="3488"/>
      <c r="N92" s="3488"/>
      <c r="O92" s="3489"/>
      <c r="P92" s="1014"/>
      <c r="Q92" s="1014"/>
      <c r="R92" s="1014"/>
      <c r="S92" s="1014"/>
      <c r="T92" s="1787"/>
      <c r="U92" s="1014"/>
      <c r="V92" s="1014"/>
      <c r="W92" s="1014"/>
      <c r="X92" s="1014"/>
      <c r="Y92" s="1014"/>
      <c r="Z92" s="1014"/>
      <c r="AA92" s="1014"/>
    </row>
    <row r="93" spans="1:27" hidden="1">
      <c r="A93" s="1696"/>
      <c r="B93" s="933"/>
      <c r="C93" s="933"/>
      <c r="D93" s="933"/>
      <c r="E93" s="933"/>
      <c r="F93" s="933"/>
      <c r="G93" s="933"/>
      <c r="H93" s="933"/>
      <c r="I93" s="933"/>
      <c r="J93" s="933"/>
      <c r="K93" s="933"/>
      <c r="L93" s="933"/>
      <c r="M93" s="933"/>
      <c r="N93" s="933"/>
      <c r="O93" s="933"/>
      <c r="P93" s="933"/>
      <c r="Q93" s="933"/>
      <c r="R93" s="933"/>
      <c r="S93" s="933"/>
      <c r="T93" s="1787"/>
      <c r="U93" s="933"/>
      <c r="V93" s="933"/>
      <c r="W93" s="933"/>
      <c r="X93" s="933"/>
      <c r="Y93" s="933"/>
      <c r="Z93" s="933"/>
      <c r="AA93" s="933"/>
    </row>
    <row r="94" spans="1:27">
      <c r="B94" s="1042" t="s">
        <v>4089</v>
      </c>
      <c r="C94" s="1043"/>
      <c r="D94" s="1043"/>
      <c r="E94" s="1024"/>
      <c r="F94" s="1043"/>
      <c r="G94" s="1043"/>
      <c r="H94" s="1043"/>
      <c r="I94" s="1043"/>
      <c r="J94" s="1044"/>
      <c r="K94" s="1044"/>
      <c r="L94" s="1044"/>
      <c r="M94" s="1045"/>
      <c r="N94" s="1045"/>
      <c r="O94" s="1045"/>
      <c r="P94" s="1045"/>
      <c r="Q94" s="1045"/>
      <c r="R94" s="1045"/>
      <c r="S94" s="1045"/>
      <c r="T94" s="1788"/>
      <c r="U94" s="1045"/>
      <c r="V94" s="1045"/>
      <c r="W94" s="1045"/>
      <c r="X94" s="1045"/>
      <c r="Y94" s="1045"/>
      <c r="Z94" s="1045"/>
      <c r="AA94" s="1045"/>
    </row>
    <row r="95" spans="1:27" ht="15" thickBot="1">
      <c r="B95" s="933"/>
      <c r="C95" s="933"/>
      <c r="D95" s="933"/>
      <c r="E95" s="933"/>
      <c r="F95" s="933"/>
      <c r="G95" s="933"/>
      <c r="H95" s="933"/>
      <c r="I95" s="933"/>
      <c r="J95" s="933"/>
      <c r="K95" s="933"/>
      <c r="L95" s="933"/>
      <c r="M95" s="933"/>
      <c r="N95" s="933"/>
      <c r="O95" s="933"/>
      <c r="P95" s="933"/>
      <c r="Q95" s="933"/>
      <c r="R95" s="933"/>
      <c r="S95" s="933"/>
      <c r="T95" s="1787"/>
      <c r="U95" s="933"/>
      <c r="V95" s="933"/>
      <c r="W95" s="933"/>
      <c r="X95" s="933"/>
      <c r="Y95" s="933"/>
      <c r="Z95" s="933"/>
      <c r="AA95" s="933"/>
    </row>
    <row r="96" spans="1:27" ht="15" customHeight="1" thickBot="1">
      <c r="B96" s="3448" t="s">
        <v>6510</v>
      </c>
      <c r="C96" s="3471"/>
      <c r="D96" s="3471"/>
      <c r="E96" s="3471"/>
      <c r="F96" s="3471"/>
      <c r="G96" s="3471"/>
      <c r="H96" s="3471"/>
      <c r="I96" s="3471"/>
      <c r="J96" s="3471"/>
      <c r="K96" s="3471"/>
      <c r="L96" s="3471"/>
      <c r="M96" s="3471"/>
      <c r="N96" s="3471"/>
      <c r="O96" s="3472"/>
      <c r="P96" s="933"/>
      <c r="Q96" s="933"/>
      <c r="R96" s="933"/>
      <c r="S96" s="933"/>
      <c r="T96" s="933"/>
      <c r="U96" s="933"/>
      <c r="V96" s="933"/>
      <c r="W96" s="933"/>
      <c r="X96" s="933"/>
      <c r="Y96" s="933"/>
      <c r="Z96" s="933"/>
      <c r="AA96" s="933"/>
    </row>
    <row r="97"/>
  </sheetData>
  <mergeCells count="49">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 ref="C70:O70"/>
    <mergeCell ref="C71:O71"/>
    <mergeCell ref="C72:O72"/>
    <mergeCell ref="C73:O73"/>
    <mergeCell ref="B63:O63"/>
    <mergeCell ref="C65:O65"/>
    <mergeCell ref="C66:O66"/>
    <mergeCell ref="C67:O67"/>
    <mergeCell ref="C68:O68"/>
    <mergeCell ref="R3:R4"/>
    <mergeCell ref="B3:C4"/>
    <mergeCell ref="E3:E4"/>
    <mergeCell ref="F3:F4"/>
    <mergeCell ref="G3:I3"/>
    <mergeCell ref="J3:K3"/>
    <mergeCell ref="L3:N3"/>
    <mergeCell ref="O3:O4"/>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s>
  <conditionalFormatting sqref="R22">
    <cfRule type="cellIs" dxfId="140" priority="25" operator="equal">
      <formula>0</formula>
    </cfRule>
  </conditionalFormatting>
  <conditionalFormatting sqref="R23:R26">
    <cfRule type="cellIs" dxfId="139" priority="23" operator="equal">
      <formula>0</formula>
    </cfRule>
  </conditionalFormatting>
  <conditionalFormatting sqref="R18">
    <cfRule type="cellIs" dxfId="138" priority="21" operator="equal">
      <formula>0</formula>
    </cfRule>
  </conditionalFormatting>
  <conditionalFormatting sqref="R12:R15">
    <cfRule type="cellIs" dxfId="137" priority="19" operator="equal">
      <formula>0</formula>
    </cfRule>
  </conditionalFormatting>
  <conditionalFormatting sqref="R7:R10">
    <cfRule type="cellIs" dxfId="136" priority="17" operator="equal">
      <formula>0</formula>
    </cfRule>
  </conditionalFormatting>
  <conditionalFormatting sqref="R28">
    <cfRule type="cellIs" dxfId="135" priority="15" operator="equal">
      <formula>0</formula>
    </cfRule>
  </conditionalFormatting>
  <conditionalFormatting sqref="R30">
    <cfRule type="cellIs" dxfId="134" priority="13" operator="equal">
      <formula>0</formula>
    </cfRule>
  </conditionalFormatting>
  <conditionalFormatting sqref="R34:R35">
    <cfRule type="cellIs" dxfId="133" priority="11" operator="equal">
      <formula>0</formula>
    </cfRule>
  </conditionalFormatting>
  <conditionalFormatting sqref="R39:R49">
    <cfRule type="cellIs" dxfId="132" priority="9" operator="equal">
      <formula>0</formula>
    </cfRule>
  </conditionalFormatting>
  <conditionalFormatting sqref="R52">
    <cfRule type="cellIs" dxfId="131" priority="7" operator="equal">
      <formula>0</formula>
    </cfRule>
  </conditionalFormatting>
  <conditionalFormatting sqref="R39:R49">
    <cfRule type="cellIs" dxfId="130"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G12:P16 G18:P19 G34:P36 G52:O52 G22:P31 G39:P49 G7:P10</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42.xml><?xml version="1.0" encoding="utf-8"?>
<worksheet xmlns="http://schemas.openxmlformats.org/spreadsheetml/2006/main" xmlns:r="http://schemas.openxmlformats.org/officeDocument/2006/relationships">
  <sheetPr codeName="Sheet39">
    <pageSetUpPr fitToPage="1"/>
  </sheetPr>
  <dimension ref="A1:BP86"/>
  <sheetViews>
    <sheetView workbookViewId="0"/>
  </sheetViews>
  <sheetFormatPr defaultColWidth="0" defaultRowHeight="14.25" zeroHeight="1"/>
  <cols>
    <col min="1" max="1" width="1.25" style="928" customWidth="1"/>
    <col min="2" max="2" width="5.125" style="928" customWidth="1"/>
    <col min="3" max="3" width="84.125" style="928" customWidth="1"/>
    <col min="4" max="4" width="7.5" style="928" hidden="1" customWidth="1"/>
    <col min="5" max="6" width="5.625" style="928" customWidth="1"/>
    <col min="7" max="7" width="11.125" style="928" customWidth="1"/>
    <col min="8" max="20" width="11.5" style="928" customWidth="1"/>
    <col min="21" max="21" width="29.625" style="928" customWidth="1"/>
    <col min="22" max="22" width="1.625" style="928" customWidth="1"/>
    <col min="23" max="23" width="29.625" style="928" customWidth="1"/>
    <col min="24" max="24" width="1.625" style="928" customWidth="1"/>
    <col min="25" max="25" width="1.625" style="1772" hidden="1" customWidth="1"/>
    <col min="26" max="27" width="3.125" style="928" hidden="1" customWidth="1"/>
    <col min="28" max="39" width="3.625" style="928" hidden="1" customWidth="1"/>
    <col min="40" max="40" width="1.625" style="1772" hidden="1" customWidth="1"/>
    <col min="41" max="41" width="11.625" style="928" hidden="1" customWidth="1"/>
    <col min="42" max="42" width="1.625" style="1772" hidden="1" customWidth="1"/>
    <col min="43" max="43" width="13.625" style="928" hidden="1" customWidth="1"/>
    <col min="44" max="44" width="11.125" style="928" hidden="1" customWidth="1"/>
    <col min="45" max="45" width="67.125" style="928" hidden="1" customWidth="1"/>
    <col min="46" max="46" width="1.625" style="72" hidden="1" customWidth="1"/>
    <col min="47" max="47" width="4.625" style="71" customWidth="1"/>
    <col min="48" max="48" width="8.625" style="928" hidden="1" customWidth="1"/>
    <col min="49" max="49" width="5.625" style="928" customWidth="1"/>
    <col min="50" max="50" width="83" style="928" customWidth="1"/>
    <col min="51" max="51" width="0.25" style="928" customWidth="1"/>
    <col min="52" max="53" width="11.5" style="928" customWidth="1"/>
    <col min="54" max="54" width="12.625" style="928" customWidth="1"/>
    <col min="55" max="57" width="13.625" style="928" customWidth="1"/>
    <col min="58" max="58" width="12.5" style="928" customWidth="1"/>
    <col min="59" max="59" width="13.625" style="928" customWidth="1"/>
    <col min="60" max="60" width="12.125" style="928" customWidth="1"/>
    <col min="61" max="61" width="16.125" style="928" customWidth="1"/>
    <col min="62" max="62" width="17.625" style="928" customWidth="1"/>
    <col min="63" max="63" width="17.125" style="928" customWidth="1"/>
    <col min="64" max="64" width="17.625" style="928" customWidth="1"/>
    <col min="65" max="65" width="16.125" style="928" customWidth="1"/>
    <col min="66" max="66" width="17.5" style="928" customWidth="1"/>
    <col min="67" max="67" width="15.625" style="928" customWidth="1"/>
    <col min="68" max="68" width="3.5" style="928" customWidth="1"/>
    <col min="69" max="16384" width="11.125" style="928" hidden="1"/>
  </cols>
  <sheetData>
    <row r="1" spans="1:68" ht="18.75">
      <c r="B1" s="67" t="s">
        <v>4090</v>
      </c>
      <c r="C1" s="67"/>
      <c r="D1" s="67"/>
      <c r="E1" s="67"/>
      <c r="F1" s="67"/>
      <c r="G1" s="67"/>
      <c r="H1" s="67"/>
      <c r="I1" s="67"/>
      <c r="J1" s="67"/>
      <c r="K1" s="67"/>
      <c r="L1" s="67"/>
      <c r="M1" s="67"/>
      <c r="N1" s="67"/>
      <c r="O1" s="67"/>
      <c r="P1" s="67"/>
      <c r="Q1" s="67"/>
      <c r="R1" s="67"/>
      <c r="S1" s="67"/>
      <c r="T1" s="67"/>
      <c r="U1" s="69" t="str">
        <f>Validation!B3</f>
        <v>South West Water – South West area</v>
      </c>
      <c r="V1" s="67"/>
      <c r="W1" s="70" t="s">
        <v>2394</v>
      </c>
      <c r="Y1" s="72"/>
      <c r="Z1" s="200"/>
      <c r="AA1" s="200"/>
      <c r="AB1" s="71"/>
      <c r="AC1" s="71"/>
      <c r="AD1" s="71"/>
      <c r="AE1" s="71"/>
      <c r="AF1" s="71"/>
      <c r="AG1" s="71"/>
      <c r="AH1" s="71"/>
      <c r="AI1" s="71"/>
      <c r="AJ1" s="71"/>
      <c r="AK1" s="71"/>
      <c r="AL1" s="71"/>
      <c r="AM1" s="71"/>
      <c r="AN1" s="72"/>
      <c r="AT1" s="1772"/>
      <c r="AU1" s="928"/>
      <c r="AW1" s="67" t="s">
        <v>4090</v>
      </c>
      <c r="AX1" s="67"/>
      <c r="AY1" s="67"/>
      <c r="AZ1" s="67"/>
      <c r="BA1" s="67"/>
      <c r="BB1" s="67"/>
      <c r="BC1" s="67"/>
      <c r="BD1" s="67"/>
      <c r="BE1" s="67"/>
      <c r="BF1" s="67"/>
      <c r="BG1" s="67"/>
      <c r="BH1" s="67"/>
      <c r="BI1" s="67"/>
      <c r="BJ1" s="67"/>
      <c r="BK1" s="67"/>
      <c r="BL1" s="67"/>
      <c r="BM1" s="67"/>
      <c r="BN1" s="67"/>
      <c r="BO1" s="67"/>
    </row>
    <row r="2" spans="1:68" s="1507" customFormat="1" ht="15.75" thickBot="1">
      <c r="B2" s="74" t="s">
        <v>12524</v>
      </c>
      <c r="C2" s="1517"/>
      <c r="D2" s="1517"/>
      <c r="U2" s="1518"/>
      <c r="V2" s="1509"/>
      <c r="W2" s="1509"/>
      <c r="Y2" s="1519"/>
      <c r="Z2" s="1806"/>
      <c r="AA2" s="1806"/>
      <c r="AB2" s="1509"/>
      <c r="AC2" s="1509"/>
      <c r="AD2" s="1509"/>
      <c r="AE2" s="1509"/>
      <c r="AF2" s="1509"/>
      <c r="AG2" s="1509"/>
      <c r="AH2" s="1509"/>
      <c r="AI2" s="1509"/>
      <c r="AJ2" s="1509"/>
      <c r="AK2" s="1509"/>
      <c r="AL2" s="1509"/>
      <c r="AM2" s="1509"/>
      <c r="AN2" s="1519"/>
      <c r="AP2" s="1785"/>
      <c r="AT2" s="1785"/>
      <c r="AW2" s="74" t="str">
        <f>+B2</f>
        <v>For the 12 months ended 31 March 2019</v>
      </c>
      <c r="AX2" s="1517"/>
      <c r="AY2" s="1517"/>
    </row>
    <row r="3" spans="1:68" s="200" customFormat="1" ht="15" customHeight="1" thickBot="1">
      <c r="A3" s="928"/>
      <c r="B3" s="3467" t="s">
        <v>2395</v>
      </c>
      <c r="C3" s="3468"/>
      <c r="D3" s="3529" t="s">
        <v>6495</v>
      </c>
      <c r="E3" s="3529" t="s">
        <v>2396</v>
      </c>
      <c r="F3" s="3532" t="s">
        <v>2397</v>
      </c>
      <c r="G3" s="3535" t="s">
        <v>6204</v>
      </c>
      <c r="H3" s="3536"/>
      <c r="I3" s="3536"/>
      <c r="J3" s="3536"/>
      <c r="K3" s="3536"/>
      <c r="L3" s="3536"/>
      <c r="M3" s="3536"/>
      <c r="N3" s="3535" t="s">
        <v>6205</v>
      </c>
      <c r="O3" s="3536"/>
      <c r="P3" s="3536"/>
      <c r="Q3" s="3536"/>
      <c r="R3" s="3536"/>
      <c r="S3" s="3536"/>
      <c r="T3" s="3537"/>
      <c r="U3" s="3213" t="s">
        <v>4047</v>
      </c>
      <c r="V3" s="71"/>
      <c r="W3" s="3213" t="s">
        <v>1361</v>
      </c>
      <c r="Y3" s="72"/>
      <c r="AB3" s="77" t="s">
        <v>2404</v>
      </c>
      <c r="AC3" s="714"/>
      <c r="AD3" s="714"/>
      <c r="AE3" s="714"/>
      <c r="AF3" s="714"/>
      <c r="AG3" s="714"/>
      <c r="AH3" s="714"/>
      <c r="AI3" s="714"/>
      <c r="AJ3" s="714"/>
      <c r="AK3" s="714"/>
      <c r="AL3" s="714"/>
      <c r="AM3"/>
      <c r="AN3" s="72"/>
      <c r="AO3" s="98" t="s">
        <v>2390</v>
      </c>
      <c r="AP3" s="72"/>
      <c r="AQ3" s="77" t="s">
        <v>2578</v>
      </c>
      <c r="AR3" s="78"/>
      <c r="AS3" s="78"/>
      <c r="AT3" s="72"/>
      <c r="AW3" s="1048" t="s">
        <v>2395</v>
      </c>
      <c r="AX3" s="1049"/>
      <c r="AY3" s="1050" t="s">
        <v>6495</v>
      </c>
      <c r="AZ3" s="1050" t="s">
        <v>2396</v>
      </c>
      <c r="BA3" s="1050" t="s">
        <v>2397</v>
      </c>
      <c r="BB3" s="3506" t="s">
        <v>6204</v>
      </c>
      <c r="BC3" s="3507"/>
      <c r="BD3" s="3507"/>
      <c r="BE3" s="3507"/>
      <c r="BF3" s="3507"/>
      <c r="BG3" s="3507"/>
      <c r="BH3" s="3507"/>
      <c r="BI3" s="3506" t="s">
        <v>6205</v>
      </c>
      <c r="BJ3" s="3507"/>
      <c r="BK3" s="3507"/>
      <c r="BL3" s="3507"/>
      <c r="BM3" s="3507"/>
      <c r="BN3" s="3507"/>
      <c r="BO3" s="3508"/>
    </row>
    <row r="4" spans="1:68" s="200" customFormat="1" ht="15" customHeight="1" thickBot="1">
      <c r="A4" s="928"/>
      <c r="B4" s="3527"/>
      <c r="C4" s="3528"/>
      <c r="D4" s="3530"/>
      <c r="E4" s="3530"/>
      <c r="F4" s="3533"/>
      <c r="G4" s="3231" t="s">
        <v>2746</v>
      </c>
      <c r="H4" s="3233"/>
      <c r="I4" s="3231" t="s">
        <v>3673</v>
      </c>
      <c r="J4" s="3232"/>
      <c r="K4" s="3232"/>
      <c r="L4" s="3233"/>
      <c r="M4" s="3213" t="s">
        <v>2554</v>
      </c>
      <c r="N4" s="3231" t="s">
        <v>2746</v>
      </c>
      <c r="O4" s="3233"/>
      <c r="P4" s="3231" t="s">
        <v>3673</v>
      </c>
      <c r="Q4" s="3232"/>
      <c r="R4" s="3232"/>
      <c r="S4" s="3233"/>
      <c r="T4" s="3213" t="s">
        <v>2554</v>
      </c>
      <c r="U4" s="3239"/>
      <c r="V4" s="71"/>
      <c r="W4" s="3239"/>
      <c r="Y4" s="72"/>
      <c r="AB4" s="663"/>
      <c r="AC4"/>
      <c r="AD4"/>
      <c r="AE4"/>
      <c r="AF4"/>
      <c r="AG4"/>
      <c r="AH4"/>
      <c r="AI4"/>
      <c r="AJ4"/>
      <c r="AK4"/>
      <c r="AL4"/>
      <c r="AM4"/>
      <c r="AN4" s="72"/>
      <c r="AP4" s="72"/>
      <c r="AT4" s="72"/>
      <c r="AW4" s="928"/>
      <c r="AX4" s="928"/>
      <c r="AY4" s="928"/>
      <c r="AZ4" s="928"/>
      <c r="BA4" s="928"/>
      <c r="BB4" s="3509" t="s">
        <v>2746</v>
      </c>
      <c r="BC4" s="3510"/>
      <c r="BD4" s="3511" t="s">
        <v>3673</v>
      </c>
      <c r="BE4" s="3512"/>
      <c r="BF4" s="3512"/>
      <c r="BG4" s="3512"/>
      <c r="BH4" s="3513" t="s">
        <v>2554</v>
      </c>
      <c r="BI4" s="3509" t="s">
        <v>2746</v>
      </c>
      <c r="BJ4" s="3510"/>
      <c r="BK4" s="3511" t="s">
        <v>3673</v>
      </c>
      <c r="BL4" s="3512"/>
      <c r="BM4" s="3512"/>
      <c r="BN4" s="3512"/>
      <c r="BO4" s="3513" t="s">
        <v>2554</v>
      </c>
    </row>
    <row r="5" spans="1:68" s="200" customFormat="1" ht="26.25" thickBot="1">
      <c r="A5" s="928"/>
      <c r="B5" s="3469"/>
      <c r="C5" s="3470"/>
      <c r="D5" s="3531"/>
      <c r="E5" s="3531"/>
      <c r="F5" s="3534"/>
      <c r="G5" s="1465" t="s">
        <v>2749</v>
      </c>
      <c r="H5" s="387" t="s">
        <v>2750</v>
      </c>
      <c r="I5" s="1797" t="s">
        <v>2751</v>
      </c>
      <c r="J5" s="81" t="s">
        <v>2752</v>
      </c>
      <c r="K5" s="81" t="s">
        <v>2747</v>
      </c>
      <c r="L5" s="1798" t="s">
        <v>2748</v>
      </c>
      <c r="M5" s="3214"/>
      <c r="N5" s="1465" t="s">
        <v>2749</v>
      </c>
      <c r="O5" s="387" t="s">
        <v>2750</v>
      </c>
      <c r="P5" s="1797" t="s">
        <v>2751</v>
      </c>
      <c r="Q5" s="81" t="s">
        <v>2752</v>
      </c>
      <c r="R5" s="81" t="s">
        <v>2747</v>
      </c>
      <c r="S5" s="1798" t="s">
        <v>2748</v>
      </c>
      <c r="T5" s="3214"/>
      <c r="U5" s="3214"/>
      <c r="V5" s="71"/>
      <c r="W5" s="3214"/>
      <c r="Y5" s="72"/>
      <c r="AB5" s="90" t="s">
        <v>2405</v>
      </c>
      <c r="AC5" s="90"/>
      <c r="AD5" s="90"/>
      <c r="AE5" s="90"/>
      <c r="AF5" s="90"/>
      <c r="AG5" s="90"/>
      <c r="AH5" s="90"/>
      <c r="AI5" s="90"/>
      <c r="AJ5" s="90"/>
      <c r="AK5" s="90"/>
      <c r="AL5" s="90"/>
      <c r="AM5" s="90"/>
      <c r="AN5" s="72"/>
      <c r="AP5" s="72"/>
      <c r="AT5" s="72"/>
      <c r="AW5" s="928"/>
      <c r="AX5" s="928"/>
      <c r="AY5" s="928"/>
      <c r="AZ5" s="928"/>
      <c r="BA5" s="928"/>
      <c r="BB5" s="193" t="s">
        <v>2749</v>
      </c>
      <c r="BC5" s="194" t="s">
        <v>2750</v>
      </c>
      <c r="BD5" s="1700" t="s">
        <v>2751</v>
      </c>
      <c r="BE5" s="2740" t="s">
        <v>2752</v>
      </c>
      <c r="BF5" s="2740" t="s">
        <v>2747</v>
      </c>
      <c r="BG5" s="930" t="s">
        <v>2748</v>
      </c>
      <c r="BH5" s="3514"/>
      <c r="BI5" s="193" t="s">
        <v>2749</v>
      </c>
      <c r="BJ5" s="194" t="s">
        <v>2750</v>
      </c>
      <c r="BK5" s="1700" t="s">
        <v>2751</v>
      </c>
      <c r="BL5" s="2740" t="s">
        <v>2752</v>
      </c>
      <c r="BM5" s="2740" t="s">
        <v>2747</v>
      </c>
      <c r="BN5" s="930" t="s">
        <v>2748</v>
      </c>
      <c r="BO5" s="3514"/>
    </row>
    <row r="6" spans="1:68" s="200" customFormat="1" ht="15" thickBot="1">
      <c r="A6" s="928"/>
      <c r="B6" s="1078"/>
      <c r="C6" s="1079"/>
      <c r="D6" s="1079"/>
      <c r="E6" s="1080"/>
      <c r="F6" s="1081"/>
      <c r="G6" s="1657" t="e">
        <f>IF('4J'!G12=0,(IF(ROUND(G5,3)=ROUND('4J'!#REF!+'4J'!#REF!+'4J'!#REF!,3),0,1)),0)</f>
        <v>#VALUE!</v>
      </c>
      <c r="H6" s="1657" t="e">
        <f>IF('4J'!H12=0,(IF(ROUND(H5,3)=ROUND('4J'!#REF!+'4J'!#REF!+'4J'!#REF!,3),0,1)),0)</f>
        <v>#VALUE!</v>
      </c>
      <c r="I6" s="1657" t="e">
        <f>IF('4J'!I12=0,(IF(ROUND(I5,3)=ROUND('4J'!#REF!+'4J'!#REF!+'4J'!#REF!,3),0,1)),0)</f>
        <v>#VALUE!</v>
      </c>
      <c r="J6" s="1657" t="e">
        <f>IF('4J'!J12=0,(IF(ROUND(J5,3)=ROUND('4J'!#REF!+'4J'!#REF!+'4J'!#REF!,3),0,1)),0)</f>
        <v>#VALUE!</v>
      </c>
      <c r="K6" s="1657" t="e">
        <f>IF('4J'!K12=0,(IF(ROUND(K5,3)=ROUND('4J'!#REF!+'4J'!#REF!+'4J'!#REF!,3),0,1)),0)</f>
        <v>#VALUE!</v>
      </c>
      <c r="L6" s="1657" t="e">
        <f>IF('4J'!L12=0,(IF(ROUND(L5,3)=ROUND('4J'!#REF!+'4J'!#REF!+'4J'!#REF!,3),0,1)),0)</f>
        <v>#VALUE!</v>
      </c>
      <c r="M6" s="1657" t="e">
        <f>IF('4J'!M12=0,(IF(ROUND(M5,3)=ROUND('4J'!#REF!+'4J'!#REF!+'4J'!#REF!,3),0,1)),0)</f>
        <v>#REF!</v>
      </c>
      <c r="N6" s="1081"/>
      <c r="O6" s="1081"/>
      <c r="P6" s="1081"/>
      <c r="Q6" s="1081"/>
      <c r="R6" s="1081"/>
      <c r="S6" s="1081"/>
      <c r="T6" s="1081"/>
      <c r="U6" s="1081"/>
      <c r="V6" s="1081"/>
      <c r="W6" s="1081"/>
      <c r="X6" s="1082"/>
      <c r="Y6" s="72"/>
      <c r="AB6" s="1082"/>
      <c r="AC6" s="1082"/>
      <c r="AD6" s="1082"/>
      <c r="AE6" s="1082"/>
      <c r="AF6" s="1082"/>
      <c r="AG6" s="1082"/>
      <c r="AH6" s="1082"/>
      <c r="AI6" s="1082"/>
      <c r="AJ6" s="1082"/>
      <c r="AK6" s="1082"/>
      <c r="AL6" s="1082"/>
      <c r="AM6" s="1082"/>
      <c r="AN6" s="72"/>
      <c r="AP6" s="129"/>
      <c r="AQ6" s="117"/>
      <c r="AR6" s="117"/>
      <c r="AS6" s="144"/>
      <c r="AT6" s="72"/>
      <c r="AU6" s="131"/>
    </row>
    <row r="7" spans="1:68" s="200" customFormat="1" ht="15" thickBot="1">
      <c r="A7" s="928"/>
      <c r="B7" s="1051" t="s">
        <v>2449</v>
      </c>
      <c r="C7" s="1052" t="s">
        <v>4091</v>
      </c>
      <c r="D7" s="928"/>
      <c r="E7" s="928"/>
      <c r="F7" s="928"/>
      <c r="G7" s="928"/>
      <c r="H7" s="928"/>
      <c r="I7" s="928"/>
      <c r="J7" s="928"/>
      <c r="K7" s="928"/>
      <c r="L7" s="928"/>
      <c r="M7" s="928"/>
      <c r="N7" s="928"/>
      <c r="O7" s="928"/>
      <c r="P7" s="928"/>
      <c r="Q7" s="928"/>
      <c r="R7" s="928"/>
      <c r="S7" s="928"/>
      <c r="T7" s="928"/>
      <c r="U7" s="928"/>
      <c r="V7" s="71"/>
      <c r="W7" s="71"/>
      <c r="Y7" s="72"/>
      <c r="AB7" s="90"/>
      <c r="AC7" s="90"/>
      <c r="AD7" s="90"/>
      <c r="AE7" s="90"/>
      <c r="AF7" s="90"/>
      <c r="AG7" s="90"/>
      <c r="AH7" s="90"/>
      <c r="AI7" s="90"/>
      <c r="AJ7" s="90"/>
      <c r="AK7" s="90"/>
      <c r="AL7" s="90"/>
      <c r="AM7" s="90"/>
      <c r="AN7" s="72"/>
      <c r="AP7" s="72"/>
      <c r="AT7" s="72"/>
      <c r="AW7" s="2743" t="s">
        <v>2449</v>
      </c>
      <c r="AX7" s="3028" t="s">
        <v>4091</v>
      </c>
      <c r="AY7" s="928"/>
      <c r="AZ7" s="928"/>
      <c r="BA7" s="928"/>
      <c r="BB7" s="928"/>
      <c r="BC7" s="928"/>
      <c r="BD7" s="928"/>
      <c r="BE7" s="928"/>
      <c r="BF7" s="928"/>
      <c r="BG7" s="928"/>
      <c r="BH7" s="928"/>
      <c r="BI7" s="928"/>
      <c r="BJ7" s="928"/>
      <c r="BK7" s="928"/>
      <c r="BL7" s="928"/>
      <c r="BM7" s="928"/>
      <c r="BN7" s="928"/>
      <c r="BO7" s="928"/>
    </row>
    <row r="8" spans="1:68" s="200" customFormat="1">
      <c r="A8" s="928"/>
      <c r="B8" s="1053" t="s">
        <v>6557</v>
      </c>
      <c r="C8" s="1861" t="s">
        <v>4092</v>
      </c>
      <c r="D8" s="1191"/>
      <c r="E8" s="1055" t="s">
        <v>750</v>
      </c>
      <c r="F8" s="1056">
        <v>3</v>
      </c>
      <c r="G8" s="1058"/>
      <c r="H8" s="1658"/>
      <c r="I8" s="1531"/>
      <c r="J8" s="1520"/>
      <c r="K8" s="1525"/>
      <c r="L8" s="1520"/>
      <c r="M8" s="207">
        <f>SUM(G8:L8)</f>
        <v>0</v>
      </c>
      <c r="N8" s="1058"/>
      <c r="O8" s="1658"/>
      <c r="P8" s="1531"/>
      <c r="Q8" s="1520"/>
      <c r="R8" s="1525"/>
      <c r="S8" s="1520"/>
      <c r="T8" s="207">
        <f t="shared" ref="T8:T45" si="0">SUM(N8:S8)</f>
        <v>0</v>
      </c>
      <c r="U8" s="1868"/>
      <c r="V8" s="71"/>
      <c r="W8" s="945" t="str">
        <f t="shared" ref="W8:W29" si="1" xml:space="preserve"> IF( SUM( Y8:AN8 ) = 0, 0, $AB$5 )</f>
        <v>Please complete all cells in row</v>
      </c>
      <c r="Y8" s="72"/>
      <c r="AA8" s="98">
        <f t="shared" ref="AA8:AA29" si="2" xml:space="preserve"> IF( ISNUMBER( G8 ), 0, 1 )</f>
        <v>1</v>
      </c>
      <c r="AB8" s="98">
        <f t="shared" ref="AB8:AB29" si="3" xml:space="preserve"> IF( ISNUMBER( H8 ), 0, 1 )</f>
        <v>1</v>
      </c>
      <c r="AC8" s="98">
        <f t="shared" ref="AC8:AC29" si="4" xml:space="preserve"> IF( ISNUMBER( I8 ), 0, 1 )</f>
        <v>1</v>
      </c>
      <c r="AD8" s="98">
        <f t="shared" ref="AD8:AD29" si="5" xml:space="preserve"> IF( ISNUMBER( J8 ), 0, 1 )</f>
        <v>1</v>
      </c>
      <c r="AE8" s="98">
        <f t="shared" ref="AE8:AE29" si="6" xml:space="preserve"> IF( ISNUMBER( K8 ), 0, 1 )</f>
        <v>1</v>
      </c>
      <c r="AF8" s="98">
        <f t="shared" ref="AF8:AF29" si="7" xml:space="preserve"> IF( ISNUMBER( L8 ), 0, 1 )</f>
        <v>1</v>
      </c>
      <c r="AG8" s="90"/>
      <c r="AH8" s="98">
        <f t="shared" ref="AH8:AH29" si="8" xml:space="preserve"> IF( ISNUMBER( N8 ), 0, 1 )</f>
        <v>1</v>
      </c>
      <c r="AI8" s="98">
        <f t="shared" ref="AI8:AI29" si="9" xml:space="preserve"> IF( ISNUMBER( O8 ), 0, 1 )</f>
        <v>1</v>
      </c>
      <c r="AJ8" s="98">
        <f t="shared" ref="AJ8:AJ29" si="10" xml:space="preserve"> IF( ISNUMBER( P8 ), 0, 1 )</f>
        <v>1</v>
      </c>
      <c r="AK8" s="98">
        <f t="shared" ref="AK8:AK29" si="11" xml:space="preserve"> IF( ISNUMBER( Q8 ), 0, 1 )</f>
        <v>1</v>
      </c>
      <c r="AL8" s="98">
        <f t="shared" ref="AL8:AL29" si="12" xml:space="preserve"> IF( ISNUMBER( R8 ), 0, 1 )</f>
        <v>1</v>
      </c>
      <c r="AM8" s="98">
        <f t="shared" ref="AM8:AM29" si="13" xml:space="preserve"> IF( ISNUMBER( S8 ), 0, 1 )</f>
        <v>1</v>
      </c>
      <c r="AN8" s="72"/>
      <c r="AP8" s="72"/>
      <c r="AT8" s="72"/>
      <c r="AW8" s="1053" t="s">
        <v>6557</v>
      </c>
      <c r="AX8" s="3029" t="s">
        <v>4092</v>
      </c>
      <c r="AY8" s="3030"/>
      <c r="AZ8" s="1055" t="s">
        <v>750</v>
      </c>
      <c r="BA8" s="1056">
        <v>3</v>
      </c>
      <c r="BB8" s="3031" t="s">
        <v>12442</v>
      </c>
      <c r="BC8" s="3032" t="s">
        <v>7711</v>
      </c>
      <c r="BD8" s="3033" t="s">
        <v>7712</v>
      </c>
      <c r="BE8" s="3034" t="s">
        <v>7713</v>
      </c>
      <c r="BF8" s="3035" t="s">
        <v>7714</v>
      </c>
      <c r="BG8" s="3034" t="s">
        <v>7715</v>
      </c>
      <c r="BH8" s="207" t="s">
        <v>7716</v>
      </c>
      <c r="BI8" s="3031" t="s">
        <v>12477</v>
      </c>
      <c r="BJ8" s="3032" t="s">
        <v>7717</v>
      </c>
      <c r="BK8" s="3034" t="s">
        <v>7718</v>
      </c>
      <c r="BL8" s="3035" t="s">
        <v>7719</v>
      </c>
      <c r="BM8" s="3033" t="s">
        <v>7720</v>
      </c>
      <c r="BN8" s="3034" t="s">
        <v>7721</v>
      </c>
      <c r="BO8" s="207" t="s">
        <v>7722</v>
      </c>
    </row>
    <row r="9" spans="1:68" s="200" customFormat="1">
      <c r="A9" s="928"/>
      <c r="B9" s="1059" t="s">
        <v>6558</v>
      </c>
      <c r="C9" s="1054" t="s">
        <v>4093</v>
      </c>
      <c r="D9" s="1704"/>
      <c r="E9" s="1060" t="s">
        <v>750</v>
      </c>
      <c r="F9" s="1061">
        <v>3</v>
      </c>
      <c r="G9" s="1062"/>
      <c r="H9" s="1659"/>
      <c r="I9" s="1532"/>
      <c r="J9" s="1521"/>
      <c r="K9" s="1526"/>
      <c r="L9" s="1521"/>
      <c r="M9" s="249">
        <f t="shared" ref="M9:M45" si="14">SUM(G9:L9)</f>
        <v>0</v>
      </c>
      <c r="N9" s="1062"/>
      <c r="O9" s="1659"/>
      <c r="P9" s="1532"/>
      <c r="Q9" s="1521"/>
      <c r="R9" s="1526"/>
      <c r="S9" s="1521"/>
      <c r="T9" s="414">
        <f t="shared" si="0"/>
        <v>0</v>
      </c>
      <c r="U9" s="1869"/>
      <c r="V9" s="71"/>
      <c r="W9" s="945" t="str">
        <f t="shared" si="1"/>
        <v>Please complete all cells in row</v>
      </c>
      <c r="Y9" s="72"/>
      <c r="AA9" s="98">
        <f t="shared" si="2"/>
        <v>1</v>
      </c>
      <c r="AB9" s="98">
        <f t="shared" si="3"/>
        <v>1</v>
      </c>
      <c r="AC9" s="98">
        <f t="shared" si="4"/>
        <v>1</v>
      </c>
      <c r="AD9" s="98">
        <f t="shared" si="5"/>
        <v>1</v>
      </c>
      <c r="AE9" s="98">
        <f t="shared" si="6"/>
        <v>1</v>
      </c>
      <c r="AF9" s="98">
        <f t="shared" si="7"/>
        <v>1</v>
      </c>
      <c r="AG9" s="90"/>
      <c r="AH9" s="98">
        <f t="shared" si="8"/>
        <v>1</v>
      </c>
      <c r="AI9" s="98">
        <f t="shared" si="9"/>
        <v>1</v>
      </c>
      <c r="AJ9" s="98">
        <f t="shared" si="10"/>
        <v>1</v>
      </c>
      <c r="AK9" s="98">
        <f t="shared" si="11"/>
        <v>1</v>
      </c>
      <c r="AL9" s="98">
        <f t="shared" si="12"/>
        <v>1</v>
      </c>
      <c r="AM9" s="98">
        <f t="shared" si="13"/>
        <v>1</v>
      </c>
      <c r="AN9" s="72"/>
      <c r="AP9" s="72"/>
      <c r="AT9" s="72"/>
      <c r="AW9" s="1059" t="s">
        <v>6558</v>
      </c>
      <c r="AX9" s="3029" t="s">
        <v>4093</v>
      </c>
      <c r="AY9" s="3036"/>
      <c r="AZ9" s="2145" t="s">
        <v>750</v>
      </c>
      <c r="BA9" s="1061">
        <v>3</v>
      </c>
      <c r="BB9" s="3037" t="s">
        <v>12443</v>
      </c>
      <c r="BC9" s="3038" t="s">
        <v>7723</v>
      </c>
      <c r="BD9" s="3039" t="s">
        <v>7724</v>
      </c>
      <c r="BE9" s="3040" t="s">
        <v>7725</v>
      </c>
      <c r="BF9" s="3041" t="s">
        <v>7726</v>
      </c>
      <c r="BG9" s="3040" t="s">
        <v>7727</v>
      </c>
      <c r="BH9" s="2265" t="s">
        <v>7728</v>
      </c>
      <c r="BI9" s="3037" t="s">
        <v>12478</v>
      </c>
      <c r="BJ9" s="3038" t="s">
        <v>7729</v>
      </c>
      <c r="BK9" s="3040" t="s">
        <v>7730</v>
      </c>
      <c r="BL9" s="3041" t="s">
        <v>7731</v>
      </c>
      <c r="BM9" s="3039" t="s">
        <v>7732</v>
      </c>
      <c r="BN9" s="3040" t="s">
        <v>7733</v>
      </c>
      <c r="BO9" s="2158" t="s">
        <v>7734</v>
      </c>
      <c r="BP9" s="2314"/>
    </row>
    <row r="10" spans="1:68" s="200" customFormat="1">
      <c r="A10" s="928"/>
      <c r="B10" s="1059" t="s">
        <v>6559</v>
      </c>
      <c r="C10" s="2687" t="s">
        <v>12622</v>
      </c>
      <c r="D10" s="1704"/>
      <c r="E10" s="2145" t="s">
        <v>750</v>
      </c>
      <c r="F10" s="1061">
        <v>3</v>
      </c>
      <c r="G10" s="1062"/>
      <c r="H10" s="1659"/>
      <c r="I10" s="1532"/>
      <c r="J10" s="1521"/>
      <c r="K10" s="1526"/>
      <c r="L10" s="1521"/>
      <c r="M10" s="249">
        <f t="shared" si="14"/>
        <v>0</v>
      </c>
      <c r="N10" s="1062"/>
      <c r="O10" s="1659"/>
      <c r="P10" s="1532"/>
      <c r="Q10" s="1521"/>
      <c r="R10" s="1526"/>
      <c r="S10" s="1521"/>
      <c r="T10" s="414">
        <f t="shared" si="0"/>
        <v>0</v>
      </c>
      <c r="U10" s="1869"/>
      <c r="V10" s="71"/>
      <c r="W10" s="945" t="str">
        <f t="shared" ref="W10" si="15" xml:space="preserve"> IF( SUM( Y10:AN10 ) = 0, 0, $AB$5 )</f>
        <v>Please complete all cells in row</v>
      </c>
      <c r="Y10" s="72"/>
      <c r="AA10" s="98">
        <f t="shared" ref="AA10" si="16" xml:space="preserve"> IF( ISNUMBER( G10 ), 0, 1 )</f>
        <v>1</v>
      </c>
      <c r="AB10" s="98">
        <f t="shared" ref="AB10" si="17" xml:space="preserve"> IF( ISNUMBER( H10 ), 0, 1 )</f>
        <v>1</v>
      </c>
      <c r="AC10" s="98">
        <f t="shared" ref="AC10" si="18" xml:space="preserve"> IF( ISNUMBER( I10 ), 0, 1 )</f>
        <v>1</v>
      </c>
      <c r="AD10" s="98">
        <f t="shared" ref="AD10" si="19" xml:space="preserve"> IF( ISNUMBER( J10 ), 0, 1 )</f>
        <v>1</v>
      </c>
      <c r="AE10" s="98">
        <f t="shared" ref="AE10" si="20" xml:space="preserve"> IF( ISNUMBER( K10 ), 0, 1 )</f>
        <v>1</v>
      </c>
      <c r="AF10" s="98">
        <f t="shared" ref="AF10" si="21" xml:space="preserve"> IF( ISNUMBER( L10 ), 0, 1 )</f>
        <v>1</v>
      </c>
      <c r="AG10" s="90"/>
      <c r="AH10" s="98">
        <f t="shared" ref="AH10" si="22" xml:space="preserve"> IF( ISNUMBER( N10 ), 0, 1 )</f>
        <v>1</v>
      </c>
      <c r="AI10" s="98">
        <f t="shared" ref="AI10" si="23" xml:space="preserve"> IF( ISNUMBER( O10 ), 0, 1 )</f>
        <v>1</v>
      </c>
      <c r="AJ10" s="98">
        <f t="shared" ref="AJ10" si="24" xml:space="preserve"> IF( ISNUMBER( P10 ), 0, 1 )</f>
        <v>1</v>
      </c>
      <c r="AK10" s="98">
        <f t="shared" ref="AK10" si="25" xml:space="preserve"> IF( ISNUMBER( Q10 ), 0, 1 )</f>
        <v>1</v>
      </c>
      <c r="AL10" s="98">
        <f t="shared" ref="AL10" si="26" xml:space="preserve"> IF( ISNUMBER( R10 ), 0, 1 )</f>
        <v>1</v>
      </c>
      <c r="AM10" s="98">
        <f t="shared" ref="AM10" si="27" xml:space="preserve"> IF( ISNUMBER( S10 ), 0, 1 )</f>
        <v>1</v>
      </c>
      <c r="AN10" s="72"/>
      <c r="AP10" s="72"/>
      <c r="AT10" s="72"/>
      <c r="AW10" s="1059" t="s">
        <v>6559</v>
      </c>
      <c r="AX10" s="3042" t="s">
        <v>12622</v>
      </c>
      <c r="AY10" s="3043"/>
      <c r="AZ10" s="2145" t="s">
        <v>750</v>
      </c>
      <c r="BA10" s="1061">
        <v>3</v>
      </c>
      <c r="BB10" s="3037" t="s">
        <v>13040</v>
      </c>
      <c r="BC10" s="3038" t="s">
        <v>13041</v>
      </c>
      <c r="BD10" s="3039" t="s">
        <v>13042</v>
      </c>
      <c r="BE10" s="3040" t="s">
        <v>13043</v>
      </c>
      <c r="BF10" s="3041" t="s">
        <v>13044</v>
      </c>
      <c r="BG10" s="3040" t="s">
        <v>13045</v>
      </c>
      <c r="BH10" s="2265" t="s">
        <v>13046</v>
      </c>
      <c r="BI10" s="3037" t="s">
        <v>13047</v>
      </c>
      <c r="BJ10" s="3038" t="s">
        <v>13048</v>
      </c>
      <c r="BK10" s="3039" t="s">
        <v>13049</v>
      </c>
      <c r="BL10" s="3040" t="s">
        <v>13050</v>
      </c>
      <c r="BM10" s="3041" t="s">
        <v>13051</v>
      </c>
      <c r="BN10" s="3040" t="s">
        <v>13052</v>
      </c>
      <c r="BO10" s="2265" t="s">
        <v>13053</v>
      </c>
    </row>
    <row r="11" spans="1:68" s="200" customFormat="1">
      <c r="A11" s="928"/>
      <c r="B11" s="1059" t="s">
        <v>6560</v>
      </c>
      <c r="C11" s="2608" t="s">
        <v>4094</v>
      </c>
      <c r="D11" s="1064"/>
      <c r="E11" s="1060" t="s">
        <v>750</v>
      </c>
      <c r="F11" s="1061">
        <v>3</v>
      </c>
      <c r="G11" s="1066"/>
      <c r="H11" s="1659"/>
      <c r="I11" s="1532"/>
      <c r="J11" s="1521"/>
      <c r="K11" s="1526"/>
      <c r="L11" s="1521"/>
      <c r="M11" s="249">
        <f t="shared" si="14"/>
        <v>0</v>
      </c>
      <c r="N11" s="1066"/>
      <c r="O11" s="1659"/>
      <c r="P11" s="1532"/>
      <c r="Q11" s="1521"/>
      <c r="R11" s="1526"/>
      <c r="S11" s="1521"/>
      <c r="T11" s="249">
        <f t="shared" si="0"/>
        <v>0</v>
      </c>
      <c r="U11" s="1870"/>
      <c r="V11" s="71"/>
      <c r="W11" s="945" t="str">
        <f t="shared" si="1"/>
        <v>Please complete all cells in row</v>
      </c>
      <c r="Y11" s="72"/>
      <c r="AA11" s="98">
        <f t="shared" si="2"/>
        <v>1</v>
      </c>
      <c r="AB11" s="98">
        <f t="shared" si="3"/>
        <v>1</v>
      </c>
      <c r="AC11" s="98">
        <f t="shared" si="4"/>
        <v>1</v>
      </c>
      <c r="AD11" s="98">
        <f t="shared" si="5"/>
        <v>1</v>
      </c>
      <c r="AE11" s="98">
        <f t="shared" si="6"/>
        <v>1</v>
      </c>
      <c r="AF11" s="98">
        <f t="shared" si="7"/>
        <v>1</v>
      </c>
      <c r="AG11" s="90"/>
      <c r="AH11" s="98">
        <f t="shared" si="8"/>
        <v>1</v>
      </c>
      <c r="AI11" s="98">
        <f t="shared" si="9"/>
        <v>1</v>
      </c>
      <c r="AJ11" s="98">
        <f t="shared" si="10"/>
        <v>1</v>
      </c>
      <c r="AK11" s="98">
        <f t="shared" si="11"/>
        <v>1</v>
      </c>
      <c r="AL11" s="98">
        <f t="shared" si="12"/>
        <v>1</v>
      </c>
      <c r="AM11" s="98">
        <f t="shared" si="13"/>
        <v>1</v>
      </c>
      <c r="AN11" s="72"/>
      <c r="AP11" s="72"/>
      <c r="AT11" s="72"/>
      <c r="AW11" s="1059" t="s">
        <v>6560</v>
      </c>
      <c r="AX11" s="3044" t="s">
        <v>4094</v>
      </c>
      <c r="AY11" s="3044"/>
      <c r="AZ11" s="2145" t="s">
        <v>750</v>
      </c>
      <c r="BA11" s="1061">
        <v>3</v>
      </c>
      <c r="BB11" s="3045" t="s">
        <v>12444</v>
      </c>
      <c r="BC11" s="3046" t="s">
        <v>7735</v>
      </c>
      <c r="BD11" s="3047" t="s">
        <v>7736</v>
      </c>
      <c r="BE11" s="3048" t="s">
        <v>7737</v>
      </c>
      <c r="BF11" s="3049" t="s">
        <v>7738</v>
      </c>
      <c r="BG11" s="3048" t="s">
        <v>7739</v>
      </c>
      <c r="BH11" s="2265" t="s">
        <v>7740</v>
      </c>
      <c r="BI11" s="3045" t="s">
        <v>12479</v>
      </c>
      <c r="BJ11" s="3046" t="s">
        <v>7741</v>
      </c>
      <c r="BK11" s="3048" t="s">
        <v>7742</v>
      </c>
      <c r="BL11" s="3049" t="s">
        <v>7743</v>
      </c>
      <c r="BM11" s="3047" t="s">
        <v>7744</v>
      </c>
      <c r="BN11" s="3048" t="s">
        <v>7745</v>
      </c>
      <c r="BO11" s="2265" t="s">
        <v>7746</v>
      </c>
    </row>
    <row r="12" spans="1:68" s="200" customFormat="1">
      <c r="A12" s="928"/>
      <c r="B12" s="1059" t="s">
        <v>6561</v>
      </c>
      <c r="C12" s="2608" t="s">
        <v>4095</v>
      </c>
      <c r="D12" s="1064"/>
      <c r="E12" s="1060" t="s">
        <v>750</v>
      </c>
      <c r="F12" s="1061">
        <v>3</v>
      </c>
      <c r="G12" s="1066"/>
      <c r="H12" s="1659"/>
      <c r="I12" s="1532"/>
      <c r="J12" s="1521"/>
      <c r="K12" s="1526"/>
      <c r="L12" s="1521"/>
      <c r="M12" s="249">
        <f t="shared" si="14"/>
        <v>0</v>
      </c>
      <c r="N12" s="1066"/>
      <c r="O12" s="1659"/>
      <c r="P12" s="1532"/>
      <c r="Q12" s="1521"/>
      <c r="R12" s="1526"/>
      <c r="S12" s="1521"/>
      <c r="T12" s="249">
        <f t="shared" si="0"/>
        <v>0</v>
      </c>
      <c r="U12" s="1870"/>
      <c r="V12" s="71"/>
      <c r="W12" s="945" t="str">
        <f t="shared" si="1"/>
        <v>Please complete all cells in row</v>
      </c>
      <c r="Y12" s="72"/>
      <c r="AA12" s="98">
        <f t="shared" si="2"/>
        <v>1</v>
      </c>
      <c r="AB12" s="98">
        <f t="shared" si="3"/>
        <v>1</v>
      </c>
      <c r="AC12" s="98">
        <f t="shared" si="4"/>
        <v>1</v>
      </c>
      <c r="AD12" s="98">
        <f t="shared" si="5"/>
        <v>1</v>
      </c>
      <c r="AE12" s="98">
        <f t="shared" si="6"/>
        <v>1</v>
      </c>
      <c r="AF12" s="98">
        <f t="shared" si="7"/>
        <v>1</v>
      </c>
      <c r="AG12" s="90"/>
      <c r="AH12" s="98">
        <f t="shared" si="8"/>
        <v>1</v>
      </c>
      <c r="AI12" s="98">
        <f t="shared" si="9"/>
        <v>1</v>
      </c>
      <c r="AJ12" s="98">
        <f t="shared" si="10"/>
        <v>1</v>
      </c>
      <c r="AK12" s="98">
        <f t="shared" si="11"/>
        <v>1</v>
      </c>
      <c r="AL12" s="98">
        <f t="shared" si="12"/>
        <v>1</v>
      </c>
      <c r="AM12" s="98">
        <f t="shared" si="13"/>
        <v>1</v>
      </c>
      <c r="AN12" s="72"/>
      <c r="AP12" s="72"/>
      <c r="AT12" s="72"/>
      <c r="AW12" s="1059" t="s">
        <v>6561</v>
      </c>
      <c r="AX12" s="3044" t="s">
        <v>4095</v>
      </c>
      <c r="AY12" s="3044"/>
      <c r="AZ12" s="2145" t="s">
        <v>750</v>
      </c>
      <c r="BA12" s="1061">
        <v>3</v>
      </c>
      <c r="BB12" s="3045" t="s">
        <v>12445</v>
      </c>
      <c r="BC12" s="3046" t="s">
        <v>7747</v>
      </c>
      <c r="BD12" s="3047" t="s">
        <v>7748</v>
      </c>
      <c r="BE12" s="3048" t="s">
        <v>7749</v>
      </c>
      <c r="BF12" s="3049" t="s">
        <v>7750</v>
      </c>
      <c r="BG12" s="3048" t="s">
        <v>7751</v>
      </c>
      <c r="BH12" s="2265" t="s">
        <v>7752</v>
      </c>
      <c r="BI12" s="3045" t="s">
        <v>12480</v>
      </c>
      <c r="BJ12" s="3046" t="s">
        <v>7753</v>
      </c>
      <c r="BK12" s="3048" t="s">
        <v>7754</v>
      </c>
      <c r="BL12" s="3049" t="s">
        <v>7755</v>
      </c>
      <c r="BM12" s="3047" t="s">
        <v>7756</v>
      </c>
      <c r="BN12" s="3048" t="s">
        <v>7757</v>
      </c>
      <c r="BO12" s="2265" t="s">
        <v>7758</v>
      </c>
    </row>
    <row r="13" spans="1:68" s="200" customFormat="1">
      <c r="A13" s="928"/>
      <c r="B13" s="1059" t="s">
        <v>6562</v>
      </c>
      <c r="C13" s="2608" t="s">
        <v>4096</v>
      </c>
      <c r="D13" s="1064"/>
      <c r="E13" s="1060" t="s">
        <v>750</v>
      </c>
      <c r="F13" s="1061">
        <v>3</v>
      </c>
      <c r="G13" s="1066"/>
      <c r="H13" s="1659"/>
      <c r="I13" s="1532"/>
      <c r="J13" s="1521"/>
      <c r="K13" s="1526"/>
      <c r="L13" s="1521"/>
      <c r="M13" s="249">
        <f t="shared" si="14"/>
        <v>0</v>
      </c>
      <c r="N13" s="1066"/>
      <c r="O13" s="1659"/>
      <c r="P13" s="1532"/>
      <c r="Q13" s="1521"/>
      <c r="R13" s="1526"/>
      <c r="S13" s="1521"/>
      <c r="T13" s="249">
        <f t="shared" si="0"/>
        <v>0</v>
      </c>
      <c r="U13" s="1870"/>
      <c r="V13" s="71"/>
      <c r="W13" s="945" t="str">
        <f t="shared" si="1"/>
        <v>Please complete all cells in row</v>
      </c>
      <c r="Y13" s="72"/>
      <c r="AA13" s="98">
        <f t="shared" si="2"/>
        <v>1</v>
      </c>
      <c r="AB13" s="98">
        <f t="shared" si="3"/>
        <v>1</v>
      </c>
      <c r="AC13" s="98">
        <f t="shared" si="4"/>
        <v>1</v>
      </c>
      <c r="AD13" s="98">
        <f t="shared" si="5"/>
        <v>1</v>
      </c>
      <c r="AE13" s="98">
        <f t="shared" si="6"/>
        <v>1</v>
      </c>
      <c r="AF13" s="98">
        <f t="shared" si="7"/>
        <v>1</v>
      </c>
      <c r="AG13" s="90"/>
      <c r="AH13" s="98">
        <f t="shared" si="8"/>
        <v>1</v>
      </c>
      <c r="AI13" s="98">
        <f t="shared" si="9"/>
        <v>1</v>
      </c>
      <c r="AJ13" s="98">
        <f t="shared" si="10"/>
        <v>1</v>
      </c>
      <c r="AK13" s="98">
        <f t="shared" si="11"/>
        <v>1</v>
      </c>
      <c r="AL13" s="98">
        <f t="shared" si="12"/>
        <v>1</v>
      </c>
      <c r="AM13" s="98">
        <f t="shared" si="13"/>
        <v>1</v>
      </c>
      <c r="AN13" s="72"/>
      <c r="AP13" s="72"/>
      <c r="AT13" s="72"/>
      <c r="AW13" s="1059" t="s">
        <v>6562</v>
      </c>
      <c r="AX13" s="3044" t="s">
        <v>4096</v>
      </c>
      <c r="AY13" s="3044"/>
      <c r="AZ13" s="2145" t="s">
        <v>750</v>
      </c>
      <c r="BA13" s="1061">
        <v>3</v>
      </c>
      <c r="BB13" s="3045" t="s">
        <v>12446</v>
      </c>
      <c r="BC13" s="3046" t="s">
        <v>7759</v>
      </c>
      <c r="BD13" s="3047" t="s">
        <v>7760</v>
      </c>
      <c r="BE13" s="3048" t="s">
        <v>7761</v>
      </c>
      <c r="BF13" s="3049" t="s">
        <v>7762</v>
      </c>
      <c r="BG13" s="3048" t="s">
        <v>7763</v>
      </c>
      <c r="BH13" s="2265" t="s">
        <v>7764</v>
      </c>
      <c r="BI13" s="3045" t="s">
        <v>12481</v>
      </c>
      <c r="BJ13" s="3046" t="s">
        <v>7765</v>
      </c>
      <c r="BK13" s="3048" t="s">
        <v>7766</v>
      </c>
      <c r="BL13" s="3049" t="s">
        <v>7767</v>
      </c>
      <c r="BM13" s="3047" t="s">
        <v>7768</v>
      </c>
      <c r="BN13" s="3048" t="s">
        <v>7769</v>
      </c>
      <c r="BO13" s="2265" t="s">
        <v>7770</v>
      </c>
    </row>
    <row r="14" spans="1:68" s="200" customFormat="1">
      <c r="A14" s="928"/>
      <c r="B14" s="1059" t="s">
        <v>6563</v>
      </c>
      <c r="C14" s="2608" t="s">
        <v>4097</v>
      </c>
      <c r="D14" s="1064"/>
      <c r="E14" s="1060" t="s">
        <v>750</v>
      </c>
      <c r="F14" s="1061">
        <v>3</v>
      </c>
      <c r="G14" s="1066"/>
      <c r="H14" s="1659"/>
      <c r="I14" s="1532"/>
      <c r="J14" s="1521"/>
      <c r="K14" s="1526"/>
      <c r="L14" s="1521"/>
      <c r="M14" s="249">
        <f t="shared" si="14"/>
        <v>0</v>
      </c>
      <c r="N14" s="1066"/>
      <c r="O14" s="1659"/>
      <c r="P14" s="1532"/>
      <c r="Q14" s="1521"/>
      <c r="R14" s="1526"/>
      <c r="S14" s="1521"/>
      <c r="T14" s="249">
        <f t="shared" si="0"/>
        <v>0</v>
      </c>
      <c r="U14" s="1870"/>
      <c r="V14" s="71"/>
      <c r="W14" s="945" t="str">
        <f t="shared" si="1"/>
        <v>Please complete all cells in row</v>
      </c>
      <c r="Y14" s="72"/>
      <c r="AA14" s="98">
        <f t="shared" si="2"/>
        <v>1</v>
      </c>
      <c r="AB14" s="98">
        <f t="shared" si="3"/>
        <v>1</v>
      </c>
      <c r="AC14" s="98">
        <f t="shared" si="4"/>
        <v>1</v>
      </c>
      <c r="AD14" s="98">
        <f t="shared" si="5"/>
        <v>1</v>
      </c>
      <c r="AE14" s="98">
        <f t="shared" si="6"/>
        <v>1</v>
      </c>
      <c r="AF14" s="98">
        <f t="shared" si="7"/>
        <v>1</v>
      </c>
      <c r="AG14" s="90"/>
      <c r="AH14" s="98">
        <f t="shared" si="8"/>
        <v>1</v>
      </c>
      <c r="AI14" s="98">
        <f t="shared" si="9"/>
        <v>1</v>
      </c>
      <c r="AJ14" s="98">
        <f t="shared" si="10"/>
        <v>1</v>
      </c>
      <c r="AK14" s="98">
        <f t="shared" si="11"/>
        <v>1</v>
      </c>
      <c r="AL14" s="98">
        <f t="shared" si="12"/>
        <v>1</v>
      </c>
      <c r="AM14" s="98">
        <f t="shared" si="13"/>
        <v>1</v>
      </c>
      <c r="AN14" s="72"/>
      <c r="AP14" s="72"/>
      <c r="AT14" s="72"/>
      <c r="AW14" s="1059" t="s">
        <v>6563</v>
      </c>
      <c r="AX14" s="3044" t="s">
        <v>4097</v>
      </c>
      <c r="AY14" s="3044"/>
      <c r="AZ14" s="2145" t="s">
        <v>750</v>
      </c>
      <c r="BA14" s="1061">
        <v>3</v>
      </c>
      <c r="BB14" s="3045" t="s">
        <v>12447</v>
      </c>
      <c r="BC14" s="3046" t="s">
        <v>7771</v>
      </c>
      <c r="BD14" s="3047" t="s">
        <v>7772</v>
      </c>
      <c r="BE14" s="3048" t="s">
        <v>7773</v>
      </c>
      <c r="BF14" s="3049" t="s">
        <v>7774</v>
      </c>
      <c r="BG14" s="3048" t="s">
        <v>7775</v>
      </c>
      <c r="BH14" s="2265" t="s">
        <v>7776</v>
      </c>
      <c r="BI14" s="3045" t="s">
        <v>12482</v>
      </c>
      <c r="BJ14" s="3046" t="s">
        <v>7777</v>
      </c>
      <c r="BK14" s="3048" t="s">
        <v>7778</v>
      </c>
      <c r="BL14" s="3049" t="s">
        <v>7779</v>
      </c>
      <c r="BM14" s="3047" t="s">
        <v>7780</v>
      </c>
      <c r="BN14" s="3048" t="s">
        <v>7781</v>
      </c>
      <c r="BO14" s="2265" t="s">
        <v>7782</v>
      </c>
    </row>
    <row r="15" spans="1:68" s="200" customFormat="1">
      <c r="A15" s="928"/>
      <c r="B15" s="1059" t="s">
        <v>6564</v>
      </c>
      <c r="C15" s="2608" t="s">
        <v>4098</v>
      </c>
      <c r="D15" s="1064"/>
      <c r="E15" s="1060" t="s">
        <v>750</v>
      </c>
      <c r="F15" s="1061">
        <v>3</v>
      </c>
      <c r="G15" s="1066"/>
      <c r="H15" s="1659"/>
      <c r="I15" s="1532"/>
      <c r="J15" s="1521"/>
      <c r="K15" s="1526"/>
      <c r="L15" s="1521"/>
      <c r="M15" s="249">
        <f t="shared" si="14"/>
        <v>0</v>
      </c>
      <c r="N15" s="1066"/>
      <c r="O15" s="1659"/>
      <c r="P15" s="1532"/>
      <c r="Q15" s="1521"/>
      <c r="R15" s="1526"/>
      <c r="S15" s="1521"/>
      <c r="T15" s="249">
        <f t="shared" si="0"/>
        <v>0</v>
      </c>
      <c r="U15" s="1870"/>
      <c r="V15" s="71"/>
      <c r="W15" s="945" t="str">
        <f t="shared" si="1"/>
        <v>Please complete all cells in row</v>
      </c>
      <c r="Y15" s="72"/>
      <c r="AA15" s="98">
        <f t="shared" si="2"/>
        <v>1</v>
      </c>
      <c r="AB15" s="98">
        <f t="shared" si="3"/>
        <v>1</v>
      </c>
      <c r="AC15" s="98">
        <f t="shared" si="4"/>
        <v>1</v>
      </c>
      <c r="AD15" s="98">
        <f t="shared" si="5"/>
        <v>1</v>
      </c>
      <c r="AE15" s="98">
        <f t="shared" si="6"/>
        <v>1</v>
      </c>
      <c r="AF15" s="98">
        <f t="shared" si="7"/>
        <v>1</v>
      </c>
      <c r="AG15" s="90"/>
      <c r="AH15" s="98">
        <f t="shared" si="8"/>
        <v>1</v>
      </c>
      <c r="AI15" s="98">
        <f t="shared" si="9"/>
        <v>1</v>
      </c>
      <c r="AJ15" s="98">
        <f t="shared" si="10"/>
        <v>1</v>
      </c>
      <c r="AK15" s="98">
        <f t="shared" si="11"/>
        <v>1</v>
      </c>
      <c r="AL15" s="98">
        <f t="shared" si="12"/>
        <v>1</v>
      </c>
      <c r="AM15" s="98">
        <f t="shared" si="13"/>
        <v>1</v>
      </c>
      <c r="AN15" s="72"/>
      <c r="AP15" s="72"/>
      <c r="AT15" s="72"/>
      <c r="AW15" s="1059" t="s">
        <v>6564</v>
      </c>
      <c r="AX15" s="3044" t="s">
        <v>4098</v>
      </c>
      <c r="AY15" s="3044"/>
      <c r="AZ15" s="2145" t="s">
        <v>750</v>
      </c>
      <c r="BA15" s="1061">
        <v>3</v>
      </c>
      <c r="BB15" s="3045" t="s">
        <v>12448</v>
      </c>
      <c r="BC15" s="3046" t="s">
        <v>7783</v>
      </c>
      <c r="BD15" s="3047" t="s">
        <v>7784</v>
      </c>
      <c r="BE15" s="3048" t="s">
        <v>7785</v>
      </c>
      <c r="BF15" s="3049" t="s">
        <v>7786</v>
      </c>
      <c r="BG15" s="3048" t="s">
        <v>7787</v>
      </c>
      <c r="BH15" s="2265" t="s">
        <v>7788</v>
      </c>
      <c r="BI15" s="3045" t="s">
        <v>12483</v>
      </c>
      <c r="BJ15" s="3046" t="s">
        <v>7789</v>
      </c>
      <c r="BK15" s="3048" t="s">
        <v>7790</v>
      </c>
      <c r="BL15" s="3049" t="s">
        <v>7791</v>
      </c>
      <c r="BM15" s="3047" t="s">
        <v>7792</v>
      </c>
      <c r="BN15" s="3048" t="s">
        <v>7793</v>
      </c>
      <c r="BO15" s="2265" t="s">
        <v>7794</v>
      </c>
    </row>
    <row r="16" spans="1:68" s="200" customFormat="1">
      <c r="A16" s="928"/>
      <c r="B16" s="1059" t="s">
        <v>6565</v>
      </c>
      <c r="C16" s="2608" t="s">
        <v>4099</v>
      </c>
      <c r="D16" s="1064"/>
      <c r="E16" s="1060" t="s">
        <v>750</v>
      </c>
      <c r="F16" s="1061">
        <v>3</v>
      </c>
      <c r="G16" s="1066"/>
      <c r="H16" s="1659"/>
      <c r="I16" s="1532"/>
      <c r="J16" s="1521"/>
      <c r="K16" s="1526"/>
      <c r="L16" s="1521"/>
      <c r="M16" s="249">
        <f t="shared" si="14"/>
        <v>0</v>
      </c>
      <c r="N16" s="1066"/>
      <c r="O16" s="1659"/>
      <c r="P16" s="1532"/>
      <c r="Q16" s="1521"/>
      <c r="R16" s="1526"/>
      <c r="S16" s="1521"/>
      <c r="T16" s="249">
        <f t="shared" si="0"/>
        <v>0</v>
      </c>
      <c r="U16" s="1870"/>
      <c r="V16" s="71"/>
      <c r="W16" s="945" t="str">
        <f t="shared" si="1"/>
        <v>Please complete all cells in row</v>
      </c>
      <c r="Y16" s="72"/>
      <c r="AA16" s="98">
        <f t="shared" si="2"/>
        <v>1</v>
      </c>
      <c r="AB16" s="98">
        <f t="shared" si="3"/>
        <v>1</v>
      </c>
      <c r="AC16" s="98">
        <f t="shared" si="4"/>
        <v>1</v>
      </c>
      <c r="AD16" s="98">
        <f t="shared" si="5"/>
        <v>1</v>
      </c>
      <c r="AE16" s="98">
        <f t="shared" si="6"/>
        <v>1</v>
      </c>
      <c r="AF16" s="98">
        <f t="shared" si="7"/>
        <v>1</v>
      </c>
      <c r="AG16" s="90"/>
      <c r="AH16" s="98">
        <f t="shared" si="8"/>
        <v>1</v>
      </c>
      <c r="AI16" s="98">
        <f t="shared" si="9"/>
        <v>1</v>
      </c>
      <c r="AJ16" s="98">
        <f t="shared" si="10"/>
        <v>1</v>
      </c>
      <c r="AK16" s="98">
        <f t="shared" si="11"/>
        <v>1</v>
      </c>
      <c r="AL16" s="98">
        <f t="shared" si="12"/>
        <v>1</v>
      </c>
      <c r="AM16" s="98">
        <f t="shared" si="13"/>
        <v>1</v>
      </c>
      <c r="AN16" s="72"/>
      <c r="AP16" s="72"/>
      <c r="AT16" s="72"/>
      <c r="AW16" s="1059" t="s">
        <v>6565</v>
      </c>
      <c r="AX16" s="3044" t="s">
        <v>4099</v>
      </c>
      <c r="AY16" s="3044"/>
      <c r="AZ16" s="2145" t="s">
        <v>750</v>
      </c>
      <c r="BA16" s="1061">
        <v>3</v>
      </c>
      <c r="BB16" s="3045" t="s">
        <v>12449</v>
      </c>
      <c r="BC16" s="3046" t="s">
        <v>7795</v>
      </c>
      <c r="BD16" s="3047" t="s">
        <v>7796</v>
      </c>
      <c r="BE16" s="3048" t="s">
        <v>7797</v>
      </c>
      <c r="BF16" s="3049" t="s">
        <v>7798</v>
      </c>
      <c r="BG16" s="3048" t="s">
        <v>7799</v>
      </c>
      <c r="BH16" s="2265" t="s">
        <v>7800</v>
      </c>
      <c r="BI16" s="3045" t="s">
        <v>12484</v>
      </c>
      <c r="BJ16" s="3046" t="s">
        <v>7801</v>
      </c>
      <c r="BK16" s="3048" t="s">
        <v>7802</v>
      </c>
      <c r="BL16" s="3049" t="s">
        <v>7803</v>
      </c>
      <c r="BM16" s="3047" t="s">
        <v>7804</v>
      </c>
      <c r="BN16" s="3048" t="s">
        <v>7805</v>
      </c>
      <c r="BO16" s="2265" t="s">
        <v>7806</v>
      </c>
    </row>
    <row r="17" spans="1:68" s="200" customFormat="1">
      <c r="A17" s="928"/>
      <c r="B17" s="1059" t="s">
        <v>6566</v>
      </c>
      <c r="C17" s="2608" t="s">
        <v>4100</v>
      </c>
      <c r="D17" s="1064"/>
      <c r="E17" s="1060" t="s">
        <v>750</v>
      </c>
      <c r="F17" s="1061">
        <v>3</v>
      </c>
      <c r="G17" s="1066"/>
      <c r="H17" s="1659"/>
      <c r="I17" s="1532"/>
      <c r="J17" s="1521"/>
      <c r="K17" s="1526"/>
      <c r="L17" s="1521"/>
      <c r="M17" s="249">
        <f t="shared" si="14"/>
        <v>0</v>
      </c>
      <c r="N17" s="1066"/>
      <c r="O17" s="1659"/>
      <c r="P17" s="1532"/>
      <c r="Q17" s="1521"/>
      <c r="R17" s="1526"/>
      <c r="S17" s="1521"/>
      <c r="T17" s="249">
        <f t="shared" si="0"/>
        <v>0</v>
      </c>
      <c r="U17" s="1870"/>
      <c r="V17" s="71"/>
      <c r="W17" s="945" t="str">
        <f t="shared" si="1"/>
        <v>Please complete all cells in row</v>
      </c>
      <c r="Y17" s="72"/>
      <c r="AA17" s="98">
        <f t="shared" si="2"/>
        <v>1</v>
      </c>
      <c r="AB17" s="98">
        <f t="shared" si="3"/>
        <v>1</v>
      </c>
      <c r="AC17" s="98">
        <f t="shared" si="4"/>
        <v>1</v>
      </c>
      <c r="AD17" s="98">
        <f t="shared" si="5"/>
        <v>1</v>
      </c>
      <c r="AE17" s="98">
        <f t="shared" si="6"/>
        <v>1</v>
      </c>
      <c r="AF17" s="98">
        <f t="shared" si="7"/>
        <v>1</v>
      </c>
      <c r="AG17" s="90"/>
      <c r="AH17" s="98">
        <f t="shared" si="8"/>
        <v>1</v>
      </c>
      <c r="AI17" s="98">
        <f t="shared" si="9"/>
        <v>1</v>
      </c>
      <c r="AJ17" s="98">
        <f t="shared" si="10"/>
        <v>1</v>
      </c>
      <c r="AK17" s="98">
        <f t="shared" si="11"/>
        <v>1</v>
      </c>
      <c r="AL17" s="98">
        <f t="shared" si="12"/>
        <v>1</v>
      </c>
      <c r="AM17" s="98">
        <f t="shared" si="13"/>
        <v>1</v>
      </c>
      <c r="AN17" s="72"/>
      <c r="AP17" s="72"/>
      <c r="AT17" s="72"/>
      <c r="AW17" s="1059" t="s">
        <v>6566</v>
      </c>
      <c r="AX17" s="3044" t="s">
        <v>4100</v>
      </c>
      <c r="AY17" s="3044"/>
      <c r="AZ17" s="2145" t="s">
        <v>750</v>
      </c>
      <c r="BA17" s="1061">
        <v>3</v>
      </c>
      <c r="BB17" s="3045" t="s">
        <v>12450</v>
      </c>
      <c r="BC17" s="3046" t="s">
        <v>7807</v>
      </c>
      <c r="BD17" s="3047" t="s">
        <v>7808</v>
      </c>
      <c r="BE17" s="3048" t="s">
        <v>7809</v>
      </c>
      <c r="BF17" s="3049" t="s">
        <v>7810</v>
      </c>
      <c r="BG17" s="3048" t="s">
        <v>7811</v>
      </c>
      <c r="BH17" s="2265" t="s">
        <v>7812</v>
      </c>
      <c r="BI17" s="3045" t="s">
        <v>12485</v>
      </c>
      <c r="BJ17" s="3046" t="s">
        <v>7813</v>
      </c>
      <c r="BK17" s="3048" t="s">
        <v>7814</v>
      </c>
      <c r="BL17" s="3049" t="s">
        <v>7815</v>
      </c>
      <c r="BM17" s="3047" t="s">
        <v>7816</v>
      </c>
      <c r="BN17" s="3048" t="s">
        <v>7817</v>
      </c>
      <c r="BO17" s="2265" t="s">
        <v>7818</v>
      </c>
    </row>
    <row r="18" spans="1:68" s="200" customFormat="1">
      <c r="A18" s="928"/>
      <c r="B18" s="1059" t="s">
        <v>6567</v>
      </c>
      <c r="C18" s="2608" t="s">
        <v>4101</v>
      </c>
      <c r="D18" s="1064"/>
      <c r="E18" s="1060" t="s">
        <v>750</v>
      </c>
      <c r="F18" s="1061">
        <v>3</v>
      </c>
      <c r="G18" s="1066"/>
      <c r="H18" s="1659"/>
      <c r="I18" s="1532"/>
      <c r="J18" s="1521"/>
      <c r="K18" s="1526"/>
      <c r="L18" s="1521"/>
      <c r="M18" s="249">
        <f t="shared" si="14"/>
        <v>0</v>
      </c>
      <c r="N18" s="1066"/>
      <c r="O18" s="1659"/>
      <c r="P18" s="1532"/>
      <c r="Q18" s="1521"/>
      <c r="R18" s="1526"/>
      <c r="S18" s="1521"/>
      <c r="T18" s="249">
        <f t="shared" si="0"/>
        <v>0</v>
      </c>
      <c r="U18" s="1870"/>
      <c r="V18" s="71"/>
      <c r="W18" s="945" t="str">
        <f t="shared" si="1"/>
        <v>Please complete all cells in row</v>
      </c>
      <c r="Y18" s="72"/>
      <c r="AA18" s="98">
        <f t="shared" si="2"/>
        <v>1</v>
      </c>
      <c r="AB18" s="98">
        <f t="shared" si="3"/>
        <v>1</v>
      </c>
      <c r="AC18" s="98">
        <f t="shared" si="4"/>
        <v>1</v>
      </c>
      <c r="AD18" s="98">
        <f t="shared" si="5"/>
        <v>1</v>
      </c>
      <c r="AE18" s="98">
        <f t="shared" si="6"/>
        <v>1</v>
      </c>
      <c r="AF18" s="98">
        <f t="shared" si="7"/>
        <v>1</v>
      </c>
      <c r="AG18" s="90"/>
      <c r="AH18" s="98">
        <f t="shared" si="8"/>
        <v>1</v>
      </c>
      <c r="AI18" s="98">
        <f t="shared" si="9"/>
        <v>1</v>
      </c>
      <c r="AJ18" s="98">
        <f t="shared" si="10"/>
        <v>1</v>
      </c>
      <c r="AK18" s="98">
        <f t="shared" si="11"/>
        <v>1</v>
      </c>
      <c r="AL18" s="98">
        <f t="shared" si="12"/>
        <v>1</v>
      </c>
      <c r="AM18" s="98">
        <f t="shared" si="13"/>
        <v>1</v>
      </c>
      <c r="AN18" s="72"/>
      <c r="AP18" s="72"/>
      <c r="AT18" s="72"/>
      <c r="AW18" s="1059" t="s">
        <v>6567</v>
      </c>
      <c r="AX18" s="3044" t="s">
        <v>4101</v>
      </c>
      <c r="AY18" s="3044"/>
      <c r="AZ18" s="2145" t="s">
        <v>750</v>
      </c>
      <c r="BA18" s="1061">
        <v>3</v>
      </c>
      <c r="BB18" s="3045" t="s">
        <v>12451</v>
      </c>
      <c r="BC18" s="3046" t="s">
        <v>7819</v>
      </c>
      <c r="BD18" s="3047" t="s">
        <v>7820</v>
      </c>
      <c r="BE18" s="3048" t="s">
        <v>7821</v>
      </c>
      <c r="BF18" s="3049" t="s">
        <v>7822</v>
      </c>
      <c r="BG18" s="3048" t="s">
        <v>7823</v>
      </c>
      <c r="BH18" s="2265" t="s">
        <v>7824</v>
      </c>
      <c r="BI18" s="3045" t="s">
        <v>12486</v>
      </c>
      <c r="BJ18" s="3046" t="s">
        <v>7825</v>
      </c>
      <c r="BK18" s="3048" t="s">
        <v>7826</v>
      </c>
      <c r="BL18" s="3049" t="s">
        <v>7827</v>
      </c>
      <c r="BM18" s="3047" t="s">
        <v>7828</v>
      </c>
      <c r="BN18" s="3048" t="s">
        <v>7829</v>
      </c>
      <c r="BO18" s="2265" t="s">
        <v>7830</v>
      </c>
    </row>
    <row r="19" spans="1:68" s="200" customFormat="1">
      <c r="A19" s="928"/>
      <c r="B19" s="1059" t="s">
        <v>6568</v>
      </c>
      <c r="C19" s="2608" t="s">
        <v>4102</v>
      </c>
      <c r="D19" s="1705"/>
      <c r="E19" s="1060" t="s">
        <v>750</v>
      </c>
      <c r="F19" s="1061">
        <v>3</v>
      </c>
      <c r="G19" s="1066"/>
      <c r="H19" s="1659"/>
      <c r="I19" s="1532"/>
      <c r="J19" s="1521"/>
      <c r="K19" s="1526"/>
      <c r="L19" s="1521"/>
      <c r="M19" s="249">
        <f t="shared" si="14"/>
        <v>0</v>
      </c>
      <c r="N19" s="1066"/>
      <c r="O19" s="1659"/>
      <c r="P19" s="1532"/>
      <c r="Q19" s="1521"/>
      <c r="R19" s="1526"/>
      <c r="S19" s="1521"/>
      <c r="T19" s="249">
        <f t="shared" si="0"/>
        <v>0</v>
      </c>
      <c r="U19" s="1870"/>
      <c r="V19" s="71"/>
      <c r="W19" s="945" t="str">
        <f t="shared" si="1"/>
        <v>Please complete all cells in row</v>
      </c>
      <c r="Y19" s="72"/>
      <c r="AA19" s="98">
        <f t="shared" si="2"/>
        <v>1</v>
      </c>
      <c r="AB19" s="98">
        <f t="shared" si="3"/>
        <v>1</v>
      </c>
      <c r="AC19" s="98">
        <f t="shared" si="4"/>
        <v>1</v>
      </c>
      <c r="AD19" s="98">
        <f t="shared" si="5"/>
        <v>1</v>
      </c>
      <c r="AE19" s="98">
        <f t="shared" si="6"/>
        <v>1</v>
      </c>
      <c r="AF19" s="98">
        <f t="shared" si="7"/>
        <v>1</v>
      </c>
      <c r="AG19" s="90"/>
      <c r="AH19" s="98">
        <f t="shared" si="8"/>
        <v>1</v>
      </c>
      <c r="AI19" s="98">
        <f t="shared" si="9"/>
        <v>1</v>
      </c>
      <c r="AJ19" s="98">
        <f t="shared" si="10"/>
        <v>1</v>
      </c>
      <c r="AK19" s="98">
        <f t="shared" si="11"/>
        <v>1</v>
      </c>
      <c r="AL19" s="98">
        <f t="shared" si="12"/>
        <v>1</v>
      </c>
      <c r="AM19" s="98">
        <f t="shared" si="13"/>
        <v>1</v>
      </c>
      <c r="AN19" s="72"/>
      <c r="AP19" s="72"/>
      <c r="AT19" s="72"/>
      <c r="AW19" s="1059" t="s">
        <v>6568</v>
      </c>
      <c r="AX19" s="3044" t="s">
        <v>4102</v>
      </c>
      <c r="AY19" s="3044"/>
      <c r="AZ19" s="2145" t="s">
        <v>750</v>
      </c>
      <c r="BA19" s="1061">
        <v>3</v>
      </c>
      <c r="BB19" s="3045" t="s">
        <v>12452</v>
      </c>
      <c r="BC19" s="3046" t="s">
        <v>7831</v>
      </c>
      <c r="BD19" s="3047" t="s">
        <v>7832</v>
      </c>
      <c r="BE19" s="3048" t="s">
        <v>7833</v>
      </c>
      <c r="BF19" s="3049" t="s">
        <v>7834</v>
      </c>
      <c r="BG19" s="3048" t="s">
        <v>7835</v>
      </c>
      <c r="BH19" s="2265" t="s">
        <v>7836</v>
      </c>
      <c r="BI19" s="3045" t="s">
        <v>12487</v>
      </c>
      <c r="BJ19" s="3046" t="s">
        <v>7837</v>
      </c>
      <c r="BK19" s="3048" t="s">
        <v>7838</v>
      </c>
      <c r="BL19" s="3049" t="s">
        <v>7839</v>
      </c>
      <c r="BM19" s="3047" t="s">
        <v>7840</v>
      </c>
      <c r="BN19" s="3048" t="s">
        <v>7841</v>
      </c>
      <c r="BO19" s="2265" t="s">
        <v>7842</v>
      </c>
      <c r="BP19" s="2314"/>
    </row>
    <row r="20" spans="1:68" s="200" customFormat="1">
      <c r="A20" s="928"/>
      <c r="B20" s="1059" t="s">
        <v>6569</v>
      </c>
      <c r="C20" s="2608" t="s">
        <v>4103</v>
      </c>
      <c r="D20" s="1064"/>
      <c r="E20" s="1060" t="s">
        <v>750</v>
      </c>
      <c r="F20" s="1061">
        <v>3</v>
      </c>
      <c r="G20" s="1066"/>
      <c r="H20" s="1659"/>
      <c r="I20" s="1532"/>
      <c r="J20" s="1521"/>
      <c r="K20" s="1526"/>
      <c r="L20" s="1521"/>
      <c r="M20" s="249">
        <f t="shared" si="14"/>
        <v>0</v>
      </c>
      <c r="N20" s="1066"/>
      <c r="O20" s="1659"/>
      <c r="P20" s="1532"/>
      <c r="Q20" s="1521"/>
      <c r="R20" s="1526"/>
      <c r="S20" s="1521"/>
      <c r="T20" s="249">
        <f t="shared" si="0"/>
        <v>0</v>
      </c>
      <c r="U20" s="1870"/>
      <c r="V20" s="71"/>
      <c r="W20" s="945" t="str">
        <f t="shared" si="1"/>
        <v>Please complete all cells in row</v>
      </c>
      <c r="Y20" s="72"/>
      <c r="AA20" s="98">
        <f t="shared" si="2"/>
        <v>1</v>
      </c>
      <c r="AB20" s="98">
        <f t="shared" si="3"/>
        <v>1</v>
      </c>
      <c r="AC20" s="98">
        <f t="shared" si="4"/>
        <v>1</v>
      </c>
      <c r="AD20" s="98">
        <f t="shared" si="5"/>
        <v>1</v>
      </c>
      <c r="AE20" s="98">
        <f t="shared" si="6"/>
        <v>1</v>
      </c>
      <c r="AF20" s="98">
        <f t="shared" si="7"/>
        <v>1</v>
      </c>
      <c r="AG20" s="90"/>
      <c r="AH20" s="98">
        <f t="shared" si="8"/>
        <v>1</v>
      </c>
      <c r="AI20" s="98">
        <f t="shared" si="9"/>
        <v>1</v>
      </c>
      <c r="AJ20" s="98">
        <f t="shared" si="10"/>
        <v>1</v>
      </c>
      <c r="AK20" s="98">
        <f t="shared" si="11"/>
        <v>1</v>
      </c>
      <c r="AL20" s="98">
        <f t="shared" si="12"/>
        <v>1</v>
      </c>
      <c r="AM20" s="98">
        <f t="shared" si="13"/>
        <v>1</v>
      </c>
      <c r="AN20" s="72"/>
      <c r="AP20" s="72"/>
      <c r="AT20" s="72"/>
      <c r="AW20" s="1059" t="s">
        <v>6569</v>
      </c>
      <c r="AX20" s="3044" t="s">
        <v>4103</v>
      </c>
      <c r="AY20" s="3044"/>
      <c r="AZ20" s="2145" t="s">
        <v>750</v>
      </c>
      <c r="BA20" s="1061">
        <v>3</v>
      </c>
      <c r="BB20" s="3045" t="s">
        <v>12453</v>
      </c>
      <c r="BC20" s="3046" t="s">
        <v>7843</v>
      </c>
      <c r="BD20" s="3047" t="s">
        <v>7844</v>
      </c>
      <c r="BE20" s="3048" t="s">
        <v>7845</v>
      </c>
      <c r="BF20" s="3049" t="s">
        <v>7846</v>
      </c>
      <c r="BG20" s="3048" t="s">
        <v>7847</v>
      </c>
      <c r="BH20" s="2265" t="s">
        <v>7848</v>
      </c>
      <c r="BI20" s="3045" t="s">
        <v>12488</v>
      </c>
      <c r="BJ20" s="3046" t="s">
        <v>7849</v>
      </c>
      <c r="BK20" s="3048" t="s">
        <v>7850</v>
      </c>
      <c r="BL20" s="3049" t="s">
        <v>7851</v>
      </c>
      <c r="BM20" s="3047" t="s">
        <v>7852</v>
      </c>
      <c r="BN20" s="3048" t="s">
        <v>7853</v>
      </c>
      <c r="BO20" s="2265" t="s">
        <v>7854</v>
      </c>
      <c r="BP20" s="2314"/>
    </row>
    <row r="21" spans="1:68" s="200" customFormat="1">
      <c r="A21" s="928"/>
      <c r="B21" s="1059" t="s">
        <v>6570</v>
      </c>
      <c r="C21" s="2608" t="s">
        <v>137</v>
      </c>
      <c r="D21" s="1064"/>
      <c r="E21" s="1060" t="s">
        <v>750</v>
      </c>
      <c r="F21" s="1061">
        <v>3</v>
      </c>
      <c r="G21" s="1066"/>
      <c r="H21" s="1659"/>
      <c r="I21" s="1532"/>
      <c r="J21" s="1521"/>
      <c r="K21" s="1526"/>
      <c r="L21" s="1521"/>
      <c r="M21" s="249">
        <f t="shared" si="14"/>
        <v>0</v>
      </c>
      <c r="N21" s="1066"/>
      <c r="O21" s="1659"/>
      <c r="P21" s="1532"/>
      <c r="Q21" s="1521"/>
      <c r="R21" s="1526"/>
      <c r="S21" s="1521"/>
      <c r="T21" s="249">
        <f t="shared" si="0"/>
        <v>0</v>
      </c>
      <c r="U21" s="1870"/>
      <c r="V21" s="71"/>
      <c r="W21" s="945" t="str">
        <f t="shared" si="1"/>
        <v>Please complete all cells in row</v>
      </c>
      <c r="Y21" s="72"/>
      <c r="AA21" s="98">
        <f t="shared" si="2"/>
        <v>1</v>
      </c>
      <c r="AB21" s="98">
        <f t="shared" si="3"/>
        <v>1</v>
      </c>
      <c r="AC21" s="98">
        <f t="shared" si="4"/>
        <v>1</v>
      </c>
      <c r="AD21" s="98">
        <f t="shared" si="5"/>
        <v>1</v>
      </c>
      <c r="AE21" s="98">
        <f t="shared" si="6"/>
        <v>1</v>
      </c>
      <c r="AF21" s="98">
        <f t="shared" si="7"/>
        <v>1</v>
      </c>
      <c r="AG21" s="90"/>
      <c r="AH21" s="98">
        <f t="shared" si="8"/>
        <v>1</v>
      </c>
      <c r="AI21" s="98">
        <f t="shared" si="9"/>
        <v>1</v>
      </c>
      <c r="AJ21" s="98">
        <f t="shared" si="10"/>
        <v>1</v>
      </c>
      <c r="AK21" s="98">
        <f t="shared" si="11"/>
        <v>1</v>
      </c>
      <c r="AL21" s="98">
        <f t="shared" si="12"/>
        <v>1</v>
      </c>
      <c r="AM21" s="98">
        <f t="shared" si="13"/>
        <v>1</v>
      </c>
      <c r="AN21" s="72"/>
      <c r="AP21" s="72"/>
      <c r="AT21" s="72"/>
      <c r="AW21" s="1059" t="s">
        <v>6570</v>
      </c>
      <c r="AX21" s="3044" t="s">
        <v>137</v>
      </c>
      <c r="AY21" s="3044"/>
      <c r="AZ21" s="2145" t="s">
        <v>750</v>
      </c>
      <c r="BA21" s="1061">
        <v>3</v>
      </c>
      <c r="BB21" s="3045" t="s">
        <v>12454</v>
      </c>
      <c r="BC21" s="3046" t="s">
        <v>7855</v>
      </c>
      <c r="BD21" s="3047" t="s">
        <v>7856</v>
      </c>
      <c r="BE21" s="3048" t="s">
        <v>7857</v>
      </c>
      <c r="BF21" s="3049" t="s">
        <v>7858</v>
      </c>
      <c r="BG21" s="3048" t="s">
        <v>7859</v>
      </c>
      <c r="BH21" s="2265" t="s">
        <v>7860</v>
      </c>
      <c r="BI21" s="3045" t="s">
        <v>12489</v>
      </c>
      <c r="BJ21" s="3046" t="s">
        <v>7861</v>
      </c>
      <c r="BK21" s="3048" t="s">
        <v>7862</v>
      </c>
      <c r="BL21" s="3049" t="s">
        <v>7863</v>
      </c>
      <c r="BM21" s="3047" t="s">
        <v>7864</v>
      </c>
      <c r="BN21" s="3048" t="s">
        <v>7865</v>
      </c>
      <c r="BO21" s="2265" t="s">
        <v>7866</v>
      </c>
      <c r="BP21" s="2314"/>
    </row>
    <row r="22" spans="1:68" s="200" customFormat="1">
      <c r="A22" s="928"/>
      <c r="B22" s="1059" t="s">
        <v>6571</v>
      </c>
      <c r="C22" s="2608" t="s">
        <v>1041</v>
      </c>
      <c r="D22" s="1064"/>
      <c r="E22" s="1060" t="s">
        <v>750</v>
      </c>
      <c r="F22" s="1061">
        <v>3</v>
      </c>
      <c r="G22" s="1066"/>
      <c r="H22" s="1659"/>
      <c r="I22" s="1532"/>
      <c r="J22" s="1521"/>
      <c r="K22" s="1526"/>
      <c r="L22" s="1521"/>
      <c r="M22" s="249">
        <f t="shared" si="14"/>
        <v>0</v>
      </c>
      <c r="N22" s="1066"/>
      <c r="O22" s="1659"/>
      <c r="P22" s="1532"/>
      <c r="Q22" s="1521"/>
      <c r="R22" s="1526"/>
      <c r="S22" s="1521"/>
      <c r="T22" s="249">
        <f t="shared" si="0"/>
        <v>0</v>
      </c>
      <c r="U22" s="1870"/>
      <c r="V22" s="71"/>
      <c r="W22" s="945" t="str">
        <f t="shared" si="1"/>
        <v>Please complete all cells in row</v>
      </c>
      <c r="Y22" s="72"/>
      <c r="AA22" s="98">
        <f t="shared" si="2"/>
        <v>1</v>
      </c>
      <c r="AB22" s="98">
        <f t="shared" si="3"/>
        <v>1</v>
      </c>
      <c r="AC22" s="98">
        <f t="shared" si="4"/>
        <v>1</v>
      </c>
      <c r="AD22" s="98">
        <f t="shared" si="5"/>
        <v>1</v>
      </c>
      <c r="AE22" s="98">
        <f t="shared" si="6"/>
        <v>1</v>
      </c>
      <c r="AF22" s="98">
        <f t="shared" si="7"/>
        <v>1</v>
      </c>
      <c r="AG22" s="90"/>
      <c r="AH22" s="98">
        <f t="shared" si="8"/>
        <v>1</v>
      </c>
      <c r="AI22" s="98">
        <f t="shared" si="9"/>
        <v>1</v>
      </c>
      <c r="AJ22" s="98">
        <f t="shared" si="10"/>
        <v>1</v>
      </c>
      <c r="AK22" s="98">
        <f t="shared" si="11"/>
        <v>1</v>
      </c>
      <c r="AL22" s="98">
        <f t="shared" si="12"/>
        <v>1</v>
      </c>
      <c r="AM22" s="98">
        <f t="shared" si="13"/>
        <v>1</v>
      </c>
      <c r="AN22" s="72"/>
      <c r="AP22" s="72"/>
      <c r="AT22" s="72"/>
      <c r="AW22" s="1059" t="s">
        <v>6571</v>
      </c>
      <c r="AX22" s="3044" t="s">
        <v>1041</v>
      </c>
      <c r="AY22" s="3044"/>
      <c r="AZ22" s="2145" t="s">
        <v>750</v>
      </c>
      <c r="BA22" s="1061">
        <v>3</v>
      </c>
      <c r="BB22" s="3045" t="s">
        <v>12455</v>
      </c>
      <c r="BC22" s="3046" t="s">
        <v>7867</v>
      </c>
      <c r="BD22" s="3047" t="s">
        <v>7868</v>
      </c>
      <c r="BE22" s="3048" t="s">
        <v>7869</v>
      </c>
      <c r="BF22" s="3049" t="s">
        <v>7870</v>
      </c>
      <c r="BG22" s="3048" t="s">
        <v>7871</v>
      </c>
      <c r="BH22" s="2265" t="s">
        <v>7872</v>
      </c>
      <c r="BI22" s="3045" t="s">
        <v>12490</v>
      </c>
      <c r="BJ22" s="3046" t="s">
        <v>7873</v>
      </c>
      <c r="BK22" s="3048" t="s">
        <v>7874</v>
      </c>
      <c r="BL22" s="3049" t="s">
        <v>7875</v>
      </c>
      <c r="BM22" s="3047" t="s">
        <v>7876</v>
      </c>
      <c r="BN22" s="3048" t="s">
        <v>7877</v>
      </c>
      <c r="BO22" s="2265" t="s">
        <v>7878</v>
      </c>
      <c r="BP22" s="2314"/>
    </row>
    <row r="23" spans="1:68" s="200" customFormat="1">
      <c r="A23" s="928"/>
      <c r="B23" s="1059" t="s">
        <v>6572</v>
      </c>
      <c r="C23" s="2608" t="s">
        <v>12623</v>
      </c>
      <c r="D23" s="1064"/>
      <c r="E23" s="2145" t="s">
        <v>750</v>
      </c>
      <c r="F23" s="1061">
        <v>3</v>
      </c>
      <c r="G23" s="1062"/>
      <c r="H23" s="1659"/>
      <c r="I23" s="1532"/>
      <c r="J23" s="1521"/>
      <c r="K23" s="1526"/>
      <c r="L23" s="1521"/>
      <c r="M23" s="249">
        <f t="shared" ref="M23:M24" si="28">SUM(G23:L23)</f>
        <v>0</v>
      </c>
      <c r="N23" s="1062"/>
      <c r="O23" s="1659"/>
      <c r="P23" s="1532"/>
      <c r="Q23" s="1521"/>
      <c r="R23" s="1526"/>
      <c r="S23" s="1521"/>
      <c r="T23" s="414">
        <f t="shared" ref="T23:T24" si="29">SUM(N23:S23)</f>
        <v>0</v>
      </c>
      <c r="U23" s="1870"/>
      <c r="V23" s="71"/>
      <c r="W23" s="945" t="str">
        <f t="shared" ref="W23:W24" si="30" xml:space="preserve"> IF( SUM( Y23:AN23 ) = 0, 0, $AB$5 )</f>
        <v>Please complete all cells in row</v>
      </c>
      <c r="Y23" s="72"/>
      <c r="AA23" s="98">
        <f t="shared" ref="AA23:AA24" si="31" xml:space="preserve"> IF( ISNUMBER( G23 ), 0, 1 )</f>
        <v>1</v>
      </c>
      <c r="AB23" s="98">
        <f t="shared" ref="AB23:AB24" si="32" xml:space="preserve"> IF( ISNUMBER( H23 ), 0, 1 )</f>
        <v>1</v>
      </c>
      <c r="AC23" s="98">
        <f t="shared" ref="AC23:AC24" si="33" xml:space="preserve"> IF( ISNUMBER( I23 ), 0, 1 )</f>
        <v>1</v>
      </c>
      <c r="AD23" s="98">
        <f t="shared" ref="AD23:AD24" si="34" xml:space="preserve"> IF( ISNUMBER( J23 ), 0, 1 )</f>
        <v>1</v>
      </c>
      <c r="AE23" s="98">
        <f t="shared" ref="AE23:AE24" si="35" xml:space="preserve"> IF( ISNUMBER( K23 ), 0, 1 )</f>
        <v>1</v>
      </c>
      <c r="AF23" s="98">
        <f t="shared" ref="AF23:AF24" si="36" xml:space="preserve"> IF( ISNUMBER( L23 ), 0, 1 )</f>
        <v>1</v>
      </c>
      <c r="AG23" s="90"/>
      <c r="AH23" s="98">
        <f t="shared" ref="AH23:AH24" si="37" xml:space="preserve"> IF( ISNUMBER( N23 ), 0, 1 )</f>
        <v>1</v>
      </c>
      <c r="AI23" s="98">
        <f t="shared" ref="AI23:AI24" si="38" xml:space="preserve"> IF( ISNUMBER( O23 ), 0, 1 )</f>
        <v>1</v>
      </c>
      <c r="AJ23" s="98">
        <f t="shared" ref="AJ23:AJ24" si="39" xml:space="preserve"> IF( ISNUMBER( P23 ), 0, 1 )</f>
        <v>1</v>
      </c>
      <c r="AK23" s="98">
        <f t="shared" ref="AK23:AK24" si="40" xml:space="preserve"> IF( ISNUMBER( Q23 ), 0, 1 )</f>
        <v>1</v>
      </c>
      <c r="AL23" s="98">
        <f t="shared" ref="AL23:AL24" si="41" xml:space="preserve"> IF( ISNUMBER( R23 ), 0, 1 )</f>
        <v>1</v>
      </c>
      <c r="AM23" s="98">
        <f t="shared" ref="AM23:AM24" si="42" xml:space="preserve"> IF( ISNUMBER( S23 ), 0, 1 )</f>
        <v>1</v>
      </c>
      <c r="AN23" s="72"/>
      <c r="AP23" s="72"/>
      <c r="AT23" s="72"/>
      <c r="AW23" s="1059" t="s">
        <v>6572</v>
      </c>
      <c r="AX23" s="3044" t="s">
        <v>12623</v>
      </c>
      <c r="AY23" s="3044"/>
      <c r="AZ23" s="2145" t="s">
        <v>750</v>
      </c>
      <c r="BA23" s="1061">
        <v>3</v>
      </c>
      <c r="BB23" s="3037" t="s">
        <v>13054</v>
      </c>
      <c r="BC23" s="3038" t="s">
        <v>13055</v>
      </c>
      <c r="BD23" s="3039" t="s">
        <v>13056</v>
      </c>
      <c r="BE23" s="3040" t="s">
        <v>13057</v>
      </c>
      <c r="BF23" s="3041" t="s">
        <v>13058</v>
      </c>
      <c r="BG23" s="3040" t="s">
        <v>13059</v>
      </c>
      <c r="BH23" s="2265" t="s">
        <v>13060</v>
      </c>
      <c r="BI23" s="3037" t="s">
        <v>13061</v>
      </c>
      <c r="BJ23" s="3038" t="s">
        <v>13062</v>
      </c>
      <c r="BK23" s="3039" t="s">
        <v>13063</v>
      </c>
      <c r="BL23" s="3040" t="s">
        <v>13064</v>
      </c>
      <c r="BM23" s="3041" t="s">
        <v>13065</v>
      </c>
      <c r="BN23" s="3040" t="s">
        <v>13066</v>
      </c>
      <c r="BO23" s="2265" t="s">
        <v>13067</v>
      </c>
      <c r="BP23" s="2314"/>
    </row>
    <row r="24" spans="1:68" s="200" customFormat="1">
      <c r="A24" s="928"/>
      <c r="B24" s="1059" t="s">
        <v>6573</v>
      </c>
      <c r="C24" s="2608" t="s">
        <v>12624</v>
      </c>
      <c r="D24" s="1064"/>
      <c r="E24" s="2145" t="s">
        <v>750</v>
      </c>
      <c r="F24" s="1061">
        <v>3</v>
      </c>
      <c r="G24" s="1062"/>
      <c r="H24" s="1659"/>
      <c r="I24" s="1532"/>
      <c r="J24" s="1521"/>
      <c r="K24" s="1526"/>
      <c r="L24" s="1521"/>
      <c r="M24" s="249">
        <f t="shared" si="28"/>
        <v>0</v>
      </c>
      <c r="N24" s="1062"/>
      <c r="O24" s="1659"/>
      <c r="P24" s="1532"/>
      <c r="Q24" s="1521"/>
      <c r="R24" s="1526"/>
      <c r="S24" s="1521"/>
      <c r="T24" s="414">
        <f t="shared" si="29"/>
        <v>0</v>
      </c>
      <c r="U24" s="1870"/>
      <c r="V24" s="71"/>
      <c r="W24" s="945" t="str">
        <f t="shared" si="30"/>
        <v>Please complete all cells in row</v>
      </c>
      <c r="Y24" s="72"/>
      <c r="AA24" s="98">
        <f t="shared" si="31"/>
        <v>1</v>
      </c>
      <c r="AB24" s="98">
        <f t="shared" si="32"/>
        <v>1</v>
      </c>
      <c r="AC24" s="98">
        <f t="shared" si="33"/>
        <v>1</v>
      </c>
      <c r="AD24" s="98">
        <f t="shared" si="34"/>
        <v>1</v>
      </c>
      <c r="AE24" s="98">
        <f t="shared" si="35"/>
        <v>1</v>
      </c>
      <c r="AF24" s="98">
        <f t="shared" si="36"/>
        <v>1</v>
      </c>
      <c r="AG24" s="90"/>
      <c r="AH24" s="98">
        <f t="shared" si="37"/>
        <v>1</v>
      </c>
      <c r="AI24" s="98">
        <f t="shared" si="38"/>
        <v>1</v>
      </c>
      <c r="AJ24" s="98">
        <f t="shared" si="39"/>
        <v>1</v>
      </c>
      <c r="AK24" s="98">
        <f t="shared" si="40"/>
        <v>1</v>
      </c>
      <c r="AL24" s="98">
        <f t="shared" si="41"/>
        <v>1</v>
      </c>
      <c r="AM24" s="98">
        <f t="shared" si="42"/>
        <v>1</v>
      </c>
      <c r="AN24" s="72"/>
      <c r="AP24" s="72"/>
      <c r="AT24" s="72"/>
      <c r="AW24" s="1059" t="s">
        <v>6573</v>
      </c>
      <c r="AX24" s="3044" t="s">
        <v>12624</v>
      </c>
      <c r="AY24" s="3044"/>
      <c r="AZ24" s="2145" t="s">
        <v>750</v>
      </c>
      <c r="BA24" s="1061">
        <v>3</v>
      </c>
      <c r="BB24" s="3037" t="s">
        <v>13068</v>
      </c>
      <c r="BC24" s="3038" t="s">
        <v>13069</v>
      </c>
      <c r="BD24" s="3039" t="s">
        <v>13070</v>
      </c>
      <c r="BE24" s="3040" t="s">
        <v>13071</v>
      </c>
      <c r="BF24" s="3041" t="s">
        <v>13072</v>
      </c>
      <c r="BG24" s="3040" t="s">
        <v>13073</v>
      </c>
      <c r="BH24" s="2265" t="s">
        <v>13074</v>
      </c>
      <c r="BI24" s="3037" t="s">
        <v>13075</v>
      </c>
      <c r="BJ24" s="3038" t="s">
        <v>13076</v>
      </c>
      <c r="BK24" s="3039" t="s">
        <v>13077</v>
      </c>
      <c r="BL24" s="3040" t="s">
        <v>13078</v>
      </c>
      <c r="BM24" s="3041" t="s">
        <v>13079</v>
      </c>
      <c r="BN24" s="3040" t="s">
        <v>13080</v>
      </c>
      <c r="BO24" s="2265" t="s">
        <v>13081</v>
      </c>
      <c r="BP24" s="2314"/>
    </row>
    <row r="25" spans="1:68" s="200" customFormat="1">
      <c r="A25" s="928"/>
      <c r="B25" s="1059" t="s">
        <v>6574</v>
      </c>
      <c r="C25" s="2608" t="s">
        <v>4104</v>
      </c>
      <c r="D25" s="1705"/>
      <c r="E25" s="1060" t="s">
        <v>750</v>
      </c>
      <c r="F25" s="1061">
        <v>3</v>
      </c>
      <c r="G25" s="1066"/>
      <c r="H25" s="1659"/>
      <c r="I25" s="1532"/>
      <c r="J25" s="1521"/>
      <c r="K25" s="1526"/>
      <c r="L25" s="1521"/>
      <c r="M25" s="249">
        <f t="shared" si="14"/>
        <v>0</v>
      </c>
      <c r="N25" s="1066"/>
      <c r="O25" s="1659"/>
      <c r="P25" s="1532"/>
      <c r="Q25" s="1521"/>
      <c r="R25" s="1526"/>
      <c r="S25" s="1521"/>
      <c r="T25" s="249">
        <f t="shared" si="0"/>
        <v>0</v>
      </c>
      <c r="U25" s="1870"/>
      <c r="V25" s="71"/>
      <c r="W25" s="945" t="str">
        <f t="shared" si="1"/>
        <v>Please complete all cells in row</v>
      </c>
      <c r="Y25" s="72"/>
      <c r="AA25" s="98">
        <f t="shared" si="2"/>
        <v>1</v>
      </c>
      <c r="AB25" s="98">
        <f t="shared" si="3"/>
        <v>1</v>
      </c>
      <c r="AC25" s="98">
        <f t="shared" si="4"/>
        <v>1</v>
      </c>
      <c r="AD25" s="98">
        <f t="shared" si="5"/>
        <v>1</v>
      </c>
      <c r="AE25" s="98">
        <f t="shared" si="6"/>
        <v>1</v>
      </c>
      <c r="AF25" s="98">
        <f t="shared" si="7"/>
        <v>1</v>
      </c>
      <c r="AG25" s="90"/>
      <c r="AH25" s="98">
        <f t="shared" si="8"/>
        <v>1</v>
      </c>
      <c r="AI25" s="98">
        <f t="shared" si="9"/>
        <v>1</v>
      </c>
      <c r="AJ25" s="98">
        <f t="shared" si="10"/>
        <v>1</v>
      </c>
      <c r="AK25" s="98">
        <f t="shared" si="11"/>
        <v>1</v>
      </c>
      <c r="AL25" s="98">
        <f t="shared" si="12"/>
        <v>1</v>
      </c>
      <c r="AM25" s="98">
        <f t="shared" si="13"/>
        <v>1</v>
      </c>
      <c r="AN25" s="72"/>
      <c r="AP25" s="72"/>
      <c r="AT25" s="72"/>
      <c r="AW25" s="1059" t="s">
        <v>6574</v>
      </c>
      <c r="AX25" s="3050" t="s">
        <v>4104</v>
      </c>
      <c r="AY25" s="3051"/>
      <c r="AZ25" s="2145" t="s">
        <v>750</v>
      </c>
      <c r="BA25" s="1061">
        <v>3</v>
      </c>
      <c r="BB25" s="3045" t="s">
        <v>12456</v>
      </c>
      <c r="BC25" s="3046" t="s">
        <v>7879</v>
      </c>
      <c r="BD25" s="3047" t="s">
        <v>7880</v>
      </c>
      <c r="BE25" s="3048" t="s">
        <v>7881</v>
      </c>
      <c r="BF25" s="3049" t="s">
        <v>7882</v>
      </c>
      <c r="BG25" s="3048" t="s">
        <v>7883</v>
      </c>
      <c r="BH25" s="2265" t="s">
        <v>7884</v>
      </c>
      <c r="BI25" s="3045" t="s">
        <v>12491</v>
      </c>
      <c r="BJ25" s="3046" t="s">
        <v>7885</v>
      </c>
      <c r="BK25" s="3048" t="s">
        <v>7886</v>
      </c>
      <c r="BL25" s="3049" t="s">
        <v>7887</v>
      </c>
      <c r="BM25" s="3047" t="s">
        <v>7888</v>
      </c>
      <c r="BN25" s="3048" t="s">
        <v>7889</v>
      </c>
      <c r="BO25" s="2265" t="s">
        <v>7890</v>
      </c>
      <c r="BP25" s="2314"/>
    </row>
    <row r="26" spans="1:68" s="200" customFormat="1">
      <c r="A26" s="928"/>
      <c r="B26" s="1059" t="s">
        <v>6575</v>
      </c>
      <c r="C26" s="2608" t="s">
        <v>4105</v>
      </c>
      <c r="D26" s="1064"/>
      <c r="E26" s="1060" t="s">
        <v>750</v>
      </c>
      <c r="F26" s="1061">
        <v>3</v>
      </c>
      <c r="G26" s="1066"/>
      <c r="H26" s="1659"/>
      <c r="I26" s="1532"/>
      <c r="J26" s="1521"/>
      <c r="K26" s="1526"/>
      <c r="L26" s="1521"/>
      <c r="M26" s="249">
        <f t="shared" si="14"/>
        <v>0</v>
      </c>
      <c r="N26" s="1066"/>
      <c r="O26" s="1659"/>
      <c r="P26" s="1532"/>
      <c r="Q26" s="1521"/>
      <c r="R26" s="1526"/>
      <c r="S26" s="1521"/>
      <c r="T26" s="249">
        <f t="shared" si="0"/>
        <v>0</v>
      </c>
      <c r="U26" s="1870"/>
      <c r="V26" s="71"/>
      <c r="W26" s="945" t="str">
        <f t="shared" si="1"/>
        <v>Please complete all cells in row</v>
      </c>
      <c r="Y26" s="72"/>
      <c r="AA26" s="98">
        <f t="shared" si="2"/>
        <v>1</v>
      </c>
      <c r="AB26" s="98">
        <f t="shared" si="3"/>
        <v>1</v>
      </c>
      <c r="AC26" s="98">
        <f t="shared" si="4"/>
        <v>1</v>
      </c>
      <c r="AD26" s="98">
        <f t="shared" si="5"/>
        <v>1</v>
      </c>
      <c r="AE26" s="98">
        <f t="shared" si="6"/>
        <v>1</v>
      </c>
      <c r="AF26" s="98">
        <f t="shared" si="7"/>
        <v>1</v>
      </c>
      <c r="AG26" s="90"/>
      <c r="AH26" s="98">
        <f t="shared" si="8"/>
        <v>1</v>
      </c>
      <c r="AI26" s="98">
        <f t="shared" si="9"/>
        <v>1</v>
      </c>
      <c r="AJ26" s="98">
        <f t="shared" si="10"/>
        <v>1</v>
      </c>
      <c r="AK26" s="98">
        <f t="shared" si="11"/>
        <v>1</v>
      </c>
      <c r="AL26" s="98">
        <f t="shared" si="12"/>
        <v>1</v>
      </c>
      <c r="AM26" s="98">
        <f t="shared" si="13"/>
        <v>1</v>
      </c>
      <c r="AN26" s="72"/>
      <c r="AP26" s="72"/>
      <c r="AT26" s="72"/>
      <c r="AW26" s="1059" t="s">
        <v>6575</v>
      </c>
      <c r="AX26" s="3050" t="s">
        <v>4105</v>
      </c>
      <c r="AY26" s="3052"/>
      <c r="AZ26" s="2145" t="s">
        <v>750</v>
      </c>
      <c r="BA26" s="1061">
        <v>3</v>
      </c>
      <c r="BB26" s="3045" t="s">
        <v>12457</v>
      </c>
      <c r="BC26" s="3046" t="s">
        <v>7891</v>
      </c>
      <c r="BD26" s="3047" t="s">
        <v>7892</v>
      </c>
      <c r="BE26" s="3048" t="s">
        <v>7893</v>
      </c>
      <c r="BF26" s="3049" t="s">
        <v>7894</v>
      </c>
      <c r="BG26" s="3048" t="s">
        <v>7895</v>
      </c>
      <c r="BH26" s="249" t="s">
        <v>7896</v>
      </c>
      <c r="BI26" s="3045" t="s">
        <v>12492</v>
      </c>
      <c r="BJ26" s="3046" t="s">
        <v>7897</v>
      </c>
      <c r="BK26" s="3048" t="s">
        <v>7898</v>
      </c>
      <c r="BL26" s="3049" t="s">
        <v>7899</v>
      </c>
      <c r="BM26" s="3047" t="s">
        <v>7900</v>
      </c>
      <c r="BN26" s="3048" t="s">
        <v>7901</v>
      </c>
      <c r="BO26" s="249" t="s">
        <v>7902</v>
      </c>
    </row>
    <row r="27" spans="1:68" s="200" customFormat="1">
      <c r="A27" s="928"/>
      <c r="B27" s="1059" t="s">
        <v>6576</v>
      </c>
      <c r="C27" s="2608" t="s">
        <v>4106</v>
      </c>
      <c r="D27" s="1064"/>
      <c r="E27" s="1060" t="s">
        <v>750</v>
      </c>
      <c r="F27" s="1061">
        <v>3</v>
      </c>
      <c r="G27" s="1066"/>
      <c r="H27" s="1659"/>
      <c r="I27" s="1532"/>
      <c r="J27" s="1521"/>
      <c r="K27" s="1526"/>
      <c r="L27" s="1521"/>
      <c r="M27" s="249">
        <f t="shared" si="14"/>
        <v>0</v>
      </c>
      <c r="N27" s="1066"/>
      <c r="O27" s="1659"/>
      <c r="P27" s="1532"/>
      <c r="Q27" s="1521"/>
      <c r="R27" s="1526"/>
      <c r="S27" s="1521"/>
      <c r="T27" s="249">
        <f t="shared" si="0"/>
        <v>0</v>
      </c>
      <c r="U27" s="1870"/>
      <c r="V27" s="71"/>
      <c r="W27" s="945" t="str">
        <f t="shared" si="1"/>
        <v>Please complete all cells in row</v>
      </c>
      <c r="Y27" s="72"/>
      <c r="AA27" s="98">
        <f t="shared" si="2"/>
        <v>1</v>
      </c>
      <c r="AB27" s="98">
        <f t="shared" si="3"/>
        <v>1</v>
      </c>
      <c r="AC27" s="98">
        <f t="shared" si="4"/>
        <v>1</v>
      </c>
      <c r="AD27" s="98">
        <f t="shared" si="5"/>
        <v>1</v>
      </c>
      <c r="AE27" s="98">
        <f t="shared" si="6"/>
        <v>1</v>
      </c>
      <c r="AF27" s="98">
        <f t="shared" si="7"/>
        <v>1</v>
      </c>
      <c r="AG27" s="90"/>
      <c r="AH27" s="98">
        <f t="shared" si="8"/>
        <v>1</v>
      </c>
      <c r="AI27" s="98">
        <f t="shared" si="9"/>
        <v>1</v>
      </c>
      <c r="AJ27" s="98">
        <f t="shared" si="10"/>
        <v>1</v>
      </c>
      <c r="AK27" s="98">
        <f t="shared" si="11"/>
        <v>1</v>
      </c>
      <c r="AL27" s="98">
        <f t="shared" si="12"/>
        <v>1</v>
      </c>
      <c r="AM27" s="98">
        <f t="shared" si="13"/>
        <v>1</v>
      </c>
      <c r="AN27" s="72"/>
      <c r="AP27" s="72"/>
      <c r="AT27" s="72"/>
      <c r="AW27" s="1059" t="s">
        <v>6576</v>
      </c>
      <c r="AX27" s="3050" t="s">
        <v>4106</v>
      </c>
      <c r="AY27" s="3052"/>
      <c r="AZ27" s="2145" t="s">
        <v>750</v>
      </c>
      <c r="BA27" s="1061">
        <v>3</v>
      </c>
      <c r="BB27" s="3045" t="s">
        <v>12458</v>
      </c>
      <c r="BC27" s="3046" t="s">
        <v>7903</v>
      </c>
      <c r="BD27" s="3047" t="s">
        <v>7904</v>
      </c>
      <c r="BE27" s="3048" t="s">
        <v>7905</v>
      </c>
      <c r="BF27" s="3049" t="s">
        <v>7906</v>
      </c>
      <c r="BG27" s="3048" t="s">
        <v>7907</v>
      </c>
      <c r="BH27" s="249" t="s">
        <v>7908</v>
      </c>
      <c r="BI27" s="3045" t="s">
        <v>12493</v>
      </c>
      <c r="BJ27" s="3046" t="s">
        <v>7909</v>
      </c>
      <c r="BK27" s="3048" t="s">
        <v>7910</v>
      </c>
      <c r="BL27" s="3049" t="s">
        <v>7911</v>
      </c>
      <c r="BM27" s="3047" t="s">
        <v>7912</v>
      </c>
      <c r="BN27" s="3048" t="s">
        <v>7913</v>
      </c>
      <c r="BO27" s="249" t="s">
        <v>7914</v>
      </c>
    </row>
    <row r="28" spans="1:68" s="200" customFormat="1">
      <c r="A28" s="928"/>
      <c r="B28" s="1059" t="s">
        <v>6577</v>
      </c>
      <c r="C28" s="1064" t="s">
        <v>4107</v>
      </c>
      <c r="D28" s="1064"/>
      <c r="E28" s="1060" t="s">
        <v>750</v>
      </c>
      <c r="F28" s="1061">
        <v>3</v>
      </c>
      <c r="G28" s="1066"/>
      <c r="H28" s="1659"/>
      <c r="I28" s="1532"/>
      <c r="J28" s="1521"/>
      <c r="K28" s="1526"/>
      <c r="L28" s="1521"/>
      <c r="M28" s="249">
        <f t="shared" si="14"/>
        <v>0</v>
      </c>
      <c r="N28" s="1066"/>
      <c r="O28" s="1659"/>
      <c r="P28" s="1532"/>
      <c r="Q28" s="1521"/>
      <c r="R28" s="1526"/>
      <c r="S28" s="1521"/>
      <c r="T28" s="249">
        <f t="shared" si="0"/>
        <v>0</v>
      </c>
      <c r="U28" s="1870"/>
      <c r="V28" s="71"/>
      <c r="W28" s="945" t="str">
        <f t="shared" si="1"/>
        <v>Please complete all cells in row</v>
      </c>
      <c r="Y28" s="72"/>
      <c r="AA28" s="98">
        <f t="shared" si="2"/>
        <v>1</v>
      </c>
      <c r="AB28" s="98">
        <f t="shared" si="3"/>
        <v>1</v>
      </c>
      <c r="AC28" s="98">
        <f t="shared" si="4"/>
        <v>1</v>
      </c>
      <c r="AD28" s="98">
        <f t="shared" si="5"/>
        <v>1</v>
      </c>
      <c r="AE28" s="98">
        <f t="shared" si="6"/>
        <v>1</v>
      </c>
      <c r="AF28" s="98">
        <f t="shared" si="7"/>
        <v>1</v>
      </c>
      <c r="AG28" s="90"/>
      <c r="AH28" s="98">
        <f t="shared" si="8"/>
        <v>1</v>
      </c>
      <c r="AI28" s="98">
        <f t="shared" si="9"/>
        <v>1</v>
      </c>
      <c r="AJ28" s="98">
        <f t="shared" si="10"/>
        <v>1</v>
      </c>
      <c r="AK28" s="98">
        <f t="shared" si="11"/>
        <v>1</v>
      </c>
      <c r="AL28" s="98">
        <f t="shared" si="12"/>
        <v>1</v>
      </c>
      <c r="AM28" s="98">
        <f t="shared" si="13"/>
        <v>1</v>
      </c>
      <c r="AN28" s="72"/>
      <c r="AP28" s="72"/>
      <c r="AT28" s="72"/>
      <c r="AW28" s="1059" t="s">
        <v>6577</v>
      </c>
      <c r="AX28" s="3050" t="s">
        <v>4107</v>
      </c>
      <c r="AY28" s="3052"/>
      <c r="AZ28" s="2145" t="s">
        <v>750</v>
      </c>
      <c r="BA28" s="1061">
        <v>3</v>
      </c>
      <c r="BB28" s="3045" t="s">
        <v>12459</v>
      </c>
      <c r="BC28" s="3046" t="s">
        <v>7915</v>
      </c>
      <c r="BD28" s="3047" t="s">
        <v>7916</v>
      </c>
      <c r="BE28" s="3048" t="s">
        <v>7917</v>
      </c>
      <c r="BF28" s="3049" t="s">
        <v>7918</v>
      </c>
      <c r="BG28" s="3048" t="s">
        <v>7919</v>
      </c>
      <c r="BH28" s="249" t="s">
        <v>7920</v>
      </c>
      <c r="BI28" s="3045" t="s">
        <v>12494</v>
      </c>
      <c r="BJ28" s="3046" t="s">
        <v>7921</v>
      </c>
      <c r="BK28" s="3048" t="s">
        <v>7922</v>
      </c>
      <c r="BL28" s="3049" t="s">
        <v>7923</v>
      </c>
      <c r="BM28" s="3047" t="s">
        <v>7924</v>
      </c>
      <c r="BN28" s="3048" t="s">
        <v>7925</v>
      </c>
      <c r="BO28" s="249" t="s">
        <v>7926</v>
      </c>
    </row>
    <row r="29" spans="1:68" s="200" customFormat="1">
      <c r="A29" s="928"/>
      <c r="B29" s="1059" t="s">
        <v>6578</v>
      </c>
      <c r="C29" s="1064" t="s">
        <v>4108</v>
      </c>
      <c r="D29" s="1064"/>
      <c r="E29" s="1060" t="s">
        <v>750</v>
      </c>
      <c r="F29" s="1061">
        <v>3</v>
      </c>
      <c r="G29" s="1066"/>
      <c r="H29" s="1659"/>
      <c r="I29" s="1532"/>
      <c r="J29" s="1521"/>
      <c r="K29" s="1526"/>
      <c r="L29" s="1521"/>
      <c r="M29" s="249">
        <f t="shared" si="14"/>
        <v>0</v>
      </c>
      <c r="N29" s="1066"/>
      <c r="O29" s="1659"/>
      <c r="P29" s="1532"/>
      <c r="Q29" s="1521"/>
      <c r="R29" s="1526"/>
      <c r="S29" s="1521"/>
      <c r="T29" s="249">
        <f t="shared" si="0"/>
        <v>0</v>
      </c>
      <c r="U29" s="1870"/>
      <c r="V29" s="71"/>
      <c r="W29" s="945" t="str">
        <f t="shared" si="1"/>
        <v>Please complete all cells in row</v>
      </c>
      <c r="Y29" s="72"/>
      <c r="AA29" s="98">
        <f t="shared" si="2"/>
        <v>1</v>
      </c>
      <c r="AB29" s="98">
        <f t="shared" si="3"/>
        <v>1</v>
      </c>
      <c r="AC29" s="98">
        <f t="shared" si="4"/>
        <v>1</v>
      </c>
      <c r="AD29" s="98">
        <f t="shared" si="5"/>
        <v>1</v>
      </c>
      <c r="AE29" s="98">
        <f t="shared" si="6"/>
        <v>1</v>
      </c>
      <c r="AF29" s="98">
        <f t="shared" si="7"/>
        <v>1</v>
      </c>
      <c r="AG29" s="90"/>
      <c r="AH29" s="98">
        <f t="shared" si="8"/>
        <v>1</v>
      </c>
      <c r="AI29" s="98">
        <f t="shared" si="9"/>
        <v>1</v>
      </c>
      <c r="AJ29" s="98">
        <f t="shared" si="10"/>
        <v>1</v>
      </c>
      <c r="AK29" s="98">
        <f t="shared" si="11"/>
        <v>1</v>
      </c>
      <c r="AL29" s="98">
        <f t="shared" si="12"/>
        <v>1</v>
      </c>
      <c r="AM29" s="98">
        <f t="shared" si="13"/>
        <v>1</v>
      </c>
      <c r="AN29" s="72"/>
      <c r="AP29" s="72"/>
      <c r="AT29" s="72"/>
      <c r="AW29" s="1059" t="s">
        <v>6578</v>
      </c>
      <c r="AX29" s="3050" t="s">
        <v>4108</v>
      </c>
      <c r="AY29" s="3052"/>
      <c r="AZ29" s="2145" t="s">
        <v>750</v>
      </c>
      <c r="BA29" s="1061">
        <v>3</v>
      </c>
      <c r="BB29" s="3045" t="s">
        <v>12460</v>
      </c>
      <c r="BC29" s="3046" t="s">
        <v>7927</v>
      </c>
      <c r="BD29" s="3047" t="s">
        <v>7928</v>
      </c>
      <c r="BE29" s="3048" t="s">
        <v>7929</v>
      </c>
      <c r="BF29" s="3049" t="s">
        <v>7930</v>
      </c>
      <c r="BG29" s="3048" t="s">
        <v>7931</v>
      </c>
      <c r="BH29" s="249" t="s">
        <v>7932</v>
      </c>
      <c r="BI29" s="3045" t="s">
        <v>12495</v>
      </c>
      <c r="BJ29" s="3046" t="s">
        <v>7933</v>
      </c>
      <c r="BK29" s="3048" t="s">
        <v>7934</v>
      </c>
      <c r="BL29" s="3049" t="s">
        <v>7935</v>
      </c>
      <c r="BM29" s="3047" t="s">
        <v>7936</v>
      </c>
      <c r="BN29" s="3048" t="s">
        <v>7937</v>
      </c>
      <c r="BO29" s="249" t="s">
        <v>7938</v>
      </c>
    </row>
    <row r="30" spans="1:68" s="200" customFormat="1">
      <c r="A30" s="928"/>
      <c r="B30" s="1059" t="s">
        <v>6579</v>
      </c>
      <c r="C30" s="1067" t="s">
        <v>4109</v>
      </c>
      <c r="D30" s="1064"/>
      <c r="E30" s="1060" t="s">
        <v>750</v>
      </c>
      <c r="F30" s="1061">
        <v>3</v>
      </c>
      <c r="G30" s="1066"/>
      <c r="H30" s="1659"/>
      <c r="I30" s="1532"/>
      <c r="J30" s="1521"/>
      <c r="K30" s="1526"/>
      <c r="L30" s="1521"/>
      <c r="M30" s="249">
        <f t="shared" si="14"/>
        <v>0</v>
      </c>
      <c r="N30" s="1066"/>
      <c r="O30" s="1659"/>
      <c r="P30" s="1532"/>
      <c r="Q30" s="1521"/>
      <c r="R30" s="1526"/>
      <c r="S30" s="1521"/>
      <c r="T30" s="249">
        <f t="shared" si="0"/>
        <v>0</v>
      </c>
      <c r="U30" s="1870"/>
      <c r="V30" s="71"/>
      <c r="W30" s="945">
        <f t="shared" ref="W30:W44" si="43">(IF(SUM(AA30:AN30)=0,IF(Z30=1,AS$30,0),$AB$5))</f>
        <v>0</v>
      </c>
      <c r="Y30" s="72"/>
      <c r="Z30" s="98">
        <f xml:space="preserve"> IF( AND(OR($C30 = "Capital expenditure purpose - WATER additional line 1 [Other categories]",$C30=""), OR( G30 &lt;&gt; 0, H30 &lt;&gt; 0, I30 &lt;&gt; 0, J30 &lt;&gt; 0, K30 &lt;&gt; 0, L30 &lt;&gt; 0, N30 &lt;&gt; 0, O30 &lt;&gt; 0, P30 &lt;&gt; 0, Q30 &lt;&gt; 0, R30 &lt;&gt; 0, S30 &lt;&gt; 0) ), 1, 0 )</f>
        <v>0</v>
      </c>
      <c r="AA30" s="98">
        <f t="shared" ref="AA30:AF30" si="44" xml:space="preserve"> IF(AND($C30="Capital expenditure purpose - WATER additional line 1 [Other categories]",$M30=0), 0, IF( ISNUMBER( G30 ), 0, 1 ))</f>
        <v>0</v>
      </c>
      <c r="AB30" s="98">
        <f t="shared" si="44"/>
        <v>0</v>
      </c>
      <c r="AC30" s="98">
        <f t="shared" si="44"/>
        <v>0</v>
      </c>
      <c r="AD30" s="98">
        <f t="shared" si="44"/>
        <v>0</v>
      </c>
      <c r="AE30" s="98">
        <f t="shared" si="44"/>
        <v>0</v>
      </c>
      <c r="AF30" s="98">
        <f t="shared" si="44"/>
        <v>0</v>
      </c>
      <c r="AG30" s="90"/>
      <c r="AH30" s="98">
        <f t="shared" ref="AH30:AM30" si="45" xml:space="preserve"> IF(AND($C30="Capital expenditure purpose - WATER additional line 1 [Other categories]",$M30=0), 0, IF( ISNUMBER( N30 ), 0, 1 ))</f>
        <v>0</v>
      </c>
      <c r="AI30" s="98">
        <f t="shared" si="45"/>
        <v>0</v>
      </c>
      <c r="AJ30" s="98">
        <f t="shared" si="45"/>
        <v>0</v>
      </c>
      <c r="AK30" s="98">
        <f t="shared" si="45"/>
        <v>0</v>
      </c>
      <c r="AL30" s="98">
        <f t="shared" si="45"/>
        <v>0</v>
      </c>
      <c r="AM30" s="98">
        <f t="shared" si="45"/>
        <v>0</v>
      </c>
      <c r="AN30" s="72"/>
      <c r="AP30" s="72"/>
      <c r="AS30" s="496" t="s">
        <v>11708</v>
      </c>
      <c r="AT30" s="72"/>
      <c r="AW30" s="1059" t="s">
        <v>6579</v>
      </c>
      <c r="AX30" s="3053" t="s">
        <v>12461</v>
      </c>
      <c r="AY30" s="3052"/>
      <c r="AZ30" s="2145" t="s">
        <v>750</v>
      </c>
      <c r="BA30" s="1061">
        <v>3</v>
      </c>
      <c r="BB30" s="3045" t="s">
        <v>12461</v>
      </c>
      <c r="BC30" s="3046" t="s">
        <v>7939</v>
      </c>
      <c r="BD30" s="3047" t="s">
        <v>7940</v>
      </c>
      <c r="BE30" s="3048" t="s">
        <v>7941</v>
      </c>
      <c r="BF30" s="3049" t="s">
        <v>7942</v>
      </c>
      <c r="BG30" s="3048" t="s">
        <v>7943</v>
      </c>
      <c r="BH30" s="249" t="s">
        <v>7944</v>
      </c>
      <c r="BI30" s="3045" t="s">
        <v>12496</v>
      </c>
      <c r="BJ30" s="3046" t="s">
        <v>7945</v>
      </c>
      <c r="BK30" s="3048" t="s">
        <v>7946</v>
      </c>
      <c r="BL30" s="3049" t="s">
        <v>7947</v>
      </c>
      <c r="BM30" s="3047" t="s">
        <v>7948</v>
      </c>
      <c r="BN30" s="3048" t="s">
        <v>7949</v>
      </c>
      <c r="BO30" s="249" t="s">
        <v>7950</v>
      </c>
    </row>
    <row r="31" spans="1:68" s="200" customFormat="1">
      <c r="A31" s="928"/>
      <c r="B31" s="1059" t="s">
        <v>6580</v>
      </c>
      <c r="C31" s="1067" t="s">
        <v>4110</v>
      </c>
      <c r="D31" s="1064"/>
      <c r="E31" s="1060" t="s">
        <v>750</v>
      </c>
      <c r="F31" s="1061">
        <v>3</v>
      </c>
      <c r="G31" s="1066"/>
      <c r="H31" s="1659"/>
      <c r="I31" s="1532"/>
      <c r="J31" s="1521"/>
      <c r="K31" s="1526"/>
      <c r="L31" s="1521"/>
      <c r="M31" s="249">
        <f t="shared" si="14"/>
        <v>0</v>
      </c>
      <c r="N31" s="1066"/>
      <c r="O31" s="1659"/>
      <c r="P31" s="1532"/>
      <c r="Q31" s="1521"/>
      <c r="R31" s="1526"/>
      <c r="S31" s="1521"/>
      <c r="T31" s="249">
        <f t="shared" si="0"/>
        <v>0</v>
      </c>
      <c r="U31" s="1870"/>
      <c r="V31" s="71"/>
      <c r="W31" s="945">
        <f t="shared" si="43"/>
        <v>0</v>
      </c>
      <c r="Y31" s="72"/>
      <c r="Z31" s="98">
        <f xml:space="preserve"> IF( AND(OR($C31 = "Capital expenditure purpose - WATER additional line 2 [Other categories]",$C31=""), OR( G31 &lt;&gt; 0, H31 &lt;&gt; 0, I31 &lt;&gt; 0, J31 &lt;&gt; 0, K31 &lt;&gt; 0, L31 &lt;&gt; 0, N31 &lt;&gt; 0, O31 &lt;&gt; 0, P31 &lt;&gt; 0, Q31 &lt;&gt; 0, R31 &lt;&gt; 0, S31 &lt;&gt; 0) ), 1, 0 )</f>
        <v>0</v>
      </c>
      <c r="AA31" s="98">
        <f t="shared" ref="AA31:AF31" si="46" xml:space="preserve"> IF(AND($C31="Capital expenditure purpose - WATER additional line 2 [Other categories]",$M31=0), 0, IF( ISNUMBER( G31 ), 0, 1 ))</f>
        <v>0</v>
      </c>
      <c r="AB31" s="98">
        <f t="shared" si="46"/>
        <v>0</v>
      </c>
      <c r="AC31" s="98">
        <f t="shared" si="46"/>
        <v>0</v>
      </c>
      <c r="AD31" s="98">
        <f t="shared" si="46"/>
        <v>0</v>
      </c>
      <c r="AE31" s="98">
        <f t="shared" si="46"/>
        <v>0</v>
      </c>
      <c r="AF31" s="98">
        <f t="shared" si="46"/>
        <v>0</v>
      </c>
      <c r="AG31" s="90"/>
      <c r="AH31" s="98">
        <f t="shared" ref="AH31:AM31" si="47" xml:space="preserve"> IF(AND($C31="Capital expenditure purpose - WATER additional line 2 [Other categories]",$M31=0), 0, IF( ISNUMBER( N31 ), 0, 1 ))</f>
        <v>0</v>
      </c>
      <c r="AI31" s="98">
        <f t="shared" si="47"/>
        <v>0</v>
      </c>
      <c r="AJ31" s="98">
        <f t="shared" si="47"/>
        <v>0</v>
      </c>
      <c r="AK31" s="98">
        <f t="shared" si="47"/>
        <v>0</v>
      </c>
      <c r="AL31" s="98">
        <f t="shared" si="47"/>
        <v>0</v>
      </c>
      <c r="AM31" s="98">
        <f t="shared" si="47"/>
        <v>0</v>
      </c>
      <c r="AN31" s="72"/>
      <c r="AP31" s="72"/>
      <c r="AT31" s="72"/>
      <c r="AW31" s="1059" t="s">
        <v>6580</v>
      </c>
      <c r="AX31" s="3053" t="s">
        <v>12462</v>
      </c>
      <c r="AY31" s="3052"/>
      <c r="AZ31" s="2145" t="s">
        <v>750</v>
      </c>
      <c r="BA31" s="1061">
        <v>3</v>
      </c>
      <c r="BB31" s="3045" t="s">
        <v>12462</v>
      </c>
      <c r="BC31" s="3046" t="s">
        <v>7951</v>
      </c>
      <c r="BD31" s="3047" t="s">
        <v>7952</v>
      </c>
      <c r="BE31" s="3048" t="s">
        <v>7953</v>
      </c>
      <c r="BF31" s="3049" t="s">
        <v>7954</v>
      </c>
      <c r="BG31" s="3048" t="s">
        <v>7955</v>
      </c>
      <c r="BH31" s="249" t="s">
        <v>7956</v>
      </c>
      <c r="BI31" s="3045" t="s">
        <v>12497</v>
      </c>
      <c r="BJ31" s="3046" t="s">
        <v>7957</v>
      </c>
      <c r="BK31" s="3048" t="s">
        <v>7958</v>
      </c>
      <c r="BL31" s="3049" t="s">
        <v>7959</v>
      </c>
      <c r="BM31" s="3047" t="s">
        <v>7960</v>
      </c>
      <c r="BN31" s="3048" t="s">
        <v>7961</v>
      </c>
      <c r="BO31" s="249" t="s">
        <v>7962</v>
      </c>
    </row>
    <row r="32" spans="1:68" s="200" customFormat="1">
      <c r="A32" s="928"/>
      <c r="B32" s="1059" t="s">
        <v>6581</v>
      </c>
      <c r="C32" s="1067" t="s">
        <v>4111</v>
      </c>
      <c r="D32" s="1064"/>
      <c r="E32" s="1060" t="s">
        <v>750</v>
      </c>
      <c r="F32" s="1061">
        <v>3</v>
      </c>
      <c r="G32" s="1066"/>
      <c r="H32" s="1659"/>
      <c r="I32" s="1532"/>
      <c r="J32" s="1521"/>
      <c r="K32" s="1526"/>
      <c r="L32" s="1521"/>
      <c r="M32" s="249">
        <f t="shared" si="14"/>
        <v>0</v>
      </c>
      <c r="N32" s="1066"/>
      <c r="O32" s="1659"/>
      <c r="P32" s="1532"/>
      <c r="Q32" s="1521"/>
      <c r="R32" s="1526"/>
      <c r="S32" s="1521"/>
      <c r="T32" s="249">
        <f t="shared" si="0"/>
        <v>0</v>
      </c>
      <c r="U32" s="1870"/>
      <c r="V32" s="71"/>
      <c r="W32" s="945">
        <f t="shared" si="43"/>
        <v>0</v>
      </c>
      <c r="Y32" s="72"/>
      <c r="Z32" s="98">
        <f xml:space="preserve"> IF( AND(OR($C32 = "Capital expenditure purpose - WATER additional line 3 [Other categories]",$C32=""), OR( G32 &lt;&gt; 0, H32 &lt;&gt; 0, I32 &lt;&gt; 0, J32 &lt;&gt; 0, K32 &lt;&gt; 0, L32 &lt;&gt; 0, N32 &lt;&gt; 0, O32 &lt;&gt; 0, P32 &lt;&gt; 0, Q32 &lt;&gt; 0, R32 &lt;&gt; 0, S32 &lt;&gt; 0) ), 1, 0 )</f>
        <v>0</v>
      </c>
      <c r="AA32" s="98">
        <f t="shared" ref="AA32:AF32" si="48" xml:space="preserve"> IF(AND($C32="Capital expenditure purpose - WATER additional line 3 [Other categories]",$M32=0), 0, IF( ISNUMBER( G32 ), 0, 1 ))</f>
        <v>0</v>
      </c>
      <c r="AB32" s="98">
        <f t="shared" si="48"/>
        <v>0</v>
      </c>
      <c r="AC32" s="98">
        <f t="shared" si="48"/>
        <v>0</v>
      </c>
      <c r="AD32" s="98">
        <f t="shared" si="48"/>
        <v>0</v>
      </c>
      <c r="AE32" s="98">
        <f t="shared" si="48"/>
        <v>0</v>
      </c>
      <c r="AF32" s="98">
        <f t="shared" si="48"/>
        <v>0</v>
      </c>
      <c r="AG32" s="90"/>
      <c r="AH32" s="98">
        <f t="shared" ref="AH32:AM32" si="49" xml:space="preserve"> IF(AND($C32="Capital expenditure purpose - WATER additional line 3 [Other categories]",$M32=0), 0, IF( ISNUMBER( N32 ), 0, 1 ))</f>
        <v>0</v>
      </c>
      <c r="AI32" s="98">
        <f t="shared" si="49"/>
        <v>0</v>
      </c>
      <c r="AJ32" s="98">
        <f t="shared" si="49"/>
        <v>0</v>
      </c>
      <c r="AK32" s="98">
        <f t="shared" si="49"/>
        <v>0</v>
      </c>
      <c r="AL32" s="98">
        <f t="shared" si="49"/>
        <v>0</v>
      </c>
      <c r="AM32" s="98">
        <f t="shared" si="49"/>
        <v>0</v>
      </c>
      <c r="AN32" s="72"/>
      <c r="AP32" s="72"/>
      <c r="AT32" s="72"/>
      <c r="AW32" s="1059" t="s">
        <v>6581</v>
      </c>
      <c r="AX32" s="3053" t="s">
        <v>12463</v>
      </c>
      <c r="AY32" s="3052"/>
      <c r="AZ32" s="2145" t="s">
        <v>750</v>
      </c>
      <c r="BA32" s="1061">
        <v>3</v>
      </c>
      <c r="BB32" s="3045" t="s">
        <v>12463</v>
      </c>
      <c r="BC32" s="3046" t="s">
        <v>7963</v>
      </c>
      <c r="BD32" s="3047" t="s">
        <v>7964</v>
      </c>
      <c r="BE32" s="3048" t="s">
        <v>7965</v>
      </c>
      <c r="BF32" s="3049" t="s">
        <v>7966</v>
      </c>
      <c r="BG32" s="3048" t="s">
        <v>7967</v>
      </c>
      <c r="BH32" s="249" t="s">
        <v>7968</v>
      </c>
      <c r="BI32" s="3045" t="s">
        <v>12498</v>
      </c>
      <c r="BJ32" s="3046" t="s">
        <v>7969</v>
      </c>
      <c r="BK32" s="3048" t="s">
        <v>7970</v>
      </c>
      <c r="BL32" s="3049" t="s">
        <v>7971</v>
      </c>
      <c r="BM32" s="3047" t="s">
        <v>7972</v>
      </c>
      <c r="BN32" s="3048" t="s">
        <v>7973</v>
      </c>
      <c r="BO32" s="249" t="s">
        <v>7974</v>
      </c>
    </row>
    <row r="33" spans="1:67" s="200" customFormat="1">
      <c r="A33" s="928"/>
      <c r="B33" s="1059" t="s">
        <v>6582</v>
      </c>
      <c r="C33" s="1067" t="s">
        <v>4112</v>
      </c>
      <c r="D33" s="1064"/>
      <c r="E33" s="1060" t="s">
        <v>750</v>
      </c>
      <c r="F33" s="1061">
        <v>3</v>
      </c>
      <c r="G33" s="1066"/>
      <c r="H33" s="1659"/>
      <c r="I33" s="1532"/>
      <c r="J33" s="1521"/>
      <c r="K33" s="1526"/>
      <c r="L33" s="1521"/>
      <c r="M33" s="249">
        <f t="shared" si="14"/>
        <v>0</v>
      </c>
      <c r="N33" s="1066"/>
      <c r="O33" s="1659"/>
      <c r="P33" s="1532"/>
      <c r="Q33" s="1521"/>
      <c r="R33" s="1526"/>
      <c r="S33" s="1521"/>
      <c r="T33" s="249">
        <f t="shared" si="0"/>
        <v>0</v>
      </c>
      <c r="U33" s="1870"/>
      <c r="V33" s="71"/>
      <c r="W33" s="945">
        <f t="shared" si="43"/>
        <v>0</v>
      </c>
      <c r="Y33" s="72"/>
      <c r="Z33" s="98">
        <f xml:space="preserve"> IF( AND(OR($C33 = "Capital expenditure purpose - WATER additional line 4 [Other categories]",$C33=""), OR( G33 &lt;&gt; 0, H33 &lt;&gt; 0, I33 &lt;&gt; 0, J33 &lt;&gt; 0, K33 &lt;&gt; 0, L33 &lt;&gt; 0, N33 &lt;&gt; 0, O33 &lt;&gt; 0, P33 &lt;&gt; 0, Q33 &lt;&gt; 0, R33 &lt;&gt; 0, S33 &lt;&gt; 0) ), 1, 0 )</f>
        <v>0</v>
      </c>
      <c r="AA33" s="98">
        <f t="shared" ref="AA33:AF33" si="50" xml:space="preserve"> IF(AND($C33="Capital expenditure purpose - WATER additional line 4 [Other categories]",$M33=0), 0, IF( ISNUMBER( G33 ), 0, 1 ))</f>
        <v>0</v>
      </c>
      <c r="AB33" s="98">
        <f t="shared" si="50"/>
        <v>0</v>
      </c>
      <c r="AC33" s="98">
        <f t="shared" si="50"/>
        <v>0</v>
      </c>
      <c r="AD33" s="98">
        <f t="shared" si="50"/>
        <v>0</v>
      </c>
      <c r="AE33" s="98">
        <f t="shared" si="50"/>
        <v>0</v>
      </c>
      <c r="AF33" s="98">
        <f t="shared" si="50"/>
        <v>0</v>
      </c>
      <c r="AG33" s="90"/>
      <c r="AH33" s="98">
        <f t="shared" ref="AH33:AM33" si="51" xml:space="preserve"> IF(AND($C33="Capital expenditure purpose - WATER additional line 4 [Other categories]",$M33=0), 0, IF( ISNUMBER( N33 ), 0, 1 ))</f>
        <v>0</v>
      </c>
      <c r="AI33" s="98">
        <f t="shared" si="51"/>
        <v>0</v>
      </c>
      <c r="AJ33" s="98">
        <f t="shared" si="51"/>
        <v>0</v>
      </c>
      <c r="AK33" s="98">
        <f t="shared" si="51"/>
        <v>0</v>
      </c>
      <c r="AL33" s="98">
        <f t="shared" si="51"/>
        <v>0</v>
      </c>
      <c r="AM33" s="98">
        <f t="shared" si="51"/>
        <v>0</v>
      </c>
      <c r="AN33" s="72"/>
      <c r="AP33" s="72"/>
      <c r="AT33" s="72"/>
      <c r="AW33" s="1059" t="s">
        <v>6582</v>
      </c>
      <c r="AX33" s="3053" t="s">
        <v>12464</v>
      </c>
      <c r="AY33" s="3052"/>
      <c r="AZ33" s="2145" t="s">
        <v>750</v>
      </c>
      <c r="BA33" s="1061">
        <v>3</v>
      </c>
      <c r="BB33" s="3045" t="s">
        <v>12464</v>
      </c>
      <c r="BC33" s="3046" t="s">
        <v>7975</v>
      </c>
      <c r="BD33" s="3047" t="s">
        <v>7976</v>
      </c>
      <c r="BE33" s="3048" t="s">
        <v>7977</v>
      </c>
      <c r="BF33" s="3049" t="s">
        <v>7978</v>
      </c>
      <c r="BG33" s="3048" t="s">
        <v>7979</v>
      </c>
      <c r="BH33" s="249" t="s">
        <v>7980</v>
      </c>
      <c r="BI33" s="3045" t="s">
        <v>12499</v>
      </c>
      <c r="BJ33" s="3046" t="s">
        <v>7981</v>
      </c>
      <c r="BK33" s="3048" t="s">
        <v>7982</v>
      </c>
      <c r="BL33" s="3049" t="s">
        <v>7983</v>
      </c>
      <c r="BM33" s="3047" t="s">
        <v>7984</v>
      </c>
      <c r="BN33" s="3048" t="s">
        <v>7985</v>
      </c>
      <c r="BO33" s="249" t="s">
        <v>7986</v>
      </c>
    </row>
    <row r="34" spans="1:67" s="200" customFormat="1">
      <c r="A34" s="928"/>
      <c r="B34" s="1059" t="s">
        <v>6583</v>
      </c>
      <c r="C34" s="1067" t="s">
        <v>4113</v>
      </c>
      <c r="D34" s="1064"/>
      <c r="E34" s="1060" t="s">
        <v>750</v>
      </c>
      <c r="F34" s="1061">
        <v>3</v>
      </c>
      <c r="G34" s="1066"/>
      <c r="H34" s="1659"/>
      <c r="I34" s="1532"/>
      <c r="J34" s="1521"/>
      <c r="K34" s="1526"/>
      <c r="L34" s="1521"/>
      <c r="M34" s="249">
        <f t="shared" si="14"/>
        <v>0</v>
      </c>
      <c r="N34" s="1066"/>
      <c r="O34" s="1659"/>
      <c r="P34" s="1532"/>
      <c r="Q34" s="1521"/>
      <c r="R34" s="1526"/>
      <c r="S34" s="1521"/>
      <c r="T34" s="249">
        <f t="shared" si="0"/>
        <v>0</v>
      </c>
      <c r="U34" s="1870"/>
      <c r="V34" s="71"/>
      <c r="W34" s="945">
        <f t="shared" si="43"/>
        <v>0</v>
      </c>
      <c r="Y34" s="72"/>
      <c r="Z34" s="98">
        <f xml:space="preserve"> IF( AND(OR($C34 = "Capital expenditure purpose - WATER additional line 5 [Other categories]",$C34=""), OR( G34 &lt;&gt; 0, H34 &lt;&gt; 0, I34 &lt;&gt; 0, J34 &lt;&gt; 0, K34 &lt;&gt; 0, L34 &lt;&gt; 0, N34 &lt;&gt; 0, O34 &lt;&gt; 0, P34 &lt;&gt; 0, Q34 &lt;&gt; 0, R34 &lt;&gt; 0, S34 &lt;&gt; 0) ), 1, 0 )</f>
        <v>0</v>
      </c>
      <c r="AA34" s="98">
        <f t="shared" ref="AA34:AF34" si="52" xml:space="preserve"> IF(AND($C34="Capital expenditure purpose - WATER additional line 5 [Other categories]",$M34=0), 0, IF( ISNUMBER( G34 ), 0, 1 ))</f>
        <v>0</v>
      </c>
      <c r="AB34" s="98">
        <f t="shared" si="52"/>
        <v>0</v>
      </c>
      <c r="AC34" s="98">
        <f t="shared" si="52"/>
        <v>0</v>
      </c>
      <c r="AD34" s="98">
        <f t="shared" si="52"/>
        <v>0</v>
      </c>
      <c r="AE34" s="98">
        <f t="shared" si="52"/>
        <v>0</v>
      </c>
      <c r="AF34" s="98">
        <f t="shared" si="52"/>
        <v>0</v>
      </c>
      <c r="AG34" s="90"/>
      <c r="AH34" s="98">
        <f t="shared" ref="AH34:AM34" si="53" xml:space="preserve"> IF(AND($C34="Capital expenditure purpose - WATER additional line 5 [Other categories]",$M34=0), 0, IF( ISNUMBER( N34 ), 0, 1 ))</f>
        <v>0</v>
      </c>
      <c r="AI34" s="98">
        <f t="shared" si="53"/>
        <v>0</v>
      </c>
      <c r="AJ34" s="98">
        <f t="shared" si="53"/>
        <v>0</v>
      </c>
      <c r="AK34" s="98">
        <f t="shared" si="53"/>
        <v>0</v>
      </c>
      <c r="AL34" s="98">
        <f t="shared" si="53"/>
        <v>0</v>
      </c>
      <c r="AM34" s="98">
        <f t="shared" si="53"/>
        <v>0</v>
      </c>
      <c r="AN34" s="72"/>
      <c r="AP34" s="72"/>
      <c r="AT34" s="72"/>
      <c r="AW34" s="1059" t="s">
        <v>6583</v>
      </c>
      <c r="AX34" s="3053" t="s">
        <v>12465</v>
      </c>
      <c r="AY34" s="3052"/>
      <c r="AZ34" s="2145" t="s">
        <v>750</v>
      </c>
      <c r="BA34" s="1061">
        <v>3</v>
      </c>
      <c r="BB34" s="3045" t="s">
        <v>12465</v>
      </c>
      <c r="BC34" s="3046" t="s">
        <v>7987</v>
      </c>
      <c r="BD34" s="3047" t="s">
        <v>7988</v>
      </c>
      <c r="BE34" s="3048" t="s">
        <v>7989</v>
      </c>
      <c r="BF34" s="3049" t="s">
        <v>7990</v>
      </c>
      <c r="BG34" s="3048" t="s">
        <v>7991</v>
      </c>
      <c r="BH34" s="249" t="s">
        <v>7992</v>
      </c>
      <c r="BI34" s="3045" t="s">
        <v>12500</v>
      </c>
      <c r="BJ34" s="3046" t="s">
        <v>7993</v>
      </c>
      <c r="BK34" s="3048" t="s">
        <v>7994</v>
      </c>
      <c r="BL34" s="3049" t="s">
        <v>7995</v>
      </c>
      <c r="BM34" s="3047" t="s">
        <v>7996</v>
      </c>
      <c r="BN34" s="3048" t="s">
        <v>7997</v>
      </c>
      <c r="BO34" s="249" t="s">
        <v>7998</v>
      </c>
    </row>
    <row r="35" spans="1:67" s="200" customFormat="1">
      <c r="A35" s="928"/>
      <c r="B35" s="1059" t="s">
        <v>6584</v>
      </c>
      <c r="C35" s="1067" t="s">
        <v>4114</v>
      </c>
      <c r="D35" s="1064"/>
      <c r="E35" s="1060" t="s">
        <v>750</v>
      </c>
      <c r="F35" s="1061">
        <v>3</v>
      </c>
      <c r="G35" s="1066"/>
      <c r="H35" s="1659"/>
      <c r="I35" s="1532"/>
      <c r="J35" s="1521"/>
      <c r="K35" s="1526"/>
      <c r="L35" s="1521"/>
      <c r="M35" s="249">
        <f t="shared" si="14"/>
        <v>0</v>
      </c>
      <c r="N35" s="1066"/>
      <c r="O35" s="1659"/>
      <c r="P35" s="1532"/>
      <c r="Q35" s="1521"/>
      <c r="R35" s="1526"/>
      <c r="S35" s="1521"/>
      <c r="T35" s="249">
        <f t="shared" si="0"/>
        <v>0</v>
      </c>
      <c r="U35" s="1870"/>
      <c r="V35" s="71"/>
      <c r="W35" s="945">
        <f t="shared" si="43"/>
        <v>0</v>
      </c>
      <c r="Y35" s="72"/>
      <c r="Z35" s="98">
        <f xml:space="preserve"> IF( AND(OR($C35 = "Capital expenditure purpose - WATER additional line 6 [Other categories]",$C35=""), OR( G35 &lt;&gt; 0, H35 &lt;&gt; 0, I35 &lt;&gt; 0, J35 &lt;&gt; 0, K35 &lt;&gt; 0, L35 &lt;&gt; 0, N35 &lt;&gt; 0, O35 &lt;&gt; 0, P35 &lt;&gt; 0, Q35 &lt;&gt; 0, R35 &lt;&gt; 0, S35 &lt;&gt; 0) ), 1, 0 )</f>
        <v>0</v>
      </c>
      <c r="AA35" s="98">
        <f t="shared" ref="AA35:AF35" si="54" xml:space="preserve"> IF(AND($C35="Capital expenditure purpose - WATER additional line 6 [Other categories]",$M35=0), 0, IF( ISNUMBER( G35 ), 0, 1 ))</f>
        <v>0</v>
      </c>
      <c r="AB35" s="98">
        <f t="shared" si="54"/>
        <v>0</v>
      </c>
      <c r="AC35" s="98">
        <f t="shared" si="54"/>
        <v>0</v>
      </c>
      <c r="AD35" s="98">
        <f t="shared" si="54"/>
        <v>0</v>
      </c>
      <c r="AE35" s="98">
        <f t="shared" si="54"/>
        <v>0</v>
      </c>
      <c r="AF35" s="98">
        <f t="shared" si="54"/>
        <v>0</v>
      </c>
      <c r="AG35" s="90"/>
      <c r="AH35" s="98">
        <f t="shared" ref="AH35:AM35" si="55" xml:space="preserve"> IF(AND($C35="Capital expenditure purpose - WATER additional line 6 [Other categories]",$M35=0), 0, IF( ISNUMBER( N35 ), 0, 1 ))</f>
        <v>0</v>
      </c>
      <c r="AI35" s="98">
        <f t="shared" si="55"/>
        <v>0</v>
      </c>
      <c r="AJ35" s="98">
        <f t="shared" si="55"/>
        <v>0</v>
      </c>
      <c r="AK35" s="98">
        <f t="shared" si="55"/>
        <v>0</v>
      </c>
      <c r="AL35" s="98">
        <f t="shared" si="55"/>
        <v>0</v>
      </c>
      <c r="AM35" s="98">
        <f t="shared" si="55"/>
        <v>0</v>
      </c>
      <c r="AN35" s="72"/>
      <c r="AP35" s="72"/>
      <c r="AT35" s="72"/>
      <c r="AW35" s="1059" t="s">
        <v>6584</v>
      </c>
      <c r="AX35" s="3053" t="s">
        <v>12466</v>
      </c>
      <c r="AY35" s="3052"/>
      <c r="AZ35" s="2145" t="s">
        <v>750</v>
      </c>
      <c r="BA35" s="1061">
        <v>3</v>
      </c>
      <c r="BB35" s="3045" t="s">
        <v>12466</v>
      </c>
      <c r="BC35" s="3046" t="s">
        <v>7999</v>
      </c>
      <c r="BD35" s="3047" t="s">
        <v>8000</v>
      </c>
      <c r="BE35" s="3048" t="s">
        <v>8001</v>
      </c>
      <c r="BF35" s="3049" t="s">
        <v>8002</v>
      </c>
      <c r="BG35" s="3048" t="s">
        <v>8003</v>
      </c>
      <c r="BH35" s="249" t="s">
        <v>8004</v>
      </c>
      <c r="BI35" s="3045" t="s">
        <v>12501</v>
      </c>
      <c r="BJ35" s="3046" t="s">
        <v>8005</v>
      </c>
      <c r="BK35" s="3048" t="s">
        <v>8006</v>
      </c>
      <c r="BL35" s="3049" t="s">
        <v>8007</v>
      </c>
      <c r="BM35" s="3047" t="s">
        <v>8008</v>
      </c>
      <c r="BN35" s="3048" t="s">
        <v>8009</v>
      </c>
      <c r="BO35" s="249" t="s">
        <v>8010</v>
      </c>
    </row>
    <row r="36" spans="1:67" s="200" customFormat="1">
      <c r="A36" s="928"/>
      <c r="B36" s="1059" t="s">
        <v>6585</v>
      </c>
      <c r="C36" s="1067" t="s">
        <v>4115</v>
      </c>
      <c r="D36" s="1064"/>
      <c r="E36" s="1060" t="s">
        <v>750</v>
      </c>
      <c r="F36" s="1061">
        <v>3</v>
      </c>
      <c r="G36" s="1066"/>
      <c r="H36" s="1659"/>
      <c r="I36" s="1532"/>
      <c r="J36" s="1521"/>
      <c r="K36" s="1526"/>
      <c r="L36" s="1521"/>
      <c r="M36" s="249">
        <f t="shared" si="14"/>
        <v>0</v>
      </c>
      <c r="N36" s="1066"/>
      <c r="O36" s="1659"/>
      <c r="P36" s="1532"/>
      <c r="Q36" s="1521"/>
      <c r="R36" s="1526"/>
      <c r="S36" s="1521"/>
      <c r="T36" s="249">
        <f t="shared" si="0"/>
        <v>0</v>
      </c>
      <c r="U36" s="1870"/>
      <c r="V36" s="71"/>
      <c r="W36" s="945">
        <f t="shared" si="43"/>
        <v>0</v>
      </c>
      <c r="Y36" s="72"/>
      <c r="Z36" s="98">
        <f xml:space="preserve"> IF( AND(OR($C36 = "Capital expenditure purpose - WATER additional line 7 [Other categories]",$C36=""), OR( G36 &lt;&gt; 0, H36 &lt;&gt; 0, I36 &lt;&gt; 0, J36 &lt;&gt; 0, K36 &lt;&gt; 0, L36 &lt;&gt; 0, N36 &lt;&gt; 0, O36 &lt;&gt; 0, P36 &lt;&gt; 0, Q36 &lt;&gt; 0, R36 &lt;&gt; 0, S36 &lt;&gt; 0) ), 1, 0 )</f>
        <v>0</v>
      </c>
      <c r="AA36" s="98">
        <f t="shared" ref="AA36:AF36" si="56" xml:space="preserve"> IF(AND($C36="Capital expenditure purpose - WATER additional line 7 [Other categories]",$M36=0), 0, IF( ISNUMBER( G36 ), 0, 1 ))</f>
        <v>0</v>
      </c>
      <c r="AB36" s="98">
        <f t="shared" si="56"/>
        <v>0</v>
      </c>
      <c r="AC36" s="98">
        <f t="shared" si="56"/>
        <v>0</v>
      </c>
      <c r="AD36" s="98">
        <f t="shared" si="56"/>
        <v>0</v>
      </c>
      <c r="AE36" s="98">
        <f t="shared" si="56"/>
        <v>0</v>
      </c>
      <c r="AF36" s="98">
        <f t="shared" si="56"/>
        <v>0</v>
      </c>
      <c r="AG36" s="90"/>
      <c r="AH36" s="98">
        <f t="shared" ref="AH36:AM36" si="57" xml:space="preserve"> IF(AND($C36="Capital expenditure purpose - WATER additional line 7 [Other categories]",$M36=0), 0, IF( ISNUMBER( N36 ), 0, 1 ))</f>
        <v>0</v>
      </c>
      <c r="AI36" s="98">
        <f t="shared" si="57"/>
        <v>0</v>
      </c>
      <c r="AJ36" s="98">
        <f t="shared" si="57"/>
        <v>0</v>
      </c>
      <c r="AK36" s="98">
        <f t="shared" si="57"/>
        <v>0</v>
      </c>
      <c r="AL36" s="98">
        <f t="shared" si="57"/>
        <v>0</v>
      </c>
      <c r="AM36" s="98">
        <f t="shared" si="57"/>
        <v>0</v>
      </c>
      <c r="AN36" s="72"/>
      <c r="AP36" s="72"/>
      <c r="AT36" s="72"/>
      <c r="AW36" s="1059" t="s">
        <v>6585</v>
      </c>
      <c r="AX36" s="3053" t="s">
        <v>12467</v>
      </c>
      <c r="AY36" s="3052"/>
      <c r="AZ36" s="2145" t="s">
        <v>750</v>
      </c>
      <c r="BA36" s="1061">
        <v>3</v>
      </c>
      <c r="BB36" s="3045" t="s">
        <v>12467</v>
      </c>
      <c r="BC36" s="3046" t="s">
        <v>8011</v>
      </c>
      <c r="BD36" s="3047" t="s">
        <v>8012</v>
      </c>
      <c r="BE36" s="3048" t="s">
        <v>8013</v>
      </c>
      <c r="BF36" s="3049" t="s">
        <v>8014</v>
      </c>
      <c r="BG36" s="3048" t="s">
        <v>8015</v>
      </c>
      <c r="BH36" s="249" t="s">
        <v>8016</v>
      </c>
      <c r="BI36" s="3045" t="s">
        <v>12502</v>
      </c>
      <c r="BJ36" s="3046" t="s">
        <v>8017</v>
      </c>
      <c r="BK36" s="3048" t="s">
        <v>8018</v>
      </c>
      <c r="BL36" s="3049" t="s">
        <v>8019</v>
      </c>
      <c r="BM36" s="3047" t="s">
        <v>8020</v>
      </c>
      <c r="BN36" s="3048" t="s">
        <v>8021</v>
      </c>
      <c r="BO36" s="249" t="s">
        <v>8022</v>
      </c>
    </row>
    <row r="37" spans="1:67" s="200" customFormat="1">
      <c r="A37" s="928"/>
      <c r="B37" s="1059" t="s">
        <v>6586</v>
      </c>
      <c r="C37" s="1067" t="s">
        <v>4116</v>
      </c>
      <c r="D37" s="1064"/>
      <c r="E37" s="1060" t="s">
        <v>750</v>
      </c>
      <c r="F37" s="1061">
        <v>3</v>
      </c>
      <c r="G37" s="1066"/>
      <c r="H37" s="1659"/>
      <c r="I37" s="1532"/>
      <c r="J37" s="1521"/>
      <c r="K37" s="1526"/>
      <c r="L37" s="1521"/>
      <c r="M37" s="249">
        <f t="shared" si="14"/>
        <v>0</v>
      </c>
      <c r="N37" s="1066"/>
      <c r="O37" s="1659"/>
      <c r="P37" s="1532"/>
      <c r="Q37" s="1521"/>
      <c r="R37" s="1526"/>
      <c r="S37" s="1521"/>
      <c r="T37" s="249">
        <f t="shared" si="0"/>
        <v>0</v>
      </c>
      <c r="U37" s="1870"/>
      <c r="V37" s="71"/>
      <c r="W37" s="945">
        <f t="shared" si="43"/>
        <v>0</v>
      </c>
      <c r="Y37" s="72"/>
      <c r="Z37" s="98">
        <f xml:space="preserve"> IF( AND(OR($C37 = "Capital expenditure purpose - WATER additional line 8 [Other categories]",$C37=""), OR( G37 &lt;&gt; 0, H37 &lt;&gt; 0, I37 &lt;&gt; 0, J37 &lt;&gt; 0, K37 &lt;&gt; 0, L37 &lt;&gt; 0, N37 &lt;&gt; 0, O37 &lt;&gt; 0, P37 &lt;&gt; 0, Q37 &lt;&gt; 0, R37 &lt;&gt; 0, S37 &lt;&gt; 0) ), 1, 0 )</f>
        <v>0</v>
      </c>
      <c r="AA37" s="98">
        <f t="shared" ref="AA37:AF37" si="58" xml:space="preserve"> IF(AND($C37="Capital expenditure purpose - WATER additional line 8 [Other categories]",$M37=0), 0, IF( ISNUMBER( G37 ), 0, 1 ))</f>
        <v>0</v>
      </c>
      <c r="AB37" s="98">
        <f t="shared" si="58"/>
        <v>0</v>
      </c>
      <c r="AC37" s="98">
        <f t="shared" si="58"/>
        <v>0</v>
      </c>
      <c r="AD37" s="98">
        <f t="shared" si="58"/>
        <v>0</v>
      </c>
      <c r="AE37" s="98">
        <f t="shared" si="58"/>
        <v>0</v>
      </c>
      <c r="AF37" s="98">
        <f t="shared" si="58"/>
        <v>0</v>
      </c>
      <c r="AG37" s="90"/>
      <c r="AH37" s="98">
        <f t="shared" ref="AH37:AM37" si="59" xml:space="preserve"> IF(AND($C37="Capital expenditure purpose - WATER additional line 8 [Other categories]",$M37=0), 0, IF( ISNUMBER( N37 ), 0, 1 ))</f>
        <v>0</v>
      </c>
      <c r="AI37" s="98">
        <f t="shared" si="59"/>
        <v>0</v>
      </c>
      <c r="AJ37" s="98">
        <f t="shared" si="59"/>
        <v>0</v>
      </c>
      <c r="AK37" s="98">
        <f t="shared" si="59"/>
        <v>0</v>
      </c>
      <c r="AL37" s="98">
        <f t="shared" si="59"/>
        <v>0</v>
      </c>
      <c r="AM37" s="98">
        <f t="shared" si="59"/>
        <v>0</v>
      </c>
      <c r="AN37" s="72"/>
      <c r="AP37" s="72"/>
      <c r="AT37" s="72"/>
      <c r="AW37" s="1059" t="s">
        <v>6586</v>
      </c>
      <c r="AX37" s="3053" t="s">
        <v>12468</v>
      </c>
      <c r="AY37" s="3052"/>
      <c r="AZ37" s="2145" t="s">
        <v>750</v>
      </c>
      <c r="BA37" s="1061">
        <v>3</v>
      </c>
      <c r="BB37" s="3045" t="s">
        <v>12468</v>
      </c>
      <c r="BC37" s="3046" t="s">
        <v>8023</v>
      </c>
      <c r="BD37" s="3047" t="s">
        <v>8024</v>
      </c>
      <c r="BE37" s="3048" t="s">
        <v>8025</v>
      </c>
      <c r="BF37" s="3049" t="s">
        <v>8026</v>
      </c>
      <c r="BG37" s="3048" t="s">
        <v>8027</v>
      </c>
      <c r="BH37" s="249" t="s">
        <v>8028</v>
      </c>
      <c r="BI37" s="3045" t="s">
        <v>12503</v>
      </c>
      <c r="BJ37" s="3046" t="s">
        <v>8029</v>
      </c>
      <c r="BK37" s="3048" t="s">
        <v>8030</v>
      </c>
      <c r="BL37" s="3049" t="s">
        <v>8031</v>
      </c>
      <c r="BM37" s="3047" t="s">
        <v>8032</v>
      </c>
      <c r="BN37" s="3048" t="s">
        <v>8033</v>
      </c>
      <c r="BO37" s="249" t="s">
        <v>8034</v>
      </c>
    </row>
    <row r="38" spans="1:67" s="200" customFormat="1">
      <c r="A38" s="928"/>
      <c r="B38" s="1059" t="s">
        <v>6587</v>
      </c>
      <c r="C38" s="1067" t="s">
        <v>4117</v>
      </c>
      <c r="D38" s="1064"/>
      <c r="E38" s="1060" t="s">
        <v>750</v>
      </c>
      <c r="F38" s="1061">
        <v>3</v>
      </c>
      <c r="G38" s="1066"/>
      <c r="H38" s="1659"/>
      <c r="I38" s="1532"/>
      <c r="J38" s="1521"/>
      <c r="K38" s="1526"/>
      <c r="L38" s="1521"/>
      <c r="M38" s="249">
        <f t="shared" si="14"/>
        <v>0</v>
      </c>
      <c r="N38" s="1066"/>
      <c r="O38" s="1659"/>
      <c r="P38" s="1532"/>
      <c r="Q38" s="1521"/>
      <c r="R38" s="1526"/>
      <c r="S38" s="1521"/>
      <c r="T38" s="249">
        <f t="shared" si="0"/>
        <v>0</v>
      </c>
      <c r="U38" s="1870"/>
      <c r="V38" s="71"/>
      <c r="W38" s="945">
        <f t="shared" si="43"/>
        <v>0</v>
      </c>
      <c r="Y38" s="72"/>
      <c r="Z38" s="98">
        <f xml:space="preserve"> IF( AND(OR($C38 = "Capital expenditure purpose - WATER additional line 9 [Other categories]",$C38=""), OR( G38 &lt;&gt; 0, H38 &lt;&gt; 0, I38 &lt;&gt; 0, J38 &lt;&gt; 0, K38 &lt;&gt; 0, L38 &lt;&gt; 0, N38 &lt;&gt; 0, O38 &lt;&gt; 0, P38 &lt;&gt; 0, Q38 &lt;&gt; 0, R38 &lt;&gt; 0, S38 &lt;&gt; 0) ), 1, 0 )</f>
        <v>0</v>
      </c>
      <c r="AA38" s="98">
        <f t="shared" ref="AA38:AF38" si="60" xml:space="preserve"> IF(AND($C38="Capital expenditure purpose - WATER additional line 9 [Other categories]",$M38=0), 0, IF( ISNUMBER( G38 ), 0, 1 ))</f>
        <v>0</v>
      </c>
      <c r="AB38" s="98">
        <f t="shared" si="60"/>
        <v>0</v>
      </c>
      <c r="AC38" s="98">
        <f t="shared" si="60"/>
        <v>0</v>
      </c>
      <c r="AD38" s="98">
        <f t="shared" si="60"/>
        <v>0</v>
      </c>
      <c r="AE38" s="98">
        <f t="shared" si="60"/>
        <v>0</v>
      </c>
      <c r="AF38" s="98">
        <f t="shared" si="60"/>
        <v>0</v>
      </c>
      <c r="AG38" s="90"/>
      <c r="AH38" s="98">
        <f t="shared" ref="AH38:AM38" si="61" xml:space="preserve"> IF(AND($C38="Capital expenditure purpose - WATER additional line 9 [Other categories]",$M38=0), 0, IF( ISNUMBER( N38 ), 0, 1 ))</f>
        <v>0</v>
      </c>
      <c r="AI38" s="98">
        <f t="shared" si="61"/>
        <v>0</v>
      </c>
      <c r="AJ38" s="98">
        <f t="shared" si="61"/>
        <v>0</v>
      </c>
      <c r="AK38" s="98">
        <f t="shared" si="61"/>
        <v>0</v>
      </c>
      <c r="AL38" s="98">
        <f t="shared" si="61"/>
        <v>0</v>
      </c>
      <c r="AM38" s="98">
        <f t="shared" si="61"/>
        <v>0</v>
      </c>
      <c r="AN38" s="72"/>
      <c r="AP38" s="72"/>
      <c r="AT38" s="72"/>
      <c r="AW38" s="1059" t="s">
        <v>6587</v>
      </c>
      <c r="AX38" s="3053" t="s">
        <v>12469</v>
      </c>
      <c r="AY38" s="3052"/>
      <c r="AZ38" s="2145" t="s">
        <v>750</v>
      </c>
      <c r="BA38" s="1061">
        <v>3</v>
      </c>
      <c r="BB38" s="3045" t="s">
        <v>12469</v>
      </c>
      <c r="BC38" s="3046" t="s">
        <v>8035</v>
      </c>
      <c r="BD38" s="3047" t="s">
        <v>8036</v>
      </c>
      <c r="BE38" s="3048" t="s">
        <v>8037</v>
      </c>
      <c r="BF38" s="3049" t="s">
        <v>8038</v>
      </c>
      <c r="BG38" s="3048" t="s">
        <v>8039</v>
      </c>
      <c r="BH38" s="249" t="s">
        <v>8040</v>
      </c>
      <c r="BI38" s="3045" t="s">
        <v>12504</v>
      </c>
      <c r="BJ38" s="3046" t="s">
        <v>8041</v>
      </c>
      <c r="BK38" s="3048" t="s">
        <v>8042</v>
      </c>
      <c r="BL38" s="3049" t="s">
        <v>8043</v>
      </c>
      <c r="BM38" s="3047" t="s">
        <v>8044</v>
      </c>
      <c r="BN38" s="3048" t="s">
        <v>8045</v>
      </c>
      <c r="BO38" s="249" t="s">
        <v>8046</v>
      </c>
    </row>
    <row r="39" spans="1:67" s="200" customFormat="1">
      <c r="A39" s="928"/>
      <c r="B39" s="1059" t="s">
        <v>6588</v>
      </c>
      <c r="C39" s="1067" t="s">
        <v>4118</v>
      </c>
      <c r="D39" s="1194"/>
      <c r="E39" s="1060" t="s">
        <v>750</v>
      </c>
      <c r="F39" s="1061">
        <v>3</v>
      </c>
      <c r="G39" s="1066"/>
      <c r="H39" s="1659"/>
      <c r="I39" s="1532"/>
      <c r="J39" s="1521"/>
      <c r="K39" s="1526"/>
      <c r="L39" s="1521"/>
      <c r="M39" s="249">
        <f t="shared" si="14"/>
        <v>0</v>
      </c>
      <c r="N39" s="1066"/>
      <c r="O39" s="1659"/>
      <c r="P39" s="1532"/>
      <c r="Q39" s="1521"/>
      <c r="R39" s="1526"/>
      <c r="S39" s="1521"/>
      <c r="T39" s="249">
        <f t="shared" ref="T39:T43" si="62">SUM(N39:S39)</f>
        <v>0</v>
      </c>
      <c r="U39" s="1870"/>
      <c r="V39" s="71"/>
      <c r="W39" s="945">
        <f t="shared" si="43"/>
        <v>0</v>
      </c>
      <c r="Y39" s="72"/>
      <c r="Z39" s="98">
        <f xml:space="preserve"> IF( AND(OR($C39 = "Capital expenditure purpose - WATER additional line 10 [Other categories]",$C39=""), OR( G39 &lt;&gt; 0, H39 &lt;&gt; 0, I39 &lt;&gt; 0, J39 &lt;&gt; 0, K39 &lt;&gt; 0, L39 &lt;&gt; 0, N39 &lt;&gt; 0, O39 &lt;&gt; 0, P39 &lt;&gt; 0, Q39 &lt;&gt; 0, R39 &lt;&gt; 0, S39 &lt;&gt; 0) ), 1, 0 )</f>
        <v>0</v>
      </c>
      <c r="AA39" s="98">
        <f t="shared" ref="AA39:AF39" si="63" xml:space="preserve"> IF(AND($C39="Capital expenditure purpose - WATER additional line 10 [Other categories]",$M39=0), 0, IF( ISNUMBER( G39 ), 0, 1 ))</f>
        <v>0</v>
      </c>
      <c r="AB39" s="98">
        <f t="shared" si="63"/>
        <v>0</v>
      </c>
      <c r="AC39" s="98">
        <f t="shared" si="63"/>
        <v>0</v>
      </c>
      <c r="AD39" s="98">
        <f t="shared" si="63"/>
        <v>0</v>
      </c>
      <c r="AE39" s="98">
        <f t="shared" si="63"/>
        <v>0</v>
      </c>
      <c r="AF39" s="98">
        <f t="shared" si="63"/>
        <v>0</v>
      </c>
      <c r="AG39" s="90"/>
      <c r="AH39" s="98">
        <f t="shared" ref="AH39:AM39" si="64" xml:space="preserve"> IF(AND($C39="Capital expenditure purpose - WATER additional line 10 [Other categories]",$M39=0), 0, IF( ISNUMBER( N39 ), 0, 1 ))</f>
        <v>0</v>
      </c>
      <c r="AI39" s="98">
        <f t="shared" si="64"/>
        <v>0</v>
      </c>
      <c r="AJ39" s="98">
        <f t="shared" si="64"/>
        <v>0</v>
      </c>
      <c r="AK39" s="98">
        <f t="shared" si="64"/>
        <v>0</v>
      </c>
      <c r="AL39" s="98">
        <f t="shared" si="64"/>
        <v>0</v>
      </c>
      <c r="AM39" s="98">
        <f t="shared" si="64"/>
        <v>0</v>
      </c>
      <c r="AN39" s="72"/>
      <c r="AP39" s="72"/>
      <c r="AT39" s="72"/>
      <c r="AW39" s="1059" t="s">
        <v>6588</v>
      </c>
      <c r="AX39" s="3053" t="s">
        <v>12470</v>
      </c>
      <c r="AY39" s="3054"/>
      <c r="AZ39" s="2145" t="s">
        <v>750</v>
      </c>
      <c r="BA39" s="1061">
        <v>3</v>
      </c>
      <c r="BB39" s="3055" t="s">
        <v>12470</v>
      </c>
      <c r="BC39" s="3056" t="s">
        <v>8047</v>
      </c>
      <c r="BD39" s="3057" t="s">
        <v>8048</v>
      </c>
      <c r="BE39" s="3058" t="s">
        <v>8049</v>
      </c>
      <c r="BF39" s="3059" t="s">
        <v>8050</v>
      </c>
      <c r="BG39" s="3058" t="s">
        <v>8051</v>
      </c>
      <c r="BH39" s="249" t="s">
        <v>8052</v>
      </c>
      <c r="BI39" s="3055" t="s">
        <v>12505</v>
      </c>
      <c r="BJ39" s="3056" t="s">
        <v>8053</v>
      </c>
      <c r="BK39" s="3058" t="s">
        <v>8054</v>
      </c>
      <c r="BL39" s="3059" t="s">
        <v>8055</v>
      </c>
      <c r="BM39" s="3057" t="s">
        <v>8056</v>
      </c>
      <c r="BN39" s="3058" t="s">
        <v>8057</v>
      </c>
      <c r="BO39" s="249" t="s">
        <v>8058</v>
      </c>
    </row>
    <row r="40" spans="1:67" s="200" customFormat="1">
      <c r="A40" s="928"/>
      <c r="B40" s="1059" t="s">
        <v>6589</v>
      </c>
      <c r="C40" s="1067" t="s">
        <v>6206</v>
      </c>
      <c r="D40" s="1194"/>
      <c r="E40" s="1060" t="s">
        <v>750</v>
      </c>
      <c r="F40" s="1061">
        <v>3</v>
      </c>
      <c r="G40" s="1066"/>
      <c r="H40" s="1659"/>
      <c r="I40" s="1532"/>
      <c r="J40" s="1521"/>
      <c r="K40" s="1526"/>
      <c r="L40" s="1521"/>
      <c r="M40" s="249">
        <f t="shared" si="14"/>
        <v>0</v>
      </c>
      <c r="N40" s="1066"/>
      <c r="O40" s="1659"/>
      <c r="P40" s="1532"/>
      <c r="Q40" s="1521"/>
      <c r="R40" s="1526"/>
      <c r="S40" s="1521"/>
      <c r="T40" s="249">
        <f t="shared" si="62"/>
        <v>0</v>
      </c>
      <c r="U40" s="1870"/>
      <c r="V40" s="71"/>
      <c r="W40" s="945">
        <f t="shared" si="43"/>
        <v>0</v>
      </c>
      <c r="Y40" s="72"/>
      <c r="Z40" s="98">
        <f xml:space="preserve"> IF( AND(OR($C40 = "Capital expenditure purpose - WATER additional line 11 [Other categories]",$C40=""), OR( G40 &lt;&gt; 0, H40 &lt;&gt; 0, I40 &lt;&gt; 0, J40 &lt;&gt; 0, K40 &lt;&gt; 0, L40 &lt;&gt; 0, N40 &lt;&gt; 0, O40 &lt;&gt; 0, P40 &lt;&gt; 0, Q40 &lt;&gt; 0, R40 &lt;&gt; 0, S40 &lt;&gt; 0) ), 1, 0 )</f>
        <v>0</v>
      </c>
      <c r="AA40" s="98">
        <f t="shared" ref="AA40:AF40" si="65" xml:space="preserve"> IF(AND($C40="Capital expenditure purpose - WATER additional line 11 [Other categories]",$M40=0), 0, IF( ISNUMBER( G40 ), 0, 1 ))</f>
        <v>0</v>
      </c>
      <c r="AB40" s="98">
        <f t="shared" si="65"/>
        <v>0</v>
      </c>
      <c r="AC40" s="98">
        <f t="shared" si="65"/>
        <v>0</v>
      </c>
      <c r="AD40" s="98">
        <f t="shared" si="65"/>
        <v>0</v>
      </c>
      <c r="AE40" s="98">
        <f t="shared" si="65"/>
        <v>0</v>
      </c>
      <c r="AF40" s="98">
        <f t="shared" si="65"/>
        <v>0</v>
      </c>
      <c r="AG40" s="90"/>
      <c r="AH40" s="98">
        <f t="shared" ref="AH40:AM40" si="66" xml:space="preserve"> IF(AND($C40="Capital expenditure purpose - WATER additional line 11 [Other categories]",$M40=0), 0, IF( ISNUMBER( N40 ), 0, 1 ))</f>
        <v>0</v>
      </c>
      <c r="AI40" s="98">
        <f t="shared" si="66"/>
        <v>0</v>
      </c>
      <c r="AJ40" s="98">
        <f t="shared" si="66"/>
        <v>0</v>
      </c>
      <c r="AK40" s="98">
        <f t="shared" si="66"/>
        <v>0</v>
      </c>
      <c r="AL40" s="98">
        <f t="shared" si="66"/>
        <v>0</v>
      </c>
      <c r="AM40" s="98">
        <f t="shared" si="66"/>
        <v>0</v>
      </c>
      <c r="AN40" s="72"/>
      <c r="AP40" s="72"/>
      <c r="AT40" s="72"/>
      <c r="AW40" s="1059" t="s">
        <v>6589</v>
      </c>
      <c r="AX40" s="3053" t="s">
        <v>12471</v>
      </c>
      <c r="AY40" s="3054"/>
      <c r="AZ40" s="2145" t="s">
        <v>750</v>
      </c>
      <c r="BA40" s="1061">
        <v>3</v>
      </c>
      <c r="BB40" s="3055" t="s">
        <v>12471</v>
      </c>
      <c r="BC40" s="3056" t="s">
        <v>8059</v>
      </c>
      <c r="BD40" s="3057" t="s">
        <v>8060</v>
      </c>
      <c r="BE40" s="3058" t="s">
        <v>8061</v>
      </c>
      <c r="BF40" s="3059" t="s">
        <v>8062</v>
      </c>
      <c r="BG40" s="3058" t="s">
        <v>8063</v>
      </c>
      <c r="BH40" s="249" t="s">
        <v>8064</v>
      </c>
      <c r="BI40" s="3055" t="s">
        <v>12506</v>
      </c>
      <c r="BJ40" s="3056" t="s">
        <v>8065</v>
      </c>
      <c r="BK40" s="3058" t="s">
        <v>8066</v>
      </c>
      <c r="BL40" s="3059" t="s">
        <v>8067</v>
      </c>
      <c r="BM40" s="3057" t="s">
        <v>8068</v>
      </c>
      <c r="BN40" s="3058" t="s">
        <v>8069</v>
      </c>
      <c r="BO40" s="249" t="s">
        <v>8070</v>
      </c>
    </row>
    <row r="41" spans="1:67" s="200" customFormat="1">
      <c r="A41" s="928"/>
      <c r="B41" s="1059" t="s">
        <v>6590</v>
      </c>
      <c r="C41" s="1067" t="s">
        <v>6207</v>
      </c>
      <c r="D41" s="1194"/>
      <c r="E41" s="1060" t="s">
        <v>750</v>
      </c>
      <c r="F41" s="1061">
        <v>3</v>
      </c>
      <c r="G41" s="1066"/>
      <c r="H41" s="1659"/>
      <c r="I41" s="1532"/>
      <c r="J41" s="1521"/>
      <c r="K41" s="1526"/>
      <c r="L41" s="1521"/>
      <c r="M41" s="249">
        <f t="shared" si="14"/>
        <v>0</v>
      </c>
      <c r="N41" s="1066"/>
      <c r="O41" s="1659"/>
      <c r="P41" s="1532"/>
      <c r="Q41" s="1521"/>
      <c r="R41" s="1526"/>
      <c r="S41" s="1521"/>
      <c r="T41" s="249">
        <f t="shared" si="62"/>
        <v>0</v>
      </c>
      <c r="U41" s="1870"/>
      <c r="V41" s="71"/>
      <c r="W41" s="945">
        <f t="shared" si="43"/>
        <v>0</v>
      </c>
      <c r="Y41" s="72"/>
      <c r="Z41" s="98">
        <f xml:space="preserve"> IF( AND(OR($C41 = "Capital expenditure purpose - WATER additional line 12 [Other categories]",$C41=""), OR( G41 &lt;&gt; 0, H41 &lt;&gt; 0, I41 &lt;&gt; 0, J41 &lt;&gt; 0, K41 &lt;&gt; 0, L41 &lt;&gt; 0, N41 &lt;&gt; 0, O41 &lt;&gt; 0, P41 &lt;&gt; 0, Q41 &lt;&gt; 0, R41 &lt;&gt; 0, S41 &lt;&gt; 0) ), 1, 0 )</f>
        <v>0</v>
      </c>
      <c r="AA41" s="98">
        <f t="shared" ref="AA41:AF41" si="67" xml:space="preserve"> IF(AND($C41="Capital expenditure purpose - WATER additional line 12 [Other categories]",$M41=0), 0, IF( ISNUMBER( G41 ), 0, 1 ))</f>
        <v>0</v>
      </c>
      <c r="AB41" s="98">
        <f t="shared" si="67"/>
        <v>0</v>
      </c>
      <c r="AC41" s="98">
        <f t="shared" si="67"/>
        <v>0</v>
      </c>
      <c r="AD41" s="98">
        <f t="shared" si="67"/>
        <v>0</v>
      </c>
      <c r="AE41" s="98">
        <f t="shared" si="67"/>
        <v>0</v>
      </c>
      <c r="AF41" s="98">
        <f t="shared" si="67"/>
        <v>0</v>
      </c>
      <c r="AG41" s="90"/>
      <c r="AH41" s="98">
        <f t="shared" ref="AH41:AM41" si="68" xml:space="preserve"> IF(AND($C41="Capital expenditure purpose - WATER additional line 12 [Other categories]",$M41=0), 0, IF( ISNUMBER( N41 ), 0, 1 ))</f>
        <v>0</v>
      </c>
      <c r="AI41" s="98">
        <f t="shared" si="68"/>
        <v>0</v>
      </c>
      <c r="AJ41" s="98">
        <f t="shared" si="68"/>
        <v>0</v>
      </c>
      <c r="AK41" s="98">
        <f t="shared" si="68"/>
        <v>0</v>
      </c>
      <c r="AL41" s="98">
        <f t="shared" si="68"/>
        <v>0</v>
      </c>
      <c r="AM41" s="98">
        <f t="shared" si="68"/>
        <v>0</v>
      </c>
      <c r="AN41" s="72"/>
      <c r="AP41" s="72"/>
      <c r="AT41" s="72"/>
      <c r="AW41" s="1059" t="s">
        <v>6590</v>
      </c>
      <c r="AX41" s="3053" t="s">
        <v>12472</v>
      </c>
      <c r="AY41" s="3054"/>
      <c r="AZ41" s="2145" t="s">
        <v>750</v>
      </c>
      <c r="BA41" s="1061">
        <v>3</v>
      </c>
      <c r="BB41" s="3055" t="s">
        <v>12472</v>
      </c>
      <c r="BC41" s="3056" t="s">
        <v>8071</v>
      </c>
      <c r="BD41" s="3057" t="s">
        <v>8072</v>
      </c>
      <c r="BE41" s="3058" t="s">
        <v>8073</v>
      </c>
      <c r="BF41" s="3059" t="s">
        <v>8074</v>
      </c>
      <c r="BG41" s="3058" t="s">
        <v>8075</v>
      </c>
      <c r="BH41" s="249" t="s">
        <v>8076</v>
      </c>
      <c r="BI41" s="3055" t="s">
        <v>12507</v>
      </c>
      <c r="BJ41" s="3056" t="s">
        <v>8077</v>
      </c>
      <c r="BK41" s="3058" t="s">
        <v>8078</v>
      </c>
      <c r="BL41" s="3059" t="s">
        <v>8079</v>
      </c>
      <c r="BM41" s="3057" t="s">
        <v>8080</v>
      </c>
      <c r="BN41" s="3058" t="s">
        <v>8081</v>
      </c>
      <c r="BO41" s="249" t="s">
        <v>8082</v>
      </c>
    </row>
    <row r="42" spans="1:67" s="200" customFormat="1">
      <c r="A42" s="928"/>
      <c r="B42" s="1059" t="s">
        <v>6591</v>
      </c>
      <c r="C42" s="1067" t="s">
        <v>6208</v>
      </c>
      <c r="D42" s="1194"/>
      <c r="E42" s="1060" t="s">
        <v>750</v>
      </c>
      <c r="F42" s="1061">
        <v>3</v>
      </c>
      <c r="G42" s="1066"/>
      <c r="H42" s="1659"/>
      <c r="I42" s="1532"/>
      <c r="J42" s="1521"/>
      <c r="K42" s="1526"/>
      <c r="L42" s="1521"/>
      <c r="M42" s="249">
        <f t="shared" si="14"/>
        <v>0</v>
      </c>
      <c r="N42" s="1066"/>
      <c r="O42" s="1659"/>
      <c r="P42" s="1532"/>
      <c r="Q42" s="1521"/>
      <c r="R42" s="1526"/>
      <c r="S42" s="1521"/>
      <c r="T42" s="249">
        <f t="shared" si="62"/>
        <v>0</v>
      </c>
      <c r="U42" s="1870"/>
      <c r="V42" s="71"/>
      <c r="W42" s="945">
        <f t="shared" si="43"/>
        <v>0</v>
      </c>
      <c r="Y42" s="72"/>
      <c r="Z42" s="98">
        <f xml:space="preserve"> IF( AND(OR($C42 = "Capital expenditure purpose - WATER additional line 13 [Other categories]",$C42=""), OR( G42 &lt;&gt; 0, H42 &lt;&gt; 0, I42 &lt;&gt; 0, J42 &lt;&gt; 0, K42 &lt;&gt; 0, L42 &lt;&gt; 0, N42 &lt;&gt; 0, O42 &lt;&gt; 0, P42 &lt;&gt; 0, Q42 &lt;&gt; 0, R42 &lt;&gt; 0, S42 &lt;&gt; 0) ), 1, 0 )</f>
        <v>0</v>
      </c>
      <c r="AA42" s="98">
        <f t="shared" ref="AA42:AF42" si="69" xml:space="preserve"> IF(AND($C42="Capital expenditure purpose - WATER additional line 13 [Other categories]",$M42=0), 0, IF( ISNUMBER( G42 ), 0, 1 ))</f>
        <v>0</v>
      </c>
      <c r="AB42" s="98">
        <f t="shared" si="69"/>
        <v>0</v>
      </c>
      <c r="AC42" s="98">
        <f t="shared" si="69"/>
        <v>0</v>
      </c>
      <c r="AD42" s="98">
        <f t="shared" si="69"/>
        <v>0</v>
      </c>
      <c r="AE42" s="98">
        <f t="shared" si="69"/>
        <v>0</v>
      </c>
      <c r="AF42" s="98">
        <f t="shared" si="69"/>
        <v>0</v>
      </c>
      <c r="AG42" s="90"/>
      <c r="AH42" s="98">
        <f t="shared" ref="AH42:AM42" si="70" xml:space="preserve"> IF(AND($C42="Capital expenditure purpose - WATER additional line 13 [Other categories]",$M42=0), 0, IF( ISNUMBER( N42 ), 0, 1 ))</f>
        <v>0</v>
      </c>
      <c r="AI42" s="98">
        <f t="shared" si="70"/>
        <v>0</v>
      </c>
      <c r="AJ42" s="98">
        <f t="shared" si="70"/>
        <v>0</v>
      </c>
      <c r="AK42" s="98">
        <f t="shared" si="70"/>
        <v>0</v>
      </c>
      <c r="AL42" s="98">
        <f t="shared" si="70"/>
        <v>0</v>
      </c>
      <c r="AM42" s="98">
        <f t="shared" si="70"/>
        <v>0</v>
      </c>
      <c r="AN42" s="72"/>
      <c r="AP42" s="72"/>
      <c r="AT42" s="72"/>
      <c r="AW42" s="1059" t="s">
        <v>6591</v>
      </c>
      <c r="AX42" s="3053" t="s">
        <v>12473</v>
      </c>
      <c r="AY42" s="3054"/>
      <c r="AZ42" s="2145" t="s">
        <v>750</v>
      </c>
      <c r="BA42" s="1061">
        <v>3</v>
      </c>
      <c r="BB42" s="3055" t="s">
        <v>12473</v>
      </c>
      <c r="BC42" s="3056" t="s">
        <v>8083</v>
      </c>
      <c r="BD42" s="3057" t="s">
        <v>8084</v>
      </c>
      <c r="BE42" s="3058" t="s">
        <v>8085</v>
      </c>
      <c r="BF42" s="3059" t="s">
        <v>8086</v>
      </c>
      <c r="BG42" s="3058" t="s">
        <v>8087</v>
      </c>
      <c r="BH42" s="249" t="s">
        <v>8088</v>
      </c>
      <c r="BI42" s="3055" t="s">
        <v>12508</v>
      </c>
      <c r="BJ42" s="3056" t="s">
        <v>8089</v>
      </c>
      <c r="BK42" s="3058" t="s">
        <v>8090</v>
      </c>
      <c r="BL42" s="3059" t="s">
        <v>8091</v>
      </c>
      <c r="BM42" s="3057" t="s">
        <v>8092</v>
      </c>
      <c r="BN42" s="3058" t="s">
        <v>8093</v>
      </c>
      <c r="BO42" s="249" t="s">
        <v>8094</v>
      </c>
    </row>
    <row r="43" spans="1:67" s="200" customFormat="1">
      <c r="A43" s="928"/>
      <c r="B43" s="1059" t="s">
        <v>12625</v>
      </c>
      <c r="C43" s="1067" t="s">
        <v>6209</v>
      </c>
      <c r="D43" s="1194"/>
      <c r="E43" s="1060" t="s">
        <v>750</v>
      </c>
      <c r="F43" s="1061">
        <v>3</v>
      </c>
      <c r="G43" s="1066"/>
      <c r="H43" s="1659"/>
      <c r="I43" s="1532"/>
      <c r="J43" s="1521"/>
      <c r="K43" s="1526"/>
      <c r="L43" s="1521"/>
      <c r="M43" s="249">
        <f t="shared" si="14"/>
        <v>0</v>
      </c>
      <c r="N43" s="1066"/>
      <c r="O43" s="1659"/>
      <c r="P43" s="1532"/>
      <c r="Q43" s="1521"/>
      <c r="R43" s="1526"/>
      <c r="S43" s="1521"/>
      <c r="T43" s="249">
        <f t="shared" si="62"/>
        <v>0</v>
      </c>
      <c r="U43" s="1870"/>
      <c r="V43" s="71"/>
      <c r="W43" s="945">
        <f t="shared" si="43"/>
        <v>0</v>
      </c>
      <c r="Y43" s="72"/>
      <c r="Z43" s="98">
        <f xml:space="preserve"> IF( AND(OR($C43 = "Capital expenditure purpose - WATER additional line 14 [Other categories]",$C43=""), OR( G43 &lt;&gt; 0, H43 &lt;&gt; 0, I43 &lt;&gt; 0, J43 &lt;&gt; 0, K43 &lt;&gt; 0, L43 &lt;&gt; 0, N43 &lt;&gt; 0, O43 &lt;&gt; 0, P43 &lt;&gt; 0, Q43 &lt;&gt; 0, R43 &lt;&gt; 0, S43 &lt;&gt; 0) ), 1, 0 )</f>
        <v>0</v>
      </c>
      <c r="AA43" s="98">
        <f t="shared" ref="AA43:AF43" si="71" xml:space="preserve"> IF(AND($C43="Capital expenditure purpose - WATER additional line 14 [Other categories]",$M43=0), 0, IF( ISNUMBER( G43 ), 0, 1 ))</f>
        <v>0</v>
      </c>
      <c r="AB43" s="98">
        <f t="shared" si="71"/>
        <v>0</v>
      </c>
      <c r="AC43" s="98">
        <f t="shared" si="71"/>
        <v>0</v>
      </c>
      <c r="AD43" s="98">
        <f t="shared" si="71"/>
        <v>0</v>
      </c>
      <c r="AE43" s="98">
        <f t="shared" si="71"/>
        <v>0</v>
      </c>
      <c r="AF43" s="98">
        <f t="shared" si="71"/>
        <v>0</v>
      </c>
      <c r="AG43" s="90"/>
      <c r="AH43" s="98">
        <f t="shared" ref="AH43:AM43" si="72" xml:space="preserve"> IF(AND($C43="Capital expenditure purpose - WATER additional line 14 [Other categories]",$M43=0), 0, IF( ISNUMBER( N43 ), 0, 1 ))</f>
        <v>0</v>
      </c>
      <c r="AI43" s="98">
        <f t="shared" si="72"/>
        <v>0</v>
      </c>
      <c r="AJ43" s="98">
        <f t="shared" si="72"/>
        <v>0</v>
      </c>
      <c r="AK43" s="98">
        <f t="shared" si="72"/>
        <v>0</v>
      </c>
      <c r="AL43" s="98">
        <f t="shared" si="72"/>
        <v>0</v>
      </c>
      <c r="AM43" s="98">
        <f t="shared" si="72"/>
        <v>0</v>
      </c>
      <c r="AN43" s="72"/>
      <c r="AP43" s="72"/>
      <c r="AT43" s="72"/>
      <c r="AW43" s="1059" t="s">
        <v>12625</v>
      </c>
      <c r="AX43" s="3053" t="s">
        <v>12474</v>
      </c>
      <c r="AY43" s="3054"/>
      <c r="AZ43" s="2145" t="s">
        <v>750</v>
      </c>
      <c r="BA43" s="1061">
        <v>3</v>
      </c>
      <c r="BB43" s="3055" t="s">
        <v>12474</v>
      </c>
      <c r="BC43" s="3056" t="s">
        <v>8095</v>
      </c>
      <c r="BD43" s="3057" t="s">
        <v>8096</v>
      </c>
      <c r="BE43" s="3058" t="s">
        <v>8097</v>
      </c>
      <c r="BF43" s="3059" t="s">
        <v>8098</v>
      </c>
      <c r="BG43" s="3058" t="s">
        <v>8099</v>
      </c>
      <c r="BH43" s="249" t="s">
        <v>8100</v>
      </c>
      <c r="BI43" s="3055" t="s">
        <v>12509</v>
      </c>
      <c r="BJ43" s="3056" t="s">
        <v>8101</v>
      </c>
      <c r="BK43" s="3058" t="s">
        <v>8102</v>
      </c>
      <c r="BL43" s="3059" t="s">
        <v>8103</v>
      </c>
      <c r="BM43" s="3057" t="s">
        <v>8104</v>
      </c>
      <c r="BN43" s="3058" t="s">
        <v>8105</v>
      </c>
      <c r="BO43" s="249" t="s">
        <v>8106</v>
      </c>
    </row>
    <row r="44" spans="1:67" s="200" customFormat="1" ht="15" thickBot="1">
      <c r="A44" s="928"/>
      <c r="B44" s="1059" t="s">
        <v>12626</v>
      </c>
      <c r="C44" s="1069" t="s">
        <v>6210</v>
      </c>
      <c r="D44" s="1170"/>
      <c r="E44" s="1070" t="s">
        <v>750</v>
      </c>
      <c r="F44" s="1071">
        <v>3</v>
      </c>
      <c r="G44" s="1523"/>
      <c r="H44" s="1660"/>
      <c r="I44" s="1533"/>
      <c r="J44" s="1530"/>
      <c r="K44" s="1527"/>
      <c r="L44" s="1522"/>
      <c r="M44" s="249">
        <f t="shared" si="14"/>
        <v>0</v>
      </c>
      <c r="N44" s="1523"/>
      <c r="O44" s="1660"/>
      <c r="P44" s="1533"/>
      <c r="Q44" s="1530"/>
      <c r="R44" s="1527"/>
      <c r="S44" s="1522"/>
      <c r="T44" s="249">
        <f t="shared" si="0"/>
        <v>0</v>
      </c>
      <c r="U44" s="1871"/>
      <c r="V44" s="71"/>
      <c r="W44" s="945">
        <f t="shared" si="43"/>
        <v>0</v>
      </c>
      <c r="Y44" s="72"/>
      <c r="Z44" s="98">
        <f xml:space="preserve"> IF( AND(OR($C44 = "Capital expenditure purpose - WATER additional line 15 [Other categories]",$C44=""), OR( G44 &lt;&gt; 0, H44 &lt;&gt; 0, I44 &lt;&gt; 0, J44 &lt;&gt; 0, K44 &lt;&gt; 0, L44 &lt;&gt; 0, N44 &lt;&gt; 0, O44 &lt;&gt; 0, P44 &lt;&gt; 0, Q44 &lt;&gt; 0, R44 &lt;&gt; 0, S44 &lt;&gt; 0) ), 1, 0 )</f>
        <v>0</v>
      </c>
      <c r="AA44" s="98">
        <f t="shared" ref="AA44:AF44" si="73" xml:space="preserve"> IF(AND($C44="Capital expenditure purpose - WATER additional line 15 [Other categories]",$M44=0), 0, IF( ISNUMBER( G44 ), 0, 1 ))</f>
        <v>0</v>
      </c>
      <c r="AB44" s="98">
        <f t="shared" si="73"/>
        <v>0</v>
      </c>
      <c r="AC44" s="98">
        <f t="shared" si="73"/>
        <v>0</v>
      </c>
      <c r="AD44" s="98">
        <f t="shared" si="73"/>
        <v>0</v>
      </c>
      <c r="AE44" s="98">
        <f t="shared" si="73"/>
        <v>0</v>
      </c>
      <c r="AF44" s="98">
        <f t="shared" si="73"/>
        <v>0</v>
      </c>
      <c r="AG44" s="90"/>
      <c r="AH44" s="98">
        <f t="shared" ref="AH44:AM44" si="74" xml:space="preserve"> IF(AND($C44="Capital expenditure purpose - WATER additional line 15 [Other categories]",$M44=0), 0, IF( ISNUMBER( N44 ), 0, 1 ))</f>
        <v>0</v>
      </c>
      <c r="AI44" s="98">
        <f t="shared" si="74"/>
        <v>0</v>
      </c>
      <c r="AJ44" s="98">
        <f t="shared" si="74"/>
        <v>0</v>
      </c>
      <c r="AK44" s="98">
        <f t="shared" si="74"/>
        <v>0</v>
      </c>
      <c r="AL44" s="98">
        <f t="shared" si="74"/>
        <v>0</v>
      </c>
      <c r="AM44" s="98">
        <f t="shared" si="74"/>
        <v>0</v>
      </c>
      <c r="AN44" s="72"/>
      <c r="AP44" s="72"/>
      <c r="AT44" s="72"/>
      <c r="AW44" s="1059" t="s">
        <v>12626</v>
      </c>
      <c r="AX44" s="3060" t="s">
        <v>12475</v>
      </c>
      <c r="AY44" s="3061"/>
      <c r="AZ44" s="1070" t="s">
        <v>750</v>
      </c>
      <c r="BA44" s="1071">
        <v>3</v>
      </c>
      <c r="BB44" s="3062" t="s">
        <v>12475</v>
      </c>
      <c r="BC44" s="3063" t="s">
        <v>8107</v>
      </c>
      <c r="BD44" s="3064" t="s">
        <v>8108</v>
      </c>
      <c r="BE44" s="3065" t="s">
        <v>8109</v>
      </c>
      <c r="BF44" s="3066" t="s">
        <v>8110</v>
      </c>
      <c r="BG44" s="3058" t="s">
        <v>8111</v>
      </c>
      <c r="BH44" s="249" t="s">
        <v>8112</v>
      </c>
      <c r="BI44" s="3062" t="s">
        <v>12510</v>
      </c>
      <c r="BJ44" s="3063" t="s">
        <v>8113</v>
      </c>
      <c r="BK44" s="3065" t="s">
        <v>8114</v>
      </c>
      <c r="BL44" s="3066" t="s">
        <v>8115</v>
      </c>
      <c r="BM44" s="3064" t="s">
        <v>8116</v>
      </c>
      <c r="BN44" s="3058" t="s">
        <v>8117</v>
      </c>
      <c r="BO44" s="249" t="s">
        <v>8118</v>
      </c>
    </row>
    <row r="45" spans="1:67" s="200" customFormat="1" ht="24.75" customHeight="1" thickBot="1">
      <c r="A45" s="928"/>
      <c r="B45" s="1073" t="s">
        <v>12627</v>
      </c>
      <c r="C45" s="1074" t="s">
        <v>4119</v>
      </c>
      <c r="D45" s="1075"/>
      <c r="E45" s="1070" t="s">
        <v>750</v>
      </c>
      <c r="F45" s="1071">
        <v>3</v>
      </c>
      <c r="G45" s="2033">
        <f t="shared" ref="G45:L45" si="75">SUM(G8:G44)</f>
        <v>0</v>
      </c>
      <c r="H45" s="2034">
        <f t="shared" si="75"/>
        <v>0</v>
      </c>
      <c r="I45" s="2035">
        <f t="shared" si="75"/>
        <v>0</v>
      </c>
      <c r="J45" s="2036">
        <f t="shared" si="75"/>
        <v>0</v>
      </c>
      <c r="K45" s="2037">
        <f t="shared" si="75"/>
        <v>0</v>
      </c>
      <c r="L45" s="2035">
        <f t="shared" si="75"/>
        <v>0</v>
      </c>
      <c r="M45" s="208">
        <f t="shared" si="14"/>
        <v>0</v>
      </c>
      <c r="N45" s="2033">
        <f t="shared" ref="N45:S45" si="76">SUM(N8:N44)</f>
        <v>0</v>
      </c>
      <c r="O45" s="2034">
        <f t="shared" si="76"/>
        <v>0</v>
      </c>
      <c r="P45" s="2036">
        <f t="shared" si="76"/>
        <v>0</v>
      </c>
      <c r="Q45" s="2037">
        <f t="shared" si="76"/>
        <v>0</v>
      </c>
      <c r="R45" s="2035">
        <f t="shared" si="76"/>
        <v>0</v>
      </c>
      <c r="S45" s="2035">
        <f t="shared" si="76"/>
        <v>0</v>
      </c>
      <c r="T45" s="208">
        <f t="shared" si="0"/>
        <v>0</v>
      </c>
      <c r="U45" s="2038"/>
      <c r="V45" s="71"/>
      <c r="W45" s="1431">
        <f>IF(SUM(AN45:AP45)&lt;&gt;0,$AS$45,IF(SUM(AN46:AP47)=0,0,$AS$46))</f>
        <v>0</v>
      </c>
      <c r="Y45" s="72"/>
      <c r="AB45" s="71"/>
      <c r="AC45" s="71"/>
      <c r="AD45" s="71"/>
      <c r="AE45" s="71"/>
      <c r="AF45" s="71"/>
      <c r="AG45" s="90"/>
      <c r="AH45" s="71"/>
      <c r="AI45" s="71"/>
      <c r="AJ45" s="71"/>
      <c r="AK45" s="71"/>
      <c r="AL45" s="71"/>
      <c r="AM45" s="71"/>
      <c r="AN45" s="72"/>
      <c r="AO45" s="98">
        <f xml:space="preserve"> IF( (AQ45 - AR45) = 0, 0, 1 )</f>
        <v>0</v>
      </c>
      <c r="AP45" s="129"/>
      <c r="AQ45" s="117">
        <f>ROUND(M45,3)</f>
        <v>0</v>
      </c>
      <c r="AR45" s="117">
        <f xml:space="preserve"> ROUND( ('4D'!M23+'4D'!M24+'4D'!M25), 3 )</f>
        <v>0</v>
      </c>
      <c r="AS45" s="144" t="s">
        <v>6501</v>
      </c>
      <c r="AT45" s="72"/>
      <c r="AW45" s="1073" t="s">
        <v>12627</v>
      </c>
      <c r="AX45" s="3067" t="s">
        <v>4119</v>
      </c>
      <c r="AY45" s="3068"/>
      <c r="AZ45" s="1070" t="s">
        <v>750</v>
      </c>
      <c r="BA45" s="1071">
        <v>3</v>
      </c>
      <c r="BB45" s="2033" t="s">
        <v>12476</v>
      </c>
      <c r="BC45" s="2034" t="s">
        <v>8119</v>
      </c>
      <c r="BD45" s="2035" t="s">
        <v>8120</v>
      </c>
      <c r="BE45" s="2036" t="s">
        <v>8121</v>
      </c>
      <c r="BF45" s="2037" t="s">
        <v>8122</v>
      </c>
      <c r="BG45" s="2035" t="s">
        <v>8123</v>
      </c>
      <c r="BH45" s="208" t="s">
        <v>8124</v>
      </c>
      <c r="BI45" s="2033" t="s">
        <v>12511</v>
      </c>
      <c r="BJ45" s="2034" t="s">
        <v>8125</v>
      </c>
      <c r="BK45" s="2036" t="s">
        <v>8126</v>
      </c>
      <c r="BL45" s="2037" t="s">
        <v>8127</v>
      </c>
      <c r="BM45" s="2035" t="s">
        <v>8128</v>
      </c>
      <c r="BN45" s="2035" t="s">
        <v>8129</v>
      </c>
      <c r="BO45" s="208" t="s">
        <v>8130</v>
      </c>
    </row>
    <row r="46" spans="1:67" s="200" customFormat="1">
      <c r="A46" s="928"/>
      <c r="B46" s="1078"/>
      <c r="C46" s="1079"/>
      <c r="D46" s="1079"/>
      <c r="E46" s="1080"/>
      <c r="F46" s="1081"/>
      <c r="G46" s="1657">
        <f>IF('4J'!G49=0,(IF(ROUND(G45,3)=ROUND('4J'!G24+'4J'!G25+'4J'!G26,3),0,1)),0)</f>
        <v>0</v>
      </c>
      <c r="H46" s="1657">
        <f>IF('4J'!H49=0,(IF(ROUND(H45,3)=ROUND('4J'!H24+'4J'!H25+'4J'!H26,3),0,1)),0)</f>
        <v>0</v>
      </c>
      <c r="I46" s="1657">
        <f>IF('4J'!I49=0,(IF(ROUND(I45,3)=ROUND('4J'!I24+'4J'!I25+'4J'!I26,3),0,1)),0)</f>
        <v>0</v>
      </c>
      <c r="J46" s="1657">
        <f>IF('4J'!J49=0,(IF(ROUND(J45,3)=ROUND('4J'!J24+'4J'!J25+'4J'!J26,3),0,1)),0)</f>
        <v>0</v>
      </c>
      <c r="K46" s="1657">
        <f>IF('4J'!K49=0,(IF(ROUND(K45,3)=ROUND('4J'!K24+'4J'!K25+'4J'!K26,3),0,1)),0)</f>
        <v>0</v>
      </c>
      <c r="L46" s="1657">
        <f>IF('4J'!L49=0,(IF(ROUND(L45,3)=ROUND('4J'!L24+'4J'!L25+'4J'!L26,3),0,1)),0)</f>
        <v>0</v>
      </c>
      <c r="M46" s="1657">
        <f>IF('4J'!M49=0,(IF(ROUND(M45,3)=ROUND('4J'!M24+'4J'!M25+'4J'!M26,3),0,1)),0)</f>
        <v>0</v>
      </c>
      <c r="N46" s="1081"/>
      <c r="O46" s="1081"/>
      <c r="P46" s="1081"/>
      <c r="Q46" s="1081"/>
      <c r="R46" s="1081"/>
      <c r="S46" s="1081"/>
      <c r="T46" s="1081"/>
      <c r="U46" s="1081"/>
      <c r="V46" s="1081"/>
      <c r="W46" s="1081"/>
      <c r="X46" s="1082"/>
      <c r="Y46" s="72"/>
      <c r="AB46" s="1082"/>
      <c r="AC46" s="1082"/>
      <c r="AD46" s="1082"/>
      <c r="AE46" s="1082"/>
      <c r="AF46" s="1082"/>
      <c r="AG46" s="1082"/>
      <c r="AH46" s="1082"/>
      <c r="AI46" s="1082"/>
      <c r="AJ46" s="1082"/>
      <c r="AK46" s="1082"/>
      <c r="AL46" s="1082"/>
      <c r="AM46" s="1082"/>
      <c r="AN46" s="72"/>
      <c r="AO46" s="98">
        <f xml:space="preserve"> IF( (AQ46 - AR46) = 0, 0, 1 )</f>
        <v>0</v>
      </c>
      <c r="AP46" s="129"/>
      <c r="AQ46" s="117">
        <f>IF(AR46=0,0,ROUND(M45,3))</f>
        <v>0</v>
      </c>
      <c r="AR46" s="117">
        <f xml:space="preserve"> IF('4J'!M49 = 0,ROUND( ('4J'!M24+'4J'!M25+'4J'!M26), 3 ),0)</f>
        <v>0</v>
      </c>
      <c r="AS46" s="144" t="s">
        <v>6500</v>
      </c>
      <c r="AT46" s="72"/>
      <c r="AU46" s="131"/>
    </row>
    <row r="47" spans="1:67" s="200" customFormat="1">
      <c r="A47" s="928"/>
      <c r="B47" s="3457" t="s">
        <v>2420</v>
      </c>
      <c r="C47" s="3457"/>
      <c r="D47" s="1079"/>
      <c r="E47" s="1080"/>
      <c r="F47" s="1081"/>
      <c r="G47" s="1081"/>
      <c r="H47" s="1081"/>
      <c r="I47" s="1081"/>
      <c r="J47" s="1081"/>
      <c r="K47" s="1081"/>
      <c r="L47" s="1081"/>
      <c r="M47" s="1081"/>
      <c r="N47" s="1081"/>
      <c r="O47" s="1081"/>
      <c r="P47" s="1081"/>
      <c r="Q47" s="1081"/>
      <c r="R47" s="1081"/>
      <c r="S47" s="1081"/>
      <c r="T47" s="1081"/>
      <c r="U47" s="1081"/>
      <c r="V47" s="1081"/>
      <c r="W47" s="1081"/>
      <c r="X47" s="1082"/>
      <c r="Y47" s="1782"/>
      <c r="Z47" s="1082"/>
      <c r="AA47" s="1082"/>
      <c r="AB47" s="1082"/>
      <c r="AC47" s="1082"/>
      <c r="AD47" s="1082"/>
      <c r="AE47" s="1082"/>
      <c r="AF47" s="1082"/>
      <c r="AG47" s="1082"/>
      <c r="AH47" s="1082"/>
      <c r="AI47" s="1082"/>
      <c r="AJ47" s="1082"/>
      <c r="AK47" s="1082"/>
      <c r="AL47" s="1082"/>
      <c r="AM47" s="1082"/>
      <c r="AN47" s="72"/>
      <c r="AO47" s="98">
        <f xml:space="preserve"> IF(  M46 = 0, 0, 1 )</f>
        <v>0</v>
      </c>
      <c r="AP47" s="129"/>
      <c r="AQ47" s="1082"/>
      <c r="AR47" s="1082"/>
      <c r="AS47" s="144"/>
      <c r="AT47" s="72"/>
      <c r="AU47" s="131"/>
    </row>
    <row r="48" spans="1:67" s="1087" customFormat="1">
      <c r="A48" s="1084"/>
      <c r="B48" s="1078"/>
      <c r="C48" s="1085"/>
      <c r="D48" s="1079"/>
      <c r="E48" s="1080"/>
      <c r="F48" s="1081"/>
      <c r="G48" s="1081"/>
      <c r="H48" s="1081"/>
      <c r="I48" s="1081"/>
      <c r="J48" s="1081"/>
      <c r="K48" s="1081"/>
      <c r="L48" s="1081"/>
      <c r="M48" s="1081"/>
      <c r="N48" s="1081"/>
      <c r="O48" s="1081"/>
      <c r="P48" s="1081"/>
      <c r="Q48" s="1081"/>
      <c r="R48" s="1081"/>
      <c r="S48" s="1081"/>
      <c r="T48" s="1081"/>
      <c r="U48" s="1081"/>
      <c r="V48" s="1081"/>
      <c r="W48" s="1081"/>
      <c r="X48" s="1086"/>
      <c r="Y48" s="1783"/>
      <c r="Z48" s="1086"/>
      <c r="AA48" s="1086"/>
      <c r="AB48" s="1086"/>
      <c r="AC48" s="1086"/>
      <c r="AD48" s="1086"/>
      <c r="AE48" s="1086"/>
      <c r="AF48" s="1086"/>
      <c r="AG48" s="1086"/>
      <c r="AH48" s="1086"/>
      <c r="AI48" s="1086"/>
      <c r="AJ48" s="1086"/>
      <c r="AK48" s="1086"/>
      <c r="AL48" s="1086"/>
      <c r="AM48" s="1086"/>
      <c r="AN48" s="1783"/>
      <c r="AO48" s="1086"/>
      <c r="AP48" s="1783"/>
      <c r="AQ48" s="1086"/>
      <c r="AR48" s="1086"/>
      <c r="AS48" s="1083"/>
      <c r="AT48" s="1773"/>
      <c r="AU48" s="131"/>
    </row>
    <row r="49" spans="1:47" s="170" customFormat="1" ht="12">
      <c r="B49" s="1008"/>
      <c r="C49" s="1009" t="s">
        <v>2421</v>
      </c>
      <c r="D49" s="1009"/>
      <c r="Y49" s="1774"/>
      <c r="Z49" s="331"/>
      <c r="AA49" s="331"/>
      <c r="AN49" s="1774"/>
      <c r="AP49" s="1774"/>
      <c r="AT49" s="124"/>
      <c r="AU49" s="131"/>
    </row>
    <row r="50" spans="1:47" s="170" customFormat="1" ht="12">
      <c r="B50" s="1006"/>
      <c r="C50" s="1007"/>
      <c r="D50" s="1007"/>
      <c r="Y50" s="1774"/>
      <c r="Z50" s="331"/>
      <c r="AA50" s="331"/>
      <c r="AN50" s="1774"/>
      <c r="AP50" s="1774"/>
      <c r="AT50" s="124"/>
      <c r="AU50" s="131"/>
    </row>
    <row r="51" spans="1:47" s="170" customFormat="1" ht="12">
      <c r="B51" s="1010"/>
      <c r="C51" s="1009" t="s">
        <v>2422</v>
      </c>
      <c r="D51" s="1009"/>
      <c r="Y51" s="1774"/>
      <c r="Z51" s="331"/>
      <c r="AA51" s="331"/>
      <c r="AN51" s="1774"/>
      <c r="AP51" s="1774"/>
      <c r="AT51" s="124"/>
      <c r="AU51" s="131"/>
    </row>
    <row r="52" spans="1:47" s="115" customFormat="1">
      <c r="C52" s="157"/>
      <c r="D52" s="157"/>
      <c r="Y52" s="1775"/>
      <c r="Z52" s="294"/>
      <c r="AA52" s="294"/>
      <c r="AN52" s="1775"/>
      <c r="AP52" s="1775"/>
      <c r="AT52" s="124"/>
      <c r="AU52" s="131"/>
    </row>
    <row r="53" spans="1:47" s="115" customFormat="1" ht="15" thickBot="1">
      <c r="C53" s="157"/>
      <c r="D53" s="157"/>
      <c r="Y53" s="1775"/>
      <c r="Z53" s="294"/>
      <c r="AA53" s="294"/>
      <c r="AN53" s="1775"/>
      <c r="AP53" s="1775"/>
      <c r="AT53" s="124"/>
      <c r="AU53" s="131"/>
    </row>
    <row r="54" spans="1:47" s="115" customFormat="1" ht="15" thickBot="1">
      <c r="B54" s="2183" t="s">
        <v>12572</v>
      </c>
      <c r="C54" s="2184"/>
      <c r="D54" s="2184"/>
      <c r="E54" s="2184"/>
      <c r="F54" s="2184"/>
      <c r="G54" s="2184"/>
      <c r="H54" s="2184"/>
      <c r="I54" s="2184"/>
      <c r="J54" s="2184"/>
      <c r="K54" s="2184"/>
      <c r="L54" s="2184"/>
      <c r="M54" s="2184"/>
      <c r="N54" s="2184"/>
      <c r="O54" s="2185"/>
      <c r="Y54" s="1775"/>
      <c r="Z54" s="294"/>
      <c r="AA54" s="294"/>
      <c r="AN54" s="1775"/>
      <c r="AP54" s="1775"/>
      <c r="AT54" s="124"/>
      <c r="AU54" s="131"/>
    </row>
    <row r="55" spans="1:47" s="115" customFormat="1" ht="15" thickBot="1">
      <c r="C55" s="157"/>
      <c r="D55" s="157"/>
      <c r="Y55" s="1775"/>
      <c r="Z55" s="294"/>
      <c r="AA55" s="294"/>
      <c r="AN55" s="1775"/>
      <c r="AP55" s="1775"/>
      <c r="AT55" s="124"/>
      <c r="AU55" s="131"/>
    </row>
    <row r="56" spans="1:47" s="115" customFormat="1" ht="15" hidden="1" thickBot="1">
      <c r="A56" s="1643"/>
      <c r="B56" s="3538" t="str">
        <f ca="1" xml:space="preserve"> RIGHT(CELL("filename", $A$1), LEN(CELL("filename", $A$1)) - SEARCH("]", CELL("filename", $A$1)))&amp;" - Line definitions"</f>
        <v>4L - Line definitions</v>
      </c>
      <c r="C56" s="3539"/>
      <c r="D56" s="3539"/>
      <c r="E56" s="3539"/>
      <c r="F56" s="3539"/>
      <c r="G56" s="3539"/>
      <c r="H56" s="3539"/>
      <c r="I56" s="3539"/>
      <c r="J56" s="3539"/>
      <c r="K56" s="3539"/>
      <c r="L56" s="3539"/>
      <c r="M56" s="3539"/>
      <c r="N56" s="3539"/>
      <c r="O56" s="3540"/>
      <c r="Y56" s="1775"/>
      <c r="Z56" s="294"/>
      <c r="AA56" s="294"/>
      <c r="AN56" s="1775"/>
      <c r="AP56" s="1775"/>
      <c r="AS56" s="1014"/>
      <c r="AT56" s="1786"/>
      <c r="AU56" s="131"/>
    </row>
    <row r="57" spans="1:47" s="115" customFormat="1" ht="15" hidden="1" thickBot="1">
      <c r="A57" s="1643"/>
      <c r="B57" s="928"/>
      <c r="C57" s="1088"/>
      <c r="D57" s="1088"/>
      <c r="E57" s="928"/>
      <c r="F57" s="928"/>
      <c r="G57" s="928"/>
      <c r="H57" s="928"/>
      <c r="I57" s="928"/>
      <c r="J57" s="928"/>
      <c r="K57" s="928"/>
      <c r="L57" s="928"/>
      <c r="M57" s="928"/>
      <c r="N57" s="928"/>
      <c r="O57" s="928"/>
      <c r="P57" s="928"/>
      <c r="Q57" s="928"/>
      <c r="R57" s="928"/>
      <c r="S57" s="928"/>
      <c r="T57" s="928"/>
      <c r="U57" s="928"/>
      <c r="V57" s="928"/>
      <c r="W57" s="928"/>
      <c r="X57" s="928"/>
      <c r="Y57" s="1772"/>
      <c r="Z57" s="928"/>
      <c r="AA57" s="928"/>
      <c r="AB57" s="928"/>
      <c r="AC57" s="928"/>
      <c r="AD57" s="928"/>
      <c r="AE57" s="928"/>
      <c r="AF57" s="928"/>
      <c r="AG57" s="928"/>
      <c r="AH57" s="928"/>
      <c r="AI57" s="928"/>
      <c r="AJ57" s="928"/>
      <c r="AK57" s="928"/>
      <c r="AL57" s="928"/>
      <c r="AM57" s="928"/>
      <c r="AN57" s="1772"/>
      <c r="AO57" s="928"/>
      <c r="AP57" s="1772"/>
      <c r="AQ57" s="928"/>
      <c r="AR57" s="928"/>
      <c r="AT57" s="1786"/>
      <c r="AU57" s="131"/>
    </row>
    <row r="58" spans="1:47" s="185" customFormat="1" ht="15" hidden="1" thickBot="1">
      <c r="A58" s="1644"/>
      <c r="B58" s="1089" t="s">
        <v>2423</v>
      </c>
      <c r="C58" s="3541" t="s">
        <v>2424</v>
      </c>
      <c r="D58" s="3542"/>
      <c r="E58" s="3542"/>
      <c r="F58" s="3542"/>
      <c r="G58" s="3542"/>
      <c r="H58" s="3542"/>
      <c r="I58" s="3542"/>
      <c r="J58" s="3542"/>
      <c r="K58" s="3542"/>
      <c r="L58" s="3542"/>
      <c r="M58" s="3542"/>
      <c r="N58" s="3542"/>
      <c r="O58" s="3543"/>
      <c r="P58" s="928"/>
      <c r="Q58" s="928"/>
      <c r="R58" s="928"/>
      <c r="S58" s="928"/>
      <c r="T58" s="928"/>
      <c r="U58" s="928"/>
      <c r="V58" s="928"/>
      <c r="W58" s="928"/>
      <c r="X58" s="928"/>
      <c r="Y58" s="1772"/>
      <c r="Z58" s="928"/>
      <c r="AA58" s="928"/>
      <c r="AB58" s="1090"/>
      <c r="AC58" s="1090"/>
      <c r="AD58" s="1090"/>
      <c r="AE58" s="1090"/>
      <c r="AF58" s="1090"/>
      <c r="AG58" s="1090"/>
      <c r="AH58" s="1090"/>
      <c r="AI58" s="1090"/>
      <c r="AJ58" s="1090"/>
      <c r="AK58" s="1090"/>
      <c r="AL58" s="1090"/>
      <c r="AM58" s="1090"/>
      <c r="AN58" s="1777"/>
      <c r="AO58" s="1090"/>
      <c r="AP58" s="1777"/>
      <c r="AQ58" s="1090"/>
      <c r="AR58" s="1090"/>
      <c r="AS58" s="1090"/>
      <c r="AT58" s="1786"/>
      <c r="AU58" s="125"/>
    </row>
    <row r="59" spans="1:47" s="115" customFormat="1" hidden="1">
      <c r="A59" s="1643"/>
      <c r="B59" s="1091">
        <v>1</v>
      </c>
      <c r="C59" s="3515" t="s">
        <v>4120</v>
      </c>
      <c r="D59" s="3516"/>
      <c r="E59" s="3516"/>
      <c r="F59" s="3516"/>
      <c r="G59" s="3516"/>
      <c r="H59" s="3516"/>
      <c r="I59" s="3516"/>
      <c r="J59" s="3516"/>
      <c r="K59" s="3516"/>
      <c r="L59" s="3516"/>
      <c r="M59" s="3516"/>
      <c r="N59" s="3516"/>
      <c r="O59" s="3517"/>
      <c r="Y59" s="1775"/>
      <c r="Z59" s="294"/>
      <c r="AA59" s="294"/>
      <c r="AB59" s="1092"/>
      <c r="AC59" s="1092"/>
      <c r="AD59" s="1092"/>
      <c r="AE59" s="1092"/>
      <c r="AF59" s="1092"/>
      <c r="AG59" s="1092"/>
      <c r="AH59" s="1092"/>
      <c r="AI59" s="1092"/>
      <c r="AJ59" s="1092"/>
      <c r="AK59" s="1092"/>
      <c r="AL59" s="1092"/>
      <c r="AM59" s="1092"/>
      <c r="AN59" s="1784"/>
      <c r="AO59" s="1092"/>
      <c r="AP59" s="1784"/>
      <c r="AQ59" s="1092"/>
      <c r="AR59" s="1092"/>
      <c r="AS59" s="1093"/>
      <c r="AT59" s="1786"/>
      <c r="AU59" s="125"/>
    </row>
    <row r="60" spans="1:47" s="115" customFormat="1" hidden="1">
      <c r="A60" s="1643"/>
      <c r="B60" s="1094">
        <f>+B59+1</f>
        <v>2</v>
      </c>
      <c r="C60" s="3515" t="s">
        <v>4121</v>
      </c>
      <c r="D60" s="3516"/>
      <c r="E60" s="3516"/>
      <c r="F60" s="3516"/>
      <c r="G60" s="3516"/>
      <c r="H60" s="3516"/>
      <c r="I60" s="3516"/>
      <c r="J60" s="3516"/>
      <c r="K60" s="3516"/>
      <c r="L60" s="3516"/>
      <c r="M60" s="3516"/>
      <c r="N60" s="3516"/>
      <c r="O60" s="3517"/>
      <c r="Y60" s="1775"/>
      <c r="Z60" s="294"/>
      <c r="AA60" s="294"/>
      <c r="AB60" s="1092"/>
      <c r="AC60" s="1092"/>
      <c r="AD60" s="1092"/>
      <c r="AE60" s="1092"/>
      <c r="AF60" s="1092"/>
      <c r="AG60" s="1092"/>
      <c r="AH60" s="1092"/>
      <c r="AI60" s="1092"/>
      <c r="AJ60" s="1092"/>
      <c r="AK60" s="1092"/>
      <c r="AL60" s="1092"/>
      <c r="AM60" s="1092"/>
      <c r="AN60" s="1784"/>
      <c r="AO60" s="1092"/>
      <c r="AP60" s="1784"/>
      <c r="AQ60" s="1092"/>
      <c r="AR60" s="1092"/>
      <c r="AS60" s="1093"/>
      <c r="AT60" s="1786"/>
      <c r="AU60" s="125"/>
    </row>
    <row r="61" spans="1:47" s="115" customFormat="1" hidden="1">
      <c r="A61" s="1643"/>
      <c r="B61" s="1094">
        <f t="shared" ref="B61:B80" si="77">+B60+1</f>
        <v>3</v>
      </c>
      <c r="C61" s="3515" t="s">
        <v>12786</v>
      </c>
      <c r="D61" s="3516"/>
      <c r="E61" s="3516"/>
      <c r="F61" s="3516"/>
      <c r="G61" s="3516"/>
      <c r="H61" s="3516"/>
      <c r="I61" s="3516"/>
      <c r="J61" s="3516"/>
      <c r="K61" s="3516"/>
      <c r="L61" s="3516"/>
      <c r="M61" s="3516"/>
      <c r="N61" s="3516"/>
      <c r="O61" s="3517"/>
      <c r="Y61" s="1775"/>
      <c r="Z61" s="294"/>
      <c r="AA61" s="294"/>
      <c r="AB61" s="1092"/>
      <c r="AC61" s="1092"/>
      <c r="AD61" s="1092"/>
      <c r="AE61" s="1092"/>
      <c r="AF61" s="1092"/>
      <c r="AG61" s="1092"/>
      <c r="AH61" s="1092"/>
      <c r="AI61" s="1092"/>
      <c r="AJ61" s="1092"/>
      <c r="AK61" s="1092"/>
      <c r="AL61" s="1092"/>
      <c r="AM61" s="1092"/>
      <c r="AN61" s="1784"/>
      <c r="AO61" s="1092"/>
      <c r="AP61" s="1784"/>
      <c r="AQ61" s="1092"/>
      <c r="AR61" s="1092"/>
      <c r="AS61" s="1093"/>
      <c r="AT61" s="1786"/>
      <c r="AU61" s="125"/>
    </row>
    <row r="62" spans="1:47" s="115" customFormat="1" hidden="1">
      <c r="A62" s="1643"/>
      <c r="B62" s="1094">
        <f t="shared" si="77"/>
        <v>4</v>
      </c>
      <c r="C62" s="3515" t="s">
        <v>4122</v>
      </c>
      <c r="D62" s="3516"/>
      <c r="E62" s="3516"/>
      <c r="F62" s="3516"/>
      <c r="G62" s="3516"/>
      <c r="H62" s="3516"/>
      <c r="I62" s="3516"/>
      <c r="J62" s="3516"/>
      <c r="K62" s="3516"/>
      <c r="L62" s="3516"/>
      <c r="M62" s="3516"/>
      <c r="N62" s="3516"/>
      <c r="O62" s="3517"/>
      <c r="Y62" s="1775"/>
      <c r="Z62" s="294"/>
      <c r="AA62" s="294"/>
      <c r="AB62" s="1092"/>
      <c r="AC62" s="1092"/>
      <c r="AD62" s="1092"/>
      <c r="AE62" s="1092"/>
      <c r="AF62" s="1092"/>
      <c r="AG62" s="1092"/>
      <c r="AH62" s="1092"/>
      <c r="AI62" s="1092"/>
      <c r="AJ62" s="1092"/>
      <c r="AK62" s="1092"/>
      <c r="AL62" s="1092"/>
      <c r="AM62" s="1092"/>
      <c r="AN62" s="1784"/>
      <c r="AO62" s="1092"/>
      <c r="AP62" s="1784"/>
      <c r="AQ62" s="1092"/>
      <c r="AR62" s="1092"/>
      <c r="AS62" s="1093"/>
      <c r="AT62" s="1786"/>
      <c r="AU62" s="125"/>
    </row>
    <row r="63" spans="1:47" s="115" customFormat="1" hidden="1">
      <c r="A63" s="1643"/>
      <c r="B63" s="1094">
        <f t="shared" si="77"/>
        <v>5</v>
      </c>
      <c r="C63" s="3515" t="s">
        <v>4123</v>
      </c>
      <c r="D63" s="3516"/>
      <c r="E63" s="3516"/>
      <c r="F63" s="3516"/>
      <c r="G63" s="3516"/>
      <c r="H63" s="3516"/>
      <c r="I63" s="3516"/>
      <c r="J63" s="3516"/>
      <c r="K63" s="3516"/>
      <c r="L63" s="3516"/>
      <c r="M63" s="3516"/>
      <c r="N63" s="3516"/>
      <c r="O63" s="3517"/>
      <c r="Y63" s="1775"/>
      <c r="Z63" s="294"/>
      <c r="AA63" s="294"/>
      <c r="AB63" s="1092"/>
      <c r="AC63" s="1092"/>
      <c r="AD63" s="1092"/>
      <c r="AE63" s="1092"/>
      <c r="AF63" s="1092"/>
      <c r="AG63" s="1092"/>
      <c r="AH63" s="1092"/>
      <c r="AI63" s="1092"/>
      <c r="AJ63" s="1092"/>
      <c r="AK63" s="1092"/>
      <c r="AL63" s="1092"/>
      <c r="AM63" s="1092"/>
      <c r="AN63" s="1784"/>
      <c r="AO63" s="1092"/>
      <c r="AP63" s="1784"/>
      <c r="AQ63" s="1092"/>
      <c r="AR63" s="1092"/>
      <c r="AS63" s="1093"/>
      <c r="AT63" s="1786"/>
      <c r="AU63" s="125"/>
    </row>
    <row r="64" spans="1:47" s="115" customFormat="1" ht="40.5" hidden="1" customHeight="1">
      <c r="A64" s="1643"/>
      <c r="B64" s="1094">
        <f t="shared" si="77"/>
        <v>6</v>
      </c>
      <c r="C64" s="3515" t="s">
        <v>4124</v>
      </c>
      <c r="D64" s="3516"/>
      <c r="E64" s="3516"/>
      <c r="F64" s="3516"/>
      <c r="G64" s="3516"/>
      <c r="H64" s="3516"/>
      <c r="I64" s="3516"/>
      <c r="J64" s="3516"/>
      <c r="K64" s="3516"/>
      <c r="L64" s="3516"/>
      <c r="M64" s="3516"/>
      <c r="N64" s="3516"/>
      <c r="O64" s="3517"/>
      <c r="Y64" s="1775"/>
      <c r="Z64" s="294"/>
      <c r="AA64" s="294"/>
      <c r="AB64" s="1092"/>
      <c r="AC64" s="1092"/>
      <c r="AD64" s="1092"/>
      <c r="AE64" s="1092"/>
      <c r="AF64" s="1092"/>
      <c r="AG64" s="1092"/>
      <c r="AH64" s="1092"/>
      <c r="AI64" s="1092"/>
      <c r="AJ64" s="1092"/>
      <c r="AK64" s="1092"/>
      <c r="AL64" s="1092"/>
      <c r="AM64" s="1092"/>
      <c r="AN64" s="1784"/>
      <c r="AO64" s="1092"/>
      <c r="AP64" s="1784"/>
      <c r="AQ64" s="1092"/>
      <c r="AR64" s="1092"/>
      <c r="AS64" s="1093"/>
      <c r="AT64" s="1786"/>
      <c r="AU64" s="125"/>
    </row>
    <row r="65" spans="1:47" s="115" customFormat="1" ht="24" hidden="1" customHeight="1">
      <c r="A65" s="1643"/>
      <c r="B65" s="1094">
        <f t="shared" si="77"/>
        <v>7</v>
      </c>
      <c r="C65" s="3515" t="s">
        <v>4125</v>
      </c>
      <c r="D65" s="3516"/>
      <c r="E65" s="3516"/>
      <c r="F65" s="3516"/>
      <c r="G65" s="3516"/>
      <c r="H65" s="3516"/>
      <c r="I65" s="3516"/>
      <c r="J65" s="3516"/>
      <c r="K65" s="3516"/>
      <c r="L65" s="3516"/>
      <c r="M65" s="3516"/>
      <c r="N65" s="3516"/>
      <c r="O65" s="3517"/>
      <c r="Y65" s="1775"/>
      <c r="Z65" s="294"/>
      <c r="AA65" s="294"/>
      <c r="AB65" s="1092"/>
      <c r="AC65" s="1092"/>
      <c r="AD65" s="1092"/>
      <c r="AE65" s="1092"/>
      <c r="AF65" s="1092"/>
      <c r="AG65" s="1092"/>
      <c r="AH65" s="1092"/>
      <c r="AI65" s="1092"/>
      <c r="AJ65" s="1092"/>
      <c r="AK65" s="1092"/>
      <c r="AL65" s="1092"/>
      <c r="AM65" s="1092"/>
      <c r="AN65" s="1784"/>
      <c r="AO65" s="1092"/>
      <c r="AP65" s="1784"/>
      <c r="AQ65" s="1092"/>
      <c r="AR65" s="1092"/>
      <c r="AS65" s="1093"/>
      <c r="AT65" s="1786"/>
      <c r="AU65" s="125"/>
    </row>
    <row r="66" spans="1:47" s="115" customFormat="1" ht="24" hidden="1" customHeight="1">
      <c r="A66" s="1643"/>
      <c r="B66" s="1094">
        <f t="shared" si="77"/>
        <v>8</v>
      </c>
      <c r="C66" s="3515" t="s">
        <v>4126</v>
      </c>
      <c r="D66" s="3516"/>
      <c r="E66" s="3516"/>
      <c r="F66" s="3516"/>
      <c r="G66" s="3516"/>
      <c r="H66" s="3516"/>
      <c r="I66" s="3516"/>
      <c r="J66" s="3516"/>
      <c r="K66" s="3516"/>
      <c r="L66" s="3516"/>
      <c r="M66" s="3516"/>
      <c r="N66" s="3516"/>
      <c r="O66" s="3517"/>
      <c r="Y66" s="1775"/>
      <c r="Z66" s="294"/>
      <c r="AA66" s="294"/>
      <c r="AB66" s="1092"/>
      <c r="AC66" s="1092"/>
      <c r="AD66" s="1092"/>
      <c r="AE66" s="1092"/>
      <c r="AF66" s="1092"/>
      <c r="AG66" s="1092"/>
      <c r="AH66" s="1092"/>
      <c r="AI66" s="1092"/>
      <c r="AJ66" s="1092"/>
      <c r="AK66" s="1092"/>
      <c r="AL66" s="1092"/>
      <c r="AM66" s="1092"/>
      <c r="AN66" s="1784"/>
      <c r="AO66" s="1092"/>
      <c r="AP66" s="1784"/>
      <c r="AQ66" s="1092"/>
      <c r="AR66" s="1092"/>
      <c r="AS66" s="1093"/>
      <c r="AT66" s="1786"/>
      <c r="AU66" s="125"/>
    </row>
    <row r="67" spans="1:47" s="115" customFormat="1" ht="24" hidden="1" customHeight="1">
      <c r="A67" s="1643"/>
      <c r="B67" s="1094">
        <f t="shared" si="77"/>
        <v>9</v>
      </c>
      <c r="C67" s="3515" t="s">
        <v>4127</v>
      </c>
      <c r="D67" s="3516"/>
      <c r="E67" s="3516"/>
      <c r="F67" s="3516"/>
      <c r="G67" s="3516"/>
      <c r="H67" s="3516"/>
      <c r="I67" s="3516"/>
      <c r="J67" s="3516"/>
      <c r="K67" s="3516"/>
      <c r="L67" s="3516"/>
      <c r="M67" s="3516"/>
      <c r="N67" s="3516"/>
      <c r="O67" s="3517"/>
      <c r="Y67" s="1775"/>
      <c r="Z67" s="294"/>
      <c r="AA67" s="294"/>
      <c r="AB67" s="1092"/>
      <c r="AC67" s="1092"/>
      <c r="AD67" s="1092"/>
      <c r="AE67" s="1092"/>
      <c r="AF67" s="1092"/>
      <c r="AG67" s="1092"/>
      <c r="AH67" s="1092"/>
      <c r="AI67" s="1092"/>
      <c r="AJ67" s="1092"/>
      <c r="AK67" s="1092"/>
      <c r="AL67" s="1092"/>
      <c r="AM67" s="1092"/>
      <c r="AN67" s="1784"/>
      <c r="AO67" s="1092"/>
      <c r="AP67" s="1784"/>
      <c r="AQ67" s="1092"/>
      <c r="AR67" s="1092"/>
      <c r="AS67" s="1093"/>
      <c r="AT67" s="1786"/>
      <c r="AU67" s="125"/>
    </row>
    <row r="68" spans="1:47" s="115" customFormat="1" ht="24" hidden="1" customHeight="1">
      <c r="A68" s="1643"/>
      <c r="B68" s="1094">
        <f t="shared" si="77"/>
        <v>10</v>
      </c>
      <c r="C68" s="3515" t="s">
        <v>4128</v>
      </c>
      <c r="D68" s="3516"/>
      <c r="E68" s="3516"/>
      <c r="F68" s="3516"/>
      <c r="G68" s="3516"/>
      <c r="H68" s="3516"/>
      <c r="I68" s="3516"/>
      <c r="J68" s="3516"/>
      <c r="K68" s="3516"/>
      <c r="L68" s="3516"/>
      <c r="M68" s="3516"/>
      <c r="N68" s="3516"/>
      <c r="O68" s="3517"/>
      <c r="Y68" s="1775"/>
      <c r="Z68" s="294"/>
      <c r="AA68" s="294"/>
      <c r="AB68" s="1092"/>
      <c r="AC68" s="1092"/>
      <c r="AD68" s="1092"/>
      <c r="AE68" s="1092"/>
      <c r="AF68" s="1092"/>
      <c r="AG68" s="1092"/>
      <c r="AH68" s="1092"/>
      <c r="AI68" s="1092"/>
      <c r="AJ68" s="1092"/>
      <c r="AK68" s="1092"/>
      <c r="AL68" s="1092"/>
      <c r="AM68" s="1092"/>
      <c r="AN68" s="1784"/>
      <c r="AO68" s="1092"/>
      <c r="AP68" s="1784"/>
      <c r="AQ68" s="1092"/>
      <c r="AR68" s="1092"/>
      <c r="AS68" s="1093"/>
      <c r="AT68" s="1786"/>
      <c r="AU68" s="125"/>
    </row>
    <row r="69" spans="1:47" s="115" customFormat="1" ht="31.5" hidden="1" customHeight="1">
      <c r="A69" s="1643"/>
      <c r="B69" s="1094">
        <f t="shared" si="77"/>
        <v>11</v>
      </c>
      <c r="C69" s="3515" t="s">
        <v>12787</v>
      </c>
      <c r="D69" s="3516"/>
      <c r="E69" s="3516"/>
      <c r="F69" s="3516"/>
      <c r="G69" s="3516"/>
      <c r="H69" s="3516"/>
      <c r="I69" s="3516"/>
      <c r="J69" s="3516"/>
      <c r="K69" s="3516"/>
      <c r="L69" s="3516"/>
      <c r="M69" s="3516"/>
      <c r="N69" s="3516"/>
      <c r="O69" s="3517"/>
      <c r="Y69" s="1775"/>
      <c r="Z69" s="294"/>
      <c r="AA69" s="294"/>
      <c r="AB69" s="1092"/>
      <c r="AC69" s="1092"/>
      <c r="AD69" s="1092"/>
      <c r="AE69" s="1092"/>
      <c r="AF69" s="1092"/>
      <c r="AG69" s="1092"/>
      <c r="AH69" s="1092"/>
      <c r="AI69" s="1092"/>
      <c r="AJ69" s="1092"/>
      <c r="AK69" s="1092"/>
      <c r="AL69" s="1092"/>
      <c r="AM69" s="1092"/>
      <c r="AN69" s="1784"/>
      <c r="AO69" s="1092"/>
      <c r="AP69" s="1784"/>
      <c r="AQ69" s="1092"/>
      <c r="AR69" s="1092"/>
      <c r="AS69" s="1093"/>
      <c r="AT69" s="1786"/>
      <c r="AU69" s="125"/>
    </row>
    <row r="70" spans="1:47" s="115" customFormat="1" ht="15" hidden="1" customHeight="1">
      <c r="A70" s="1643"/>
      <c r="B70" s="1094">
        <f t="shared" si="77"/>
        <v>12</v>
      </c>
      <c r="C70" s="3515" t="s">
        <v>4129</v>
      </c>
      <c r="D70" s="3516"/>
      <c r="E70" s="3516"/>
      <c r="F70" s="3516"/>
      <c r="G70" s="3516"/>
      <c r="H70" s="3516"/>
      <c r="I70" s="3516"/>
      <c r="J70" s="3516"/>
      <c r="K70" s="3516"/>
      <c r="L70" s="3516"/>
      <c r="M70" s="3516"/>
      <c r="N70" s="3516"/>
      <c r="O70" s="3517"/>
      <c r="Y70" s="1775"/>
      <c r="Z70" s="294"/>
      <c r="AA70" s="294"/>
      <c r="AB70" s="1092"/>
      <c r="AC70" s="1092"/>
      <c r="AD70" s="1092"/>
      <c r="AE70" s="1092"/>
      <c r="AF70" s="1092"/>
      <c r="AG70" s="1092"/>
      <c r="AH70" s="1092"/>
      <c r="AI70" s="1092"/>
      <c r="AJ70" s="1092"/>
      <c r="AK70" s="1092"/>
      <c r="AL70" s="1092"/>
      <c r="AM70" s="1092"/>
      <c r="AN70" s="1784"/>
      <c r="AO70" s="1092"/>
      <c r="AP70" s="1784"/>
      <c r="AQ70" s="1092"/>
      <c r="AR70" s="1092"/>
      <c r="AS70" s="1093"/>
      <c r="AT70" s="1786"/>
      <c r="AU70" s="125"/>
    </row>
    <row r="71" spans="1:47" hidden="1">
      <c r="A71" s="1793"/>
      <c r="B71" s="1094">
        <f>+B70+1</f>
        <v>13</v>
      </c>
      <c r="C71" s="3515" t="s">
        <v>4130</v>
      </c>
      <c r="D71" s="3516"/>
      <c r="E71" s="3516"/>
      <c r="F71" s="3516"/>
      <c r="G71" s="3516"/>
      <c r="H71" s="3516"/>
      <c r="I71" s="3516"/>
      <c r="J71" s="3516"/>
      <c r="K71" s="3516"/>
      <c r="L71" s="3516"/>
      <c r="M71" s="3516"/>
      <c r="N71" s="3516"/>
      <c r="O71" s="3517"/>
      <c r="P71" s="115"/>
      <c r="Q71" s="115"/>
      <c r="R71" s="115"/>
      <c r="S71" s="115"/>
      <c r="T71" s="115"/>
      <c r="U71" s="115"/>
      <c r="V71" s="115"/>
      <c r="W71" s="115"/>
      <c r="X71" s="115"/>
      <c r="Y71" s="1775"/>
      <c r="Z71" s="294"/>
      <c r="AA71" s="294"/>
      <c r="AB71" s="1092"/>
      <c r="AC71" s="1092"/>
      <c r="AD71" s="1092"/>
      <c r="AE71" s="1092"/>
      <c r="AF71" s="1092"/>
      <c r="AG71" s="1092"/>
      <c r="AH71" s="1092"/>
      <c r="AI71" s="1092"/>
      <c r="AJ71" s="1092"/>
      <c r="AK71" s="1092"/>
      <c r="AL71" s="1092"/>
      <c r="AM71" s="1092"/>
      <c r="AN71" s="1784"/>
      <c r="AO71" s="1092"/>
      <c r="AP71" s="1784"/>
      <c r="AQ71" s="1092"/>
      <c r="AR71" s="1092"/>
      <c r="AS71" s="1093"/>
      <c r="AT71" s="1786"/>
    </row>
    <row r="72" spans="1:47" s="115" customFormat="1" hidden="1">
      <c r="A72" s="1643"/>
      <c r="B72" s="1094">
        <f t="shared" si="77"/>
        <v>14</v>
      </c>
      <c r="C72" s="3515" t="s">
        <v>4131</v>
      </c>
      <c r="D72" s="3516"/>
      <c r="E72" s="3516"/>
      <c r="F72" s="3516"/>
      <c r="G72" s="3516"/>
      <c r="H72" s="3516"/>
      <c r="I72" s="3516"/>
      <c r="J72" s="3516"/>
      <c r="K72" s="3516"/>
      <c r="L72" s="3516"/>
      <c r="M72" s="3516"/>
      <c r="N72" s="3516"/>
      <c r="O72" s="3517"/>
      <c r="Y72" s="1775"/>
      <c r="Z72" s="294"/>
      <c r="AA72" s="294"/>
      <c r="AB72" s="1092"/>
      <c r="AC72" s="1092"/>
      <c r="AD72" s="1092"/>
      <c r="AE72" s="1092"/>
      <c r="AF72" s="1092"/>
      <c r="AG72" s="1092"/>
      <c r="AH72" s="1092"/>
      <c r="AI72" s="1092"/>
      <c r="AJ72" s="1092"/>
      <c r="AK72" s="1092"/>
      <c r="AL72" s="1092"/>
      <c r="AM72" s="1092"/>
      <c r="AN72" s="1784"/>
      <c r="AO72" s="1092"/>
      <c r="AP72" s="1784"/>
      <c r="AQ72" s="1092"/>
      <c r="AR72" s="1092"/>
      <c r="AS72" s="1093"/>
      <c r="AT72" s="1786"/>
      <c r="AU72" s="125"/>
    </row>
    <row r="73" spans="1:47" ht="36" hidden="1" customHeight="1">
      <c r="A73" s="1793"/>
      <c r="B73" s="1094">
        <f t="shared" si="77"/>
        <v>15</v>
      </c>
      <c r="C73" s="3515" t="s">
        <v>4132</v>
      </c>
      <c r="D73" s="3516"/>
      <c r="E73" s="3516"/>
      <c r="F73" s="3516"/>
      <c r="G73" s="3516"/>
      <c r="H73" s="3516"/>
      <c r="I73" s="3516"/>
      <c r="J73" s="3516"/>
      <c r="K73" s="3516"/>
      <c r="L73" s="3516"/>
      <c r="M73" s="3516"/>
      <c r="N73" s="3516"/>
      <c r="O73" s="3517"/>
      <c r="P73" s="115"/>
      <c r="Q73" s="115"/>
      <c r="R73" s="115"/>
      <c r="S73" s="115"/>
      <c r="T73" s="115"/>
      <c r="U73" s="115"/>
      <c r="V73" s="115"/>
      <c r="W73" s="115"/>
      <c r="X73" s="115"/>
      <c r="Y73" s="1775"/>
      <c r="Z73" s="294"/>
      <c r="AA73" s="294"/>
      <c r="AB73" s="1092"/>
      <c r="AC73" s="1092"/>
      <c r="AD73" s="1092"/>
      <c r="AE73" s="1092"/>
      <c r="AF73" s="1092"/>
      <c r="AG73" s="1092"/>
      <c r="AH73" s="1092"/>
      <c r="AI73" s="1092"/>
      <c r="AJ73" s="1092"/>
      <c r="AK73" s="1092"/>
      <c r="AL73" s="1092"/>
      <c r="AM73" s="1092"/>
      <c r="AN73" s="1784"/>
      <c r="AO73" s="1092"/>
      <c r="AP73" s="1784"/>
      <c r="AQ73" s="1092"/>
      <c r="AR73" s="1092"/>
      <c r="AS73" s="1093"/>
      <c r="AT73" s="1786"/>
    </row>
    <row r="74" spans="1:47" ht="36" hidden="1" customHeight="1">
      <c r="A74" s="1793"/>
      <c r="B74" s="1094">
        <f t="shared" si="77"/>
        <v>16</v>
      </c>
      <c r="C74" s="3515" t="s">
        <v>12788</v>
      </c>
      <c r="D74" s="3516"/>
      <c r="E74" s="3516"/>
      <c r="F74" s="3516"/>
      <c r="G74" s="3516"/>
      <c r="H74" s="3516"/>
      <c r="I74" s="3516"/>
      <c r="J74" s="3516"/>
      <c r="K74" s="3516"/>
      <c r="L74" s="3516"/>
      <c r="M74" s="3516"/>
      <c r="N74" s="3516"/>
      <c r="O74" s="3517"/>
      <c r="P74" s="115"/>
      <c r="Q74" s="115"/>
      <c r="R74" s="115"/>
      <c r="S74" s="115"/>
      <c r="T74" s="115"/>
      <c r="U74" s="115"/>
      <c r="V74" s="115"/>
      <c r="W74" s="115"/>
      <c r="X74" s="115"/>
      <c r="Y74" s="1775"/>
      <c r="Z74" s="294"/>
      <c r="AA74" s="294"/>
      <c r="AB74" s="1092"/>
      <c r="AC74" s="1092"/>
      <c r="AD74" s="1092"/>
      <c r="AE74" s="1092"/>
      <c r="AF74" s="1092"/>
      <c r="AG74" s="1092"/>
      <c r="AH74" s="1092"/>
      <c r="AI74" s="1092"/>
      <c r="AJ74" s="1092"/>
      <c r="AK74" s="1092"/>
      <c r="AL74" s="1092"/>
      <c r="AM74" s="1092"/>
      <c r="AN74" s="1784"/>
      <c r="AO74" s="1092"/>
      <c r="AP74" s="1784"/>
      <c r="AQ74" s="1092"/>
      <c r="AR74" s="1092"/>
      <c r="AS74" s="1093"/>
      <c r="AT74" s="1786"/>
    </row>
    <row r="75" spans="1:47" ht="36" hidden="1" customHeight="1">
      <c r="A75" s="1793"/>
      <c r="B75" s="1094">
        <f t="shared" si="77"/>
        <v>17</v>
      </c>
      <c r="C75" s="3515" t="s">
        <v>12789</v>
      </c>
      <c r="D75" s="3516"/>
      <c r="E75" s="3516"/>
      <c r="F75" s="3516"/>
      <c r="G75" s="3516"/>
      <c r="H75" s="3516"/>
      <c r="I75" s="3516"/>
      <c r="J75" s="3516"/>
      <c r="K75" s="3516"/>
      <c r="L75" s="3516"/>
      <c r="M75" s="3516"/>
      <c r="N75" s="3516"/>
      <c r="O75" s="3517"/>
      <c r="P75" s="115"/>
      <c r="Q75" s="115"/>
      <c r="R75" s="115"/>
      <c r="S75" s="115"/>
      <c r="T75" s="115"/>
      <c r="U75" s="115"/>
      <c r="V75" s="115"/>
      <c r="W75" s="115"/>
      <c r="X75" s="115"/>
      <c r="Y75" s="1775"/>
      <c r="Z75" s="294"/>
      <c r="AA75" s="294"/>
      <c r="AB75" s="1092"/>
      <c r="AC75" s="1092"/>
      <c r="AD75" s="1092"/>
      <c r="AE75" s="1092"/>
      <c r="AF75" s="1092"/>
      <c r="AG75" s="1092"/>
      <c r="AH75" s="1092"/>
      <c r="AI75" s="1092"/>
      <c r="AJ75" s="1092"/>
      <c r="AK75" s="1092"/>
      <c r="AL75" s="1092"/>
      <c r="AM75" s="1092"/>
      <c r="AN75" s="1784"/>
      <c r="AO75" s="1092"/>
      <c r="AP75" s="1784"/>
      <c r="AQ75" s="1092"/>
      <c r="AR75" s="1092"/>
      <c r="AS75" s="1093"/>
      <c r="AT75" s="1786"/>
    </row>
    <row r="76" spans="1:47" hidden="1">
      <c r="A76" s="1793"/>
      <c r="B76" s="1094">
        <f t="shared" si="77"/>
        <v>18</v>
      </c>
      <c r="C76" s="3515" t="s">
        <v>4133</v>
      </c>
      <c r="D76" s="3516"/>
      <c r="E76" s="3516"/>
      <c r="F76" s="3516"/>
      <c r="G76" s="3516"/>
      <c r="H76" s="3516"/>
      <c r="I76" s="3516"/>
      <c r="J76" s="3516"/>
      <c r="K76" s="3516"/>
      <c r="L76" s="3516"/>
      <c r="M76" s="3516"/>
      <c r="N76" s="3516"/>
      <c r="O76" s="3517"/>
      <c r="P76" s="115"/>
      <c r="Q76" s="115"/>
      <c r="R76" s="115"/>
      <c r="S76" s="115"/>
      <c r="T76" s="115"/>
      <c r="U76" s="115"/>
      <c r="V76" s="115"/>
      <c r="W76" s="115"/>
      <c r="X76" s="115"/>
      <c r="Y76" s="1775"/>
      <c r="Z76" s="294"/>
      <c r="AA76" s="294"/>
      <c r="AB76" s="1092"/>
      <c r="AC76" s="1092"/>
      <c r="AD76" s="1092"/>
      <c r="AE76" s="1092"/>
      <c r="AF76" s="1092"/>
      <c r="AG76" s="1092"/>
      <c r="AH76" s="1092"/>
      <c r="AI76" s="1092"/>
      <c r="AJ76" s="1092"/>
      <c r="AK76" s="1092"/>
      <c r="AL76" s="1092"/>
      <c r="AM76" s="1092"/>
      <c r="AN76" s="1784"/>
      <c r="AO76" s="1092"/>
      <c r="AP76" s="1784"/>
      <c r="AQ76" s="1092"/>
      <c r="AR76" s="1092"/>
      <c r="AS76" s="1093"/>
      <c r="AT76" s="1786"/>
    </row>
    <row r="77" spans="1:47" hidden="1">
      <c r="A77" s="1793"/>
      <c r="B77" s="1094">
        <f t="shared" si="77"/>
        <v>19</v>
      </c>
      <c r="C77" s="3515" t="s">
        <v>4134</v>
      </c>
      <c r="D77" s="3516"/>
      <c r="E77" s="3516"/>
      <c r="F77" s="3516"/>
      <c r="G77" s="3516"/>
      <c r="H77" s="3516"/>
      <c r="I77" s="3516"/>
      <c r="J77" s="3516"/>
      <c r="K77" s="3516"/>
      <c r="L77" s="3516"/>
      <c r="M77" s="3516"/>
      <c r="N77" s="3516"/>
      <c r="O77" s="3517"/>
      <c r="P77" s="115"/>
      <c r="Q77" s="115"/>
      <c r="R77" s="115"/>
      <c r="S77" s="115"/>
      <c r="T77" s="115"/>
      <c r="U77" s="115"/>
      <c r="V77" s="115"/>
      <c r="W77" s="115"/>
      <c r="X77" s="115"/>
      <c r="Y77" s="1775"/>
      <c r="Z77" s="294"/>
      <c r="AA77" s="294"/>
      <c r="AB77" s="1092"/>
      <c r="AC77" s="1092"/>
      <c r="AD77" s="1092"/>
      <c r="AE77" s="1092"/>
      <c r="AF77" s="1092"/>
      <c r="AG77" s="1092"/>
      <c r="AH77" s="1092"/>
      <c r="AI77" s="1092"/>
      <c r="AJ77" s="1092"/>
      <c r="AK77" s="1092"/>
      <c r="AL77" s="1092"/>
      <c r="AM77" s="1092"/>
      <c r="AN77" s="1784"/>
      <c r="AO77" s="1092"/>
      <c r="AP77" s="1784"/>
      <c r="AQ77" s="1092"/>
      <c r="AR77" s="1092"/>
      <c r="AS77" s="1093"/>
      <c r="AT77" s="1786"/>
    </row>
    <row r="78" spans="1:47" hidden="1">
      <c r="A78" s="1793"/>
      <c r="B78" s="1094">
        <f t="shared" si="77"/>
        <v>20</v>
      </c>
      <c r="C78" s="3515" t="s">
        <v>4135</v>
      </c>
      <c r="D78" s="3516"/>
      <c r="E78" s="3516"/>
      <c r="F78" s="3516"/>
      <c r="G78" s="3516"/>
      <c r="H78" s="3516"/>
      <c r="I78" s="3516"/>
      <c r="J78" s="3516"/>
      <c r="K78" s="3516"/>
      <c r="L78" s="3516"/>
      <c r="M78" s="3516"/>
      <c r="N78" s="3516"/>
      <c r="O78" s="3517"/>
      <c r="P78" s="115"/>
      <c r="Q78" s="115"/>
      <c r="R78" s="115"/>
      <c r="S78" s="115"/>
      <c r="T78" s="115"/>
      <c r="U78" s="115"/>
      <c r="V78" s="115"/>
      <c r="W78" s="115"/>
      <c r="X78" s="115"/>
      <c r="Y78" s="1775"/>
      <c r="Z78" s="294"/>
      <c r="AA78" s="294"/>
      <c r="AB78" s="1092"/>
      <c r="AC78" s="1092"/>
      <c r="AD78" s="1092"/>
      <c r="AE78" s="1092"/>
      <c r="AF78" s="1092"/>
      <c r="AG78" s="1092"/>
      <c r="AH78" s="1092"/>
      <c r="AI78" s="1092"/>
      <c r="AJ78" s="1092"/>
      <c r="AK78" s="1092"/>
      <c r="AL78" s="1092"/>
      <c r="AM78" s="1092"/>
      <c r="AN78" s="1784"/>
      <c r="AO78" s="1092"/>
      <c r="AP78" s="1784"/>
      <c r="AQ78" s="1092"/>
      <c r="AR78" s="1092"/>
      <c r="AS78" s="1093"/>
      <c r="AT78" s="1786"/>
    </row>
    <row r="79" spans="1:47" ht="14.25" hidden="1" customHeight="1">
      <c r="A79" s="1793"/>
      <c r="B79" s="1094">
        <f t="shared" si="77"/>
        <v>21</v>
      </c>
      <c r="C79" s="3515" t="s">
        <v>4136</v>
      </c>
      <c r="D79" s="3516"/>
      <c r="E79" s="3516"/>
      <c r="F79" s="3516"/>
      <c r="G79" s="3516"/>
      <c r="H79" s="3516"/>
      <c r="I79" s="3516"/>
      <c r="J79" s="3516"/>
      <c r="K79" s="3516"/>
      <c r="L79" s="3516"/>
      <c r="M79" s="3516"/>
      <c r="N79" s="3516"/>
      <c r="O79" s="3517"/>
      <c r="P79" s="115"/>
      <c r="Q79" s="115"/>
      <c r="R79" s="115"/>
      <c r="S79" s="115"/>
      <c r="T79" s="115"/>
      <c r="U79" s="115"/>
      <c r="V79" s="115"/>
      <c r="W79" s="115"/>
      <c r="X79" s="115"/>
      <c r="Y79" s="1775"/>
      <c r="Z79" s="294"/>
      <c r="AA79" s="294"/>
      <c r="AB79" s="1092"/>
      <c r="AC79" s="1092"/>
      <c r="AD79" s="1092"/>
      <c r="AE79" s="1092"/>
      <c r="AF79" s="1092"/>
      <c r="AG79" s="1092"/>
      <c r="AH79" s="1092"/>
      <c r="AI79" s="1092"/>
      <c r="AJ79" s="1092"/>
      <c r="AK79" s="1092"/>
      <c r="AL79" s="1092"/>
      <c r="AM79" s="1092"/>
      <c r="AN79" s="1784"/>
      <c r="AO79" s="1092"/>
      <c r="AP79" s="1784"/>
      <c r="AQ79" s="1092"/>
      <c r="AR79" s="1092"/>
      <c r="AS79" s="1093"/>
      <c r="AT79" s="1786"/>
    </row>
    <row r="80" spans="1:47" ht="14.25" hidden="1" customHeight="1">
      <c r="A80" s="1793"/>
      <c r="B80" s="1094">
        <f t="shared" si="77"/>
        <v>22</v>
      </c>
      <c r="C80" s="3515" t="s">
        <v>4137</v>
      </c>
      <c r="D80" s="3516"/>
      <c r="E80" s="3516"/>
      <c r="F80" s="3516"/>
      <c r="G80" s="3516"/>
      <c r="H80" s="3516"/>
      <c r="I80" s="3516"/>
      <c r="J80" s="3516"/>
      <c r="K80" s="3516"/>
      <c r="L80" s="3516"/>
      <c r="M80" s="3516"/>
      <c r="N80" s="3516"/>
      <c r="O80" s="3517"/>
      <c r="P80" s="115"/>
      <c r="Q80" s="115"/>
      <c r="R80" s="115"/>
      <c r="S80" s="115"/>
      <c r="T80" s="115"/>
      <c r="U80" s="115"/>
      <c r="V80" s="115"/>
      <c r="W80" s="115"/>
      <c r="X80" s="115"/>
      <c r="Y80" s="1775"/>
      <c r="Z80" s="294"/>
      <c r="AA80" s="294"/>
      <c r="AB80" s="1092"/>
      <c r="AC80" s="1092"/>
      <c r="AD80" s="1092"/>
      <c r="AE80" s="1092"/>
      <c r="AF80" s="1092"/>
      <c r="AG80" s="1092"/>
      <c r="AH80" s="1092"/>
      <c r="AI80" s="1092"/>
      <c r="AJ80" s="1092"/>
      <c r="AK80" s="1092"/>
      <c r="AL80" s="1092"/>
      <c r="AM80" s="1092"/>
      <c r="AN80" s="1784"/>
      <c r="AO80" s="1092"/>
      <c r="AP80" s="1784"/>
      <c r="AQ80" s="1092"/>
      <c r="AR80" s="1092"/>
      <c r="AS80" s="1093"/>
      <c r="AT80" s="1786"/>
    </row>
    <row r="81" spans="1:46" hidden="1">
      <c r="A81" s="1793"/>
      <c r="B81" s="1095" t="s">
        <v>12790</v>
      </c>
      <c r="C81" s="3515" t="s">
        <v>4138</v>
      </c>
      <c r="D81" s="3516"/>
      <c r="E81" s="3516"/>
      <c r="F81" s="3516"/>
      <c r="G81" s="3516"/>
      <c r="H81" s="3516"/>
      <c r="I81" s="3516"/>
      <c r="J81" s="3516"/>
      <c r="K81" s="3516"/>
      <c r="L81" s="3516"/>
      <c r="M81" s="3516"/>
      <c r="N81" s="3516"/>
      <c r="O81" s="3517"/>
      <c r="P81" s="115"/>
      <c r="Q81" s="115"/>
      <c r="R81" s="115"/>
      <c r="S81" s="115"/>
      <c r="T81" s="115"/>
      <c r="U81" s="115"/>
      <c r="V81" s="115"/>
      <c r="W81" s="115"/>
      <c r="X81" s="115"/>
      <c r="Y81" s="1775"/>
      <c r="Z81" s="294"/>
      <c r="AA81" s="294"/>
      <c r="AB81" s="1096"/>
      <c r="AC81" s="1096"/>
      <c r="AD81" s="1096"/>
      <c r="AE81" s="1096"/>
      <c r="AF81" s="1096"/>
      <c r="AG81" s="1096"/>
      <c r="AH81" s="1096"/>
      <c r="AI81" s="1096"/>
      <c r="AJ81" s="1096"/>
      <c r="AK81" s="1096"/>
      <c r="AL81" s="1096"/>
      <c r="AM81" s="1096"/>
      <c r="AN81" s="1784"/>
      <c r="AO81" s="1096"/>
      <c r="AP81" s="1784"/>
      <c r="AQ81" s="1096"/>
      <c r="AR81" s="1096"/>
      <c r="AS81" s="1093"/>
      <c r="AT81" s="1786"/>
    </row>
    <row r="82" spans="1:46" ht="25.5" hidden="1" customHeight="1" thickBot="1">
      <c r="A82" s="1793"/>
      <c r="B82" s="1097">
        <v>38</v>
      </c>
      <c r="C82" s="3524" t="s">
        <v>12949</v>
      </c>
      <c r="D82" s="3525"/>
      <c r="E82" s="3525"/>
      <c r="F82" s="3525"/>
      <c r="G82" s="3525"/>
      <c r="H82" s="3525"/>
      <c r="I82" s="3525"/>
      <c r="J82" s="3525"/>
      <c r="K82" s="3525"/>
      <c r="L82" s="3525"/>
      <c r="M82" s="3525"/>
      <c r="N82" s="3525"/>
      <c r="O82" s="3526"/>
      <c r="P82" s="115"/>
      <c r="Q82" s="115"/>
      <c r="R82" s="115"/>
      <c r="S82" s="115"/>
      <c r="T82" s="115"/>
      <c r="U82" s="115"/>
      <c r="V82" s="115"/>
      <c r="W82" s="115"/>
      <c r="X82" s="115"/>
      <c r="Y82" s="1775"/>
      <c r="Z82" s="294"/>
      <c r="AA82" s="294"/>
      <c r="AB82" s="1092"/>
      <c r="AC82" s="1092"/>
      <c r="AD82" s="1092"/>
      <c r="AE82" s="1092"/>
      <c r="AF82" s="1092"/>
      <c r="AG82" s="1092"/>
      <c r="AH82" s="1092"/>
      <c r="AI82" s="1092"/>
      <c r="AJ82" s="1092"/>
      <c r="AK82" s="1092"/>
      <c r="AL82" s="1092"/>
      <c r="AM82" s="1092"/>
      <c r="AN82" s="1784"/>
      <c r="AO82" s="1092"/>
      <c r="AP82" s="1784"/>
      <c r="AQ82" s="1092"/>
      <c r="AR82" s="1092"/>
    </row>
    <row r="83" spans="1:46" ht="15" hidden="1" thickBot="1">
      <c r="A83" s="1793"/>
      <c r="C83" s="1006"/>
      <c r="D83" s="1006"/>
      <c r="E83" s="1006"/>
      <c r="F83" s="1006"/>
      <c r="G83" s="1006"/>
      <c r="H83" s="1006"/>
      <c r="I83" s="1006"/>
      <c r="J83" s="1006"/>
      <c r="K83" s="1006"/>
      <c r="L83" s="1006"/>
      <c r="M83" s="1006"/>
      <c r="N83" s="1006"/>
      <c r="O83" s="1006"/>
      <c r="P83" s="115"/>
      <c r="Q83" s="115"/>
      <c r="R83" s="115"/>
      <c r="S83" s="115"/>
      <c r="T83" s="115"/>
      <c r="U83" s="115"/>
      <c r="V83" s="115"/>
      <c r="W83" s="115"/>
      <c r="X83" s="115"/>
      <c r="Y83" s="1775"/>
      <c r="Z83" s="294"/>
      <c r="AA83" s="294"/>
    </row>
    <row r="84" spans="1:46" ht="15" thickBot="1">
      <c r="B84" s="3518" t="s">
        <v>4139</v>
      </c>
      <c r="C84" s="3519"/>
      <c r="D84" s="3519"/>
      <c r="E84" s="3519"/>
      <c r="F84" s="3519"/>
      <c r="G84" s="3519"/>
      <c r="H84" s="3519"/>
      <c r="I84" s="3519"/>
      <c r="J84" s="3519"/>
      <c r="K84" s="3519"/>
      <c r="L84" s="3519"/>
      <c r="M84" s="3519"/>
      <c r="N84" s="3519"/>
      <c r="O84" s="3520"/>
      <c r="P84" s="115"/>
      <c r="Q84" s="115"/>
      <c r="R84" s="115"/>
      <c r="S84" s="115"/>
      <c r="T84" s="115"/>
      <c r="U84" s="115"/>
      <c r="V84" s="115"/>
      <c r="W84" s="115"/>
      <c r="X84" s="115"/>
      <c r="Y84" s="1775"/>
      <c r="Z84" s="294"/>
      <c r="AA84" s="294"/>
    </row>
    <row r="85" spans="1:46" ht="27.75" customHeight="1" thickBot="1">
      <c r="B85" s="3521" t="s">
        <v>13524</v>
      </c>
      <c r="C85" s="3522"/>
      <c r="D85" s="3522"/>
      <c r="E85" s="3522"/>
      <c r="F85" s="3522"/>
      <c r="G85" s="3522"/>
      <c r="H85" s="3522"/>
      <c r="I85" s="3522"/>
      <c r="J85" s="3522"/>
      <c r="K85" s="3522"/>
      <c r="L85" s="3522"/>
      <c r="M85" s="3522"/>
      <c r="N85" s="3522"/>
      <c r="O85" s="3523"/>
      <c r="P85" s="115"/>
      <c r="Q85" s="115"/>
      <c r="R85" s="115"/>
      <c r="S85" s="115"/>
      <c r="T85" s="115"/>
      <c r="U85" s="115"/>
      <c r="V85" s="115"/>
      <c r="W85" s="115"/>
      <c r="X85" s="115"/>
      <c r="Y85" s="1775"/>
      <c r="Z85" s="294"/>
      <c r="AA85" s="294"/>
    </row>
    <row r="86" spans="1:46"/>
  </sheetData>
  <mergeCells count="51">
    <mergeCell ref="B3:C5"/>
    <mergeCell ref="D3:D5"/>
    <mergeCell ref="E3:E5"/>
    <mergeCell ref="F3:F5"/>
    <mergeCell ref="C62:O62"/>
    <mergeCell ref="G3:M3"/>
    <mergeCell ref="N3:T3"/>
    <mergeCell ref="B47:C47"/>
    <mergeCell ref="B56:O56"/>
    <mergeCell ref="C58:O58"/>
    <mergeCell ref="C59:O59"/>
    <mergeCell ref="C60:O60"/>
    <mergeCell ref="C61:O61"/>
    <mergeCell ref="U3:U5"/>
    <mergeCell ref="W3:W5"/>
    <mergeCell ref="G4:H4"/>
    <mergeCell ref="I4:L4"/>
    <mergeCell ref="M4:M5"/>
    <mergeCell ref="N4:O4"/>
    <mergeCell ref="P4:S4"/>
    <mergeCell ref="T4:T5"/>
    <mergeCell ref="B84:O84"/>
    <mergeCell ref="B85:O85"/>
    <mergeCell ref="C77:O77"/>
    <mergeCell ref="C78:O78"/>
    <mergeCell ref="C79:O79"/>
    <mergeCell ref="C80:O80"/>
    <mergeCell ref="C81:O81"/>
    <mergeCell ref="C82:O82"/>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B3:BH3"/>
    <mergeCell ref="BI3:BO3"/>
    <mergeCell ref="BB4:BC4"/>
    <mergeCell ref="BD4:BG4"/>
    <mergeCell ref="BH4:BH5"/>
    <mergeCell ref="BI4:BJ4"/>
    <mergeCell ref="BK4:BN4"/>
    <mergeCell ref="BO4:BO5"/>
  </mergeCells>
  <conditionalFormatting sqref="W11:W22 W25:W44">
    <cfRule type="cellIs" dxfId="129" priority="9" operator="equal">
      <formula>$AS$30</formula>
    </cfRule>
  </conditionalFormatting>
  <conditionalFormatting sqref="W8:W9 W11:W22 W25:W44">
    <cfRule type="cellIs" dxfId="128" priority="7" operator="equal">
      <formula>0</formula>
    </cfRule>
  </conditionalFormatting>
  <conditionalFormatting sqref="W45">
    <cfRule type="cellIs" dxfId="127" priority="5" operator="equal">
      <formula>0</formula>
    </cfRule>
  </conditionalFormatting>
  <conditionalFormatting sqref="W10">
    <cfRule type="cellIs" dxfId="126" priority="3" operator="equal">
      <formula>0</formula>
    </cfRule>
  </conditionalFormatting>
  <conditionalFormatting sqref="W23:W24">
    <cfRule type="cellIs" dxfId="12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3.xml><?xml version="1.0" encoding="utf-8"?>
<worksheet xmlns="http://schemas.openxmlformats.org/spreadsheetml/2006/main" xmlns:r="http://schemas.openxmlformats.org/officeDocument/2006/relationships">
  <sheetPr codeName="Sheet40">
    <pageSetUpPr fitToPage="1"/>
  </sheetPr>
  <dimension ref="A1:CA96"/>
  <sheetViews>
    <sheetView workbookViewId="0"/>
  </sheetViews>
  <sheetFormatPr defaultColWidth="0" defaultRowHeight="14.25" zeroHeight="1"/>
  <cols>
    <col min="1" max="1" width="0.625" customWidth="1"/>
    <col min="2" max="2" width="8.625" customWidth="1"/>
    <col min="3" max="3" width="66.125" customWidth="1"/>
    <col min="4" max="4" width="1.125" hidden="1" customWidth="1"/>
    <col min="5" max="6" width="8.625" customWidth="1"/>
    <col min="7" max="7" width="11.625" customWidth="1"/>
    <col min="8" max="8" width="11.125" customWidth="1"/>
    <col min="9" max="24" width="10.625" customWidth="1"/>
    <col min="25" max="25" width="29.625" customWidth="1"/>
    <col min="26" max="26" width="1.5" customWidth="1"/>
    <col min="27" max="27" width="34" style="928" customWidth="1"/>
    <col min="28" max="28" width="1.625" style="928" customWidth="1"/>
    <col min="29" max="29" width="1.125" style="1772" hidden="1" customWidth="1"/>
    <col min="30" max="30" width="5.125" style="928" hidden="1" customWidth="1"/>
    <col min="31" max="47" width="4" style="928" hidden="1" customWidth="1"/>
    <col min="48" max="48" width="1.125" style="1772" hidden="1" customWidth="1"/>
    <col min="49" max="49" width="12.125" hidden="1" customWidth="1"/>
    <col min="50" max="50" width="1.125" style="1764" hidden="1" customWidth="1"/>
    <col min="51" max="52" width="0" hidden="1" customWidth="1"/>
    <col min="53" max="53" width="67.5" hidden="1" customWidth="1"/>
    <col min="54" max="54" width="1.125" style="1764" hidden="1" customWidth="1"/>
    <col min="55" max="56" width="8.625" customWidth="1"/>
    <col min="57" max="57" width="62.125" bestFit="1" customWidth="1"/>
    <col min="58" max="58" width="0.875" customWidth="1"/>
    <col min="59" max="60" width="8.625" customWidth="1"/>
    <col min="61" max="61" width="10.625" bestFit="1" customWidth="1"/>
    <col min="62" max="62" width="13.125" bestFit="1" customWidth="1"/>
    <col min="63" max="63" width="11.125" bestFit="1" customWidth="1"/>
    <col min="64" max="64" width="12.125" bestFit="1" customWidth="1"/>
    <col min="65" max="65" width="11.625" bestFit="1" customWidth="1"/>
    <col min="66" max="67" width="12.125" bestFit="1" customWidth="1"/>
    <col min="68" max="68" width="12.5" bestFit="1" customWidth="1"/>
    <col min="69" max="69" width="10.625" bestFit="1" customWidth="1"/>
    <col min="70" max="70" width="14.625" bestFit="1" customWidth="1"/>
    <col min="71" max="71" width="16.625" bestFit="1" customWidth="1"/>
    <col min="72" max="72" width="15" bestFit="1" customWidth="1"/>
    <col min="73" max="76" width="15.625" bestFit="1" customWidth="1"/>
    <col min="77" max="77" width="16.125" bestFit="1" customWidth="1"/>
    <col min="78" max="78" width="14.125" bestFit="1" customWidth="1"/>
    <col min="79" max="79" width="3.125" customWidth="1"/>
    <col min="80" max="16384" width="8.625" hidden="1"/>
  </cols>
  <sheetData>
    <row r="1" spans="1:78" ht="18.75">
      <c r="A1" s="1098"/>
      <c r="B1" s="1099" t="s">
        <v>4140</v>
      </c>
      <c r="C1" s="1100"/>
      <c r="D1" s="1101"/>
      <c r="E1" s="69"/>
      <c r="F1" s="69"/>
      <c r="G1" s="69"/>
      <c r="H1" s="69"/>
      <c r="I1" s="69"/>
      <c r="J1" s="69"/>
      <c r="K1" s="69"/>
      <c r="L1" s="69"/>
      <c r="M1" s="69"/>
      <c r="N1" s="69"/>
      <c r="O1" s="69"/>
      <c r="P1" s="69"/>
      <c r="Q1" s="69"/>
      <c r="R1" s="69"/>
      <c r="S1" s="69"/>
      <c r="T1" s="69"/>
      <c r="U1" s="69"/>
      <c r="V1" s="69"/>
      <c r="W1" s="69"/>
      <c r="X1" s="69"/>
      <c r="Y1" s="69" t="str">
        <f>Validation!B3</f>
        <v>South West Water – South West area</v>
      </c>
      <c r="Z1" s="69"/>
      <c r="AA1" s="70" t="s">
        <v>2394</v>
      </c>
      <c r="AC1" s="72"/>
      <c r="AD1" s="200"/>
      <c r="AE1" s="71"/>
      <c r="AF1" s="71"/>
      <c r="AG1" s="71"/>
      <c r="AH1" s="71"/>
      <c r="AI1" s="71"/>
      <c r="AJ1" s="71"/>
      <c r="AK1" s="71"/>
      <c r="AL1" s="71"/>
      <c r="AM1" s="200"/>
      <c r="AN1" s="71"/>
      <c r="AO1" s="71"/>
      <c r="AP1" s="71"/>
      <c r="AQ1" s="71"/>
      <c r="AR1" s="71"/>
      <c r="AS1" s="71"/>
      <c r="AT1" s="71"/>
      <c r="AU1" s="71"/>
      <c r="AV1" s="72"/>
      <c r="BD1" s="1099" t="s">
        <v>4140</v>
      </c>
      <c r="BE1" s="1100"/>
      <c r="BF1" s="1101"/>
      <c r="BG1" s="69"/>
      <c r="BH1" s="69"/>
      <c r="BI1" s="69"/>
      <c r="BJ1" s="69"/>
      <c r="BK1" s="69"/>
      <c r="BL1" s="69"/>
      <c r="BM1" s="69"/>
      <c r="BN1" s="69"/>
      <c r="BO1" s="69"/>
      <c r="BP1" s="69"/>
      <c r="BQ1" s="69"/>
      <c r="BR1" s="69"/>
      <c r="BS1" s="69"/>
      <c r="BT1" s="69"/>
      <c r="BU1" s="69"/>
      <c r="BV1" s="69"/>
      <c r="BW1" s="69"/>
      <c r="BX1" s="69"/>
      <c r="BY1" s="69"/>
      <c r="BZ1" s="69"/>
    </row>
    <row r="2" spans="1:78" ht="15" thickBot="1">
      <c r="A2" s="1047"/>
      <c r="B2" s="74" t="s">
        <v>12524</v>
      </c>
      <c r="C2" s="1102"/>
      <c r="D2" s="1102"/>
      <c r="E2" s="1047"/>
      <c r="F2" s="1047"/>
      <c r="G2" s="1047"/>
      <c r="H2" s="1047"/>
      <c r="I2" s="1047"/>
      <c r="J2" s="1047"/>
      <c r="K2" s="1047"/>
      <c r="L2" s="1047"/>
      <c r="M2" s="1047"/>
      <c r="N2" s="1047"/>
      <c r="O2" s="1047"/>
      <c r="Y2" s="1047"/>
      <c r="AA2" s="71"/>
      <c r="AC2" s="72"/>
      <c r="AD2" s="200"/>
      <c r="AE2" s="71"/>
      <c r="AF2" s="71"/>
      <c r="AG2" s="71"/>
      <c r="AH2" s="71"/>
      <c r="AI2" s="71"/>
      <c r="AJ2" s="71"/>
      <c r="AK2" s="71"/>
      <c r="AL2" s="71"/>
      <c r="AM2" s="200"/>
      <c r="AN2" s="71"/>
      <c r="AO2" s="71"/>
      <c r="AP2" s="71"/>
      <c r="AQ2" s="71"/>
      <c r="AR2" s="71"/>
      <c r="AS2" s="71"/>
      <c r="AT2" s="71"/>
      <c r="AU2" s="71"/>
      <c r="AV2" s="72"/>
      <c r="BD2" s="74" t="str">
        <f>+B2</f>
        <v>For the 12 months ended 31 March 2019</v>
      </c>
      <c r="BE2" s="1102"/>
      <c r="BF2" s="1102"/>
      <c r="BG2" s="3069"/>
      <c r="BH2" s="3069"/>
      <c r="BI2" s="3069"/>
      <c r="BJ2" s="3069"/>
      <c r="BK2" s="3069"/>
      <c r="BL2" s="3069"/>
      <c r="BM2" s="3069"/>
      <c r="BN2" s="3069"/>
      <c r="BO2" s="3069"/>
      <c r="BP2" s="3069"/>
      <c r="BQ2" s="3069"/>
      <c r="BR2" s="3070"/>
      <c r="BS2" s="3070"/>
      <c r="BT2" s="3070"/>
      <c r="BU2" s="3070"/>
      <c r="BV2" s="3070"/>
      <c r="BW2" s="3070"/>
      <c r="BX2" s="3070"/>
      <c r="BY2" s="3070"/>
      <c r="BZ2" s="3070"/>
    </row>
    <row r="3" spans="1:78" ht="15" thickBot="1">
      <c r="A3" s="1103"/>
      <c r="B3" s="3467" t="s">
        <v>2395</v>
      </c>
      <c r="C3" s="3468"/>
      <c r="D3" s="3529" t="s">
        <v>6495</v>
      </c>
      <c r="E3" s="3529" t="s">
        <v>2396</v>
      </c>
      <c r="F3" s="3532" t="s">
        <v>2397</v>
      </c>
      <c r="G3" s="3580" t="s">
        <v>6204</v>
      </c>
      <c r="H3" s="3581"/>
      <c r="I3" s="3581"/>
      <c r="J3" s="3536"/>
      <c r="K3" s="3536"/>
      <c r="L3" s="3536"/>
      <c r="M3" s="3536"/>
      <c r="N3" s="3536"/>
      <c r="O3" s="3582"/>
      <c r="P3" s="3535" t="s">
        <v>6205</v>
      </c>
      <c r="Q3" s="3536"/>
      <c r="R3" s="3536"/>
      <c r="S3" s="3536"/>
      <c r="T3" s="3536"/>
      <c r="U3" s="3536"/>
      <c r="V3" s="3536"/>
      <c r="W3" s="3536"/>
      <c r="X3" s="3581"/>
      <c r="Y3" s="3583" t="s">
        <v>4047</v>
      </c>
      <c r="AA3" s="3213" t="s">
        <v>1361</v>
      </c>
      <c r="AB3" s="200"/>
      <c r="AC3" s="72"/>
      <c r="AD3" s="78"/>
      <c r="AE3" s="77" t="s">
        <v>2404</v>
      </c>
      <c r="AF3" s="77"/>
      <c r="AG3" s="77"/>
      <c r="AH3" s="77"/>
      <c r="AI3" s="77"/>
      <c r="AJ3" s="77"/>
      <c r="AK3" s="714"/>
      <c r="AL3" s="714"/>
      <c r="AM3" s="714"/>
      <c r="AN3" s="714"/>
      <c r="AO3" s="714"/>
      <c r="AP3" s="714"/>
      <c r="AQ3" s="714"/>
      <c r="AR3" s="714"/>
      <c r="AS3" s="714"/>
      <c r="AT3" s="714"/>
      <c r="AU3" s="714"/>
      <c r="AV3" s="72"/>
      <c r="BD3" s="1104" t="s">
        <v>2423</v>
      </c>
      <c r="BE3" s="1049" t="s">
        <v>4077</v>
      </c>
      <c r="BF3" s="1049" t="s">
        <v>6495</v>
      </c>
      <c r="BG3" s="1050" t="s">
        <v>2396</v>
      </c>
      <c r="BH3" s="1381" t="s">
        <v>2397</v>
      </c>
      <c r="BI3" s="3544" t="s">
        <v>6204</v>
      </c>
      <c r="BJ3" s="3545"/>
      <c r="BK3" s="3545"/>
      <c r="BL3" s="3507"/>
      <c r="BM3" s="3507"/>
      <c r="BN3" s="3507"/>
      <c r="BO3" s="3507"/>
      <c r="BP3" s="3507"/>
      <c r="BQ3" s="3546"/>
      <c r="BR3" s="3506" t="s">
        <v>6205</v>
      </c>
      <c r="BS3" s="3507"/>
      <c r="BT3" s="3507"/>
      <c r="BU3" s="3507"/>
      <c r="BV3" s="3507"/>
      <c r="BW3" s="3507"/>
      <c r="BX3" s="3507"/>
      <c r="BY3" s="3507"/>
      <c r="BZ3" s="3545"/>
    </row>
    <row r="4" spans="1:78" ht="28.5" customHeight="1">
      <c r="A4" s="1106"/>
      <c r="B4" s="3527"/>
      <c r="C4" s="3528"/>
      <c r="D4" s="3530"/>
      <c r="E4" s="3530"/>
      <c r="F4" s="3533"/>
      <c r="G4" s="3404" t="s">
        <v>4141</v>
      </c>
      <c r="H4" s="3405"/>
      <c r="I4" s="3426"/>
      <c r="J4" s="3425" t="s">
        <v>4142</v>
      </c>
      <c r="K4" s="3426"/>
      <c r="L4" s="3425" t="s">
        <v>1195</v>
      </c>
      <c r="M4" s="3405"/>
      <c r="N4" s="3426"/>
      <c r="O4" s="3213" t="s">
        <v>2554</v>
      </c>
      <c r="P4" s="3404" t="s">
        <v>4141</v>
      </c>
      <c r="Q4" s="3405"/>
      <c r="R4" s="3426"/>
      <c r="S4" s="3425" t="s">
        <v>4142</v>
      </c>
      <c r="T4" s="3426"/>
      <c r="U4" s="3425" t="s">
        <v>1195</v>
      </c>
      <c r="V4" s="3405"/>
      <c r="W4" s="3426"/>
      <c r="X4" s="3213" t="s">
        <v>2554</v>
      </c>
      <c r="Y4" s="3584"/>
      <c r="AA4" s="3239"/>
      <c r="AB4" s="200"/>
      <c r="AC4" s="72"/>
      <c r="AD4" s="200"/>
      <c r="AE4" s="663"/>
      <c r="AF4" s="663"/>
      <c r="AG4" s="663"/>
      <c r="AH4" s="663"/>
      <c r="AI4" s="663"/>
      <c r="AJ4" s="663"/>
      <c r="AK4"/>
      <c r="AL4"/>
      <c r="AM4" s="675"/>
      <c r="AN4"/>
      <c r="AO4"/>
      <c r="AP4"/>
      <c r="AQ4"/>
      <c r="AR4"/>
      <c r="AS4"/>
      <c r="AT4"/>
      <c r="AU4"/>
      <c r="AV4" s="72"/>
      <c r="BD4" s="1107"/>
      <c r="BE4" s="1107"/>
      <c r="BF4" s="1108"/>
      <c r="BG4" s="1109"/>
      <c r="BH4" s="1109"/>
      <c r="BI4" s="3547" t="s">
        <v>4141</v>
      </c>
      <c r="BJ4" s="3548"/>
      <c r="BK4" s="3549"/>
      <c r="BL4" s="3473" t="s">
        <v>4142</v>
      </c>
      <c r="BM4" s="3477"/>
      <c r="BN4" s="3550" t="s">
        <v>1195</v>
      </c>
      <c r="BO4" s="3551"/>
      <c r="BP4" s="3552"/>
      <c r="BQ4" s="3213" t="s">
        <v>2554</v>
      </c>
      <c r="BR4" s="3550" t="s">
        <v>4141</v>
      </c>
      <c r="BS4" s="3551"/>
      <c r="BT4" s="3554"/>
      <c r="BU4" s="3555" t="s">
        <v>4142</v>
      </c>
      <c r="BV4" s="3550"/>
      <c r="BW4" s="3400" t="s">
        <v>1195</v>
      </c>
      <c r="BX4" s="3551"/>
      <c r="BY4" s="3552"/>
      <c r="BZ4" s="3556" t="s">
        <v>2554</v>
      </c>
    </row>
    <row r="5" spans="1:78" ht="39" thickBot="1">
      <c r="A5" s="1110"/>
      <c r="B5" s="3469"/>
      <c r="C5" s="3470"/>
      <c r="D5" s="3531"/>
      <c r="E5" s="3531"/>
      <c r="F5" s="3534"/>
      <c r="G5" s="219" t="s">
        <v>2761</v>
      </c>
      <c r="H5" s="220" t="s">
        <v>2762</v>
      </c>
      <c r="I5" s="221" t="s">
        <v>2763</v>
      </c>
      <c r="J5" s="222" t="s">
        <v>2764</v>
      </c>
      <c r="K5" s="221" t="s">
        <v>4080</v>
      </c>
      <c r="L5" s="222" t="s">
        <v>2765</v>
      </c>
      <c r="M5" s="220" t="s">
        <v>2766</v>
      </c>
      <c r="N5" s="221" t="s">
        <v>2767</v>
      </c>
      <c r="O5" s="3570"/>
      <c r="P5" s="219" t="s">
        <v>2761</v>
      </c>
      <c r="Q5" s="220" t="s">
        <v>2762</v>
      </c>
      <c r="R5" s="221" t="s">
        <v>2763</v>
      </c>
      <c r="S5" s="222" t="s">
        <v>2764</v>
      </c>
      <c r="T5" s="221" t="s">
        <v>4080</v>
      </c>
      <c r="U5" s="222" t="s">
        <v>2765</v>
      </c>
      <c r="V5" s="220" t="s">
        <v>2766</v>
      </c>
      <c r="W5" s="221" t="s">
        <v>2767</v>
      </c>
      <c r="X5" s="3570"/>
      <c r="Y5" s="3585"/>
      <c r="AA5" s="3214"/>
      <c r="AB5" s="200"/>
      <c r="AC5" s="72"/>
      <c r="AD5" s="200"/>
      <c r="AE5" s="90" t="s">
        <v>2405</v>
      </c>
      <c r="AF5" s="90"/>
      <c r="AG5" s="90"/>
      <c r="AH5" s="90"/>
      <c r="AI5" s="90"/>
      <c r="AJ5" s="90"/>
      <c r="AK5" s="90"/>
      <c r="AL5" s="90"/>
      <c r="AM5" s="171"/>
      <c r="AN5" s="90"/>
      <c r="AO5" s="90"/>
      <c r="AP5" s="90"/>
      <c r="AQ5" s="90"/>
      <c r="AR5" s="90"/>
      <c r="AS5" s="90"/>
      <c r="AT5" s="90"/>
      <c r="AU5" s="90"/>
      <c r="AV5" s="72"/>
      <c r="AW5" s="98" t="s">
        <v>2390</v>
      </c>
      <c r="AX5" s="72"/>
      <c r="AY5" s="77" t="s">
        <v>2578</v>
      </c>
      <c r="AZ5" s="1655"/>
      <c r="BA5" s="1655"/>
      <c r="BB5" s="72"/>
      <c r="BD5" s="1111"/>
      <c r="BE5" s="3071"/>
      <c r="BF5" s="3072"/>
      <c r="BG5" s="928"/>
      <c r="BH5" s="928"/>
      <c r="BI5" s="1664" t="s">
        <v>2761</v>
      </c>
      <c r="BJ5" s="1665" t="s">
        <v>2762</v>
      </c>
      <c r="BK5" s="1665" t="s">
        <v>2763</v>
      </c>
      <c r="BL5" s="1665" t="s">
        <v>2764</v>
      </c>
      <c r="BM5" s="1665" t="s">
        <v>4080</v>
      </c>
      <c r="BN5" s="1665" t="s">
        <v>2765</v>
      </c>
      <c r="BO5" s="1665" t="s">
        <v>2766</v>
      </c>
      <c r="BP5" s="1666" t="s">
        <v>2767</v>
      </c>
      <c r="BQ5" s="3553"/>
      <c r="BR5" s="1667" t="s">
        <v>2761</v>
      </c>
      <c r="BS5" s="1665" t="s">
        <v>2762</v>
      </c>
      <c r="BT5" s="1665" t="s">
        <v>2763</v>
      </c>
      <c r="BU5" s="1113" t="s">
        <v>2764</v>
      </c>
      <c r="BV5" s="1665" t="s">
        <v>4080</v>
      </c>
      <c r="BW5" s="1665" t="s">
        <v>2765</v>
      </c>
      <c r="BX5" s="1665" t="s">
        <v>2766</v>
      </c>
      <c r="BY5" s="1666" t="s">
        <v>2767</v>
      </c>
      <c r="BZ5" s="3557"/>
    </row>
    <row r="6" spans="1:78" ht="15" thickBot="1">
      <c r="A6" s="1110"/>
      <c r="B6" s="1789"/>
      <c r="C6" s="1112"/>
      <c r="D6" s="1112"/>
      <c r="E6" s="928"/>
      <c r="F6" s="928"/>
      <c r="G6" s="928"/>
      <c r="H6" s="928"/>
      <c r="I6" s="928"/>
      <c r="J6" s="928"/>
      <c r="K6" s="928"/>
      <c r="L6" s="928"/>
      <c r="M6" s="928"/>
      <c r="N6" s="928"/>
      <c r="O6" s="928"/>
      <c r="P6" s="928"/>
      <c r="Q6" s="928"/>
      <c r="R6" s="928"/>
      <c r="S6" s="928"/>
      <c r="T6" s="928"/>
      <c r="U6" s="928"/>
      <c r="V6" s="928"/>
      <c r="W6" s="928"/>
      <c r="X6" s="928"/>
      <c r="Y6" s="928"/>
      <c r="Z6" s="928"/>
      <c r="AB6" s="200"/>
      <c r="AC6" s="72"/>
      <c r="AD6" s="200"/>
      <c r="AE6" s="90"/>
      <c r="AF6" s="90"/>
      <c r="AG6" s="90"/>
      <c r="AH6" s="90"/>
      <c r="AI6" s="90"/>
      <c r="AJ6" s="90"/>
      <c r="AK6" s="90"/>
      <c r="AL6" s="90"/>
      <c r="AM6" s="171"/>
      <c r="AN6" s="90"/>
      <c r="AO6" s="90"/>
      <c r="AP6" s="90"/>
      <c r="AQ6" s="90"/>
      <c r="AR6" s="90"/>
      <c r="AS6" s="90"/>
      <c r="AT6" s="90"/>
      <c r="AU6" s="90"/>
      <c r="AV6" s="72"/>
      <c r="AW6" s="98"/>
      <c r="AX6" s="72"/>
      <c r="AY6" s="77"/>
      <c r="AZ6" s="1755"/>
      <c r="BA6" s="1755"/>
      <c r="BB6" s="72"/>
      <c r="BD6" s="1789"/>
      <c r="BE6" s="3072"/>
      <c r="BF6" s="3072"/>
      <c r="BG6" s="928"/>
      <c r="BH6" s="928"/>
      <c r="BI6" s="928"/>
      <c r="BJ6" s="928"/>
      <c r="BK6" s="928"/>
      <c r="BL6" s="928"/>
      <c r="BM6" s="928"/>
      <c r="BN6" s="928"/>
      <c r="BO6" s="928"/>
      <c r="BP6" s="928"/>
      <c r="BQ6" s="928"/>
      <c r="BR6" s="928"/>
      <c r="BS6" s="928"/>
      <c r="BT6" s="928"/>
      <c r="BU6" s="928"/>
      <c r="BV6" s="928"/>
      <c r="BW6" s="928"/>
      <c r="BX6" s="928"/>
      <c r="BY6" s="928"/>
      <c r="BZ6" s="3073"/>
    </row>
    <row r="7" spans="1:78" ht="15" thickBot="1">
      <c r="A7" s="1110"/>
      <c r="B7" s="1051" t="s">
        <v>2449</v>
      </c>
      <c r="C7" s="1114" t="s">
        <v>4143</v>
      </c>
      <c r="D7" s="1112"/>
      <c r="E7" s="928"/>
      <c r="F7" s="928"/>
      <c r="G7" s="928"/>
      <c r="H7" s="928"/>
      <c r="I7" s="928"/>
      <c r="J7" s="928"/>
      <c r="K7" s="928"/>
      <c r="L7" s="928"/>
      <c r="M7" s="928"/>
      <c r="N7" s="928"/>
      <c r="O7" s="928"/>
      <c r="P7" s="928"/>
      <c r="Q7" s="928"/>
      <c r="R7" s="928"/>
      <c r="S7" s="928"/>
      <c r="T7" s="928"/>
      <c r="U7" s="928"/>
      <c r="V7" s="928"/>
      <c r="W7" s="928"/>
      <c r="X7" s="928"/>
      <c r="AA7" s="71"/>
      <c r="AB7" s="200"/>
      <c r="AC7" s="72"/>
      <c r="AD7" s="200"/>
      <c r="AE7" s="90"/>
      <c r="AF7" s="90"/>
      <c r="AG7" s="90"/>
      <c r="AH7" s="90"/>
      <c r="AI7" s="90"/>
      <c r="AJ7" s="90"/>
      <c r="AK7" s="90"/>
      <c r="AL7" s="90"/>
      <c r="AM7" s="171"/>
      <c r="AN7" s="90"/>
      <c r="AO7" s="90"/>
      <c r="AP7" s="90"/>
      <c r="AQ7" s="90"/>
      <c r="AR7" s="90"/>
      <c r="AS7" s="90"/>
      <c r="AT7" s="90"/>
      <c r="AU7" s="90"/>
      <c r="AV7" s="72"/>
      <c r="BD7" s="2743" t="s">
        <v>2449</v>
      </c>
      <c r="BE7" s="3074" t="s">
        <v>4143</v>
      </c>
      <c r="BF7" s="3072"/>
      <c r="BG7" s="928"/>
      <c r="BH7" s="928"/>
      <c r="BI7" s="928"/>
      <c r="BJ7" s="928"/>
      <c r="BK7" s="928"/>
      <c r="BL7" s="928"/>
      <c r="BM7" s="928"/>
      <c r="BN7" s="928"/>
      <c r="BO7" s="928"/>
      <c r="BP7" s="928"/>
      <c r="BQ7" s="928"/>
      <c r="BR7" s="928"/>
      <c r="BS7" s="928"/>
      <c r="BT7" s="928"/>
      <c r="BU7" s="928"/>
      <c r="BV7" s="928"/>
      <c r="BW7" s="928"/>
      <c r="BX7" s="928"/>
      <c r="BY7" s="928"/>
      <c r="BZ7" s="928"/>
    </row>
    <row r="8" spans="1:78">
      <c r="A8" s="1047"/>
      <c r="B8" s="1053" t="s">
        <v>6619</v>
      </c>
      <c r="C8" s="122" t="s">
        <v>4144</v>
      </c>
      <c r="D8" s="122"/>
      <c r="E8" s="93" t="s">
        <v>750</v>
      </c>
      <c r="F8" s="94">
        <v>3</v>
      </c>
      <c r="G8" s="1139"/>
      <c r="H8" s="1535"/>
      <c r="I8" s="1541"/>
      <c r="J8" s="1115"/>
      <c r="K8" s="1541"/>
      <c r="L8" s="1661"/>
      <c r="M8" s="1538"/>
      <c r="N8" s="1541"/>
      <c r="O8" s="1116">
        <f t="shared" ref="O8:O52" si="0">+SUM(G8:N8)</f>
        <v>0</v>
      </c>
      <c r="P8" s="1139"/>
      <c r="Q8" s="1535"/>
      <c r="R8" s="1541"/>
      <c r="S8" s="1115"/>
      <c r="T8" s="1541"/>
      <c r="U8" s="1661"/>
      <c r="V8" s="1538"/>
      <c r="W8" s="1541"/>
      <c r="X8" s="1116">
        <f t="shared" ref="X8:X52" si="1">+SUM(P8:W8)</f>
        <v>0</v>
      </c>
      <c r="Y8" s="1872"/>
      <c r="AA8" s="945" t="str">
        <f xml:space="preserve"> IF( SUM( AC8:AV8 ) = 0, 0, $AE$5 )</f>
        <v>Please complete all cells in row</v>
      </c>
      <c r="AB8" s="200"/>
      <c r="AC8" s="72"/>
      <c r="AD8" s="200"/>
      <c r="AE8" s="98">
        <f>IF(Validation!$H$3=1,0,IF(ISNUMBER(G8),0,1))</f>
        <v>1</v>
      </c>
      <c r="AF8" s="98">
        <f>IF(Validation!$H$3=1,0,IF(ISNUMBER(H8),0,1))</f>
        <v>1</v>
      </c>
      <c r="AG8" s="98">
        <f>IF(Validation!$H$3=1,0,IF(ISNUMBER(I8),0,1))</f>
        <v>1</v>
      </c>
      <c r="AH8" s="98">
        <f>IF(Validation!$H$3=1,0,IF(ISNUMBER(J8),0,1))</f>
        <v>1</v>
      </c>
      <c r="AI8" s="98">
        <f>IF(Validation!$H$3=1,0,IF(ISNUMBER(K8),0,1))</f>
        <v>1</v>
      </c>
      <c r="AJ8" s="98">
        <f>IF(Validation!$H$3=1,0,IF(ISNUMBER(L8),0,1))</f>
        <v>1</v>
      </c>
      <c r="AK8" s="98">
        <f>IF(Validation!$H$3=1,0,IF(ISNUMBER(M8),0,1))</f>
        <v>1</v>
      </c>
      <c r="AL8" s="98">
        <f>IF(Validation!$H$3=1,0,IF(ISNUMBER(N8),0,1))</f>
        <v>1</v>
      </c>
      <c r="AM8" s="132"/>
      <c r="AN8" s="98">
        <f>IF(Validation!$H$3=1,0,IF(ISNUMBER(P8),0,1))</f>
        <v>1</v>
      </c>
      <c r="AO8" s="98">
        <f>IF(Validation!$H$3=1,0,IF(ISNUMBER(Q8),0,1))</f>
        <v>1</v>
      </c>
      <c r="AP8" s="98">
        <f>IF(Validation!$H$3=1,0,IF(ISNUMBER(R8),0,1))</f>
        <v>1</v>
      </c>
      <c r="AQ8" s="98">
        <f>IF(Validation!$H$3=1,0,IF(ISNUMBER(S8),0,1))</f>
        <v>1</v>
      </c>
      <c r="AR8" s="98">
        <f>IF(Validation!$H$3=1,0,IF(ISNUMBER(T8),0,1))</f>
        <v>1</v>
      </c>
      <c r="AS8" s="98">
        <f>IF(Validation!$H$3=1,0,IF(ISNUMBER(U8),0,1))</f>
        <v>1</v>
      </c>
      <c r="AT8" s="98">
        <f>IF(Validation!$H$3=1,0,IF(ISNUMBER(V8),0,1))</f>
        <v>1</v>
      </c>
      <c r="AU8" s="98">
        <f>IF(Validation!$H$3=1,0,IF(ISNUMBER(W8),0,1))</f>
        <v>1</v>
      </c>
      <c r="AV8" s="72"/>
      <c r="BD8" s="1053" t="s">
        <v>6619</v>
      </c>
      <c r="BE8" s="122" t="s">
        <v>4144</v>
      </c>
      <c r="BF8" s="122"/>
      <c r="BG8" s="93" t="s">
        <v>750</v>
      </c>
      <c r="BH8" s="94">
        <v>3</v>
      </c>
      <c r="BI8" s="3075" t="s">
        <v>8131</v>
      </c>
      <c r="BJ8" s="3076" t="s">
        <v>8132</v>
      </c>
      <c r="BK8" s="3077" t="s">
        <v>8133</v>
      </c>
      <c r="BL8" s="3078" t="s">
        <v>8134</v>
      </c>
      <c r="BM8" s="3076" t="s">
        <v>8135</v>
      </c>
      <c r="BN8" s="3076" t="s">
        <v>8136</v>
      </c>
      <c r="BO8" s="3079" t="s">
        <v>8137</v>
      </c>
      <c r="BP8" s="3077" t="s">
        <v>8138</v>
      </c>
      <c r="BQ8" s="2315" t="s">
        <v>8139</v>
      </c>
      <c r="BR8" s="3080" t="s">
        <v>8140</v>
      </c>
      <c r="BS8" s="3076" t="s">
        <v>8141</v>
      </c>
      <c r="BT8" s="3077" t="s">
        <v>8142</v>
      </c>
      <c r="BU8" s="3078" t="s">
        <v>8143</v>
      </c>
      <c r="BV8" s="3076" t="s">
        <v>8144</v>
      </c>
      <c r="BW8" s="3076" t="s">
        <v>8145</v>
      </c>
      <c r="BX8" s="3079" t="s">
        <v>8146</v>
      </c>
      <c r="BY8" s="3077" t="s">
        <v>8147</v>
      </c>
      <c r="BZ8" s="2315" t="s">
        <v>8148</v>
      </c>
    </row>
    <row r="9" spans="1:78">
      <c r="A9" s="1047"/>
      <c r="B9" s="1059" t="s">
        <v>6620</v>
      </c>
      <c r="C9" s="1064" t="s">
        <v>4145</v>
      </c>
      <c r="D9" s="1064"/>
      <c r="E9" s="1060" t="s">
        <v>750</v>
      </c>
      <c r="F9" s="1061">
        <v>3</v>
      </c>
      <c r="G9" s="1144"/>
      <c r="H9" s="1536"/>
      <c r="I9" s="1542"/>
      <c r="J9" s="1117"/>
      <c r="K9" s="1542"/>
      <c r="L9" s="1662"/>
      <c r="M9" s="1539"/>
      <c r="N9" s="1542"/>
      <c r="O9" s="249">
        <f t="shared" si="0"/>
        <v>0</v>
      </c>
      <c r="P9" s="1144"/>
      <c r="Q9" s="1536"/>
      <c r="R9" s="1542"/>
      <c r="S9" s="1117"/>
      <c r="T9" s="1542"/>
      <c r="U9" s="1662"/>
      <c r="V9" s="1539"/>
      <c r="W9" s="1542"/>
      <c r="X9" s="249">
        <f t="shared" si="1"/>
        <v>0</v>
      </c>
      <c r="Y9" s="1873"/>
      <c r="AA9" s="945" t="str">
        <f t="shared" ref="AA9:AA35" si="2" xml:space="preserve"> IF( SUM( AC9:AV9 ) = 0, 0, $AE$5 )</f>
        <v>Please complete all cells in row</v>
      </c>
      <c r="AB9" s="200"/>
      <c r="AC9" s="72"/>
      <c r="AD9" s="200"/>
      <c r="AE9" s="98">
        <f>IF(Validation!$H$3=1,0,IF(ISNUMBER(G9),0,1))</f>
        <v>1</v>
      </c>
      <c r="AF9" s="98">
        <f>IF(Validation!$H$3=1,0,IF(ISNUMBER(H9),0,1))</f>
        <v>1</v>
      </c>
      <c r="AG9" s="98">
        <f>IF(Validation!$H$3=1,0,IF(ISNUMBER(I9),0,1))</f>
        <v>1</v>
      </c>
      <c r="AH9" s="98">
        <f>IF(Validation!$H$3=1,0,IF(ISNUMBER(J9),0,1))</f>
        <v>1</v>
      </c>
      <c r="AI9" s="98">
        <f>IF(Validation!$H$3=1,0,IF(ISNUMBER(K9),0,1))</f>
        <v>1</v>
      </c>
      <c r="AJ9" s="98">
        <f>IF(Validation!$H$3=1,0,IF(ISNUMBER(L9),0,1))</f>
        <v>1</v>
      </c>
      <c r="AK9" s="98">
        <f>IF(Validation!$H$3=1,0,IF(ISNUMBER(M9),0,1))</f>
        <v>1</v>
      </c>
      <c r="AL9" s="98">
        <f>IF(Validation!$H$3=1,0,IF(ISNUMBER(N9),0,1))</f>
        <v>1</v>
      </c>
      <c r="AM9" s="132"/>
      <c r="AN9" s="98">
        <f>IF(Validation!$H$3=1,0,IF(ISNUMBER(P9),0,1))</f>
        <v>1</v>
      </c>
      <c r="AO9" s="98">
        <f>IF(Validation!$H$3=1,0,IF(ISNUMBER(Q9),0,1))</f>
        <v>1</v>
      </c>
      <c r="AP9" s="98">
        <f>IF(Validation!$H$3=1,0,IF(ISNUMBER(R9),0,1))</f>
        <v>1</v>
      </c>
      <c r="AQ9" s="98">
        <f>IF(Validation!$H$3=1,0,IF(ISNUMBER(S9),0,1))</f>
        <v>1</v>
      </c>
      <c r="AR9" s="98">
        <f>IF(Validation!$H$3=1,0,IF(ISNUMBER(T9),0,1))</f>
        <v>1</v>
      </c>
      <c r="AS9" s="98">
        <f>IF(Validation!$H$3=1,0,IF(ISNUMBER(U9),0,1))</f>
        <v>1</v>
      </c>
      <c r="AT9" s="98">
        <f>IF(Validation!$H$3=1,0,IF(ISNUMBER(V9),0,1))</f>
        <v>1</v>
      </c>
      <c r="AU9" s="98">
        <f>IF(Validation!$H$3=1,0,IF(ISNUMBER(W9),0,1))</f>
        <v>1</v>
      </c>
      <c r="AV9" s="72"/>
      <c r="BD9" s="1059" t="s">
        <v>6620</v>
      </c>
      <c r="BE9" s="3050" t="s">
        <v>4145</v>
      </c>
      <c r="BF9" s="3050"/>
      <c r="BG9" s="2145" t="s">
        <v>750</v>
      </c>
      <c r="BH9" s="1061">
        <v>3</v>
      </c>
      <c r="BI9" s="3081" t="s">
        <v>8149</v>
      </c>
      <c r="BJ9" s="3082" t="s">
        <v>8150</v>
      </c>
      <c r="BK9" s="3083" t="s">
        <v>8151</v>
      </c>
      <c r="BL9" s="3084" t="s">
        <v>8152</v>
      </c>
      <c r="BM9" s="3082" t="s">
        <v>8153</v>
      </c>
      <c r="BN9" s="3082" t="s">
        <v>8154</v>
      </c>
      <c r="BO9" s="3085" t="s">
        <v>8155</v>
      </c>
      <c r="BP9" s="3083" t="s">
        <v>8156</v>
      </c>
      <c r="BQ9" s="2265" t="s">
        <v>8157</v>
      </c>
      <c r="BR9" s="3086" t="s">
        <v>8158</v>
      </c>
      <c r="BS9" s="3082" t="s">
        <v>8159</v>
      </c>
      <c r="BT9" s="3083" t="s">
        <v>8160</v>
      </c>
      <c r="BU9" s="3084" t="s">
        <v>8161</v>
      </c>
      <c r="BV9" s="3082" t="s">
        <v>8162</v>
      </c>
      <c r="BW9" s="3082" t="s">
        <v>8163</v>
      </c>
      <c r="BX9" s="3085" t="s">
        <v>8164</v>
      </c>
      <c r="BY9" s="3083" t="s">
        <v>8165</v>
      </c>
      <c r="BZ9" s="2265" t="s">
        <v>8166</v>
      </c>
    </row>
    <row r="10" spans="1:78">
      <c r="A10" s="1047"/>
      <c r="B10" s="1059" t="s">
        <v>6621</v>
      </c>
      <c r="C10" s="1064" t="s">
        <v>4146</v>
      </c>
      <c r="D10" s="1064"/>
      <c r="E10" s="1060" t="s">
        <v>750</v>
      </c>
      <c r="F10" s="1061">
        <v>3</v>
      </c>
      <c r="G10" s="1144"/>
      <c r="H10" s="1536"/>
      <c r="I10" s="1542"/>
      <c r="J10" s="1117"/>
      <c r="K10" s="1542"/>
      <c r="L10" s="1662"/>
      <c r="M10" s="1539"/>
      <c r="N10" s="1542"/>
      <c r="O10" s="249">
        <f t="shared" si="0"/>
        <v>0</v>
      </c>
      <c r="P10" s="1144"/>
      <c r="Q10" s="1536"/>
      <c r="R10" s="1542"/>
      <c r="S10" s="1117"/>
      <c r="T10" s="1542"/>
      <c r="U10" s="1662"/>
      <c r="V10" s="1539"/>
      <c r="W10" s="1542"/>
      <c r="X10" s="249">
        <f t="shared" si="1"/>
        <v>0</v>
      </c>
      <c r="Y10" s="1873"/>
      <c r="AA10" s="945" t="str">
        <f t="shared" si="2"/>
        <v>Please complete all cells in row</v>
      </c>
      <c r="AB10" s="200"/>
      <c r="AC10" s="72"/>
      <c r="AD10" s="200"/>
      <c r="AE10" s="98">
        <f>IF(Validation!$H$3=1,0,IF(ISNUMBER(G10),0,1))</f>
        <v>1</v>
      </c>
      <c r="AF10" s="98">
        <f>IF(Validation!$H$3=1,0,IF(ISNUMBER(H10),0,1))</f>
        <v>1</v>
      </c>
      <c r="AG10" s="98">
        <f>IF(Validation!$H$3=1,0,IF(ISNUMBER(I10),0,1))</f>
        <v>1</v>
      </c>
      <c r="AH10" s="98">
        <f>IF(Validation!$H$3=1,0,IF(ISNUMBER(J10),0,1))</f>
        <v>1</v>
      </c>
      <c r="AI10" s="98">
        <f>IF(Validation!$H$3=1,0,IF(ISNUMBER(K10),0,1))</f>
        <v>1</v>
      </c>
      <c r="AJ10" s="98">
        <f>IF(Validation!$H$3=1,0,IF(ISNUMBER(L10),0,1))</f>
        <v>1</v>
      </c>
      <c r="AK10" s="98">
        <f>IF(Validation!$H$3=1,0,IF(ISNUMBER(M10),0,1))</f>
        <v>1</v>
      </c>
      <c r="AL10" s="98">
        <f>IF(Validation!$H$3=1,0,IF(ISNUMBER(N10),0,1))</f>
        <v>1</v>
      </c>
      <c r="AM10" s="132"/>
      <c r="AN10" s="98">
        <f>IF(Validation!$H$3=1,0,IF(ISNUMBER(P10),0,1))</f>
        <v>1</v>
      </c>
      <c r="AO10" s="98">
        <f>IF(Validation!$H$3=1,0,IF(ISNUMBER(Q10),0,1))</f>
        <v>1</v>
      </c>
      <c r="AP10" s="98">
        <f>IF(Validation!$H$3=1,0,IF(ISNUMBER(R10),0,1))</f>
        <v>1</v>
      </c>
      <c r="AQ10" s="98">
        <f>IF(Validation!$H$3=1,0,IF(ISNUMBER(S10),0,1))</f>
        <v>1</v>
      </c>
      <c r="AR10" s="98">
        <f>IF(Validation!$H$3=1,0,IF(ISNUMBER(T10),0,1))</f>
        <v>1</v>
      </c>
      <c r="AS10" s="98">
        <f>IF(Validation!$H$3=1,0,IF(ISNUMBER(U10),0,1))</f>
        <v>1</v>
      </c>
      <c r="AT10" s="98">
        <f>IF(Validation!$H$3=1,0,IF(ISNUMBER(V10),0,1))</f>
        <v>1</v>
      </c>
      <c r="AU10" s="98">
        <f>IF(Validation!$H$3=1,0,IF(ISNUMBER(W10),0,1))</f>
        <v>1</v>
      </c>
      <c r="AV10" s="72"/>
      <c r="BD10" s="1059" t="s">
        <v>6621</v>
      </c>
      <c r="BE10" s="3050" t="s">
        <v>4146</v>
      </c>
      <c r="BF10" s="3050"/>
      <c r="BG10" s="2145" t="s">
        <v>750</v>
      </c>
      <c r="BH10" s="1061">
        <v>3</v>
      </c>
      <c r="BI10" s="3081" t="s">
        <v>8167</v>
      </c>
      <c r="BJ10" s="3082" t="s">
        <v>8168</v>
      </c>
      <c r="BK10" s="3083" t="s">
        <v>8169</v>
      </c>
      <c r="BL10" s="3084" t="s">
        <v>8170</v>
      </c>
      <c r="BM10" s="3082" t="s">
        <v>8171</v>
      </c>
      <c r="BN10" s="3082" t="s">
        <v>8172</v>
      </c>
      <c r="BO10" s="3085" t="s">
        <v>8173</v>
      </c>
      <c r="BP10" s="3083" t="s">
        <v>8174</v>
      </c>
      <c r="BQ10" s="2265" t="s">
        <v>8175</v>
      </c>
      <c r="BR10" s="3086" t="s">
        <v>8176</v>
      </c>
      <c r="BS10" s="3082" t="s">
        <v>8177</v>
      </c>
      <c r="BT10" s="3083" t="s">
        <v>8178</v>
      </c>
      <c r="BU10" s="3084" t="s">
        <v>8179</v>
      </c>
      <c r="BV10" s="3082" t="s">
        <v>8180</v>
      </c>
      <c r="BW10" s="3082" t="s">
        <v>8181</v>
      </c>
      <c r="BX10" s="3085" t="s">
        <v>8182</v>
      </c>
      <c r="BY10" s="3083" t="s">
        <v>8183</v>
      </c>
      <c r="BZ10" s="2265" t="s">
        <v>8184</v>
      </c>
    </row>
    <row r="11" spans="1:78">
      <c r="A11" s="1047"/>
      <c r="B11" s="1059" t="s">
        <v>6622</v>
      </c>
      <c r="C11" s="1064" t="s">
        <v>4147</v>
      </c>
      <c r="D11" s="1064"/>
      <c r="E11" s="1060" t="s">
        <v>750</v>
      </c>
      <c r="F11" s="1061">
        <v>3</v>
      </c>
      <c r="G11" s="1144"/>
      <c r="H11" s="1536"/>
      <c r="I11" s="1542"/>
      <c r="J11" s="1117"/>
      <c r="K11" s="1542"/>
      <c r="L11" s="1662"/>
      <c r="M11" s="1539"/>
      <c r="N11" s="1542"/>
      <c r="O11" s="249">
        <f t="shared" si="0"/>
        <v>0</v>
      </c>
      <c r="P11" s="1144"/>
      <c r="Q11" s="1536"/>
      <c r="R11" s="1542"/>
      <c r="S11" s="1117"/>
      <c r="T11" s="1542"/>
      <c r="U11" s="1662"/>
      <c r="V11" s="1539"/>
      <c r="W11" s="1542"/>
      <c r="X11" s="249">
        <f t="shared" si="1"/>
        <v>0</v>
      </c>
      <c r="Y11" s="1873"/>
      <c r="AA11" s="945" t="str">
        <f t="shared" si="2"/>
        <v>Please complete all cells in row</v>
      </c>
      <c r="AB11" s="200"/>
      <c r="AC11" s="72"/>
      <c r="AD11" s="200"/>
      <c r="AE11" s="98">
        <f>IF(Validation!$H$3=1,0,IF(ISNUMBER(G11),0,1))</f>
        <v>1</v>
      </c>
      <c r="AF11" s="98">
        <f>IF(Validation!$H$3=1,0,IF(ISNUMBER(H11),0,1))</f>
        <v>1</v>
      </c>
      <c r="AG11" s="98">
        <f>IF(Validation!$H$3=1,0,IF(ISNUMBER(I11),0,1))</f>
        <v>1</v>
      </c>
      <c r="AH11" s="98">
        <f>IF(Validation!$H$3=1,0,IF(ISNUMBER(J11),0,1))</f>
        <v>1</v>
      </c>
      <c r="AI11" s="98">
        <f>IF(Validation!$H$3=1,0,IF(ISNUMBER(K11),0,1))</f>
        <v>1</v>
      </c>
      <c r="AJ11" s="98">
        <f>IF(Validation!$H$3=1,0,IF(ISNUMBER(L11),0,1))</f>
        <v>1</v>
      </c>
      <c r="AK11" s="98">
        <f>IF(Validation!$H$3=1,0,IF(ISNUMBER(M11),0,1))</f>
        <v>1</v>
      </c>
      <c r="AL11" s="98">
        <f>IF(Validation!$H$3=1,0,IF(ISNUMBER(N11),0,1))</f>
        <v>1</v>
      </c>
      <c r="AM11" s="132"/>
      <c r="AN11" s="98">
        <f>IF(Validation!$H$3=1,0,IF(ISNUMBER(P11),0,1))</f>
        <v>1</v>
      </c>
      <c r="AO11" s="98">
        <f>IF(Validation!$H$3=1,0,IF(ISNUMBER(Q11),0,1))</f>
        <v>1</v>
      </c>
      <c r="AP11" s="98">
        <f>IF(Validation!$H$3=1,0,IF(ISNUMBER(R11),0,1))</f>
        <v>1</v>
      </c>
      <c r="AQ11" s="98">
        <f>IF(Validation!$H$3=1,0,IF(ISNUMBER(S11),0,1))</f>
        <v>1</v>
      </c>
      <c r="AR11" s="98">
        <f>IF(Validation!$H$3=1,0,IF(ISNUMBER(T11),0,1))</f>
        <v>1</v>
      </c>
      <c r="AS11" s="98">
        <f>IF(Validation!$H$3=1,0,IF(ISNUMBER(U11),0,1))</f>
        <v>1</v>
      </c>
      <c r="AT11" s="98">
        <f>IF(Validation!$H$3=1,0,IF(ISNUMBER(V11),0,1))</f>
        <v>1</v>
      </c>
      <c r="AU11" s="98">
        <f>IF(Validation!$H$3=1,0,IF(ISNUMBER(W11),0,1))</f>
        <v>1</v>
      </c>
      <c r="AV11" s="72"/>
      <c r="BD11" s="1059" t="s">
        <v>6622</v>
      </c>
      <c r="BE11" s="3050" t="s">
        <v>4147</v>
      </c>
      <c r="BF11" s="3050"/>
      <c r="BG11" s="2145" t="s">
        <v>750</v>
      </c>
      <c r="BH11" s="1061">
        <v>3</v>
      </c>
      <c r="BI11" s="3081" t="s">
        <v>8185</v>
      </c>
      <c r="BJ11" s="3082" t="s">
        <v>8186</v>
      </c>
      <c r="BK11" s="3083" t="s">
        <v>8187</v>
      </c>
      <c r="BL11" s="3084" t="s">
        <v>8188</v>
      </c>
      <c r="BM11" s="3082" t="s">
        <v>8189</v>
      </c>
      <c r="BN11" s="3082" t="s">
        <v>8190</v>
      </c>
      <c r="BO11" s="3085" t="s">
        <v>8191</v>
      </c>
      <c r="BP11" s="3083" t="s">
        <v>8192</v>
      </c>
      <c r="BQ11" s="2265" t="s">
        <v>8193</v>
      </c>
      <c r="BR11" s="3086" t="s">
        <v>8194</v>
      </c>
      <c r="BS11" s="3082" t="s">
        <v>8195</v>
      </c>
      <c r="BT11" s="3083" t="s">
        <v>8196</v>
      </c>
      <c r="BU11" s="3084" t="s">
        <v>8197</v>
      </c>
      <c r="BV11" s="3082" t="s">
        <v>8198</v>
      </c>
      <c r="BW11" s="3082" t="s">
        <v>8199</v>
      </c>
      <c r="BX11" s="3085" t="s">
        <v>8200</v>
      </c>
      <c r="BY11" s="3083" t="s">
        <v>8201</v>
      </c>
      <c r="BZ11" s="2265" t="s">
        <v>8202</v>
      </c>
    </row>
    <row r="12" spans="1:78">
      <c r="A12" s="1047"/>
      <c r="B12" s="1059" t="s">
        <v>6623</v>
      </c>
      <c r="C12" s="1064" t="s">
        <v>4148</v>
      </c>
      <c r="D12" s="1064"/>
      <c r="E12" s="1060" t="s">
        <v>750</v>
      </c>
      <c r="F12" s="1061">
        <v>3</v>
      </c>
      <c r="G12" s="1144"/>
      <c r="H12" s="1536"/>
      <c r="I12" s="1542"/>
      <c r="J12" s="1117"/>
      <c r="K12" s="1542"/>
      <c r="L12" s="1662"/>
      <c r="M12" s="1539"/>
      <c r="N12" s="1542"/>
      <c r="O12" s="249">
        <f t="shared" si="0"/>
        <v>0</v>
      </c>
      <c r="P12" s="1144"/>
      <c r="Q12" s="1536"/>
      <c r="R12" s="1542"/>
      <c r="S12" s="1117"/>
      <c r="T12" s="1542"/>
      <c r="U12" s="1662"/>
      <c r="V12" s="1539"/>
      <c r="W12" s="1542"/>
      <c r="X12" s="249">
        <f t="shared" si="1"/>
        <v>0</v>
      </c>
      <c r="Y12" s="1873"/>
      <c r="AA12" s="945" t="str">
        <f t="shared" si="2"/>
        <v>Please complete all cells in row</v>
      </c>
      <c r="AB12" s="200"/>
      <c r="AC12" s="72"/>
      <c r="AD12" s="200"/>
      <c r="AE12" s="98">
        <f>IF(Validation!$H$3=1,0,IF(ISNUMBER(G12),0,1))</f>
        <v>1</v>
      </c>
      <c r="AF12" s="98">
        <f>IF(Validation!$H$3=1,0,IF(ISNUMBER(H12),0,1))</f>
        <v>1</v>
      </c>
      <c r="AG12" s="98">
        <f>IF(Validation!$H$3=1,0,IF(ISNUMBER(I12),0,1))</f>
        <v>1</v>
      </c>
      <c r="AH12" s="98">
        <f>IF(Validation!$H$3=1,0,IF(ISNUMBER(J12),0,1))</f>
        <v>1</v>
      </c>
      <c r="AI12" s="98">
        <f>IF(Validation!$H$3=1,0,IF(ISNUMBER(K12),0,1))</f>
        <v>1</v>
      </c>
      <c r="AJ12" s="98">
        <f>IF(Validation!$H$3=1,0,IF(ISNUMBER(L12),0,1))</f>
        <v>1</v>
      </c>
      <c r="AK12" s="98">
        <f>IF(Validation!$H$3=1,0,IF(ISNUMBER(M12),0,1))</f>
        <v>1</v>
      </c>
      <c r="AL12" s="98">
        <f>IF(Validation!$H$3=1,0,IF(ISNUMBER(N12),0,1))</f>
        <v>1</v>
      </c>
      <c r="AM12" s="132"/>
      <c r="AN12" s="98">
        <f>IF(Validation!$H$3=1,0,IF(ISNUMBER(P12),0,1))</f>
        <v>1</v>
      </c>
      <c r="AO12" s="98">
        <f>IF(Validation!$H$3=1,0,IF(ISNUMBER(Q12),0,1))</f>
        <v>1</v>
      </c>
      <c r="AP12" s="98">
        <f>IF(Validation!$H$3=1,0,IF(ISNUMBER(R12),0,1))</f>
        <v>1</v>
      </c>
      <c r="AQ12" s="98">
        <f>IF(Validation!$H$3=1,0,IF(ISNUMBER(S12),0,1))</f>
        <v>1</v>
      </c>
      <c r="AR12" s="98">
        <f>IF(Validation!$H$3=1,0,IF(ISNUMBER(T12),0,1))</f>
        <v>1</v>
      </c>
      <c r="AS12" s="98">
        <f>IF(Validation!$H$3=1,0,IF(ISNUMBER(U12),0,1))</f>
        <v>1</v>
      </c>
      <c r="AT12" s="98">
        <f>IF(Validation!$H$3=1,0,IF(ISNUMBER(V12),0,1))</f>
        <v>1</v>
      </c>
      <c r="AU12" s="98">
        <f>IF(Validation!$H$3=1,0,IF(ISNUMBER(W12),0,1))</f>
        <v>1</v>
      </c>
      <c r="AV12" s="72"/>
      <c r="BD12" s="1059" t="s">
        <v>6623</v>
      </c>
      <c r="BE12" s="3050" t="s">
        <v>4148</v>
      </c>
      <c r="BF12" s="3050"/>
      <c r="BG12" s="2145" t="s">
        <v>750</v>
      </c>
      <c r="BH12" s="1061">
        <v>3</v>
      </c>
      <c r="BI12" s="3081" t="s">
        <v>8203</v>
      </c>
      <c r="BJ12" s="3082" t="s">
        <v>8204</v>
      </c>
      <c r="BK12" s="3083" t="s">
        <v>8205</v>
      </c>
      <c r="BL12" s="3084" t="s">
        <v>8206</v>
      </c>
      <c r="BM12" s="3082" t="s">
        <v>8207</v>
      </c>
      <c r="BN12" s="3082" t="s">
        <v>8208</v>
      </c>
      <c r="BO12" s="3085" t="s">
        <v>8209</v>
      </c>
      <c r="BP12" s="3083" t="s">
        <v>8210</v>
      </c>
      <c r="BQ12" s="2265" t="s">
        <v>8211</v>
      </c>
      <c r="BR12" s="3086" t="s">
        <v>8212</v>
      </c>
      <c r="BS12" s="3082" t="s">
        <v>8213</v>
      </c>
      <c r="BT12" s="3083" t="s">
        <v>8214</v>
      </c>
      <c r="BU12" s="3084" t="s">
        <v>8215</v>
      </c>
      <c r="BV12" s="3082" t="s">
        <v>8216</v>
      </c>
      <c r="BW12" s="3082" t="s">
        <v>8217</v>
      </c>
      <c r="BX12" s="3085" t="s">
        <v>8218</v>
      </c>
      <c r="BY12" s="3083" t="s">
        <v>8219</v>
      </c>
      <c r="BZ12" s="2265" t="s">
        <v>8220</v>
      </c>
    </row>
    <row r="13" spans="1:78">
      <c r="A13" s="1047"/>
      <c r="B13" s="1059" t="s">
        <v>6624</v>
      </c>
      <c r="C13" s="1064" t="s">
        <v>4149</v>
      </c>
      <c r="D13" s="1064"/>
      <c r="E13" s="1060" t="s">
        <v>750</v>
      </c>
      <c r="F13" s="1061">
        <v>3</v>
      </c>
      <c r="G13" s="1144"/>
      <c r="H13" s="1536"/>
      <c r="I13" s="1542"/>
      <c r="J13" s="1117"/>
      <c r="K13" s="1542"/>
      <c r="L13" s="1662"/>
      <c r="M13" s="1539"/>
      <c r="N13" s="1542"/>
      <c r="O13" s="249">
        <f t="shared" si="0"/>
        <v>0</v>
      </c>
      <c r="P13" s="1144"/>
      <c r="Q13" s="1536"/>
      <c r="R13" s="1542"/>
      <c r="S13" s="1117"/>
      <c r="T13" s="1542"/>
      <c r="U13" s="1662"/>
      <c r="V13" s="1539"/>
      <c r="W13" s="1542"/>
      <c r="X13" s="249">
        <f t="shared" si="1"/>
        <v>0</v>
      </c>
      <c r="Y13" s="1873"/>
      <c r="AA13" s="945" t="str">
        <f t="shared" si="2"/>
        <v>Please complete all cells in row</v>
      </c>
      <c r="AB13" s="200"/>
      <c r="AC13" s="72"/>
      <c r="AD13" s="200"/>
      <c r="AE13" s="98">
        <f>IF(Validation!$H$3=1,0,IF(ISNUMBER(G13),0,1))</f>
        <v>1</v>
      </c>
      <c r="AF13" s="98">
        <f>IF(Validation!$H$3=1,0,IF(ISNUMBER(H13),0,1))</f>
        <v>1</v>
      </c>
      <c r="AG13" s="98">
        <f>IF(Validation!$H$3=1,0,IF(ISNUMBER(I13),0,1))</f>
        <v>1</v>
      </c>
      <c r="AH13" s="98">
        <f>IF(Validation!$H$3=1,0,IF(ISNUMBER(J13),0,1))</f>
        <v>1</v>
      </c>
      <c r="AI13" s="98">
        <f>IF(Validation!$H$3=1,0,IF(ISNUMBER(K13),0,1))</f>
        <v>1</v>
      </c>
      <c r="AJ13" s="98">
        <f>IF(Validation!$H$3=1,0,IF(ISNUMBER(L13),0,1))</f>
        <v>1</v>
      </c>
      <c r="AK13" s="98">
        <f>IF(Validation!$H$3=1,0,IF(ISNUMBER(M13),0,1))</f>
        <v>1</v>
      </c>
      <c r="AL13" s="98">
        <f>IF(Validation!$H$3=1,0,IF(ISNUMBER(N13),0,1))</f>
        <v>1</v>
      </c>
      <c r="AM13" s="132"/>
      <c r="AN13" s="98">
        <f>IF(Validation!$H$3=1,0,IF(ISNUMBER(P13),0,1))</f>
        <v>1</v>
      </c>
      <c r="AO13" s="98">
        <f>IF(Validation!$H$3=1,0,IF(ISNUMBER(Q13),0,1))</f>
        <v>1</v>
      </c>
      <c r="AP13" s="98">
        <f>IF(Validation!$H$3=1,0,IF(ISNUMBER(R13),0,1))</f>
        <v>1</v>
      </c>
      <c r="AQ13" s="98">
        <f>IF(Validation!$H$3=1,0,IF(ISNUMBER(S13),0,1))</f>
        <v>1</v>
      </c>
      <c r="AR13" s="98">
        <f>IF(Validation!$H$3=1,0,IF(ISNUMBER(T13),0,1))</f>
        <v>1</v>
      </c>
      <c r="AS13" s="98">
        <f>IF(Validation!$H$3=1,0,IF(ISNUMBER(U13),0,1))</f>
        <v>1</v>
      </c>
      <c r="AT13" s="98">
        <f>IF(Validation!$H$3=1,0,IF(ISNUMBER(V13),0,1))</f>
        <v>1</v>
      </c>
      <c r="AU13" s="98">
        <f>IF(Validation!$H$3=1,0,IF(ISNUMBER(W13),0,1))</f>
        <v>1</v>
      </c>
      <c r="AV13" s="72"/>
      <c r="BD13" s="1059" t="s">
        <v>6624</v>
      </c>
      <c r="BE13" s="3050" t="s">
        <v>4149</v>
      </c>
      <c r="BF13" s="3050"/>
      <c r="BG13" s="2145" t="s">
        <v>750</v>
      </c>
      <c r="BH13" s="1061">
        <v>3</v>
      </c>
      <c r="BI13" s="3081" t="s">
        <v>8221</v>
      </c>
      <c r="BJ13" s="3082" t="s">
        <v>8222</v>
      </c>
      <c r="BK13" s="3083" t="s">
        <v>8223</v>
      </c>
      <c r="BL13" s="3084" t="s">
        <v>8224</v>
      </c>
      <c r="BM13" s="3082" t="s">
        <v>8225</v>
      </c>
      <c r="BN13" s="3082" t="s">
        <v>8226</v>
      </c>
      <c r="BO13" s="3085" t="s">
        <v>8227</v>
      </c>
      <c r="BP13" s="3083" t="s">
        <v>8228</v>
      </c>
      <c r="BQ13" s="2265" t="s">
        <v>8229</v>
      </c>
      <c r="BR13" s="3086" t="s">
        <v>8230</v>
      </c>
      <c r="BS13" s="3082" t="s">
        <v>8231</v>
      </c>
      <c r="BT13" s="3083" t="s">
        <v>8232</v>
      </c>
      <c r="BU13" s="3084" t="s">
        <v>8233</v>
      </c>
      <c r="BV13" s="3082" t="s">
        <v>8234</v>
      </c>
      <c r="BW13" s="3082" t="s">
        <v>8235</v>
      </c>
      <c r="BX13" s="3085" t="s">
        <v>8236</v>
      </c>
      <c r="BY13" s="3083" t="s">
        <v>8237</v>
      </c>
      <c r="BZ13" s="2265" t="s">
        <v>8238</v>
      </c>
    </row>
    <row r="14" spans="1:78">
      <c r="A14" s="1047"/>
      <c r="B14" s="1059" t="s">
        <v>6625</v>
      </c>
      <c r="C14" s="1064" t="s">
        <v>4150</v>
      </c>
      <c r="D14" s="1064"/>
      <c r="E14" s="1060" t="s">
        <v>750</v>
      </c>
      <c r="F14" s="1061">
        <v>3</v>
      </c>
      <c r="G14" s="1144"/>
      <c r="H14" s="1536"/>
      <c r="I14" s="1542"/>
      <c r="J14" s="1117"/>
      <c r="K14" s="1542"/>
      <c r="L14" s="1662"/>
      <c r="M14" s="1539"/>
      <c r="N14" s="1542"/>
      <c r="O14" s="249">
        <f t="shared" si="0"/>
        <v>0</v>
      </c>
      <c r="P14" s="1144"/>
      <c r="Q14" s="1536"/>
      <c r="R14" s="1542"/>
      <c r="S14" s="1117"/>
      <c r="T14" s="1542"/>
      <c r="U14" s="1662"/>
      <c r="V14" s="1539"/>
      <c r="W14" s="1542"/>
      <c r="X14" s="249">
        <f t="shared" si="1"/>
        <v>0</v>
      </c>
      <c r="Y14" s="1873"/>
      <c r="AA14" s="945" t="str">
        <f t="shared" si="2"/>
        <v>Please complete all cells in row</v>
      </c>
      <c r="AB14" s="200"/>
      <c r="AC14" s="72"/>
      <c r="AD14" s="200"/>
      <c r="AE14" s="98">
        <f>IF(Validation!$H$3=1,0,IF(ISNUMBER(G14),0,1))</f>
        <v>1</v>
      </c>
      <c r="AF14" s="98">
        <f>IF(Validation!$H$3=1,0,IF(ISNUMBER(H14),0,1))</f>
        <v>1</v>
      </c>
      <c r="AG14" s="98">
        <f>IF(Validation!$H$3=1,0,IF(ISNUMBER(I14),0,1))</f>
        <v>1</v>
      </c>
      <c r="AH14" s="98">
        <f>IF(Validation!$H$3=1,0,IF(ISNUMBER(J14),0,1))</f>
        <v>1</v>
      </c>
      <c r="AI14" s="98">
        <f>IF(Validation!$H$3=1,0,IF(ISNUMBER(K14),0,1))</f>
        <v>1</v>
      </c>
      <c r="AJ14" s="98">
        <f>IF(Validation!$H$3=1,0,IF(ISNUMBER(L14),0,1))</f>
        <v>1</v>
      </c>
      <c r="AK14" s="98">
        <f>IF(Validation!$H$3=1,0,IF(ISNUMBER(M14),0,1))</f>
        <v>1</v>
      </c>
      <c r="AL14" s="98">
        <f>IF(Validation!$H$3=1,0,IF(ISNUMBER(N14),0,1))</f>
        <v>1</v>
      </c>
      <c r="AM14" s="132"/>
      <c r="AN14" s="98">
        <f>IF(Validation!$H$3=1,0,IF(ISNUMBER(P14),0,1))</f>
        <v>1</v>
      </c>
      <c r="AO14" s="98">
        <f>IF(Validation!$H$3=1,0,IF(ISNUMBER(Q14),0,1))</f>
        <v>1</v>
      </c>
      <c r="AP14" s="98">
        <f>IF(Validation!$H$3=1,0,IF(ISNUMBER(R14),0,1))</f>
        <v>1</v>
      </c>
      <c r="AQ14" s="98">
        <f>IF(Validation!$H$3=1,0,IF(ISNUMBER(S14),0,1))</f>
        <v>1</v>
      </c>
      <c r="AR14" s="98">
        <f>IF(Validation!$H$3=1,0,IF(ISNUMBER(T14),0,1))</f>
        <v>1</v>
      </c>
      <c r="AS14" s="98">
        <f>IF(Validation!$H$3=1,0,IF(ISNUMBER(U14),0,1))</f>
        <v>1</v>
      </c>
      <c r="AT14" s="98">
        <f>IF(Validation!$H$3=1,0,IF(ISNUMBER(V14),0,1))</f>
        <v>1</v>
      </c>
      <c r="AU14" s="98">
        <f>IF(Validation!$H$3=1,0,IF(ISNUMBER(W14),0,1))</f>
        <v>1</v>
      </c>
      <c r="AV14" s="72"/>
      <c r="BD14" s="1059" t="s">
        <v>6625</v>
      </c>
      <c r="BE14" s="3050" t="s">
        <v>4150</v>
      </c>
      <c r="BF14" s="3050"/>
      <c r="BG14" s="2145" t="s">
        <v>750</v>
      </c>
      <c r="BH14" s="1061">
        <v>3</v>
      </c>
      <c r="BI14" s="3081" t="s">
        <v>8239</v>
      </c>
      <c r="BJ14" s="3082" t="s">
        <v>8240</v>
      </c>
      <c r="BK14" s="3083" t="s">
        <v>8241</v>
      </c>
      <c r="BL14" s="3084" t="s">
        <v>8242</v>
      </c>
      <c r="BM14" s="3082" t="s">
        <v>8243</v>
      </c>
      <c r="BN14" s="3082" t="s">
        <v>8244</v>
      </c>
      <c r="BO14" s="3085" t="s">
        <v>8245</v>
      </c>
      <c r="BP14" s="3083" t="s">
        <v>8246</v>
      </c>
      <c r="BQ14" s="2265" t="s">
        <v>8247</v>
      </c>
      <c r="BR14" s="3086" t="s">
        <v>8248</v>
      </c>
      <c r="BS14" s="3082" t="s">
        <v>8249</v>
      </c>
      <c r="BT14" s="3083" t="s">
        <v>8250</v>
      </c>
      <c r="BU14" s="3084" t="s">
        <v>8251</v>
      </c>
      <c r="BV14" s="3082" t="s">
        <v>8252</v>
      </c>
      <c r="BW14" s="3082" t="s">
        <v>8253</v>
      </c>
      <c r="BX14" s="3085" t="s">
        <v>8254</v>
      </c>
      <c r="BY14" s="3083" t="s">
        <v>8255</v>
      </c>
      <c r="BZ14" s="2265" t="s">
        <v>8256</v>
      </c>
    </row>
    <row r="15" spans="1:78">
      <c r="A15" s="1047"/>
      <c r="B15" s="1059" t="s">
        <v>6626</v>
      </c>
      <c r="C15" s="1064" t="s">
        <v>4151</v>
      </c>
      <c r="D15" s="1064"/>
      <c r="E15" s="1060" t="s">
        <v>750</v>
      </c>
      <c r="F15" s="1061">
        <v>3</v>
      </c>
      <c r="G15" s="1144"/>
      <c r="H15" s="1536"/>
      <c r="I15" s="1542"/>
      <c r="J15" s="1117"/>
      <c r="K15" s="1542"/>
      <c r="L15" s="1662"/>
      <c r="M15" s="1539"/>
      <c r="N15" s="1542"/>
      <c r="O15" s="249">
        <f t="shared" si="0"/>
        <v>0</v>
      </c>
      <c r="P15" s="1144"/>
      <c r="Q15" s="1536"/>
      <c r="R15" s="1542"/>
      <c r="S15" s="1117"/>
      <c r="T15" s="1542"/>
      <c r="U15" s="1662"/>
      <c r="V15" s="1539"/>
      <c r="W15" s="1542"/>
      <c r="X15" s="249">
        <f t="shared" si="1"/>
        <v>0</v>
      </c>
      <c r="Y15" s="1873"/>
      <c r="AA15" s="945" t="str">
        <f t="shared" si="2"/>
        <v>Please complete all cells in row</v>
      </c>
      <c r="AB15" s="200"/>
      <c r="AC15" s="72"/>
      <c r="AD15" s="200"/>
      <c r="AE15" s="98">
        <f>IF(Validation!$H$3=1,0,IF(ISNUMBER(G15),0,1))</f>
        <v>1</v>
      </c>
      <c r="AF15" s="98">
        <f>IF(Validation!$H$3=1,0,IF(ISNUMBER(H15),0,1))</f>
        <v>1</v>
      </c>
      <c r="AG15" s="98">
        <f>IF(Validation!$H$3=1,0,IF(ISNUMBER(I15),0,1))</f>
        <v>1</v>
      </c>
      <c r="AH15" s="98">
        <f>IF(Validation!$H$3=1,0,IF(ISNUMBER(J15),0,1))</f>
        <v>1</v>
      </c>
      <c r="AI15" s="98">
        <f>IF(Validation!$H$3=1,0,IF(ISNUMBER(K15),0,1))</f>
        <v>1</v>
      </c>
      <c r="AJ15" s="98">
        <f>IF(Validation!$H$3=1,0,IF(ISNUMBER(L15),0,1))</f>
        <v>1</v>
      </c>
      <c r="AK15" s="98">
        <f>IF(Validation!$H$3=1,0,IF(ISNUMBER(M15),0,1))</f>
        <v>1</v>
      </c>
      <c r="AL15" s="98">
        <f>IF(Validation!$H$3=1,0,IF(ISNUMBER(N15),0,1))</f>
        <v>1</v>
      </c>
      <c r="AM15" s="132"/>
      <c r="AN15" s="98">
        <f>IF(Validation!$H$3=1,0,IF(ISNUMBER(P15),0,1))</f>
        <v>1</v>
      </c>
      <c r="AO15" s="98">
        <f>IF(Validation!$H$3=1,0,IF(ISNUMBER(Q15),0,1))</f>
        <v>1</v>
      </c>
      <c r="AP15" s="98">
        <f>IF(Validation!$H$3=1,0,IF(ISNUMBER(R15),0,1))</f>
        <v>1</v>
      </c>
      <c r="AQ15" s="98">
        <f>IF(Validation!$H$3=1,0,IF(ISNUMBER(S15),0,1))</f>
        <v>1</v>
      </c>
      <c r="AR15" s="98">
        <f>IF(Validation!$H$3=1,0,IF(ISNUMBER(T15),0,1))</f>
        <v>1</v>
      </c>
      <c r="AS15" s="98">
        <f>IF(Validation!$H$3=1,0,IF(ISNUMBER(U15),0,1))</f>
        <v>1</v>
      </c>
      <c r="AT15" s="98">
        <f>IF(Validation!$H$3=1,0,IF(ISNUMBER(V15),0,1))</f>
        <v>1</v>
      </c>
      <c r="AU15" s="98">
        <f>IF(Validation!$H$3=1,0,IF(ISNUMBER(W15),0,1))</f>
        <v>1</v>
      </c>
      <c r="AV15" s="72"/>
      <c r="BD15" s="1059" t="s">
        <v>6626</v>
      </c>
      <c r="BE15" s="3050" t="s">
        <v>4151</v>
      </c>
      <c r="BF15" s="3050"/>
      <c r="BG15" s="2145" t="s">
        <v>750</v>
      </c>
      <c r="BH15" s="1061">
        <v>3</v>
      </c>
      <c r="BI15" s="3081" t="s">
        <v>8257</v>
      </c>
      <c r="BJ15" s="3082" t="s">
        <v>8258</v>
      </c>
      <c r="BK15" s="3083" t="s">
        <v>8259</v>
      </c>
      <c r="BL15" s="3084" t="s">
        <v>8260</v>
      </c>
      <c r="BM15" s="3082" t="s">
        <v>8261</v>
      </c>
      <c r="BN15" s="3082" t="s">
        <v>8262</v>
      </c>
      <c r="BO15" s="3085" t="s">
        <v>8263</v>
      </c>
      <c r="BP15" s="3083" t="s">
        <v>8264</v>
      </c>
      <c r="BQ15" s="2265" t="s">
        <v>8265</v>
      </c>
      <c r="BR15" s="3086" t="s">
        <v>8266</v>
      </c>
      <c r="BS15" s="3082" t="s">
        <v>8267</v>
      </c>
      <c r="BT15" s="3083" t="s">
        <v>8268</v>
      </c>
      <c r="BU15" s="3084" t="s">
        <v>8269</v>
      </c>
      <c r="BV15" s="3082" t="s">
        <v>8270</v>
      </c>
      <c r="BW15" s="3082" t="s">
        <v>8271</v>
      </c>
      <c r="BX15" s="3085" t="s">
        <v>8272</v>
      </c>
      <c r="BY15" s="3083" t="s">
        <v>8273</v>
      </c>
      <c r="BZ15" s="2265" t="s">
        <v>8274</v>
      </c>
    </row>
    <row r="16" spans="1:78">
      <c r="A16" s="1047"/>
      <c r="B16" s="1059" t="s">
        <v>6627</v>
      </c>
      <c r="C16" s="1064" t="s">
        <v>4152</v>
      </c>
      <c r="D16" s="1064"/>
      <c r="E16" s="1060" t="s">
        <v>750</v>
      </c>
      <c r="F16" s="1061">
        <v>3</v>
      </c>
      <c r="G16" s="1144"/>
      <c r="H16" s="1536"/>
      <c r="I16" s="1542"/>
      <c r="J16" s="1117"/>
      <c r="K16" s="1542"/>
      <c r="L16" s="1662"/>
      <c r="M16" s="1539"/>
      <c r="N16" s="1542"/>
      <c r="O16" s="249">
        <f t="shared" si="0"/>
        <v>0</v>
      </c>
      <c r="P16" s="1144"/>
      <c r="Q16" s="1536"/>
      <c r="R16" s="1542"/>
      <c r="S16" s="1117"/>
      <c r="T16" s="1542"/>
      <c r="U16" s="1662"/>
      <c r="V16" s="1539"/>
      <c r="W16" s="1542"/>
      <c r="X16" s="249">
        <f t="shared" si="1"/>
        <v>0</v>
      </c>
      <c r="Y16" s="1873"/>
      <c r="AA16" s="945" t="str">
        <f t="shared" si="2"/>
        <v>Please complete all cells in row</v>
      </c>
      <c r="AB16" s="200"/>
      <c r="AC16" s="72"/>
      <c r="AD16" s="200"/>
      <c r="AE16" s="98">
        <f>IF(Validation!$H$3=1,0,IF(ISNUMBER(G16),0,1))</f>
        <v>1</v>
      </c>
      <c r="AF16" s="98">
        <f>IF(Validation!$H$3=1,0,IF(ISNUMBER(H16),0,1))</f>
        <v>1</v>
      </c>
      <c r="AG16" s="98">
        <f>IF(Validation!$H$3=1,0,IF(ISNUMBER(I16),0,1))</f>
        <v>1</v>
      </c>
      <c r="AH16" s="98">
        <f>IF(Validation!$H$3=1,0,IF(ISNUMBER(J16),0,1))</f>
        <v>1</v>
      </c>
      <c r="AI16" s="98">
        <f>IF(Validation!$H$3=1,0,IF(ISNUMBER(K16),0,1))</f>
        <v>1</v>
      </c>
      <c r="AJ16" s="98">
        <f>IF(Validation!$H$3=1,0,IF(ISNUMBER(L16),0,1))</f>
        <v>1</v>
      </c>
      <c r="AK16" s="98">
        <f>IF(Validation!$H$3=1,0,IF(ISNUMBER(M16),0,1))</f>
        <v>1</v>
      </c>
      <c r="AL16" s="98">
        <f>IF(Validation!$H$3=1,0,IF(ISNUMBER(N16),0,1))</f>
        <v>1</v>
      </c>
      <c r="AM16" s="132"/>
      <c r="AN16" s="98">
        <f>IF(Validation!$H$3=1,0,IF(ISNUMBER(P16),0,1))</f>
        <v>1</v>
      </c>
      <c r="AO16" s="98">
        <f>IF(Validation!$H$3=1,0,IF(ISNUMBER(Q16),0,1))</f>
        <v>1</v>
      </c>
      <c r="AP16" s="98">
        <f>IF(Validation!$H$3=1,0,IF(ISNUMBER(R16),0,1))</f>
        <v>1</v>
      </c>
      <c r="AQ16" s="98">
        <f>IF(Validation!$H$3=1,0,IF(ISNUMBER(S16),0,1))</f>
        <v>1</v>
      </c>
      <c r="AR16" s="98">
        <f>IF(Validation!$H$3=1,0,IF(ISNUMBER(T16),0,1))</f>
        <v>1</v>
      </c>
      <c r="AS16" s="98">
        <f>IF(Validation!$H$3=1,0,IF(ISNUMBER(U16),0,1))</f>
        <v>1</v>
      </c>
      <c r="AT16" s="98">
        <f>IF(Validation!$H$3=1,0,IF(ISNUMBER(V16),0,1))</f>
        <v>1</v>
      </c>
      <c r="AU16" s="98">
        <f>IF(Validation!$H$3=1,0,IF(ISNUMBER(W16),0,1))</f>
        <v>1</v>
      </c>
      <c r="AV16" s="72"/>
      <c r="BD16" s="1059" t="s">
        <v>6627</v>
      </c>
      <c r="BE16" s="3050" t="s">
        <v>4152</v>
      </c>
      <c r="BF16" s="3050"/>
      <c r="BG16" s="2145" t="s">
        <v>750</v>
      </c>
      <c r="BH16" s="1061">
        <v>3</v>
      </c>
      <c r="BI16" s="3081" t="s">
        <v>8275</v>
      </c>
      <c r="BJ16" s="3082" t="s">
        <v>8276</v>
      </c>
      <c r="BK16" s="3083" t="s">
        <v>8277</v>
      </c>
      <c r="BL16" s="3084" t="s">
        <v>8278</v>
      </c>
      <c r="BM16" s="3082" t="s">
        <v>8279</v>
      </c>
      <c r="BN16" s="3082" t="s">
        <v>8280</v>
      </c>
      <c r="BO16" s="3085" t="s">
        <v>8281</v>
      </c>
      <c r="BP16" s="3083" t="s">
        <v>8282</v>
      </c>
      <c r="BQ16" s="2265" t="s">
        <v>8283</v>
      </c>
      <c r="BR16" s="3086" t="s">
        <v>8284</v>
      </c>
      <c r="BS16" s="3082" t="s">
        <v>8285</v>
      </c>
      <c r="BT16" s="3083" t="s">
        <v>8286</v>
      </c>
      <c r="BU16" s="3084" t="s">
        <v>8287</v>
      </c>
      <c r="BV16" s="3082" t="s">
        <v>8288</v>
      </c>
      <c r="BW16" s="3082" t="s">
        <v>8289</v>
      </c>
      <c r="BX16" s="3085" t="s">
        <v>8290</v>
      </c>
      <c r="BY16" s="3083" t="s">
        <v>8291</v>
      </c>
      <c r="BZ16" s="2265" t="s">
        <v>8292</v>
      </c>
    </row>
    <row r="17" spans="1:78">
      <c r="A17" s="1047"/>
      <c r="B17" s="1059" t="s">
        <v>6628</v>
      </c>
      <c r="C17" s="1064" t="s">
        <v>4153</v>
      </c>
      <c r="D17" s="1064"/>
      <c r="E17" s="1060" t="s">
        <v>750</v>
      </c>
      <c r="F17" s="1061">
        <v>3</v>
      </c>
      <c r="G17" s="1144"/>
      <c r="H17" s="1536"/>
      <c r="I17" s="1542"/>
      <c r="J17" s="1117"/>
      <c r="K17" s="1542"/>
      <c r="L17" s="1662"/>
      <c r="M17" s="1539"/>
      <c r="N17" s="1542"/>
      <c r="O17" s="249">
        <f t="shared" si="0"/>
        <v>0</v>
      </c>
      <c r="P17" s="1144"/>
      <c r="Q17" s="1536"/>
      <c r="R17" s="1542"/>
      <c r="S17" s="1117"/>
      <c r="T17" s="1542"/>
      <c r="U17" s="1662"/>
      <c r="V17" s="1539"/>
      <c r="W17" s="1542"/>
      <c r="X17" s="249">
        <f t="shared" si="1"/>
        <v>0</v>
      </c>
      <c r="Y17" s="1873"/>
      <c r="AA17" s="945" t="str">
        <f t="shared" si="2"/>
        <v>Please complete all cells in row</v>
      </c>
      <c r="AB17" s="200"/>
      <c r="AC17" s="72"/>
      <c r="AD17" s="200"/>
      <c r="AE17" s="98">
        <f>IF(Validation!$H$3=1,0,IF(ISNUMBER(G17),0,1))</f>
        <v>1</v>
      </c>
      <c r="AF17" s="98">
        <f>IF(Validation!$H$3=1,0,IF(ISNUMBER(H17),0,1))</f>
        <v>1</v>
      </c>
      <c r="AG17" s="98">
        <f>IF(Validation!$H$3=1,0,IF(ISNUMBER(I17),0,1))</f>
        <v>1</v>
      </c>
      <c r="AH17" s="98">
        <f>IF(Validation!$H$3=1,0,IF(ISNUMBER(J17),0,1))</f>
        <v>1</v>
      </c>
      <c r="AI17" s="98">
        <f>IF(Validation!$H$3=1,0,IF(ISNUMBER(K17),0,1))</f>
        <v>1</v>
      </c>
      <c r="AJ17" s="98">
        <f>IF(Validation!$H$3=1,0,IF(ISNUMBER(L17),0,1))</f>
        <v>1</v>
      </c>
      <c r="AK17" s="98">
        <f>IF(Validation!$H$3=1,0,IF(ISNUMBER(M17),0,1))</f>
        <v>1</v>
      </c>
      <c r="AL17" s="98">
        <f>IF(Validation!$H$3=1,0,IF(ISNUMBER(N17),0,1))</f>
        <v>1</v>
      </c>
      <c r="AM17" s="132"/>
      <c r="AN17" s="98">
        <f>IF(Validation!$H$3=1,0,IF(ISNUMBER(P17),0,1))</f>
        <v>1</v>
      </c>
      <c r="AO17" s="98">
        <f>IF(Validation!$H$3=1,0,IF(ISNUMBER(Q17),0,1))</f>
        <v>1</v>
      </c>
      <c r="AP17" s="98">
        <f>IF(Validation!$H$3=1,0,IF(ISNUMBER(R17),0,1))</f>
        <v>1</v>
      </c>
      <c r="AQ17" s="98">
        <f>IF(Validation!$H$3=1,0,IF(ISNUMBER(S17),0,1))</f>
        <v>1</v>
      </c>
      <c r="AR17" s="98">
        <f>IF(Validation!$H$3=1,0,IF(ISNUMBER(T17),0,1))</f>
        <v>1</v>
      </c>
      <c r="AS17" s="98">
        <f>IF(Validation!$H$3=1,0,IF(ISNUMBER(U17),0,1))</f>
        <v>1</v>
      </c>
      <c r="AT17" s="98">
        <f>IF(Validation!$H$3=1,0,IF(ISNUMBER(V17),0,1))</f>
        <v>1</v>
      </c>
      <c r="AU17" s="98">
        <f>IF(Validation!$H$3=1,0,IF(ISNUMBER(W17),0,1))</f>
        <v>1</v>
      </c>
      <c r="AV17" s="72"/>
      <c r="BD17" s="1059" t="s">
        <v>6628</v>
      </c>
      <c r="BE17" s="3050" t="s">
        <v>4153</v>
      </c>
      <c r="BF17" s="3050"/>
      <c r="BG17" s="2145" t="s">
        <v>750</v>
      </c>
      <c r="BH17" s="1061">
        <v>3</v>
      </c>
      <c r="BI17" s="3081" t="s">
        <v>8293</v>
      </c>
      <c r="BJ17" s="3082" t="s">
        <v>8294</v>
      </c>
      <c r="BK17" s="3083" t="s">
        <v>8295</v>
      </c>
      <c r="BL17" s="3084" t="s">
        <v>8296</v>
      </c>
      <c r="BM17" s="3082" t="s">
        <v>8297</v>
      </c>
      <c r="BN17" s="3082" t="s">
        <v>8298</v>
      </c>
      <c r="BO17" s="3085" t="s">
        <v>8299</v>
      </c>
      <c r="BP17" s="3083" t="s">
        <v>8300</v>
      </c>
      <c r="BQ17" s="2265" t="s">
        <v>8301</v>
      </c>
      <c r="BR17" s="3086" t="s">
        <v>8302</v>
      </c>
      <c r="BS17" s="3082" t="s">
        <v>8303</v>
      </c>
      <c r="BT17" s="3083" t="s">
        <v>8304</v>
      </c>
      <c r="BU17" s="3084" t="s">
        <v>8305</v>
      </c>
      <c r="BV17" s="3082" t="s">
        <v>8306</v>
      </c>
      <c r="BW17" s="3082" t="s">
        <v>8307</v>
      </c>
      <c r="BX17" s="3085" t="s">
        <v>8308</v>
      </c>
      <c r="BY17" s="3083" t="s">
        <v>8309</v>
      </c>
      <c r="BZ17" s="2265" t="s">
        <v>8310</v>
      </c>
    </row>
    <row r="18" spans="1:78">
      <c r="A18" s="1047"/>
      <c r="B18" s="1059" t="s">
        <v>6629</v>
      </c>
      <c r="C18" s="1064" t="s">
        <v>4154</v>
      </c>
      <c r="D18" s="1064"/>
      <c r="E18" s="1060" t="s">
        <v>750</v>
      </c>
      <c r="F18" s="1061">
        <v>3</v>
      </c>
      <c r="G18" s="1144"/>
      <c r="H18" s="1536"/>
      <c r="I18" s="1542"/>
      <c r="J18" s="1117"/>
      <c r="K18" s="1542"/>
      <c r="L18" s="1662"/>
      <c r="M18" s="1539"/>
      <c r="N18" s="1542"/>
      <c r="O18" s="249">
        <f t="shared" si="0"/>
        <v>0</v>
      </c>
      <c r="P18" s="1144"/>
      <c r="Q18" s="1536"/>
      <c r="R18" s="1542"/>
      <c r="S18" s="1117"/>
      <c r="T18" s="1542"/>
      <c r="U18" s="1662"/>
      <c r="V18" s="1539"/>
      <c r="W18" s="1542"/>
      <c r="X18" s="249">
        <f t="shared" si="1"/>
        <v>0</v>
      </c>
      <c r="Y18" s="1873"/>
      <c r="AA18" s="945" t="str">
        <f t="shared" si="2"/>
        <v>Please complete all cells in row</v>
      </c>
      <c r="AB18" s="200"/>
      <c r="AC18" s="72"/>
      <c r="AD18" s="200"/>
      <c r="AE18" s="98">
        <f>IF(Validation!$H$3=1,0,IF(ISNUMBER(G18),0,1))</f>
        <v>1</v>
      </c>
      <c r="AF18" s="98">
        <f>IF(Validation!$H$3=1,0,IF(ISNUMBER(H18),0,1))</f>
        <v>1</v>
      </c>
      <c r="AG18" s="98">
        <f>IF(Validation!$H$3=1,0,IF(ISNUMBER(I18),0,1))</f>
        <v>1</v>
      </c>
      <c r="AH18" s="98">
        <f>IF(Validation!$H$3=1,0,IF(ISNUMBER(J18),0,1))</f>
        <v>1</v>
      </c>
      <c r="AI18" s="98">
        <f>IF(Validation!$H$3=1,0,IF(ISNUMBER(K18),0,1))</f>
        <v>1</v>
      </c>
      <c r="AJ18" s="98">
        <f>IF(Validation!$H$3=1,0,IF(ISNUMBER(L18),0,1))</f>
        <v>1</v>
      </c>
      <c r="AK18" s="98">
        <f>IF(Validation!$H$3=1,0,IF(ISNUMBER(M18),0,1))</f>
        <v>1</v>
      </c>
      <c r="AL18" s="98">
        <f>IF(Validation!$H$3=1,0,IF(ISNUMBER(N18),0,1))</f>
        <v>1</v>
      </c>
      <c r="AM18" s="132"/>
      <c r="AN18" s="98">
        <f>IF(Validation!$H$3=1,0,IF(ISNUMBER(P18),0,1))</f>
        <v>1</v>
      </c>
      <c r="AO18" s="98">
        <f>IF(Validation!$H$3=1,0,IF(ISNUMBER(Q18),0,1))</f>
        <v>1</v>
      </c>
      <c r="AP18" s="98">
        <f>IF(Validation!$H$3=1,0,IF(ISNUMBER(R18),0,1))</f>
        <v>1</v>
      </c>
      <c r="AQ18" s="98">
        <f>IF(Validation!$H$3=1,0,IF(ISNUMBER(S18),0,1))</f>
        <v>1</v>
      </c>
      <c r="AR18" s="98">
        <f>IF(Validation!$H$3=1,0,IF(ISNUMBER(T18),0,1))</f>
        <v>1</v>
      </c>
      <c r="AS18" s="98">
        <f>IF(Validation!$H$3=1,0,IF(ISNUMBER(U18),0,1))</f>
        <v>1</v>
      </c>
      <c r="AT18" s="98">
        <f>IF(Validation!$H$3=1,0,IF(ISNUMBER(V18),0,1))</f>
        <v>1</v>
      </c>
      <c r="AU18" s="98">
        <f>IF(Validation!$H$3=1,0,IF(ISNUMBER(W18),0,1))</f>
        <v>1</v>
      </c>
      <c r="AV18" s="72"/>
      <c r="BD18" s="1059" t="s">
        <v>6629</v>
      </c>
      <c r="BE18" s="3050" t="s">
        <v>4154</v>
      </c>
      <c r="BF18" s="3050"/>
      <c r="BG18" s="2145" t="s">
        <v>750</v>
      </c>
      <c r="BH18" s="1061">
        <v>3</v>
      </c>
      <c r="BI18" s="3081" t="s">
        <v>8311</v>
      </c>
      <c r="BJ18" s="3082" t="s">
        <v>8312</v>
      </c>
      <c r="BK18" s="3083" t="s">
        <v>8313</v>
      </c>
      <c r="BL18" s="3084" t="s">
        <v>8314</v>
      </c>
      <c r="BM18" s="3082" t="s">
        <v>8315</v>
      </c>
      <c r="BN18" s="3082" t="s">
        <v>8316</v>
      </c>
      <c r="BO18" s="3085" t="s">
        <v>8317</v>
      </c>
      <c r="BP18" s="3083" t="s">
        <v>8318</v>
      </c>
      <c r="BQ18" s="2265" t="s">
        <v>8319</v>
      </c>
      <c r="BR18" s="3086" t="s">
        <v>8320</v>
      </c>
      <c r="BS18" s="3082" t="s">
        <v>8321</v>
      </c>
      <c r="BT18" s="3083" t="s">
        <v>8322</v>
      </c>
      <c r="BU18" s="3084" t="s">
        <v>8323</v>
      </c>
      <c r="BV18" s="3082" t="s">
        <v>8324</v>
      </c>
      <c r="BW18" s="3082" t="s">
        <v>8325</v>
      </c>
      <c r="BX18" s="3085" t="s">
        <v>8326</v>
      </c>
      <c r="BY18" s="3083" t="s">
        <v>8327</v>
      </c>
      <c r="BZ18" s="2265" t="s">
        <v>8328</v>
      </c>
    </row>
    <row r="19" spans="1:78">
      <c r="A19" s="1047"/>
      <c r="B19" s="1059" t="s">
        <v>6630</v>
      </c>
      <c r="C19" s="1064" t="s">
        <v>4155</v>
      </c>
      <c r="D19" s="1064"/>
      <c r="E19" s="1060" t="s">
        <v>750</v>
      </c>
      <c r="F19" s="1061">
        <v>3</v>
      </c>
      <c r="G19" s="1144"/>
      <c r="H19" s="1536"/>
      <c r="I19" s="1542"/>
      <c r="J19" s="1117"/>
      <c r="K19" s="1542"/>
      <c r="L19" s="1662"/>
      <c r="M19" s="1539"/>
      <c r="N19" s="1542"/>
      <c r="O19" s="249">
        <f t="shared" si="0"/>
        <v>0</v>
      </c>
      <c r="P19" s="1144"/>
      <c r="Q19" s="1536"/>
      <c r="R19" s="1542"/>
      <c r="S19" s="1117"/>
      <c r="T19" s="1542"/>
      <c r="U19" s="1662"/>
      <c r="V19" s="1539"/>
      <c r="W19" s="1542"/>
      <c r="X19" s="249">
        <f t="shared" si="1"/>
        <v>0</v>
      </c>
      <c r="Y19" s="1873"/>
      <c r="AA19" s="945" t="str">
        <f t="shared" si="2"/>
        <v>Please complete all cells in row</v>
      </c>
      <c r="AB19" s="200"/>
      <c r="AC19" s="72"/>
      <c r="AD19" s="200"/>
      <c r="AE19" s="98">
        <f>IF(Validation!$H$3=1,0,IF(ISNUMBER(G19),0,1))</f>
        <v>1</v>
      </c>
      <c r="AF19" s="98">
        <f>IF(Validation!$H$3=1,0,IF(ISNUMBER(H19),0,1))</f>
        <v>1</v>
      </c>
      <c r="AG19" s="98">
        <f>IF(Validation!$H$3=1,0,IF(ISNUMBER(I19),0,1))</f>
        <v>1</v>
      </c>
      <c r="AH19" s="98">
        <f>IF(Validation!$H$3=1,0,IF(ISNUMBER(J19),0,1))</f>
        <v>1</v>
      </c>
      <c r="AI19" s="98">
        <f>IF(Validation!$H$3=1,0,IF(ISNUMBER(K19),0,1))</f>
        <v>1</v>
      </c>
      <c r="AJ19" s="98">
        <f>IF(Validation!$H$3=1,0,IF(ISNUMBER(L19),0,1))</f>
        <v>1</v>
      </c>
      <c r="AK19" s="98">
        <f>IF(Validation!$H$3=1,0,IF(ISNUMBER(M19),0,1))</f>
        <v>1</v>
      </c>
      <c r="AL19" s="98">
        <f>IF(Validation!$H$3=1,0,IF(ISNUMBER(N19),0,1))</f>
        <v>1</v>
      </c>
      <c r="AM19" s="132"/>
      <c r="AN19" s="98">
        <f>IF(Validation!$H$3=1,0,IF(ISNUMBER(P19),0,1))</f>
        <v>1</v>
      </c>
      <c r="AO19" s="98">
        <f>IF(Validation!$H$3=1,0,IF(ISNUMBER(Q19),0,1))</f>
        <v>1</v>
      </c>
      <c r="AP19" s="98">
        <f>IF(Validation!$H$3=1,0,IF(ISNUMBER(R19),0,1))</f>
        <v>1</v>
      </c>
      <c r="AQ19" s="98">
        <f>IF(Validation!$H$3=1,0,IF(ISNUMBER(S19),0,1))</f>
        <v>1</v>
      </c>
      <c r="AR19" s="98">
        <f>IF(Validation!$H$3=1,0,IF(ISNUMBER(T19),0,1))</f>
        <v>1</v>
      </c>
      <c r="AS19" s="98">
        <f>IF(Validation!$H$3=1,0,IF(ISNUMBER(U19),0,1))</f>
        <v>1</v>
      </c>
      <c r="AT19" s="98">
        <f>IF(Validation!$H$3=1,0,IF(ISNUMBER(V19),0,1))</f>
        <v>1</v>
      </c>
      <c r="AU19" s="98">
        <f>IF(Validation!$H$3=1,0,IF(ISNUMBER(W19),0,1))</f>
        <v>1</v>
      </c>
      <c r="AV19" s="72"/>
      <c r="BD19" s="1059" t="s">
        <v>6630</v>
      </c>
      <c r="BE19" s="3050" t="s">
        <v>4155</v>
      </c>
      <c r="BF19" s="3050"/>
      <c r="BG19" s="2145" t="s">
        <v>750</v>
      </c>
      <c r="BH19" s="1061">
        <v>3</v>
      </c>
      <c r="BI19" s="3081" t="s">
        <v>8329</v>
      </c>
      <c r="BJ19" s="3082" t="s">
        <v>8330</v>
      </c>
      <c r="BK19" s="3083" t="s">
        <v>8331</v>
      </c>
      <c r="BL19" s="3084" t="s">
        <v>8332</v>
      </c>
      <c r="BM19" s="3082" t="s">
        <v>8333</v>
      </c>
      <c r="BN19" s="3082" t="s">
        <v>8334</v>
      </c>
      <c r="BO19" s="3085" t="s">
        <v>8335</v>
      </c>
      <c r="BP19" s="3083" t="s">
        <v>8336</v>
      </c>
      <c r="BQ19" s="2265" t="s">
        <v>8337</v>
      </c>
      <c r="BR19" s="3086" t="s">
        <v>8338</v>
      </c>
      <c r="BS19" s="3082" t="s">
        <v>8339</v>
      </c>
      <c r="BT19" s="3083" t="s">
        <v>8340</v>
      </c>
      <c r="BU19" s="3084" t="s">
        <v>8341</v>
      </c>
      <c r="BV19" s="3082" t="s">
        <v>8342</v>
      </c>
      <c r="BW19" s="3082" t="s">
        <v>8343</v>
      </c>
      <c r="BX19" s="3085" t="s">
        <v>8344</v>
      </c>
      <c r="BY19" s="3083" t="s">
        <v>8345</v>
      </c>
      <c r="BZ19" s="2265" t="s">
        <v>8346</v>
      </c>
    </row>
    <row r="20" spans="1:78">
      <c r="A20" s="1047"/>
      <c r="B20" s="1059" t="s">
        <v>6631</v>
      </c>
      <c r="C20" s="1064" t="s">
        <v>4156</v>
      </c>
      <c r="D20" s="1064"/>
      <c r="E20" s="1060" t="s">
        <v>750</v>
      </c>
      <c r="F20" s="1061">
        <v>3</v>
      </c>
      <c r="G20" s="1144"/>
      <c r="H20" s="1536"/>
      <c r="I20" s="1542"/>
      <c r="J20" s="1117"/>
      <c r="K20" s="1542"/>
      <c r="L20" s="1662"/>
      <c r="M20" s="1539"/>
      <c r="N20" s="1542"/>
      <c r="O20" s="249">
        <f t="shared" si="0"/>
        <v>0</v>
      </c>
      <c r="P20" s="1144"/>
      <c r="Q20" s="1536"/>
      <c r="R20" s="1542"/>
      <c r="S20" s="1117"/>
      <c r="T20" s="1542"/>
      <c r="U20" s="1662"/>
      <c r="V20" s="1539"/>
      <c r="W20" s="1542"/>
      <c r="X20" s="249">
        <f t="shared" si="1"/>
        <v>0</v>
      </c>
      <c r="Y20" s="1873"/>
      <c r="AA20" s="945" t="str">
        <f t="shared" si="2"/>
        <v>Please complete all cells in row</v>
      </c>
      <c r="AB20" s="200"/>
      <c r="AC20" s="72"/>
      <c r="AD20" s="200"/>
      <c r="AE20" s="98">
        <f>IF(Validation!$H$3=1,0,IF(ISNUMBER(G20),0,1))</f>
        <v>1</v>
      </c>
      <c r="AF20" s="98">
        <f>IF(Validation!$H$3=1,0,IF(ISNUMBER(H20),0,1))</f>
        <v>1</v>
      </c>
      <c r="AG20" s="98">
        <f>IF(Validation!$H$3=1,0,IF(ISNUMBER(I20),0,1))</f>
        <v>1</v>
      </c>
      <c r="AH20" s="98">
        <f>IF(Validation!$H$3=1,0,IF(ISNUMBER(J20),0,1))</f>
        <v>1</v>
      </c>
      <c r="AI20" s="98">
        <f>IF(Validation!$H$3=1,0,IF(ISNUMBER(K20),0,1))</f>
        <v>1</v>
      </c>
      <c r="AJ20" s="98">
        <f>IF(Validation!$H$3=1,0,IF(ISNUMBER(L20),0,1))</f>
        <v>1</v>
      </c>
      <c r="AK20" s="98">
        <f>IF(Validation!$H$3=1,0,IF(ISNUMBER(M20),0,1))</f>
        <v>1</v>
      </c>
      <c r="AL20" s="98">
        <f>IF(Validation!$H$3=1,0,IF(ISNUMBER(N20),0,1))</f>
        <v>1</v>
      </c>
      <c r="AM20" s="132"/>
      <c r="AN20" s="98">
        <f>IF(Validation!$H$3=1,0,IF(ISNUMBER(P20),0,1))</f>
        <v>1</v>
      </c>
      <c r="AO20" s="98">
        <f>IF(Validation!$H$3=1,0,IF(ISNUMBER(Q20),0,1))</f>
        <v>1</v>
      </c>
      <c r="AP20" s="98">
        <f>IF(Validation!$H$3=1,0,IF(ISNUMBER(R20),0,1))</f>
        <v>1</v>
      </c>
      <c r="AQ20" s="98">
        <f>IF(Validation!$H$3=1,0,IF(ISNUMBER(S20),0,1))</f>
        <v>1</v>
      </c>
      <c r="AR20" s="98">
        <f>IF(Validation!$H$3=1,0,IF(ISNUMBER(T20),0,1))</f>
        <v>1</v>
      </c>
      <c r="AS20" s="98">
        <f>IF(Validation!$H$3=1,0,IF(ISNUMBER(U20),0,1))</f>
        <v>1</v>
      </c>
      <c r="AT20" s="98">
        <f>IF(Validation!$H$3=1,0,IF(ISNUMBER(V20),0,1))</f>
        <v>1</v>
      </c>
      <c r="AU20" s="98">
        <f>IF(Validation!$H$3=1,0,IF(ISNUMBER(W20),0,1))</f>
        <v>1</v>
      </c>
      <c r="AV20" s="72"/>
      <c r="BD20" s="1059" t="s">
        <v>6631</v>
      </c>
      <c r="BE20" s="3050" t="s">
        <v>4156</v>
      </c>
      <c r="BF20" s="3050"/>
      <c r="BG20" s="2145" t="s">
        <v>750</v>
      </c>
      <c r="BH20" s="1061">
        <v>3</v>
      </c>
      <c r="BI20" s="3081" t="s">
        <v>8347</v>
      </c>
      <c r="BJ20" s="3082" t="s">
        <v>8348</v>
      </c>
      <c r="BK20" s="3083" t="s">
        <v>8349</v>
      </c>
      <c r="BL20" s="3084" t="s">
        <v>8350</v>
      </c>
      <c r="BM20" s="3082" t="s">
        <v>8351</v>
      </c>
      <c r="BN20" s="3082" t="s">
        <v>8352</v>
      </c>
      <c r="BO20" s="3085" t="s">
        <v>8353</v>
      </c>
      <c r="BP20" s="3083" t="s">
        <v>8354</v>
      </c>
      <c r="BQ20" s="2265" t="s">
        <v>8355</v>
      </c>
      <c r="BR20" s="3086" t="s">
        <v>8356</v>
      </c>
      <c r="BS20" s="3082" t="s">
        <v>8357</v>
      </c>
      <c r="BT20" s="3083" t="s">
        <v>8358</v>
      </c>
      <c r="BU20" s="3084" t="s">
        <v>8359</v>
      </c>
      <c r="BV20" s="3082" t="s">
        <v>8360</v>
      </c>
      <c r="BW20" s="3082" t="s">
        <v>8361</v>
      </c>
      <c r="BX20" s="3085" t="s">
        <v>8362</v>
      </c>
      <c r="BY20" s="3083" t="s">
        <v>8363</v>
      </c>
      <c r="BZ20" s="2265" t="s">
        <v>8364</v>
      </c>
    </row>
    <row r="21" spans="1:78">
      <c r="A21" s="1047"/>
      <c r="B21" s="1059" t="s">
        <v>6632</v>
      </c>
      <c r="C21" s="1064" t="s">
        <v>4157</v>
      </c>
      <c r="D21" s="1064"/>
      <c r="E21" s="1060" t="s">
        <v>750</v>
      </c>
      <c r="F21" s="1061">
        <v>3</v>
      </c>
      <c r="G21" s="1144"/>
      <c r="H21" s="1536"/>
      <c r="I21" s="1542"/>
      <c r="J21" s="1117"/>
      <c r="K21" s="1542"/>
      <c r="L21" s="1662"/>
      <c r="M21" s="1539"/>
      <c r="N21" s="1542"/>
      <c r="O21" s="249">
        <f t="shared" si="0"/>
        <v>0</v>
      </c>
      <c r="P21" s="1144"/>
      <c r="Q21" s="1536"/>
      <c r="R21" s="1542"/>
      <c r="S21" s="1117"/>
      <c r="T21" s="1542"/>
      <c r="U21" s="1662"/>
      <c r="V21" s="1539"/>
      <c r="W21" s="1542"/>
      <c r="X21" s="249">
        <f t="shared" si="1"/>
        <v>0</v>
      </c>
      <c r="Y21" s="1873"/>
      <c r="AA21" s="945" t="str">
        <f t="shared" si="2"/>
        <v>Please complete all cells in row</v>
      </c>
      <c r="AB21" s="200"/>
      <c r="AC21" s="72"/>
      <c r="AD21" s="200"/>
      <c r="AE21" s="98">
        <f>IF(Validation!$H$3=1,0,IF(ISNUMBER(G21),0,1))</f>
        <v>1</v>
      </c>
      <c r="AF21" s="98">
        <f>IF(Validation!$H$3=1,0,IF(ISNUMBER(H21),0,1))</f>
        <v>1</v>
      </c>
      <c r="AG21" s="98">
        <f>IF(Validation!$H$3=1,0,IF(ISNUMBER(I21),0,1))</f>
        <v>1</v>
      </c>
      <c r="AH21" s="98">
        <f>IF(Validation!$H$3=1,0,IF(ISNUMBER(J21),0,1))</f>
        <v>1</v>
      </c>
      <c r="AI21" s="98">
        <f>IF(Validation!$H$3=1,0,IF(ISNUMBER(K21),0,1))</f>
        <v>1</v>
      </c>
      <c r="AJ21" s="98">
        <f>IF(Validation!$H$3=1,0,IF(ISNUMBER(L21),0,1))</f>
        <v>1</v>
      </c>
      <c r="AK21" s="98">
        <f>IF(Validation!$H$3=1,0,IF(ISNUMBER(M21),0,1))</f>
        <v>1</v>
      </c>
      <c r="AL21" s="98">
        <f>IF(Validation!$H$3=1,0,IF(ISNUMBER(N21),0,1))</f>
        <v>1</v>
      </c>
      <c r="AM21" s="132"/>
      <c r="AN21" s="98">
        <f>IF(Validation!$H$3=1,0,IF(ISNUMBER(P21),0,1))</f>
        <v>1</v>
      </c>
      <c r="AO21" s="98">
        <f>IF(Validation!$H$3=1,0,IF(ISNUMBER(Q21),0,1))</f>
        <v>1</v>
      </c>
      <c r="AP21" s="98">
        <f>IF(Validation!$H$3=1,0,IF(ISNUMBER(R21),0,1))</f>
        <v>1</v>
      </c>
      <c r="AQ21" s="98">
        <f>IF(Validation!$H$3=1,0,IF(ISNUMBER(S21),0,1))</f>
        <v>1</v>
      </c>
      <c r="AR21" s="98">
        <f>IF(Validation!$H$3=1,0,IF(ISNUMBER(T21),0,1))</f>
        <v>1</v>
      </c>
      <c r="AS21" s="98">
        <f>IF(Validation!$H$3=1,0,IF(ISNUMBER(U21),0,1))</f>
        <v>1</v>
      </c>
      <c r="AT21" s="98">
        <f>IF(Validation!$H$3=1,0,IF(ISNUMBER(V21),0,1))</f>
        <v>1</v>
      </c>
      <c r="AU21" s="98">
        <f>IF(Validation!$H$3=1,0,IF(ISNUMBER(W21),0,1))</f>
        <v>1</v>
      </c>
      <c r="AV21" s="72"/>
      <c r="BD21" s="1059" t="s">
        <v>6632</v>
      </c>
      <c r="BE21" s="3050" t="s">
        <v>4157</v>
      </c>
      <c r="BF21" s="3050"/>
      <c r="BG21" s="2145" t="s">
        <v>750</v>
      </c>
      <c r="BH21" s="1061">
        <v>3</v>
      </c>
      <c r="BI21" s="3081" t="s">
        <v>8365</v>
      </c>
      <c r="BJ21" s="3082" t="s">
        <v>8366</v>
      </c>
      <c r="BK21" s="3083" t="s">
        <v>8367</v>
      </c>
      <c r="BL21" s="3084" t="s">
        <v>8368</v>
      </c>
      <c r="BM21" s="3082" t="s">
        <v>8369</v>
      </c>
      <c r="BN21" s="3082" t="s">
        <v>8370</v>
      </c>
      <c r="BO21" s="3085" t="s">
        <v>8371</v>
      </c>
      <c r="BP21" s="3083" t="s">
        <v>8372</v>
      </c>
      <c r="BQ21" s="2265" t="s">
        <v>8373</v>
      </c>
      <c r="BR21" s="3086" t="s">
        <v>8374</v>
      </c>
      <c r="BS21" s="3082" t="s">
        <v>8375</v>
      </c>
      <c r="BT21" s="3083" t="s">
        <v>8376</v>
      </c>
      <c r="BU21" s="3084" t="s">
        <v>8377</v>
      </c>
      <c r="BV21" s="3082" t="s">
        <v>8378</v>
      </c>
      <c r="BW21" s="3082" t="s">
        <v>8379</v>
      </c>
      <c r="BX21" s="3085" t="s">
        <v>8380</v>
      </c>
      <c r="BY21" s="3083" t="s">
        <v>8381</v>
      </c>
      <c r="BZ21" s="2265" t="s">
        <v>8382</v>
      </c>
    </row>
    <row r="22" spans="1:78">
      <c r="A22" s="1047"/>
      <c r="B22" s="1059" t="s">
        <v>6633</v>
      </c>
      <c r="C22" s="1064" t="s">
        <v>4104</v>
      </c>
      <c r="D22" s="1064"/>
      <c r="E22" s="1060" t="s">
        <v>750</v>
      </c>
      <c r="F22" s="1061">
        <v>3</v>
      </c>
      <c r="G22" s="1144"/>
      <c r="H22" s="1536"/>
      <c r="I22" s="1542"/>
      <c r="J22" s="1117"/>
      <c r="K22" s="1542"/>
      <c r="L22" s="1662"/>
      <c r="M22" s="1539"/>
      <c r="N22" s="1542"/>
      <c r="O22" s="249">
        <f t="shared" si="0"/>
        <v>0</v>
      </c>
      <c r="P22" s="1144"/>
      <c r="Q22" s="1536"/>
      <c r="R22" s="1542"/>
      <c r="S22" s="1117"/>
      <c r="T22" s="1542"/>
      <c r="U22" s="1662"/>
      <c r="V22" s="1539"/>
      <c r="W22" s="1542"/>
      <c r="X22" s="249">
        <f t="shared" si="1"/>
        <v>0</v>
      </c>
      <c r="Y22" s="1873"/>
      <c r="AA22" s="945" t="str">
        <f t="shared" si="2"/>
        <v>Please complete all cells in row</v>
      </c>
      <c r="AB22" s="200"/>
      <c r="AC22" s="72"/>
      <c r="AD22" s="200"/>
      <c r="AE22" s="98">
        <f>IF(Validation!$H$3=1,0,IF(ISNUMBER(G22),0,1))</f>
        <v>1</v>
      </c>
      <c r="AF22" s="98">
        <f>IF(Validation!$H$3=1,0,IF(ISNUMBER(H22),0,1))</f>
        <v>1</v>
      </c>
      <c r="AG22" s="98">
        <f>IF(Validation!$H$3=1,0,IF(ISNUMBER(I22),0,1))</f>
        <v>1</v>
      </c>
      <c r="AH22" s="98">
        <f>IF(Validation!$H$3=1,0,IF(ISNUMBER(J22),0,1))</f>
        <v>1</v>
      </c>
      <c r="AI22" s="98">
        <f>IF(Validation!$H$3=1,0,IF(ISNUMBER(K22),0,1))</f>
        <v>1</v>
      </c>
      <c r="AJ22" s="98">
        <f>IF(Validation!$H$3=1,0,IF(ISNUMBER(L22),0,1))</f>
        <v>1</v>
      </c>
      <c r="AK22" s="98">
        <f>IF(Validation!$H$3=1,0,IF(ISNUMBER(M22),0,1))</f>
        <v>1</v>
      </c>
      <c r="AL22" s="98">
        <f>IF(Validation!$H$3=1,0,IF(ISNUMBER(N22),0,1))</f>
        <v>1</v>
      </c>
      <c r="AM22" s="132"/>
      <c r="AN22" s="98">
        <f>IF(Validation!$H$3=1,0,IF(ISNUMBER(P22),0,1))</f>
        <v>1</v>
      </c>
      <c r="AO22" s="98">
        <f>IF(Validation!$H$3=1,0,IF(ISNUMBER(Q22),0,1))</f>
        <v>1</v>
      </c>
      <c r="AP22" s="98">
        <f>IF(Validation!$H$3=1,0,IF(ISNUMBER(R22),0,1))</f>
        <v>1</v>
      </c>
      <c r="AQ22" s="98">
        <f>IF(Validation!$H$3=1,0,IF(ISNUMBER(S22),0,1))</f>
        <v>1</v>
      </c>
      <c r="AR22" s="98">
        <f>IF(Validation!$H$3=1,0,IF(ISNUMBER(T22),0,1))</f>
        <v>1</v>
      </c>
      <c r="AS22" s="98">
        <f>IF(Validation!$H$3=1,0,IF(ISNUMBER(U22),0,1))</f>
        <v>1</v>
      </c>
      <c r="AT22" s="98">
        <f>IF(Validation!$H$3=1,0,IF(ISNUMBER(V22),0,1))</f>
        <v>1</v>
      </c>
      <c r="AU22" s="98">
        <f>IF(Validation!$H$3=1,0,IF(ISNUMBER(W22),0,1))</f>
        <v>1</v>
      </c>
      <c r="AV22" s="72"/>
      <c r="BD22" s="1059" t="s">
        <v>6633</v>
      </c>
      <c r="BE22" s="3050" t="s">
        <v>4104</v>
      </c>
      <c r="BF22" s="3050"/>
      <c r="BG22" s="2145" t="s">
        <v>750</v>
      </c>
      <c r="BH22" s="1061">
        <v>3</v>
      </c>
      <c r="BI22" s="3081" t="s">
        <v>8383</v>
      </c>
      <c r="BJ22" s="3082" t="s">
        <v>8384</v>
      </c>
      <c r="BK22" s="3083" t="s">
        <v>8385</v>
      </c>
      <c r="BL22" s="3084" t="s">
        <v>8386</v>
      </c>
      <c r="BM22" s="3082" t="s">
        <v>8387</v>
      </c>
      <c r="BN22" s="3082" t="s">
        <v>8388</v>
      </c>
      <c r="BO22" s="3085" t="s">
        <v>8389</v>
      </c>
      <c r="BP22" s="3083" t="s">
        <v>8390</v>
      </c>
      <c r="BQ22" s="2265" t="s">
        <v>8391</v>
      </c>
      <c r="BR22" s="3086" t="s">
        <v>8392</v>
      </c>
      <c r="BS22" s="3082" t="s">
        <v>8393</v>
      </c>
      <c r="BT22" s="3083" t="s">
        <v>8394</v>
      </c>
      <c r="BU22" s="3084" t="s">
        <v>8395</v>
      </c>
      <c r="BV22" s="3082" t="s">
        <v>8396</v>
      </c>
      <c r="BW22" s="3082" t="s">
        <v>8397</v>
      </c>
      <c r="BX22" s="3085" t="s">
        <v>8398</v>
      </c>
      <c r="BY22" s="3083" t="s">
        <v>8399</v>
      </c>
      <c r="BZ22" s="2265" t="s">
        <v>8400</v>
      </c>
    </row>
    <row r="23" spans="1:78">
      <c r="A23" s="1047"/>
      <c r="B23" s="1059" t="s">
        <v>6634</v>
      </c>
      <c r="C23" s="1064" t="s">
        <v>4158</v>
      </c>
      <c r="D23" s="1064"/>
      <c r="E23" s="1060" t="s">
        <v>750</v>
      </c>
      <c r="F23" s="1061">
        <v>3</v>
      </c>
      <c r="G23" s="1144"/>
      <c r="H23" s="1536"/>
      <c r="I23" s="1542"/>
      <c r="J23" s="1117"/>
      <c r="K23" s="1542"/>
      <c r="L23" s="1662"/>
      <c r="M23" s="1539"/>
      <c r="N23" s="1542"/>
      <c r="O23" s="249">
        <f t="shared" si="0"/>
        <v>0</v>
      </c>
      <c r="P23" s="1144"/>
      <c r="Q23" s="1536"/>
      <c r="R23" s="1542"/>
      <c r="S23" s="1117"/>
      <c r="T23" s="1542"/>
      <c r="U23" s="1662"/>
      <c r="V23" s="1539"/>
      <c r="W23" s="1542"/>
      <c r="X23" s="249">
        <f t="shared" si="1"/>
        <v>0</v>
      </c>
      <c r="Y23" s="1873"/>
      <c r="AA23" s="945" t="str">
        <f t="shared" si="2"/>
        <v>Please complete all cells in row</v>
      </c>
      <c r="AB23" s="200"/>
      <c r="AC23" s="72"/>
      <c r="AD23" s="200"/>
      <c r="AE23" s="98">
        <f>IF(Validation!$H$3=1,0,IF(ISNUMBER(G23),0,1))</f>
        <v>1</v>
      </c>
      <c r="AF23" s="98">
        <f>IF(Validation!$H$3=1,0,IF(ISNUMBER(H23),0,1))</f>
        <v>1</v>
      </c>
      <c r="AG23" s="98">
        <f>IF(Validation!$H$3=1,0,IF(ISNUMBER(I23),0,1))</f>
        <v>1</v>
      </c>
      <c r="AH23" s="98">
        <f>IF(Validation!$H$3=1,0,IF(ISNUMBER(J23),0,1))</f>
        <v>1</v>
      </c>
      <c r="AI23" s="98">
        <f>IF(Validation!$H$3=1,0,IF(ISNUMBER(K23),0,1))</f>
        <v>1</v>
      </c>
      <c r="AJ23" s="98">
        <f>IF(Validation!$H$3=1,0,IF(ISNUMBER(L23),0,1))</f>
        <v>1</v>
      </c>
      <c r="AK23" s="98">
        <f>IF(Validation!$H$3=1,0,IF(ISNUMBER(M23),0,1))</f>
        <v>1</v>
      </c>
      <c r="AL23" s="98">
        <f>IF(Validation!$H$3=1,0,IF(ISNUMBER(N23),0,1))</f>
        <v>1</v>
      </c>
      <c r="AM23" s="132"/>
      <c r="AN23" s="98">
        <f>IF(Validation!$H$3=1,0,IF(ISNUMBER(P23),0,1))</f>
        <v>1</v>
      </c>
      <c r="AO23" s="98">
        <f>IF(Validation!$H$3=1,0,IF(ISNUMBER(Q23),0,1))</f>
        <v>1</v>
      </c>
      <c r="AP23" s="98">
        <f>IF(Validation!$H$3=1,0,IF(ISNUMBER(R23),0,1))</f>
        <v>1</v>
      </c>
      <c r="AQ23" s="98">
        <f>IF(Validation!$H$3=1,0,IF(ISNUMBER(S23),0,1))</f>
        <v>1</v>
      </c>
      <c r="AR23" s="98">
        <f>IF(Validation!$H$3=1,0,IF(ISNUMBER(T23),0,1))</f>
        <v>1</v>
      </c>
      <c r="AS23" s="98">
        <f>IF(Validation!$H$3=1,0,IF(ISNUMBER(U23),0,1))</f>
        <v>1</v>
      </c>
      <c r="AT23" s="98">
        <f>IF(Validation!$H$3=1,0,IF(ISNUMBER(V23),0,1))</f>
        <v>1</v>
      </c>
      <c r="AU23" s="98">
        <f>IF(Validation!$H$3=1,0,IF(ISNUMBER(W23),0,1))</f>
        <v>1</v>
      </c>
      <c r="AV23" s="72"/>
      <c r="BD23" s="1059" t="s">
        <v>6634</v>
      </c>
      <c r="BE23" s="3050" t="s">
        <v>4158</v>
      </c>
      <c r="BF23" s="3050"/>
      <c r="BG23" s="2145" t="s">
        <v>750</v>
      </c>
      <c r="BH23" s="1061">
        <v>3</v>
      </c>
      <c r="BI23" s="3081" t="s">
        <v>8401</v>
      </c>
      <c r="BJ23" s="3082" t="s">
        <v>8402</v>
      </c>
      <c r="BK23" s="3083" t="s">
        <v>8403</v>
      </c>
      <c r="BL23" s="3084" t="s">
        <v>8404</v>
      </c>
      <c r="BM23" s="3082" t="s">
        <v>8405</v>
      </c>
      <c r="BN23" s="3082" t="s">
        <v>8406</v>
      </c>
      <c r="BO23" s="3085" t="s">
        <v>8407</v>
      </c>
      <c r="BP23" s="3083" t="s">
        <v>8408</v>
      </c>
      <c r="BQ23" s="2265" t="s">
        <v>8409</v>
      </c>
      <c r="BR23" s="3086" t="s">
        <v>8410</v>
      </c>
      <c r="BS23" s="3082" t="s">
        <v>8411</v>
      </c>
      <c r="BT23" s="3083" t="s">
        <v>8412</v>
      </c>
      <c r="BU23" s="3084" t="s">
        <v>8413</v>
      </c>
      <c r="BV23" s="3082" t="s">
        <v>8414</v>
      </c>
      <c r="BW23" s="3082" t="s">
        <v>8415</v>
      </c>
      <c r="BX23" s="3085" t="s">
        <v>8416</v>
      </c>
      <c r="BY23" s="3083" t="s">
        <v>8417</v>
      </c>
      <c r="BZ23" s="2265" t="s">
        <v>8418</v>
      </c>
    </row>
    <row r="24" spans="1:78">
      <c r="A24" s="1047"/>
      <c r="B24" s="1059" t="s">
        <v>6635</v>
      </c>
      <c r="C24" s="1064" t="s">
        <v>4159</v>
      </c>
      <c r="D24" s="1064"/>
      <c r="E24" s="1060" t="s">
        <v>750</v>
      </c>
      <c r="F24" s="1061">
        <v>3</v>
      </c>
      <c r="G24" s="1144"/>
      <c r="H24" s="1536"/>
      <c r="I24" s="1542"/>
      <c r="J24" s="1117"/>
      <c r="K24" s="1542"/>
      <c r="L24" s="1662"/>
      <c r="M24" s="1539"/>
      <c r="N24" s="1542"/>
      <c r="O24" s="249">
        <f t="shared" si="0"/>
        <v>0</v>
      </c>
      <c r="P24" s="1144"/>
      <c r="Q24" s="1536"/>
      <c r="R24" s="1542"/>
      <c r="S24" s="1117"/>
      <c r="T24" s="1542"/>
      <c r="U24" s="1662"/>
      <c r="V24" s="1539"/>
      <c r="W24" s="1542"/>
      <c r="X24" s="249">
        <f t="shared" si="1"/>
        <v>0</v>
      </c>
      <c r="Y24" s="1873"/>
      <c r="AA24" s="945" t="str">
        <f t="shared" si="2"/>
        <v>Please complete all cells in row</v>
      </c>
      <c r="AB24" s="200"/>
      <c r="AC24" s="72"/>
      <c r="AD24" s="200"/>
      <c r="AE24" s="98">
        <f>IF(Validation!$H$3=1,0,IF(ISNUMBER(G24),0,1))</f>
        <v>1</v>
      </c>
      <c r="AF24" s="98">
        <f>IF(Validation!$H$3=1,0,IF(ISNUMBER(H24),0,1))</f>
        <v>1</v>
      </c>
      <c r="AG24" s="98">
        <f>IF(Validation!$H$3=1,0,IF(ISNUMBER(I24),0,1))</f>
        <v>1</v>
      </c>
      <c r="AH24" s="98">
        <f>IF(Validation!$H$3=1,0,IF(ISNUMBER(J24),0,1))</f>
        <v>1</v>
      </c>
      <c r="AI24" s="98">
        <f>IF(Validation!$H$3=1,0,IF(ISNUMBER(K24),0,1))</f>
        <v>1</v>
      </c>
      <c r="AJ24" s="98">
        <f>IF(Validation!$H$3=1,0,IF(ISNUMBER(L24),0,1))</f>
        <v>1</v>
      </c>
      <c r="AK24" s="98">
        <f>IF(Validation!$H$3=1,0,IF(ISNUMBER(M24),0,1))</f>
        <v>1</v>
      </c>
      <c r="AL24" s="98">
        <f>IF(Validation!$H$3=1,0,IF(ISNUMBER(N24),0,1))</f>
        <v>1</v>
      </c>
      <c r="AM24" s="132"/>
      <c r="AN24" s="98">
        <f>IF(Validation!$H$3=1,0,IF(ISNUMBER(P24),0,1))</f>
        <v>1</v>
      </c>
      <c r="AO24" s="98">
        <f>IF(Validation!$H$3=1,0,IF(ISNUMBER(Q24),0,1))</f>
        <v>1</v>
      </c>
      <c r="AP24" s="98">
        <f>IF(Validation!$H$3=1,0,IF(ISNUMBER(R24),0,1))</f>
        <v>1</v>
      </c>
      <c r="AQ24" s="98">
        <f>IF(Validation!$H$3=1,0,IF(ISNUMBER(S24),0,1))</f>
        <v>1</v>
      </c>
      <c r="AR24" s="98">
        <f>IF(Validation!$H$3=1,0,IF(ISNUMBER(T24),0,1))</f>
        <v>1</v>
      </c>
      <c r="AS24" s="98">
        <f>IF(Validation!$H$3=1,0,IF(ISNUMBER(U24),0,1))</f>
        <v>1</v>
      </c>
      <c r="AT24" s="98">
        <f>IF(Validation!$H$3=1,0,IF(ISNUMBER(V24),0,1))</f>
        <v>1</v>
      </c>
      <c r="AU24" s="98">
        <f>IF(Validation!$H$3=1,0,IF(ISNUMBER(W24),0,1))</f>
        <v>1</v>
      </c>
      <c r="AV24" s="72"/>
      <c r="BD24" s="1059" t="s">
        <v>6635</v>
      </c>
      <c r="BE24" s="3050" t="s">
        <v>4159</v>
      </c>
      <c r="BF24" s="3050"/>
      <c r="BG24" s="2145" t="s">
        <v>750</v>
      </c>
      <c r="BH24" s="1061">
        <v>3</v>
      </c>
      <c r="BI24" s="3081" t="s">
        <v>8419</v>
      </c>
      <c r="BJ24" s="3082" t="s">
        <v>8420</v>
      </c>
      <c r="BK24" s="3083" t="s">
        <v>8421</v>
      </c>
      <c r="BL24" s="3084" t="s">
        <v>8422</v>
      </c>
      <c r="BM24" s="3082" t="s">
        <v>8423</v>
      </c>
      <c r="BN24" s="3082" t="s">
        <v>8424</v>
      </c>
      <c r="BO24" s="3085" t="s">
        <v>8425</v>
      </c>
      <c r="BP24" s="3083" t="s">
        <v>8426</v>
      </c>
      <c r="BQ24" s="2265" t="s">
        <v>8427</v>
      </c>
      <c r="BR24" s="3086" t="s">
        <v>8428</v>
      </c>
      <c r="BS24" s="3082" t="s">
        <v>8429</v>
      </c>
      <c r="BT24" s="3083" t="s">
        <v>8430</v>
      </c>
      <c r="BU24" s="3084" t="s">
        <v>8431</v>
      </c>
      <c r="BV24" s="3082" t="s">
        <v>8432</v>
      </c>
      <c r="BW24" s="3082" t="s">
        <v>8433</v>
      </c>
      <c r="BX24" s="3085" t="s">
        <v>8434</v>
      </c>
      <c r="BY24" s="3083" t="s">
        <v>8435</v>
      </c>
      <c r="BZ24" s="2265" t="s">
        <v>8436</v>
      </c>
    </row>
    <row r="25" spans="1:78">
      <c r="A25" s="1047"/>
      <c r="B25" s="1059" t="s">
        <v>6636</v>
      </c>
      <c r="C25" s="1064" t="s">
        <v>4160</v>
      </c>
      <c r="D25" s="1064"/>
      <c r="E25" s="1060" t="s">
        <v>750</v>
      </c>
      <c r="F25" s="1061">
        <v>3</v>
      </c>
      <c r="G25" s="1144"/>
      <c r="H25" s="1536"/>
      <c r="I25" s="1542"/>
      <c r="J25" s="1117"/>
      <c r="K25" s="1542"/>
      <c r="L25" s="1662"/>
      <c r="M25" s="1539"/>
      <c r="N25" s="1542"/>
      <c r="O25" s="249">
        <f t="shared" si="0"/>
        <v>0</v>
      </c>
      <c r="P25" s="1144"/>
      <c r="Q25" s="1536"/>
      <c r="R25" s="1542"/>
      <c r="S25" s="1117"/>
      <c r="T25" s="1542"/>
      <c r="U25" s="1662"/>
      <c r="V25" s="1539"/>
      <c r="W25" s="1542"/>
      <c r="X25" s="249">
        <f t="shared" si="1"/>
        <v>0</v>
      </c>
      <c r="Y25" s="1873"/>
      <c r="AA25" s="945" t="str">
        <f t="shared" si="2"/>
        <v>Please complete all cells in row</v>
      </c>
      <c r="AB25" s="200"/>
      <c r="AC25" s="72"/>
      <c r="AD25" s="200"/>
      <c r="AE25" s="98">
        <f>IF(Validation!$H$3=1,0,IF(ISNUMBER(G25),0,1))</f>
        <v>1</v>
      </c>
      <c r="AF25" s="98">
        <f>IF(Validation!$H$3=1,0,IF(ISNUMBER(H25),0,1))</f>
        <v>1</v>
      </c>
      <c r="AG25" s="98">
        <f>IF(Validation!$H$3=1,0,IF(ISNUMBER(I25),0,1))</f>
        <v>1</v>
      </c>
      <c r="AH25" s="98">
        <f>IF(Validation!$H$3=1,0,IF(ISNUMBER(J25),0,1))</f>
        <v>1</v>
      </c>
      <c r="AI25" s="98">
        <f>IF(Validation!$H$3=1,0,IF(ISNUMBER(K25),0,1))</f>
        <v>1</v>
      </c>
      <c r="AJ25" s="98">
        <f>IF(Validation!$H$3=1,0,IF(ISNUMBER(L25),0,1))</f>
        <v>1</v>
      </c>
      <c r="AK25" s="98">
        <f>IF(Validation!$H$3=1,0,IF(ISNUMBER(M25),0,1))</f>
        <v>1</v>
      </c>
      <c r="AL25" s="98">
        <f>IF(Validation!$H$3=1,0,IF(ISNUMBER(N25),0,1))</f>
        <v>1</v>
      </c>
      <c r="AM25" s="132"/>
      <c r="AN25" s="98">
        <f>IF(Validation!$H$3=1,0,IF(ISNUMBER(P25),0,1))</f>
        <v>1</v>
      </c>
      <c r="AO25" s="98">
        <f>IF(Validation!$H$3=1,0,IF(ISNUMBER(Q25),0,1))</f>
        <v>1</v>
      </c>
      <c r="AP25" s="98">
        <f>IF(Validation!$H$3=1,0,IF(ISNUMBER(R25),0,1))</f>
        <v>1</v>
      </c>
      <c r="AQ25" s="98">
        <f>IF(Validation!$H$3=1,0,IF(ISNUMBER(S25),0,1))</f>
        <v>1</v>
      </c>
      <c r="AR25" s="98">
        <f>IF(Validation!$H$3=1,0,IF(ISNUMBER(T25),0,1))</f>
        <v>1</v>
      </c>
      <c r="AS25" s="98">
        <f>IF(Validation!$H$3=1,0,IF(ISNUMBER(U25),0,1))</f>
        <v>1</v>
      </c>
      <c r="AT25" s="98">
        <f>IF(Validation!$H$3=1,0,IF(ISNUMBER(V25),0,1))</f>
        <v>1</v>
      </c>
      <c r="AU25" s="98">
        <f>IF(Validation!$H$3=1,0,IF(ISNUMBER(W25),0,1))</f>
        <v>1</v>
      </c>
      <c r="AV25" s="72"/>
      <c r="BD25" s="1059" t="s">
        <v>6636</v>
      </c>
      <c r="BE25" s="3050" t="s">
        <v>4160</v>
      </c>
      <c r="BF25" s="3050"/>
      <c r="BG25" s="2145" t="s">
        <v>750</v>
      </c>
      <c r="BH25" s="1061">
        <v>3</v>
      </c>
      <c r="BI25" s="3081" t="s">
        <v>8437</v>
      </c>
      <c r="BJ25" s="3082" t="s">
        <v>8438</v>
      </c>
      <c r="BK25" s="3083" t="s">
        <v>8439</v>
      </c>
      <c r="BL25" s="3084" t="s">
        <v>8440</v>
      </c>
      <c r="BM25" s="3082" t="s">
        <v>8441</v>
      </c>
      <c r="BN25" s="3082" t="s">
        <v>8442</v>
      </c>
      <c r="BO25" s="3085" t="s">
        <v>8443</v>
      </c>
      <c r="BP25" s="3083" t="s">
        <v>8444</v>
      </c>
      <c r="BQ25" s="2265" t="s">
        <v>8445</v>
      </c>
      <c r="BR25" s="3086" t="s">
        <v>8446</v>
      </c>
      <c r="BS25" s="3082" t="s">
        <v>8447</v>
      </c>
      <c r="BT25" s="3083" t="s">
        <v>8448</v>
      </c>
      <c r="BU25" s="3084" t="s">
        <v>8449</v>
      </c>
      <c r="BV25" s="3082" t="s">
        <v>8450</v>
      </c>
      <c r="BW25" s="3082" t="s">
        <v>8451</v>
      </c>
      <c r="BX25" s="3085" t="s">
        <v>8452</v>
      </c>
      <c r="BY25" s="3083" t="s">
        <v>8453</v>
      </c>
      <c r="BZ25" s="2265" t="s">
        <v>8454</v>
      </c>
    </row>
    <row r="26" spans="1:78">
      <c r="A26" s="1047"/>
      <c r="B26" s="1059" t="s">
        <v>6637</v>
      </c>
      <c r="C26" s="1064" t="s">
        <v>4161</v>
      </c>
      <c r="D26" s="1064"/>
      <c r="E26" s="1060" t="s">
        <v>750</v>
      </c>
      <c r="F26" s="1061">
        <v>3</v>
      </c>
      <c r="G26" s="1144"/>
      <c r="H26" s="1536"/>
      <c r="I26" s="1542"/>
      <c r="J26" s="1117"/>
      <c r="K26" s="1542"/>
      <c r="L26" s="1662"/>
      <c r="M26" s="1539"/>
      <c r="N26" s="1542"/>
      <c r="O26" s="249">
        <f t="shared" si="0"/>
        <v>0</v>
      </c>
      <c r="P26" s="1144"/>
      <c r="Q26" s="1536"/>
      <c r="R26" s="1542"/>
      <c r="S26" s="1117"/>
      <c r="T26" s="1542"/>
      <c r="U26" s="1662"/>
      <c r="V26" s="1539"/>
      <c r="W26" s="1542"/>
      <c r="X26" s="249">
        <f t="shared" si="1"/>
        <v>0</v>
      </c>
      <c r="Y26" s="1873"/>
      <c r="AA26" s="945" t="str">
        <f t="shared" si="2"/>
        <v>Please complete all cells in row</v>
      </c>
      <c r="AB26" s="200"/>
      <c r="AC26" s="72"/>
      <c r="AD26" s="200"/>
      <c r="AE26" s="98">
        <f>IF(Validation!$H$3=1,0,IF(ISNUMBER(G26),0,1))</f>
        <v>1</v>
      </c>
      <c r="AF26" s="98">
        <f>IF(Validation!$H$3=1,0,IF(ISNUMBER(H26),0,1))</f>
        <v>1</v>
      </c>
      <c r="AG26" s="98">
        <f>IF(Validation!$H$3=1,0,IF(ISNUMBER(I26),0,1))</f>
        <v>1</v>
      </c>
      <c r="AH26" s="98">
        <f>IF(Validation!$H$3=1,0,IF(ISNUMBER(J26),0,1))</f>
        <v>1</v>
      </c>
      <c r="AI26" s="98">
        <f>IF(Validation!$H$3=1,0,IF(ISNUMBER(K26),0,1))</f>
        <v>1</v>
      </c>
      <c r="AJ26" s="98">
        <f>IF(Validation!$H$3=1,0,IF(ISNUMBER(L26),0,1))</f>
        <v>1</v>
      </c>
      <c r="AK26" s="98">
        <f>IF(Validation!$H$3=1,0,IF(ISNUMBER(M26),0,1))</f>
        <v>1</v>
      </c>
      <c r="AL26" s="98">
        <f>IF(Validation!$H$3=1,0,IF(ISNUMBER(N26),0,1))</f>
        <v>1</v>
      </c>
      <c r="AM26" s="132"/>
      <c r="AN26" s="98">
        <f>IF(Validation!$H$3=1,0,IF(ISNUMBER(P26),0,1))</f>
        <v>1</v>
      </c>
      <c r="AO26" s="98">
        <f>IF(Validation!$H$3=1,0,IF(ISNUMBER(Q26),0,1))</f>
        <v>1</v>
      </c>
      <c r="AP26" s="98">
        <f>IF(Validation!$H$3=1,0,IF(ISNUMBER(R26),0,1))</f>
        <v>1</v>
      </c>
      <c r="AQ26" s="98">
        <f>IF(Validation!$H$3=1,0,IF(ISNUMBER(S26),0,1))</f>
        <v>1</v>
      </c>
      <c r="AR26" s="98">
        <f>IF(Validation!$H$3=1,0,IF(ISNUMBER(T26),0,1))</f>
        <v>1</v>
      </c>
      <c r="AS26" s="98">
        <f>IF(Validation!$H$3=1,0,IF(ISNUMBER(U26),0,1))</f>
        <v>1</v>
      </c>
      <c r="AT26" s="98">
        <f>IF(Validation!$H$3=1,0,IF(ISNUMBER(V26),0,1))</f>
        <v>1</v>
      </c>
      <c r="AU26" s="98">
        <f>IF(Validation!$H$3=1,0,IF(ISNUMBER(W26),0,1))</f>
        <v>1</v>
      </c>
      <c r="AV26" s="72"/>
      <c r="BD26" s="1059" t="s">
        <v>6637</v>
      </c>
      <c r="BE26" s="3050" t="s">
        <v>4161</v>
      </c>
      <c r="BF26" s="3050"/>
      <c r="BG26" s="2145" t="s">
        <v>750</v>
      </c>
      <c r="BH26" s="1061">
        <v>3</v>
      </c>
      <c r="BI26" s="3081" t="s">
        <v>8455</v>
      </c>
      <c r="BJ26" s="3082" t="s">
        <v>8456</v>
      </c>
      <c r="BK26" s="3083" t="s">
        <v>8457</v>
      </c>
      <c r="BL26" s="3084" t="s">
        <v>8458</v>
      </c>
      <c r="BM26" s="3082" t="s">
        <v>8459</v>
      </c>
      <c r="BN26" s="3082" t="s">
        <v>8460</v>
      </c>
      <c r="BO26" s="3085" t="s">
        <v>8461</v>
      </c>
      <c r="BP26" s="3083" t="s">
        <v>8462</v>
      </c>
      <c r="BQ26" s="2265" t="s">
        <v>8463</v>
      </c>
      <c r="BR26" s="3086" t="s">
        <v>8464</v>
      </c>
      <c r="BS26" s="3082" t="s">
        <v>8465</v>
      </c>
      <c r="BT26" s="3083" t="s">
        <v>8466</v>
      </c>
      <c r="BU26" s="3084" t="s">
        <v>8467</v>
      </c>
      <c r="BV26" s="3082" t="s">
        <v>8468</v>
      </c>
      <c r="BW26" s="3082" t="s">
        <v>8469</v>
      </c>
      <c r="BX26" s="3085" t="s">
        <v>8470</v>
      </c>
      <c r="BY26" s="3083" t="s">
        <v>8471</v>
      </c>
      <c r="BZ26" s="2265" t="s">
        <v>8472</v>
      </c>
    </row>
    <row r="27" spans="1:78">
      <c r="A27" s="1047"/>
      <c r="B27" s="1059" t="s">
        <v>6638</v>
      </c>
      <c r="C27" s="1064" t="s">
        <v>4162</v>
      </c>
      <c r="D27" s="1064"/>
      <c r="E27" s="1060" t="s">
        <v>750</v>
      </c>
      <c r="F27" s="1061">
        <v>3</v>
      </c>
      <c r="G27" s="1144"/>
      <c r="H27" s="1536"/>
      <c r="I27" s="1542"/>
      <c r="J27" s="1117"/>
      <c r="K27" s="1542"/>
      <c r="L27" s="1662"/>
      <c r="M27" s="1539"/>
      <c r="N27" s="1542"/>
      <c r="O27" s="249">
        <f t="shared" si="0"/>
        <v>0</v>
      </c>
      <c r="P27" s="1144"/>
      <c r="Q27" s="1536"/>
      <c r="R27" s="1542"/>
      <c r="S27" s="1117"/>
      <c r="T27" s="1542"/>
      <c r="U27" s="1662"/>
      <c r="V27" s="1539"/>
      <c r="W27" s="1542"/>
      <c r="X27" s="249">
        <f t="shared" si="1"/>
        <v>0</v>
      </c>
      <c r="Y27" s="1873"/>
      <c r="AA27" s="945" t="str">
        <f t="shared" si="2"/>
        <v>Please complete all cells in row</v>
      </c>
      <c r="AB27" s="200"/>
      <c r="AC27" s="72"/>
      <c r="AD27" s="200"/>
      <c r="AE27" s="98">
        <f>IF(Validation!$H$3=1,0,IF(ISNUMBER(G27),0,1))</f>
        <v>1</v>
      </c>
      <c r="AF27" s="98">
        <f>IF(Validation!$H$3=1,0,IF(ISNUMBER(H27),0,1))</f>
        <v>1</v>
      </c>
      <c r="AG27" s="98">
        <f>IF(Validation!$H$3=1,0,IF(ISNUMBER(I27),0,1))</f>
        <v>1</v>
      </c>
      <c r="AH27" s="98">
        <f>IF(Validation!$H$3=1,0,IF(ISNUMBER(J27),0,1))</f>
        <v>1</v>
      </c>
      <c r="AI27" s="98">
        <f>IF(Validation!$H$3=1,0,IF(ISNUMBER(K27),0,1))</f>
        <v>1</v>
      </c>
      <c r="AJ27" s="98">
        <f>IF(Validation!$H$3=1,0,IF(ISNUMBER(L27),0,1))</f>
        <v>1</v>
      </c>
      <c r="AK27" s="98">
        <f>IF(Validation!$H$3=1,0,IF(ISNUMBER(M27),0,1))</f>
        <v>1</v>
      </c>
      <c r="AL27" s="98">
        <f>IF(Validation!$H$3=1,0,IF(ISNUMBER(N27),0,1))</f>
        <v>1</v>
      </c>
      <c r="AM27" s="132"/>
      <c r="AN27" s="98">
        <f>IF(Validation!$H$3=1,0,IF(ISNUMBER(P27),0,1))</f>
        <v>1</v>
      </c>
      <c r="AO27" s="98">
        <f>IF(Validation!$H$3=1,0,IF(ISNUMBER(Q27),0,1))</f>
        <v>1</v>
      </c>
      <c r="AP27" s="98">
        <f>IF(Validation!$H$3=1,0,IF(ISNUMBER(R27),0,1))</f>
        <v>1</v>
      </c>
      <c r="AQ27" s="98">
        <f>IF(Validation!$H$3=1,0,IF(ISNUMBER(S27),0,1))</f>
        <v>1</v>
      </c>
      <c r="AR27" s="98">
        <f>IF(Validation!$H$3=1,0,IF(ISNUMBER(T27),0,1))</f>
        <v>1</v>
      </c>
      <c r="AS27" s="98">
        <f>IF(Validation!$H$3=1,0,IF(ISNUMBER(U27),0,1))</f>
        <v>1</v>
      </c>
      <c r="AT27" s="98">
        <f>IF(Validation!$H$3=1,0,IF(ISNUMBER(V27),0,1))</f>
        <v>1</v>
      </c>
      <c r="AU27" s="98">
        <f>IF(Validation!$H$3=1,0,IF(ISNUMBER(W27),0,1))</f>
        <v>1</v>
      </c>
      <c r="AV27" s="72"/>
      <c r="BD27" s="1059" t="s">
        <v>6638</v>
      </c>
      <c r="BE27" s="3050" t="s">
        <v>4162</v>
      </c>
      <c r="BF27" s="3050"/>
      <c r="BG27" s="2145" t="s">
        <v>750</v>
      </c>
      <c r="BH27" s="1061">
        <v>3</v>
      </c>
      <c r="BI27" s="3081" t="s">
        <v>8473</v>
      </c>
      <c r="BJ27" s="3082" t="s">
        <v>8474</v>
      </c>
      <c r="BK27" s="3083" t="s">
        <v>8475</v>
      </c>
      <c r="BL27" s="3084" t="s">
        <v>8476</v>
      </c>
      <c r="BM27" s="3082" t="s">
        <v>8477</v>
      </c>
      <c r="BN27" s="3082" t="s">
        <v>8478</v>
      </c>
      <c r="BO27" s="3085" t="s">
        <v>8479</v>
      </c>
      <c r="BP27" s="3083" t="s">
        <v>8480</v>
      </c>
      <c r="BQ27" s="2265" t="s">
        <v>8481</v>
      </c>
      <c r="BR27" s="3086" t="s">
        <v>8482</v>
      </c>
      <c r="BS27" s="3082" t="s">
        <v>8483</v>
      </c>
      <c r="BT27" s="3083" t="s">
        <v>8484</v>
      </c>
      <c r="BU27" s="3084" t="s">
        <v>8485</v>
      </c>
      <c r="BV27" s="3082" t="s">
        <v>8486</v>
      </c>
      <c r="BW27" s="3082" t="s">
        <v>8487</v>
      </c>
      <c r="BX27" s="3085" t="s">
        <v>8488</v>
      </c>
      <c r="BY27" s="3083" t="s">
        <v>8489</v>
      </c>
      <c r="BZ27" s="2265" t="s">
        <v>8490</v>
      </c>
    </row>
    <row r="28" spans="1:78">
      <c r="A28" s="1047"/>
      <c r="B28" s="1059" t="s">
        <v>6639</v>
      </c>
      <c r="C28" s="1064" t="s">
        <v>4163</v>
      </c>
      <c r="D28" s="1064"/>
      <c r="E28" s="1060" t="s">
        <v>750</v>
      </c>
      <c r="F28" s="1061">
        <v>3</v>
      </c>
      <c r="G28" s="1144"/>
      <c r="H28" s="1536"/>
      <c r="I28" s="1542"/>
      <c r="J28" s="1117"/>
      <c r="K28" s="1542"/>
      <c r="L28" s="1662"/>
      <c r="M28" s="1539"/>
      <c r="N28" s="1542"/>
      <c r="O28" s="249">
        <f t="shared" si="0"/>
        <v>0</v>
      </c>
      <c r="P28" s="1144"/>
      <c r="Q28" s="1536"/>
      <c r="R28" s="1542"/>
      <c r="S28" s="1117"/>
      <c r="T28" s="1542"/>
      <c r="U28" s="1662"/>
      <c r="V28" s="1539"/>
      <c r="W28" s="1542"/>
      <c r="X28" s="249">
        <f t="shared" si="1"/>
        <v>0</v>
      </c>
      <c r="Y28" s="1873"/>
      <c r="AA28" s="945" t="str">
        <f t="shared" si="2"/>
        <v>Please complete all cells in row</v>
      </c>
      <c r="AB28" s="200"/>
      <c r="AC28" s="72"/>
      <c r="AD28" s="200"/>
      <c r="AE28" s="98">
        <f>IF(Validation!$H$3=1,0,IF(ISNUMBER(G28),0,1))</f>
        <v>1</v>
      </c>
      <c r="AF28" s="98">
        <f>IF(Validation!$H$3=1,0,IF(ISNUMBER(H28),0,1))</f>
        <v>1</v>
      </c>
      <c r="AG28" s="98">
        <f>IF(Validation!$H$3=1,0,IF(ISNUMBER(I28),0,1))</f>
        <v>1</v>
      </c>
      <c r="AH28" s="98">
        <f>IF(Validation!$H$3=1,0,IF(ISNUMBER(J28),0,1))</f>
        <v>1</v>
      </c>
      <c r="AI28" s="98">
        <f>IF(Validation!$H$3=1,0,IF(ISNUMBER(K28),0,1))</f>
        <v>1</v>
      </c>
      <c r="AJ28" s="98">
        <f>IF(Validation!$H$3=1,0,IF(ISNUMBER(L28),0,1))</f>
        <v>1</v>
      </c>
      <c r="AK28" s="98">
        <f>IF(Validation!$H$3=1,0,IF(ISNUMBER(M28),0,1))</f>
        <v>1</v>
      </c>
      <c r="AL28" s="98">
        <f>IF(Validation!$H$3=1,0,IF(ISNUMBER(N28),0,1))</f>
        <v>1</v>
      </c>
      <c r="AM28" s="132"/>
      <c r="AN28" s="98">
        <f>IF(Validation!$H$3=1,0,IF(ISNUMBER(P28),0,1))</f>
        <v>1</v>
      </c>
      <c r="AO28" s="98">
        <f>IF(Validation!$H$3=1,0,IF(ISNUMBER(Q28),0,1))</f>
        <v>1</v>
      </c>
      <c r="AP28" s="98">
        <f>IF(Validation!$H$3=1,0,IF(ISNUMBER(R28),0,1))</f>
        <v>1</v>
      </c>
      <c r="AQ28" s="98">
        <f>IF(Validation!$H$3=1,0,IF(ISNUMBER(S28),0,1))</f>
        <v>1</v>
      </c>
      <c r="AR28" s="98">
        <f>IF(Validation!$H$3=1,0,IF(ISNUMBER(T28),0,1))</f>
        <v>1</v>
      </c>
      <c r="AS28" s="98">
        <f>IF(Validation!$H$3=1,0,IF(ISNUMBER(U28),0,1))</f>
        <v>1</v>
      </c>
      <c r="AT28" s="98">
        <f>IF(Validation!$H$3=1,0,IF(ISNUMBER(V28),0,1))</f>
        <v>1</v>
      </c>
      <c r="AU28" s="98">
        <f>IF(Validation!$H$3=1,0,IF(ISNUMBER(W28),0,1))</f>
        <v>1</v>
      </c>
      <c r="AV28" s="72"/>
      <c r="BD28" s="1059" t="s">
        <v>6639</v>
      </c>
      <c r="BE28" s="3050" t="s">
        <v>4163</v>
      </c>
      <c r="BF28" s="3050"/>
      <c r="BG28" s="2145" t="s">
        <v>750</v>
      </c>
      <c r="BH28" s="1061">
        <v>3</v>
      </c>
      <c r="BI28" s="3081" t="s">
        <v>8491</v>
      </c>
      <c r="BJ28" s="3082" t="s">
        <v>8492</v>
      </c>
      <c r="BK28" s="3083" t="s">
        <v>8493</v>
      </c>
      <c r="BL28" s="3084" t="s">
        <v>8494</v>
      </c>
      <c r="BM28" s="3082" t="s">
        <v>8495</v>
      </c>
      <c r="BN28" s="3082" t="s">
        <v>8496</v>
      </c>
      <c r="BO28" s="3085" t="s">
        <v>8497</v>
      </c>
      <c r="BP28" s="3083" t="s">
        <v>8498</v>
      </c>
      <c r="BQ28" s="2265" t="s">
        <v>8499</v>
      </c>
      <c r="BR28" s="3086" t="s">
        <v>8500</v>
      </c>
      <c r="BS28" s="3082" t="s">
        <v>8501</v>
      </c>
      <c r="BT28" s="3083" t="s">
        <v>8502</v>
      </c>
      <c r="BU28" s="3084" t="s">
        <v>8503</v>
      </c>
      <c r="BV28" s="3082" t="s">
        <v>8504</v>
      </c>
      <c r="BW28" s="3082" t="s">
        <v>8505</v>
      </c>
      <c r="BX28" s="3085" t="s">
        <v>8506</v>
      </c>
      <c r="BY28" s="3083" t="s">
        <v>8507</v>
      </c>
      <c r="BZ28" s="2265" t="s">
        <v>8508</v>
      </c>
    </row>
    <row r="29" spans="1:78">
      <c r="A29" s="1047"/>
      <c r="B29" s="1059" t="s">
        <v>6640</v>
      </c>
      <c r="C29" s="1064" t="s">
        <v>4164</v>
      </c>
      <c r="D29" s="1064"/>
      <c r="E29" s="1060" t="s">
        <v>750</v>
      </c>
      <c r="F29" s="1061">
        <v>3</v>
      </c>
      <c r="G29" s="1144"/>
      <c r="H29" s="1536"/>
      <c r="I29" s="1542"/>
      <c r="J29" s="1117"/>
      <c r="K29" s="1542"/>
      <c r="L29" s="1662"/>
      <c r="M29" s="1539"/>
      <c r="N29" s="1542"/>
      <c r="O29" s="249">
        <f t="shared" si="0"/>
        <v>0</v>
      </c>
      <c r="P29" s="1144"/>
      <c r="Q29" s="1536"/>
      <c r="R29" s="1542"/>
      <c r="S29" s="1117"/>
      <c r="T29" s="1542"/>
      <c r="U29" s="1662"/>
      <c r="V29" s="1539"/>
      <c r="W29" s="1542"/>
      <c r="X29" s="249">
        <f t="shared" si="1"/>
        <v>0</v>
      </c>
      <c r="Y29" s="1873"/>
      <c r="AA29" s="945" t="str">
        <f t="shared" si="2"/>
        <v>Please complete all cells in row</v>
      </c>
      <c r="AB29" s="200"/>
      <c r="AC29" s="72"/>
      <c r="AD29" s="200"/>
      <c r="AE29" s="98">
        <f>IF(Validation!$H$3=1,0,IF(ISNUMBER(G29),0,1))</f>
        <v>1</v>
      </c>
      <c r="AF29" s="98">
        <f>IF(Validation!$H$3=1,0,IF(ISNUMBER(H29),0,1))</f>
        <v>1</v>
      </c>
      <c r="AG29" s="98">
        <f>IF(Validation!$H$3=1,0,IF(ISNUMBER(I29),0,1))</f>
        <v>1</v>
      </c>
      <c r="AH29" s="98">
        <f>IF(Validation!$H$3=1,0,IF(ISNUMBER(J29),0,1))</f>
        <v>1</v>
      </c>
      <c r="AI29" s="98">
        <f>IF(Validation!$H$3=1,0,IF(ISNUMBER(K29),0,1))</f>
        <v>1</v>
      </c>
      <c r="AJ29" s="98">
        <f>IF(Validation!$H$3=1,0,IF(ISNUMBER(L29),0,1))</f>
        <v>1</v>
      </c>
      <c r="AK29" s="98">
        <f>IF(Validation!$H$3=1,0,IF(ISNUMBER(M29),0,1))</f>
        <v>1</v>
      </c>
      <c r="AL29" s="98">
        <f>IF(Validation!$H$3=1,0,IF(ISNUMBER(N29),0,1))</f>
        <v>1</v>
      </c>
      <c r="AM29" s="132"/>
      <c r="AN29" s="98">
        <f>IF(Validation!$H$3=1,0,IF(ISNUMBER(P29),0,1))</f>
        <v>1</v>
      </c>
      <c r="AO29" s="98">
        <f>IF(Validation!$H$3=1,0,IF(ISNUMBER(Q29),0,1))</f>
        <v>1</v>
      </c>
      <c r="AP29" s="98">
        <f>IF(Validation!$H$3=1,0,IF(ISNUMBER(R29),0,1))</f>
        <v>1</v>
      </c>
      <c r="AQ29" s="98">
        <f>IF(Validation!$H$3=1,0,IF(ISNUMBER(S29),0,1))</f>
        <v>1</v>
      </c>
      <c r="AR29" s="98">
        <f>IF(Validation!$H$3=1,0,IF(ISNUMBER(T29),0,1))</f>
        <v>1</v>
      </c>
      <c r="AS29" s="98">
        <f>IF(Validation!$H$3=1,0,IF(ISNUMBER(U29),0,1))</f>
        <v>1</v>
      </c>
      <c r="AT29" s="98">
        <f>IF(Validation!$H$3=1,0,IF(ISNUMBER(V29),0,1))</f>
        <v>1</v>
      </c>
      <c r="AU29" s="98">
        <f>IF(Validation!$H$3=1,0,IF(ISNUMBER(W29),0,1))</f>
        <v>1</v>
      </c>
      <c r="AV29" s="72"/>
      <c r="BD29" s="1059" t="s">
        <v>6640</v>
      </c>
      <c r="BE29" s="3050" t="s">
        <v>4164</v>
      </c>
      <c r="BF29" s="3050"/>
      <c r="BG29" s="2145" t="s">
        <v>750</v>
      </c>
      <c r="BH29" s="1061">
        <v>3</v>
      </c>
      <c r="BI29" s="3081" t="s">
        <v>8509</v>
      </c>
      <c r="BJ29" s="3082" t="s">
        <v>8510</v>
      </c>
      <c r="BK29" s="3083" t="s">
        <v>8511</v>
      </c>
      <c r="BL29" s="3084" t="s">
        <v>8512</v>
      </c>
      <c r="BM29" s="3082" t="s">
        <v>8513</v>
      </c>
      <c r="BN29" s="3082" t="s">
        <v>8514</v>
      </c>
      <c r="BO29" s="3085" t="s">
        <v>8515</v>
      </c>
      <c r="BP29" s="3083" t="s">
        <v>8516</v>
      </c>
      <c r="BQ29" s="2265" t="s">
        <v>8517</v>
      </c>
      <c r="BR29" s="3086" t="s">
        <v>8518</v>
      </c>
      <c r="BS29" s="3082" t="s">
        <v>8519</v>
      </c>
      <c r="BT29" s="3083" t="s">
        <v>8520</v>
      </c>
      <c r="BU29" s="3084" t="s">
        <v>8521</v>
      </c>
      <c r="BV29" s="3082" t="s">
        <v>8522</v>
      </c>
      <c r="BW29" s="3082" t="s">
        <v>8523</v>
      </c>
      <c r="BX29" s="3085" t="s">
        <v>8524</v>
      </c>
      <c r="BY29" s="3083" t="s">
        <v>8525</v>
      </c>
      <c r="BZ29" s="2265" t="s">
        <v>8526</v>
      </c>
    </row>
    <row r="30" spans="1:78">
      <c r="A30" s="1047"/>
      <c r="B30" s="1059" t="s">
        <v>6641</v>
      </c>
      <c r="C30" s="1064" t="s">
        <v>4165</v>
      </c>
      <c r="D30" s="1064"/>
      <c r="E30" s="1060" t="s">
        <v>750</v>
      </c>
      <c r="F30" s="1061">
        <v>3</v>
      </c>
      <c r="G30" s="1144"/>
      <c r="H30" s="1536"/>
      <c r="I30" s="1542"/>
      <c r="J30" s="1117"/>
      <c r="K30" s="1542"/>
      <c r="L30" s="1662"/>
      <c r="M30" s="1539"/>
      <c r="N30" s="1542"/>
      <c r="O30" s="249">
        <f t="shared" si="0"/>
        <v>0</v>
      </c>
      <c r="P30" s="1144"/>
      <c r="Q30" s="1536"/>
      <c r="R30" s="1542"/>
      <c r="S30" s="1117"/>
      <c r="T30" s="1542"/>
      <c r="U30" s="1662"/>
      <c r="V30" s="1539"/>
      <c r="W30" s="1542"/>
      <c r="X30" s="249">
        <f t="shared" si="1"/>
        <v>0</v>
      </c>
      <c r="Y30" s="1873"/>
      <c r="AA30" s="945" t="str">
        <f t="shared" si="2"/>
        <v>Please complete all cells in row</v>
      </c>
      <c r="AB30" s="200"/>
      <c r="AC30" s="72"/>
      <c r="AD30" s="200"/>
      <c r="AE30" s="98">
        <f>IF(Validation!$H$3=1,0,IF(ISNUMBER(G30),0,1))</f>
        <v>1</v>
      </c>
      <c r="AF30" s="98">
        <f>IF(Validation!$H$3=1,0,IF(ISNUMBER(H30),0,1))</f>
        <v>1</v>
      </c>
      <c r="AG30" s="98">
        <f>IF(Validation!$H$3=1,0,IF(ISNUMBER(I30),0,1))</f>
        <v>1</v>
      </c>
      <c r="AH30" s="98">
        <f>IF(Validation!$H$3=1,0,IF(ISNUMBER(J30),0,1))</f>
        <v>1</v>
      </c>
      <c r="AI30" s="98">
        <f>IF(Validation!$H$3=1,0,IF(ISNUMBER(K30),0,1))</f>
        <v>1</v>
      </c>
      <c r="AJ30" s="98">
        <f>IF(Validation!$H$3=1,0,IF(ISNUMBER(L30),0,1))</f>
        <v>1</v>
      </c>
      <c r="AK30" s="98">
        <f>IF(Validation!$H$3=1,0,IF(ISNUMBER(M30),0,1))</f>
        <v>1</v>
      </c>
      <c r="AL30" s="98">
        <f>IF(Validation!$H$3=1,0,IF(ISNUMBER(N30),0,1))</f>
        <v>1</v>
      </c>
      <c r="AM30" s="132"/>
      <c r="AN30" s="98">
        <f>IF(Validation!$H$3=1,0,IF(ISNUMBER(P30),0,1))</f>
        <v>1</v>
      </c>
      <c r="AO30" s="98">
        <f>IF(Validation!$H$3=1,0,IF(ISNUMBER(Q30),0,1))</f>
        <v>1</v>
      </c>
      <c r="AP30" s="98">
        <f>IF(Validation!$H$3=1,0,IF(ISNUMBER(R30),0,1))</f>
        <v>1</v>
      </c>
      <c r="AQ30" s="98">
        <f>IF(Validation!$H$3=1,0,IF(ISNUMBER(S30),0,1))</f>
        <v>1</v>
      </c>
      <c r="AR30" s="98">
        <f>IF(Validation!$H$3=1,0,IF(ISNUMBER(T30),0,1))</f>
        <v>1</v>
      </c>
      <c r="AS30" s="98">
        <f>IF(Validation!$H$3=1,0,IF(ISNUMBER(U30),0,1))</f>
        <v>1</v>
      </c>
      <c r="AT30" s="98">
        <f>IF(Validation!$H$3=1,0,IF(ISNUMBER(V30),0,1))</f>
        <v>1</v>
      </c>
      <c r="AU30" s="98">
        <f>IF(Validation!$H$3=1,0,IF(ISNUMBER(W30),0,1))</f>
        <v>1</v>
      </c>
      <c r="AV30" s="72"/>
      <c r="BD30" s="1059" t="s">
        <v>6641</v>
      </c>
      <c r="BE30" s="3050" t="s">
        <v>4165</v>
      </c>
      <c r="BF30" s="3050"/>
      <c r="BG30" s="2145" t="s">
        <v>750</v>
      </c>
      <c r="BH30" s="1061">
        <v>3</v>
      </c>
      <c r="BI30" s="3081" t="s">
        <v>8527</v>
      </c>
      <c r="BJ30" s="3082" t="s">
        <v>8528</v>
      </c>
      <c r="BK30" s="3083" t="s">
        <v>8529</v>
      </c>
      <c r="BL30" s="3084" t="s">
        <v>8530</v>
      </c>
      <c r="BM30" s="3082" t="s">
        <v>8531</v>
      </c>
      <c r="BN30" s="3082" t="s">
        <v>8532</v>
      </c>
      <c r="BO30" s="3085" t="s">
        <v>8533</v>
      </c>
      <c r="BP30" s="3083" t="s">
        <v>8534</v>
      </c>
      <c r="BQ30" s="2265" t="s">
        <v>8535</v>
      </c>
      <c r="BR30" s="3086" t="s">
        <v>8536</v>
      </c>
      <c r="BS30" s="3082" t="s">
        <v>8537</v>
      </c>
      <c r="BT30" s="3083" t="s">
        <v>8538</v>
      </c>
      <c r="BU30" s="3084" t="s">
        <v>8539</v>
      </c>
      <c r="BV30" s="3082" t="s">
        <v>8540</v>
      </c>
      <c r="BW30" s="3082" t="s">
        <v>8541</v>
      </c>
      <c r="BX30" s="3085" t="s">
        <v>8542</v>
      </c>
      <c r="BY30" s="3083" t="s">
        <v>8543</v>
      </c>
      <c r="BZ30" s="2265" t="s">
        <v>8544</v>
      </c>
    </row>
    <row r="31" spans="1:78">
      <c r="A31" s="1047"/>
      <c r="B31" s="1059" t="s">
        <v>6642</v>
      </c>
      <c r="C31" s="1064" t="s">
        <v>4166</v>
      </c>
      <c r="D31" s="1064"/>
      <c r="E31" s="1060" t="s">
        <v>750</v>
      </c>
      <c r="F31" s="1061">
        <v>3</v>
      </c>
      <c r="G31" s="1144"/>
      <c r="H31" s="1536"/>
      <c r="I31" s="1542"/>
      <c r="J31" s="1117"/>
      <c r="K31" s="1542"/>
      <c r="L31" s="1662"/>
      <c r="M31" s="1539"/>
      <c r="N31" s="1542"/>
      <c r="O31" s="249">
        <f t="shared" si="0"/>
        <v>0</v>
      </c>
      <c r="P31" s="1144"/>
      <c r="Q31" s="1536"/>
      <c r="R31" s="1542"/>
      <c r="S31" s="1117"/>
      <c r="T31" s="1542"/>
      <c r="U31" s="1662"/>
      <c r="V31" s="1539"/>
      <c r="W31" s="1542"/>
      <c r="X31" s="249">
        <f t="shared" si="1"/>
        <v>0</v>
      </c>
      <c r="Y31" s="1873"/>
      <c r="AA31" s="945" t="str">
        <f t="shared" si="2"/>
        <v>Please complete all cells in row</v>
      </c>
      <c r="AB31" s="200"/>
      <c r="AC31" s="72"/>
      <c r="AD31" s="200"/>
      <c r="AE31" s="98">
        <f>IF(Validation!$H$3=1,0,IF(ISNUMBER(G31),0,1))</f>
        <v>1</v>
      </c>
      <c r="AF31" s="98">
        <f>IF(Validation!$H$3=1,0,IF(ISNUMBER(H31),0,1))</f>
        <v>1</v>
      </c>
      <c r="AG31" s="98">
        <f>IF(Validation!$H$3=1,0,IF(ISNUMBER(I31),0,1))</f>
        <v>1</v>
      </c>
      <c r="AH31" s="98">
        <f>IF(Validation!$H$3=1,0,IF(ISNUMBER(J31),0,1))</f>
        <v>1</v>
      </c>
      <c r="AI31" s="98">
        <f>IF(Validation!$H$3=1,0,IF(ISNUMBER(K31),0,1))</f>
        <v>1</v>
      </c>
      <c r="AJ31" s="98">
        <f>IF(Validation!$H$3=1,0,IF(ISNUMBER(L31),0,1))</f>
        <v>1</v>
      </c>
      <c r="AK31" s="98">
        <f>IF(Validation!$H$3=1,0,IF(ISNUMBER(M31),0,1))</f>
        <v>1</v>
      </c>
      <c r="AL31" s="98">
        <f>IF(Validation!$H$3=1,0,IF(ISNUMBER(N31),0,1))</f>
        <v>1</v>
      </c>
      <c r="AM31" s="132"/>
      <c r="AN31" s="98">
        <f>IF(Validation!$H$3=1,0,IF(ISNUMBER(P31),0,1))</f>
        <v>1</v>
      </c>
      <c r="AO31" s="98">
        <f>IF(Validation!$H$3=1,0,IF(ISNUMBER(Q31),0,1))</f>
        <v>1</v>
      </c>
      <c r="AP31" s="98">
        <f>IF(Validation!$H$3=1,0,IF(ISNUMBER(R31),0,1))</f>
        <v>1</v>
      </c>
      <c r="AQ31" s="98">
        <f>IF(Validation!$H$3=1,0,IF(ISNUMBER(S31),0,1))</f>
        <v>1</v>
      </c>
      <c r="AR31" s="98">
        <f>IF(Validation!$H$3=1,0,IF(ISNUMBER(T31),0,1))</f>
        <v>1</v>
      </c>
      <c r="AS31" s="98">
        <f>IF(Validation!$H$3=1,0,IF(ISNUMBER(U31),0,1))</f>
        <v>1</v>
      </c>
      <c r="AT31" s="98">
        <f>IF(Validation!$H$3=1,0,IF(ISNUMBER(V31),0,1))</f>
        <v>1</v>
      </c>
      <c r="AU31" s="98">
        <f>IF(Validation!$H$3=1,0,IF(ISNUMBER(W31),0,1))</f>
        <v>1</v>
      </c>
      <c r="AV31" s="72"/>
      <c r="BD31" s="1059" t="s">
        <v>6642</v>
      </c>
      <c r="BE31" s="3050" t="s">
        <v>4166</v>
      </c>
      <c r="BF31" s="3050"/>
      <c r="BG31" s="2145" t="s">
        <v>750</v>
      </c>
      <c r="BH31" s="1061">
        <v>3</v>
      </c>
      <c r="BI31" s="3081" t="s">
        <v>8545</v>
      </c>
      <c r="BJ31" s="3082" t="s">
        <v>8546</v>
      </c>
      <c r="BK31" s="3083" t="s">
        <v>8547</v>
      </c>
      <c r="BL31" s="3084" t="s">
        <v>8548</v>
      </c>
      <c r="BM31" s="3082" t="s">
        <v>8549</v>
      </c>
      <c r="BN31" s="3082" t="s">
        <v>8550</v>
      </c>
      <c r="BO31" s="3085" t="s">
        <v>8551</v>
      </c>
      <c r="BP31" s="3083" t="s">
        <v>8552</v>
      </c>
      <c r="BQ31" s="2265" t="s">
        <v>8553</v>
      </c>
      <c r="BR31" s="3086" t="s">
        <v>8554</v>
      </c>
      <c r="BS31" s="3082" t="s">
        <v>8555</v>
      </c>
      <c r="BT31" s="3083" t="s">
        <v>8556</v>
      </c>
      <c r="BU31" s="3084" t="s">
        <v>8557</v>
      </c>
      <c r="BV31" s="3082" t="s">
        <v>8558</v>
      </c>
      <c r="BW31" s="3082" t="s">
        <v>8559</v>
      </c>
      <c r="BX31" s="3085" t="s">
        <v>8560</v>
      </c>
      <c r="BY31" s="3083" t="s">
        <v>8561</v>
      </c>
      <c r="BZ31" s="2265" t="s">
        <v>8562</v>
      </c>
    </row>
    <row r="32" spans="1:78">
      <c r="A32" s="1047"/>
      <c r="B32" s="1059" t="s">
        <v>6643</v>
      </c>
      <c r="C32" s="1064" t="s">
        <v>4167</v>
      </c>
      <c r="D32" s="1064"/>
      <c r="E32" s="1060" t="s">
        <v>750</v>
      </c>
      <c r="F32" s="1061">
        <v>3</v>
      </c>
      <c r="G32" s="1144"/>
      <c r="H32" s="1536"/>
      <c r="I32" s="1542"/>
      <c r="J32" s="1117"/>
      <c r="K32" s="1542"/>
      <c r="L32" s="1662"/>
      <c r="M32" s="1539"/>
      <c r="N32" s="1542"/>
      <c r="O32" s="249">
        <f t="shared" si="0"/>
        <v>0</v>
      </c>
      <c r="P32" s="1144"/>
      <c r="Q32" s="1536"/>
      <c r="R32" s="1542"/>
      <c r="S32" s="1117"/>
      <c r="T32" s="1542"/>
      <c r="U32" s="1662"/>
      <c r="V32" s="1539"/>
      <c r="W32" s="1542"/>
      <c r="X32" s="249">
        <f t="shared" si="1"/>
        <v>0</v>
      </c>
      <c r="Y32" s="1873"/>
      <c r="AA32" s="945" t="str">
        <f t="shared" si="2"/>
        <v>Please complete all cells in row</v>
      </c>
      <c r="AB32" s="200"/>
      <c r="AC32" s="72"/>
      <c r="AD32" s="200"/>
      <c r="AE32" s="98">
        <f>IF(Validation!$H$3=1,0,IF(ISNUMBER(G32),0,1))</f>
        <v>1</v>
      </c>
      <c r="AF32" s="98">
        <f>IF(Validation!$H$3=1,0,IF(ISNUMBER(H32),0,1))</f>
        <v>1</v>
      </c>
      <c r="AG32" s="98">
        <f>IF(Validation!$H$3=1,0,IF(ISNUMBER(I32),0,1))</f>
        <v>1</v>
      </c>
      <c r="AH32" s="98">
        <f>IF(Validation!$H$3=1,0,IF(ISNUMBER(J32),0,1))</f>
        <v>1</v>
      </c>
      <c r="AI32" s="98">
        <f>IF(Validation!$H$3=1,0,IF(ISNUMBER(K32),0,1))</f>
        <v>1</v>
      </c>
      <c r="AJ32" s="98">
        <f>IF(Validation!$H$3=1,0,IF(ISNUMBER(L32),0,1))</f>
        <v>1</v>
      </c>
      <c r="AK32" s="98">
        <f>IF(Validation!$H$3=1,0,IF(ISNUMBER(M32),0,1))</f>
        <v>1</v>
      </c>
      <c r="AL32" s="98">
        <f>IF(Validation!$H$3=1,0,IF(ISNUMBER(N32),0,1))</f>
        <v>1</v>
      </c>
      <c r="AM32" s="132"/>
      <c r="AN32" s="98">
        <f>IF(Validation!$H$3=1,0,IF(ISNUMBER(P32),0,1))</f>
        <v>1</v>
      </c>
      <c r="AO32" s="98">
        <f>IF(Validation!$H$3=1,0,IF(ISNUMBER(Q32),0,1))</f>
        <v>1</v>
      </c>
      <c r="AP32" s="98">
        <f>IF(Validation!$H$3=1,0,IF(ISNUMBER(R32),0,1))</f>
        <v>1</v>
      </c>
      <c r="AQ32" s="98">
        <f>IF(Validation!$H$3=1,0,IF(ISNUMBER(S32),0,1))</f>
        <v>1</v>
      </c>
      <c r="AR32" s="98">
        <f>IF(Validation!$H$3=1,0,IF(ISNUMBER(T32),0,1))</f>
        <v>1</v>
      </c>
      <c r="AS32" s="98">
        <f>IF(Validation!$H$3=1,0,IF(ISNUMBER(U32),0,1))</f>
        <v>1</v>
      </c>
      <c r="AT32" s="98">
        <f>IF(Validation!$H$3=1,0,IF(ISNUMBER(V32),0,1))</f>
        <v>1</v>
      </c>
      <c r="AU32" s="98">
        <f>IF(Validation!$H$3=1,0,IF(ISNUMBER(W32),0,1))</f>
        <v>1</v>
      </c>
      <c r="AV32" s="72"/>
      <c r="BD32" s="1059" t="s">
        <v>6643</v>
      </c>
      <c r="BE32" s="3050" t="s">
        <v>4167</v>
      </c>
      <c r="BF32" s="3050"/>
      <c r="BG32" s="2145" t="s">
        <v>750</v>
      </c>
      <c r="BH32" s="1061">
        <v>3</v>
      </c>
      <c r="BI32" s="3081" t="s">
        <v>8563</v>
      </c>
      <c r="BJ32" s="3082" t="s">
        <v>8564</v>
      </c>
      <c r="BK32" s="3083" t="s">
        <v>8565</v>
      </c>
      <c r="BL32" s="3084" t="s">
        <v>8566</v>
      </c>
      <c r="BM32" s="3082" t="s">
        <v>8567</v>
      </c>
      <c r="BN32" s="3082" t="s">
        <v>8568</v>
      </c>
      <c r="BO32" s="3085" t="s">
        <v>8569</v>
      </c>
      <c r="BP32" s="3083" t="s">
        <v>8570</v>
      </c>
      <c r="BQ32" s="2265" t="s">
        <v>8571</v>
      </c>
      <c r="BR32" s="3086" t="s">
        <v>8572</v>
      </c>
      <c r="BS32" s="3082" t="s">
        <v>8573</v>
      </c>
      <c r="BT32" s="3083" t="s">
        <v>8574</v>
      </c>
      <c r="BU32" s="3084" t="s">
        <v>8575</v>
      </c>
      <c r="BV32" s="3082" t="s">
        <v>8576</v>
      </c>
      <c r="BW32" s="3082" t="s">
        <v>8577</v>
      </c>
      <c r="BX32" s="3085" t="s">
        <v>8578</v>
      </c>
      <c r="BY32" s="3083" t="s">
        <v>8579</v>
      </c>
      <c r="BZ32" s="2265" t="s">
        <v>8580</v>
      </c>
    </row>
    <row r="33" spans="1:79">
      <c r="A33" s="1047"/>
      <c r="B33" s="1059" t="s">
        <v>6644</v>
      </c>
      <c r="C33" s="1064" t="s">
        <v>137</v>
      </c>
      <c r="D33" s="1064"/>
      <c r="E33" s="1060" t="s">
        <v>750</v>
      </c>
      <c r="F33" s="1061">
        <v>3</v>
      </c>
      <c r="G33" s="1144"/>
      <c r="H33" s="1536"/>
      <c r="I33" s="1542"/>
      <c r="J33" s="1117"/>
      <c r="K33" s="1542"/>
      <c r="L33" s="1662"/>
      <c r="M33" s="1539"/>
      <c r="N33" s="1542"/>
      <c r="O33" s="249">
        <f t="shared" si="0"/>
        <v>0</v>
      </c>
      <c r="P33" s="1144"/>
      <c r="Q33" s="1536"/>
      <c r="R33" s="1542"/>
      <c r="S33" s="1117"/>
      <c r="T33" s="1542"/>
      <c r="U33" s="1662"/>
      <c r="V33" s="1539"/>
      <c r="W33" s="1542"/>
      <c r="X33" s="249">
        <f t="shared" si="1"/>
        <v>0</v>
      </c>
      <c r="Y33" s="1873"/>
      <c r="AA33" s="945" t="str">
        <f t="shared" si="2"/>
        <v>Please complete all cells in row</v>
      </c>
      <c r="AB33" s="200"/>
      <c r="AC33" s="72"/>
      <c r="AD33" s="200"/>
      <c r="AE33" s="98">
        <f>IF(Validation!$H$3=1,0,IF(ISNUMBER(G33),0,1))</f>
        <v>1</v>
      </c>
      <c r="AF33" s="98">
        <f>IF(Validation!$H$3=1,0,IF(ISNUMBER(H33),0,1))</f>
        <v>1</v>
      </c>
      <c r="AG33" s="98">
        <f>IF(Validation!$H$3=1,0,IF(ISNUMBER(I33),0,1))</f>
        <v>1</v>
      </c>
      <c r="AH33" s="98">
        <f>IF(Validation!$H$3=1,0,IF(ISNUMBER(J33),0,1))</f>
        <v>1</v>
      </c>
      <c r="AI33" s="98">
        <f>IF(Validation!$H$3=1,0,IF(ISNUMBER(K33),0,1))</f>
        <v>1</v>
      </c>
      <c r="AJ33" s="98">
        <f>IF(Validation!$H$3=1,0,IF(ISNUMBER(L33),0,1))</f>
        <v>1</v>
      </c>
      <c r="AK33" s="98">
        <f>IF(Validation!$H$3=1,0,IF(ISNUMBER(M33),0,1))</f>
        <v>1</v>
      </c>
      <c r="AL33" s="98">
        <f>IF(Validation!$H$3=1,0,IF(ISNUMBER(N33),0,1))</f>
        <v>1</v>
      </c>
      <c r="AM33" s="132"/>
      <c r="AN33" s="98">
        <f>IF(Validation!$H$3=1,0,IF(ISNUMBER(P33),0,1))</f>
        <v>1</v>
      </c>
      <c r="AO33" s="98">
        <f>IF(Validation!$H$3=1,0,IF(ISNUMBER(Q33),0,1))</f>
        <v>1</v>
      </c>
      <c r="AP33" s="98">
        <f>IF(Validation!$H$3=1,0,IF(ISNUMBER(R33),0,1))</f>
        <v>1</v>
      </c>
      <c r="AQ33" s="98">
        <f>IF(Validation!$H$3=1,0,IF(ISNUMBER(S33),0,1))</f>
        <v>1</v>
      </c>
      <c r="AR33" s="98">
        <f>IF(Validation!$H$3=1,0,IF(ISNUMBER(T33),0,1))</f>
        <v>1</v>
      </c>
      <c r="AS33" s="98">
        <f>IF(Validation!$H$3=1,0,IF(ISNUMBER(U33),0,1))</f>
        <v>1</v>
      </c>
      <c r="AT33" s="98">
        <f>IF(Validation!$H$3=1,0,IF(ISNUMBER(V33),0,1))</f>
        <v>1</v>
      </c>
      <c r="AU33" s="98">
        <f>IF(Validation!$H$3=1,0,IF(ISNUMBER(W33),0,1))</f>
        <v>1</v>
      </c>
      <c r="AV33" s="72"/>
      <c r="BD33" s="1059" t="s">
        <v>6644</v>
      </c>
      <c r="BE33" s="3050" t="s">
        <v>137</v>
      </c>
      <c r="BF33" s="3050"/>
      <c r="BG33" s="2145" t="s">
        <v>750</v>
      </c>
      <c r="BH33" s="1061">
        <v>3</v>
      </c>
      <c r="BI33" s="3081" t="s">
        <v>8581</v>
      </c>
      <c r="BJ33" s="3082" t="s">
        <v>8582</v>
      </c>
      <c r="BK33" s="3083" t="s">
        <v>8583</v>
      </c>
      <c r="BL33" s="3084" t="s">
        <v>8584</v>
      </c>
      <c r="BM33" s="3082" t="s">
        <v>8585</v>
      </c>
      <c r="BN33" s="3082" t="s">
        <v>8586</v>
      </c>
      <c r="BO33" s="3085" t="s">
        <v>8587</v>
      </c>
      <c r="BP33" s="3083" t="s">
        <v>8588</v>
      </c>
      <c r="BQ33" s="2265" t="s">
        <v>8589</v>
      </c>
      <c r="BR33" s="3086" t="s">
        <v>8590</v>
      </c>
      <c r="BS33" s="3082" t="s">
        <v>8591</v>
      </c>
      <c r="BT33" s="3083" t="s">
        <v>8592</v>
      </c>
      <c r="BU33" s="3084" t="s">
        <v>8593</v>
      </c>
      <c r="BV33" s="3082" t="s">
        <v>8594</v>
      </c>
      <c r="BW33" s="3082" t="s">
        <v>8595</v>
      </c>
      <c r="BX33" s="3085" t="s">
        <v>8596</v>
      </c>
      <c r="BY33" s="3083" t="s">
        <v>8597</v>
      </c>
      <c r="BZ33" s="2265" t="s">
        <v>8598</v>
      </c>
    </row>
    <row r="34" spans="1:79">
      <c r="A34" s="1047"/>
      <c r="B34" s="1059" t="s">
        <v>6645</v>
      </c>
      <c r="C34" s="1064" t="s">
        <v>1041</v>
      </c>
      <c r="D34" s="1064"/>
      <c r="E34" s="1060" t="s">
        <v>750</v>
      </c>
      <c r="F34" s="1061">
        <v>3</v>
      </c>
      <c r="G34" s="1144"/>
      <c r="H34" s="1536"/>
      <c r="I34" s="1542"/>
      <c r="J34" s="1117"/>
      <c r="K34" s="1542"/>
      <c r="L34" s="1662"/>
      <c r="M34" s="1539"/>
      <c r="N34" s="1542"/>
      <c r="O34" s="249">
        <f t="shared" si="0"/>
        <v>0</v>
      </c>
      <c r="P34" s="1144"/>
      <c r="Q34" s="1536"/>
      <c r="R34" s="1542"/>
      <c r="S34" s="1117"/>
      <c r="T34" s="1542"/>
      <c r="U34" s="1662"/>
      <c r="V34" s="1539"/>
      <c r="W34" s="1542"/>
      <c r="X34" s="249">
        <f t="shared" si="1"/>
        <v>0</v>
      </c>
      <c r="Y34" s="1873"/>
      <c r="AA34" s="945" t="str">
        <f t="shared" si="2"/>
        <v>Please complete all cells in row</v>
      </c>
      <c r="AB34" s="200"/>
      <c r="AC34" s="72"/>
      <c r="AD34" s="200"/>
      <c r="AE34" s="98">
        <f>IF(Validation!$H$3=1,0,IF(ISNUMBER(G34),0,1))</f>
        <v>1</v>
      </c>
      <c r="AF34" s="98">
        <f>IF(Validation!$H$3=1,0,IF(ISNUMBER(H34),0,1))</f>
        <v>1</v>
      </c>
      <c r="AG34" s="98">
        <f>IF(Validation!$H$3=1,0,IF(ISNUMBER(I34),0,1))</f>
        <v>1</v>
      </c>
      <c r="AH34" s="98">
        <f>IF(Validation!$H$3=1,0,IF(ISNUMBER(J34),0,1))</f>
        <v>1</v>
      </c>
      <c r="AI34" s="98">
        <f>IF(Validation!$H$3=1,0,IF(ISNUMBER(K34),0,1))</f>
        <v>1</v>
      </c>
      <c r="AJ34" s="98">
        <f>IF(Validation!$H$3=1,0,IF(ISNUMBER(L34),0,1))</f>
        <v>1</v>
      </c>
      <c r="AK34" s="98">
        <f>IF(Validation!$H$3=1,0,IF(ISNUMBER(M34),0,1))</f>
        <v>1</v>
      </c>
      <c r="AL34" s="98">
        <f>IF(Validation!$H$3=1,0,IF(ISNUMBER(N34),0,1))</f>
        <v>1</v>
      </c>
      <c r="AM34" s="132"/>
      <c r="AN34" s="98">
        <f>IF(Validation!$H$3=1,0,IF(ISNUMBER(P34),0,1))</f>
        <v>1</v>
      </c>
      <c r="AO34" s="98">
        <f>IF(Validation!$H$3=1,0,IF(ISNUMBER(Q34),0,1))</f>
        <v>1</v>
      </c>
      <c r="AP34" s="98">
        <f>IF(Validation!$H$3=1,0,IF(ISNUMBER(R34),0,1))</f>
        <v>1</v>
      </c>
      <c r="AQ34" s="98">
        <f>IF(Validation!$H$3=1,0,IF(ISNUMBER(S34),0,1))</f>
        <v>1</v>
      </c>
      <c r="AR34" s="98">
        <f>IF(Validation!$H$3=1,0,IF(ISNUMBER(T34),0,1))</f>
        <v>1</v>
      </c>
      <c r="AS34" s="98">
        <f>IF(Validation!$H$3=1,0,IF(ISNUMBER(U34),0,1))</f>
        <v>1</v>
      </c>
      <c r="AT34" s="98">
        <f>IF(Validation!$H$3=1,0,IF(ISNUMBER(V34),0,1))</f>
        <v>1</v>
      </c>
      <c r="AU34" s="98">
        <f>IF(Validation!$H$3=1,0,IF(ISNUMBER(W34),0,1))</f>
        <v>1</v>
      </c>
      <c r="AV34" s="72"/>
      <c r="BD34" s="1059" t="s">
        <v>6645</v>
      </c>
      <c r="BE34" s="3050" t="s">
        <v>1041</v>
      </c>
      <c r="BF34" s="3050"/>
      <c r="BG34" s="2145" t="s">
        <v>750</v>
      </c>
      <c r="BH34" s="1061">
        <v>3</v>
      </c>
      <c r="BI34" s="3081" t="s">
        <v>8599</v>
      </c>
      <c r="BJ34" s="3082" t="s">
        <v>8600</v>
      </c>
      <c r="BK34" s="3083" t="s">
        <v>8601</v>
      </c>
      <c r="BL34" s="3084" t="s">
        <v>8602</v>
      </c>
      <c r="BM34" s="3082" t="s">
        <v>8603</v>
      </c>
      <c r="BN34" s="3082" t="s">
        <v>8604</v>
      </c>
      <c r="BO34" s="3085" t="s">
        <v>8605</v>
      </c>
      <c r="BP34" s="3083" t="s">
        <v>8606</v>
      </c>
      <c r="BQ34" s="2265" t="s">
        <v>8607</v>
      </c>
      <c r="BR34" s="3086" t="s">
        <v>8608</v>
      </c>
      <c r="BS34" s="3082" t="s">
        <v>8609</v>
      </c>
      <c r="BT34" s="3083" t="s">
        <v>8610</v>
      </c>
      <c r="BU34" s="3084" t="s">
        <v>8611</v>
      </c>
      <c r="BV34" s="3082" t="s">
        <v>8612</v>
      </c>
      <c r="BW34" s="3082" t="s">
        <v>8613</v>
      </c>
      <c r="BX34" s="3085" t="s">
        <v>8614</v>
      </c>
      <c r="BY34" s="3083" t="s">
        <v>8615</v>
      </c>
      <c r="BZ34" s="2265" t="s">
        <v>8616</v>
      </c>
    </row>
    <row r="35" spans="1:79">
      <c r="A35" s="1047"/>
      <c r="B35" s="1059" t="s">
        <v>6646</v>
      </c>
      <c r="C35" s="1064" t="s">
        <v>4168</v>
      </c>
      <c r="D35" s="1064"/>
      <c r="E35" s="1060" t="s">
        <v>750</v>
      </c>
      <c r="F35" s="1061">
        <v>3</v>
      </c>
      <c r="G35" s="1144"/>
      <c r="H35" s="1536"/>
      <c r="I35" s="1542"/>
      <c r="J35" s="1117"/>
      <c r="K35" s="1542"/>
      <c r="L35" s="1662"/>
      <c r="M35" s="1539"/>
      <c r="N35" s="1542"/>
      <c r="O35" s="249">
        <f t="shared" si="0"/>
        <v>0</v>
      </c>
      <c r="P35" s="1144"/>
      <c r="Q35" s="1536"/>
      <c r="R35" s="1542"/>
      <c r="S35" s="1117"/>
      <c r="T35" s="1542"/>
      <c r="U35" s="1662"/>
      <c r="V35" s="1539"/>
      <c r="W35" s="1542"/>
      <c r="X35" s="249">
        <f t="shared" si="1"/>
        <v>0</v>
      </c>
      <c r="Y35" s="1873"/>
      <c r="AA35" s="945" t="str">
        <f t="shared" si="2"/>
        <v>Please complete all cells in row</v>
      </c>
      <c r="AB35" s="200"/>
      <c r="AC35" s="72"/>
      <c r="AD35" s="200"/>
      <c r="AE35" s="98">
        <f>IF(Validation!$H$3=1,0,IF(ISNUMBER(G35),0,1))</f>
        <v>1</v>
      </c>
      <c r="AF35" s="98">
        <f>IF(Validation!$H$3=1,0,IF(ISNUMBER(H35),0,1))</f>
        <v>1</v>
      </c>
      <c r="AG35" s="98">
        <f>IF(Validation!$H$3=1,0,IF(ISNUMBER(I35),0,1))</f>
        <v>1</v>
      </c>
      <c r="AH35" s="98">
        <f>IF(Validation!$H$3=1,0,IF(ISNUMBER(J35),0,1))</f>
        <v>1</v>
      </c>
      <c r="AI35" s="98">
        <f>IF(Validation!$H$3=1,0,IF(ISNUMBER(K35),0,1))</f>
        <v>1</v>
      </c>
      <c r="AJ35" s="98">
        <f>IF(Validation!$H$3=1,0,IF(ISNUMBER(L35),0,1))</f>
        <v>1</v>
      </c>
      <c r="AK35" s="98">
        <f>IF(Validation!$H$3=1,0,IF(ISNUMBER(M35),0,1))</f>
        <v>1</v>
      </c>
      <c r="AL35" s="98">
        <f>IF(Validation!$H$3=1,0,IF(ISNUMBER(N35),0,1))</f>
        <v>1</v>
      </c>
      <c r="AM35" s="132"/>
      <c r="AN35" s="98">
        <f>IF(Validation!$H$3=1,0,IF(ISNUMBER(P35),0,1))</f>
        <v>1</v>
      </c>
      <c r="AO35" s="98">
        <f>IF(Validation!$H$3=1,0,IF(ISNUMBER(Q35),0,1))</f>
        <v>1</v>
      </c>
      <c r="AP35" s="98">
        <f>IF(Validation!$H$3=1,0,IF(ISNUMBER(R35),0,1))</f>
        <v>1</v>
      </c>
      <c r="AQ35" s="98">
        <f>IF(Validation!$H$3=1,0,IF(ISNUMBER(S35),0,1))</f>
        <v>1</v>
      </c>
      <c r="AR35" s="98">
        <f>IF(Validation!$H$3=1,0,IF(ISNUMBER(T35),0,1))</f>
        <v>1</v>
      </c>
      <c r="AS35" s="98">
        <f>IF(Validation!$H$3=1,0,IF(ISNUMBER(U35),0,1))</f>
        <v>1</v>
      </c>
      <c r="AT35" s="98">
        <f>IF(Validation!$H$3=1,0,IF(ISNUMBER(V35),0,1))</f>
        <v>1</v>
      </c>
      <c r="AU35" s="98">
        <f>IF(Validation!$H$3=1,0,IF(ISNUMBER(W35),0,1))</f>
        <v>1</v>
      </c>
      <c r="AV35" s="72"/>
      <c r="BD35" s="1059" t="s">
        <v>6646</v>
      </c>
      <c r="BE35" s="3050" t="s">
        <v>4168</v>
      </c>
      <c r="BF35" s="3050"/>
      <c r="BG35" s="2145" t="s">
        <v>750</v>
      </c>
      <c r="BH35" s="1061">
        <v>3</v>
      </c>
      <c r="BI35" s="3081" t="s">
        <v>8617</v>
      </c>
      <c r="BJ35" s="3082" t="s">
        <v>8618</v>
      </c>
      <c r="BK35" s="3083" t="s">
        <v>8619</v>
      </c>
      <c r="BL35" s="3084" t="s">
        <v>8620</v>
      </c>
      <c r="BM35" s="3082" t="s">
        <v>8621</v>
      </c>
      <c r="BN35" s="3082" t="s">
        <v>8622</v>
      </c>
      <c r="BO35" s="3085" t="s">
        <v>8623</v>
      </c>
      <c r="BP35" s="3083" t="s">
        <v>8624</v>
      </c>
      <c r="BQ35" s="2265" t="s">
        <v>8625</v>
      </c>
      <c r="BR35" s="3086" t="s">
        <v>8626</v>
      </c>
      <c r="BS35" s="3082" t="s">
        <v>8627</v>
      </c>
      <c r="BT35" s="3083" t="s">
        <v>8628</v>
      </c>
      <c r="BU35" s="3084" t="s">
        <v>8629</v>
      </c>
      <c r="BV35" s="3082" t="s">
        <v>8630</v>
      </c>
      <c r="BW35" s="3082" t="s">
        <v>8631</v>
      </c>
      <c r="BX35" s="3085" t="s">
        <v>8632</v>
      </c>
      <c r="BY35" s="3083" t="s">
        <v>8633</v>
      </c>
      <c r="BZ35" s="2265" t="s">
        <v>8634</v>
      </c>
    </row>
    <row r="36" spans="1:79" s="2146" customFormat="1">
      <c r="A36" s="1047"/>
      <c r="B36" s="1059" t="s">
        <v>6647</v>
      </c>
      <c r="C36" s="2608" t="s">
        <v>12632</v>
      </c>
      <c r="D36" s="1064"/>
      <c r="E36" s="2145" t="s">
        <v>750</v>
      </c>
      <c r="F36" s="1061">
        <v>3</v>
      </c>
      <c r="G36" s="1144"/>
      <c r="H36" s="1536"/>
      <c r="I36" s="1542"/>
      <c r="J36" s="1117"/>
      <c r="K36" s="1542"/>
      <c r="L36" s="1662"/>
      <c r="M36" s="1539"/>
      <c r="N36" s="1542"/>
      <c r="O36" s="249">
        <f t="shared" si="0"/>
        <v>0</v>
      </c>
      <c r="P36" s="1144"/>
      <c r="Q36" s="1536"/>
      <c r="R36" s="1542"/>
      <c r="S36" s="1117"/>
      <c r="T36" s="1542"/>
      <c r="U36" s="1662"/>
      <c r="V36" s="1539"/>
      <c r="W36" s="1542"/>
      <c r="X36" s="249">
        <f t="shared" si="1"/>
        <v>0</v>
      </c>
      <c r="Y36" s="1874"/>
      <c r="AA36" s="945" t="str">
        <f t="shared" ref="AA36" si="3" xml:space="preserve"> IF( SUM( AC36:AV36 ) = 0, 0, $AE$5 )</f>
        <v>Please complete all cells in row</v>
      </c>
      <c r="AB36" s="200"/>
      <c r="AC36" s="72"/>
      <c r="AD36" s="200"/>
      <c r="AE36" s="98">
        <f>IF(Validation!$H$3=1,0,IF(ISNUMBER(G36),0,1))</f>
        <v>1</v>
      </c>
      <c r="AF36" s="98">
        <f>IF(Validation!$H$3=1,0,IF(ISNUMBER(H36),0,1))</f>
        <v>1</v>
      </c>
      <c r="AG36" s="98">
        <f>IF(Validation!$H$3=1,0,IF(ISNUMBER(I36),0,1))</f>
        <v>1</v>
      </c>
      <c r="AH36" s="98">
        <f>IF(Validation!$H$3=1,0,IF(ISNUMBER(J36),0,1))</f>
        <v>1</v>
      </c>
      <c r="AI36" s="98">
        <f>IF(Validation!$H$3=1,0,IF(ISNUMBER(K36),0,1))</f>
        <v>1</v>
      </c>
      <c r="AJ36" s="98">
        <f>IF(Validation!$H$3=1,0,IF(ISNUMBER(L36),0,1))</f>
        <v>1</v>
      </c>
      <c r="AK36" s="98">
        <f>IF(Validation!$H$3=1,0,IF(ISNUMBER(M36),0,1))</f>
        <v>1</v>
      </c>
      <c r="AL36" s="98">
        <f>IF(Validation!$H$3=1,0,IF(ISNUMBER(N36),0,1))</f>
        <v>1</v>
      </c>
      <c r="AM36" s="132"/>
      <c r="AN36" s="98">
        <f>IF(Validation!$H$3=1,0,IF(ISNUMBER(P36),0,1))</f>
        <v>1</v>
      </c>
      <c r="AO36" s="98">
        <f>IF(Validation!$H$3=1,0,IF(ISNUMBER(Q36),0,1))</f>
        <v>1</v>
      </c>
      <c r="AP36" s="98">
        <f>IF(Validation!$H$3=1,0,IF(ISNUMBER(R36),0,1))</f>
        <v>1</v>
      </c>
      <c r="AQ36" s="98">
        <f>IF(Validation!$H$3=1,0,IF(ISNUMBER(S36),0,1))</f>
        <v>1</v>
      </c>
      <c r="AR36" s="98">
        <f>IF(Validation!$H$3=1,0,IF(ISNUMBER(T36),0,1))</f>
        <v>1</v>
      </c>
      <c r="AS36" s="98">
        <f>IF(Validation!$H$3=1,0,IF(ISNUMBER(U36),0,1))</f>
        <v>1</v>
      </c>
      <c r="AT36" s="98">
        <f>IF(Validation!$H$3=1,0,IF(ISNUMBER(V36),0,1))</f>
        <v>1</v>
      </c>
      <c r="AU36" s="98">
        <f>IF(Validation!$H$3=1,0,IF(ISNUMBER(W36),0,1))</f>
        <v>1</v>
      </c>
      <c r="AV36" s="72"/>
      <c r="AX36" s="1764"/>
      <c r="BB36" s="1764"/>
      <c r="BD36" s="1059" t="s">
        <v>6647</v>
      </c>
      <c r="BE36" s="3044" t="s">
        <v>12632</v>
      </c>
      <c r="BF36" s="3044"/>
      <c r="BG36" s="2145" t="s">
        <v>750</v>
      </c>
      <c r="BH36" s="1061">
        <v>3</v>
      </c>
      <c r="BI36" s="3081" t="s">
        <v>13082</v>
      </c>
      <c r="BJ36" s="3082" t="s">
        <v>13083</v>
      </c>
      <c r="BK36" s="3083" t="s">
        <v>13084</v>
      </c>
      <c r="BL36" s="3084" t="s">
        <v>13085</v>
      </c>
      <c r="BM36" s="3082" t="s">
        <v>13086</v>
      </c>
      <c r="BN36" s="3082" t="s">
        <v>13087</v>
      </c>
      <c r="BO36" s="3085" t="s">
        <v>13088</v>
      </c>
      <c r="BP36" s="3083" t="s">
        <v>13089</v>
      </c>
      <c r="BQ36" s="2265" t="s">
        <v>13090</v>
      </c>
      <c r="BR36" s="3086" t="s">
        <v>13091</v>
      </c>
      <c r="BS36" s="3082" t="s">
        <v>13092</v>
      </c>
      <c r="BT36" s="3083" t="s">
        <v>13093</v>
      </c>
      <c r="BU36" s="3084" t="s">
        <v>13094</v>
      </c>
      <c r="BV36" s="3082" t="s">
        <v>13095</v>
      </c>
      <c r="BW36" s="3082" t="s">
        <v>13096</v>
      </c>
      <c r="BX36" s="3085" t="s">
        <v>13097</v>
      </c>
      <c r="BY36" s="3083" t="s">
        <v>13098</v>
      </c>
      <c r="BZ36" s="2265" t="s">
        <v>13099</v>
      </c>
      <c r="CA36" s="1754"/>
    </row>
    <row r="37" spans="1:79">
      <c r="A37" s="1047"/>
      <c r="B37" s="1059" t="s">
        <v>6648</v>
      </c>
      <c r="C37" s="1118" t="s">
        <v>4169</v>
      </c>
      <c r="D37" s="1064"/>
      <c r="E37" s="1060" t="s">
        <v>750</v>
      </c>
      <c r="F37" s="1061">
        <v>3</v>
      </c>
      <c r="G37" s="1144"/>
      <c r="H37" s="1536"/>
      <c r="I37" s="1542"/>
      <c r="J37" s="1117"/>
      <c r="K37" s="1542"/>
      <c r="L37" s="1662"/>
      <c r="M37" s="1539"/>
      <c r="N37" s="1542"/>
      <c r="O37" s="249">
        <f t="shared" si="0"/>
        <v>0</v>
      </c>
      <c r="P37" s="1144"/>
      <c r="Q37" s="1536"/>
      <c r="R37" s="1542"/>
      <c r="S37" s="1117"/>
      <c r="T37" s="1542"/>
      <c r="U37" s="1662"/>
      <c r="V37" s="1539"/>
      <c r="W37" s="1542"/>
      <c r="X37" s="249">
        <f t="shared" si="1"/>
        <v>0</v>
      </c>
      <c r="Y37" s="1874"/>
      <c r="AA37" s="945">
        <f t="shared" ref="AA37:AA51" si="4">(IF(SUM(AE37:AV37)=0,IF(AD37=1,BA$37,0),$AE$5))</f>
        <v>0</v>
      </c>
      <c r="AB37" s="200"/>
      <c r="AC37" s="72"/>
      <c r="AD37" s="98">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98">
        <f t="shared" ref="AE37:AL37" si="5" xml:space="preserve"> IF(AND($C37="Capital expenditure purpose - WASTEWATER additional line 1 [Other categories]",$O37=0), 0, IF( ISNUMBER( G37 ), 0, 1 ))</f>
        <v>0</v>
      </c>
      <c r="AF37" s="98">
        <f t="shared" si="5"/>
        <v>0</v>
      </c>
      <c r="AG37" s="98">
        <f t="shared" si="5"/>
        <v>0</v>
      </c>
      <c r="AH37" s="98">
        <f t="shared" si="5"/>
        <v>0</v>
      </c>
      <c r="AI37" s="98">
        <f t="shared" si="5"/>
        <v>0</v>
      </c>
      <c r="AJ37" s="98">
        <f t="shared" si="5"/>
        <v>0</v>
      </c>
      <c r="AK37" s="98">
        <f t="shared" si="5"/>
        <v>0</v>
      </c>
      <c r="AL37" s="98">
        <f t="shared" si="5"/>
        <v>0</v>
      </c>
      <c r="AM37" s="132"/>
      <c r="AN37" s="98">
        <f t="shared" ref="AN37:AU37" si="6" xml:space="preserve"> IF(AND($C37="Capital expenditure purpose - WASTEWATER additional line 1 [Other categories]",$O37=0), 0, IF( ISNUMBER( P37 ), 0, 1 ))</f>
        <v>0</v>
      </c>
      <c r="AO37" s="98">
        <f t="shared" si="6"/>
        <v>0</v>
      </c>
      <c r="AP37" s="98">
        <f t="shared" si="6"/>
        <v>0</v>
      </c>
      <c r="AQ37" s="98">
        <f t="shared" si="6"/>
        <v>0</v>
      </c>
      <c r="AR37" s="98">
        <f t="shared" si="6"/>
        <v>0</v>
      </c>
      <c r="AS37" s="98">
        <f t="shared" si="6"/>
        <v>0</v>
      </c>
      <c r="AT37" s="98">
        <f t="shared" si="6"/>
        <v>0</v>
      </c>
      <c r="AU37" s="98">
        <f t="shared" si="6"/>
        <v>0</v>
      </c>
      <c r="AV37" s="72"/>
      <c r="BA37" s="496" t="s">
        <v>11708</v>
      </c>
      <c r="BD37" s="1059" t="s">
        <v>6647</v>
      </c>
      <c r="BE37" s="3087" t="s">
        <v>8635</v>
      </c>
      <c r="BF37" s="3050"/>
      <c r="BG37" s="2145" t="s">
        <v>750</v>
      </c>
      <c r="BH37" s="1061">
        <v>3</v>
      </c>
      <c r="BI37" s="3088" t="s">
        <v>8635</v>
      </c>
      <c r="BJ37" s="3089" t="s">
        <v>8636</v>
      </c>
      <c r="BK37" s="3090" t="s">
        <v>8637</v>
      </c>
      <c r="BL37" s="3091" t="s">
        <v>8638</v>
      </c>
      <c r="BM37" s="3089" t="s">
        <v>8639</v>
      </c>
      <c r="BN37" s="3089" t="s">
        <v>8640</v>
      </c>
      <c r="BO37" s="3092" t="s">
        <v>8641</v>
      </c>
      <c r="BP37" s="3090" t="s">
        <v>8642</v>
      </c>
      <c r="BQ37" s="2265" t="s">
        <v>8643</v>
      </c>
      <c r="BR37" s="3093" t="s">
        <v>8644</v>
      </c>
      <c r="BS37" s="3089" t="s">
        <v>8645</v>
      </c>
      <c r="BT37" s="3090" t="s">
        <v>8646</v>
      </c>
      <c r="BU37" s="3091" t="s">
        <v>8647</v>
      </c>
      <c r="BV37" s="3089" t="s">
        <v>8648</v>
      </c>
      <c r="BW37" s="3089" t="s">
        <v>8649</v>
      </c>
      <c r="BX37" s="3092" t="s">
        <v>8650</v>
      </c>
      <c r="BY37" s="3090" t="s">
        <v>8651</v>
      </c>
      <c r="BZ37" s="2265" t="s">
        <v>8652</v>
      </c>
    </row>
    <row r="38" spans="1:79">
      <c r="A38" s="1047"/>
      <c r="B38" s="1059" t="s">
        <v>6649</v>
      </c>
      <c r="C38" s="1118" t="s">
        <v>4170</v>
      </c>
      <c r="D38" s="1064"/>
      <c r="E38" s="1060" t="s">
        <v>750</v>
      </c>
      <c r="F38" s="1061">
        <v>3</v>
      </c>
      <c r="G38" s="1144"/>
      <c r="H38" s="1536"/>
      <c r="I38" s="1542"/>
      <c r="J38" s="1117"/>
      <c r="K38" s="1542"/>
      <c r="L38" s="1662"/>
      <c r="M38" s="1539"/>
      <c r="N38" s="1542"/>
      <c r="O38" s="249">
        <f t="shared" si="0"/>
        <v>0</v>
      </c>
      <c r="P38" s="1144"/>
      <c r="Q38" s="1536"/>
      <c r="R38" s="1542"/>
      <c r="S38" s="1117"/>
      <c r="T38" s="1542"/>
      <c r="U38" s="1662"/>
      <c r="V38" s="1539"/>
      <c r="W38" s="1542"/>
      <c r="X38" s="249">
        <f t="shared" si="1"/>
        <v>0</v>
      </c>
      <c r="Y38" s="1874"/>
      <c r="AA38" s="945">
        <f t="shared" si="4"/>
        <v>0</v>
      </c>
      <c r="AB38" s="200"/>
      <c r="AC38" s="72"/>
      <c r="AD38" s="98">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98">
        <f t="shared" ref="AE38:AL38" si="7" xml:space="preserve"> IF(AND($C38="Capital expenditure purpose - WASTEWATER additional line 2 [Other categories]",$O38=0), 0, IF( ISNUMBER( G38 ), 0, 1 ))</f>
        <v>0</v>
      </c>
      <c r="AF38" s="98">
        <f t="shared" si="7"/>
        <v>0</v>
      </c>
      <c r="AG38" s="98">
        <f t="shared" si="7"/>
        <v>0</v>
      </c>
      <c r="AH38" s="98">
        <f t="shared" si="7"/>
        <v>0</v>
      </c>
      <c r="AI38" s="98">
        <f t="shared" si="7"/>
        <v>0</v>
      </c>
      <c r="AJ38" s="98">
        <f t="shared" si="7"/>
        <v>0</v>
      </c>
      <c r="AK38" s="98">
        <f t="shared" si="7"/>
        <v>0</v>
      </c>
      <c r="AL38" s="98">
        <f t="shared" si="7"/>
        <v>0</v>
      </c>
      <c r="AM38" s="132"/>
      <c r="AN38" s="98">
        <f t="shared" ref="AN38:AU38" si="8" xml:space="preserve"> IF(AND($C38="Capital expenditure purpose - WASTEWATER additional line 2 [Other categories]",$O38=0), 0, IF( ISNUMBER( P38 ), 0, 1 ))</f>
        <v>0</v>
      </c>
      <c r="AO38" s="98">
        <f t="shared" si="8"/>
        <v>0</v>
      </c>
      <c r="AP38" s="98">
        <f t="shared" si="8"/>
        <v>0</v>
      </c>
      <c r="AQ38" s="98">
        <f t="shared" si="8"/>
        <v>0</v>
      </c>
      <c r="AR38" s="98">
        <f t="shared" si="8"/>
        <v>0</v>
      </c>
      <c r="AS38" s="98">
        <f t="shared" si="8"/>
        <v>0</v>
      </c>
      <c r="AT38" s="98">
        <f t="shared" si="8"/>
        <v>0</v>
      </c>
      <c r="AU38" s="98">
        <f t="shared" si="8"/>
        <v>0</v>
      </c>
      <c r="AV38" s="72"/>
      <c r="BD38" s="1059" t="s">
        <v>6648</v>
      </c>
      <c r="BE38" s="3087" t="s">
        <v>8653</v>
      </c>
      <c r="BF38" s="3050"/>
      <c r="BG38" s="2145" t="s">
        <v>750</v>
      </c>
      <c r="BH38" s="1061">
        <v>3</v>
      </c>
      <c r="BI38" s="3088" t="s">
        <v>8653</v>
      </c>
      <c r="BJ38" s="3089" t="s">
        <v>8654</v>
      </c>
      <c r="BK38" s="3090" t="s">
        <v>8655</v>
      </c>
      <c r="BL38" s="3091" t="s">
        <v>8656</v>
      </c>
      <c r="BM38" s="3089" t="s">
        <v>8657</v>
      </c>
      <c r="BN38" s="3089" t="s">
        <v>8658</v>
      </c>
      <c r="BO38" s="3092" t="s">
        <v>8659</v>
      </c>
      <c r="BP38" s="3090" t="s">
        <v>8660</v>
      </c>
      <c r="BQ38" s="2265" t="s">
        <v>8661</v>
      </c>
      <c r="BR38" s="3093" t="s">
        <v>8662</v>
      </c>
      <c r="BS38" s="3089" t="s">
        <v>8663</v>
      </c>
      <c r="BT38" s="3090" t="s">
        <v>8664</v>
      </c>
      <c r="BU38" s="3091" t="s">
        <v>8665</v>
      </c>
      <c r="BV38" s="3089" t="s">
        <v>8666</v>
      </c>
      <c r="BW38" s="3089" t="s">
        <v>8667</v>
      </c>
      <c r="BX38" s="3092" t="s">
        <v>8668</v>
      </c>
      <c r="BY38" s="3090" t="s">
        <v>8669</v>
      </c>
      <c r="BZ38" s="2265" t="s">
        <v>8670</v>
      </c>
    </row>
    <row r="39" spans="1:79">
      <c r="A39" s="1047"/>
      <c r="B39" s="1059" t="s">
        <v>6650</v>
      </c>
      <c r="C39" s="1118" t="s">
        <v>4171</v>
      </c>
      <c r="D39" s="1064"/>
      <c r="E39" s="1060" t="s">
        <v>750</v>
      </c>
      <c r="F39" s="1061">
        <v>3</v>
      </c>
      <c r="G39" s="1144"/>
      <c r="H39" s="1536"/>
      <c r="I39" s="1542"/>
      <c r="J39" s="1117"/>
      <c r="K39" s="1542"/>
      <c r="L39" s="1662"/>
      <c r="M39" s="1539"/>
      <c r="N39" s="1542"/>
      <c r="O39" s="249">
        <f t="shared" si="0"/>
        <v>0</v>
      </c>
      <c r="P39" s="1144"/>
      <c r="Q39" s="1536"/>
      <c r="R39" s="1542"/>
      <c r="S39" s="1117"/>
      <c r="T39" s="1542"/>
      <c r="U39" s="1662"/>
      <c r="V39" s="1539"/>
      <c r="W39" s="1542"/>
      <c r="X39" s="249">
        <f t="shared" si="1"/>
        <v>0</v>
      </c>
      <c r="Y39" s="1874"/>
      <c r="AA39" s="945">
        <f t="shared" si="4"/>
        <v>0</v>
      </c>
      <c r="AB39" s="200"/>
      <c r="AC39" s="72"/>
      <c r="AD39" s="98">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98">
        <f t="shared" ref="AE39:AL39" si="9" xml:space="preserve"> IF(AND($C39="Capital expenditure purpose - WASTEWATER additional line 3 [Other categories]",$O39=0), 0, IF( ISNUMBER( G39 ), 0, 1 ))</f>
        <v>0</v>
      </c>
      <c r="AF39" s="98">
        <f t="shared" si="9"/>
        <v>0</v>
      </c>
      <c r="AG39" s="98">
        <f t="shared" si="9"/>
        <v>0</v>
      </c>
      <c r="AH39" s="98">
        <f t="shared" si="9"/>
        <v>0</v>
      </c>
      <c r="AI39" s="98">
        <f t="shared" si="9"/>
        <v>0</v>
      </c>
      <c r="AJ39" s="98">
        <f t="shared" si="9"/>
        <v>0</v>
      </c>
      <c r="AK39" s="98">
        <f t="shared" si="9"/>
        <v>0</v>
      </c>
      <c r="AL39" s="98">
        <f t="shared" si="9"/>
        <v>0</v>
      </c>
      <c r="AM39" s="132"/>
      <c r="AN39" s="98">
        <f t="shared" ref="AN39:AU39" si="10" xml:space="preserve"> IF(AND($C39="Capital expenditure purpose - WASTEWATER additional line 3 [Other categories]",$O39=0), 0, IF( ISNUMBER( P39 ), 0, 1 ))</f>
        <v>0</v>
      </c>
      <c r="AO39" s="98">
        <f t="shared" si="10"/>
        <v>0</v>
      </c>
      <c r="AP39" s="98">
        <f t="shared" si="10"/>
        <v>0</v>
      </c>
      <c r="AQ39" s="98">
        <f t="shared" si="10"/>
        <v>0</v>
      </c>
      <c r="AR39" s="98">
        <f t="shared" si="10"/>
        <v>0</v>
      </c>
      <c r="AS39" s="98">
        <f t="shared" si="10"/>
        <v>0</v>
      </c>
      <c r="AT39" s="98">
        <f t="shared" si="10"/>
        <v>0</v>
      </c>
      <c r="AU39" s="98">
        <f t="shared" si="10"/>
        <v>0</v>
      </c>
      <c r="AV39" s="72"/>
      <c r="BD39" s="1059" t="s">
        <v>6649</v>
      </c>
      <c r="BE39" s="3087" t="s">
        <v>8671</v>
      </c>
      <c r="BF39" s="3050"/>
      <c r="BG39" s="2145" t="s">
        <v>750</v>
      </c>
      <c r="BH39" s="1061">
        <v>3</v>
      </c>
      <c r="BI39" s="3088" t="s">
        <v>8671</v>
      </c>
      <c r="BJ39" s="3089" t="s">
        <v>8672</v>
      </c>
      <c r="BK39" s="3090" t="s">
        <v>8673</v>
      </c>
      <c r="BL39" s="3091" t="s">
        <v>8674</v>
      </c>
      <c r="BM39" s="3089" t="s">
        <v>8675</v>
      </c>
      <c r="BN39" s="3089" t="s">
        <v>8676</v>
      </c>
      <c r="BO39" s="3092" t="s">
        <v>8677</v>
      </c>
      <c r="BP39" s="3090" t="s">
        <v>8678</v>
      </c>
      <c r="BQ39" s="2265" t="s">
        <v>8679</v>
      </c>
      <c r="BR39" s="3093" t="s">
        <v>8680</v>
      </c>
      <c r="BS39" s="3089" t="s">
        <v>8681</v>
      </c>
      <c r="BT39" s="3090" t="s">
        <v>8682</v>
      </c>
      <c r="BU39" s="3091" t="s">
        <v>8683</v>
      </c>
      <c r="BV39" s="3089" t="s">
        <v>8684</v>
      </c>
      <c r="BW39" s="3089" t="s">
        <v>8685</v>
      </c>
      <c r="BX39" s="3092" t="s">
        <v>8686</v>
      </c>
      <c r="BY39" s="3090" t="s">
        <v>8687</v>
      </c>
      <c r="BZ39" s="2265" t="s">
        <v>8688</v>
      </c>
    </row>
    <row r="40" spans="1:79">
      <c r="A40" s="1047"/>
      <c r="B40" s="1059" t="s">
        <v>6651</v>
      </c>
      <c r="C40" s="1118" t="s">
        <v>4172</v>
      </c>
      <c r="D40" s="1064"/>
      <c r="E40" s="1060" t="s">
        <v>750</v>
      </c>
      <c r="F40" s="1061">
        <v>3</v>
      </c>
      <c r="G40" s="1144"/>
      <c r="H40" s="1536"/>
      <c r="I40" s="1542"/>
      <c r="J40" s="1117"/>
      <c r="K40" s="1542"/>
      <c r="L40" s="1662"/>
      <c r="M40" s="1539"/>
      <c r="N40" s="1542"/>
      <c r="O40" s="249">
        <f t="shared" si="0"/>
        <v>0</v>
      </c>
      <c r="P40" s="1144"/>
      <c r="Q40" s="1536"/>
      <c r="R40" s="1542"/>
      <c r="S40" s="1117"/>
      <c r="T40" s="1542"/>
      <c r="U40" s="1662"/>
      <c r="V40" s="1539"/>
      <c r="W40" s="1542"/>
      <c r="X40" s="249">
        <f t="shared" si="1"/>
        <v>0</v>
      </c>
      <c r="Y40" s="1874"/>
      <c r="AA40" s="945">
        <f t="shared" si="4"/>
        <v>0</v>
      </c>
      <c r="AB40" s="200"/>
      <c r="AC40" s="72"/>
      <c r="AD40" s="98">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98">
        <f t="shared" ref="AE40:AL40" si="11" xml:space="preserve"> IF(AND($C40="Capital expenditure purpose - WASTEWATER additional line 4 [Other categories]",$O40=0), 0, IF( ISNUMBER( G40 ), 0, 1 ))</f>
        <v>0</v>
      </c>
      <c r="AF40" s="98">
        <f t="shared" si="11"/>
        <v>0</v>
      </c>
      <c r="AG40" s="98">
        <f t="shared" si="11"/>
        <v>0</v>
      </c>
      <c r="AH40" s="98">
        <f t="shared" si="11"/>
        <v>0</v>
      </c>
      <c r="AI40" s="98">
        <f t="shared" si="11"/>
        <v>0</v>
      </c>
      <c r="AJ40" s="98">
        <f t="shared" si="11"/>
        <v>0</v>
      </c>
      <c r="AK40" s="98">
        <f t="shared" si="11"/>
        <v>0</v>
      </c>
      <c r="AL40" s="98">
        <f t="shared" si="11"/>
        <v>0</v>
      </c>
      <c r="AM40" s="132"/>
      <c r="AN40" s="98">
        <f t="shared" ref="AN40:AU40" si="12" xml:space="preserve"> IF(AND($C40="Capital expenditure purpose - WASTEWATER additional line 4 [Other categories]",$O40=0), 0, IF( ISNUMBER( P40 ), 0, 1 ))</f>
        <v>0</v>
      </c>
      <c r="AO40" s="98">
        <f t="shared" si="12"/>
        <v>0</v>
      </c>
      <c r="AP40" s="98">
        <f t="shared" si="12"/>
        <v>0</v>
      </c>
      <c r="AQ40" s="98">
        <f t="shared" si="12"/>
        <v>0</v>
      </c>
      <c r="AR40" s="98">
        <f t="shared" si="12"/>
        <v>0</v>
      </c>
      <c r="AS40" s="98">
        <f t="shared" si="12"/>
        <v>0</v>
      </c>
      <c r="AT40" s="98">
        <f t="shared" si="12"/>
        <v>0</v>
      </c>
      <c r="AU40" s="98">
        <f t="shared" si="12"/>
        <v>0</v>
      </c>
      <c r="AV40" s="72"/>
      <c r="BD40" s="1059" t="s">
        <v>6650</v>
      </c>
      <c r="BE40" s="3087" t="s">
        <v>8689</v>
      </c>
      <c r="BF40" s="3050"/>
      <c r="BG40" s="2145" t="s">
        <v>750</v>
      </c>
      <c r="BH40" s="1061">
        <v>3</v>
      </c>
      <c r="BI40" s="3088" t="s">
        <v>8689</v>
      </c>
      <c r="BJ40" s="3089" t="s">
        <v>8690</v>
      </c>
      <c r="BK40" s="3090" t="s">
        <v>8691</v>
      </c>
      <c r="BL40" s="3091" t="s">
        <v>8692</v>
      </c>
      <c r="BM40" s="3089" t="s">
        <v>8693</v>
      </c>
      <c r="BN40" s="3089" t="s">
        <v>8694</v>
      </c>
      <c r="BO40" s="3092" t="s">
        <v>8695</v>
      </c>
      <c r="BP40" s="3090" t="s">
        <v>8696</v>
      </c>
      <c r="BQ40" s="2265" t="s">
        <v>8697</v>
      </c>
      <c r="BR40" s="3093" t="s">
        <v>8698</v>
      </c>
      <c r="BS40" s="3089" t="s">
        <v>8699</v>
      </c>
      <c r="BT40" s="3090" t="s">
        <v>8700</v>
      </c>
      <c r="BU40" s="3091" t="s">
        <v>8701</v>
      </c>
      <c r="BV40" s="3089" t="s">
        <v>8702</v>
      </c>
      <c r="BW40" s="3089" t="s">
        <v>8703</v>
      </c>
      <c r="BX40" s="3092" t="s">
        <v>8704</v>
      </c>
      <c r="BY40" s="3090" t="s">
        <v>8705</v>
      </c>
      <c r="BZ40" s="2265" t="s">
        <v>8706</v>
      </c>
    </row>
    <row r="41" spans="1:79">
      <c r="A41" s="1047"/>
      <c r="B41" s="1059" t="s">
        <v>6652</v>
      </c>
      <c r="C41" s="1118" t="s">
        <v>4173</v>
      </c>
      <c r="D41" s="1064"/>
      <c r="E41" s="1060" t="s">
        <v>750</v>
      </c>
      <c r="F41" s="1061">
        <v>3</v>
      </c>
      <c r="G41" s="1144"/>
      <c r="H41" s="1536"/>
      <c r="I41" s="1542"/>
      <c r="J41" s="1117"/>
      <c r="K41" s="1542"/>
      <c r="L41" s="1662"/>
      <c r="M41" s="1539"/>
      <c r="N41" s="1542"/>
      <c r="O41" s="249">
        <f t="shared" si="0"/>
        <v>0</v>
      </c>
      <c r="P41" s="1144"/>
      <c r="Q41" s="1536"/>
      <c r="R41" s="1542"/>
      <c r="S41" s="1117"/>
      <c r="T41" s="1542"/>
      <c r="U41" s="1662"/>
      <c r="V41" s="1539"/>
      <c r="W41" s="1542"/>
      <c r="X41" s="249">
        <f t="shared" si="1"/>
        <v>0</v>
      </c>
      <c r="Y41" s="1874"/>
      <c r="AA41" s="945">
        <f t="shared" si="4"/>
        <v>0</v>
      </c>
      <c r="AB41" s="200"/>
      <c r="AC41" s="72"/>
      <c r="AD41" s="98">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98">
        <f t="shared" ref="AE41:AL41" si="13" xml:space="preserve"> IF(AND($C41="Capital expenditure purpose - WASTEWATER additional line 5 [Other categories]",$O41=0), 0, IF( ISNUMBER( G41 ), 0, 1 ))</f>
        <v>0</v>
      </c>
      <c r="AF41" s="98">
        <f t="shared" si="13"/>
        <v>0</v>
      </c>
      <c r="AG41" s="98">
        <f t="shared" si="13"/>
        <v>0</v>
      </c>
      <c r="AH41" s="98">
        <f t="shared" si="13"/>
        <v>0</v>
      </c>
      <c r="AI41" s="98">
        <f t="shared" si="13"/>
        <v>0</v>
      </c>
      <c r="AJ41" s="98">
        <f t="shared" si="13"/>
        <v>0</v>
      </c>
      <c r="AK41" s="98">
        <f t="shared" si="13"/>
        <v>0</v>
      </c>
      <c r="AL41" s="98">
        <f t="shared" si="13"/>
        <v>0</v>
      </c>
      <c r="AM41" s="132"/>
      <c r="AN41" s="98">
        <f t="shared" ref="AN41:AU41" si="14" xml:space="preserve"> IF(AND($C41="Capital expenditure purpose - WASTEWATER additional line 5 [Other categories]",$O41=0), 0, IF( ISNUMBER( P41 ), 0, 1 ))</f>
        <v>0</v>
      </c>
      <c r="AO41" s="98">
        <f t="shared" si="14"/>
        <v>0</v>
      </c>
      <c r="AP41" s="98">
        <f t="shared" si="14"/>
        <v>0</v>
      </c>
      <c r="AQ41" s="98">
        <f t="shared" si="14"/>
        <v>0</v>
      </c>
      <c r="AR41" s="98">
        <f t="shared" si="14"/>
        <v>0</v>
      </c>
      <c r="AS41" s="98">
        <f t="shared" si="14"/>
        <v>0</v>
      </c>
      <c r="AT41" s="98">
        <f t="shared" si="14"/>
        <v>0</v>
      </c>
      <c r="AU41" s="98">
        <f t="shared" si="14"/>
        <v>0</v>
      </c>
      <c r="AV41" s="72"/>
      <c r="BD41" s="1059" t="s">
        <v>6651</v>
      </c>
      <c r="BE41" s="3087" t="s">
        <v>8707</v>
      </c>
      <c r="BF41" s="3050"/>
      <c r="BG41" s="2145" t="s">
        <v>750</v>
      </c>
      <c r="BH41" s="1061">
        <v>3</v>
      </c>
      <c r="BI41" s="3088" t="s">
        <v>8707</v>
      </c>
      <c r="BJ41" s="3089" t="s">
        <v>8708</v>
      </c>
      <c r="BK41" s="3090" t="s">
        <v>8709</v>
      </c>
      <c r="BL41" s="3091" t="s">
        <v>8710</v>
      </c>
      <c r="BM41" s="3089" t="s">
        <v>8711</v>
      </c>
      <c r="BN41" s="3089" t="s">
        <v>8712</v>
      </c>
      <c r="BO41" s="3092" t="s">
        <v>8713</v>
      </c>
      <c r="BP41" s="3090" t="s">
        <v>8714</v>
      </c>
      <c r="BQ41" s="2265" t="s">
        <v>8715</v>
      </c>
      <c r="BR41" s="3093" t="s">
        <v>8716</v>
      </c>
      <c r="BS41" s="3089" t="s">
        <v>8717</v>
      </c>
      <c r="BT41" s="3090" t="s">
        <v>8718</v>
      </c>
      <c r="BU41" s="3091" t="s">
        <v>8719</v>
      </c>
      <c r="BV41" s="3089" t="s">
        <v>8720</v>
      </c>
      <c r="BW41" s="3089" t="s">
        <v>8721</v>
      </c>
      <c r="BX41" s="3092" t="s">
        <v>8722</v>
      </c>
      <c r="BY41" s="3090" t="s">
        <v>8723</v>
      </c>
      <c r="BZ41" s="2265" t="s">
        <v>8724</v>
      </c>
    </row>
    <row r="42" spans="1:79">
      <c r="A42" s="1047"/>
      <c r="B42" s="1059" t="s">
        <v>6653</v>
      </c>
      <c r="C42" s="1118" t="s">
        <v>4174</v>
      </c>
      <c r="D42" s="1064"/>
      <c r="E42" s="1060" t="s">
        <v>750</v>
      </c>
      <c r="F42" s="1061">
        <v>3</v>
      </c>
      <c r="G42" s="1144"/>
      <c r="H42" s="1536"/>
      <c r="I42" s="1542"/>
      <c r="J42" s="1117"/>
      <c r="K42" s="1542"/>
      <c r="L42" s="1662"/>
      <c r="M42" s="1539"/>
      <c r="N42" s="1542"/>
      <c r="O42" s="249">
        <f t="shared" si="0"/>
        <v>0</v>
      </c>
      <c r="P42" s="1144"/>
      <c r="Q42" s="1536"/>
      <c r="R42" s="1542"/>
      <c r="S42" s="1117"/>
      <c r="T42" s="1542"/>
      <c r="U42" s="1662"/>
      <c r="V42" s="1539"/>
      <c r="W42" s="1542"/>
      <c r="X42" s="249">
        <f t="shared" si="1"/>
        <v>0</v>
      </c>
      <c r="Y42" s="1874"/>
      <c r="AA42" s="945">
        <f t="shared" si="4"/>
        <v>0</v>
      </c>
      <c r="AB42" s="200"/>
      <c r="AC42" s="72"/>
      <c r="AD42" s="98">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98">
        <f t="shared" ref="AE42:AL42" si="15" xml:space="preserve"> IF(AND($C42="Capital expenditure purpose - WASTEWATER additional line 6 [Other categories]",$O42=0), 0, IF( ISNUMBER( G42 ), 0, 1 ))</f>
        <v>0</v>
      </c>
      <c r="AF42" s="98">
        <f t="shared" si="15"/>
        <v>0</v>
      </c>
      <c r="AG42" s="98">
        <f t="shared" si="15"/>
        <v>0</v>
      </c>
      <c r="AH42" s="98">
        <f t="shared" si="15"/>
        <v>0</v>
      </c>
      <c r="AI42" s="98">
        <f t="shared" si="15"/>
        <v>0</v>
      </c>
      <c r="AJ42" s="98">
        <f t="shared" si="15"/>
        <v>0</v>
      </c>
      <c r="AK42" s="98">
        <f t="shared" si="15"/>
        <v>0</v>
      </c>
      <c r="AL42" s="98">
        <f t="shared" si="15"/>
        <v>0</v>
      </c>
      <c r="AM42" s="132"/>
      <c r="AN42" s="98">
        <f t="shared" ref="AN42:AU42" si="16" xml:space="preserve"> IF(AND($C42="Capital expenditure purpose - WASTEWATER additional line 6 [Other categories]",$O42=0), 0, IF( ISNUMBER( P42 ), 0, 1 ))</f>
        <v>0</v>
      </c>
      <c r="AO42" s="98">
        <f t="shared" si="16"/>
        <v>0</v>
      </c>
      <c r="AP42" s="98">
        <f t="shared" si="16"/>
        <v>0</v>
      </c>
      <c r="AQ42" s="98">
        <f t="shared" si="16"/>
        <v>0</v>
      </c>
      <c r="AR42" s="98">
        <f t="shared" si="16"/>
        <v>0</v>
      </c>
      <c r="AS42" s="98">
        <f t="shared" si="16"/>
        <v>0</v>
      </c>
      <c r="AT42" s="98">
        <f t="shared" si="16"/>
        <v>0</v>
      </c>
      <c r="AU42" s="98">
        <f t="shared" si="16"/>
        <v>0</v>
      </c>
      <c r="AV42" s="72"/>
      <c r="BD42" s="1059" t="s">
        <v>6652</v>
      </c>
      <c r="BE42" s="3087" t="s">
        <v>8725</v>
      </c>
      <c r="BF42" s="3050"/>
      <c r="BG42" s="2145" t="s">
        <v>750</v>
      </c>
      <c r="BH42" s="1061">
        <v>3</v>
      </c>
      <c r="BI42" s="3088" t="s">
        <v>8725</v>
      </c>
      <c r="BJ42" s="3089" t="s">
        <v>8726</v>
      </c>
      <c r="BK42" s="3090" t="s">
        <v>8727</v>
      </c>
      <c r="BL42" s="3091" t="s">
        <v>8728</v>
      </c>
      <c r="BM42" s="3089" t="s">
        <v>8729</v>
      </c>
      <c r="BN42" s="3089" t="s">
        <v>8730</v>
      </c>
      <c r="BO42" s="3092" t="s">
        <v>8731</v>
      </c>
      <c r="BP42" s="3090" t="s">
        <v>8732</v>
      </c>
      <c r="BQ42" s="2265" t="s">
        <v>8733</v>
      </c>
      <c r="BR42" s="3093" t="s">
        <v>8734</v>
      </c>
      <c r="BS42" s="3089" t="s">
        <v>8735</v>
      </c>
      <c r="BT42" s="3090" t="s">
        <v>8736</v>
      </c>
      <c r="BU42" s="3091" t="s">
        <v>8737</v>
      </c>
      <c r="BV42" s="3089" t="s">
        <v>8738</v>
      </c>
      <c r="BW42" s="3089" t="s">
        <v>8739</v>
      </c>
      <c r="BX42" s="3092" t="s">
        <v>8740</v>
      </c>
      <c r="BY42" s="3090" t="s">
        <v>8741</v>
      </c>
      <c r="BZ42" s="2265" t="s">
        <v>8742</v>
      </c>
    </row>
    <row r="43" spans="1:79">
      <c r="A43" s="1047"/>
      <c r="B43" s="1059" t="s">
        <v>6654</v>
      </c>
      <c r="C43" s="1118" t="s">
        <v>4175</v>
      </c>
      <c r="D43" s="1064"/>
      <c r="E43" s="1060" t="s">
        <v>750</v>
      </c>
      <c r="F43" s="1061">
        <v>3</v>
      </c>
      <c r="G43" s="1144"/>
      <c r="H43" s="1536"/>
      <c r="I43" s="1542"/>
      <c r="J43" s="1117"/>
      <c r="K43" s="1542"/>
      <c r="L43" s="1662"/>
      <c r="M43" s="1539"/>
      <c r="N43" s="1542"/>
      <c r="O43" s="249">
        <f t="shared" si="0"/>
        <v>0</v>
      </c>
      <c r="P43" s="1144"/>
      <c r="Q43" s="1536"/>
      <c r="R43" s="1542"/>
      <c r="S43" s="1117"/>
      <c r="T43" s="1542"/>
      <c r="U43" s="1662"/>
      <c r="V43" s="1539"/>
      <c r="W43" s="1542"/>
      <c r="X43" s="249">
        <f t="shared" si="1"/>
        <v>0</v>
      </c>
      <c r="Y43" s="1874"/>
      <c r="AA43" s="945">
        <f t="shared" si="4"/>
        <v>0</v>
      </c>
      <c r="AB43" s="200"/>
      <c r="AC43" s="72"/>
      <c r="AD43" s="98">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98">
        <f t="shared" ref="AE43:AL43" si="17" xml:space="preserve"> IF(AND($C43="Capital expenditure purpose - WASTEWATER additional line 7 [Other categories]",$O43=0), 0, IF( ISNUMBER( G43 ), 0, 1 ))</f>
        <v>0</v>
      </c>
      <c r="AF43" s="98">
        <f t="shared" si="17"/>
        <v>0</v>
      </c>
      <c r="AG43" s="98">
        <f t="shared" si="17"/>
        <v>0</v>
      </c>
      <c r="AH43" s="98">
        <f t="shared" si="17"/>
        <v>0</v>
      </c>
      <c r="AI43" s="98">
        <f t="shared" si="17"/>
        <v>0</v>
      </c>
      <c r="AJ43" s="98">
        <f t="shared" si="17"/>
        <v>0</v>
      </c>
      <c r="AK43" s="98">
        <f t="shared" si="17"/>
        <v>0</v>
      </c>
      <c r="AL43" s="98">
        <f t="shared" si="17"/>
        <v>0</v>
      </c>
      <c r="AM43" s="132"/>
      <c r="AN43" s="98">
        <f t="shared" ref="AN43:AU43" si="18" xml:space="preserve"> IF(AND($C43="Capital expenditure purpose - WASTEWATER additional line 7 [Other categories]",$O43=0), 0, IF( ISNUMBER( P43 ), 0, 1 ))</f>
        <v>0</v>
      </c>
      <c r="AO43" s="98">
        <f t="shared" si="18"/>
        <v>0</v>
      </c>
      <c r="AP43" s="98">
        <f t="shared" si="18"/>
        <v>0</v>
      </c>
      <c r="AQ43" s="98">
        <f t="shared" si="18"/>
        <v>0</v>
      </c>
      <c r="AR43" s="98">
        <f t="shared" si="18"/>
        <v>0</v>
      </c>
      <c r="AS43" s="98">
        <f t="shared" si="18"/>
        <v>0</v>
      </c>
      <c r="AT43" s="98">
        <f t="shared" si="18"/>
        <v>0</v>
      </c>
      <c r="AU43" s="98">
        <f t="shared" si="18"/>
        <v>0</v>
      </c>
      <c r="AV43" s="72"/>
      <c r="BD43" s="1059" t="s">
        <v>6653</v>
      </c>
      <c r="BE43" s="3087" t="s">
        <v>8743</v>
      </c>
      <c r="BF43" s="3050"/>
      <c r="BG43" s="2145" t="s">
        <v>750</v>
      </c>
      <c r="BH43" s="1061">
        <v>3</v>
      </c>
      <c r="BI43" s="3088" t="s">
        <v>8743</v>
      </c>
      <c r="BJ43" s="3089" t="s">
        <v>8744</v>
      </c>
      <c r="BK43" s="3090" t="s">
        <v>8745</v>
      </c>
      <c r="BL43" s="3091" t="s">
        <v>8746</v>
      </c>
      <c r="BM43" s="3089" t="s">
        <v>8747</v>
      </c>
      <c r="BN43" s="3089" t="s">
        <v>8748</v>
      </c>
      <c r="BO43" s="3092" t="s">
        <v>8749</v>
      </c>
      <c r="BP43" s="3090" t="s">
        <v>8750</v>
      </c>
      <c r="BQ43" s="2265" t="s">
        <v>8751</v>
      </c>
      <c r="BR43" s="3093" t="s">
        <v>8752</v>
      </c>
      <c r="BS43" s="3089" t="s">
        <v>8753</v>
      </c>
      <c r="BT43" s="3090" t="s">
        <v>8754</v>
      </c>
      <c r="BU43" s="3091" t="s">
        <v>8755</v>
      </c>
      <c r="BV43" s="3089" t="s">
        <v>8756</v>
      </c>
      <c r="BW43" s="3089" t="s">
        <v>8757</v>
      </c>
      <c r="BX43" s="3092" t="s">
        <v>8758</v>
      </c>
      <c r="BY43" s="3090" t="s">
        <v>8759</v>
      </c>
      <c r="BZ43" s="2265" t="s">
        <v>8760</v>
      </c>
    </row>
    <row r="44" spans="1:79">
      <c r="A44" s="1047"/>
      <c r="B44" s="1059" t="s">
        <v>6655</v>
      </c>
      <c r="C44" s="1118" t="s">
        <v>4176</v>
      </c>
      <c r="D44" s="1064"/>
      <c r="E44" s="1060" t="s">
        <v>750</v>
      </c>
      <c r="F44" s="1061">
        <v>3</v>
      </c>
      <c r="G44" s="1144"/>
      <c r="H44" s="1536"/>
      <c r="I44" s="1542"/>
      <c r="J44" s="1117"/>
      <c r="K44" s="1542"/>
      <c r="L44" s="1662"/>
      <c r="M44" s="1539"/>
      <c r="N44" s="1542"/>
      <c r="O44" s="249">
        <f t="shared" si="0"/>
        <v>0</v>
      </c>
      <c r="P44" s="1144"/>
      <c r="Q44" s="1536"/>
      <c r="R44" s="1542"/>
      <c r="S44" s="1117"/>
      <c r="T44" s="1542"/>
      <c r="U44" s="1662"/>
      <c r="V44" s="1539"/>
      <c r="W44" s="1542"/>
      <c r="X44" s="249">
        <f t="shared" si="1"/>
        <v>0</v>
      </c>
      <c r="Y44" s="1874"/>
      <c r="AA44" s="945">
        <f t="shared" si="4"/>
        <v>0</v>
      </c>
      <c r="AB44" s="200"/>
      <c r="AC44" s="72"/>
      <c r="AD44" s="98">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98">
        <f t="shared" ref="AE44:AL44" si="19" xml:space="preserve"> IF(AND($C44="Capital expenditure purpose - WASTEWATER additional line 8 [Other categories]",$O44=0), 0, IF( ISNUMBER( G44 ), 0, 1 ))</f>
        <v>0</v>
      </c>
      <c r="AF44" s="98">
        <f t="shared" si="19"/>
        <v>0</v>
      </c>
      <c r="AG44" s="98">
        <f t="shared" si="19"/>
        <v>0</v>
      </c>
      <c r="AH44" s="98">
        <f t="shared" si="19"/>
        <v>0</v>
      </c>
      <c r="AI44" s="98">
        <f t="shared" si="19"/>
        <v>0</v>
      </c>
      <c r="AJ44" s="98">
        <f t="shared" si="19"/>
        <v>0</v>
      </c>
      <c r="AK44" s="98">
        <f t="shared" si="19"/>
        <v>0</v>
      </c>
      <c r="AL44" s="98">
        <f t="shared" si="19"/>
        <v>0</v>
      </c>
      <c r="AM44" s="132"/>
      <c r="AN44" s="98">
        <f t="shared" ref="AN44:AU44" si="20" xml:space="preserve"> IF(AND($C44="Capital expenditure purpose - WASTEWATER additional line 8 [Other categories]",$O44=0), 0, IF( ISNUMBER( P44 ), 0, 1 ))</f>
        <v>0</v>
      </c>
      <c r="AO44" s="98">
        <f t="shared" si="20"/>
        <v>0</v>
      </c>
      <c r="AP44" s="98">
        <f t="shared" si="20"/>
        <v>0</v>
      </c>
      <c r="AQ44" s="98">
        <f t="shared" si="20"/>
        <v>0</v>
      </c>
      <c r="AR44" s="98">
        <f t="shared" si="20"/>
        <v>0</v>
      </c>
      <c r="AS44" s="98">
        <f t="shared" si="20"/>
        <v>0</v>
      </c>
      <c r="AT44" s="98">
        <f t="shared" si="20"/>
        <v>0</v>
      </c>
      <c r="AU44" s="98">
        <f t="shared" si="20"/>
        <v>0</v>
      </c>
      <c r="AV44" s="72"/>
      <c r="BD44" s="1059" t="s">
        <v>6654</v>
      </c>
      <c r="BE44" s="3087" t="s">
        <v>8761</v>
      </c>
      <c r="BF44" s="3050"/>
      <c r="BG44" s="2145" t="s">
        <v>750</v>
      </c>
      <c r="BH44" s="1061">
        <v>3</v>
      </c>
      <c r="BI44" s="3088" t="s">
        <v>8761</v>
      </c>
      <c r="BJ44" s="3089" t="s">
        <v>8762</v>
      </c>
      <c r="BK44" s="3090" t="s">
        <v>8763</v>
      </c>
      <c r="BL44" s="3091" t="s">
        <v>8764</v>
      </c>
      <c r="BM44" s="3089" t="s">
        <v>8765</v>
      </c>
      <c r="BN44" s="3089" t="s">
        <v>8766</v>
      </c>
      <c r="BO44" s="3092" t="s">
        <v>8767</v>
      </c>
      <c r="BP44" s="3090" t="s">
        <v>8768</v>
      </c>
      <c r="BQ44" s="2265" t="s">
        <v>8769</v>
      </c>
      <c r="BR44" s="3093" t="s">
        <v>8770</v>
      </c>
      <c r="BS44" s="3089" t="s">
        <v>8771</v>
      </c>
      <c r="BT44" s="3090" t="s">
        <v>8772</v>
      </c>
      <c r="BU44" s="3091" t="s">
        <v>8773</v>
      </c>
      <c r="BV44" s="3089" t="s">
        <v>8774</v>
      </c>
      <c r="BW44" s="3089" t="s">
        <v>8775</v>
      </c>
      <c r="BX44" s="3092" t="s">
        <v>8776</v>
      </c>
      <c r="BY44" s="3090" t="s">
        <v>8777</v>
      </c>
      <c r="BZ44" s="2265" t="s">
        <v>8778</v>
      </c>
    </row>
    <row r="45" spans="1:79">
      <c r="A45" s="1047"/>
      <c r="B45" s="1059" t="s">
        <v>6656</v>
      </c>
      <c r="C45" s="1118" t="s">
        <v>4177</v>
      </c>
      <c r="D45" s="1064"/>
      <c r="E45" s="1060" t="s">
        <v>750</v>
      </c>
      <c r="F45" s="1061">
        <v>3</v>
      </c>
      <c r="G45" s="1144"/>
      <c r="H45" s="1536"/>
      <c r="I45" s="1542"/>
      <c r="J45" s="1117"/>
      <c r="K45" s="1542"/>
      <c r="L45" s="1662"/>
      <c r="M45" s="1539"/>
      <c r="N45" s="1542"/>
      <c r="O45" s="249">
        <f t="shared" si="0"/>
        <v>0</v>
      </c>
      <c r="P45" s="1144"/>
      <c r="Q45" s="1536"/>
      <c r="R45" s="1542"/>
      <c r="S45" s="1117"/>
      <c r="T45" s="1542"/>
      <c r="U45" s="1662"/>
      <c r="V45" s="1539"/>
      <c r="W45" s="1542"/>
      <c r="X45" s="249">
        <f t="shared" si="1"/>
        <v>0</v>
      </c>
      <c r="Y45" s="1874"/>
      <c r="AA45" s="945">
        <f t="shared" si="4"/>
        <v>0</v>
      </c>
      <c r="AB45" s="200"/>
      <c r="AC45" s="72"/>
      <c r="AD45" s="98">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98">
        <f t="shared" ref="AE45:AL45" si="21" xml:space="preserve"> IF(AND($C45="Capital expenditure purpose - WASTEWATER additional line 9 [Other categories]",$O45=0), 0, IF( ISNUMBER( G45 ), 0, 1 ))</f>
        <v>0</v>
      </c>
      <c r="AF45" s="98">
        <f t="shared" si="21"/>
        <v>0</v>
      </c>
      <c r="AG45" s="98">
        <f t="shared" si="21"/>
        <v>0</v>
      </c>
      <c r="AH45" s="98">
        <f t="shared" si="21"/>
        <v>0</v>
      </c>
      <c r="AI45" s="98">
        <f t="shared" si="21"/>
        <v>0</v>
      </c>
      <c r="AJ45" s="98">
        <f t="shared" si="21"/>
        <v>0</v>
      </c>
      <c r="AK45" s="98">
        <f t="shared" si="21"/>
        <v>0</v>
      </c>
      <c r="AL45" s="98">
        <f t="shared" si="21"/>
        <v>0</v>
      </c>
      <c r="AM45" s="132"/>
      <c r="AN45" s="98">
        <f t="shared" ref="AN45:AU45" si="22" xml:space="preserve"> IF(AND($C45="Capital expenditure purpose - WASTEWATER additional line 9 [Other categories]",$O45=0), 0, IF( ISNUMBER( P45 ), 0, 1 ))</f>
        <v>0</v>
      </c>
      <c r="AO45" s="98">
        <f t="shared" si="22"/>
        <v>0</v>
      </c>
      <c r="AP45" s="98">
        <f t="shared" si="22"/>
        <v>0</v>
      </c>
      <c r="AQ45" s="98">
        <f t="shared" si="22"/>
        <v>0</v>
      </c>
      <c r="AR45" s="98">
        <f t="shared" si="22"/>
        <v>0</v>
      </c>
      <c r="AS45" s="98">
        <f t="shared" si="22"/>
        <v>0</v>
      </c>
      <c r="AT45" s="98">
        <f t="shared" si="22"/>
        <v>0</v>
      </c>
      <c r="AU45" s="98">
        <f t="shared" si="22"/>
        <v>0</v>
      </c>
      <c r="AV45" s="72"/>
      <c r="BD45" s="1059" t="s">
        <v>6655</v>
      </c>
      <c r="BE45" s="3087" t="s">
        <v>8779</v>
      </c>
      <c r="BF45" s="3050"/>
      <c r="BG45" s="2145" t="s">
        <v>750</v>
      </c>
      <c r="BH45" s="1061">
        <v>3</v>
      </c>
      <c r="BI45" s="3088" t="s">
        <v>8779</v>
      </c>
      <c r="BJ45" s="3089" t="s">
        <v>8780</v>
      </c>
      <c r="BK45" s="3090" t="s">
        <v>8781</v>
      </c>
      <c r="BL45" s="3091" t="s">
        <v>8782</v>
      </c>
      <c r="BM45" s="3089" t="s">
        <v>8783</v>
      </c>
      <c r="BN45" s="3089" t="s">
        <v>8784</v>
      </c>
      <c r="BO45" s="3092" t="s">
        <v>8785</v>
      </c>
      <c r="BP45" s="3090" t="s">
        <v>8786</v>
      </c>
      <c r="BQ45" s="2265" t="s">
        <v>8787</v>
      </c>
      <c r="BR45" s="3093" t="s">
        <v>8788</v>
      </c>
      <c r="BS45" s="3089" t="s">
        <v>8789</v>
      </c>
      <c r="BT45" s="3090" t="s">
        <v>8790</v>
      </c>
      <c r="BU45" s="3091" t="s">
        <v>8791</v>
      </c>
      <c r="BV45" s="3089" t="s">
        <v>8792</v>
      </c>
      <c r="BW45" s="3089" t="s">
        <v>8793</v>
      </c>
      <c r="BX45" s="3092" t="s">
        <v>8794</v>
      </c>
      <c r="BY45" s="3090" t="s">
        <v>8795</v>
      </c>
      <c r="BZ45" s="2265" t="s">
        <v>8796</v>
      </c>
    </row>
    <row r="46" spans="1:79">
      <c r="A46" s="1047"/>
      <c r="B46" s="1059" t="s">
        <v>6657</v>
      </c>
      <c r="C46" s="1553" t="s">
        <v>4178</v>
      </c>
      <c r="D46" s="1194"/>
      <c r="E46" s="1060" t="s">
        <v>750</v>
      </c>
      <c r="F46" s="1061">
        <v>3</v>
      </c>
      <c r="G46" s="1144"/>
      <c r="H46" s="1536"/>
      <c r="I46" s="1542"/>
      <c r="J46" s="1117"/>
      <c r="K46" s="1542"/>
      <c r="L46" s="1662"/>
      <c r="M46" s="1539"/>
      <c r="N46" s="1542"/>
      <c r="O46" s="249">
        <f t="shared" ref="O46:O50" si="23">+SUM(G46:N46)</f>
        <v>0</v>
      </c>
      <c r="P46" s="1144"/>
      <c r="Q46" s="1536"/>
      <c r="R46" s="1542"/>
      <c r="S46" s="1117"/>
      <c r="T46" s="1542"/>
      <c r="U46" s="1662"/>
      <c r="V46" s="1539"/>
      <c r="W46" s="1542"/>
      <c r="X46" s="249">
        <f t="shared" ref="X46:X50" si="24">+SUM(P46:W46)</f>
        <v>0</v>
      </c>
      <c r="Y46" s="1874"/>
      <c r="AA46" s="945">
        <f t="shared" si="4"/>
        <v>0</v>
      </c>
      <c r="AB46" s="200"/>
      <c r="AC46" s="72"/>
      <c r="AD46" s="98">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98">
        <f t="shared" ref="AE46:AL46" si="25" xml:space="preserve"> IF(AND($C46="Capital expenditure purpose - WASTEWATER additional line 10 [Other categories]",$O46=0), 0, IF( ISNUMBER( G46 ), 0, 1 ))</f>
        <v>0</v>
      </c>
      <c r="AF46" s="98">
        <f t="shared" si="25"/>
        <v>0</v>
      </c>
      <c r="AG46" s="98">
        <f t="shared" si="25"/>
        <v>0</v>
      </c>
      <c r="AH46" s="98">
        <f t="shared" si="25"/>
        <v>0</v>
      </c>
      <c r="AI46" s="98">
        <f t="shared" si="25"/>
        <v>0</v>
      </c>
      <c r="AJ46" s="98">
        <f t="shared" si="25"/>
        <v>0</v>
      </c>
      <c r="AK46" s="98">
        <f t="shared" si="25"/>
        <v>0</v>
      </c>
      <c r="AL46" s="98">
        <f t="shared" si="25"/>
        <v>0</v>
      </c>
      <c r="AM46" s="132"/>
      <c r="AN46" s="98">
        <f t="shared" ref="AN46:AU46" si="26" xml:space="preserve"> IF(AND($C46="Capital expenditure purpose - WASTEWATER additional line 10 [Other categories]",$O46=0), 0, IF( ISNUMBER( P46 ), 0, 1 ))</f>
        <v>0</v>
      </c>
      <c r="AO46" s="98">
        <f t="shared" si="26"/>
        <v>0</v>
      </c>
      <c r="AP46" s="98">
        <f t="shared" si="26"/>
        <v>0</v>
      </c>
      <c r="AQ46" s="98">
        <f t="shared" si="26"/>
        <v>0</v>
      </c>
      <c r="AR46" s="98">
        <f t="shared" si="26"/>
        <v>0</v>
      </c>
      <c r="AS46" s="98">
        <f t="shared" si="26"/>
        <v>0</v>
      </c>
      <c r="AT46" s="98">
        <f t="shared" si="26"/>
        <v>0</v>
      </c>
      <c r="AU46" s="98">
        <f t="shared" si="26"/>
        <v>0</v>
      </c>
      <c r="AV46" s="72"/>
      <c r="BD46" s="1059" t="s">
        <v>6656</v>
      </c>
      <c r="BE46" s="3094" t="s">
        <v>8797</v>
      </c>
      <c r="BF46" s="3095"/>
      <c r="BG46" s="2145" t="s">
        <v>750</v>
      </c>
      <c r="BH46" s="1061">
        <v>3</v>
      </c>
      <c r="BI46" s="3088" t="s">
        <v>8797</v>
      </c>
      <c r="BJ46" s="3089" t="s">
        <v>8798</v>
      </c>
      <c r="BK46" s="3090" t="s">
        <v>8799</v>
      </c>
      <c r="BL46" s="3091" t="s">
        <v>8800</v>
      </c>
      <c r="BM46" s="3089" t="s">
        <v>8801</v>
      </c>
      <c r="BN46" s="3089" t="s">
        <v>8802</v>
      </c>
      <c r="BO46" s="3092" t="s">
        <v>8803</v>
      </c>
      <c r="BP46" s="3090" t="s">
        <v>8804</v>
      </c>
      <c r="BQ46" s="2265" t="s">
        <v>8805</v>
      </c>
      <c r="BR46" s="3093" t="s">
        <v>8806</v>
      </c>
      <c r="BS46" s="3089" t="s">
        <v>8807</v>
      </c>
      <c r="BT46" s="3090" t="s">
        <v>8808</v>
      </c>
      <c r="BU46" s="3091" t="s">
        <v>8809</v>
      </c>
      <c r="BV46" s="3089" t="s">
        <v>8810</v>
      </c>
      <c r="BW46" s="3089" t="s">
        <v>8811</v>
      </c>
      <c r="BX46" s="3092" t="s">
        <v>8812</v>
      </c>
      <c r="BY46" s="3090" t="s">
        <v>8813</v>
      </c>
      <c r="BZ46" s="2265" t="s">
        <v>8814</v>
      </c>
    </row>
    <row r="47" spans="1:79">
      <c r="A47" s="1047"/>
      <c r="B47" s="1059" t="s">
        <v>6658</v>
      </c>
      <c r="C47" s="1553" t="s">
        <v>6211</v>
      </c>
      <c r="D47" s="1194"/>
      <c r="E47" s="1060" t="s">
        <v>750</v>
      </c>
      <c r="F47" s="1061">
        <v>3</v>
      </c>
      <c r="G47" s="1144"/>
      <c r="H47" s="1536"/>
      <c r="I47" s="1542"/>
      <c r="J47" s="1117"/>
      <c r="K47" s="1542"/>
      <c r="L47" s="1662"/>
      <c r="M47" s="1539"/>
      <c r="N47" s="1542"/>
      <c r="O47" s="249">
        <f t="shared" si="23"/>
        <v>0</v>
      </c>
      <c r="P47" s="1144"/>
      <c r="Q47" s="1536"/>
      <c r="R47" s="1542"/>
      <c r="S47" s="1117"/>
      <c r="T47" s="1542"/>
      <c r="U47" s="1662"/>
      <c r="V47" s="1539"/>
      <c r="W47" s="1542"/>
      <c r="X47" s="249">
        <f t="shared" si="24"/>
        <v>0</v>
      </c>
      <c r="Y47" s="1874"/>
      <c r="AA47" s="945">
        <f t="shared" si="4"/>
        <v>0</v>
      </c>
      <c r="AB47" s="200"/>
      <c r="AC47" s="72"/>
      <c r="AD47" s="98">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98">
        <f t="shared" ref="AE47:AL47" si="27" xml:space="preserve"> IF(AND($C47="Capital expenditure purpose - WASTEWATER additional line 11 [Other categories]",$O47=0), 0, IF( ISNUMBER( G47 ), 0, 1 ))</f>
        <v>0</v>
      </c>
      <c r="AF47" s="98">
        <f t="shared" si="27"/>
        <v>0</v>
      </c>
      <c r="AG47" s="98">
        <f t="shared" si="27"/>
        <v>0</v>
      </c>
      <c r="AH47" s="98">
        <f t="shared" si="27"/>
        <v>0</v>
      </c>
      <c r="AI47" s="98">
        <f t="shared" si="27"/>
        <v>0</v>
      </c>
      <c r="AJ47" s="98">
        <f t="shared" si="27"/>
        <v>0</v>
      </c>
      <c r="AK47" s="98">
        <f t="shared" si="27"/>
        <v>0</v>
      </c>
      <c r="AL47" s="98">
        <f t="shared" si="27"/>
        <v>0</v>
      </c>
      <c r="AM47" s="132"/>
      <c r="AN47" s="98">
        <f t="shared" ref="AN47:AU47" si="28" xml:space="preserve"> IF(AND($C47="Capital expenditure purpose - WASTEWATER additional line 11 [Other categories]",$O47=0), 0, IF( ISNUMBER( P47 ), 0, 1 ))</f>
        <v>0</v>
      </c>
      <c r="AO47" s="98">
        <f t="shared" si="28"/>
        <v>0</v>
      </c>
      <c r="AP47" s="98">
        <f t="shared" si="28"/>
        <v>0</v>
      </c>
      <c r="AQ47" s="98">
        <f t="shared" si="28"/>
        <v>0</v>
      </c>
      <c r="AR47" s="98">
        <f t="shared" si="28"/>
        <v>0</v>
      </c>
      <c r="AS47" s="98">
        <f t="shared" si="28"/>
        <v>0</v>
      </c>
      <c r="AT47" s="98">
        <f t="shared" si="28"/>
        <v>0</v>
      </c>
      <c r="AU47" s="98">
        <f t="shared" si="28"/>
        <v>0</v>
      </c>
      <c r="AV47" s="72"/>
      <c r="BD47" s="1059" t="s">
        <v>6657</v>
      </c>
      <c r="BE47" s="3094" t="s">
        <v>8815</v>
      </c>
      <c r="BF47" s="3095"/>
      <c r="BG47" s="2145" t="s">
        <v>750</v>
      </c>
      <c r="BH47" s="1061">
        <v>3</v>
      </c>
      <c r="BI47" s="3088" t="s">
        <v>8815</v>
      </c>
      <c r="BJ47" s="3089" t="s">
        <v>8816</v>
      </c>
      <c r="BK47" s="3090" t="s">
        <v>8817</v>
      </c>
      <c r="BL47" s="3091" t="s">
        <v>8818</v>
      </c>
      <c r="BM47" s="3089" t="s">
        <v>8819</v>
      </c>
      <c r="BN47" s="3089" t="s">
        <v>8820</v>
      </c>
      <c r="BO47" s="3092" t="s">
        <v>8821</v>
      </c>
      <c r="BP47" s="3090" t="s">
        <v>8822</v>
      </c>
      <c r="BQ47" s="2265" t="s">
        <v>8823</v>
      </c>
      <c r="BR47" s="3093" t="s">
        <v>8824</v>
      </c>
      <c r="BS47" s="3089" t="s">
        <v>8825</v>
      </c>
      <c r="BT47" s="3090" t="s">
        <v>8826</v>
      </c>
      <c r="BU47" s="3091" t="s">
        <v>8827</v>
      </c>
      <c r="BV47" s="3089" t="s">
        <v>8828</v>
      </c>
      <c r="BW47" s="3089" t="s">
        <v>8829</v>
      </c>
      <c r="BX47" s="3092" t="s">
        <v>8830</v>
      </c>
      <c r="BY47" s="3090" t="s">
        <v>8831</v>
      </c>
      <c r="BZ47" s="2265" t="s">
        <v>8832</v>
      </c>
    </row>
    <row r="48" spans="1:79">
      <c r="A48" s="1047"/>
      <c r="B48" s="1059" t="s">
        <v>6659</v>
      </c>
      <c r="C48" s="1553" t="s">
        <v>6212</v>
      </c>
      <c r="D48" s="1194"/>
      <c r="E48" s="1060" t="s">
        <v>750</v>
      </c>
      <c r="F48" s="1061">
        <v>3</v>
      </c>
      <c r="G48" s="1144"/>
      <c r="H48" s="1536"/>
      <c r="I48" s="1542"/>
      <c r="J48" s="1117"/>
      <c r="K48" s="1542"/>
      <c r="L48" s="1662"/>
      <c r="M48" s="1539"/>
      <c r="N48" s="1542"/>
      <c r="O48" s="249">
        <f t="shared" si="23"/>
        <v>0</v>
      </c>
      <c r="P48" s="1144"/>
      <c r="Q48" s="1536"/>
      <c r="R48" s="1542"/>
      <c r="S48" s="1117"/>
      <c r="T48" s="1542"/>
      <c r="U48" s="1662"/>
      <c r="V48" s="1539"/>
      <c r="W48" s="1542"/>
      <c r="X48" s="249">
        <f t="shared" si="24"/>
        <v>0</v>
      </c>
      <c r="Y48" s="1874"/>
      <c r="AA48" s="945">
        <f t="shared" si="4"/>
        <v>0</v>
      </c>
      <c r="AB48" s="200"/>
      <c r="AC48" s="72"/>
      <c r="AD48" s="98">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98">
        <f t="shared" ref="AE48:AL48" si="29" xml:space="preserve"> IF(AND($C48="Capital expenditure purpose - WASTEWATER additional line 12 [Other categories]",$O48=0), 0, IF( ISNUMBER( G48 ), 0, 1 ))</f>
        <v>0</v>
      </c>
      <c r="AF48" s="98">
        <f t="shared" si="29"/>
        <v>0</v>
      </c>
      <c r="AG48" s="98">
        <f t="shared" si="29"/>
        <v>0</v>
      </c>
      <c r="AH48" s="98">
        <f t="shared" si="29"/>
        <v>0</v>
      </c>
      <c r="AI48" s="98">
        <f t="shared" si="29"/>
        <v>0</v>
      </c>
      <c r="AJ48" s="98">
        <f t="shared" si="29"/>
        <v>0</v>
      </c>
      <c r="AK48" s="98">
        <f t="shared" si="29"/>
        <v>0</v>
      </c>
      <c r="AL48" s="98">
        <f t="shared" si="29"/>
        <v>0</v>
      </c>
      <c r="AM48" s="132"/>
      <c r="AN48" s="98">
        <f t="shared" ref="AN48:AU48" si="30" xml:space="preserve"> IF(AND($C48="Capital expenditure purpose - WASTEWATER additional line 12 [Other categories]",$O48=0), 0, IF( ISNUMBER( P48 ), 0, 1 ))</f>
        <v>0</v>
      </c>
      <c r="AO48" s="98">
        <f t="shared" si="30"/>
        <v>0</v>
      </c>
      <c r="AP48" s="98">
        <f t="shared" si="30"/>
        <v>0</v>
      </c>
      <c r="AQ48" s="98">
        <f t="shared" si="30"/>
        <v>0</v>
      </c>
      <c r="AR48" s="98">
        <f t="shared" si="30"/>
        <v>0</v>
      </c>
      <c r="AS48" s="98">
        <f t="shared" si="30"/>
        <v>0</v>
      </c>
      <c r="AT48" s="98">
        <f t="shared" si="30"/>
        <v>0</v>
      </c>
      <c r="AU48" s="98">
        <f t="shared" si="30"/>
        <v>0</v>
      </c>
      <c r="AV48" s="72"/>
      <c r="BD48" s="1059" t="s">
        <v>6658</v>
      </c>
      <c r="BE48" s="3094" t="s">
        <v>8833</v>
      </c>
      <c r="BF48" s="3095"/>
      <c r="BG48" s="2145" t="s">
        <v>750</v>
      </c>
      <c r="BH48" s="1061">
        <v>3</v>
      </c>
      <c r="BI48" s="3088" t="s">
        <v>8833</v>
      </c>
      <c r="BJ48" s="3089" t="s">
        <v>8834</v>
      </c>
      <c r="BK48" s="3090" t="s">
        <v>8835</v>
      </c>
      <c r="BL48" s="3091" t="s">
        <v>8836</v>
      </c>
      <c r="BM48" s="3089" t="s">
        <v>8837</v>
      </c>
      <c r="BN48" s="3089" t="s">
        <v>8838</v>
      </c>
      <c r="BO48" s="3092" t="s">
        <v>8839</v>
      </c>
      <c r="BP48" s="3090" t="s">
        <v>8840</v>
      </c>
      <c r="BQ48" s="2265" t="s">
        <v>8841</v>
      </c>
      <c r="BR48" s="3093" t="s">
        <v>8842</v>
      </c>
      <c r="BS48" s="3089" t="s">
        <v>8843</v>
      </c>
      <c r="BT48" s="3090" t="s">
        <v>8844</v>
      </c>
      <c r="BU48" s="3091" t="s">
        <v>8845</v>
      </c>
      <c r="BV48" s="3089" t="s">
        <v>8846</v>
      </c>
      <c r="BW48" s="3089" t="s">
        <v>8847</v>
      </c>
      <c r="BX48" s="3092" t="s">
        <v>8848</v>
      </c>
      <c r="BY48" s="3090" t="s">
        <v>8849</v>
      </c>
      <c r="BZ48" s="2265" t="s">
        <v>8850</v>
      </c>
    </row>
    <row r="49" spans="1:78">
      <c r="A49" s="1047"/>
      <c r="B49" s="1059" t="s">
        <v>6660</v>
      </c>
      <c r="C49" s="1553" t="s">
        <v>6213</v>
      </c>
      <c r="D49" s="1194"/>
      <c r="E49" s="1060" t="s">
        <v>750</v>
      </c>
      <c r="F49" s="1061">
        <v>3</v>
      </c>
      <c r="G49" s="1144"/>
      <c r="H49" s="1536"/>
      <c r="I49" s="1542"/>
      <c r="J49" s="1117"/>
      <c r="K49" s="1542"/>
      <c r="L49" s="1662"/>
      <c r="M49" s="1539"/>
      <c r="N49" s="1542"/>
      <c r="O49" s="249">
        <f t="shared" si="23"/>
        <v>0</v>
      </c>
      <c r="P49" s="1144"/>
      <c r="Q49" s="1536"/>
      <c r="R49" s="1542"/>
      <c r="S49" s="1117"/>
      <c r="T49" s="1542"/>
      <c r="U49" s="1662"/>
      <c r="V49" s="1539"/>
      <c r="W49" s="1542"/>
      <c r="X49" s="249">
        <f t="shared" si="24"/>
        <v>0</v>
      </c>
      <c r="Y49" s="1874"/>
      <c r="AA49" s="945">
        <f t="shared" si="4"/>
        <v>0</v>
      </c>
      <c r="AB49" s="200"/>
      <c r="AC49" s="72"/>
      <c r="AD49" s="98">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98">
        <f t="shared" ref="AE49:AL49" si="31" xml:space="preserve"> IF(AND($C49="Capital expenditure purpose - WASTEWATER additional line 13 [Other categories]",$O49=0), 0, IF( ISNUMBER( G49 ), 0, 1 ))</f>
        <v>0</v>
      </c>
      <c r="AF49" s="98">
        <f t="shared" si="31"/>
        <v>0</v>
      </c>
      <c r="AG49" s="98">
        <f t="shared" si="31"/>
        <v>0</v>
      </c>
      <c r="AH49" s="98">
        <f t="shared" si="31"/>
        <v>0</v>
      </c>
      <c r="AI49" s="98">
        <f t="shared" si="31"/>
        <v>0</v>
      </c>
      <c r="AJ49" s="98">
        <f t="shared" si="31"/>
        <v>0</v>
      </c>
      <c r="AK49" s="98">
        <f t="shared" si="31"/>
        <v>0</v>
      </c>
      <c r="AL49" s="98">
        <f t="shared" si="31"/>
        <v>0</v>
      </c>
      <c r="AM49" s="132"/>
      <c r="AN49" s="98">
        <f t="shared" ref="AN49:AU49" si="32" xml:space="preserve"> IF(AND($C49="Capital expenditure purpose - WASTEWATER additional line 13 [Other categories]",$O49=0), 0, IF( ISNUMBER( P49 ), 0, 1 ))</f>
        <v>0</v>
      </c>
      <c r="AO49" s="98">
        <f t="shared" si="32"/>
        <v>0</v>
      </c>
      <c r="AP49" s="98">
        <f t="shared" si="32"/>
        <v>0</v>
      </c>
      <c r="AQ49" s="98">
        <f t="shared" si="32"/>
        <v>0</v>
      </c>
      <c r="AR49" s="98">
        <f t="shared" si="32"/>
        <v>0</v>
      </c>
      <c r="AS49" s="98">
        <f t="shared" si="32"/>
        <v>0</v>
      </c>
      <c r="AT49" s="98">
        <f t="shared" si="32"/>
        <v>0</v>
      </c>
      <c r="AU49" s="98">
        <f t="shared" si="32"/>
        <v>0</v>
      </c>
      <c r="AV49" s="72"/>
      <c r="BD49" s="1059" t="s">
        <v>6659</v>
      </c>
      <c r="BE49" s="3094" t="s">
        <v>8851</v>
      </c>
      <c r="BF49" s="3095"/>
      <c r="BG49" s="2145" t="s">
        <v>750</v>
      </c>
      <c r="BH49" s="1061">
        <v>3</v>
      </c>
      <c r="BI49" s="3088" t="s">
        <v>8851</v>
      </c>
      <c r="BJ49" s="3089" t="s">
        <v>8852</v>
      </c>
      <c r="BK49" s="3090" t="s">
        <v>8853</v>
      </c>
      <c r="BL49" s="3091" t="s">
        <v>8854</v>
      </c>
      <c r="BM49" s="3089" t="s">
        <v>8855</v>
      </c>
      <c r="BN49" s="3089" t="s">
        <v>8856</v>
      </c>
      <c r="BO49" s="3092" t="s">
        <v>8857</v>
      </c>
      <c r="BP49" s="3090" t="s">
        <v>8858</v>
      </c>
      <c r="BQ49" s="2265" t="s">
        <v>8859</v>
      </c>
      <c r="BR49" s="3093" t="s">
        <v>8860</v>
      </c>
      <c r="BS49" s="3089" t="s">
        <v>8861</v>
      </c>
      <c r="BT49" s="3090" t="s">
        <v>8862</v>
      </c>
      <c r="BU49" s="3091" t="s">
        <v>8863</v>
      </c>
      <c r="BV49" s="3089" t="s">
        <v>8864</v>
      </c>
      <c r="BW49" s="3089" t="s">
        <v>8865</v>
      </c>
      <c r="BX49" s="3092" t="s">
        <v>8866</v>
      </c>
      <c r="BY49" s="3090" t="s">
        <v>8867</v>
      </c>
      <c r="BZ49" s="2265" t="s">
        <v>8868</v>
      </c>
    </row>
    <row r="50" spans="1:78">
      <c r="A50" s="1047"/>
      <c r="B50" s="1059" t="s">
        <v>6661</v>
      </c>
      <c r="C50" s="1553" t="s">
        <v>6214</v>
      </c>
      <c r="D50" s="1194"/>
      <c r="E50" s="1060" t="s">
        <v>750</v>
      </c>
      <c r="F50" s="1061">
        <v>3</v>
      </c>
      <c r="G50" s="1144"/>
      <c r="H50" s="1536"/>
      <c r="I50" s="1542"/>
      <c r="J50" s="1117"/>
      <c r="K50" s="1542"/>
      <c r="L50" s="1662"/>
      <c r="M50" s="1539"/>
      <c r="N50" s="1542"/>
      <c r="O50" s="249">
        <f t="shared" si="23"/>
        <v>0</v>
      </c>
      <c r="P50" s="1144"/>
      <c r="Q50" s="1536"/>
      <c r="R50" s="1542"/>
      <c r="S50" s="1117"/>
      <c r="T50" s="1542"/>
      <c r="U50" s="1662"/>
      <c r="V50" s="1539"/>
      <c r="W50" s="1542"/>
      <c r="X50" s="249">
        <f t="shared" si="24"/>
        <v>0</v>
      </c>
      <c r="Y50" s="1874"/>
      <c r="AA50" s="945">
        <f t="shared" si="4"/>
        <v>0</v>
      </c>
      <c r="AB50" s="200"/>
      <c r="AC50" s="72"/>
      <c r="AD50" s="98">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98">
        <f t="shared" ref="AE50:AL50" si="33" xml:space="preserve"> IF(AND($C50="Capital expenditure purpose - WASTEWATER additional line 14 [Other categories]",$O50=0), 0, IF( ISNUMBER( G50 ), 0, 1 ))</f>
        <v>0</v>
      </c>
      <c r="AF50" s="98">
        <f t="shared" si="33"/>
        <v>0</v>
      </c>
      <c r="AG50" s="98">
        <f t="shared" si="33"/>
        <v>0</v>
      </c>
      <c r="AH50" s="98">
        <f t="shared" si="33"/>
        <v>0</v>
      </c>
      <c r="AI50" s="98">
        <f t="shared" si="33"/>
        <v>0</v>
      </c>
      <c r="AJ50" s="98">
        <f t="shared" si="33"/>
        <v>0</v>
      </c>
      <c r="AK50" s="98">
        <f t="shared" si="33"/>
        <v>0</v>
      </c>
      <c r="AL50" s="98">
        <f t="shared" si="33"/>
        <v>0</v>
      </c>
      <c r="AM50" s="132"/>
      <c r="AN50" s="98">
        <f t="shared" ref="AN50:AU50" si="34" xml:space="preserve"> IF(AND($C50="Capital expenditure purpose - WASTEWATER additional line 14 [Other categories]",$O50=0), 0, IF( ISNUMBER( P50 ), 0, 1 ))</f>
        <v>0</v>
      </c>
      <c r="AO50" s="98">
        <f t="shared" si="34"/>
        <v>0</v>
      </c>
      <c r="AP50" s="98">
        <f t="shared" si="34"/>
        <v>0</v>
      </c>
      <c r="AQ50" s="98">
        <f t="shared" si="34"/>
        <v>0</v>
      </c>
      <c r="AR50" s="98">
        <f t="shared" si="34"/>
        <v>0</v>
      </c>
      <c r="AS50" s="98">
        <f t="shared" si="34"/>
        <v>0</v>
      </c>
      <c r="AT50" s="98">
        <f t="shared" si="34"/>
        <v>0</v>
      </c>
      <c r="AU50" s="98">
        <f t="shared" si="34"/>
        <v>0</v>
      </c>
      <c r="AV50" s="72"/>
      <c r="BD50" s="1059" t="s">
        <v>6660</v>
      </c>
      <c r="BE50" s="3094" t="s">
        <v>8869</v>
      </c>
      <c r="BF50" s="3095"/>
      <c r="BG50" s="2145" t="s">
        <v>750</v>
      </c>
      <c r="BH50" s="1061">
        <v>3</v>
      </c>
      <c r="BI50" s="3088" t="s">
        <v>8869</v>
      </c>
      <c r="BJ50" s="3089" t="s">
        <v>8870</v>
      </c>
      <c r="BK50" s="3090" t="s">
        <v>8871</v>
      </c>
      <c r="BL50" s="3091" t="s">
        <v>8872</v>
      </c>
      <c r="BM50" s="3089" t="s">
        <v>8873</v>
      </c>
      <c r="BN50" s="3089" t="s">
        <v>8874</v>
      </c>
      <c r="BO50" s="3092" t="s">
        <v>8875</v>
      </c>
      <c r="BP50" s="3090" t="s">
        <v>8876</v>
      </c>
      <c r="BQ50" s="2265" t="s">
        <v>8877</v>
      </c>
      <c r="BR50" s="3093" t="s">
        <v>8878</v>
      </c>
      <c r="BS50" s="3089" t="s">
        <v>8879</v>
      </c>
      <c r="BT50" s="3090" t="s">
        <v>8880</v>
      </c>
      <c r="BU50" s="3091" t="s">
        <v>8881</v>
      </c>
      <c r="BV50" s="3089" t="s">
        <v>8882</v>
      </c>
      <c r="BW50" s="3089" t="s">
        <v>8883</v>
      </c>
      <c r="BX50" s="3092" t="s">
        <v>8884</v>
      </c>
      <c r="BY50" s="3090" t="s">
        <v>8885</v>
      </c>
      <c r="BZ50" s="2265" t="s">
        <v>8886</v>
      </c>
    </row>
    <row r="51" spans="1:78" ht="15" thickBot="1">
      <c r="A51" s="1047"/>
      <c r="B51" s="1554" t="s">
        <v>6662</v>
      </c>
      <c r="C51" s="1120" t="s">
        <v>6215</v>
      </c>
      <c r="D51" s="1070"/>
      <c r="E51" s="1070" t="s">
        <v>750</v>
      </c>
      <c r="F51" s="1071">
        <v>3</v>
      </c>
      <c r="G51" s="1534"/>
      <c r="H51" s="1537"/>
      <c r="I51" s="1543"/>
      <c r="J51" s="1121"/>
      <c r="K51" s="1543"/>
      <c r="L51" s="1663"/>
      <c r="M51" s="1540"/>
      <c r="N51" s="1543"/>
      <c r="O51" s="1122">
        <f t="shared" si="0"/>
        <v>0</v>
      </c>
      <c r="P51" s="1534"/>
      <c r="Q51" s="1537"/>
      <c r="R51" s="1543"/>
      <c r="S51" s="1121"/>
      <c r="T51" s="1543"/>
      <c r="U51" s="1663"/>
      <c r="V51" s="1540"/>
      <c r="W51" s="1543"/>
      <c r="X51" s="1122">
        <f t="shared" si="1"/>
        <v>0</v>
      </c>
      <c r="Y51" s="1875"/>
      <c r="AA51" s="945">
        <f t="shared" si="4"/>
        <v>0</v>
      </c>
      <c r="AB51" s="200"/>
      <c r="AC51" s="72"/>
      <c r="AD51" s="98">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98">
        <f t="shared" ref="AE51:AL51" si="35" xml:space="preserve"> IF(AND($C51="Capital expenditure purpose - WASTEWATER additional line 15 [Other categories]",$O51=0), 0, IF( ISNUMBER( G51 ), 0, 1 ))</f>
        <v>0</v>
      </c>
      <c r="AF51" s="98">
        <f t="shared" si="35"/>
        <v>0</v>
      </c>
      <c r="AG51" s="98">
        <f t="shared" si="35"/>
        <v>0</v>
      </c>
      <c r="AH51" s="98">
        <f t="shared" si="35"/>
        <v>0</v>
      </c>
      <c r="AI51" s="98">
        <f t="shared" si="35"/>
        <v>0</v>
      </c>
      <c r="AJ51" s="98">
        <f t="shared" si="35"/>
        <v>0</v>
      </c>
      <c r="AK51" s="98">
        <f t="shared" si="35"/>
        <v>0</v>
      </c>
      <c r="AL51" s="98">
        <f t="shared" si="35"/>
        <v>0</v>
      </c>
      <c r="AM51" s="132"/>
      <c r="AN51" s="98">
        <f t="shared" ref="AN51:AU51" si="36" xml:space="preserve"> IF(AND($C51="Capital expenditure purpose - WASTEWATER additional line 15 [Other categories]",$O51=0), 0, IF( ISNUMBER( P51 ), 0, 1 ))</f>
        <v>0</v>
      </c>
      <c r="AO51" s="98">
        <f t="shared" si="36"/>
        <v>0</v>
      </c>
      <c r="AP51" s="98">
        <f t="shared" si="36"/>
        <v>0</v>
      </c>
      <c r="AQ51" s="98">
        <f t="shared" si="36"/>
        <v>0</v>
      </c>
      <c r="AR51" s="98">
        <f t="shared" si="36"/>
        <v>0</v>
      </c>
      <c r="AS51" s="98">
        <f t="shared" si="36"/>
        <v>0</v>
      </c>
      <c r="AT51" s="98">
        <f t="shared" si="36"/>
        <v>0</v>
      </c>
      <c r="AU51" s="98">
        <f t="shared" si="36"/>
        <v>0</v>
      </c>
      <c r="AV51" s="72"/>
      <c r="BD51" s="1554" t="s">
        <v>6661</v>
      </c>
      <c r="BE51" s="3096" t="s">
        <v>8887</v>
      </c>
      <c r="BF51" s="1070"/>
      <c r="BG51" s="1070" t="s">
        <v>750</v>
      </c>
      <c r="BH51" s="1071">
        <v>3</v>
      </c>
      <c r="BI51" s="3097" t="s">
        <v>8887</v>
      </c>
      <c r="BJ51" s="3098" t="s">
        <v>8888</v>
      </c>
      <c r="BK51" s="3099" t="s">
        <v>8889</v>
      </c>
      <c r="BL51" s="3100" t="s">
        <v>8890</v>
      </c>
      <c r="BM51" s="3098" t="s">
        <v>8891</v>
      </c>
      <c r="BN51" s="3098" t="s">
        <v>8892</v>
      </c>
      <c r="BO51" s="3101" t="s">
        <v>8893</v>
      </c>
      <c r="BP51" s="3099" t="s">
        <v>8894</v>
      </c>
      <c r="BQ51" s="2316" t="s">
        <v>8895</v>
      </c>
      <c r="BR51" s="3102" t="s">
        <v>8896</v>
      </c>
      <c r="BS51" s="3098" t="s">
        <v>8897</v>
      </c>
      <c r="BT51" s="3099" t="s">
        <v>8898</v>
      </c>
      <c r="BU51" s="3100" t="s">
        <v>8899</v>
      </c>
      <c r="BV51" s="3098" t="s">
        <v>8900</v>
      </c>
      <c r="BW51" s="3098" t="s">
        <v>8901</v>
      </c>
      <c r="BX51" s="3101" t="s">
        <v>8902</v>
      </c>
      <c r="BY51" s="3099" t="s">
        <v>8903</v>
      </c>
      <c r="BZ51" s="2316" t="s">
        <v>8904</v>
      </c>
    </row>
    <row r="52" spans="1:78" ht="23.25" customHeight="1" thickBot="1">
      <c r="A52" s="1047"/>
      <c r="B52" s="1073" t="s">
        <v>12633</v>
      </c>
      <c r="C52" s="1074" t="s">
        <v>4119</v>
      </c>
      <c r="D52" s="1070"/>
      <c r="E52" s="1070" t="s">
        <v>750</v>
      </c>
      <c r="F52" s="1071">
        <v>3</v>
      </c>
      <c r="G52" s="1524">
        <f>SUM(G8:G51)</f>
        <v>0</v>
      </c>
      <c r="H52" s="1528">
        <f>SUM(H8:H51)</f>
        <v>0</v>
      </c>
      <c r="I52" s="1544">
        <f t="shared" ref="I52:M52" si="37">SUM(I8:I51)</f>
        <v>0</v>
      </c>
      <c r="J52" s="1076">
        <f t="shared" si="37"/>
        <v>0</v>
      </c>
      <c r="K52" s="1544">
        <f t="shared" si="37"/>
        <v>0</v>
      </c>
      <c r="L52" s="1077">
        <f t="shared" si="37"/>
        <v>0</v>
      </c>
      <c r="M52" s="1529">
        <f t="shared" si="37"/>
        <v>0</v>
      </c>
      <c r="N52" s="1544">
        <f>SUM(N8:N51)</f>
        <v>0</v>
      </c>
      <c r="O52" s="504">
        <f t="shared" si="0"/>
        <v>0</v>
      </c>
      <c r="P52" s="1076">
        <f>SUM(P8:P51)</f>
        <v>0</v>
      </c>
      <c r="Q52" s="1528">
        <f t="shared" ref="Q52:V52" si="38">SUM(Q8:Q51)</f>
        <v>0</v>
      </c>
      <c r="R52" s="1544">
        <f t="shared" si="38"/>
        <v>0</v>
      </c>
      <c r="S52" s="1076">
        <f t="shared" si="38"/>
        <v>0</v>
      </c>
      <c r="T52" s="1544">
        <f t="shared" si="38"/>
        <v>0</v>
      </c>
      <c r="U52" s="1077">
        <f t="shared" si="38"/>
        <v>0</v>
      </c>
      <c r="V52" s="1529">
        <f t="shared" si="38"/>
        <v>0</v>
      </c>
      <c r="W52" s="1544">
        <f>SUM(W8:W51)</f>
        <v>0</v>
      </c>
      <c r="X52" s="504">
        <f t="shared" si="1"/>
        <v>0</v>
      </c>
      <c r="Y52" s="1875"/>
      <c r="AA52" s="1431">
        <f>IF(SUM(AV52:AX52)&lt;&gt;0,$BA$52,IF(SUM(AV53:AX54)=0,0,$BA$53))</f>
        <v>0</v>
      </c>
      <c r="AB52" s="200"/>
      <c r="AC52" s="72"/>
      <c r="AD52" s="200"/>
      <c r="AM52" s="132"/>
      <c r="AV52" s="72"/>
      <c r="AW52" s="98">
        <f xml:space="preserve"> IF( (AY52 - AZ52) = 0, 0, 1 )</f>
        <v>0</v>
      </c>
      <c r="AX52" s="129"/>
      <c r="AY52" s="117">
        <f>ROUND(O52,3)</f>
        <v>0</v>
      </c>
      <c r="AZ52" s="117">
        <f xml:space="preserve"> ROUND( ('4E'!O23+'4E'!O24+'4E'!O25), 3 )</f>
        <v>0</v>
      </c>
      <c r="BA52" s="144" t="s">
        <v>6504</v>
      </c>
      <c r="BB52" s="72"/>
      <c r="BD52" s="1073" t="s">
        <v>6662</v>
      </c>
      <c r="BE52" s="3067" t="s">
        <v>4119</v>
      </c>
      <c r="BF52" s="1070"/>
      <c r="BG52" s="1070" t="s">
        <v>750</v>
      </c>
      <c r="BH52" s="1071">
        <v>3</v>
      </c>
      <c r="BI52" s="2033" t="s">
        <v>8905</v>
      </c>
      <c r="BJ52" s="2037" t="s">
        <v>8906</v>
      </c>
      <c r="BK52" s="2034" t="s">
        <v>8907</v>
      </c>
      <c r="BL52" s="2035" t="s">
        <v>8908</v>
      </c>
      <c r="BM52" s="2037" t="s">
        <v>8909</v>
      </c>
      <c r="BN52" s="2037" t="s">
        <v>8910</v>
      </c>
      <c r="BO52" s="3103" t="s">
        <v>8911</v>
      </c>
      <c r="BP52" s="2034" t="s">
        <v>8912</v>
      </c>
      <c r="BQ52" s="2273" t="s">
        <v>8913</v>
      </c>
      <c r="BR52" s="3104" t="s">
        <v>8914</v>
      </c>
      <c r="BS52" s="2037" t="s">
        <v>8915</v>
      </c>
      <c r="BT52" s="2034" t="s">
        <v>8916</v>
      </c>
      <c r="BU52" s="2035" t="s">
        <v>8917</v>
      </c>
      <c r="BV52" s="2037" t="s">
        <v>8918</v>
      </c>
      <c r="BW52" s="2037" t="s">
        <v>8919</v>
      </c>
      <c r="BX52" s="3103" t="s">
        <v>8920</v>
      </c>
      <c r="BY52" s="2034" t="s">
        <v>8921</v>
      </c>
      <c r="BZ52" s="2273" t="s">
        <v>8922</v>
      </c>
    </row>
    <row r="53" spans="1:78">
      <c r="A53" s="1047"/>
      <c r="B53" s="1047"/>
      <c r="C53" s="1047"/>
      <c r="D53" s="1047"/>
      <c r="E53" s="1047"/>
      <c r="F53" s="1047"/>
      <c r="G53" s="1657">
        <f>IF('4K'!G49=0,(IF(G52='4K'!G24+'4K'!G25+'4K'!G26,0,1)),0)</f>
        <v>0</v>
      </c>
      <c r="H53" s="1657">
        <f>IF('4K'!H49=0,(IF(H52='4K'!H24+'4K'!H25+'4K'!H26,0,1)),0)</f>
        <v>0</v>
      </c>
      <c r="I53" s="1657">
        <f>IF('4K'!I49=0,(IF(I52='4K'!I24+'4K'!I25+'4K'!I26,0,1)),0)</f>
        <v>0</v>
      </c>
      <c r="J53" s="1657">
        <f>IF('4K'!J49=0,(IF(J52='4K'!J24+'4K'!J25+'4K'!J26,0,1)),0)</f>
        <v>0</v>
      </c>
      <c r="K53" s="1657">
        <f>IF('4K'!K49=0,(IF(K52='4K'!K24+'4K'!K25+'4K'!K26,0,1)),0)</f>
        <v>0</v>
      </c>
      <c r="L53" s="1657">
        <f>IF('4K'!L49=0,(IF(L52='4K'!L24+'4K'!L25+'4K'!L26,0,1)),0)</f>
        <v>0</v>
      </c>
      <c r="M53" s="1657">
        <f>IF('4K'!M49=0,(IF(M52='4K'!M24+'4K'!M25+'4K'!M26,0,1)),0)</f>
        <v>0</v>
      </c>
      <c r="N53" s="1657">
        <f>IF('4K'!N49=0,(IF(N52='4K'!N24+'4K'!N25+'4K'!N26,0,1)),0)</f>
        <v>0</v>
      </c>
      <c r="O53" s="1670">
        <f>SUM(G53:N53)</f>
        <v>0</v>
      </c>
      <c r="AA53" s="1081"/>
      <c r="AB53" s="1082"/>
      <c r="AC53" s="72"/>
      <c r="AD53" s="200"/>
      <c r="AJ53" s="1090"/>
      <c r="AK53" s="1090"/>
      <c r="AL53" s="1090"/>
      <c r="AM53" s="1862"/>
      <c r="AN53" s="1090"/>
      <c r="AO53" s="1090"/>
      <c r="AP53" s="1090"/>
      <c r="AQ53" s="1090"/>
      <c r="AR53" s="1090"/>
      <c r="AS53" s="1090"/>
      <c r="AT53" s="1090"/>
      <c r="AU53" s="1090"/>
      <c r="AV53" s="72"/>
      <c r="AW53" s="98">
        <f xml:space="preserve"> IF( (AY53 - AZ53) = 0, 0, 1 )</f>
        <v>0</v>
      </c>
      <c r="AX53" s="129"/>
      <c r="AY53" s="117">
        <f>IF(AZ53=0,0,ROUND(O52,3))</f>
        <v>0</v>
      </c>
      <c r="AZ53" s="117">
        <f xml:space="preserve"> IF('4K'!O49 = 0,ROUND( ('4K'!O24+'4K'!O25+'4K'!O26), 3 ),0)</f>
        <v>0</v>
      </c>
      <c r="BA53" s="144" t="s">
        <v>6505</v>
      </c>
      <c r="BB53" s="72"/>
      <c r="BD53" s="496"/>
      <c r="BE53" s="496"/>
      <c r="BF53" s="496"/>
      <c r="BG53" s="496"/>
      <c r="BH53" s="496"/>
      <c r="BI53" s="2274"/>
      <c r="BJ53" s="2274"/>
      <c r="BK53" s="2274"/>
      <c r="BL53" s="2274"/>
      <c r="BM53" s="2274"/>
      <c r="BN53" s="2274"/>
      <c r="BO53" s="2274"/>
      <c r="BP53" s="2274"/>
      <c r="BQ53" s="2274"/>
      <c r="BR53" s="2274"/>
      <c r="BS53" s="2274"/>
      <c r="BT53" s="2274"/>
      <c r="BU53" s="2274"/>
      <c r="BV53" s="2274"/>
      <c r="BW53" s="2274"/>
      <c r="BX53" s="2274"/>
      <c r="BY53" s="2274"/>
      <c r="BZ53" s="2274"/>
    </row>
    <row r="54" spans="1:78">
      <c r="A54" s="1047"/>
      <c r="B54" s="1123" t="s">
        <v>2420</v>
      </c>
      <c r="C54" s="1005"/>
      <c r="D54" s="1005"/>
      <c r="E54" s="1047"/>
      <c r="F54" s="1047"/>
      <c r="G54" s="1047"/>
      <c r="H54" s="1047"/>
      <c r="I54" s="1047"/>
      <c r="J54" s="1047"/>
      <c r="K54" s="1047"/>
      <c r="L54" s="1047"/>
      <c r="M54" s="1047"/>
      <c r="N54" s="1047"/>
      <c r="O54" s="1047"/>
      <c r="AA54" s="115"/>
      <c r="AB54" s="115"/>
      <c r="AC54" s="1775"/>
      <c r="AD54" s="294"/>
      <c r="AE54" s="115"/>
      <c r="AF54" s="115"/>
      <c r="AG54" s="115"/>
      <c r="AH54" s="115"/>
      <c r="AI54" s="115"/>
      <c r="AJ54" s="1092"/>
      <c r="AK54" s="1092"/>
      <c r="AL54" s="1092"/>
      <c r="AM54" s="1096"/>
      <c r="AN54" s="1092"/>
      <c r="AO54" s="1092"/>
      <c r="AP54" s="1092"/>
      <c r="AQ54" s="1092"/>
      <c r="AR54" s="1092"/>
      <c r="AS54" s="1092"/>
      <c r="AT54" s="1092"/>
      <c r="AU54" s="1092"/>
      <c r="AV54" s="1784"/>
      <c r="AW54" s="1092"/>
      <c r="AX54" s="1784"/>
      <c r="BD54" s="496"/>
      <c r="BE54" s="496"/>
      <c r="BF54" s="496"/>
      <c r="BG54" s="496"/>
      <c r="BH54" s="496"/>
      <c r="BI54" s="496"/>
      <c r="BJ54" s="496"/>
      <c r="BK54" s="496"/>
      <c r="BL54" s="496"/>
      <c r="BM54" s="496"/>
      <c r="BN54" s="496"/>
      <c r="BO54" s="496"/>
      <c r="BP54" s="496"/>
      <c r="BQ54" s="496"/>
      <c r="BR54" s="496"/>
      <c r="BS54" s="496"/>
      <c r="BT54" s="496"/>
      <c r="BU54" s="496"/>
      <c r="BV54" s="496"/>
      <c r="BW54" s="496"/>
      <c r="BX54" s="496"/>
      <c r="BY54" s="496"/>
      <c r="BZ54" s="496"/>
    </row>
    <row r="55" spans="1:78">
      <c r="A55" s="1047"/>
      <c r="B55" s="1078"/>
      <c r="C55" s="1085"/>
      <c r="D55" s="1085"/>
      <c r="E55" s="1047"/>
      <c r="F55" s="1047"/>
      <c r="G55" s="1047"/>
      <c r="H55" s="1047"/>
      <c r="I55" s="1047"/>
      <c r="J55" s="1047"/>
      <c r="K55" s="1047"/>
      <c r="L55" s="1047"/>
      <c r="M55" s="1047"/>
      <c r="N55" s="1047"/>
      <c r="O55" s="1047"/>
      <c r="AA55" s="115"/>
      <c r="AB55" s="115"/>
      <c r="AC55" s="1775"/>
      <c r="AD55" s="294"/>
      <c r="AE55" s="115"/>
      <c r="AF55" s="115"/>
      <c r="AG55" s="115"/>
      <c r="AH55" s="115"/>
      <c r="AI55" s="115"/>
      <c r="AJ55" s="1092"/>
      <c r="AK55" s="1092"/>
      <c r="AL55" s="1092"/>
      <c r="AM55" s="1096"/>
      <c r="AN55" s="1092"/>
      <c r="AO55" s="1092"/>
      <c r="AP55" s="1092"/>
      <c r="AQ55" s="1092"/>
      <c r="AR55" s="1092"/>
      <c r="AS55" s="1092"/>
      <c r="AT55" s="1092"/>
      <c r="AU55" s="1092"/>
      <c r="AV55" s="1784"/>
    </row>
    <row r="56" spans="1:78">
      <c r="A56" s="1047"/>
      <c r="B56" s="1008"/>
      <c r="C56" s="1009" t="s">
        <v>2421</v>
      </c>
      <c r="D56" s="1009"/>
      <c r="E56" s="1047"/>
      <c r="F56" s="1047"/>
      <c r="G56" s="1047"/>
      <c r="H56" s="1047"/>
      <c r="I56" s="1047"/>
      <c r="J56" s="1047"/>
      <c r="K56" s="1047"/>
      <c r="L56" s="1047"/>
      <c r="M56" s="1047"/>
      <c r="N56" s="1047"/>
      <c r="O56" s="1047"/>
      <c r="AA56" s="115"/>
      <c r="AB56" s="115"/>
      <c r="AC56" s="1775"/>
      <c r="AD56" s="294"/>
      <c r="AE56" s="115"/>
      <c r="AF56" s="115"/>
      <c r="AG56" s="115"/>
      <c r="AH56" s="115"/>
      <c r="AI56" s="115"/>
      <c r="AJ56" s="1092"/>
      <c r="AK56" s="1092"/>
      <c r="AL56" s="1092"/>
      <c r="AM56" s="1096"/>
      <c r="AN56" s="1092"/>
      <c r="AO56" s="1092"/>
      <c r="AP56" s="1092"/>
      <c r="AQ56" s="1092"/>
      <c r="AR56" s="1092"/>
      <c r="AS56" s="1092"/>
      <c r="AT56" s="1092"/>
      <c r="AU56" s="1092"/>
      <c r="AV56" s="1784"/>
    </row>
    <row r="57" spans="1:78">
      <c r="A57" s="1047"/>
      <c r="B57" s="1006"/>
      <c r="C57" s="1007"/>
      <c r="D57" s="1007"/>
      <c r="E57" s="1047"/>
      <c r="F57" s="1047"/>
      <c r="G57" s="1047"/>
      <c r="H57" s="1047"/>
      <c r="I57" s="1047"/>
      <c r="J57" s="1047"/>
      <c r="K57" s="1047"/>
      <c r="L57" s="1047"/>
      <c r="M57" s="1047"/>
      <c r="N57" s="1047"/>
      <c r="O57" s="1047"/>
      <c r="AA57" s="115"/>
      <c r="AB57" s="115"/>
      <c r="AC57" s="1775"/>
      <c r="AD57" s="294"/>
      <c r="AE57" s="115"/>
      <c r="AF57" s="115"/>
      <c r="AG57" s="115"/>
      <c r="AH57" s="115"/>
      <c r="AI57" s="115"/>
      <c r="AJ57" s="1092"/>
      <c r="AK57" s="1092"/>
      <c r="AL57" s="1092"/>
      <c r="AM57" s="1096"/>
      <c r="AN57" s="1092"/>
      <c r="AO57" s="1092"/>
      <c r="AP57" s="1092"/>
      <c r="AQ57" s="1092"/>
      <c r="AR57" s="1092"/>
      <c r="AS57" s="1092"/>
      <c r="AT57" s="1092"/>
      <c r="AU57" s="1092"/>
      <c r="AV57" s="1784"/>
    </row>
    <row r="58" spans="1:78">
      <c r="A58" s="1047"/>
      <c r="B58" s="1010"/>
      <c r="C58" s="1009" t="s">
        <v>4082</v>
      </c>
      <c r="D58" s="1009"/>
      <c r="E58" s="1047"/>
      <c r="F58" s="1047"/>
      <c r="G58" s="1047"/>
      <c r="H58" s="1047"/>
      <c r="I58" s="1047"/>
      <c r="J58" s="1047"/>
      <c r="K58" s="1047"/>
      <c r="L58" s="1047"/>
      <c r="M58" s="1047"/>
      <c r="N58" s="1047"/>
      <c r="O58" s="1047"/>
      <c r="AA58" s="115"/>
      <c r="AB58" s="115"/>
      <c r="AC58" s="1775"/>
      <c r="AD58" s="294"/>
      <c r="AE58" s="115"/>
      <c r="AF58" s="115"/>
      <c r="AG58" s="115"/>
      <c r="AH58" s="115"/>
      <c r="AI58" s="115"/>
      <c r="AJ58" s="1092"/>
      <c r="AK58" s="1092"/>
      <c r="AL58" s="1092"/>
      <c r="AM58" s="1096"/>
      <c r="AN58" s="1092"/>
      <c r="AO58" s="1092"/>
      <c r="AP58" s="1092"/>
      <c r="AQ58" s="1092"/>
      <c r="AR58" s="1092"/>
      <c r="AS58" s="1092"/>
      <c r="AT58" s="1092"/>
      <c r="AU58" s="1092"/>
      <c r="AV58" s="1784"/>
    </row>
    <row r="59" spans="1:78">
      <c r="A59" s="1047"/>
      <c r="B59" s="1047"/>
      <c r="C59" s="1047"/>
      <c r="D59" s="1047"/>
      <c r="E59" s="1047"/>
      <c r="F59" s="1047"/>
      <c r="G59" s="1047"/>
      <c r="H59" s="1047"/>
      <c r="I59" s="1047"/>
      <c r="J59" s="1047"/>
      <c r="K59" s="1047"/>
      <c r="L59" s="1047"/>
      <c r="M59" s="1047"/>
      <c r="N59" s="1047"/>
      <c r="O59" s="1047"/>
      <c r="AA59" s="115"/>
      <c r="AB59" s="115"/>
      <c r="AC59" s="1775"/>
      <c r="AD59" s="294"/>
      <c r="AE59" s="115"/>
      <c r="AF59" s="115"/>
      <c r="AG59" s="115"/>
      <c r="AH59" s="115"/>
      <c r="AI59" s="115"/>
      <c r="AJ59" s="1092"/>
      <c r="AK59" s="1092"/>
      <c r="AL59" s="1092"/>
      <c r="AM59" s="1096"/>
      <c r="AN59" s="1092"/>
      <c r="AO59" s="1092"/>
      <c r="AP59" s="1092"/>
      <c r="AQ59" s="1092"/>
      <c r="AR59" s="1092"/>
      <c r="AS59" s="1092"/>
      <c r="AT59" s="1092"/>
      <c r="AU59" s="1092"/>
      <c r="AV59" s="1784"/>
    </row>
    <row r="60" spans="1:78" ht="15" thickBot="1">
      <c r="A60" s="1047"/>
      <c r="B60" s="1047"/>
      <c r="C60" s="1047"/>
      <c r="D60" s="1047"/>
      <c r="E60" s="1047"/>
      <c r="F60" s="1047"/>
      <c r="G60" s="1047"/>
      <c r="H60" s="1047"/>
      <c r="I60" s="1047"/>
      <c r="J60" s="1047"/>
      <c r="K60" s="1047"/>
      <c r="L60" s="1047"/>
      <c r="M60" s="1047"/>
      <c r="N60" s="1047"/>
      <c r="O60" s="1047"/>
      <c r="AA60" s="115"/>
      <c r="AB60" s="115"/>
      <c r="AC60" s="1775"/>
      <c r="AD60" s="294"/>
      <c r="AE60" s="115"/>
      <c r="AF60" s="115"/>
      <c r="AG60" s="115"/>
      <c r="AH60" s="115"/>
      <c r="AI60" s="115"/>
      <c r="AJ60" s="1092"/>
      <c r="AK60" s="1092"/>
      <c r="AL60" s="1092"/>
      <c r="AM60" s="1096"/>
      <c r="AN60" s="1092"/>
      <c r="AO60" s="1092"/>
      <c r="AP60" s="1092"/>
      <c r="AQ60" s="1092"/>
      <c r="AR60" s="1092"/>
      <c r="AS60" s="1092"/>
      <c r="AT60" s="1092"/>
      <c r="AU60" s="1092"/>
      <c r="AV60" s="1784"/>
    </row>
    <row r="61" spans="1:78" ht="15" thickBot="1">
      <c r="A61" s="1047"/>
      <c r="B61" s="2183" t="s">
        <v>12572</v>
      </c>
      <c r="C61" s="2184"/>
      <c r="D61" s="2184"/>
      <c r="E61" s="2184"/>
      <c r="F61" s="2184"/>
      <c r="G61" s="2184"/>
      <c r="H61" s="2184"/>
      <c r="I61" s="2184"/>
      <c r="J61" s="2184"/>
      <c r="K61" s="2184"/>
      <c r="L61" s="2184"/>
      <c r="M61" s="2184"/>
      <c r="N61" s="2184"/>
      <c r="O61" s="2231"/>
      <c r="AA61" s="115"/>
      <c r="AB61" s="115"/>
      <c r="AC61" s="1775"/>
      <c r="AD61" s="294"/>
      <c r="AE61" s="115"/>
      <c r="AF61" s="115"/>
      <c r="AG61" s="115"/>
      <c r="AH61" s="115"/>
      <c r="AI61" s="115"/>
      <c r="AJ61" s="1092"/>
      <c r="AK61" s="1092"/>
      <c r="AL61" s="1092"/>
      <c r="AM61" s="1096"/>
      <c r="AN61" s="1092"/>
      <c r="AO61" s="1092"/>
      <c r="AP61" s="1092"/>
      <c r="AQ61" s="1092"/>
      <c r="AR61" s="1092"/>
      <c r="AS61" s="1092"/>
      <c r="AT61" s="1092"/>
      <c r="AU61" s="1092"/>
      <c r="AV61" s="1784"/>
    </row>
    <row r="62" spans="1:78">
      <c r="A62" s="1047"/>
      <c r="B62" s="1047"/>
      <c r="C62" s="1047"/>
      <c r="D62" s="1047"/>
      <c r="E62" s="1047"/>
      <c r="F62" s="1047"/>
      <c r="G62" s="1047"/>
      <c r="H62" s="1047"/>
      <c r="I62" s="1047"/>
      <c r="J62" s="1047"/>
      <c r="K62" s="1047"/>
      <c r="L62" s="1047"/>
      <c r="M62" s="1047"/>
      <c r="N62" s="1047"/>
      <c r="O62" s="1047"/>
      <c r="AA62" s="115"/>
      <c r="AB62" s="115"/>
      <c r="AC62" s="1775"/>
      <c r="AD62" s="294"/>
      <c r="AE62" s="115"/>
      <c r="AF62" s="115"/>
      <c r="AG62" s="115"/>
      <c r="AH62" s="115"/>
      <c r="AI62" s="115"/>
      <c r="AJ62" s="1092"/>
      <c r="AK62" s="1092"/>
      <c r="AL62" s="1092"/>
      <c r="AM62" s="1096"/>
      <c r="AN62" s="1092"/>
      <c r="AO62" s="1092"/>
      <c r="AP62" s="1092"/>
      <c r="AQ62" s="1092"/>
      <c r="AR62" s="1092"/>
      <c r="AS62" s="1092"/>
      <c r="AT62" s="1092"/>
      <c r="AU62" s="1092"/>
      <c r="AV62" s="1784"/>
    </row>
    <row r="63" spans="1:78" ht="15" hidden="1" thickBot="1">
      <c r="A63" s="1794"/>
      <c r="B63" s="3571" t="str">
        <f ca="1" xml:space="preserve"> RIGHT(CELL("filename", $A$1), LEN(CELL("filename", $A$1)) - SEARCH("]", CELL("filename", $A$1)))&amp;" - Line definitions"</f>
        <v>4M - Line definitions</v>
      </c>
      <c r="C63" s="3572"/>
      <c r="D63" s="3572"/>
      <c r="E63" s="3572"/>
      <c r="F63" s="3572"/>
      <c r="G63" s="3572"/>
      <c r="H63" s="3572"/>
      <c r="I63" s="3572"/>
      <c r="J63" s="3572"/>
      <c r="K63" s="3572"/>
      <c r="L63" s="3572"/>
      <c r="M63" s="3572"/>
      <c r="N63" s="3572"/>
      <c r="O63" s="3573"/>
      <c r="AA63" s="115"/>
      <c r="AB63" s="115"/>
      <c r="AC63" s="1775"/>
      <c r="AD63" s="294"/>
      <c r="AE63" s="115"/>
      <c r="AF63" s="115"/>
      <c r="AG63" s="115"/>
      <c r="AH63" s="115"/>
      <c r="AI63" s="115"/>
      <c r="AJ63" s="1092"/>
      <c r="AK63" s="1092"/>
      <c r="AL63" s="1092"/>
      <c r="AM63" s="1096"/>
      <c r="AN63" s="1092"/>
      <c r="AO63" s="1092"/>
      <c r="AP63" s="1092"/>
      <c r="AQ63" s="1092"/>
      <c r="AR63" s="1092"/>
      <c r="AS63" s="1092"/>
      <c r="AT63" s="1092"/>
      <c r="AU63" s="1092"/>
      <c r="AV63" s="1784"/>
    </row>
    <row r="64" spans="1:78" ht="15" hidden="1" thickBot="1">
      <c r="A64" s="1794"/>
      <c r="B64" s="1124"/>
      <c r="C64" s="1124"/>
      <c r="D64" s="1124"/>
      <c r="E64" s="1124"/>
      <c r="F64" s="1125"/>
      <c r="G64" s="1125"/>
      <c r="H64" s="1125"/>
      <c r="I64" s="1125"/>
      <c r="J64" s="1125"/>
      <c r="K64" s="1125"/>
      <c r="L64" s="1125"/>
      <c r="M64" s="1125"/>
      <c r="N64" s="1125"/>
      <c r="O64" s="1125"/>
      <c r="AA64" s="115"/>
      <c r="AB64" s="115"/>
      <c r="AC64" s="1775"/>
      <c r="AD64" s="294"/>
      <c r="AE64" s="115"/>
      <c r="AF64" s="115"/>
      <c r="AG64" s="115"/>
      <c r="AH64" s="115"/>
      <c r="AI64" s="115"/>
      <c r="AJ64" s="1092"/>
      <c r="AK64" s="1092"/>
      <c r="AL64" s="1092"/>
      <c r="AM64" s="1096"/>
      <c r="AN64" s="1092"/>
      <c r="AO64" s="1092"/>
      <c r="AP64" s="1092"/>
      <c r="AQ64" s="1092"/>
      <c r="AR64" s="1092"/>
      <c r="AS64" s="1092"/>
      <c r="AT64" s="1092"/>
      <c r="AU64" s="1092"/>
      <c r="AV64" s="1784"/>
    </row>
    <row r="65" spans="1:48" ht="15" hidden="1" thickBot="1">
      <c r="A65" s="1794"/>
      <c r="B65" s="1126" t="s">
        <v>2423</v>
      </c>
      <c r="C65" s="3574" t="s">
        <v>4179</v>
      </c>
      <c r="D65" s="3574"/>
      <c r="E65" s="3575"/>
      <c r="F65" s="3575"/>
      <c r="G65" s="3575"/>
      <c r="H65" s="3575"/>
      <c r="I65" s="3575"/>
      <c r="J65" s="3575"/>
      <c r="K65" s="3575"/>
      <c r="L65" s="3575"/>
      <c r="M65" s="3575"/>
      <c r="N65" s="3575"/>
      <c r="O65" s="3576"/>
      <c r="AA65" s="115"/>
      <c r="AB65" s="115"/>
      <c r="AC65" s="1775"/>
      <c r="AD65" s="294"/>
      <c r="AE65" s="115"/>
      <c r="AF65" s="115"/>
      <c r="AG65" s="115"/>
      <c r="AH65" s="115"/>
      <c r="AI65" s="115"/>
      <c r="AJ65" s="1092"/>
      <c r="AK65" s="1092"/>
      <c r="AL65" s="1092"/>
      <c r="AM65" s="1096"/>
      <c r="AN65" s="1092"/>
      <c r="AO65" s="1092"/>
      <c r="AP65" s="1092"/>
      <c r="AQ65" s="1092"/>
      <c r="AR65" s="1092"/>
      <c r="AS65" s="1092"/>
      <c r="AT65" s="1092"/>
      <c r="AU65" s="1092"/>
      <c r="AV65" s="1784"/>
    </row>
    <row r="66" spans="1:48" hidden="1">
      <c r="A66" s="1794"/>
      <c r="B66" s="1127">
        <v>1</v>
      </c>
      <c r="C66" s="3577" t="s">
        <v>4180</v>
      </c>
      <c r="D66" s="3578"/>
      <c r="E66" s="3578"/>
      <c r="F66" s="3578"/>
      <c r="G66" s="3578"/>
      <c r="H66" s="3578"/>
      <c r="I66" s="3578"/>
      <c r="J66" s="3578"/>
      <c r="K66" s="3578"/>
      <c r="L66" s="3578"/>
      <c r="M66" s="3578"/>
      <c r="N66" s="3578"/>
      <c r="O66" s="3579"/>
      <c r="AA66" s="115"/>
      <c r="AB66" s="115"/>
      <c r="AC66" s="1775"/>
      <c r="AD66" s="294"/>
      <c r="AE66" s="115"/>
      <c r="AF66" s="115"/>
      <c r="AG66" s="115"/>
      <c r="AH66" s="115"/>
      <c r="AI66" s="115"/>
      <c r="AJ66" s="1092"/>
      <c r="AK66" s="1092"/>
      <c r="AL66" s="1092"/>
      <c r="AM66" s="1096"/>
      <c r="AN66" s="1092"/>
      <c r="AO66" s="1092"/>
      <c r="AP66" s="1092"/>
      <c r="AQ66" s="1092"/>
      <c r="AR66" s="1092"/>
      <c r="AS66" s="1092"/>
      <c r="AT66" s="1092"/>
      <c r="AU66" s="1092"/>
      <c r="AV66" s="1784"/>
    </row>
    <row r="67" spans="1:48" hidden="1">
      <c r="A67" s="1794"/>
      <c r="B67" s="1128">
        <f>+B66+1</f>
        <v>2</v>
      </c>
      <c r="C67" s="3558" t="s">
        <v>4181</v>
      </c>
      <c r="D67" s="3559"/>
      <c r="E67" s="3559"/>
      <c r="F67" s="3559"/>
      <c r="G67" s="3559"/>
      <c r="H67" s="3559"/>
      <c r="I67" s="3559"/>
      <c r="J67" s="3559"/>
      <c r="K67" s="3559"/>
      <c r="L67" s="3559"/>
      <c r="M67" s="3559"/>
      <c r="N67" s="3559"/>
      <c r="O67" s="3560"/>
      <c r="AA67" s="115"/>
      <c r="AB67" s="115"/>
      <c r="AC67" s="1775"/>
      <c r="AD67" s="294"/>
      <c r="AE67" s="115"/>
      <c r="AF67" s="115"/>
      <c r="AG67" s="115"/>
      <c r="AH67" s="115"/>
      <c r="AI67" s="115"/>
      <c r="AJ67" s="1092"/>
      <c r="AK67" s="1092"/>
      <c r="AL67" s="1092"/>
      <c r="AM67" s="1096"/>
      <c r="AN67" s="1092"/>
      <c r="AO67" s="1092"/>
      <c r="AP67" s="1092"/>
      <c r="AQ67" s="1092"/>
      <c r="AR67" s="1092"/>
      <c r="AS67" s="1092"/>
      <c r="AT67" s="1092"/>
      <c r="AU67" s="1092"/>
      <c r="AV67" s="1784"/>
    </row>
    <row r="68" spans="1:48" hidden="1">
      <c r="A68" s="1794"/>
      <c r="B68" s="1128">
        <f t="shared" ref="B68:B93" si="39">+B67+1</f>
        <v>3</v>
      </c>
      <c r="C68" s="3558" t="s">
        <v>4182</v>
      </c>
      <c r="D68" s="3559"/>
      <c r="E68" s="3559"/>
      <c r="F68" s="3559"/>
      <c r="G68" s="3559"/>
      <c r="H68" s="3559"/>
      <c r="I68" s="3559"/>
      <c r="J68" s="3559"/>
      <c r="K68" s="3559"/>
      <c r="L68" s="3559"/>
      <c r="M68" s="3559"/>
      <c r="N68" s="3559"/>
      <c r="O68" s="3560"/>
      <c r="AA68" s="115"/>
      <c r="AB68" s="115"/>
      <c r="AC68" s="1775"/>
      <c r="AD68" s="294"/>
      <c r="AE68" s="115"/>
      <c r="AF68" s="115"/>
      <c r="AG68" s="115"/>
      <c r="AH68" s="115"/>
      <c r="AI68" s="115"/>
      <c r="AJ68" s="1092"/>
      <c r="AK68" s="1092"/>
      <c r="AL68" s="1092"/>
      <c r="AM68" s="1096"/>
      <c r="AN68" s="1092"/>
      <c r="AO68" s="1092"/>
      <c r="AP68" s="1092"/>
      <c r="AQ68" s="1092"/>
      <c r="AR68" s="1092"/>
      <c r="AS68" s="1092"/>
      <c r="AT68" s="1092"/>
      <c r="AU68" s="1092"/>
      <c r="AV68" s="1784"/>
    </row>
    <row r="69" spans="1:48" ht="31.5" hidden="1" customHeight="1">
      <c r="A69" s="1794"/>
      <c r="B69" s="1128">
        <f t="shared" si="39"/>
        <v>4</v>
      </c>
      <c r="C69" s="3558" t="s">
        <v>12950</v>
      </c>
      <c r="D69" s="3559"/>
      <c r="E69" s="3559"/>
      <c r="F69" s="3559"/>
      <c r="G69" s="3559"/>
      <c r="H69" s="3559"/>
      <c r="I69" s="3559"/>
      <c r="J69" s="3559"/>
      <c r="K69" s="3559"/>
      <c r="L69" s="3559"/>
      <c r="M69" s="3559"/>
      <c r="N69" s="3559"/>
      <c r="O69" s="3560"/>
      <c r="AA69" s="115"/>
      <c r="AB69" s="115"/>
      <c r="AC69" s="1775"/>
      <c r="AD69" s="294"/>
      <c r="AE69" s="115"/>
      <c r="AF69" s="115"/>
      <c r="AG69" s="115"/>
      <c r="AH69" s="115"/>
      <c r="AI69" s="115"/>
      <c r="AJ69" s="1092"/>
      <c r="AK69" s="1092"/>
      <c r="AL69" s="1092"/>
      <c r="AM69" s="1096"/>
      <c r="AN69" s="1092"/>
      <c r="AO69" s="1092"/>
      <c r="AP69" s="1092"/>
      <c r="AQ69" s="1092"/>
      <c r="AR69" s="1092"/>
      <c r="AS69" s="1092"/>
      <c r="AT69" s="1092"/>
      <c r="AU69" s="1092"/>
      <c r="AV69" s="1784"/>
    </row>
    <row r="70" spans="1:48" hidden="1">
      <c r="A70" s="1794"/>
      <c r="B70" s="1128">
        <f t="shared" si="39"/>
        <v>5</v>
      </c>
      <c r="C70" s="3567" t="s">
        <v>4183</v>
      </c>
      <c r="D70" s="3568"/>
      <c r="E70" s="3568"/>
      <c r="F70" s="3568"/>
      <c r="G70" s="3568"/>
      <c r="H70" s="3568"/>
      <c r="I70" s="3568"/>
      <c r="J70" s="3568"/>
      <c r="K70" s="3568"/>
      <c r="L70" s="3568"/>
      <c r="M70" s="3568"/>
      <c r="N70" s="3568"/>
      <c r="O70" s="3569"/>
      <c r="AA70" s="115"/>
      <c r="AB70" s="115"/>
      <c r="AC70" s="1775"/>
      <c r="AD70" s="294"/>
      <c r="AE70" s="115"/>
      <c r="AF70" s="115"/>
      <c r="AG70" s="115"/>
      <c r="AH70" s="115"/>
      <c r="AI70" s="115"/>
      <c r="AJ70" s="1092"/>
      <c r="AK70" s="1092"/>
      <c r="AL70" s="1092"/>
      <c r="AM70" s="1096"/>
      <c r="AN70" s="1092"/>
      <c r="AO70" s="1092"/>
      <c r="AP70" s="1092"/>
      <c r="AQ70" s="1092"/>
      <c r="AR70" s="1092"/>
      <c r="AS70" s="1092"/>
      <c r="AT70" s="1092"/>
      <c r="AU70" s="1092"/>
      <c r="AV70" s="1784"/>
    </row>
    <row r="71" spans="1:48" ht="44.25" hidden="1" customHeight="1">
      <c r="A71" s="1794"/>
      <c r="B71" s="1128">
        <f t="shared" si="39"/>
        <v>6</v>
      </c>
      <c r="C71" s="3558" t="s">
        <v>4184</v>
      </c>
      <c r="D71" s="3559"/>
      <c r="E71" s="3559"/>
      <c r="F71" s="3559"/>
      <c r="G71" s="3559"/>
      <c r="H71" s="3559"/>
      <c r="I71" s="3559"/>
      <c r="J71" s="3559"/>
      <c r="K71" s="3559"/>
      <c r="L71" s="3559"/>
      <c r="M71" s="3559"/>
      <c r="N71" s="3559"/>
      <c r="O71" s="3560"/>
      <c r="AA71" s="115"/>
      <c r="AB71" s="115"/>
      <c r="AC71" s="1775"/>
      <c r="AD71" s="294"/>
      <c r="AE71" s="115"/>
      <c r="AF71" s="115"/>
      <c r="AG71" s="115"/>
      <c r="AH71" s="115"/>
      <c r="AI71" s="115"/>
      <c r="AJ71" s="1092"/>
      <c r="AK71" s="1092"/>
      <c r="AL71" s="1092"/>
      <c r="AM71" s="1096"/>
      <c r="AN71" s="1092"/>
      <c r="AO71" s="1092"/>
      <c r="AP71" s="1092"/>
      <c r="AQ71" s="1092"/>
      <c r="AR71" s="1092"/>
      <c r="AS71" s="1092"/>
      <c r="AT71" s="1092"/>
      <c r="AU71" s="1092"/>
      <c r="AV71" s="1784"/>
    </row>
    <row r="72" spans="1:48" hidden="1">
      <c r="A72" s="1794"/>
      <c r="B72" s="1128">
        <f t="shared" si="39"/>
        <v>7</v>
      </c>
      <c r="C72" s="3558" t="s">
        <v>4185</v>
      </c>
      <c r="D72" s="3559"/>
      <c r="E72" s="3559"/>
      <c r="F72" s="3559"/>
      <c r="G72" s="3559"/>
      <c r="H72" s="3559"/>
      <c r="I72" s="3559"/>
      <c r="J72" s="3559"/>
      <c r="K72" s="3559"/>
      <c r="L72" s="3559"/>
      <c r="M72" s="3559"/>
      <c r="N72" s="3559"/>
      <c r="O72" s="3560"/>
      <c r="AA72" s="115"/>
      <c r="AB72" s="115"/>
      <c r="AC72" s="1775"/>
      <c r="AD72" s="294"/>
      <c r="AE72" s="115"/>
      <c r="AF72" s="115"/>
      <c r="AG72" s="115"/>
      <c r="AH72" s="115"/>
      <c r="AI72" s="115"/>
      <c r="AJ72" s="1092"/>
      <c r="AK72" s="1092"/>
      <c r="AL72" s="1092"/>
      <c r="AM72" s="1096"/>
      <c r="AN72" s="1092"/>
      <c r="AO72" s="1092"/>
      <c r="AP72" s="1092"/>
      <c r="AQ72" s="1092"/>
      <c r="AR72" s="1092"/>
      <c r="AS72" s="1092"/>
      <c r="AT72" s="1092"/>
      <c r="AU72" s="1092"/>
      <c r="AV72" s="1784"/>
    </row>
    <row r="73" spans="1:48" hidden="1">
      <c r="A73" s="1794"/>
      <c r="B73" s="1128">
        <f t="shared" si="39"/>
        <v>8</v>
      </c>
      <c r="C73" s="3558" t="s">
        <v>4186</v>
      </c>
      <c r="D73" s="3559"/>
      <c r="E73" s="3559"/>
      <c r="F73" s="3559"/>
      <c r="G73" s="3559"/>
      <c r="H73" s="3559"/>
      <c r="I73" s="3559"/>
      <c r="J73" s="3559"/>
      <c r="K73" s="3559"/>
      <c r="L73" s="3559"/>
      <c r="M73" s="3559"/>
      <c r="N73" s="3559"/>
      <c r="O73" s="3560"/>
      <c r="AA73" s="115"/>
      <c r="AB73" s="115"/>
      <c r="AC73" s="1775"/>
      <c r="AD73" s="294"/>
      <c r="AE73" s="115"/>
      <c r="AF73" s="115"/>
      <c r="AG73" s="115"/>
      <c r="AH73" s="115"/>
      <c r="AI73" s="115"/>
      <c r="AJ73" s="1092"/>
      <c r="AK73" s="1092"/>
      <c r="AL73" s="1092"/>
      <c r="AM73" s="1096"/>
      <c r="AN73" s="1092"/>
      <c r="AO73" s="1092"/>
      <c r="AP73" s="1092"/>
      <c r="AQ73" s="1092"/>
      <c r="AR73" s="1092"/>
      <c r="AS73" s="1092"/>
      <c r="AT73" s="1092"/>
      <c r="AU73" s="1092"/>
      <c r="AV73" s="1784"/>
    </row>
    <row r="74" spans="1:48" hidden="1">
      <c r="A74" s="1794"/>
      <c r="B74" s="1128">
        <f t="shared" si="39"/>
        <v>9</v>
      </c>
      <c r="C74" s="3567" t="s">
        <v>4187</v>
      </c>
      <c r="D74" s="3568"/>
      <c r="E74" s="3568"/>
      <c r="F74" s="3568"/>
      <c r="G74" s="3568"/>
      <c r="H74" s="3568"/>
      <c r="I74" s="3568"/>
      <c r="J74" s="3568"/>
      <c r="K74" s="3568"/>
      <c r="L74" s="3568"/>
      <c r="M74" s="3568"/>
      <c r="N74" s="3568"/>
      <c r="O74" s="3569"/>
      <c r="AA74" s="115"/>
      <c r="AB74" s="115"/>
      <c r="AC74" s="1775"/>
      <c r="AD74" s="294"/>
      <c r="AE74" s="115"/>
      <c r="AF74" s="115"/>
      <c r="AG74" s="115"/>
      <c r="AH74" s="115"/>
      <c r="AI74" s="115"/>
      <c r="AJ74" s="1092"/>
      <c r="AK74" s="1092"/>
      <c r="AL74" s="1092"/>
      <c r="AM74" s="1096"/>
      <c r="AN74" s="1092"/>
      <c r="AO74" s="1092"/>
      <c r="AP74" s="1092"/>
      <c r="AQ74" s="1092"/>
      <c r="AR74" s="1092"/>
      <c r="AS74" s="1092"/>
      <c r="AT74" s="1092"/>
      <c r="AU74" s="1092"/>
      <c r="AV74" s="1784"/>
    </row>
    <row r="75" spans="1:48" hidden="1">
      <c r="A75" s="1794"/>
      <c r="B75" s="1128">
        <f t="shared" si="39"/>
        <v>10</v>
      </c>
      <c r="C75" s="3567" t="s">
        <v>13189</v>
      </c>
      <c r="D75" s="3568"/>
      <c r="E75" s="3568"/>
      <c r="F75" s="3568"/>
      <c r="G75" s="3568"/>
      <c r="H75" s="3568"/>
      <c r="I75" s="3568"/>
      <c r="J75" s="3568"/>
      <c r="K75" s="3568"/>
      <c r="L75" s="3568"/>
      <c r="M75" s="3568"/>
      <c r="N75" s="3568"/>
      <c r="O75" s="3569"/>
      <c r="AA75" s="115"/>
      <c r="AB75" s="115"/>
      <c r="AC75" s="1775"/>
      <c r="AD75" s="294"/>
      <c r="AE75" s="115"/>
      <c r="AF75" s="115"/>
      <c r="AG75" s="115"/>
      <c r="AH75" s="115"/>
      <c r="AI75" s="115"/>
      <c r="AJ75" s="1092"/>
      <c r="AK75" s="1092"/>
      <c r="AL75" s="1092"/>
      <c r="AM75" s="1096"/>
      <c r="AN75" s="1092"/>
      <c r="AO75" s="1092"/>
      <c r="AP75" s="1092"/>
      <c r="AQ75" s="1092"/>
      <c r="AR75" s="1092"/>
      <c r="AS75" s="1092"/>
      <c r="AT75" s="1092"/>
      <c r="AU75" s="1092"/>
      <c r="AV75" s="1784"/>
    </row>
    <row r="76" spans="1:48" ht="29.25" hidden="1" customHeight="1">
      <c r="A76" s="1794"/>
      <c r="B76" s="1128">
        <f t="shared" si="39"/>
        <v>11</v>
      </c>
      <c r="C76" s="3558" t="s">
        <v>13190</v>
      </c>
      <c r="D76" s="3559"/>
      <c r="E76" s="3559"/>
      <c r="F76" s="3559"/>
      <c r="G76" s="3559"/>
      <c r="H76" s="3559"/>
      <c r="I76" s="3559"/>
      <c r="J76" s="3559"/>
      <c r="K76" s="3559"/>
      <c r="L76" s="3559"/>
      <c r="M76" s="3559"/>
      <c r="N76" s="3559"/>
      <c r="O76" s="3560"/>
      <c r="AA76" s="115"/>
      <c r="AB76" s="115"/>
      <c r="AC76" s="1775"/>
      <c r="AD76" s="294"/>
      <c r="AE76" s="115"/>
      <c r="AF76" s="115"/>
      <c r="AG76" s="115"/>
      <c r="AH76" s="115"/>
      <c r="AI76" s="115"/>
      <c r="AJ76" s="1096"/>
      <c r="AK76" s="1096"/>
      <c r="AL76" s="1096"/>
      <c r="AM76" s="1096"/>
      <c r="AN76" s="1096"/>
      <c r="AO76" s="1096"/>
      <c r="AP76" s="1096"/>
      <c r="AQ76" s="1096"/>
      <c r="AR76" s="1096"/>
      <c r="AS76" s="1096"/>
      <c r="AT76" s="1096"/>
      <c r="AU76" s="1096"/>
      <c r="AV76" s="1784"/>
    </row>
    <row r="77" spans="1:48" ht="34.5" hidden="1" customHeight="1">
      <c r="A77" s="1794"/>
      <c r="B77" s="1128">
        <f t="shared" si="39"/>
        <v>12</v>
      </c>
      <c r="C77" s="3558" t="s">
        <v>4188</v>
      </c>
      <c r="D77" s="3559"/>
      <c r="E77" s="3559"/>
      <c r="F77" s="3559"/>
      <c r="G77" s="3559"/>
      <c r="H77" s="3559"/>
      <c r="I77" s="3559"/>
      <c r="J77" s="3559"/>
      <c r="K77" s="3559"/>
      <c r="L77" s="3559"/>
      <c r="M77" s="3559"/>
      <c r="N77" s="3559"/>
      <c r="O77" s="3560"/>
      <c r="AA77" s="115"/>
      <c r="AB77" s="115"/>
      <c r="AC77" s="1775"/>
      <c r="AD77" s="294"/>
      <c r="AE77" s="115"/>
      <c r="AF77" s="115"/>
      <c r="AG77" s="115"/>
      <c r="AH77" s="115"/>
      <c r="AI77" s="115"/>
      <c r="AJ77" s="1092"/>
      <c r="AK77" s="1092"/>
      <c r="AL77" s="1092"/>
      <c r="AM77" s="1096"/>
      <c r="AN77" s="1092"/>
      <c r="AO77" s="1092"/>
      <c r="AP77" s="1092"/>
      <c r="AQ77" s="1092"/>
      <c r="AR77" s="1092"/>
      <c r="AS77" s="1092"/>
      <c r="AT77" s="1092"/>
      <c r="AU77" s="1092"/>
      <c r="AV77" s="1784"/>
    </row>
    <row r="78" spans="1:48" ht="34.5" hidden="1" customHeight="1">
      <c r="A78" s="1794"/>
      <c r="B78" s="1128">
        <f t="shared" si="39"/>
        <v>13</v>
      </c>
      <c r="C78" s="3567" t="s">
        <v>4189</v>
      </c>
      <c r="D78" s="3568"/>
      <c r="E78" s="3568"/>
      <c r="F78" s="3568"/>
      <c r="G78" s="3568"/>
      <c r="H78" s="3568"/>
      <c r="I78" s="3568"/>
      <c r="J78" s="3568"/>
      <c r="K78" s="3568"/>
      <c r="L78" s="3568"/>
      <c r="M78" s="3568"/>
      <c r="N78" s="3568"/>
      <c r="O78" s="3569"/>
      <c r="AA78" s="115"/>
      <c r="AB78" s="115"/>
      <c r="AC78" s="1775"/>
      <c r="AD78" s="294"/>
      <c r="AE78" s="115"/>
      <c r="AF78" s="115"/>
      <c r="AG78" s="115"/>
      <c r="AH78" s="115"/>
      <c r="AI78" s="115"/>
    </row>
    <row r="79" spans="1:48" ht="48" hidden="1" customHeight="1">
      <c r="A79" s="1794"/>
      <c r="B79" s="1128">
        <f t="shared" si="39"/>
        <v>14</v>
      </c>
      <c r="C79" s="3558" t="s">
        <v>12951</v>
      </c>
      <c r="D79" s="3559"/>
      <c r="E79" s="3559"/>
      <c r="F79" s="3559"/>
      <c r="G79" s="3559"/>
      <c r="H79" s="3559"/>
      <c r="I79" s="3559"/>
      <c r="J79" s="3559"/>
      <c r="K79" s="3559"/>
      <c r="L79" s="3559"/>
      <c r="M79" s="3559"/>
      <c r="N79" s="3559"/>
      <c r="O79" s="3560"/>
      <c r="P79" s="2213" t="s">
        <v>12791</v>
      </c>
      <c r="AA79" s="115"/>
      <c r="AB79" s="115"/>
      <c r="AC79" s="1775"/>
      <c r="AD79" s="294"/>
      <c r="AE79" s="115"/>
      <c r="AF79" s="115"/>
      <c r="AG79" s="115"/>
      <c r="AH79" s="115"/>
      <c r="AI79" s="115"/>
    </row>
    <row r="80" spans="1:48" ht="60" hidden="1">
      <c r="A80" s="1794"/>
      <c r="B80" s="1128">
        <f t="shared" si="39"/>
        <v>15</v>
      </c>
      <c r="C80" s="3558" t="s">
        <v>12952</v>
      </c>
      <c r="D80" s="3559"/>
      <c r="E80" s="3559"/>
      <c r="F80" s="3559"/>
      <c r="G80" s="3559"/>
      <c r="H80" s="3559"/>
      <c r="I80" s="3559"/>
      <c r="J80" s="3559"/>
      <c r="K80" s="3559"/>
      <c r="L80" s="3559"/>
      <c r="M80" s="3559"/>
      <c r="N80" s="3559"/>
      <c r="O80" s="3560"/>
      <c r="P80" s="2213" t="s">
        <v>12792</v>
      </c>
      <c r="AA80" s="115"/>
      <c r="AB80" s="115"/>
      <c r="AC80" s="1775"/>
      <c r="AD80" s="294"/>
      <c r="AE80" s="115"/>
      <c r="AF80" s="115"/>
      <c r="AG80" s="115"/>
      <c r="AH80" s="115"/>
      <c r="AI80" s="115"/>
    </row>
    <row r="81" spans="1:54" hidden="1">
      <c r="A81" s="1794"/>
      <c r="B81" s="1128">
        <f t="shared" si="39"/>
        <v>16</v>
      </c>
      <c r="C81" s="3558" t="s">
        <v>4190</v>
      </c>
      <c r="D81" s="3559"/>
      <c r="E81" s="3559"/>
      <c r="F81" s="3559"/>
      <c r="G81" s="3559"/>
      <c r="H81" s="3559"/>
      <c r="I81" s="3559"/>
      <c r="J81" s="3559"/>
      <c r="K81" s="3559"/>
      <c r="L81" s="3559"/>
      <c r="M81" s="3559"/>
      <c r="N81" s="3559"/>
      <c r="O81" s="3560"/>
    </row>
    <row r="82" spans="1:54" ht="28.5" hidden="1" customHeight="1">
      <c r="A82" s="1794"/>
      <c r="B82" s="1128">
        <f t="shared" si="39"/>
        <v>17</v>
      </c>
      <c r="C82" s="3558" t="s">
        <v>4191</v>
      </c>
      <c r="D82" s="3559"/>
      <c r="E82" s="3559"/>
      <c r="F82" s="3559"/>
      <c r="G82" s="3559"/>
      <c r="H82" s="3559"/>
      <c r="I82" s="3559"/>
      <c r="J82" s="3559"/>
      <c r="K82" s="3559"/>
      <c r="L82" s="3559"/>
      <c r="M82" s="3559"/>
      <c r="N82" s="3559"/>
      <c r="O82" s="3560"/>
    </row>
    <row r="83" spans="1:54" ht="30" hidden="1" customHeight="1">
      <c r="A83" s="1794"/>
      <c r="B83" s="1128">
        <f t="shared" si="39"/>
        <v>18</v>
      </c>
      <c r="C83" s="3558" t="s">
        <v>4192</v>
      </c>
      <c r="D83" s="3559"/>
      <c r="E83" s="3559"/>
      <c r="F83" s="3559"/>
      <c r="G83" s="3559"/>
      <c r="H83" s="3559"/>
      <c r="I83" s="3559"/>
      <c r="J83" s="3559"/>
      <c r="K83" s="3559"/>
      <c r="L83" s="3559"/>
      <c r="M83" s="3559"/>
      <c r="N83" s="3559"/>
      <c r="O83" s="3560"/>
    </row>
    <row r="84" spans="1:54" ht="31.5" hidden="1" customHeight="1">
      <c r="A84" s="1794"/>
      <c r="B84" s="1128">
        <f t="shared" si="39"/>
        <v>19</v>
      </c>
      <c r="C84" s="3558" t="s">
        <v>4193</v>
      </c>
      <c r="D84" s="3559"/>
      <c r="E84" s="3559"/>
      <c r="F84" s="3559"/>
      <c r="G84" s="3559"/>
      <c r="H84" s="3559"/>
      <c r="I84" s="3559"/>
      <c r="J84" s="3559"/>
      <c r="K84" s="3559"/>
      <c r="L84" s="3559"/>
      <c r="M84" s="3559"/>
      <c r="N84" s="3559"/>
      <c r="O84" s="3560"/>
    </row>
    <row r="85" spans="1:54" ht="29.25" hidden="1" customHeight="1">
      <c r="A85" s="1794"/>
      <c r="B85" s="1128">
        <f t="shared" si="39"/>
        <v>20</v>
      </c>
      <c r="C85" s="3558" t="s">
        <v>4194</v>
      </c>
      <c r="D85" s="3559"/>
      <c r="E85" s="3559"/>
      <c r="F85" s="3559"/>
      <c r="G85" s="3559"/>
      <c r="H85" s="3559"/>
      <c r="I85" s="3559"/>
      <c r="J85" s="3559"/>
      <c r="K85" s="3559"/>
      <c r="L85" s="3559"/>
      <c r="M85" s="3559"/>
      <c r="N85" s="3559"/>
      <c r="O85" s="3560"/>
    </row>
    <row r="86" spans="1:54" ht="27" hidden="1" customHeight="1">
      <c r="A86" s="1794"/>
      <c r="B86" s="1128">
        <f t="shared" si="39"/>
        <v>21</v>
      </c>
      <c r="C86" s="3558" t="s">
        <v>4195</v>
      </c>
      <c r="D86" s="3559"/>
      <c r="E86" s="3559"/>
      <c r="F86" s="3559"/>
      <c r="G86" s="3559"/>
      <c r="H86" s="3559"/>
      <c r="I86" s="3559"/>
      <c r="J86" s="3559"/>
      <c r="K86" s="3559"/>
      <c r="L86" s="3559"/>
      <c r="M86" s="3559"/>
      <c r="N86" s="3559"/>
      <c r="O86" s="3560"/>
    </row>
    <row r="87" spans="1:54" ht="31.5" hidden="1" customHeight="1">
      <c r="A87" s="1794"/>
      <c r="B87" s="1128">
        <f t="shared" si="39"/>
        <v>22</v>
      </c>
      <c r="C87" s="3558" t="s">
        <v>4196</v>
      </c>
      <c r="D87" s="3559"/>
      <c r="E87" s="3559"/>
      <c r="F87" s="3559"/>
      <c r="G87" s="3559"/>
      <c r="H87" s="3559"/>
      <c r="I87" s="3559"/>
      <c r="J87" s="3559"/>
      <c r="K87" s="3559"/>
      <c r="L87" s="3559"/>
      <c r="M87" s="3559"/>
      <c r="N87" s="3559"/>
      <c r="O87" s="3560"/>
    </row>
    <row r="88" spans="1:54" hidden="1">
      <c r="A88" s="1794"/>
      <c r="B88" s="1128">
        <f t="shared" si="39"/>
        <v>23</v>
      </c>
      <c r="C88" s="3558" t="s">
        <v>4197</v>
      </c>
      <c r="D88" s="3559"/>
      <c r="E88" s="3559"/>
      <c r="F88" s="3559"/>
      <c r="G88" s="3559"/>
      <c r="H88" s="3559"/>
      <c r="I88" s="3559"/>
      <c r="J88" s="3559"/>
      <c r="K88" s="3559"/>
      <c r="L88" s="3559"/>
      <c r="M88" s="3559"/>
      <c r="N88" s="3559"/>
      <c r="O88" s="3560"/>
    </row>
    <row r="89" spans="1:54" ht="48" hidden="1" customHeight="1">
      <c r="A89" s="1794"/>
      <c r="B89" s="1128">
        <f t="shared" si="39"/>
        <v>24</v>
      </c>
      <c r="C89" s="3558" t="s">
        <v>12953</v>
      </c>
      <c r="D89" s="3559"/>
      <c r="E89" s="3559"/>
      <c r="F89" s="3559"/>
      <c r="G89" s="3559"/>
      <c r="H89" s="3559"/>
      <c r="I89" s="3559"/>
      <c r="J89" s="3559"/>
      <c r="K89" s="3559"/>
      <c r="L89" s="3559"/>
      <c r="M89" s="3559"/>
      <c r="N89" s="3559"/>
      <c r="O89" s="3560"/>
      <c r="P89" s="2213" t="s">
        <v>12792</v>
      </c>
    </row>
    <row r="90" spans="1:54" ht="28.15" hidden="1" customHeight="1">
      <c r="A90" s="1794"/>
      <c r="B90" s="1128">
        <f t="shared" si="39"/>
        <v>25</v>
      </c>
      <c r="C90" s="3558" t="s">
        <v>12954</v>
      </c>
      <c r="D90" s="3559"/>
      <c r="E90" s="3559"/>
      <c r="F90" s="3559"/>
      <c r="G90" s="3559"/>
      <c r="H90" s="3559"/>
      <c r="I90" s="3559"/>
      <c r="J90" s="3559"/>
      <c r="K90" s="3559"/>
      <c r="L90" s="3559"/>
      <c r="M90" s="3559"/>
      <c r="N90" s="3559"/>
      <c r="O90" s="3560"/>
    </row>
    <row r="91" spans="1:54" ht="32.65" hidden="1" customHeight="1">
      <c r="A91" s="1794"/>
      <c r="B91" s="1128">
        <f t="shared" si="39"/>
        <v>26</v>
      </c>
      <c r="C91" s="3558" t="s">
        <v>4198</v>
      </c>
      <c r="D91" s="3559"/>
      <c r="E91" s="3559"/>
      <c r="F91" s="3559"/>
      <c r="G91" s="3559"/>
      <c r="H91" s="3559"/>
      <c r="I91" s="3559"/>
      <c r="J91" s="3559"/>
      <c r="K91" s="3559"/>
      <c r="L91" s="3559"/>
      <c r="M91" s="3559"/>
      <c r="N91" s="3559"/>
      <c r="O91" s="3560"/>
    </row>
    <row r="92" spans="1:54" ht="32.25" hidden="1" customHeight="1">
      <c r="A92" s="1794"/>
      <c r="B92" s="1128">
        <f t="shared" si="39"/>
        <v>27</v>
      </c>
      <c r="C92" s="3558" t="s">
        <v>4199</v>
      </c>
      <c r="D92" s="3559"/>
      <c r="E92" s="3559"/>
      <c r="F92" s="3559"/>
      <c r="G92" s="3559"/>
      <c r="H92" s="3559"/>
      <c r="I92" s="3559"/>
      <c r="J92" s="3559"/>
      <c r="K92" s="3559"/>
      <c r="L92" s="3559"/>
      <c r="M92" s="3559"/>
      <c r="N92" s="3559"/>
      <c r="O92" s="3560"/>
    </row>
    <row r="93" spans="1:54" ht="33.75" hidden="1" customHeight="1">
      <c r="A93" s="1794"/>
      <c r="B93" s="1128">
        <f t="shared" si="39"/>
        <v>28</v>
      </c>
      <c r="C93" s="3558" t="s">
        <v>12955</v>
      </c>
      <c r="D93" s="3559"/>
      <c r="E93" s="3559"/>
      <c r="F93" s="3559"/>
      <c r="G93" s="3559"/>
      <c r="H93" s="3559"/>
      <c r="I93" s="3559"/>
      <c r="J93" s="3559"/>
      <c r="K93" s="3559"/>
      <c r="L93" s="3559"/>
      <c r="M93" s="3559"/>
      <c r="N93" s="3559"/>
      <c r="O93" s="3560"/>
    </row>
    <row r="94" spans="1:54" s="2146" customFormat="1" ht="33.75" hidden="1" customHeight="1">
      <c r="A94" s="1794"/>
      <c r="B94" s="1128">
        <v>29</v>
      </c>
      <c r="C94" s="3564" t="s">
        <v>12793</v>
      </c>
      <c r="D94" s="3565"/>
      <c r="E94" s="3565"/>
      <c r="F94" s="3565"/>
      <c r="G94" s="3565"/>
      <c r="H94" s="3565"/>
      <c r="I94" s="3565"/>
      <c r="J94" s="3565"/>
      <c r="K94" s="3565"/>
      <c r="L94" s="3565"/>
      <c r="M94" s="3565"/>
      <c r="N94" s="3565"/>
      <c r="O94" s="3566"/>
      <c r="AA94" s="928"/>
      <c r="AB94" s="928"/>
      <c r="AC94" s="1772"/>
      <c r="AD94" s="928"/>
      <c r="AE94" s="928"/>
      <c r="AF94" s="928"/>
      <c r="AG94" s="928"/>
      <c r="AH94" s="928"/>
      <c r="AI94" s="928"/>
      <c r="AJ94" s="928"/>
      <c r="AK94" s="928"/>
      <c r="AL94" s="928"/>
      <c r="AM94" s="928"/>
      <c r="AN94" s="928"/>
      <c r="AO94" s="928"/>
      <c r="AP94" s="928"/>
      <c r="AQ94" s="928"/>
      <c r="AR94" s="928"/>
      <c r="AS94" s="928"/>
      <c r="AT94" s="928"/>
      <c r="AU94" s="928"/>
      <c r="AV94" s="1772"/>
      <c r="AX94" s="1764"/>
      <c r="BB94" s="1764"/>
    </row>
    <row r="95" spans="1:54" ht="33.75" hidden="1" customHeight="1">
      <c r="A95" s="1794"/>
      <c r="B95" s="1128" t="s">
        <v>12794</v>
      </c>
      <c r="C95" s="3558" t="s">
        <v>4200</v>
      </c>
      <c r="D95" s="3559"/>
      <c r="E95" s="3559"/>
      <c r="F95" s="3559"/>
      <c r="G95" s="3559"/>
      <c r="H95" s="3559"/>
      <c r="I95" s="3559"/>
      <c r="J95" s="3559"/>
      <c r="K95" s="3559"/>
      <c r="L95" s="3559"/>
      <c r="M95" s="3559"/>
      <c r="N95" s="3559"/>
      <c r="O95" s="3560"/>
    </row>
    <row r="96" spans="1:54" ht="15" hidden="1" thickBot="1">
      <c r="A96" s="1794"/>
      <c r="B96" s="1129">
        <v>45</v>
      </c>
      <c r="C96" s="3561" t="s">
        <v>12956</v>
      </c>
      <c r="D96" s="3562"/>
      <c r="E96" s="3562"/>
      <c r="F96" s="3562"/>
      <c r="G96" s="3562"/>
      <c r="H96" s="3562"/>
      <c r="I96" s="3562"/>
      <c r="J96" s="3562"/>
      <c r="K96" s="3562"/>
      <c r="L96" s="3562"/>
      <c r="M96" s="3562"/>
      <c r="N96" s="3562"/>
      <c r="O96" s="3563"/>
    </row>
  </sheetData>
  <mergeCells count="59">
    <mergeCell ref="AA3:AA5"/>
    <mergeCell ref="G4:I4"/>
    <mergeCell ref="J4:K4"/>
    <mergeCell ref="L4:N4"/>
    <mergeCell ref="O4:O5"/>
    <mergeCell ref="P4:R4"/>
    <mergeCell ref="S4:T4"/>
    <mergeCell ref="G3:O3"/>
    <mergeCell ref="P3:X3"/>
    <mergeCell ref="Y3:Y5"/>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C85:O85"/>
    <mergeCell ref="C74:O74"/>
    <mergeCell ref="C75:O75"/>
    <mergeCell ref="C76:O76"/>
    <mergeCell ref="C77:O77"/>
    <mergeCell ref="C78:O78"/>
    <mergeCell ref="C79:O79"/>
    <mergeCell ref="C80:O80"/>
    <mergeCell ref="C81:O81"/>
    <mergeCell ref="C82:O82"/>
    <mergeCell ref="C83:O83"/>
    <mergeCell ref="C84:O84"/>
    <mergeCell ref="C92:O92"/>
    <mergeCell ref="C93:O93"/>
    <mergeCell ref="C95:O95"/>
    <mergeCell ref="C96:O96"/>
    <mergeCell ref="C86:O86"/>
    <mergeCell ref="C87:O87"/>
    <mergeCell ref="C88:O88"/>
    <mergeCell ref="C89:O89"/>
    <mergeCell ref="C90:O90"/>
    <mergeCell ref="C91:O91"/>
    <mergeCell ref="C94:O94"/>
    <mergeCell ref="BI3:BQ3"/>
    <mergeCell ref="BR3:BZ3"/>
    <mergeCell ref="BI4:BK4"/>
    <mergeCell ref="BL4:BM4"/>
    <mergeCell ref="BN4:BP4"/>
    <mergeCell ref="BQ4:BQ5"/>
    <mergeCell ref="BR4:BT4"/>
    <mergeCell ref="BU4:BV4"/>
    <mergeCell ref="BW4:BY4"/>
    <mergeCell ref="BZ4:BZ5"/>
  </mergeCells>
  <conditionalFormatting sqref="AA38">
    <cfRule type="cellIs" dxfId="124" priority="11" operator="equal">
      <formula>$BA$37</formula>
    </cfRule>
  </conditionalFormatting>
  <conditionalFormatting sqref="AA8:AA35 AA37:AA51">
    <cfRule type="cellIs" dxfId="123" priority="8" operator="equal">
      <formula>0</formula>
    </cfRule>
  </conditionalFormatting>
  <conditionalFormatting sqref="AA10:AA35 AA37:AA51">
    <cfRule type="cellIs" dxfId="122" priority="10" operator="equal">
      <formula>$BA$37</formula>
    </cfRule>
  </conditionalFormatting>
  <conditionalFormatting sqref="AA52">
    <cfRule type="cellIs" dxfId="121" priority="5" operator="equal">
      <formula>0</formula>
    </cfRule>
  </conditionalFormatting>
  <conditionalFormatting sqref="AA36">
    <cfRule type="cellIs" dxfId="120" priority="1" operator="equal">
      <formula>0</formula>
    </cfRule>
  </conditionalFormatting>
  <conditionalFormatting sqref="AA36">
    <cfRule type="cellIs" dxfId="119"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4.xml><?xml version="1.0" encoding="utf-8"?>
<worksheet xmlns="http://schemas.openxmlformats.org/spreadsheetml/2006/main" xmlns:r="http://schemas.openxmlformats.org/officeDocument/2006/relationships">
  <sheetPr codeName="Sheet41">
    <pageSetUpPr fitToPage="1"/>
  </sheetPr>
  <dimension ref="A1:V57"/>
  <sheetViews>
    <sheetView workbookViewId="0"/>
  </sheetViews>
  <sheetFormatPr defaultColWidth="0" defaultRowHeight="14.25" zeroHeight="1"/>
  <cols>
    <col min="1" max="1" width="0.625" customWidth="1"/>
    <col min="2" max="2" width="8.625" customWidth="1"/>
    <col min="3" max="3" width="54.625" customWidth="1"/>
    <col min="4" max="4" width="4.125" hidden="1" customWidth="1"/>
    <col min="5" max="6" width="8.625" customWidth="1"/>
    <col min="7" max="7" width="10.125" customWidth="1"/>
    <col min="8" max="8" width="38.625" customWidth="1"/>
    <col min="9" max="9" width="2.5" customWidth="1"/>
    <col min="10" max="10" width="21.125" customWidth="1"/>
    <col min="11" max="11" width="2.625" customWidth="1"/>
    <col min="12" max="12" width="1.625" style="72" hidden="1" customWidth="1"/>
    <col min="13" max="13" width="8.125" hidden="1" customWidth="1"/>
    <col min="14" max="14" width="1.625" style="72" hidden="1" customWidth="1"/>
    <col min="15" max="15" width="2.625" customWidth="1"/>
    <col min="16" max="16" width="8.625" customWidth="1"/>
    <col min="17" max="17" width="48.5" customWidth="1"/>
    <col min="18" max="18" width="0.625" customWidth="1"/>
    <col min="19" max="20" width="8.625" customWidth="1"/>
    <col min="21" max="21" width="14" bestFit="1" customWidth="1"/>
    <col min="22" max="22" width="2.375" customWidth="1"/>
    <col min="23" max="16384" width="8.625" hidden="1"/>
  </cols>
  <sheetData>
    <row r="1" spans="1:21" ht="18.75">
      <c r="A1" s="1047"/>
      <c r="B1" s="67" t="s">
        <v>13551</v>
      </c>
      <c r="C1" s="67"/>
      <c r="D1" s="67"/>
      <c r="E1" s="67"/>
      <c r="F1" s="67"/>
      <c r="G1" s="67"/>
      <c r="H1" s="69" t="str">
        <f>Validation!B3</f>
        <v>South West Water – South West area</v>
      </c>
      <c r="I1" s="67"/>
      <c r="J1" s="70" t="s">
        <v>2394</v>
      </c>
      <c r="K1" s="71"/>
      <c r="M1" s="71"/>
      <c r="P1" s="67" t="s">
        <v>13551</v>
      </c>
      <c r="Q1" s="67"/>
      <c r="R1" s="67"/>
      <c r="S1" s="67"/>
      <c r="T1" s="67"/>
      <c r="U1" s="67"/>
    </row>
    <row r="2" spans="1:21" ht="15" thickBot="1">
      <c r="A2" s="1047"/>
      <c r="B2" s="74" t="s">
        <v>12524</v>
      </c>
      <c r="C2" s="1047"/>
      <c r="D2" s="1047"/>
      <c r="E2" s="1047"/>
      <c r="F2" s="1047"/>
      <c r="G2" s="1047"/>
      <c r="H2" s="1047"/>
      <c r="I2" s="1047"/>
      <c r="J2" s="71"/>
      <c r="K2" s="71"/>
      <c r="M2" s="71"/>
      <c r="P2" s="74" t="str">
        <f>+B2</f>
        <v>For the 12 months ended 31 March 2019</v>
      </c>
      <c r="Q2" s="3105"/>
      <c r="R2" s="3105"/>
      <c r="S2" s="3105"/>
      <c r="T2" s="3105"/>
      <c r="U2" s="3105"/>
    </row>
    <row r="3" spans="1:21" ht="15" thickBot="1">
      <c r="A3" s="1047"/>
      <c r="B3" s="3595" t="s">
        <v>2395</v>
      </c>
      <c r="C3" s="3596"/>
      <c r="D3" s="1050" t="s">
        <v>6495</v>
      </c>
      <c r="E3" s="1050" t="s">
        <v>3346</v>
      </c>
      <c r="F3" s="1105" t="s">
        <v>2397</v>
      </c>
      <c r="G3" s="193" t="s">
        <v>3673</v>
      </c>
      <c r="H3" s="195" t="s">
        <v>4047</v>
      </c>
      <c r="I3" s="1130"/>
      <c r="J3" s="195" t="s">
        <v>1361</v>
      </c>
      <c r="K3" s="71"/>
      <c r="M3" s="663" t="s">
        <v>2404</v>
      </c>
      <c r="P3" s="1104" t="s">
        <v>2423</v>
      </c>
      <c r="Q3" s="1049" t="s">
        <v>4077</v>
      </c>
      <c r="R3" s="1050" t="s">
        <v>6495</v>
      </c>
      <c r="S3" s="1050" t="s">
        <v>3346</v>
      </c>
      <c r="T3" s="1105" t="s">
        <v>2397</v>
      </c>
      <c r="U3" s="193" t="s">
        <v>3673</v>
      </c>
    </row>
    <row r="4" spans="1:21" ht="15" thickBot="1">
      <c r="A4" s="1131"/>
      <c r="B4" s="1132"/>
      <c r="C4" s="1133"/>
      <c r="D4" s="1131"/>
      <c r="E4" s="1131"/>
      <c r="F4" s="1131"/>
      <c r="G4" s="1131"/>
      <c r="H4" s="1131"/>
      <c r="I4" s="1131"/>
      <c r="J4" s="1131"/>
      <c r="K4" s="71"/>
      <c r="M4" s="90" t="s">
        <v>11036</v>
      </c>
      <c r="P4" s="1132"/>
      <c r="Q4" s="3106"/>
      <c r="R4" s="3107"/>
      <c r="S4" s="3107"/>
      <c r="T4" s="3107"/>
      <c r="U4" s="3107"/>
    </row>
    <row r="5" spans="1:21" s="2146" customFormat="1" ht="15" thickBot="1">
      <c r="A5" s="1131"/>
      <c r="B5" s="2170" t="s">
        <v>2449</v>
      </c>
      <c r="C5" s="1114" t="s">
        <v>12636</v>
      </c>
      <c r="D5" s="1131"/>
      <c r="E5" s="1131"/>
      <c r="F5" s="1131"/>
      <c r="G5" s="1131"/>
      <c r="H5" s="1131"/>
      <c r="I5" s="1131"/>
      <c r="J5" s="1131"/>
      <c r="K5" s="71"/>
      <c r="L5" s="72"/>
      <c r="M5" s="90"/>
      <c r="N5" s="72"/>
      <c r="P5" s="2745" t="s">
        <v>2449</v>
      </c>
      <c r="Q5" s="3108" t="s">
        <v>12636</v>
      </c>
      <c r="R5" s="3107"/>
      <c r="S5" s="3107"/>
      <c r="T5" s="3107"/>
      <c r="U5" s="3107"/>
    </row>
    <row r="6" spans="1:21">
      <c r="A6" s="1134"/>
      <c r="B6" s="1135" t="s">
        <v>6592</v>
      </c>
      <c r="C6" s="1136" t="s">
        <v>4202</v>
      </c>
      <c r="D6" s="1728"/>
      <c r="E6" s="1137" t="s">
        <v>4204</v>
      </c>
      <c r="F6" s="1138">
        <v>3</v>
      </c>
      <c r="G6" s="1139"/>
      <c r="H6" s="1876"/>
      <c r="I6" s="1131"/>
      <c r="J6" s="945" t="str">
        <f t="shared" ref="J6:J11" si="0" xml:space="preserve"> IF( SUM( L6:N6 ) = 0, 0, $M$4 )</f>
        <v>Please complete cell in column G</v>
      </c>
      <c r="K6" s="946"/>
      <c r="M6" s="98">
        <f>IF(Validation!$H$3=1,0,IF(ISNUMBER(G6),0,1))</f>
        <v>1</v>
      </c>
      <c r="P6" s="1135" t="s">
        <v>6592</v>
      </c>
      <c r="Q6" s="1136" t="s">
        <v>4202</v>
      </c>
      <c r="R6" s="1728"/>
      <c r="S6" s="1137" t="s">
        <v>4204</v>
      </c>
      <c r="T6" s="1138">
        <v>3</v>
      </c>
      <c r="U6" s="3109" t="s">
        <v>4203</v>
      </c>
    </row>
    <row r="7" spans="1:21">
      <c r="A7" s="1134"/>
      <c r="B7" s="1140" t="s">
        <v>6593</v>
      </c>
      <c r="C7" s="1141" t="s">
        <v>4205</v>
      </c>
      <c r="D7" s="1729"/>
      <c r="E7" s="1142" t="s">
        <v>4204</v>
      </c>
      <c r="F7" s="1143">
        <v>3</v>
      </c>
      <c r="G7" s="1144"/>
      <c r="H7" s="1877"/>
      <c r="I7" s="1131"/>
      <c r="J7" s="945" t="str">
        <f t="shared" si="0"/>
        <v>Please complete cell in column G</v>
      </c>
      <c r="K7" s="946"/>
      <c r="M7" s="98">
        <f>IF(Validation!$H$3=1,0,IF(ISNUMBER(G7),0,1))</f>
        <v>1</v>
      </c>
      <c r="P7" s="1140" t="s">
        <v>6593</v>
      </c>
      <c r="Q7" s="3110" t="s">
        <v>4205</v>
      </c>
      <c r="R7" s="3111"/>
      <c r="S7" s="1142" t="s">
        <v>4204</v>
      </c>
      <c r="T7" s="1143">
        <v>3</v>
      </c>
      <c r="U7" s="3112" t="s">
        <v>4206</v>
      </c>
    </row>
    <row r="8" spans="1:21">
      <c r="A8" s="1134"/>
      <c r="B8" s="1140" t="s">
        <v>6594</v>
      </c>
      <c r="C8" s="1141" t="s">
        <v>4207</v>
      </c>
      <c r="D8" s="1729"/>
      <c r="E8" s="1142" t="s">
        <v>4204</v>
      </c>
      <c r="F8" s="1143">
        <v>3</v>
      </c>
      <c r="G8" s="1144"/>
      <c r="H8" s="1877"/>
      <c r="I8" s="1131"/>
      <c r="J8" s="945" t="str">
        <f t="shared" si="0"/>
        <v>Please complete cell in column G</v>
      </c>
      <c r="K8" s="946"/>
      <c r="M8" s="98">
        <f>IF(Validation!$H$3=1,0,IF(ISNUMBER(G8),0,1))</f>
        <v>1</v>
      </c>
      <c r="P8" s="1140" t="s">
        <v>6594</v>
      </c>
      <c r="Q8" s="3110" t="s">
        <v>4207</v>
      </c>
      <c r="R8" s="3111"/>
      <c r="S8" s="1142" t="s">
        <v>4204</v>
      </c>
      <c r="T8" s="1143">
        <v>3</v>
      </c>
      <c r="U8" s="3112" t="s">
        <v>4208</v>
      </c>
    </row>
    <row r="9" spans="1:21">
      <c r="A9" s="1134"/>
      <c r="B9" s="1140" t="s">
        <v>6595</v>
      </c>
      <c r="C9" s="1141" t="s">
        <v>4209</v>
      </c>
      <c r="D9" s="1729"/>
      <c r="E9" s="1142" t="s">
        <v>4204</v>
      </c>
      <c r="F9" s="1143">
        <v>3</v>
      </c>
      <c r="G9" s="1144"/>
      <c r="H9" s="1877"/>
      <c r="I9" s="1131"/>
      <c r="J9" s="945" t="str">
        <f t="shared" si="0"/>
        <v>Please complete cell in column G</v>
      </c>
      <c r="K9" s="946"/>
      <c r="M9" s="98">
        <f>IF(Validation!$H$3=1,0,IF(ISNUMBER(G9),0,1))</f>
        <v>1</v>
      </c>
      <c r="P9" s="1140" t="s">
        <v>6595</v>
      </c>
      <c r="Q9" s="3110" t="s">
        <v>4209</v>
      </c>
      <c r="R9" s="3111"/>
      <c r="S9" s="1142" t="s">
        <v>4204</v>
      </c>
      <c r="T9" s="1143">
        <v>3</v>
      </c>
      <c r="U9" s="3112" t="s">
        <v>4210</v>
      </c>
    </row>
    <row r="10" spans="1:21">
      <c r="A10" s="1134"/>
      <c r="B10" s="1140" t="s">
        <v>6596</v>
      </c>
      <c r="C10" s="1141" t="s">
        <v>4211</v>
      </c>
      <c r="D10" s="1729"/>
      <c r="E10" s="1142" t="s">
        <v>4204</v>
      </c>
      <c r="F10" s="1143">
        <v>3</v>
      </c>
      <c r="G10" s="1144"/>
      <c r="H10" s="1877"/>
      <c r="I10" s="1131"/>
      <c r="J10" s="945" t="str">
        <f t="shared" si="0"/>
        <v>Please complete cell in column G</v>
      </c>
      <c r="K10" s="946"/>
      <c r="M10" s="98">
        <f>IF(Validation!$H$3=1,0,IF(ISNUMBER(G10),0,1))</f>
        <v>1</v>
      </c>
      <c r="P10" s="1140" t="s">
        <v>6596</v>
      </c>
      <c r="Q10" s="3110" t="s">
        <v>4211</v>
      </c>
      <c r="R10" s="3111"/>
      <c r="S10" s="1142" t="s">
        <v>4204</v>
      </c>
      <c r="T10" s="1143">
        <v>3</v>
      </c>
      <c r="U10" s="3112" t="s">
        <v>4212</v>
      </c>
    </row>
    <row r="11" spans="1:21">
      <c r="A11" s="1134"/>
      <c r="B11" s="1140" t="s">
        <v>6597</v>
      </c>
      <c r="C11" s="1141" t="s">
        <v>4213</v>
      </c>
      <c r="D11" s="1729"/>
      <c r="E11" s="1142" t="s">
        <v>4204</v>
      </c>
      <c r="F11" s="1143">
        <v>3</v>
      </c>
      <c r="G11" s="1144"/>
      <c r="H11" s="1877"/>
      <c r="I11" s="1131"/>
      <c r="J11" s="945" t="str">
        <f t="shared" si="0"/>
        <v>Please complete cell in column G</v>
      </c>
      <c r="K11" s="946"/>
      <c r="M11" s="98">
        <f>IF(Validation!$H$3=1,0,IF(ISNUMBER(G11),0,1))</f>
        <v>1</v>
      </c>
      <c r="P11" s="1140" t="s">
        <v>6597</v>
      </c>
      <c r="Q11" s="3110" t="s">
        <v>4213</v>
      </c>
      <c r="R11" s="3111"/>
      <c r="S11" s="1142" t="s">
        <v>4204</v>
      </c>
      <c r="T11" s="1143">
        <v>3</v>
      </c>
      <c r="U11" s="3112" t="s">
        <v>8923</v>
      </c>
    </row>
    <row r="12" spans="1:21" s="1754" customFormat="1" ht="15" thickBot="1">
      <c r="A12" s="2609"/>
      <c r="B12" s="1361" t="s">
        <v>6598</v>
      </c>
      <c r="C12" s="2610" t="s">
        <v>12637</v>
      </c>
      <c r="D12" s="2611"/>
      <c r="E12" s="2180" t="s">
        <v>4204</v>
      </c>
      <c r="F12" s="1364">
        <v>3</v>
      </c>
      <c r="G12" s="2181">
        <f>+SUM(G6:G11)</f>
        <v>0</v>
      </c>
      <c r="H12" s="2182"/>
      <c r="I12" s="2291"/>
      <c r="J12" s="945"/>
      <c r="K12" s="2612"/>
      <c r="L12" s="2613"/>
      <c r="M12" s="2614"/>
      <c r="N12" s="2613"/>
      <c r="P12" s="1361" t="s">
        <v>6598</v>
      </c>
      <c r="Q12" s="3113" t="s">
        <v>12637</v>
      </c>
      <c r="R12" s="3114"/>
      <c r="S12" s="2180" t="s">
        <v>4204</v>
      </c>
      <c r="T12" s="1364">
        <v>3</v>
      </c>
      <c r="U12" s="3115" t="s">
        <v>13100</v>
      </c>
    </row>
    <row r="13" spans="1:21" s="2146" customFormat="1" ht="15.75" thickBot="1">
      <c r="B13" s="1047"/>
      <c r="C13" s="1047"/>
      <c r="D13" s="1047"/>
      <c r="E13" s="1047"/>
      <c r="F13" s="1047"/>
      <c r="G13" s="1147"/>
      <c r="H13" s="1047"/>
      <c r="I13" s="1131"/>
      <c r="J13" s="1146"/>
      <c r="K13" s="1047"/>
      <c r="L13" s="72"/>
      <c r="M13" s="1047"/>
      <c r="N13" s="72"/>
      <c r="P13" s="3105"/>
      <c r="Q13" s="3105"/>
      <c r="R13" s="3105"/>
      <c r="S13" s="3105"/>
      <c r="T13" s="3105"/>
      <c r="U13" s="496"/>
    </row>
    <row r="14" spans="1:21" s="2146" customFormat="1" ht="15.75" thickBot="1">
      <c r="B14" s="2170" t="s">
        <v>2458</v>
      </c>
      <c r="C14" s="1114" t="s">
        <v>12638</v>
      </c>
      <c r="D14" s="1047"/>
      <c r="E14" s="1047"/>
      <c r="F14" s="1047"/>
      <c r="G14" s="1147"/>
      <c r="H14" s="1047"/>
      <c r="I14" s="1131"/>
      <c r="J14" s="1146"/>
      <c r="K14" s="1047"/>
      <c r="L14" s="72"/>
      <c r="M14" s="1047"/>
      <c r="N14" s="72"/>
      <c r="P14" s="2745" t="s">
        <v>2458</v>
      </c>
      <c r="Q14" s="3108" t="s">
        <v>12638</v>
      </c>
      <c r="R14" s="3105"/>
      <c r="S14" s="3105"/>
      <c r="T14" s="3105"/>
      <c r="U14" s="496"/>
    </row>
    <row r="15" spans="1:21">
      <c r="A15" s="1134"/>
      <c r="B15" s="1140" t="s">
        <v>6599</v>
      </c>
      <c r="C15" s="1141" t="s">
        <v>4216</v>
      </c>
      <c r="D15" s="1730"/>
      <c r="E15" s="1142" t="s">
        <v>4204</v>
      </c>
      <c r="F15" s="1143">
        <v>3</v>
      </c>
      <c r="G15" s="1769">
        <f>SUM('4O'!G18:CH18)</f>
        <v>0</v>
      </c>
      <c r="H15" s="1877"/>
      <c r="I15" s="1131"/>
      <c r="J15" s="945"/>
      <c r="K15" s="946"/>
      <c r="M15" s="1047"/>
      <c r="P15" s="1353" t="s">
        <v>6599</v>
      </c>
      <c r="Q15" s="3116" t="s">
        <v>4216</v>
      </c>
      <c r="R15" s="3117"/>
      <c r="S15" s="2317" t="s">
        <v>4204</v>
      </c>
      <c r="T15" s="1356">
        <v>3</v>
      </c>
      <c r="U15" s="3109" t="s">
        <v>8926</v>
      </c>
    </row>
    <row r="16" spans="1:21">
      <c r="A16" s="1134"/>
      <c r="B16" s="1140" t="s">
        <v>6600</v>
      </c>
      <c r="C16" s="1141" t="s">
        <v>4217</v>
      </c>
      <c r="D16" s="1730"/>
      <c r="E16" s="1142" t="s">
        <v>4204</v>
      </c>
      <c r="F16" s="1143">
        <v>3</v>
      </c>
      <c r="G16" s="2194">
        <f>SUM('4O'!G19:CH19)</f>
        <v>0</v>
      </c>
      <c r="H16" s="1877"/>
      <c r="I16" s="1131"/>
      <c r="J16" s="945">
        <f xml:space="preserve"> IF( SUM( L16:N16 ) = 0, 0, $M$4 )</f>
        <v>0</v>
      </c>
      <c r="K16" s="946"/>
      <c r="M16" s="1047"/>
      <c r="P16" s="1140" t="s">
        <v>6600</v>
      </c>
      <c r="Q16" s="3110" t="s">
        <v>4217</v>
      </c>
      <c r="R16" s="3118"/>
      <c r="S16" s="1142" t="s">
        <v>4204</v>
      </c>
      <c r="T16" s="1143">
        <v>3</v>
      </c>
      <c r="U16" s="3112" t="s">
        <v>8927</v>
      </c>
    </row>
    <row r="17" spans="1:21" s="1754" customFormat="1" ht="15" thickBot="1">
      <c r="A17" s="2609"/>
      <c r="B17" s="1140" t="s">
        <v>6601</v>
      </c>
      <c r="C17" s="2615" t="s">
        <v>12639</v>
      </c>
      <c r="D17" s="2616"/>
      <c r="E17" s="1142" t="s">
        <v>4204</v>
      </c>
      <c r="F17" s="1143">
        <v>3</v>
      </c>
      <c r="G17" s="2194">
        <f>SUM('4O'!G20:CH20)</f>
        <v>0</v>
      </c>
      <c r="H17" s="1877"/>
      <c r="I17" s="2291"/>
      <c r="J17" s="945">
        <f xml:space="preserve"> IF( SUM( L17:N17 ) = 0, 0, $M$4 )</f>
        <v>0</v>
      </c>
      <c r="K17" s="2612"/>
      <c r="L17" s="2613"/>
      <c r="M17" s="2614"/>
      <c r="N17" s="2613"/>
      <c r="P17" s="1361" t="s">
        <v>6601</v>
      </c>
      <c r="Q17" s="3113" t="s">
        <v>12639</v>
      </c>
      <c r="R17" s="3114"/>
      <c r="S17" s="2180" t="s">
        <v>4204</v>
      </c>
      <c r="T17" s="1364">
        <v>3</v>
      </c>
      <c r="U17" s="3112" t="s">
        <v>13552</v>
      </c>
    </row>
    <row r="18" spans="1:21">
      <c r="A18" s="1134"/>
      <c r="B18" s="2442" t="s">
        <v>6602</v>
      </c>
      <c r="C18" s="2443" t="s">
        <v>4214</v>
      </c>
      <c r="D18" s="2444"/>
      <c r="E18" s="2445" t="s">
        <v>4204</v>
      </c>
      <c r="F18" s="2446">
        <v>3</v>
      </c>
      <c r="G18" s="2447">
        <f>G15+G16+G17</f>
        <v>0</v>
      </c>
      <c r="H18" s="2448"/>
      <c r="I18" s="1131"/>
      <c r="J18" s="945"/>
      <c r="K18" s="946"/>
      <c r="M18" s="1047"/>
      <c r="P18" s="1140" t="s">
        <v>6602</v>
      </c>
      <c r="Q18" s="3110" t="s">
        <v>4214</v>
      </c>
      <c r="R18" s="3111"/>
      <c r="S18" s="1142" t="s">
        <v>4204</v>
      </c>
      <c r="T18" s="1143">
        <v>3</v>
      </c>
      <c r="U18" s="1580" t="s">
        <v>8924</v>
      </c>
    </row>
    <row r="19" spans="1:21">
      <c r="A19" s="1134"/>
      <c r="B19" s="1140" t="s">
        <v>6603</v>
      </c>
      <c r="C19" s="1141" t="s">
        <v>4215</v>
      </c>
      <c r="D19" s="1730"/>
      <c r="E19" s="1142" t="s">
        <v>4204</v>
      </c>
      <c r="F19" s="1143">
        <v>3</v>
      </c>
      <c r="G19" s="2194">
        <f>SUM('4O'!G22:CH22)</f>
        <v>0</v>
      </c>
      <c r="H19" s="1877"/>
      <c r="I19" s="1131"/>
      <c r="J19" s="945">
        <f xml:space="preserve"> IF( SUM( L19:N19 ) = 0, 0, $M$4 )</f>
        <v>0</v>
      </c>
      <c r="K19" s="946"/>
      <c r="M19" s="1047"/>
      <c r="P19" s="1140" t="s">
        <v>6603</v>
      </c>
      <c r="Q19" s="3110" t="s">
        <v>4215</v>
      </c>
      <c r="R19" s="3118"/>
      <c r="S19" s="1142" t="s">
        <v>4204</v>
      </c>
      <c r="T19" s="1143">
        <v>3</v>
      </c>
      <c r="U19" s="3112" t="s">
        <v>8925</v>
      </c>
    </row>
    <row r="20" spans="1:21" s="1754" customFormat="1" ht="15" thickBot="1">
      <c r="A20" s="2609"/>
      <c r="B20" s="1140" t="s">
        <v>12641</v>
      </c>
      <c r="C20" s="2615" t="s">
        <v>12640</v>
      </c>
      <c r="D20" s="2617"/>
      <c r="E20" s="1142" t="s">
        <v>4204</v>
      </c>
      <c r="F20" s="1143">
        <v>3</v>
      </c>
      <c r="G20" s="2194">
        <f>+G18+G19</f>
        <v>0</v>
      </c>
      <c r="H20" s="1877"/>
      <c r="I20" s="2291"/>
      <c r="J20" s="945"/>
      <c r="K20" s="2612"/>
      <c r="L20" s="2613"/>
      <c r="M20" s="2614"/>
      <c r="N20" s="2613"/>
      <c r="P20" s="1545" t="s">
        <v>12641</v>
      </c>
      <c r="Q20" s="3119" t="s">
        <v>12640</v>
      </c>
      <c r="R20" s="3120"/>
      <c r="S20" s="1546" t="s">
        <v>4204</v>
      </c>
      <c r="T20" s="1547">
        <v>3</v>
      </c>
      <c r="U20" s="3121" t="s">
        <v>13553</v>
      </c>
    </row>
    <row r="21" spans="1:21" s="1754" customFormat="1" ht="15" thickBot="1">
      <c r="A21" s="2609"/>
      <c r="B21" s="2449" t="s">
        <v>12642</v>
      </c>
      <c r="C21" s="2618" t="s">
        <v>12643</v>
      </c>
      <c r="D21" s="2619"/>
      <c r="E21" s="2450" t="s">
        <v>4204</v>
      </c>
      <c r="F21" s="2451">
        <v>3</v>
      </c>
      <c r="G21" s="2452">
        <f>G12+G20</f>
        <v>0</v>
      </c>
      <c r="H21" s="2453"/>
      <c r="I21" s="2291"/>
      <c r="J21" s="945"/>
      <c r="K21" s="2612"/>
      <c r="L21" s="2613"/>
      <c r="M21" s="2614"/>
      <c r="N21" s="2613"/>
      <c r="P21" s="1548" t="s">
        <v>12642</v>
      </c>
      <c r="Q21" s="3122" t="s">
        <v>12643</v>
      </c>
      <c r="R21" s="3123"/>
      <c r="S21" s="1549" t="s">
        <v>4204</v>
      </c>
      <c r="T21" s="1550">
        <v>3</v>
      </c>
      <c r="U21" s="3124" t="s">
        <v>13554</v>
      </c>
    </row>
    <row r="22" spans="1:21" ht="15">
      <c r="B22" s="1047"/>
      <c r="C22" s="1047"/>
      <c r="D22" s="1047"/>
      <c r="E22" s="1047"/>
      <c r="F22" s="1047"/>
      <c r="G22" s="1147"/>
      <c r="H22" s="1047"/>
      <c r="I22" s="1131"/>
      <c r="J22" s="1146"/>
      <c r="K22" s="1047"/>
      <c r="M22" s="1047"/>
      <c r="P22" s="496"/>
      <c r="Q22" s="496"/>
      <c r="R22" s="496"/>
      <c r="S22" s="496"/>
      <c r="T22" s="496"/>
      <c r="U22" s="496"/>
    </row>
    <row r="23" spans="1:21">
      <c r="B23" s="1148" t="s">
        <v>2420</v>
      </c>
      <c r="C23" s="1047"/>
      <c r="D23" s="1047"/>
      <c r="E23" s="1047"/>
      <c r="F23" s="1047"/>
      <c r="G23" s="1047"/>
      <c r="H23" s="1047"/>
      <c r="I23" s="1047"/>
      <c r="J23" s="1047"/>
      <c r="K23" s="1047"/>
      <c r="M23" s="1047"/>
      <c r="P23" s="496"/>
      <c r="Q23" s="496"/>
      <c r="R23" s="496"/>
      <c r="S23" s="496"/>
      <c r="T23" s="496"/>
      <c r="U23" s="496"/>
    </row>
    <row r="24" spans="1:21">
      <c r="B24" s="1047"/>
      <c r="C24" s="1047"/>
      <c r="D24" s="1047"/>
      <c r="E24" s="1047"/>
      <c r="F24" s="1047"/>
      <c r="G24" s="1047"/>
      <c r="H24" s="1047"/>
      <c r="I24" s="1047"/>
      <c r="J24" s="1047"/>
      <c r="K24" s="1047"/>
      <c r="M24" s="1047"/>
    </row>
    <row r="25" spans="1:21">
      <c r="B25" s="1008"/>
      <c r="C25" s="1149" t="s">
        <v>4218</v>
      </c>
      <c r="D25" s="1150"/>
      <c r="E25" s="1150"/>
      <c r="F25" s="1150"/>
      <c r="G25" s="1150"/>
      <c r="H25" s="1150"/>
      <c r="I25" s="1150"/>
      <c r="J25" s="1150"/>
      <c r="K25" s="1150"/>
      <c r="M25" s="1150"/>
    </row>
    <row r="26" spans="1:21">
      <c r="B26" s="1047"/>
      <c r="C26" s="1151"/>
      <c r="D26" s="1047"/>
      <c r="E26" s="1047"/>
      <c r="F26" s="1047"/>
      <c r="G26" s="1047"/>
      <c r="H26" s="1047"/>
      <c r="I26" s="1047"/>
      <c r="J26" s="1047"/>
      <c r="K26" s="1047"/>
      <c r="L26" s="124"/>
      <c r="M26" s="1047"/>
      <c r="N26" s="124"/>
    </row>
    <row r="27" spans="1:21">
      <c r="B27" s="1010"/>
      <c r="C27" s="1151" t="s">
        <v>4082</v>
      </c>
      <c r="D27" s="1047"/>
      <c r="E27" s="1047"/>
      <c r="F27" s="1047"/>
      <c r="G27" s="1047"/>
      <c r="H27" s="1047"/>
      <c r="I27" s="1047"/>
      <c r="J27" s="1047"/>
      <c r="K27" s="1047"/>
      <c r="L27" s="124"/>
      <c r="M27" s="1047"/>
      <c r="N27" s="124"/>
    </row>
    <row r="28" spans="1:21">
      <c r="B28" s="1047"/>
      <c r="C28" s="1047"/>
      <c r="D28" s="1047"/>
      <c r="E28" s="1047"/>
      <c r="F28" s="1047"/>
      <c r="G28" s="1047"/>
      <c r="H28" s="1047"/>
      <c r="I28" s="1047"/>
      <c r="J28" s="1047"/>
      <c r="K28" s="1047"/>
      <c r="L28" s="124"/>
      <c r="M28" s="1047"/>
      <c r="N28" s="124"/>
    </row>
    <row r="29" spans="1:21" ht="15" thickBot="1">
      <c r="B29" s="1047"/>
      <c r="C29" s="1047"/>
      <c r="D29" s="1047"/>
      <c r="E29" s="1047"/>
      <c r="F29" s="1047"/>
      <c r="G29" s="1047"/>
      <c r="H29" s="1047"/>
      <c r="I29" s="1047"/>
      <c r="J29" s="1047"/>
      <c r="K29" s="1047"/>
      <c r="M29" s="1047"/>
    </row>
    <row r="30" spans="1:21" ht="15" thickBot="1">
      <c r="B30" s="2183" t="s">
        <v>12572</v>
      </c>
      <c r="C30" s="2186"/>
      <c r="D30" s="2186"/>
      <c r="E30" s="2186"/>
      <c r="F30" s="2186"/>
      <c r="G30" s="2186"/>
      <c r="H30" s="2186"/>
      <c r="I30" s="2186"/>
      <c r="J30" s="2187"/>
      <c r="K30" s="1047"/>
      <c r="M30" s="1047"/>
    </row>
    <row r="31" spans="1:21" ht="15" thickBot="1">
      <c r="B31" s="1047"/>
      <c r="C31" s="1047"/>
      <c r="D31" s="1047"/>
      <c r="E31" s="1047"/>
      <c r="F31" s="1047"/>
      <c r="G31" s="1047"/>
      <c r="H31" s="1047"/>
      <c r="I31" s="1047"/>
      <c r="J31" s="1047"/>
      <c r="K31" s="1047"/>
      <c r="M31" s="1047"/>
    </row>
    <row r="32" spans="1:21" ht="78.75" customHeight="1" thickBot="1">
      <c r="B32" s="3605" t="s">
        <v>11710</v>
      </c>
      <c r="C32" s="3606"/>
      <c r="D32" s="3606"/>
      <c r="E32" s="3606"/>
      <c r="F32" s="3606"/>
      <c r="G32" s="3606"/>
      <c r="H32" s="3606"/>
      <c r="I32" s="3606"/>
      <c r="J32" s="3607"/>
      <c r="K32" s="1047"/>
      <c r="M32" s="1047"/>
    </row>
    <row r="33" spans="1:14">
      <c r="B33" s="1047"/>
      <c r="C33" s="1047"/>
      <c r="D33" s="1047"/>
      <c r="E33" s="1047"/>
      <c r="F33" s="1047"/>
      <c r="G33" s="1047"/>
      <c r="H33" s="1047"/>
      <c r="I33" s="1047"/>
      <c r="J33" s="1047"/>
      <c r="K33" s="1047"/>
      <c r="M33" s="1047"/>
    </row>
    <row r="34" spans="1:14" ht="15" hidden="1" thickBot="1">
      <c r="B34" s="1047"/>
      <c r="C34" s="1047"/>
      <c r="D34" s="1047"/>
      <c r="E34" s="1047"/>
      <c r="F34" s="1047"/>
      <c r="G34" s="1047"/>
      <c r="H34" s="1047"/>
      <c r="I34" s="1047"/>
      <c r="J34" s="1047"/>
      <c r="K34" s="1047"/>
      <c r="M34" s="1047"/>
    </row>
    <row r="35" spans="1:14" ht="15" hidden="1" thickBot="1">
      <c r="A35" s="1696"/>
      <c r="B35" s="3571" t="str">
        <f ca="1" xml:space="preserve"> RIGHT(CELL("filename", $A$1), LEN(CELL("filename", $A$1)) - SEARCH("]", CELL("filename", $A$1)))&amp;" - Line definitions"</f>
        <v>4N - Line definitions</v>
      </c>
      <c r="C35" s="3600"/>
      <c r="D35" s="3600"/>
      <c r="E35" s="3600"/>
      <c r="F35" s="3600"/>
      <c r="G35" s="3600"/>
      <c r="H35" s="3600"/>
      <c r="I35" s="3600"/>
      <c r="J35" s="3601"/>
      <c r="K35" s="1047"/>
      <c r="M35" s="1047"/>
    </row>
    <row r="36" spans="1:14" ht="15" hidden="1" thickBot="1">
      <c r="A36" s="1696"/>
      <c r="B36" s="1047"/>
      <c r="C36" s="1047"/>
      <c r="D36" s="1047"/>
      <c r="E36" s="1047"/>
      <c r="F36" s="1047"/>
      <c r="G36" s="1047"/>
      <c r="H36" s="1047"/>
      <c r="I36" s="1047"/>
      <c r="J36" s="1047"/>
      <c r="K36" s="1047"/>
      <c r="L36" s="124"/>
      <c r="M36" s="1047"/>
      <c r="N36" s="124"/>
    </row>
    <row r="37" spans="1:14" ht="15" hidden="1" thickBot="1">
      <c r="A37" s="1696"/>
      <c r="B37" s="1126" t="s">
        <v>2423</v>
      </c>
      <c r="C37" s="3602" t="s">
        <v>4179</v>
      </c>
      <c r="D37" s="3603"/>
      <c r="E37" s="3603"/>
      <c r="F37" s="3603"/>
      <c r="G37" s="3603"/>
      <c r="H37" s="3603"/>
      <c r="I37" s="3603"/>
      <c r="J37" s="3604"/>
      <c r="K37" s="1047"/>
      <c r="L37" s="124"/>
      <c r="M37" s="1047"/>
      <c r="N37" s="124"/>
    </row>
    <row r="38" spans="1:14" hidden="1">
      <c r="A38" s="1696"/>
      <c r="B38" s="1053">
        <v>1</v>
      </c>
      <c r="C38" s="3597" t="s">
        <v>4219</v>
      </c>
      <c r="D38" s="3598"/>
      <c r="E38" s="3598"/>
      <c r="F38" s="3598"/>
      <c r="G38" s="3598"/>
      <c r="H38" s="3598"/>
      <c r="I38" s="3598"/>
      <c r="J38" s="3599"/>
      <c r="L38" s="124"/>
      <c r="N38" s="124"/>
    </row>
    <row r="39" spans="1:14" hidden="1">
      <c r="A39" s="1696"/>
      <c r="B39" s="1063">
        <f t="shared" ref="B39:B51" si="1">+B38+1</f>
        <v>2</v>
      </c>
      <c r="C39" s="3589" t="s">
        <v>4220</v>
      </c>
      <c r="D39" s="3590"/>
      <c r="E39" s="3590"/>
      <c r="F39" s="3590"/>
      <c r="G39" s="3590"/>
      <c r="H39" s="3590"/>
      <c r="I39" s="3590"/>
      <c r="J39" s="3591"/>
    </row>
    <row r="40" spans="1:14" hidden="1">
      <c r="A40" s="1696"/>
      <c r="B40" s="1063">
        <f t="shared" si="1"/>
        <v>3</v>
      </c>
      <c r="C40" s="3589" t="s">
        <v>4221</v>
      </c>
      <c r="D40" s="3590"/>
      <c r="E40" s="3590"/>
      <c r="F40" s="3590"/>
      <c r="G40" s="3590"/>
      <c r="H40" s="3590"/>
      <c r="I40" s="3590"/>
      <c r="J40" s="3591"/>
    </row>
    <row r="41" spans="1:14" hidden="1">
      <c r="A41" s="1696"/>
      <c r="B41" s="1063">
        <f t="shared" si="1"/>
        <v>4</v>
      </c>
      <c r="C41" s="3589" t="s">
        <v>4222</v>
      </c>
      <c r="D41" s="3590"/>
      <c r="E41" s="3590"/>
      <c r="F41" s="3590"/>
      <c r="G41" s="3590"/>
      <c r="H41" s="3590"/>
      <c r="I41" s="3590"/>
      <c r="J41" s="3591"/>
    </row>
    <row r="42" spans="1:14" hidden="1">
      <c r="A42" s="1696"/>
      <c r="B42" s="1063">
        <f t="shared" si="1"/>
        <v>5</v>
      </c>
      <c r="C42" s="3589" t="s">
        <v>4223</v>
      </c>
      <c r="D42" s="3590"/>
      <c r="E42" s="3590"/>
      <c r="F42" s="3590"/>
      <c r="G42" s="3590"/>
      <c r="H42" s="3590"/>
      <c r="I42" s="3590"/>
      <c r="J42" s="3591"/>
    </row>
    <row r="43" spans="1:14" ht="24" hidden="1" customHeight="1">
      <c r="A43" s="1696"/>
      <c r="B43" s="1063">
        <f t="shared" si="1"/>
        <v>6</v>
      </c>
      <c r="C43" s="3589" t="s">
        <v>4224</v>
      </c>
      <c r="D43" s="3590"/>
      <c r="E43" s="3590"/>
      <c r="F43" s="3590"/>
      <c r="G43" s="3590"/>
      <c r="H43" s="3590"/>
      <c r="I43" s="3590"/>
      <c r="J43" s="3591"/>
      <c r="L43" s="124"/>
      <c r="N43" s="124"/>
    </row>
    <row r="44" spans="1:14" ht="22.5" hidden="1" customHeight="1">
      <c r="A44" s="1696"/>
      <c r="B44" s="1063">
        <f t="shared" si="1"/>
        <v>7</v>
      </c>
      <c r="C44" s="3589" t="s">
        <v>12795</v>
      </c>
      <c r="D44" s="3590"/>
      <c r="E44" s="3590"/>
      <c r="F44" s="3590"/>
      <c r="G44" s="3590"/>
      <c r="H44" s="3590"/>
      <c r="I44" s="3590"/>
      <c r="J44" s="3591"/>
      <c r="L44" s="129"/>
      <c r="N44" s="129"/>
    </row>
    <row r="45" spans="1:14" hidden="1">
      <c r="A45" s="1696"/>
      <c r="B45" s="1063">
        <f>+B44+1</f>
        <v>8</v>
      </c>
      <c r="C45" s="3589" t="s">
        <v>12796</v>
      </c>
      <c r="D45" s="3590"/>
      <c r="E45" s="3590"/>
      <c r="F45" s="3590"/>
      <c r="G45" s="3590"/>
      <c r="H45" s="3590"/>
      <c r="I45" s="3590"/>
      <c r="J45" s="3591"/>
      <c r="L45" s="129"/>
      <c r="N45" s="129"/>
    </row>
    <row r="46" spans="1:14" hidden="1">
      <c r="A46" s="1696"/>
      <c r="B46" s="1063">
        <f t="shared" si="1"/>
        <v>9</v>
      </c>
      <c r="C46" s="3589" t="s">
        <v>12797</v>
      </c>
      <c r="D46" s="3590"/>
      <c r="E46" s="3590"/>
      <c r="F46" s="3590"/>
      <c r="G46" s="3590"/>
      <c r="H46" s="3590"/>
      <c r="I46" s="3590"/>
      <c r="J46" s="3591"/>
      <c r="L46" s="129"/>
      <c r="N46" s="129"/>
    </row>
    <row r="47" spans="1:14" hidden="1">
      <c r="A47" s="1696"/>
      <c r="B47" s="1063">
        <f t="shared" si="1"/>
        <v>10</v>
      </c>
      <c r="C47" s="3589" t="s">
        <v>12798</v>
      </c>
      <c r="D47" s="3590"/>
      <c r="E47" s="3590"/>
      <c r="F47" s="3590"/>
      <c r="G47" s="3590"/>
      <c r="H47" s="3590"/>
      <c r="I47" s="3590"/>
      <c r="J47" s="3591"/>
      <c r="L47" s="129"/>
      <c r="N47" s="129"/>
    </row>
    <row r="48" spans="1:14" s="2146" customFormat="1" ht="17.25" hidden="1" customHeight="1">
      <c r="A48" s="1696"/>
      <c r="B48" s="1119">
        <f t="shared" si="1"/>
        <v>11</v>
      </c>
      <c r="C48" s="3589" t="s">
        <v>12799</v>
      </c>
      <c r="D48" s="3590"/>
      <c r="E48" s="3590"/>
      <c r="F48" s="3590"/>
      <c r="G48" s="3590"/>
      <c r="H48" s="3590"/>
      <c r="I48" s="3590"/>
      <c r="J48" s="3591"/>
      <c r="L48" s="129"/>
      <c r="N48" s="129"/>
    </row>
    <row r="49" spans="1:14" s="2146" customFormat="1" ht="30" hidden="1" customHeight="1">
      <c r="A49" s="1696"/>
      <c r="B49" s="1119">
        <f t="shared" si="1"/>
        <v>12</v>
      </c>
      <c r="C49" s="3589" t="s">
        <v>12800</v>
      </c>
      <c r="D49" s="3590"/>
      <c r="E49" s="3590"/>
      <c r="F49" s="3590"/>
      <c r="G49" s="3590"/>
      <c r="H49" s="3590"/>
      <c r="I49" s="3590"/>
      <c r="J49" s="3591"/>
      <c r="L49" s="129"/>
      <c r="N49" s="129"/>
    </row>
    <row r="50" spans="1:14" hidden="1">
      <c r="A50" s="1696"/>
      <c r="B50" s="1119">
        <f t="shared" si="1"/>
        <v>13</v>
      </c>
      <c r="C50" s="3589" t="s">
        <v>12801</v>
      </c>
      <c r="D50" s="3590"/>
      <c r="E50" s="3590"/>
      <c r="F50" s="3590"/>
      <c r="G50" s="3590"/>
      <c r="H50" s="3590"/>
      <c r="I50" s="3590"/>
      <c r="J50" s="3591"/>
      <c r="L50" s="129"/>
      <c r="N50" s="129"/>
    </row>
    <row r="51" spans="1:14" ht="15" hidden="1" thickBot="1">
      <c r="A51" s="1696"/>
      <c r="B51" s="1068">
        <f t="shared" si="1"/>
        <v>14</v>
      </c>
      <c r="C51" s="3592" t="s">
        <v>12802</v>
      </c>
      <c r="D51" s="3593"/>
      <c r="E51" s="3593"/>
      <c r="F51" s="3593"/>
      <c r="G51" s="3593"/>
      <c r="H51" s="3593"/>
      <c r="I51" s="3593"/>
      <c r="J51" s="3594"/>
      <c r="L51" s="129"/>
      <c r="N51" s="129"/>
    </row>
    <row r="52" spans="1:14" hidden="1">
      <c r="A52" s="1696"/>
      <c r="B52" s="1047"/>
      <c r="C52" s="1047"/>
      <c r="D52" s="1047"/>
      <c r="E52" s="1047"/>
      <c r="F52" s="1047"/>
      <c r="G52" s="1047"/>
      <c r="H52" s="1047"/>
      <c r="I52" s="1047"/>
      <c r="J52" s="1047"/>
      <c r="L52" s="129"/>
      <c r="N52" s="129"/>
    </row>
    <row r="53" spans="1:14">
      <c r="B53" t="s">
        <v>4089</v>
      </c>
      <c r="L53" s="129"/>
      <c r="N53" s="129"/>
    </row>
    <row r="54" spans="1:14" ht="15" thickBot="1">
      <c r="B54" s="1047"/>
      <c r="C54" s="1047"/>
      <c r="D54" s="1047"/>
      <c r="E54" s="1047"/>
      <c r="F54" s="1047"/>
      <c r="G54" s="1047"/>
      <c r="H54" s="1047"/>
      <c r="I54" s="1047"/>
      <c r="J54" s="1047"/>
      <c r="L54" s="129"/>
      <c r="N54" s="129"/>
    </row>
    <row r="55" spans="1:14" ht="324" customHeight="1" thickBot="1">
      <c r="B55" s="3586" t="s">
        <v>12803</v>
      </c>
      <c r="C55" s="3587"/>
      <c r="D55" s="3587"/>
      <c r="E55" s="3587"/>
      <c r="F55" s="3587"/>
      <c r="G55" s="3587"/>
      <c r="H55" s="3587"/>
      <c r="I55" s="3587"/>
      <c r="J55" s="3588"/>
      <c r="L55" s="129"/>
      <c r="N55" s="129"/>
    </row>
    <row r="56" spans="1:14">
      <c r="L56" s="129"/>
      <c r="N56" s="129"/>
    </row>
    <row r="57" spans="1:14" hidden="1">
      <c r="L57" s="129"/>
      <c r="N57" s="129"/>
    </row>
  </sheetData>
  <mergeCells count="19">
    <mergeCell ref="B3:C3"/>
    <mergeCell ref="C38:J38"/>
    <mergeCell ref="B35:J35"/>
    <mergeCell ref="C37:J37"/>
    <mergeCell ref="B32:J32"/>
    <mergeCell ref="B55:J55"/>
    <mergeCell ref="C39:J39"/>
    <mergeCell ref="C40:J40"/>
    <mergeCell ref="C41:J41"/>
    <mergeCell ref="C42:J42"/>
    <mergeCell ref="C43:J43"/>
    <mergeCell ref="C44:J44"/>
    <mergeCell ref="C45:J45"/>
    <mergeCell ref="C46:J46"/>
    <mergeCell ref="C47:J47"/>
    <mergeCell ref="C50:J50"/>
    <mergeCell ref="C51:J51"/>
    <mergeCell ref="C48:J48"/>
    <mergeCell ref="C49:J49"/>
  </mergeCells>
  <conditionalFormatting sqref="J7:J12 J18:J21">
    <cfRule type="cellIs" dxfId="118" priority="44" operator="equal">
      <formula>0</formula>
    </cfRule>
  </conditionalFormatting>
  <conditionalFormatting sqref="J9:J12">
    <cfRule type="cellIs" dxfId="117" priority="42" operator="equal">
      <formula>0</formula>
    </cfRule>
  </conditionalFormatting>
  <conditionalFormatting sqref="J21">
    <cfRule type="cellIs" dxfId="116" priority="39" operator="equal">
      <formula>0</formula>
    </cfRule>
  </conditionalFormatting>
  <conditionalFormatting sqref="J21">
    <cfRule type="cellIs" dxfId="115" priority="38" operator="equal">
      <formula>0</formula>
    </cfRule>
  </conditionalFormatting>
  <conditionalFormatting sqref="J6:J12">
    <cfRule type="cellIs" dxfId="114" priority="35" operator="equal">
      <formula>0</formula>
    </cfRule>
  </conditionalFormatting>
  <conditionalFormatting sqref="J15 J17">
    <cfRule type="cellIs" dxfId="113" priority="15" operator="equal">
      <formula>0</formula>
    </cfRule>
  </conditionalFormatting>
  <conditionalFormatting sqref="J19">
    <cfRule type="cellIs" dxfId="112" priority="9" operator="equal">
      <formula>0</formula>
    </cfRule>
  </conditionalFormatting>
  <conditionalFormatting sqref="J6:J12 J15 J17:J21">
    <cfRule type="cellIs" dxfId="111" priority="835" operator="equal">
      <formula>#REF!</formula>
    </cfRule>
    <cfRule type="containsText" dxfId="110" priority="836" operator="containsText" text="$P$4">
      <formula>NOT(ISERROR(SEARCH("$P$4",J6)))</formula>
    </cfRule>
  </conditionalFormatting>
  <conditionalFormatting sqref="J16">
    <cfRule type="cellIs" dxfId="109" priority="2" operator="equal">
      <formula>0</formula>
    </cfRule>
  </conditionalFormatting>
  <conditionalFormatting sqref="J16">
    <cfRule type="cellIs" dxfId="108" priority="4" operator="equal">
      <formula>#REF!</formula>
    </cfRule>
    <cfRule type="containsText" dxfId="107" priority="5"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 id="{62C2FA5B-B4F7-4D6D-91A4-17EEF0D39D42}">
            <xm:f>Validation!$H$3=1</xm:f>
            <x14:dxf>
              <fill>
                <patternFill>
                  <bgColor theme="2"/>
                </patternFill>
              </fill>
            </x14:dxf>
          </x14:cfRule>
          <xm:sqref>G6:H12 G15:H15 U18:U21 U15:U16 G18:H21 H16 G16:G19</xm:sqref>
        </x14:conditionalFormatting>
        <x14:conditionalFormatting xmlns:xm="http://schemas.microsoft.com/office/excel/2006/main">
          <x14:cfRule type="containsText" priority="367"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0"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7"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6"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6"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6"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8"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7"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0"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39" operator="containsText" id="{AD2356BD-30C9-473C-BF82-B5BC6F3F78A0}">
            <xm:f>NOT(ISERROR(SEARCH(#REF!,J6)))</xm:f>
            <xm:f>#REF!</xm:f>
            <x14:dxf>
              <font>
                <color auto="1"/>
              </font>
              <fill>
                <patternFill>
                  <bgColor rgb="FFFF0000"/>
                </patternFill>
              </fill>
            </x14:dxf>
          </x14:cfRule>
          <x14:cfRule type="containsText" priority="840"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8"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3"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6" operator="containsText" id="{C2909C3E-9C3B-4ACE-91BB-1C5CB7EF5E81}">
            <xm:f>NOT(ISERROR(SEARCH(#REF!,J16)))</xm:f>
            <xm:f>#REF!</xm:f>
            <x14:dxf>
              <font>
                <color auto="1"/>
              </font>
              <fill>
                <patternFill>
                  <bgColor rgb="FFFF0000"/>
                </patternFill>
              </fill>
            </x14:dxf>
          </x14:cfRule>
          <x14:cfRule type="containsText" priority="7"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1" id="{5A98ED9F-81D2-4BCB-BBAE-D633E138AEC1}">
            <xm:f>Validation!$H$3=1</xm:f>
            <x14:dxf>
              <fill>
                <patternFill>
                  <bgColor theme="2"/>
                </patternFill>
              </fill>
            </x14:dxf>
          </x14:cfRule>
          <xm:sqref>G19</xm:sqref>
        </x14:conditionalFormatting>
      </x14:conditionalFormattings>
    </ext>
  </extLst>
</worksheet>
</file>

<file path=xl/worksheets/sheet45.xml><?xml version="1.0" encoding="utf-8"?>
<worksheet xmlns="http://schemas.openxmlformats.org/spreadsheetml/2006/main" xmlns:r="http://schemas.openxmlformats.org/officeDocument/2006/relationships">
  <sheetPr codeName="Sheet42">
    <pageSetUpPr fitToPage="1"/>
  </sheetPr>
  <dimension ref="A1:CJ82"/>
  <sheetViews>
    <sheetView workbookViewId="0"/>
  </sheetViews>
  <sheetFormatPr defaultColWidth="0" defaultRowHeight="14.25" zeroHeight="1"/>
  <cols>
    <col min="1" max="1" width="0.625" style="1150" customWidth="1"/>
    <col min="2" max="2" width="10.625" style="1150" customWidth="1"/>
    <col min="3" max="3" width="46.625" style="1150" customWidth="1"/>
    <col min="4" max="4" width="9" style="1150" customWidth="1"/>
    <col min="5" max="5" width="8.125" style="1150" customWidth="1"/>
    <col min="6" max="6" width="4.625" style="1150" bestFit="1" customWidth="1"/>
    <col min="7" max="11" width="15.625" style="1150" bestFit="1" customWidth="1"/>
    <col min="12" max="85" width="15.625" style="1150" customWidth="1"/>
    <col min="86" max="86" width="15.625" style="1150" bestFit="1" customWidth="1"/>
    <col min="87" max="87" width="36.625" style="1150" customWidth="1"/>
    <col min="88" max="88" width="10.625" style="1150" customWidth="1"/>
    <col min="89" max="16384" width="10.625" style="1150" hidden="1"/>
  </cols>
  <sheetData>
    <row r="1" spans="1:88" ht="18.75">
      <c r="A1" s="1152"/>
      <c r="B1" s="1101" t="s">
        <v>4225</v>
      </c>
      <c r="C1" s="1153"/>
      <c r="D1" s="67"/>
      <c r="E1" s="67"/>
      <c r="F1" s="67"/>
      <c r="G1" s="67"/>
      <c r="H1" s="67"/>
      <c r="I1" s="67"/>
      <c r="J1" s="67"/>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t="str">
        <f>Validation!B3</f>
        <v>South West Water – South West area</v>
      </c>
      <c r="CJ1" s="1152"/>
    </row>
    <row r="2" spans="1:88" ht="15" thickBot="1">
      <c r="A2" s="1154"/>
      <c r="B2" s="74" t="s">
        <v>12524</v>
      </c>
      <c r="C2" s="1155"/>
      <c r="D2" s="1155"/>
      <c r="E2" s="1155"/>
      <c r="F2" s="1155"/>
      <c r="G2" s="1152"/>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row>
    <row r="3" spans="1:88" s="1158" customFormat="1" ht="15.75" thickBot="1">
      <c r="A3" s="1156"/>
      <c r="B3" s="3637" t="s">
        <v>2395</v>
      </c>
      <c r="C3" s="3638"/>
      <c r="D3" s="191" t="s">
        <v>6495</v>
      </c>
      <c r="E3" s="191" t="s">
        <v>2396</v>
      </c>
      <c r="F3" s="192" t="s">
        <v>2397</v>
      </c>
      <c r="G3" s="195" t="s">
        <v>4226</v>
      </c>
      <c r="H3" s="195" t="s">
        <v>4227</v>
      </c>
      <c r="I3" s="195" t="s">
        <v>4228</v>
      </c>
      <c r="J3" s="195" t="s">
        <v>4229</v>
      </c>
      <c r="K3" s="195" t="s">
        <v>4230</v>
      </c>
      <c r="L3" s="195" t="s">
        <v>4231</v>
      </c>
      <c r="M3" s="195" t="s">
        <v>4232</v>
      </c>
      <c r="N3" s="195" t="s">
        <v>4233</v>
      </c>
      <c r="O3" s="195" t="s">
        <v>4234</v>
      </c>
      <c r="P3" s="195" t="s">
        <v>4235</v>
      </c>
      <c r="Q3" s="195" t="s">
        <v>4236</v>
      </c>
      <c r="R3" s="195" t="s">
        <v>4237</v>
      </c>
      <c r="S3" s="195" t="s">
        <v>4238</v>
      </c>
      <c r="T3" s="195" t="s">
        <v>4239</v>
      </c>
      <c r="U3" s="195" t="s">
        <v>4240</v>
      </c>
      <c r="V3" s="195" t="s">
        <v>4241</v>
      </c>
      <c r="W3" s="195" t="s">
        <v>4242</v>
      </c>
      <c r="X3" s="195" t="s">
        <v>4243</v>
      </c>
      <c r="Y3" s="195" t="s">
        <v>4244</v>
      </c>
      <c r="Z3" s="195" t="s">
        <v>4245</v>
      </c>
      <c r="AA3" s="195" t="s">
        <v>4246</v>
      </c>
      <c r="AB3" s="195" t="s">
        <v>4247</v>
      </c>
      <c r="AC3" s="195" t="s">
        <v>4248</v>
      </c>
      <c r="AD3" s="195" t="s">
        <v>4249</v>
      </c>
      <c r="AE3" s="195" t="s">
        <v>4250</v>
      </c>
      <c r="AF3" s="195" t="s">
        <v>4251</v>
      </c>
      <c r="AG3" s="195" t="s">
        <v>4252</v>
      </c>
      <c r="AH3" s="195" t="s">
        <v>4253</v>
      </c>
      <c r="AI3" s="195" t="s">
        <v>4254</v>
      </c>
      <c r="AJ3" s="195" t="s">
        <v>4255</v>
      </c>
      <c r="AK3" s="195" t="s">
        <v>4256</v>
      </c>
      <c r="AL3" s="195" t="s">
        <v>4257</v>
      </c>
      <c r="AM3" s="195" t="s">
        <v>4258</v>
      </c>
      <c r="AN3" s="195" t="s">
        <v>4259</v>
      </c>
      <c r="AO3" s="195" t="s">
        <v>4260</v>
      </c>
      <c r="AP3" s="195" t="s">
        <v>4261</v>
      </c>
      <c r="AQ3" s="195" t="s">
        <v>4262</v>
      </c>
      <c r="AR3" s="195" t="s">
        <v>4263</v>
      </c>
      <c r="AS3" s="195" t="s">
        <v>4264</v>
      </c>
      <c r="AT3" s="195" t="s">
        <v>4265</v>
      </c>
      <c r="AU3" s="195" t="s">
        <v>4266</v>
      </c>
      <c r="AV3" s="195" t="s">
        <v>4267</v>
      </c>
      <c r="AW3" s="195" t="s">
        <v>4268</v>
      </c>
      <c r="AX3" s="195" t="s">
        <v>4269</v>
      </c>
      <c r="AY3" s="195" t="s">
        <v>4270</v>
      </c>
      <c r="AZ3" s="195" t="s">
        <v>4271</v>
      </c>
      <c r="BA3" s="195" t="s">
        <v>4272</v>
      </c>
      <c r="BB3" s="195" t="s">
        <v>4273</v>
      </c>
      <c r="BC3" s="195" t="s">
        <v>4274</v>
      </c>
      <c r="BD3" s="195" t="s">
        <v>4275</v>
      </c>
      <c r="BE3" s="195" t="s">
        <v>4276</v>
      </c>
      <c r="BF3" s="195" t="s">
        <v>4277</v>
      </c>
      <c r="BG3" s="195" t="s">
        <v>4278</v>
      </c>
      <c r="BH3" s="195" t="s">
        <v>4279</v>
      </c>
      <c r="BI3" s="195" t="s">
        <v>4280</v>
      </c>
      <c r="BJ3" s="195" t="s">
        <v>4281</v>
      </c>
      <c r="BK3" s="195" t="s">
        <v>4282</v>
      </c>
      <c r="BL3" s="195" t="s">
        <v>4283</v>
      </c>
      <c r="BM3" s="195" t="s">
        <v>4284</v>
      </c>
      <c r="BN3" s="195" t="s">
        <v>4285</v>
      </c>
      <c r="BO3" s="195" t="s">
        <v>4286</v>
      </c>
      <c r="BP3" s="195" t="s">
        <v>4287</v>
      </c>
      <c r="BQ3" s="195" t="s">
        <v>4288</v>
      </c>
      <c r="BR3" s="195" t="s">
        <v>4289</v>
      </c>
      <c r="BS3" s="195" t="s">
        <v>4290</v>
      </c>
      <c r="BT3" s="195" t="s">
        <v>4291</v>
      </c>
      <c r="BU3" s="195" t="s">
        <v>4292</v>
      </c>
      <c r="BV3" s="195" t="s">
        <v>4293</v>
      </c>
      <c r="BW3" s="195" t="s">
        <v>4294</v>
      </c>
      <c r="BX3" s="195" t="s">
        <v>4295</v>
      </c>
      <c r="BY3" s="195" t="s">
        <v>4296</v>
      </c>
      <c r="BZ3" s="195" t="s">
        <v>4297</v>
      </c>
      <c r="CA3" s="195" t="s">
        <v>4298</v>
      </c>
      <c r="CB3" s="195" t="s">
        <v>4299</v>
      </c>
      <c r="CC3" s="195" t="s">
        <v>4300</v>
      </c>
      <c r="CD3" s="195" t="s">
        <v>4301</v>
      </c>
      <c r="CE3" s="195" t="s">
        <v>4302</v>
      </c>
      <c r="CF3" s="195" t="s">
        <v>4303</v>
      </c>
      <c r="CG3" s="195" t="s">
        <v>4304</v>
      </c>
      <c r="CH3" s="195" t="s">
        <v>4305</v>
      </c>
      <c r="CI3" s="195" t="s">
        <v>4047</v>
      </c>
      <c r="CJ3" s="1157"/>
    </row>
    <row r="4" spans="1:88" ht="15" thickBot="1">
      <c r="A4" s="1154"/>
      <c r="B4" s="1155"/>
      <c r="C4" s="1155"/>
      <c r="D4" s="1155"/>
      <c r="E4" s="1155"/>
      <c r="F4" s="1155"/>
      <c r="G4" s="1863"/>
      <c r="I4" s="1152"/>
      <c r="J4" s="1152"/>
      <c r="K4" s="1152"/>
      <c r="L4" s="1152"/>
      <c r="M4" s="1152"/>
      <c r="N4" s="1152"/>
      <c r="O4" s="1152"/>
      <c r="P4" s="1152"/>
      <c r="Q4" s="1152"/>
      <c r="R4" s="1152"/>
      <c r="S4" s="1152"/>
      <c r="T4" s="1152"/>
      <c r="U4" s="1152"/>
      <c r="V4" s="1152"/>
      <c r="W4" s="1152"/>
      <c r="X4" s="1152"/>
      <c r="Y4" s="1152"/>
      <c r="Z4" s="1152"/>
      <c r="AA4" s="1152"/>
      <c r="AB4" s="1152"/>
      <c r="AC4" s="1152"/>
      <c r="AD4" s="1152"/>
      <c r="AE4" s="1152"/>
      <c r="AF4" s="1152"/>
      <c r="AG4" s="1152"/>
      <c r="AH4" s="1152"/>
      <c r="AI4" s="1152"/>
      <c r="AJ4" s="1152"/>
      <c r="AK4" s="1152"/>
      <c r="AL4" s="1152"/>
      <c r="AM4" s="1152"/>
      <c r="AN4" s="1152"/>
      <c r="AO4" s="1152"/>
      <c r="AP4" s="1152"/>
      <c r="AQ4" s="1152"/>
      <c r="AR4" s="1152"/>
      <c r="AS4" s="1152"/>
      <c r="AT4" s="1152"/>
      <c r="AU4" s="1152"/>
      <c r="AV4" s="1152"/>
      <c r="AW4" s="1152"/>
      <c r="AX4" s="1152"/>
      <c r="AY4" s="1152"/>
      <c r="AZ4" s="1152"/>
      <c r="BA4" s="1152"/>
      <c r="BB4" s="1152"/>
      <c r="BC4" s="1152"/>
      <c r="BD4" s="1152"/>
      <c r="BE4" s="1152"/>
      <c r="BF4" s="1152"/>
      <c r="BG4" s="1152"/>
      <c r="BH4" s="1152"/>
      <c r="BI4" s="1152"/>
      <c r="BJ4" s="1152"/>
      <c r="BK4" s="1152"/>
      <c r="BL4" s="1152"/>
      <c r="BM4" s="1152"/>
      <c r="BN4" s="1152"/>
      <c r="BO4" s="1152"/>
      <c r="BP4" s="1152"/>
      <c r="BQ4" s="1152"/>
      <c r="BR4" s="1152"/>
      <c r="BS4" s="1152"/>
      <c r="BT4" s="1152"/>
      <c r="BU4" s="1152"/>
      <c r="BV4" s="1152"/>
      <c r="BW4" s="1152"/>
      <c r="BX4" s="1152"/>
      <c r="BY4" s="1152"/>
      <c r="BZ4" s="1152"/>
      <c r="CA4" s="1152"/>
      <c r="CB4" s="1152"/>
      <c r="CC4" s="1152"/>
      <c r="CD4" s="1152"/>
      <c r="CE4" s="1152"/>
      <c r="CF4" s="1152"/>
      <c r="CG4" s="1152"/>
      <c r="CH4" s="1152"/>
      <c r="CI4" s="1152"/>
      <c r="CJ4" s="1152"/>
    </row>
    <row r="5" spans="1:88" ht="15" thickBot="1">
      <c r="A5" s="1154"/>
      <c r="B5" s="1051" t="s">
        <v>2449</v>
      </c>
      <c r="C5" s="1114" t="s">
        <v>4306</v>
      </c>
      <c r="D5" s="1159"/>
      <c r="E5" s="1155"/>
      <c r="F5" s="1155"/>
      <c r="I5" s="1152"/>
      <c r="J5" s="1152"/>
      <c r="K5" s="1152"/>
      <c r="L5" s="1152"/>
      <c r="M5" s="1152"/>
      <c r="N5" s="1152"/>
      <c r="O5" s="1152"/>
      <c r="P5" s="1152"/>
      <c r="Q5" s="1152"/>
      <c r="R5" s="1152"/>
      <c r="S5" s="1152"/>
      <c r="T5" s="1152"/>
      <c r="U5" s="1152"/>
      <c r="V5" s="1152"/>
      <c r="W5" s="1152"/>
      <c r="X5" s="1152"/>
      <c r="Y5" s="1152"/>
      <c r="Z5" s="1152"/>
      <c r="AA5" s="1152"/>
      <c r="AB5" s="1152"/>
      <c r="AC5" s="1152"/>
      <c r="AD5" s="1152"/>
      <c r="AE5" s="1152"/>
      <c r="AF5" s="1152"/>
      <c r="AG5" s="1152"/>
      <c r="AH5" s="1152"/>
      <c r="AI5" s="1152"/>
      <c r="AJ5" s="1152"/>
      <c r="AK5" s="1152"/>
      <c r="AL5" s="1152"/>
      <c r="AM5" s="1152"/>
      <c r="AN5" s="1152"/>
      <c r="AO5" s="1152"/>
      <c r="AP5" s="1152"/>
      <c r="AQ5" s="1152"/>
      <c r="AR5" s="1152"/>
      <c r="AS5" s="1152"/>
      <c r="AT5" s="1152"/>
      <c r="AU5" s="1152"/>
      <c r="AV5" s="1152"/>
      <c r="AW5" s="1152"/>
      <c r="AX5" s="1152"/>
      <c r="AY5" s="1152"/>
      <c r="AZ5" s="1152"/>
      <c r="BA5" s="1152"/>
      <c r="BB5" s="1152"/>
      <c r="BC5" s="1152"/>
      <c r="BD5" s="1152"/>
      <c r="BE5" s="1152"/>
      <c r="BF5" s="1152"/>
      <c r="BG5" s="1152"/>
      <c r="BH5" s="1152"/>
      <c r="BI5" s="1152"/>
      <c r="BJ5" s="1152"/>
      <c r="BK5" s="1152"/>
      <c r="BL5" s="1152"/>
      <c r="BM5" s="1152"/>
      <c r="BN5" s="1152"/>
      <c r="BO5" s="1152"/>
      <c r="BP5" s="1152"/>
      <c r="BQ5" s="1152"/>
      <c r="BR5" s="1152"/>
      <c r="BS5" s="1152"/>
      <c r="BT5" s="1152"/>
      <c r="BU5" s="1152"/>
      <c r="BV5" s="1152"/>
      <c r="BW5" s="1152"/>
      <c r="BX5" s="1152"/>
      <c r="BY5" s="1152"/>
      <c r="BZ5" s="1152"/>
      <c r="CA5" s="1152"/>
      <c r="CB5" s="1152"/>
      <c r="CC5" s="1152"/>
      <c r="CD5" s="1152"/>
      <c r="CE5" s="1152"/>
      <c r="CF5" s="1152"/>
      <c r="CG5" s="1152"/>
      <c r="CH5" s="1155"/>
      <c r="CI5" s="1152"/>
      <c r="CJ5" s="1152"/>
    </row>
    <row r="6" spans="1:88">
      <c r="A6" s="1154"/>
      <c r="B6" s="1053" t="s">
        <v>6604</v>
      </c>
      <c r="C6" s="1160" t="s">
        <v>4307</v>
      </c>
      <c r="D6" s="1055" t="s">
        <v>12441</v>
      </c>
      <c r="E6" s="1055" t="s">
        <v>4043</v>
      </c>
      <c r="F6" s="1056">
        <v>0</v>
      </c>
      <c r="G6" s="1178" t="e">
        <f>IF(HLOOKUP($CI$1,LWTW!$A$2:$L$85,COLUMN(B$1),FALSE)="","",HLOOKUP($CI$1,LWTW!$A$2:$L$85,COLUMN(B$1),FALSE))</f>
        <v>#N/A</v>
      </c>
      <c r="H6" s="1178" t="e">
        <f>IF(HLOOKUP($CI$1,LWTW!$A$2:$L$85,COLUMN(C$1),FALSE)="","",HLOOKUP($CI$1,LWTW!$A$2:$L$85,COLUMN(C$1),FALSE))</f>
        <v>#N/A</v>
      </c>
      <c r="I6" s="1178" t="e">
        <f>IF(HLOOKUP($CI$1,LWTW!$A$2:$L$85,COLUMN(D$1),FALSE)="","",HLOOKUP($CI$1,LWTW!$A$2:$L$85,COLUMN(D$1),FALSE))</f>
        <v>#N/A</v>
      </c>
      <c r="J6" s="1178" t="e">
        <f>IF(HLOOKUP($CI$1,LWTW!$A$2:$L$85,COLUMN(E$1),FALSE)="","",HLOOKUP($CI$1,LWTW!$A$2:$L$85,COLUMN(E$1),FALSE))</f>
        <v>#N/A</v>
      </c>
      <c r="K6" s="1178" t="e">
        <f>IF(HLOOKUP($CI$1,LWTW!$A$2:$L$85,COLUMN(F$1),FALSE)="","",HLOOKUP($CI$1,LWTW!$A$2:$L$85,COLUMN(F$1),FALSE))</f>
        <v>#N/A</v>
      </c>
      <c r="L6" s="1178" t="e">
        <f>IF(HLOOKUP($CI$1,LWTW!$A$2:$L$85,COLUMN(G$1),FALSE)="","",HLOOKUP($CI$1,LWTW!$A$2:$L$85,COLUMN(G$1),FALSE))</f>
        <v>#N/A</v>
      </c>
      <c r="M6" s="1178" t="e">
        <f>IF(HLOOKUP($CI$1,LWTW!$A$2:$L$85,COLUMN(H$1),FALSE)="","",HLOOKUP($CI$1,LWTW!$A$2:$L$85,COLUMN(H$1),FALSE))</f>
        <v>#N/A</v>
      </c>
      <c r="N6" s="1178" t="e">
        <f>IF(HLOOKUP($CI$1,LWTW!$A$2:$L$85,COLUMN(I$1),FALSE)="","",HLOOKUP($CI$1,LWTW!$A$2:$L$85,COLUMN(I$1),FALSE))</f>
        <v>#N/A</v>
      </c>
      <c r="O6" s="1178" t="e">
        <f>IF(HLOOKUP($CI$1,LWTW!$A$2:$L$85,COLUMN(J$1),FALSE)="","",HLOOKUP($CI$1,LWTW!$A$2:$L$85,COLUMN(J$1),FALSE))</f>
        <v>#N/A</v>
      </c>
      <c r="P6" s="1178" t="e">
        <f>IF(HLOOKUP($CI$1,LWTW!$A$2:$L$85,COLUMN(K$1),FALSE)="","",HLOOKUP($CI$1,LWTW!$A$2:$L$85,COLUMN(K$1),FALSE))</f>
        <v>#N/A</v>
      </c>
      <c r="Q6" s="1178" t="e">
        <f>IF(HLOOKUP($CI$1,LWTW!$A$2:$L$85,COLUMN(L$1),FALSE)="","",HLOOKUP($CI$1,LWTW!$A$2:$L$85,COLUMN(L$1),FALSE))</f>
        <v>#N/A</v>
      </c>
      <c r="R6" s="1178" t="e">
        <f>IF(HLOOKUP($CI$1,LWTW!$A$2:$L$85,COLUMN(M$1),FALSE)="","",HLOOKUP($CI$1,LWTW!$A$2:$L$85,COLUMN(M$1),FALSE))</f>
        <v>#N/A</v>
      </c>
      <c r="S6" s="1178" t="e">
        <f>IF(HLOOKUP($CI$1,LWTW!$A$2:$L$85,COLUMN(N$1),FALSE)="","",HLOOKUP($CI$1,LWTW!$A$2:$L$85,COLUMN(N$1),FALSE))</f>
        <v>#N/A</v>
      </c>
      <c r="T6" s="1178" t="e">
        <f>IF(HLOOKUP($CI$1,LWTW!$A$2:$L$85,COLUMN(O$1),FALSE)="","",HLOOKUP($CI$1,LWTW!$A$2:$L$85,COLUMN(O$1),FALSE))</f>
        <v>#N/A</v>
      </c>
      <c r="U6" s="1178" t="e">
        <f>IF(HLOOKUP($CI$1,LWTW!$A$2:$L$85,COLUMN(P$1),FALSE)="","",HLOOKUP($CI$1,LWTW!$A$2:$L$85,COLUMN(P$1),FALSE))</f>
        <v>#N/A</v>
      </c>
      <c r="V6" s="1178" t="e">
        <f>IF(HLOOKUP($CI$1,LWTW!$A$2:$L$85,COLUMN(Q$1),FALSE)="","",HLOOKUP($CI$1,LWTW!$A$2:$L$85,COLUMN(Q$1),FALSE))</f>
        <v>#N/A</v>
      </c>
      <c r="W6" s="1178" t="e">
        <f>IF(HLOOKUP($CI$1,LWTW!$A$2:$L$85,COLUMN(R$1),FALSE)="","",HLOOKUP($CI$1,LWTW!$A$2:$L$85,COLUMN(R$1),FALSE))</f>
        <v>#N/A</v>
      </c>
      <c r="X6" s="1178" t="e">
        <f>IF(HLOOKUP($CI$1,LWTW!$A$2:$L$85,COLUMN(S$1),FALSE)="","",HLOOKUP($CI$1,LWTW!$A$2:$L$85,COLUMN(S$1),FALSE))</f>
        <v>#N/A</v>
      </c>
      <c r="Y6" s="1178" t="e">
        <f>IF(HLOOKUP($CI$1,LWTW!$A$2:$L$85,COLUMN(T$1),FALSE)="","",HLOOKUP($CI$1,LWTW!$A$2:$L$85,COLUMN(T$1),FALSE))</f>
        <v>#N/A</v>
      </c>
      <c r="Z6" s="1178" t="e">
        <f>IF(HLOOKUP($CI$1,LWTW!$A$2:$L$85,COLUMN(U$1),FALSE)="","",HLOOKUP($CI$1,LWTW!$A$2:$L$85,COLUMN(U$1),FALSE))</f>
        <v>#N/A</v>
      </c>
      <c r="AA6" s="1178" t="e">
        <f>IF(HLOOKUP($CI$1,LWTW!$A$2:$L$85,COLUMN(V$1),FALSE)="","",HLOOKUP($CI$1,LWTW!$A$2:$L$85,COLUMN(V$1),FALSE))</f>
        <v>#N/A</v>
      </c>
      <c r="AB6" s="1178" t="e">
        <f>IF(HLOOKUP($CI$1,LWTW!$A$2:$L$85,COLUMN(W$1),FALSE)="","",HLOOKUP($CI$1,LWTW!$A$2:$L$85,COLUMN(W$1),FALSE))</f>
        <v>#N/A</v>
      </c>
      <c r="AC6" s="1178" t="e">
        <f>IF(HLOOKUP($CI$1,LWTW!$A$2:$L$85,COLUMN(X$1),FALSE)="","",HLOOKUP($CI$1,LWTW!$A$2:$L$85,COLUMN(X$1),FALSE))</f>
        <v>#N/A</v>
      </c>
      <c r="AD6" s="1178" t="e">
        <f>IF(HLOOKUP($CI$1,LWTW!$A$2:$L$85,COLUMN(Y$1),FALSE)="","",HLOOKUP($CI$1,LWTW!$A$2:$L$85,COLUMN(Y$1),FALSE))</f>
        <v>#N/A</v>
      </c>
      <c r="AE6" s="1178" t="e">
        <f>IF(HLOOKUP($CI$1,LWTW!$A$2:$L$85,COLUMN(Z$1),FALSE)="","",HLOOKUP($CI$1,LWTW!$A$2:$L$85,COLUMN(Z$1),FALSE))</f>
        <v>#N/A</v>
      </c>
      <c r="AF6" s="1178" t="e">
        <f>IF(HLOOKUP($CI$1,LWTW!$A$2:$L$85,COLUMN(AA$1),FALSE)="","",HLOOKUP($CI$1,LWTW!$A$2:$L$85,COLUMN(AA$1),FALSE))</f>
        <v>#N/A</v>
      </c>
      <c r="AG6" s="1178" t="e">
        <f>IF(HLOOKUP($CI$1,LWTW!$A$2:$L$85,COLUMN(AB$1),FALSE)="","",HLOOKUP($CI$1,LWTW!$A$2:$L$85,COLUMN(AB$1),FALSE))</f>
        <v>#N/A</v>
      </c>
      <c r="AH6" s="1178" t="e">
        <f>IF(HLOOKUP($CI$1,LWTW!$A$2:$L$85,COLUMN(AC$1),FALSE)="","",HLOOKUP($CI$1,LWTW!$A$2:$L$85,COLUMN(AC$1),FALSE))</f>
        <v>#N/A</v>
      </c>
      <c r="AI6" s="1178" t="e">
        <f>IF(HLOOKUP($CI$1,LWTW!$A$2:$L$85,COLUMN(AD$1),FALSE)="","",HLOOKUP($CI$1,LWTW!$A$2:$L$85,COLUMN(AD$1),FALSE))</f>
        <v>#N/A</v>
      </c>
      <c r="AJ6" s="1178" t="e">
        <f>IF(HLOOKUP($CI$1,LWTW!$A$2:$L$85,COLUMN(AE$1),FALSE)="","",HLOOKUP($CI$1,LWTW!$A$2:$L$85,COLUMN(AE$1),FALSE))</f>
        <v>#N/A</v>
      </c>
      <c r="AK6" s="1178" t="e">
        <f>IF(HLOOKUP($CI$1,LWTW!$A$2:$L$85,COLUMN(AF$1),FALSE)="","",HLOOKUP($CI$1,LWTW!$A$2:$L$85,COLUMN(AF$1),FALSE))</f>
        <v>#N/A</v>
      </c>
      <c r="AL6" s="1178" t="e">
        <f>IF(HLOOKUP($CI$1,LWTW!$A$2:$L$85,COLUMN(AG$1),FALSE)="","",HLOOKUP($CI$1,LWTW!$A$2:$L$85,COLUMN(AG$1),FALSE))</f>
        <v>#N/A</v>
      </c>
      <c r="AM6" s="1178" t="e">
        <f>IF(HLOOKUP($CI$1,LWTW!$A$2:$L$85,COLUMN(AH$1),FALSE)="","",HLOOKUP($CI$1,LWTW!$A$2:$L$85,COLUMN(AH$1),FALSE))</f>
        <v>#N/A</v>
      </c>
      <c r="AN6" s="1178" t="e">
        <f>IF(HLOOKUP($CI$1,LWTW!$A$2:$L$85,COLUMN(AI$1),FALSE)="","",HLOOKUP($CI$1,LWTW!$A$2:$L$85,COLUMN(AI$1),FALSE))</f>
        <v>#N/A</v>
      </c>
      <c r="AO6" s="1178" t="e">
        <f>IF(HLOOKUP($CI$1,LWTW!$A$2:$L$85,COLUMN(AJ$1),FALSE)="","",HLOOKUP($CI$1,LWTW!$A$2:$L$85,COLUMN(AJ$1),FALSE))</f>
        <v>#N/A</v>
      </c>
      <c r="AP6" s="1178" t="e">
        <f>IF(HLOOKUP($CI$1,LWTW!$A$2:$L$85,COLUMN(AK$1),FALSE)="","",HLOOKUP($CI$1,LWTW!$A$2:$L$85,COLUMN(AK$1),FALSE))</f>
        <v>#N/A</v>
      </c>
      <c r="AQ6" s="1178" t="e">
        <f>IF(HLOOKUP($CI$1,LWTW!$A$2:$L$85,COLUMN(AL$1),FALSE)="","",HLOOKUP($CI$1,LWTW!$A$2:$L$85,COLUMN(AL$1),FALSE))</f>
        <v>#N/A</v>
      </c>
      <c r="AR6" s="1178" t="e">
        <f>IF(HLOOKUP($CI$1,LWTW!$A$2:$L$85,COLUMN(AM$1),FALSE)="","",HLOOKUP($CI$1,LWTW!$A$2:$L$85,COLUMN(AM$1),FALSE))</f>
        <v>#N/A</v>
      </c>
      <c r="AS6" s="1178" t="e">
        <f>IF(HLOOKUP($CI$1,LWTW!$A$2:$L$85,COLUMN(AN$1),FALSE)="","",HLOOKUP($CI$1,LWTW!$A$2:$L$85,COLUMN(AN$1),FALSE))</f>
        <v>#N/A</v>
      </c>
      <c r="AT6" s="1178" t="e">
        <f>IF(HLOOKUP($CI$1,LWTW!$A$2:$L$85,COLUMN(AO$1),FALSE)="","",HLOOKUP($CI$1,LWTW!$A$2:$L$85,COLUMN(AO$1),FALSE))</f>
        <v>#N/A</v>
      </c>
      <c r="AU6" s="1178" t="e">
        <f>IF(HLOOKUP($CI$1,LWTW!$A$2:$L$85,COLUMN(AP$1),FALSE)="","",HLOOKUP($CI$1,LWTW!$A$2:$L$85,COLUMN(AP$1),FALSE))</f>
        <v>#N/A</v>
      </c>
      <c r="AV6" s="1178" t="e">
        <f>IF(HLOOKUP($CI$1,LWTW!$A$2:$L$85,COLUMN(AQ$1),FALSE)="","",HLOOKUP($CI$1,LWTW!$A$2:$L$85,COLUMN(AQ$1),FALSE))</f>
        <v>#N/A</v>
      </c>
      <c r="AW6" s="1178" t="e">
        <f>IF(HLOOKUP($CI$1,LWTW!$A$2:$L$85,COLUMN(AR$1),FALSE)="","",HLOOKUP($CI$1,LWTW!$A$2:$L$85,COLUMN(AR$1),FALSE))</f>
        <v>#N/A</v>
      </c>
      <c r="AX6" s="1178" t="e">
        <f>IF(HLOOKUP($CI$1,LWTW!$A$2:$L$85,COLUMN(AS$1),FALSE)="","",HLOOKUP($CI$1,LWTW!$A$2:$L$85,COLUMN(AS$1),FALSE))</f>
        <v>#N/A</v>
      </c>
      <c r="AY6" s="1178" t="e">
        <f>IF(HLOOKUP($CI$1,LWTW!$A$2:$L$85,COLUMN(AT$1),FALSE)="","",HLOOKUP($CI$1,LWTW!$A$2:$L$85,COLUMN(AT$1),FALSE))</f>
        <v>#N/A</v>
      </c>
      <c r="AZ6" s="1178" t="e">
        <f>IF(HLOOKUP($CI$1,LWTW!$A$2:$L$85,COLUMN(AU$1),FALSE)="","",HLOOKUP($CI$1,LWTW!$A$2:$L$85,COLUMN(AU$1),FALSE))</f>
        <v>#N/A</v>
      </c>
      <c r="BA6" s="1178" t="e">
        <f>IF(HLOOKUP($CI$1,LWTW!$A$2:$L$85,COLUMN(AV$1),FALSE)="","",HLOOKUP($CI$1,LWTW!$A$2:$L$85,COLUMN(AV$1),FALSE))</f>
        <v>#N/A</v>
      </c>
      <c r="BB6" s="1178" t="e">
        <f>IF(HLOOKUP($CI$1,LWTW!$A$2:$L$85,COLUMN(AW$1),FALSE)="","",HLOOKUP($CI$1,LWTW!$A$2:$L$85,COLUMN(AW$1),FALSE))</f>
        <v>#N/A</v>
      </c>
      <c r="BC6" s="1178" t="e">
        <f>IF(HLOOKUP($CI$1,LWTW!$A$2:$L$85,COLUMN(AX$1),FALSE)="","",HLOOKUP($CI$1,LWTW!$A$2:$L$85,COLUMN(AX$1),FALSE))</f>
        <v>#N/A</v>
      </c>
      <c r="BD6" s="1178" t="e">
        <f>IF(HLOOKUP($CI$1,LWTW!$A$2:$L$85,COLUMN(AY$1),FALSE)="","",HLOOKUP($CI$1,LWTW!$A$2:$L$85,COLUMN(AY$1),FALSE))</f>
        <v>#N/A</v>
      </c>
      <c r="BE6" s="1178" t="e">
        <f>IF(HLOOKUP($CI$1,LWTW!$A$2:$L$85,COLUMN(AZ$1),FALSE)="","",HLOOKUP($CI$1,LWTW!$A$2:$L$85,COLUMN(AZ$1),FALSE))</f>
        <v>#N/A</v>
      </c>
      <c r="BF6" s="1178" t="e">
        <f>IF(HLOOKUP($CI$1,LWTW!$A$2:$L$85,COLUMN(BA$1),FALSE)="","",HLOOKUP($CI$1,LWTW!$A$2:$L$85,COLUMN(BA$1),FALSE))</f>
        <v>#N/A</v>
      </c>
      <c r="BG6" s="1178" t="e">
        <f>IF(HLOOKUP($CI$1,LWTW!$A$2:$L$85,COLUMN(BB$1),FALSE)="","",HLOOKUP($CI$1,LWTW!$A$2:$L$85,COLUMN(BB$1),FALSE))</f>
        <v>#N/A</v>
      </c>
      <c r="BH6" s="1178" t="e">
        <f>IF(HLOOKUP($CI$1,LWTW!$A$2:$L$85,COLUMN(BC$1),FALSE)="","",HLOOKUP($CI$1,LWTW!$A$2:$L$85,COLUMN(BC$1),FALSE))</f>
        <v>#N/A</v>
      </c>
      <c r="BI6" s="1178" t="e">
        <f>IF(HLOOKUP($CI$1,LWTW!$A$2:$L$85,COLUMN(BD$1),FALSE)="","",HLOOKUP($CI$1,LWTW!$A$2:$L$85,COLUMN(BD$1),FALSE))</f>
        <v>#N/A</v>
      </c>
      <c r="BJ6" s="1178" t="e">
        <f>IF(HLOOKUP($CI$1,LWTW!$A$2:$L$85,COLUMN(BE$1),FALSE)="","",HLOOKUP($CI$1,LWTW!$A$2:$L$85,COLUMN(BE$1),FALSE))</f>
        <v>#N/A</v>
      </c>
      <c r="BK6" s="1178" t="e">
        <f>IF(HLOOKUP($CI$1,LWTW!$A$2:$L$85,COLUMN(BF$1),FALSE)="","",HLOOKUP($CI$1,LWTW!$A$2:$L$85,COLUMN(BF$1),FALSE))</f>
        <v>#N/A</v>
      </c>
      <c r="BL6" s="1178" t="e">
        <f>IF(HLOOKUP($CI$1,LWTW!$A$2:$L$85,COLUMN(BG$1),FALSE)="","",HLOOKUP($CI$1,LWTW!$A$2:$L$85,COLUMN(BG$1),FALSE))</f>
        <v>#N/A</v>
      </c>
      <c r="BM6" s="1178" t="e">
        <f>IF(HLOOKUP($CI$1,LWTW!$A$2:$L$85,COLUMN(BH$1),FALSE)="","",HLOOKUP($CI$1,LWTW!$A$2:$L$85,COLUMN(BH$1),FALSE))</f>
        <v>#N/A</v>
      </c>
      <c r="BN6" s="1178" t="e">
        <f>IF(HLOOKUP($CI$1,LWTW!$A$2:$L$85,COLUMN(BI$1),FALSE)="","",HLOOKUP($CI$1,LWTW!$A$2:$L$85,COLUMN(BI$1),FALSE))</f>
        <v>#N/A</v>
      </c>
      <c r="BO6" s="1178" t="e">
        <f>IF(HLOOKUP($CI$1,LWTW!$A$2:$L$85,COLUMN(BJ$1),FALSE)="","",HLOOKUP($CI$1,LWTW!$A$2:$L$85,COLUMN(BJ$1),FALSE))</f>
        <v>#N/A</v>
      </c>
      <c r="BP6" s="1178" t="e">
        <f>IF(HLOOKUP($CI$1,LWTW!$A$2:$L$85,COLUMN(BK$1),FALSE)="","",HLOOKUP($CI$1,LWTW!$A$2:$L$85,COLUMN(BK$1),FALSE))</f>
        <v>#N/A</v>
      </c>
      <c r="BQ6" s="1178" t="e">
        <f>IF(HLOOKUP($CI$1,LWTW!$A$2:$L$85,COLUMN(BL$1),FALSE)="","",HLOOKUP($CI$1,LWTW!$A$2:$L$85,COLUMN(BL$1),FALSE))</f>
        <v>#N/A</v>
      </c>
      <c r="BR6" s="1178" t="e">
        <f>IF(HLOOKUP($CI$1,LWTW!$A$2:$L$85,COLUMN(BM$1),FALSE)="","",HLOOKUP($CI$1,LWTW!$A$2:$L$85,COLUMN(BM$1),FALSE))</f>
        <v>#N/A</v>
      </c>
      <c r="BS6" s="1178" t="e">
        <f>IF(HLOOKUP($CI$1,LWTW!$A$2:$L$85,COLUMN(BN$1),FALSE)="","",HLOOKUP($CI$1,LWTW!$A$2:$L$85,COLUMN(BN$1),FALSE))</f>
        <v>#N/A</v>
      </c>
      <c r="BT6" s="1178" t="e">
        <f>IF(HLOOKUP($CI$1,LWTW!$A$2:$L$85,COLUMN(BO$1),FALSE)="","",HLOOKUP($CI$1,LWTW!$A$2:$L$85,COLUMN(BO$1),FALSE))</f>
        <v>#N/A</v>
      </c>
      <c r="BU6" s="1178" t="e">
        <f>IF(HLOOKUP($CI$1,LWTW!$A$2:$L$85,COLUMN(BP$1),FALSE)="","",HLOOKUP($CI$1,LWTW!$A$2:$L$85,COLUMN(BP$1),FALSE))</f>
        <v>#N/A</v>
      </c>
      <c r="BV6" s="1178" t="e">
        <f>IF(HLOOKUP($CI$1,LWTW!$A$2:$L$85,COLUMN(BQ$1),FALSE)="","",HLOOKUP($CI$1,LWTW!$A$2:$L$85,COLUMN(BQ$1),FALSE))</f>
        <v>#N/A</v>
      </c>
      <c r="BW6" s="1178" t="e">
        <f>IF(HLOOKUP($CI$1,LWTW!$A$2:$L$85,COLUMN(BR$1),FALSE)="","",HLOOKUP($CI$1,LWTW!$A$2:$L$85,COLUMN(BR$1),FALSE))</f>
        <v>#N/A</v>
      </c>
      <c r="BX6" s="1178" t="e">
        <f>IF(HLOOKUP($CI$1,LWTW!$A$2:$L$85,COLUMN(BS$1),FALSE)="","",HLOOKUP($CI$1,LWTW!$A$2:$L$85,COLUMN(BS$1),FALSE))</f>
        <v>#N/A</v>
      </c>
      <c r="BY6" s="1178" t="e">
        <f>IF(HLOOKUP($CI$1,LWTW!$A$2:$L$85,COLUMN(BT$1),FALSE)="","",HLOOKUP($CI$1,LWTW!$A$2:$L$85,COLUMN(BT$1),FALSE))</f>
        <v>#N/A</v>
      </c>
      <c r="BZ6" s="1178" t="e">
        <f>IF(HLOOKUP($CI$1,LWTW!$A$2:$L$85,COLUMN(BU$1),FALSE)="","",HLOOKUP($CI$1,LWTW!$A$2:$L$85,COLUMN(BU$1),FALSE))</f>
        <v>#N/A</v>
      </c>
      <c r="CA6" s="1178" t="e">
        <f>IF(HLOOKUP($CI$1,LWTW!$A$2:$L$85,COLUMN(BV$1),FALSE)="","",HLOOKUP($CI$1,LWTW!$A$2:$L$85,COLUMN(BV$1),FALSE))</f>
        <v>#N/A</v>
      </c>
      <c r="CB6" s="1178" t="e">
        <f>IF(HLOOKUP($CI$1,LWTW!$A$2:$L$85,COLUMN(BW$1),FALSE)="","",HLOOKUP($CI$1,LWTW!$A$2:$L$85,COLUMN(BW$1),FALSE))</f>
        <v>#N/A</v>
      </c>
      <c r="CC6" s="1178" t="e">
        <f>IF(HLOOKUP($CI$1,LWTW!$A$2:$L$85,COLUMN(BX$1),FALSE)="","",HLOOKUP($CI$1,LWTW!$A$2:$L$85,COLUMN(BX$1),FALSE))</f>
        <v>#N/A</v>
      </c>
      <c r="CD6" s="1178" t="e">
        <f>IF(HLOOKUP($CI$1,LWTW!$A$2:$L$85,COLUMN(BY$1),FALSE)="","",HLOOKUP($CI$1,LWTW!$A$2:$L$85,COLUMN(BY$1),FALSE))</f>
        <v>#N/A</v>
      </c>
      <c r="CE6" s="1178" t="e">
        <f>IF(HLOOKUP($CI$1,LWTW!$A$2:$L$85,COLUMN(BZ$1),FALSE)="","",HLOOKUP($CI$1,LWTW!$A$2:$L$85,COLUMN(BZ$1),FALSE))</f>
        <v>#N/A</v>
      </c>
      <c r="CF6" s="1178" t="e">
        <f>IF(HLOOKUP($CI$1,LWTW!$A$2:$L$85,COLUMN(CA$1),FALSE)="","",HLOOKUP($CI$1,LWTW!$A$2:$L$85,COLUMN(CA$1),FALSE))</f>
        <v>#N/A</v>
      </c>
      <c r="CG6" s="1178" t="e">
        <f>IF(HLOOKUP($CI$1,LWTW!$A$2:$L$85,COLUMN(CB$1),FALSE)="","",HLOOKUP($CI$1,LWTW!$A$2:$L$85,COLUMN(CB$1),FALSE))</f>
        <v>#N/A</v>
      </c>
      <c r="CH6" s="1178" t="e">
        <f>IF(HLOOKUP($CI$1,LWTW!$A$2:$L$85,COLUMN(CC$1),FALSE)="","",HLOOKUP($CI$1,LWTW!$A$2:$L$85,COLUMN(CC$1),FALSE))</f>
        <v>#N/A</v>
      </c>
      <c r="CI6" s="1161"/>
      <c r="CJ6" s="1152"/>
    </row>
    <row r="7" spans="1:88">
      <c r="A7" s="1154"/>
      <c r="B7" s="1063" t="s">
        <v>6605</v>
      </c>
      <c r="C7" s="1064" t="s">
        <v>4308</v>
      </c>
      <c r="D7" s="1060" t="s">
        <v>4309</v>
      </c>
      <c r="E7" s="1060" t="s">
        <v>4043</v>
      </c>
      <c r="F7" s="1061">
        <v>0</v>
      </c>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162"/>
      <c r="AI7" s="1162"/>
      <c r="AJ7" s="1162"/>
      <c r="AK7" s="1162"/>
      <c r="AL7" s="1162"/>
      <c r="AM7" s="1162"/>
      <c r="AN7" s="1162"/>
      <c r="AO7" s="1162"/>
      <c r="AP7" s="1162"/>
      <c r="AQ7" s="1162"/>
      <c r="AR7" s="1162"/>
      <c r="AS7" s="1162"/>
      <c r="AT7" s="1162"/>
      <c r="AU7" s="1162"/>
      <c r="AV7" s="1162"/>
      <c r="AW7" s="1162"/>
      <c r="AX7" s="1162"/>
      <c r="AY7" s="1162"/>
      <c r="AZ7" s="1162"/>
      <c r="BA7" s="1162"/>
      <c r="BB7" s="1162"/>
      <c r="BC7" s="1162"/>
      <c r="BD7" s="1163"/>
      <c r="BE7" s="1163"/>
      <c r="BF7" s="1163"/>
      <c r="BG7" s="1163"/>
      <c r="BH7" s="1163"/>
      <c r="BI7" s="1163"/>
      <c r="BJ7" s="1163"/>
      <c r="BK7" s="1163"/>
      <c r="BL7" s="1163"/>
      <c r="BM7" s="1163"/>
      <c r="BN7" s="1163"/>
      <c r="BO7" s="1163"/>
      <c r="BP7" s="1163"/>
      <c r="BQ7" s="1163"/>
      <c r="BR7" s="1163"/>
      <c r="BS7" s="1163"/>
      <c r="BT7" s="1163"/>
      <c r="BU7" s="1163"/>
      <c r="BV7" s="1163"/>
      <c r="BW7" s="1163"/>
      <c r="BX7" s="1163"/>
      <c r="BY7" s="1163"/>
      <c r="BZ7" s="1163"/>
      <c r="CA7" s="1163"/>
      <c r="CB7" s="1163"/>
      <c r="CC7" s="1163"/>
      <c r="CD7" s="1163"/>
      <c r="CE7" s="1163"/>
      <c r="CF7" s="1163"/>
      <c r="CG7" s="1163"/>
      <c r="CH7" s="1163"/>
      <c r="CI7" s="1163"/>
      <c r="CJ7" s="1152"/>
    </row>
    <row r="8" spans="1:88">
      <c r="A8" s="1154"/>
      <c r="B8" s="1063" t="s">
        <v>6606</v>
      </c>
      <c r="C8" s="1064" t="s">
        <v>4310</v>
      </c>
      <c r="D8" s="1060" t="s">
        <v>4311</v>
      </c>
      <c r="E8" s="1060" t="s">
        <v>4312</v>
      </c>
      <c r="F8" s="1061">
        <v>2</v>
      </c>
      <c r="G8" s="1164"/>
      <c r="H8" s="1164"/>
      <c r="I8" s="1164"/>
      <c r="J8" s="1164"/>
      <c r="K8" s="1164"/>
      <c r="L8" s="1164"/>
      <c r="M8" s="1164"/>
      <c r="N8" s="1164"/>
      <c r="O8" s="1164"/>
      <c r="P8" s="1164"/>
      <c r="Q8" s="1164"/>
      <c r="R8" s="1164"/>
      <c r="S8" s="1164"/>
      <c r="T8" s="1164"/>
      <c r="U8" s="1164"/>
      <c r="V8" s="1164"/>
      <c r="W8" s="1164"/>
      <c r="X8" s="1164"/>
      <c r="Y8" s="1164"/>
      <c r="Z8" s="1164"/>
      <c r="AA8" s="1164"/>
      <c r="AB8" s="1164"/>
      <c r="AC8" s="1164"/>
      <c r="AD8" s="1164"/>
      <c r="AE8" s="1164"/>
      <c r="AF8" s="1164"/>
      <c r="AG8" s="1164"/>
      <c r="AH8" s="1164"/>
      <c r="AI8" s="1164"/>
      <c r="AJ8" s="1164"/>
      <c r="AK8" s="1164"/>
      <c r="AL8" s="1164"/>
      <c r="AM8" s="1164"/>
      <c r="AN8" s="1164"/>
      <c r="AO8" s="1164"/>
      <c r="AP8" s="1164"/>
      <c r="AQ8" s="1164"/>
      <c r="AR8" s="1164"/>
      <c r="AS8" s="1164"/>
      <c r="AT8" s="1164"/>
      <c r="AU8" s="1164"/>
      <c r="AV8" s="1164"/>
      <c r="AW8" s="1164"/>
      <c r="AX8" s="1164"/>
      <c r="AY8" s="1164"/>
      <c r="AZ8" s="1164"/>
      <c r="BA8" s="1164"/>
      <c r="BB8" s="1164"/>
      <c r="BC8" s="1164"/>
      <c r="BD8" s="1164"/>
      <c r="BE8" s="1164"/>
      <c r="BF8" s="1164"/>
      <c r="BG8" s="1164"/>
      <c r="BH8" s="1164"/>
      <c r="BI8" s="1164"/>
      <c r="BJ8" s="1164"/>
      <c r="BK8" s="1164"/>
      <c r="BL8" s="1164"/>
      <c r="BM8" s="1164"/>
      <c r="BN8" s="1164"/>
      <c r="BO8" s="1164"/>
      <c r="BP8" s="1164"/>
      <c r="BQ8" s="1164"/>
      <c r="BR8" s="1164"/>
      <c r="BS8" s="1164"/>
      <c r="BT8" s="1164"/>
      <c r="BU8" s="1164"/>
      <c r="BV8" s="1164"/>
      <c r="BW8" s="1164"/>
      <c r="BX8" s="1164"/>
      <c r="BY8" s="1164"/>
      <c r="BZ8" s="1164"/>
      <c r="CA8" s="1164"/>
      <c r="CB8" s="1164"/>
      <c r="CC8" s="1164"/>
      <c r="CD8" s="1164"/>
      <c r="CE8" s="1164"/>
      <c r="CF8" s="1164"/>
      <c r="CG8" s="1164"/>
      <c r="CH8" s="1164"/>
      <c r="CI8" s="1165"/>
      <c r="CJ8" s="1152"/>
    </row>
    <row r="9" spans="1:88">
      <c r="A9" s="1154"/>
      <c r="B9" s="1063" t="s">
        <v>6607</v>
      </c>
      <c r="C9" s="1064" t="s">
        <v>4313</v>
      </c>
      <c r="D9" s="1060" t="s">
        <v>4314</v>
      </c>
      <c r="E9" s="1060" t="s">
        <v>4315</v>
      </c>
      <c r="F9" s="1061">
        <v>0</v>
      </c>
      <c r="G9" s="1166"/>
      <c r="H9" s="1166"/>
      <c r="I9" s="1166"/>
      <c r="J9" s="1166"/>
      <c r="K9" s="1166"/>
      <c r="L9" s="1166"/>
      <c r="M9" s="1166"/>
      <c r="N9" s="1166"/>
      <c r="O9" s="1166"/>
      <c r="P9" s="1166"/>
      <c r="Q9" s="1166"/>
      <c r="R9" s="1166"/>
      <c r="S9" s="1166"/>
      <c r="T9" s="1166"/>
      <c r="U9" s="1166"/>
      <c r="V9" s="1166"/>
      <c r="W9" s="1166"/>
      <c r="X9" s="1166"/>
      <c r="Y9" s="1166"/>
      <c r="Z9" s="1166"/>
      <c r="AA9" s="1166"/>
      <c r="AB9" s="1166"/>
      <c r="AC9" s="1166"/>
      <c r="AD9" s="1166"/>
      <c r="AE9" s="1166"/>
      <c r="AF9" s="1166"/>
      <c r="AG9" s="1166"/>
      <c r="AH9" s="1166"/>
      <c r="AI9" s="1166"/>
      <c r="AJ9" s="1166"/>
      <c r="AK9" s="1166"/>
      <c r="AL9" s="1166"/>
      <c r="AM9" s="1166"/>
      <c r="AN9" s="1166"/>
      <c r="AO9" s="1166"/>
      <c r="AP9" s="1166"/>
      <c r="AQ9" s="1166"/>
      <c r="AR9" s="1166"/>
      <c r="AS9" s="1166"/>
      <c r="AT9" s="1166"/>
      <c r="AU9" s="1166"/>
      <c r="AV9" s="1166"/>
      <c r="AW9" s="1166"/>
      <c r="AX9" s="1166"/>
      <c r="AY9" s="1166"/>
      <c r="AZ9" s="1166"/>
      <c r="BA9" s="1166"/>
      <c r="BB9" s="1166"/>
      <c r="BC9" s="1166"/>
      <c r="BD9" s="1167"/>
      <c r="BE9" s="1167"/>
      <c r="BF9" s="1167"/>
      <c r="BG9" s="1167"/>
      <c r="BH9" s="1167"/>
      <c r="BI9" s="1167"/>
      <c r="BJ9" s="1167"/>
      <c r="BK9" s="1167"/>
      <c r="BL9" s="1167"/>
      <c r="BM9" s="1167"/>
      <c r="BN9" s="1167"/>
      <c r="BO9" s="1167"/>
      <c r="BP9" s="1167"/>
      <c r="BQ9" s="1167"/>
      <c r="BR9" s="1167"/>
      <c r="BS9" s="1167"/>
      <c r="BT9" s="1167"/>
      <c r="BU9" s="1167"/>
      <c r="BV9" s="1167"/>
      <c r="BW9" s="1167"/>
      <c r="BX9" s="1167"/>
      <c r="BY9" s="1167"/>
      <c r="BZ9" s="1167"/>
      <c r="CA9" s="1167"/>
      <c r="CB9" s="1167"/>
      <c r="CC9" s="1167"/>
      <c r="CD9" s="1167"/>
      <c r="CE9" s="1167"/>
      <c r="CF9" s="1167"/>
      <c r="CG9" s="1167"/>
      <c r="CH9" s="1167"/>
      <c r="CI9" s="1165"/>
      <c r="CJ9" s="1152"/>
    </row>
    <row r="10" spans="1:88" ht="15.75">
      <c r="A10" s="1154"/>
      <c r="B10" s="1063" t="s">
        <v>6608</v>
      </c>
      <c r="C10" s="1064" t="s">
        <v>4316</v>
      </c>
      <c r="D10" s="1060" t="s">
        <v>4317</v>
      </c>
      <c r="E10" s="1060" t="s">
        <v>4315</v>
      </c>
      <c r="F10" s="1061">
        <v>0</v>
      </c>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c r="AC10" s="1166"/>
      <c r="AD10" s="1166"/>
      <c r="AE10" s="1166"/>
      <c r="AF10" s="1166"/>
      <c r="AG10" s="1166"/>
      <c r="AH10" s="1166"/>
      <c r="AI10" s="1166"/>
      <c r="AJ10" s="1166"/>
      <c r="AK10" s="1166"/>
      <c r="AL10" s="1166"/>
      <c r="AM10" s="1166"/>
      <c r="AN10" s="1166"/>
      <c r="AO10" s="1166"/>
      <c r="AP10" s="1166"/>
      <c r="AQ10" s="1166"/>
      <c r="AR10" s="1166"/>
      <c r="AS10" s="1166"/>
      <c r="AT10" s="1166"/>
      <c r="AU10" s="1166"/>
      <c r="AV10" s="1166"/>
      <c r="AW10" s="1166"/>
      <c r="AX10" s="1166"/>
      <c r="AY10" s="1166"/>
      <c r="AZ10" s="1166"/>
      <c r="BA10" s="1166"/>
      <c r="BB10" s="1166"/>
      <c r="BC10" s="1166"/>
      <c r="BD10" s="1167"/>
      <c r="BE10" s="1167"/>
      <c r="BF10" s="1167"/>
      <c r="BG10" s="1167"/>
      <c r="BH10" s="1167"/>
      <c r="BI10" s="1167"/>
      <c r="BJ10" s="1167"/>
      <c r="BK10" s="1167"/>
      <c r="BL10" s="1167"/>
      <c r="BM10" s="1167"/>
      <c r="BN10" s="1167"/>
      <c r="BO10" s="1167"/>
      <c r="BP10" s="1167"/>
      <c r="BQ10" s="1167"/>
      <c r="BR10" s="1167"/>
      <c r="BS10" s="1167"/>
      <c r="BT10" s="1167"/>
      <c r="BU10" s="1167"/>
      <c r="BV10" s="1167"/>
      <c r="BW10" s="1167"/>
      <c r="BX10" s="1167"/>
      <c r="BY10" s="1167"/>
      <c r="BZ10" s="1167"/>
      <c r="CA10" s="1167"/>
      <c r="CB10" s="1167"/>
      <c r="CC10" s="1167"/>
      <c r="CD10" s="1167"/>
      <c r="CE10" s="1167"/>
      <c r="CF10" s="1167"/>
      <c r="CG10" s="1167"/>
      <c r="CH10" s="1167"/>
      <c r="CI10" s="1165"/>
      <c r="CJ10" s="1152"/>
    </row>
    <row r="11" spans="1:88">
      <c r="A11" s="1154"/>
      <c r="B11" s="1063" t="s">
        <v>6609</v>
      </c>
      <c r="C11" s="1064" t="s">
        <v>4318</v>
      </c>
      <c r="D11" s="1060" t="s">
        <v>4319</v>
      </c>
      <c r="E11" s="1060" t="s">
        <v>4315</v>
      </c>
      <c r="F11" s="1061">
        <v>0</v>
      </c>
      <c r="G11" s="1166"/>
      <c r="H11" s="1166"/>
      <c r="I11" s="1166"/>
      <c r="J11" s="1166"/>
      <c r="K11" s="1166"/>
      <c r="L11" s="1166"/>
      <c r="M11" s="1166"/>
      <c r="N11" s="1166"/>
      <c r="O11" s="1166"/>
      <c r="P11" s="1166"/>
      <c r="Q11" s="1166"/>
      <c r="R11" s="1166"/>
      <c r="S11" s="1166"/>
      <c r="T11" s="1166"/>
      <c r="U11" s="1166"/>
      <c r="V11" s="1166"/>
      <c r="W11" s="1166"/>
      <c r="X11" s="1166"/>
      <c r="Y11" s="1166"/>
      <c r="Z11" s="1166"/>
      <c r="AA11" s="1166"/>
      <c r="AB11" s="1166"/>
      <c r="AC11" s="1166"/>
      <c r="AD11" s="1166"/>
      <c r="AE11" s="1166"/>
      <c r="AF11" s="1166"/>
      <c r="AG11" s="1166"/>
      <c r="AH11" s="1166"/>
      <c r="AI11" s="1166"/>
      <c r="AJ11" s="1166"/>
      <c r="AK11" s="1166"/>
      <c r="AL11" s="1166"/>
      <c r="AM11" s="1166"/>
      <c r="AN11" s="1166"/>
      <c r="AO11" s="1166"/>
      <c r="AP11" s="1166"/>
      <c r="AQ11" s="1166"/>
      <c r="AR11" s="1166"/>
      <c r="AS11" s="1166"/>
      <c r="AT11" s="1166"/>
      <c r="AU11" s="1166"/>
      <c r="AV11" s="1166"/>
      <c r="AW11" s="1166"/>
      <c r="AX11" s="1166"/>
      <c r="AY11" s="1166"/>
      <c r="AZ11" s="1166"/>
      <c r="BA11" s="1166"/>
      <c r="BB11" s="1166"/>
      <c r="BC11" s="1166"/>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5"/>
      <c r="CJ11" s="1152"/>
    </row>
    <row r="12" spans="1:88">
      <c r="A12" s="1154"/>
      <c r="B12" s="1063" t="s">
        <v>6610</v>
      </c>
      <c r="C12" s="1064" t="s">
        <v>4320</v>
      </c>
      <c r="D12" s="1060" t="s">
        <v>4321</v>
      </c>
      <c r="E12" s="1060" t="s">
        <v>4315</v>
      </c>
      <c r="F12" s="1061">
        <v>0</v>
      </c>
      <c r="G12" s="1166"/>
      <c r="H12" s="1166"/>
      <c r="I12" s="1166"/>
      <c r="J12" s="1166"/>
      <c r="K12" s="1166"/>
      <c r="L12" s="1166"/>
      <c r="M12" s="1166"/>
      <c r="N12" s="1166"/>
      <c r="O12" s="1166"/>
      <c r="P12" s="1166"/>
      <c r="Q12" s="1166"/>
      <c r="R12" s="1166"/>
      <c r="S12" s="1166"/>
      <c r="T12" s="1166"/>
      <c r="U12" s="1166"/>
      <c r="V12" s="1166"/>
      <c r="W12" s="1166"/>
      <c r="X12" s="1166"/>
      <c r="Y12" s="1166"/>
      <c r="Z12" s="1166"/>
      <c r="AA12" s="1166"/>
      <c r="AB12" s="1166"/>
      <c r="AC12" s="1166"/>
      <c r="AD12" s="1166"/>
      <c r="AE12" s="1166"/>
      <c r="AF12" s="1166"/>
      <c r="AG12" s="1166"/>
      <c r="AH12" s="1166"/>
      <c r="AI12" s="1166"/>
      <c r="AJ12" s="1166"/>
      <c r="AK12" s="1166"/>
      <c r="AL12" s="1166"/>
      <c r="AM12" s="1166"/>
      <c r="AN12" s="1166"/>
      <c r="AO12" s="1166"/>
      <c r="AP12" s="1166"/>
      <c r="AQ12" s="1166"/>
      <c r="AR12" s="1166"/>
      <c r="AS12" s="1166"/>
      <c r="AT12" s="1166"/>
      <c r="AU12" s="1166"/>
      <c r="AV12" s="1166"/>
      <c r="AW12" s="1166"/>
      <c r="AX12" s="1166"/>
      <c r="AY12" s="1166"/>
      <c r="AZ12" s="1166"/>
      <c r="BA12" s="1166"/>
      <c r="BB12" s="1166"/>
      <c r="BC12" s="1166"/>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5"/>
      <c r="CJ12" s="1152"/>
    </row>
    <row r="13" spans="1:88">
      <c r="A13" s="1154"/>
      <c r="B13" s="1063" t="s">
        <v>6611</v>
      </c>
      <c r="C13" s="1064" t="s">
        <v>4322</v>
      </c>
      <c r="D13" s="1060" t="s">
        <v>8928</v>
      </c>
      <c r="E13" s="1060" t="s">
        <v>4323</v>
      </c>
      <c r="F13" s="1061">
        <v>0</v>
      </c>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c r="AI13" s="1166"/>
      <c r="AJ13" s="1166"/>
      <c r="AK13" s="1166"/>
      <c r="AL13" s="1166"/>
      <c r="AM13" s="1166"/>
      <c r="AN13" s="1166"/>
      <c r="AO13" s="1166"/>
      <c r="AP13" s="1166"/>
      <c r="AQ13" s="1166"/>
      <c r="AR13" s="1166"/>
      <c r="AS13" s="1166"/>
      <c r="AT13" s="1166"/>
      <c r="AU13" s="1166"/>
      <c r="AV13" s="1166"/>
      <c r="AW13" s="1166"/>
      <c r="AX13" s="1166"/>
      <c r="AY13" s="1166"/>
      <c r="AZ13" s="1166"/>
      <c r="BA13" s="1166"/>
      <c r="BB13" s="1166"/>
      <c r="BC13" s="1166"/>
      <c r="BD13" s="1167"/>
      <c r="BE13" s="1167"/>
      <c r="BF13" s="1167"/>
      <c r="BG13" s="1167"/>
      <c r="BH13" s="1167"/>
      <c r="BI13" s="1167"/>
      <c r="BJ13" s="1167"/>
      <c r="BK13" s="1167"/>
      <c r="BL13" s="1167"/>
      <c r="BM13" s="1167"/>
      <c r="BN13" s="1167"/>
      <c r="BO13" s="1167"/>
      <c r="BP13" s="1167"/>
      <c r="BQ13" s="1167"/>
      <c r="BR13" s="1167"/>
      <c r="BS13" s="1167"/>
      <c r="BT13" s="1167"/>
      <c r="BU13" s="1167"/>
      <c r="BV13" s="1167"/>
      <c r="BW13" s="1167"/>
      <c r="BX13" s="1167"/>
      <c r="BY13" s="1167"/>
      <c r="BZ13" s="1167"/>
      <c r="CA13" s="1167"/>
      <c r="CB13" s="1167"/>
      <c r="CC13" s="1167"/>
      <c r="CD13" s="1167"/>
      <c r="CE13" s="1167"/>
      <c r="CF13" s="1167"/>
      <c r="CG13" s="1167"/>
      <c r="CH13" s="1167"/>
      <c r="CI13" s="1165"/>
      <c r="CJ13" s="1152"/>
    </row>
    <row r="14" spans="1:88">
      <c r="A14" s="1154"/>
      <c r="B14" s="1063" t="s">
        <v>6612</v>
      </c>
      <c r="C14" s="1064" t="s">
        <v>4324</v>
      </c>
      <c r="D14" s="1060" t="s">
        <v>8929</v>
      </c>
      <c r="E14" s="1060" t="s">
        <v>4325</v>
      </c>
      <c r="F14" s="1061">
        <v>0</v>
      </c>
      <c r="G14" s="1169">
        <f t="shared" ref="G14:BR14" si="0">+G8*0.06*1000</f>
        <v>0</v>
      </c>
      <c r="H14" s="1169">
        <f t="shared" si="0"/>
        <v>0</v>
      </c>
      <c r="I14" s="1169">
        <f t="shared" si="0"/>
        <v>0</v>
      </c>
      <c r="J14" s="1169">
        <f t="shared" si="0"/>
        <v>0</v>
      </c>
      <c r="K14" s="1169">
        <f t="shared" si="0"/>
        <v>0</v>
      </c>
      <c r="L14" s="1169">
        <f t="shared" si="0"/>
        <v>0</v>
      </c>
      <c r="M14" s="1169">
        <f t="shared" si="0"/>
        <v>0</v>
      </c>
      <c r="N14" s="1169">
        <f t="shared" si="0"/>
        <v>0</v>
      </c>
      <c r="O14" s="1169">
        <f t="shared" si="0"/>
        <v>0</v>
      </c>
      <c r="P14" s="1169">
        <f t="shared" si="0"/>
        <v>0</v>
      </c>
      <c r="Q14" s="1169">
        <f t="shared" si="0"/>
        <v>0</v>
      </c>
      <c r="R14" s="1169">
        <f t="shared" si="0"/>
        <v>0</v>
      </c>
      <c r="S14" s="1169">
        <f t="shared" si="0"/>
        <v>0</v>
      </c>
      <c r="T14" s="1169">
        <f t="shared" si="0"/>
        <v>0</v>
      </c>
      <c r="U14" s="1169">
        <f t="shared" si="0"/>
        <v>0</v>
      </c>
      <c r="V14" s="1169">
        <f t="shared" si="0"/>
        <v>0</v>
      </c>
      <c r="W14" s="1169">
        <f t="shared" si="0"/>
        <v>0</v>
      </c>
      <c r="X14" s="1169">
        <f t="shared" si="0"/>
        <v>0</v>
      </c>
      <c r="Y14" s="1169">
        <f t="shared" si="0"/>
        <v>0</v>
      </c>
      <c r="Z14" s="1169">
        <f t="shared" si="0"/>
        <v>0</v>
      </c>
      <c r="AA14" s="1169">
        <f t="shared" si="0"/>
        <v>0</v>
      </c>
      <c r="AB14" s="1169">
        <f t="shared" si="0"/>
        <v>0</v>
      </c>
      <c r="AC14" s="1169">
        <f t="shared" si="0"/>
        <v>0</v>
      </c>
      <c r="AD14" s="1169">
        <f t="shared" si="0"/>
        <v>0</v>
      </c>
      <c r="AE14" s="1169">
        <f t="shared" si="0"/>
        <v>0</v>
      </c>
      <c r="AF14" s="1169">
        <f t="shared" si="0"/>
        <v>0</v>
      </c>
      <c r="AG14" s="1169">
        <f t="shared" si="0"/>
        <v>0</v>
      </c>
      <c r="AH14" s="1169">
        <f t="shared" si="0"/>
        <v>0</v>
      </c>
      <c r="AI14" s="1169">
        <f t="shared" si="0"/>
        <v>0</v>
      </c>
      <c r="AJ14" s="1169">
        <f t="shared" si="0"/>
        <v>0</v>
      </c>
      <c r="AK14" s="1169">
        <f t="shared" si="0"/>
        <v>0</v>
      </c>
      <c r="AL14" s="1169">
        <f t="shared" si="0"/>
        <v>0</v>
      </c>
      <c r="AM14" s="1169">
        <f t="shared" si="0"/>
        <v>0</v>
      </c>
      <c r="AN14" s="1169">
        <f t="shared" si="0"/>
        <v>0</v>
      </c>
      <c r="AO14" s="1169">
        <f t="shared" si="0"/>
        <v>0</v>
      </c>
      <c r="AP14" s="1169">
        <f t="shared" si="0"/>
        <v>0</v>
      </c>
      <c r="AQ14" s="1169">
        <f t="shared" si="0"/>
        <v>0</v>
      </c>
      <c r="AR14" s="1169">
        <f t="shared" si="0"/>
        <v>0</v>
      </c>
      <c r="AS14" s="1169">
        <f t="shared" si="0"/>
        <v>0</v>
      </c>
      <c r="AT14" s="1169">
        <f t="shared" si="0"/>
        <v>0</v>
      </c>
      <c r="AU14" s="1169">
        <f t="shared" si="0"/>
        <v>0</v>
      </c>
      <c r="AV14" s="1169">
        <f t="shared" si="0"/>
        <v>0</v>
      </c>
      <c r="AW14" s="1169">
        <f t="shared" si="0"/>
        <v>0</v>
      </c>
      <c r="AX14" s="1169">
        <f t="shared" si="0"/>
        <v>0</v>
      </c>
      <c r="AY14" s="1169">
        <f t="shared" si="0"/>
        <v>0</v>
      </c>
      <c r="AZ14" s="1169">
        <f t="shared" si="0"/>
        <v>0</v>
      </c>
      <c r="BA14" s="1169">
        <f t="shared" si="0"/>
        <v>0</v>
      </c>
      <c r="BB14" s="1169">
        <f t="shared" si="0"/>
        <v>0</v>
      </c>
      <c r="BC14" s="1169">
        <f t="shared" si="0"/>
        <v>0</v>
      </c>
      <c r="BD14" s="1169">
        <f t="shared" si="0"/>
        <v>0</v>
      </c>
      <c r="BE14" s="1169">
        <f t="shared" si="0"/>
        <v>0</v>
      </c>
      <c r="BF14" s="1169">
        <f t="shared" si="0"/>
        <v>0</v>
      </c>
      <c r="BG14" s="1169">
        <f t="shared" si="0"/>
        <v>0</v>
      </c>
      <c r="BH14" s="1169">
        <f t="shared" si="0"/>
        <v>0</v>
      </c>
      <c r="BI14" s="1169">
        <f t="shared" si="0"/>
        <v>0</v>
      </c>
      <c r="BJ14" s="1169">
        <f t="shared" si="0"/>
        <v>0</v>
      </c>
      <c r="BK14" s="1169">
        <f t="shared" si="0"/>
        <v>0</v>
      </c>
      <c r="BL14" s="1169">
        <f t="shared" si="0"/>
        <v>0</v>
      </c>
      <c r="BM14" s="1169">
        <f t="shared" si="0"/>
        <v>0</v>
      </c>
      <c r="BN14" s="1169">
        <f t="shared" si="0"/>
        <v>0</v>
      </c>
      <c r="BO14" s="1169">
        <f t="shared" si="0"/>
        <v>0</v>
      </c>
      <c r="BP14" s="1169">
        <f t="shared" si="0"/>
        <v>0</v>
      </c>
      <c r="BQ14" s="1169">
        <f t="shared" si="0"/>
        <v>0</v>
      </c>
      <c r="BR14" s="1169">
        <f t="shared" si="0"/>
        <v>0</v>
      </c>
      <c r="BS14" s="1169">
        <f t="shared" ref="BS14:CH14" si="1">+BS8*0.06*1000</f>
        <v>0</v>
      </c>
      <c r="BT14" s="1169">
        <f t="shared" si="1"/>
        <v>0</v>
      </c>
      <c r="BU14" s="1169">
        <f t="shared" si="1"/>
        <v>0</v>
      </c>
      <c r="BV14" s="1169">
        <f t="shared" si="1"/>
        <v>0</v>
      </c>
      <c r="BW14" s="1169">
        <f t="shared" si="1"/>
        <v>0</v>
      </c>
      <c r="BX14" s="1169">
        <f t="shared" si="1"/>
        <v>0</v>
      </c>
      <c r="BY14" s="1169">
        <f t="shared" si="1"/>
        <v>0</v>
      </c>
      <c r="BZ14" s="1169">
        <f t="shared" si="1"/>
        <v>0</v>
      </c>
      <c r="CA14" s="1169">
        <f t="shared" si="1"/>
        <v>0</v>
      </c>
      <c r="CB14" s="1169">
        <f t="shared" si="1"/>
        <v>0</v>
      </c>
      <c r="CC14" s="1169">
        <f t="shared" si="1"/>
        <v>0</v>
      </c>
      <c r="CD14" s="1169">
        <f t="shared" si="1"/>
        <v>0</v>
      </c>
      <c r="CE14" s="1169">
        <f t="shared" si="1"/>
        <v>0</v>
      </c>
      <c r="CF14" s="1169">
        <f t="shared" si="1"/>
        <v>0</v>
      </c>
      <c r="CG14" s="1169">
        <f t="shared" si="1"/>
        <v>0</v>
      </c>
      <c r="CH14" s="1169">
        <f t="shared" si="1"/>
        <v>0</v>
      </c>
      <c r="CI14" s="1165"/>
      <c r="CJ14" s="1152"/>
    </row>
    <row r="15" spans="1:88" ht="15" thickBot="1">
      <c r="A15" s="1154"/>
      <c r="B15" s="1068" t="s">
        <v>6613</v>
      </c>
      <c r="C15" s="1170" t="s">
        <v>4326</v>
      </c>
      <c r="D15" s="1070" t="s">
        <v>8930</v>
      </c>
      <c r="E15" s="1070" t="s">
        <v>4930</v>
      </c>
      <c r="F15" s="1071">
        <v>0</v>
      </c>
      <c r="G15" s="1171"/>
      <c r="H15" s="1171"/>
      <c r="I15" s="1171"/>
      <c r="J15" s="1171"/>
      <c r="K15" s="1171"/>
      <c r="L15" s="1171"/>
      <c r="M15" s="1171"/>
      <c r="N15" s="1171"/>
      <c r="O15" s="1171"/>
      <c r="P15" s="1171"/>
      <c r="Q15" s="1171"/>
      <c r="R15" s="1171"/>
      <c r="S15" s="1171"/>
      <c r="T15" s="1171"/>
      <c r="U15" s="1171"/>
      <c r="V15" s="1171"/>
      <c r="W15" s="1171"/>
      <c r="X15" s="1171"/>
      <c r="Y15" s="1171"/>
      <c r="Z15" s="1171"/>
      <c r="AA15" s="1171"/>
      <c r="AB15" s="1171"/>
      <c r="AC15" s="1171"/>
      <c r="AD15" s="1171"/>
      <c r="AE15" s="1171"/>
      <c r="AF15" s="1171"/>
      <c r="AG15" s="1171"/>
      <c r="AH15" s="1171"/>
      <c r="AI15" s="1171"/>
      <c r="AJ15" s="1171"/>
      <c r="AK15" s="1171"/>
      <c r="AL15" s="1171"/>
      <c r="AM15" s="1171"/>
      <c r="AN15" s="1171"/>
      <c r="AO15" s="1171"/>
      <c r="AP15" s="1171"/>
      <c r="AQ15" s="1171"/>
      <c r="AR15" s="1171"/>
      <c r="AS15" s="1171"/>
      <c r="AT15" s="1171"/>
      <c r="AU15" s="1171"/>
      <c r="AV15" s="1171"/>
      <c r="AW15" s="1171"/>
      <c r="AX15" s="1171"/>
      <c r="AY15" s="1171"/>
      <c r="AZ15" s="1171"/>
      <c r="BA15" s="1171"/>
      <c r="BB15" s="1171"/>
      <c r="BC15" s="1171"/>
      <c r="BD15" s="1172"/>
      <c r="BE15" s="1172"/>
      <c r="BF15" s="1172"/>
      <c r="BG15" s="1172"/>
      <c r="BH15" s="1172"/>
      <c r="BI15" s="1172"/>
      <c r="BJ15" s="1172"/>
      <c r="BK15" s="1172"/>
      <c r="BL15" s="1172"/>
      <c r="BM15" s="1172"/>
      <c r="BN15" s="1172"/>
      <c r="BO15" s="1172"/>
      <c r="BP15" s="1172"/>
      <c r="BQ15" s="1172"/>
      <c r="BR15" s="1172"/>
      <c r="BS15" s="1172"/>
      <c r="BT15" s="1172"/>
      <c r="BU15" s="1172"/>
      <c r="BV15" s="1172"/>
      <c r="BW15" s="1172"/>
      <c r="BX15" s="1172"/>
      <c r="BY15" s="1172"/>
      <c r="BZ15" s="1172"/>
      <c r="CA15" s="1172"/>
      <c r="CB15" s="1172"/>
      <c r="CC15" s="1172"/>
      <c r="CD15" s="1172"/>
      <c r="CE15" s="1172"/>
      <c r="CF15" s="1172"/>
      <c r="CG15" s="1172"/>
      <c r="CH15" s="1172"/>
      <c r="CI15" s="1173"/>
      <c r="CJ15" s="1152"/>
    </row>
    <row r="16" spans="1:88" ht="15" thickBot="1">
      <c r="A16" s="1154"/>
      <c r="B16" s="1174"/>
      <c r="C16" s="1175"/>
      <c r="D16" s="1176"/>
      <c r="E16" s="1176"/>
      <c r="F16" s="1176"/>
      <c r="CI16" s="1152"/>
      <c r="CJ16" s="1152"/>
    </row>
    <row r="17" spans="1:88" ht="15" thickBot="1">
      <c r="A17" s="1154"/>
      <c r="B17" s="2431" t="s">
        <v>2458</v>
      </c>
      <c r="C17" s="1242" t="s">
        <v>12645</v>
      </c>
      <c r="D17" s="1176"/>
      <c r="E17" s="1176"/>
      <c r="F17" s="1176"/>
      <c r="CI17" s="1152"/>
      <c r="CJ17" s="1152"/>
    </row>
    <row r="18" spans="1:88">
      <c r="A18" s="1154"/>
      <c r="B18" s="1053" t="s">
        <v>6614</v>
      </c>
      <c r="C18" s="1191" t="s">
        <v>4332</v>
      </c>
      <c r="D18" s="1055" t="s">
        <v>4333</v>
      </c>
      <c r="E18" s="1055" t="s">
        <v>4204</v>
      </c>
      <c r="F18" s="1056">
        <v>0</v>
      </c>
      <c r="G18" s="2454"/>
      <c r="H18" s="2454"/>
      <c r="I18" s="2454"/>
      <c r="J18" s="2454"/>
      <c r="K18" s="2454"/>
      <c r="L18" s="2454"/>
      <c r="M18" s="2454"/>
      <c r="N18" s="2454"/>
      <c r="O18" s="2454"/>
      <c r="P18" s="2454"/>
      <c r="Q18" s="2454"/>
      <c r="R18" s="2454"/>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2454"/>
      <c r="AS18" s="2454"/>
      <c r="AT18" s="2454"/>
      <c r="AU18" s="2454"/>
      <c r="AV18" s="2454"/>
      <c r="AW18" s="2454"/>
      <c r="AX18" s="2454"/>
      <c r="AY18" s="2454"/>
      <c r="AZ18" s="2454"/>
      <c r="BA18" s="2454"/>
      <c r="BB18" s="2454"/>
      <c r="BC18" s="2454"/>
      <c r="BD18" s="2454"/>
      <c r="BE18" s="2454"/>
      <c r="BF18" s="2454"/>
      <c r="BG18" s="2454"/>
      <c r="BH18" s="2454"/>
      <c r="BI18" s="2454"/>
      <c r="BJ18" s="2454"/>
      <c r="BK18" s="2454"/>
      <c r="BL18" s="2454"/>
      <c r="BM18" s="2454"/>
      <c r="BN18" s="2454"/>
      <c r="BO18" s="2454"/>
      <c r="BP18" s="2454"/>
      <c r="BQ18" s="2454"/>
      <c r="BR18" s="2454"/>
      <c r="BS18" s="2454"/>
      <c r="BT18" s="2454"/>
      <c r="BU18" s="2454"/>
      <c r="BV18" s="2454"/>
      <c r="BW18" s="2454"/>
      <c r="BX18" s="2454"/>
      <c r="BY18" s="2454"/>
      <c r="BZ18" s="2454"/>
      <c r="CA18" s="2454"/>
      <c r="CB18" s="2454"/>
      <c r="CC18" s="2454"/>
      <c r="CD18" s="2454"/>
      <c r="CE18" s="2454"/>
      <c r="CF18" s="2454"/>
      <c r="CG18" s="2454"/>
      <c r="CH18" s="2454"/>
      <c r="CI18" s="2455"/>
      <c r="CJ18" s="1152"/>
    </row>
    <row r="19" spans="1:88">
      <c r="A19" s="1152"/>
      <c r="B19" s="1119" t="s">
        <v>6615</v>
      </c>
      <c r="C19" s="1194" t="s">
        <v>4334</v>
      </c>
      <c r="D19" s="1195" t="s">
        <v>4335</v>
      </c>
      <c r="E19" s="1195" t="s">
        <v>4204</v>
      </c>
      <c r="F19" s="1196">
        <v>0</v>
      </c>
      <c r="G19" s="1167"/>
      <c r="H19" s="1167"/>
      <c r="I19" s="1167"/>
      <c r="J19" s="1167"/>
      <c r="K19" s="1167"/>
      <c r="L19" s="1167"/>
      <c r="M19" s="1167"/>
      <c r="N19" s="1167"/>
      <c r="O19" s="1167"/>
      <c r="P19" s="1167"/>
      <c r="Q19" s="1167"/>
      <c r="R19" s="1167"/>
      <c r="S19" s="1167"/>
      <c r="T19" s="1167"/>
      <c r="U19" s="1167"/>
      <c r="V19" s="1167"/>
      <c r="W19" s="1167"/>
      <c r="X19" s="1167"/>
      <c r="Y19" s="1167"/>
      <c r="Z19" s="1167"/>
      <c r="AA19" s="1167"/>
      <c r="AB19" s="1167"/>
      <c r="AC19" s="1167"/>
      <c r="AD19" s="1167"/>
      <c r="AE19" s="1167"/>
      <c r="AF19" s="1167"/>
      <c r="AG19" s="1167"/>
      <c r="AH19" s="1167"/>
      <c r="AI19" s="1167"/>
      <c r="AJ19" s="1167"/>
      <c r="AK19" s="1167"/>
      <c r="AL19" s="1167"/>
      <c r="AM19" s="1167"/>
      <c r="AN19" s="1167"/>
      <c r="AO19" s="1167"/>
      <c r="AP19" s="1167"/>
      <c r="AQ19" s="1167"/>
      <c r="AR19" s="1167"/>
      <c r="AS19" s="1167"/>
      <c r="AT19" s="1167"/>
      <c r="AU19" s="1167"/>
      <c r="AV19" s="1167"/>
      <c r="AW19" s="1167"/>
      <c r="AX19" s="1167"/>
      <c r="AY19" s="1167"/>
      <c r="AZ19" s="1167"/>
      <c r="BA19" s="1167"/>
      <c r="BB19" s="1167"/>
      <c r="BC19" s="1167"/>
      <c r="BD19" s="1167"/>
      <c r="BE19" s="1167"/>
      <c r="BF19" s="1167"/>
      <c r="BG19" s="1167"/>
      <c r="BH19" s="1167"/>
      <c r="BI19" s="1167"/>
      <c r="BJ19" s="1167"/>
      <c r="BK19" s="1167"/>
      <c r="BL19" s="1167"/>
      <c r="BM19" s="1167"/>
      <c r="BN19" s="1167"/>
      <c r="BO19" s="1167"/>
      <c r="BP19" s="1167"/>
      <c r="BQ19" s="1167"/>
      <c r="BR19" s="1167"/>
      <c r="BS19" s="1167"/>
      <c r="BT19" s="1167"/>
      <c r="BU19" s="1167"/>
      <c r="BV19" s="1167"/>
      <c r="BW19" s="1167"/>
      <c r="BX19" s="1167"/>
      <c r="BY19" s="1167"/>
      <c r="BZ19" s="1167"/>
      <c r="CA19" s="1167"/>
      <c r="CB19" s="1167"/>
      <c r="CC19" s="1167"/>
      <c r="CD19" s="1167"/>
      <c r="CE19" s="1167"/>
      <c r="CF19" s="1167"/>
      <c r="CG19" s="1167"/>
      <c r="CH19" s="2190"/>
      <c r="CI19" s="1165"/>
      <c r="CJ19" s="1152"/>
    </row>
    <row r="20" spans="1:88">
      <c r="A20" s="1154"/>
      <c r="B20" s="1063" t="s">
        <v>6616</v>
      </c>
      <c r="C20" s="2193" t="s">
        <v>12985</v>
      </c>
      <c r="D20" s="2145" t="s">
        <v>4327</v>
      </c>
      <c r="E20" s="2145" t="s">
        <v>4204</v>
      </c>
      <c r="F20" s="1061">
        <v>0</v>
      </c>
      <c r="G20" s="1167"/>
      <c r="H20" s="1167"/>
      <c r="I20" s="1167"/>
      <c r="J20" s="1167"/>
      <c r="K20" s="1167"/>
      <c r="L20" s="1167"/>
      <c r="M20" s="1167"/>
      <c r="N20" s="1167"/>
      <c r="O20" s="1167"/>
      <c r="P20" s="1167"/>
      <c r="Q20" s="1167"/>
      <c r="R20" s="1167"/>
      <c r="S20" s="1167"/>
      <c r="T20" s="1167"/>
      <c r="U20" s="1167"/>
      <c r="V20" s="1167"/>
      <c r="W20" s="1167"/>
      <c r="X20" s="1167"/>
      <c r="Y20" s="1167"/>
      <c r="Z20" s="1167"/>
      <c r="AA20" s="1167"/>
      <c r="AB20" s="1167"/>
      <c r="AC20" s="1167"/>
      <c r="AD20" s="1167"/>
      <c r="AE20" s="1167"/>
      <c r="AF20" s="1167"/>
      <c r="AG20" s="1167"/>
      <c r="AH20" s="1167"/>
      <c r="AI20" s="1167"/>
      <c r="AJ20" s="1167"/>
      <c r="AK20" s="1167"/>
      <c r="AL20" s="1167"/>
      <c r="AM20" s="1167"/>
      <c r="AN20" s="1167"/>
      <c r="AO20" s="1167"/>
      <c r="AP20" s="1167"/>
      <c r="AQ20" s="1167"/>
      <c r="AR20" s="1167"/>
      <c r="AS20" s="1167"/>
      <c r="AT20" s="1167"/>
      <c r="AU20" s="1167"/>
      <c r="AV20" s="1167"/>
      <c r="AW20" s="1167"/>
      <c r="AX20" s="1167"/>
      <c r="AY20" s="1167"/>
      <c r="AZ20" s="1167"/>
      <c r="BA20" s="1167"/>
      <c r="BB20" s="1167"/>
      <c r="BC20" s="1167"/>
      <c r="BD20" s="1167"/>
      <c r="BE20" s="1167"/>
      <c r="BF20" s="1167"/>
      <c r="BG20" s="1167"/>
      <c r="BH20" s="1167"/>
      <c r="BI20" s="1167"/>
      <c r="BJ20" s="1167"/>
      <c r="BK20" s="1167"/>
      <c r="BL20" s="1167"/>
      <c r="BM20" s="1167"/>
      <c r="BN20" s="1167"/>
      <c r="BO20" s="1167"/>
      <c r="BP20" s="1167"/>
      <c r="BQ20" s="1167"/>
      <c r="BR20" s="1167"/>
      <c r="BS20" s="1167"/>
      <c r="BT20" s="1167"/>
      <c r="BU20" s="1167"/>
      <c r="BV20" s="1167"/>
      <c r="BW20" s="1167"/>
      <c r="BX20" s="1167"/>
      <c r="BY20" s="1167"/>
      <c r="BZ20" s="1167"/>
      <c r="CA20" s="1167"/>
      <c r="CB20" s="1167"/>
      <c r="CC20" s="1167"/>
      <c r="CD20" s="1167"/>
      <c r="CE20" s="1167"/>
      <c r="CF20" s="1167"/>
      <c r="CG20" s="2192"/>
      <c r="CH20" s="1167"/>
      <c r="CI20" s="1179"/>
      <c r="CJ20" s="1152"/>
    </row>
    <row r="21" spans="1:88">
      <c r="A21" s="1154"/>
      <c r="B21" s="1059" t="s">
        <v>6617</v>
      </c>
      <c r="C21" s="1177" t="s">
        <v>12646</v>
      </c>
      <c r="D21" s="1261" t="s">
        <v>4327</v>
      </c>
      <c r="E21" s="1261" t="s">
        <v>4204</v>
      </c>
      <c r="F21" s="2191">
        <v>0</v>
      </c>
      <c r="G21" s="1169">
        <f>G18+G19+G20</f>
        <v>0</v>
      </c>
      <c r="H21" s="1169">
        <f t="shared" ref="H21:BS21" si="2">H18+H19+H20</f>
        <v>0</v>
      </c>
      <c r="I21" s="1169">
        <f t="shared" si="2"/>
        <v>0</v>
      </c>
      <c r="J21" s="1169">
        <f t="shared" si="2"/>
        <v>0</v>
      </c>
      <c r="K21" s="1169">
        <f t="shared" si="2"/>
        <v>0</v>
      </c>
      <c r="L21" s="1169">
        <f t="shared" si="2"/>
        <v>0</v>
      </c>
      <c r="M21" s="1169">
        <f t="shared" si="2"/>
        <v>0</v>
      </c>
      <c r="N21" s="1169">
        <f t="shared" si="2"/>
        <v>0</v>
      </c>
      <c r="O21" s="1169">
        <f t="shared" si="2"/>
        <v>0</v>
      </c>
      <c r="P21" s="1169">
        <f t="shared" si="2"/>
        <v>0</v>
      </c>
      <c r="Q21" s="1169">
        <f t="shared" si="2"/>
        <v>0</v>
      </c>
      <c r="R21" s="1169">
        <f t="shared" si="2"/>
        <v>0</v>
      </c>
      <c r="S21" s="1169">
        <f t="shared" si="2"/>
        <v>0</v>
      </c>
      <c r="T21" s="1169">
        <f t="shared" si="2"/>
        <v>0</v>
      </c>
      <c r="U21" s="1169">
        <f t="shared" si="2"/>
        <v>0</v>
      </c>
      <c r="V21" s="1169">
        <f t="shared" si="2"/>
        <v>0</v>
      </c>
      <c r="W21" s="1169">
        <f t="shared" si="2"/>
        <v>0</v>
      </c>
      <c r="X21" s="1169">
        <f t="shared" si="2"/>
        <v>0</v>
      </c>
      <c r="Y21" s="1169">
        <f t="shared" si="2"/>
        <v>0</v>
      </c>
      <c r="Z21" s="1169">
        <f t="shared" si="2"/>
        <v>0</v>
      </c>
      <c r="AA21" s="1169">
        <f t="shared" si="2"/>
        <v>0</v>
      </c>
      <c r="AB21" s="1169">
        <f t="shared" si="2"/>
        <v>0</v>
      </c>
      <c r="AC21" s="1169">
        <f t="shared" si="2"/>
        <v>0</v>
      </c>
      <c r="AD21" s="1169">
        <f t="shared" si="2"/>
        <v>0</v>
      </c>
      <c r="AE21" s="1169">
        <f t="shared" si="2"/>
        <v>0</v>
      </c>
      <c r="AF21" s="1169">
        <f t="shared" si="2"/>
        <v>0</v>
      </c>
      <c r="AG21" s="1169">
        <f t="shared" si="2"/>
        <v>0</v>
      </c>
      <c r="AH21" s="1169">
        <f t="shared" si="2"/>
        <v>0</v>
      </c>
      <c r="AI21" s="1169">
        <f t="shared" si="2"/>
        <v>0</v>
      </c>
      <c r="AJ21" s="1169">
        <f t="shared" si="2"/>
        <v>0</v>
      </c>
      <c r="AK21" s="1169">
        <f t="shared" si="2"/>
        <v>0</v>
      </c>
      <c r="AL21" s="1169">
        <f t="shared" si="2"/>
        <v>0</v>
      </c>
      <c r="AM21" s="1169">
        <f t="shared" si="2"/>
        <v>0</v>
      </c>
      <c r="AN21" s="1169">
        <f t="shared" si="2"/>
        <v>0</v>
      </c>
      <c r="AO21" s="1169">
        <f t="shared" si="2"/>
        <v>0</v>
      </c>
      <c r="AP21" s="1169">
        <f t="shared" si="2"/>
        <v>0</v>
      </c>
      <c r="AQ21" s="1169">
        <f t="shared" si="2"/>
        <v>0</v>
      </c>
      <c r="AR21" s="1169">
        <f t="shared" si="2"/>
        <v>0</v>
      </c>
      <c r="AS21" s="1169">
        <f t="shared" si="2"/>
        <v>0</v>
      </c>
      <c r="AT21" s="1169">
        <f t="shared" si="2"/>
        <v>0</v>
      </c>
      <c r="AU21" s="1169">
        <f t="shared" si="2"/>
        <v>0</v>
      </c>
      <c r="AV21" s="1169">
        <f t="shared" si="2"/>
        <v>0</v>
      </c>
      <c r="AW21" s="1169">
        <f t="shared" si="2"/>
        <v>0</v>
      </c>
      <c r="AX21" s="1169">
        <f t="shared" si="2"/>
        <v>0</v>
      </c>
      <c r="AY21" s="1169">
        <f t="shared" si="2"/>
        <v>0</v>
      </c>
      <c r="AZ21" s="1169">
        <f t="shared" si="2"/>
        <v>0</v>
      </c>
      <c r="BA21" s="1169">
        <f t="shared" si="2"/>
        <v>0</v>
      </c>
      <c r="BB21" s="1169">
        <f t="shared" si="2"/>
        <v>0</v>
      </c>
      <c r="BC21" s="1169">
        <f t="shared" si="2"/>
        <v>0</v>
      </c>
      <c r="BD21" s="1169">
        <f t="shared" si="2"/>
        <v>0</v>
      </c>
      <c r="BE21" s="1169">
        <f t="shared" si="2"/>
        <v>0</v>
      </c>
      <c r="BF21" s="1169">
        <f t="shared" si="2"/>
        <v>0</v>
      </c>
      <c r="BG21" s="1169">
        <f t="shared" si="2"/>
        <v>0</v>
      </c>
      <c r="BH21" s="1169">
        <f t="shared" si="2"/>
        <v>0</v>
      </c>
      <c r="BI21" s="1169">
        <f t="shared" si="2"/>
        <v>0</v>
      </c>
      <c r="BJ21" s="1169">
        <f t="shared" si="2"/>
        <v>0</v>
      </c>
      <c r="BK21" s="1169">
        <f t="shared" si="2"/>
        <v>0</v>
      </c>
      <c r="BL21" s="1169">
        <f t="shared" si="2"/>
        <v>0</v>
      </c>
      <c r="BM21" s="1169">
        <f t="shared" si="2"/>
        <v>0</v>
      </c>
      <c r="BN21" s="1169">
        <f t="shared" si="2"/>
        <v>0</v>
      </c>
      <c r="BO21" s="1169">
        <f t="shared" si="2"/>
        <v>0</v>
      </c>
      <c r="BP21" s="1169">
        <f t="shared" si="2"/>
        <v>0</v>
      </c>
      <c r="BQ21" s="1169">
        <f t="shared" si="2"/>
        <v>0</v>
      </c>
      <c r="BR21" s="1169">
        <f t="shared" si="2"/>
        <v>0</v>
      </c>
      <c r="BS21" s="1169">
        <f t="shared" si="2"/>
        <v>0</v>
      </c>
      <c r="BT21" s="1169">
        <f t="shared" ref="BT21:CH21" si="3">BT18+BT19+BT20</f>
        <v>0</v>
      </c>
      <c r="BU21" s="1169">
        <f t="shared" si="3"/>
        <v>0</v>
      </c>
      <c r="BV21" s="1169">
        <f t="shared" si="3"/>
        <v>0</v>
      </c>
      <c r="BW21" s="1169">
        <f t="shared" si="3"/>
        <v>0</v>
      </c>
      <c r="BX21" s="1169">
        <f t="shared" si="3"/>
        <v>0</v>
      </c>
      <c r="BY21" s="1169">
        <f t="shared" si="3"/>
        <v>0</v>
      </c>
      <c r="BZ21" s="1169">
        <f t="shared" si="3"/>
        <v>0</v>
      </c>
      <c r="CA21" s="1169">
        <f t="shared" si="3"/>
        <v>0</v>
      </c>
      <c r="CB21" s="1169">
        <f t="shared" si="3"/>
        <v>0</v>
      </c>
      <c r="CC21" s="1169">
        <f t="shared" si="3"/>
        <v>0</v>
      </c>
      <c r="CD21" s="1169">
        <f t="shared" si="3"/>
        <v>0</v>
      </c>
      <c r="CE21" s="1169">
        <f t="shared" si="3"/>
        <v>0</v>
      </c>
      <c r="CF21" s="1169">
        <f t="shared" si="3"/>
        <v>0</v>
      </c>
      <c r="CG21" s="1169">
        <f t="shared" si="3"/>
        <v>0</v>
      </c>
      <c r="CH21" s="1169">
        <f t="shared" si="3"/>
        <v>0</v>
      </c>
      <c r="CI21" s="1263"/>
      <c r="CJ21" s="1152"/>
    </row>
    <row r="22" spans="1:88">
      <c r="A22" s="1154"/>
      <c r="B22" s="1063" t="s">
        <v>6618</v>
      </c>
      <c r="C22" s="1064" t="s">
        <v>4328</v>
      </c>
      <c r="D22" s="2145" t="s">
        <v>4329</v>
      </c>
      <c r="E22" s="2145" t="s">
        <v>4204</v>
      </c>
      <c r="F22" s="1061">
        <v>0</v>
      </c>
      <c r="G22" s="1167"/>
      <c r="H22" s="1167"/>
      <c r="I22" s="1167"/>
      <c r="J22" s="1167"/>
      <c r="K22" s="1167"/>
      <c r="L22" s="1167"/>
      <c r="M22" s="1167"/>
      <c r="N22" s="1167"/>
      <c r="O22" s="1167"/>
      <c r="P22" s="1167"/>
      <c r="Q22" s="1167"/>
      <c r="R22" s="1167"/>
      <c r="S22" s="1167"/>
      <c r="T22" s="1167"/>
      <c r="U22" s="1167"/>
      <c r="V22" s="1167"/>
      <c r="W22" s="1167"/>
      <c r="X22" s="1167"/>
      <c r="Y22" s="1167"/>
      <c r="Z22" s="1167"/>
      <c r="AA22" s="1167"/>
      <c r="AB22" s="1167"/>
      <c r="AC22" s="1167"/>
      <c r="AD22" s="1167"/>
      <c r="AE22" s="1167"/>
      <c r="AF22" s="1167"/>
      <c r="AG22" s="1167"/>
      <c r="AH22" s="1167"/>
      <c r="AI22" s="1167"/>
      <c r="AJ22" s="1167"/>
      <c r="AK22" s="1167"/>
      <c r="AL22" s="1167"/>
      <c r="AM22" s="1167"/>
      <c r="AN22" s="1167"/>
      <c r="AO22" s="1167"/>
      <c r="AP22" s="1167"/>
      <c r="AQ22" s="1167"/>
      <c r="AR22" s="1167"/>
      <c r="AS22" s="1167"/>
      <c r="AT22" s="1167"/>
      <c r="AU22" s="1167"/>
      <c r="AV22" s="1167"/>
      <c r="AW22" s="1167"/>
      <c r="AX22" s="1167"/>
      <c r="AY22" s="1167"/>
      <c r="AZ22" s="1167"/>
      <c r="BA22" s="1167"/>
      <c r="BB22" s="1167"/>
      <c r="BC22" s="1167"/>
      <c r="BD22" s="1167"/>
      <c r="BE22" s="1167"/>
      <c r="BF22" s="1167"/>
      <c r="BG22" s="1167"/>
      <c r="BH22" s="1167"/>
      <c r="BI22" s="1167"/>
      <c r="BJ22" s="1167"/>
      <c r="BK22" s="1167"/>
      <c r="BL22" s="1167"/>
      <c r="BM22" s="1167"/>
      <c r="BN22" s="1167"/>
      <c r="BO22" s="1167"/>
      <c r="BP22" s="1167"/>
      <c r="BQ22" s="1167"/>
      <c r="BR22" s="1167"/>
      <c r="BS22" s="1167"/>
      <c r="BT22" s="1167"/>
      <c r="BU22" s="1167"/>
      <c r="BV22" s="1167"/>
      <c r="BW22" s="1167"/>
      <c r="BX22" s="1167"/>
      <c r="BY22" s="1167"/>
      <c r="BZ22" s="1167"/>
      <c r="CA22" s="1167"/>
      <c r="CB22" s="1167"/>
      <c r="CC22" s="1167"/>
      <c r="CD22" s="1167"/>
      <c r="CE22" s="1167"/>
      <c r="CF22" s="1167"/>
      <c r="CG22" s="1167"/>
      <c r="CH22" s="1167"/>
      <c r="CI22" s="1179"/>
      <c r="CJ22" s="1152"/>
    </row>
    <row r="23" spans="1:88" ht="15" thickBot="1">
      <c r="A23" s="1154"/>
      <c r="B23" s="1068" t="s">
        <v>12647</v>
      </c>
      <c r="C23" s="1170" t="s">
        <v>4330</v>
      </c>
      <c r="D23" s="1070" t="s">
        <v>4331</v>
      </c>
      <c r="E23" s="1070" t="s">
        <v>4204</v>
      </c>
      <c r="F23" s="1071">
        <v>0</v>
      </c>
      <c r="G23" s="2456">
        <f t="shared" ref="G23:BR23" si="4">G21+G22</f>
        <v>0</v>
      </c>
      <c r="H23" s="2456">
        <f t="shared" si="4"/>
        <v>0</v>
      </c>
      <c r="I23" s="2456">
        <f t="shared" si="4"/>
        <v>0</v>
      </c>
      <c r="J23" s="2456">
        <f t="shared" si="4"/>
        <v>0</v>
      </c>
      <c r="K23" s="2456">
        <f t="shared" si="4"/>
        <v>0</v>
      </c>
      <c r="L23" s="2456">
        <f t="shared" si="4"/>
        <v>0</v>
      </c>
      <c r="M23" s="2456">
        <f t="shared" si="4"/>
        <v>0</v>
      </c>
      <c r="N23" s="2456">
        <f t="shared" si="4"/>
        <v>0</v>
      </c>
      <c r="O23" s="2456">
        <f t="shared" si="4"/>
        <v>0</v>
      </c>
      <c r="P23" s="2456">
        <f t="shared" si="4"/>
        <v>0</v>
      </c>
      <c r="Q23" s="2456">
        <f t="shared" si="4"/>
        <v>0</v>
      </c>
      <c r="R23" s="2456">
        <f t="shared" si="4"/>
        <v>0</v>
      </c>
      <c r="S23" s="2456">
        <f t="shared" si="4"/>
        <v>0</v>
      </c>
      <c r="T23" s="2456">
        <f t="shared" si="4"/>
        <v>0</v>
      </c>
      <c r="U23" s="2456">
        <f t="shared" si="4"/>
        <v>0</v>
      </c>
      <c r="V23" s="2456">
        <f t="shared" si="4"/>
        <v>0</v>
      </c>
      <c r="W23" s="2456">
        <f t="shared" si="4"/>
        <v>0</v>
      </c>
      <c r="X23" s="2456">
        <f t="shared" si="4"/>
        <v>0</v>
      </c>
      <c r="Y23" s="2456">
        <f t="shared" si="4"/>
        <v>0</v>
      </c>
      <c r="Z23" s="2456">
        <f t="shared" si="4"/>
        <v>0</v>
      </c>
      <c r="AA23" s="2456">
        <f t="shared" si="4"/>
        <v>0</v>
      </c>
      <c r="AB23" s="2456">
        <f t="shared" si="4"/>
        <v>0</v>
      </c>
      <c r="AC23" s="2456">
        <f t="shared" si="4"/>
        <v>0</v>
      </c>
      <c r="AD23" s="2456">
        <f t="shared" si="4"/>
        <v>0</v>
      </c>
      <c r="AE23" s="2456">
        <f t="shared" si="4"/>
        <v>0</v>
      </c>
      <c r="AF23" s="2456">
        <f t="shared" si="4"/>
        <v>0</v>
      </c>
      <c r="AG23" s="2456">
        <f t="shared" si="4"/>
        <v>0</v>
      </c>
      <c r="AH23" s="2456">
        <f t="shared" si="4"/>
        <v>0</v>
      </c>
      <c r="AI23" s="2456">
        <f t="shared" si="4"/>
        <v>0</v>
      </c>
      <c r="AJ23" s="2456">
        <f t="shared" si="4"/>
        <v>0</v>
      </c>
      <c r="AK23" s="2456">
        <f t="shared" si="4"/>
        <v>0</v>
      </c>
      <c r="AL23" s="2456">
        <f t="shared" si="4"/>
        <v>0</v>
      </c>
      <c r="AM23" s="2456">
        <f t="shared" si="4"/>
        <v>0</v>
      </c>
      <c r="AN23" s="2456">
        <f t="shared" si="4"/>
        <v>0</v>
      </c>
      <c r="AO23" s="2456">
        <f t="shared" si="4"/>
        <v>0</v>
      </c>
      <c r="AP23" s="2456">
        <f t="shared" si="4"/>
        <v>0</v>
      </c>
      <c r="AQ23" s="2456">
        <f t="shared" si="4"/>
        <v>0</v>
      </c>
      <c r="AR23" s="2456">
        <f t="shared" si="4"/>
        <v>0</v>
      </c>
      <c r="AS23" s="2456">
        <f t="shared" si="4"/>
        <v>0</v>
      </c>
      <c r="AT23" s="2456">
        <f t="shared" si="4"/>
        <v>0</v>
      </c>
      <c r="AU23" s="2456">
        <f t="shared" si="4"/>
        <v>0</v>
      </c>
      <c r="AV23" s="2456">
        <f t="shared" si="4"/>
        <v>0</v>
      </c>
      <c r="AW23" s="2456">
        <f t="shared" si="4"/>
        <v>0</v>
      </c>
      <c r="AX23" s="2456">
        <f t="shared" si="4"/>
        <v>0</v>
      </c>
      <c r="AY23" s="2456">
        <f t="shared" si="4"/>
        <v>0</v>
      </c>
      <c r="AZ23" s="2456">
        <f t="shared" si="4"/>
        <v>0</v>
      </c>
      <c r="BA23" s="2456">
        <f t="shared" si="4"/>
        <v>0</v>
      </c>
      <c r="BB23" s="2456">
        <f t="shared" si="4"/>
        <v>0</v>
      </c>
      <c r="BC23" s="2456">
        <f t="shared" si="4"/>
        <v>0</v>
      </c>
      <c r="BD23" s="2456">
        <f t="shared" si="4"/>
        <v>0</v>
      </c>
      <c r="BE23" s="2456">
        <f t="shared" si="4"/>
        <v>0</v>
      </c>
      <c r="BF23" s="2456">
        <f t="shared" si="4"/>
        <v>0</v>
      </c>
      <c r="BG23" s="2456">
        <f t="shared" si="4"/>
        <v>0</v>
      </c>
      <c r="BH23" s="2456">
        <f t="shared" si="4"/>
        <v>0</v>
      </c>
      <c r="BI23" s="2456">
        <f t="shared" si="4"/>
        <v>0</v>
      </c>
      <c r="BJ23" s="2456">
        <f t="shared" si="4"/>
        <v>0</v>
      </c>
      <c r="BK23" s="2456">
        <f t="shared" si="4"/>
        <v>0</v>
      </c>
      <c r="BL23" s="2456">
        <f t="shared" si="4"/>
        <v>0</v>
      </c>
      <c r="BM23" s="2456">
        <f t="shared" si="4"/>
        <v>0</v>
      </c>
      <c r="BN23" s="2456">
        <f t="shared" si="4"/>
        <v>0</v>
      </c>
      <c r="BO23" s="2456">
        <f t="shared" si="4"/>
        <v>0</v>
      </c>
      <c r="BP23" s="2456">
        <f t="shared" si="4"/>
        <v>0</v>
      </c>
      <c r="BQ23" s="2456">
        <f t="shared" si="4"/>
        <v>0</v>
      </c>
      <c r="BR23" s="2456">
        <f t="shared" si="4"/>
        <v>0</v>
      </c>
      <c r="BS23" s="2456">
        <f t="shared" ref="BS23:CH23" si="5">BS21+BS22</f>
        <v>0</v>
      </c>
      <c r="BT23" s="2456">
        <f t="shared" si="5"/>
        <v>0</v>
      </c>
      <c r="BU23" s="2456">
        <f t="shared" si="5"/>
        <v>0</v>
      </c>
      <c r="BV23" s="2456">
        <f t="shared" si="5"/>
        <v>0</v>
      </c>
      <c r="BW23" s="2456">
        <f t="shared" si="5"/>
        <v>0</v>
      </c>
      <c r="BX23" s="2456">
        <f t="shared" si="5"/>
        <v>0</v>
      </c>
      <c r="BY23" s="2456">
        <f t="shared" si="5"/>
        <v>0</v>
      </c>
      <c r="BZ23" s="2456">
        <f t="shared" si="5"/>
        <v>0</v>
      </c>
      <c r="CA23" s="2456">
        <f t="shared" si="5"/>
        <v>0</v>
      </c>
      <c r="CB23" s="2456">
        <f t="shared" si="5"/>
        <v>0</v>
      </c>
      <c r="CC23" s="2456">
        <f t="shared" si="5"/>
        <v>0</v>
      </c>
      <c r="CD23" s="2456">
        <f t="shared" si="5"/>
        <v>0</v>
      </c>
      <c r="CE23" s="2456">
        <f t="shared" si="5"/>
        <v>0</v>
      </c>
      <c r="CF23" s="2456">
        <f t="shared" si="5"/>
        <v>0</v>
      </c>
      <c r="CG23" s="2456">
        <f t="shared" si="5"/>
        <v>0</v>
      </c>
      <c r="CH23" s="2456">
        <f t="shared" si="5"/>
        <v>0</v>
      </c>
      <c r="CI23" s="1173"/>
      <c r="CJ23" s="1152"/>
    </row>
    <row r="24" spans="1:88"/>
    <row r="25" spans="1:88">
      <c r="A25" s="1152"/>
      <c r="B25" s="1148" t="s">
        <v>2420</v>
      </c>
      <c r="C25" s="1180"/>
    </row>
    <row r="26" spans="1:88">
      <c r="A26" s="1152"/>
    </row>
    <row r="27" spans="1:88">
      <c r="A27" s="1152"/>
      <c r="B27" s="1008"/>
      <c r="C27" s="1181" t="s">
        <v>2421</v>
      </c>
    </row>
    <row r="28" spans="1:88">
      <c r="A28" s="1152"/>
      <c r="B28" s="1182"/>
      <c r="C28" s="1007"/>
    </row>
    <row r="29" spans="1:88">
      <c r="A29" s="1152"/>
      <c r="B29" s="1010"/>
      <c r="C29" s="1181" t="s">
        <v>4082</v>
      </c>
      <c r="E29" s="1152"/>
      <c r="F29" s="1152"/>
      <c r="G29" s="1152"/>
      <c r="H29" s="1152"/>
      <c r="I29" s="1152"/>
      <c r="J29" s="1152"/>
      <c r="K29" s="1152"/>
      <c r="L29" s="1152"/>
      <c r="M29" s="1152"/>
      <c r="N29" s="1152"/>
      <c r="O29" s="1152"/>
      <c r="P29" s="1152"/>
      <c r="Q29" s="1152"/>
      <c r="R29" s="1152"/>
      <c r="S29" s="1152"/>
      <c r="T29" s="1152"/>
      <c r="U29" s="1152"/>
      <c r="V29" s="1152"/>
      <c r="W29" s="1152"/>
      <c r="X29" s="1152"/>
      <c r="Y29" s="1152"/>
      <c r="Z29" s="1152"/>
      <c r="AA29" s="1152"/>
      <c r="AB29" s="1152"/>
      <c r="AC29" s="1152"/>
      <c r="AD29" s="1152"/>
      <c r="AE29" s="1152"/>
      <c r="AF29" s="1152"/>
      <c r="AG29" s="1152"/>
      <c r="AH29" s="1152"/>
      <c r="AI29" s="1152"/>
      <c r="AJ29" s="1152"/>
      <c r="AK29" s="1152"/>
      <c r="AL29" s="1152"/>
      <c r="AM29" s="1152"/>
      <c r="AN29" s="1152"/>
      <c r="AO29" s="1152"/>
      <c r="AP29" s="1152"/>
      <c r="AQ29" s="1152"/>
      <c r="AR29" s="1152"/>
      <c r="AS29" s="1152"/>
      <c r="AT29" s="1152"/>
      <c r="AU29" s="1152"/>
      <c r="AV29" s="1152"/>
      <c r="AW29" s="1152"/>
      <c r="AX29" s="1152"/>
      <c r="AY29" s="1152"/>
      <c r="AZ29" s="1152"/>
      <c r="BA29" s="1152"/>
      <c r="BB29" s="1152"/>
      <c r="BC29" s="1152"/>
      <c r="BD29" s="1152"/>
      <c r="BE29" s="1152"/>
      <c r="BF29" s="1152"/>
      <c r="BG29" s="1152"/>
      <c r="BH29" s="1152"/>
      <c r="BI29" s="1152"/>
      <c r="BJ29" s="1152"/>
      <c r="BK29" s="1152"/>
      <c r="BL29" s="1152"/>
      <c r="BM29" s="1152"/>
      <c r="BN29" s="1152"/>
      <c r="BO29" s="1152"/>
      <c r="BP29" s="1152"/>
      <c r="BQ29" s="1152"/>
      <c r="BR29" s="1152"/>
      <c r="BS29" s="1152"/>
      <c r="BT29" s="1152"/>
      <c r="BU29" s="1152"/>
      <c r="BV29" s="1152"/>
      <c r="BW29" s="1152"/>
      <c r="BX29" s="1152"/>
      <c r="BY29" s="1152"/>
      <c r="BZ29" s="1152"/>
      <c r="CA29" s="1152"/>
      <c r="CB29" s="1152"/>
      <c r="CC29" s="1152"/>
      <c r="CD29" s="1152"/>
      <c r="CE29" s="1152"/>
      <c r="CF29" s="1152"/>
      <c r="CG29" s="1152"/>
      <c r="CH29" s="1152"/>
      <c r="CI29" s="1152"/>
      <c r="CJ29" s="1152"/>
    </row>
    <row r="30" spans="1:88">
      <c r="A30" s="1152"/>
      <c r="B30" s="1152"/>
      <c r="C30" s="1152"/>
      <c r="E30" s="1152"/>
      <c r="F30" s="1152"/>
      <c r="G30" s="1152"/>
      <c r="H30" s="1152"/>
      <c r="I30" s="1152"/>
      <c r="J30" s="1152"/>
      <c r="K30" s="1152"/>
      <c r="L30" s="1152"/>
      <c r="M30" s="1152"/>
      <c r="N30" s="1152"/>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AP30" s="1152"/>
      <c r="AQ30" s="1152"/>
      <c r="AR30" s="1152"/>
      <c r="AS30" s="1152"/>
      <c r="AT30" s="1152"/>
      <c r="AU30" s="1152"/>
      <c r="AV30" s="1152"/>
      <c r="AW30" s="1152"/>
      <c r="AX30" s="1152"/>
      <c r="AY30" s="1152"/>
      <c r="AZ30" s="1152"/>
      <c r="BA30" s="1152"/>
      <c r="BB30" s="1152"/>
      <c r="BC30" s="1152"/>
      <c r="BD30" s="1152"/>
      <c r="BE30" s="1152"/>
      <c r="BF30" s="1152"/>
      <c r="BG30" s="1152"/>
      <c r="BH30" s="1152"/>
      <c r="BI30" s="1152"/>
      <c r="BJ30" s="1152"/>
      <c r="BK30" s="1152"/>
      <c r="BL30" s="1152"/>
      <c r="BM30" s="1152"/>
      <c r="BN30" s="1152"/>
      <c r="BO30" s="1152"/>
      <c r="BP30" s="1152"/>
      <c r="BQ30" s="1152"/>
      <c r="BR30" s="1152"/>
      <c r="BS30" s="1152"/>
      <c r="BT30" s="1152"/>
      <c r="BU30" s="1152"/>
      <c r="BV30" s="1152"/>
      <c r="BW30" s="1152"/>
      <c r="BX30" s="1152"/>
      <c r="BY30" s="1152"/>
      <c r="BZ30" s="1152"/>
      <c r="CA30" s="1152"/>
      <c r="CB30" s="1152"/>
      <c r="CC30" s="1152"/>
      <c r="CD30" s="1152"/>
      <c r="CE30" s="1152"/>
      <c r="CF30" s="1152"/>
      <c r="CG30" s="1152"/>
      <c r="CH30" s="1152"/>
      <c r="CI30" s="1152"/>
      <c r="CJ30" s="1152"/>
    </row>
    <row r="31" spans="1:88" ht="15" thickBot="1">
      <c r="A31" s="1152"/>
      <c r="B31" s="1152"/>
      <c r="C31" s="1152"/>
      <c r="D31" s="1152"/>
      <c r="E31" s="1152"/>
      <c r="F31" s="1152"/>
      <c r="G31" s="1152"/>
      <c r="H31" s="1152"/>
      <c r="I31" s="1152"/>
      <c r="J31" s="1152"/>
      <c r="K31" s="1152"/>
      <c r="L31" s="1152"/>
      <c r="M31" s="1152"/>
      <c r="N31" s="1152"/>
      <c r="O31" s="1152"/>
      <c r="P31" s="1152"/>
      <c r="Q31" s="1152"/>
      <c r="R31" s="1152"/>
      <c r="S31" s="1152"/>
      <c r="T31" s="1152"/>
      <c r="U31" s="1152"/>
      <c r="V31" s="1152"/>
      <c r="W31" s="1152"/>
      <c r="X31" s="1152"/>
      <c r="Y31" s="1152"/>
      <c r="Z31" s="1152"/>
      <c r="AA31" s="1152"/>
      <c r="AB31" s="1152"/>
      <c r="AC31" s="1152"/>
      <c r="AD31" s="1152"/>
      <c r="AE31" s="1152"/>
      <c r="AF31" s="1152"/>
      <c r="AG31" s="1152"/>
      <c r="AH31" s="1152"/>
      <c r="AI31" s="1152"/>
      <c r="AJ31" s="1152"/>
      <c r="AK31" s="1152"/>
      <c r="AL31" s="1152"/>
      <c r="AM31" s="1152"/>
      <c r="AN31" s="1152"/>
      <c r="AO31" s="1152"/>
      <c r="AP31" s="1152"/>
      <c r="AQ31" s="1152"/>
      <c r="AR31" s="1152"/>
      <c r="AS31" s="1152"/>
      <c r="AT31" s="1152"/>
      <c r="AU31" s="1152"/>
      <c r="AV31" s="1152"/>
      <c r="AW31" s="1152"/>
      <c r="AX31" s="1152"/>
      <c r="AY31" s="1152"/>
      <c r="AZ31" s="1152"/>
      <c r="BA31" s="1152"/>
      <c r="BB31" s="1152"/>
      <c r="BC31" s="1152"/>
      <c r="BD31" s="1152"/>
      <c r="BE31" s="1152"/>
      <c r="BF31" s="1152"/>
      <c r="BG31" s="1152"/>
      <c r="BH31" s="1152"/>
      <c r="BI31" s="1152"/>
      <c r="BJ31" s="1152"/>
      <c r="BK31" s="1152"/>
      <c r="BL31" s="1152"/>
      <c r="BM31" s="1152"/>
      <c r="BN31" s="1152"/>
      <c r="BO31" s="1152"/>
      <c r="BP31" s="1152"/>
      <c r="BQ31" s="1152"/>
      <c r="BR31" s="1152"/>
      <c r="BS31" s="1152"/>
      <c r="BT31" s="1152"/>
      <c r="BU31" s="1152"/>
      <c r="BV31" s="1152"/>
      <c r="BW31" s="1152"/>
      <c r="BX31" s="1152"/>
      <c r="BY31" s="1152"/>
      <c r="BZ31" s="1152"/>
      <c r="CA31" s="1152"/>
      <c r="CB31" s="1152"/>
      <c r="CC31" s="1152"/>
      <c r="CD31" s="1152"/>
      <c r="CE31" s="1152"/>
      <c r="CF31" s="1152"/>
      <c r="CG31" s="1152"/>
      <c r="CH31" s="1152"/>
      <c r="CI31" s="1152"/>
      <c r="CJ31" s="1152"/>
    </row>
    <row r="32" spans="1:88" ht="15" thickBot="1">
      <c r="A32" s="1152"/>
      <c r="B32" s="1433" t="s">
        <v>12572</v>
      </c>
      <c r="C32" s="1011"/>
      <c r="D32" s="1012"/>
      <c r="E32" s="1012"/>
      <c r="F32" s="1012"/>
      <c r="G32" s="1012"/>
      <c r="H32" s="1012"/>
      <c r="I32" s="1012"/>
      <c r="J32" s="1013"/>
      <c r="K32" s="1152"/>
      <c r="L32" s="1152"/>
      <c r="M32" s="1152"/>
      <c r="N32" s="1152"/>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c r="AP32" s="1152"/>
      <c r="AQ32" s="1152"/>
      <c r="AR32" s="1152"/>
      <c r="AS32" s="1152"/>
      <c r="AT32" s="1152"/>
      <c r="AU32" s="1152"/>
      <c r="AV32" s="1152"/>
      <c r="AW32" s="1152"/>
      <c r="AX32" s="1152"/>
      <c r="AY32" s="1152"/>
      <c r="AZ32" s="1152"/>
      <c r="BA32" s="1152"/>
      <c r="BB32" s="1152"/>
      <c r="BC32" s="1152"/>
      <c r="BD32" s="1152"/>
      <c r="BE32" s="1152"/>
      <c r="BF32" s="1152"/>
      <c r="BG32" s="1152"/>
      <c r="BH32" s="1152"/>
      <c r="BI32" s="1152"/>
      <c r="BJ32" s="1152"/>
      <c r="BK32" s="1152"/>
      <c r="BL32" s="1152"/>
      <c r="BM32" s="1152"/>
      <c r="BN32" s="1152"/>
      <c r="BO32" s="1152"/>
      <c r="BP32" s="1152"/>
      <c r="BQ32" s="1152"/>
      <c r="BR32" s="1152"/>
      <c r="BS32" s="1152"/>
      <c r="BT32" s="1152"/>
      <c r="BU32" s="1152"/>
      <c r="BV32" s="1152"/>
      <c r="BW32" s="1152"/>
      <c r="BX32" s="1152"/>
      <c r="BY32" s="1152"/>
      <c r="BZ32" s="1152"/>
      <c r="CA32" s="1152"/>
      <c r="CB32" s="1152"/>
      <c r="CC32" s="1152"/>
      <c r="CD32" s="1152"/>
      <c r="CE32" s="1152"/>
      <c r="CF32" s="1152"/>
      <c r="CG32" s="1152"/>
      <c r="CH32" s="1152"/>
      <c r="CI32" s="1152"/>
      <c r="CJ32" s="1152"/>
    </row>
    <row r="33" spans="1:88" ht="15" thickBot="1">
      <c r="A33" s="1152"/>
      <c r="B33" s="1152"/>
      <c r="C33" s="1152"/>
      <c r="D33" s="1152"/>
      <c r="E33" s="1152"/>
      <c r="F33" s="1152"/>
      <c r="G33" s="1152"/>
      <c r="H33" s="1152"/>
      <c r="I33" s="1152"/>
      <c r="J33" s="1152"/>
      <c r="K33" s="1152"/>
      <c r="L33" s="1152"/>
      <c r="M33" s="1152"/>
      <c r="N33" s="1152"/>
      <c r="O33" s="1152"/>
      <c r="P33" s="1152"/>
      <c r="Q33" s="1152"/>
      <c r="R33" s="1152"/>
      <c r="S33" s="1152"/>
      <c r="T33" s="1152"/>
      <c r="U33" s="1152"/>
      <c r="V33" s="1152"/>
      <c r="W33" s="1152"/>
      <c r="X33" s="1152"/>
      <c r="Y33" s="1152"/>
      <c r="Z33" s="1152"/>
      <c r="AA33" s="1152"/>
      <c r="AB33" s="1152"/>
      <c r="AC33" s="1152"/>
      <c r="AD33" s="1152"/>
      <c r="AE33" s="1152"/>
      <c r="AF33" s="1152"/>
      <c r="AG33" s="1152"/>
      <c r="AH33" s="1152"/>
      <c r="AI33" s="1152"/>
      <c r="AJ33" s="1152"/>
      <c r="AK33" s="1152"/>
      <c r="AL33" s="1152"/>
      <c r="AM33" s="1152"/>
      <c r="AN33" s="1152"/>
      <c r="AO33" s="1152"/>
      <c r="AP33" s="1152"/>
      <c r="AQ33" s="1152"/>
      <c r="AR33" s="1152"/>
      <c r="AS33" s="1152"/>
      <c r="AT33" s="1152"/>
      <c r="AU33" s="1152"/>
      <c r="AV33" s="1152"/>
      <c r="AW33" s="1152"/>
      <c r="AX33" s="1152"/>
      <c r="AY33" s="1152"/>
      <c r="AZ33" s="1152"/>
      <c r="BA33" s="1152"/>
      <c r="BB33" s="1152"/>
      <c r="BC33" s="1152"/>
      <c r="BD33" s="1152"/>
      <c r="BE33" s="1152"/>
      <c r="BF33" s="1152"/>
      <c r="BG33" s="1152"/>
      <c r="BH33" s="1152"/>
      <c r="BI33" s="1152"/>
      <c r="BJ33" s="1152"/>
      <c r="BK33" s="1152"/>
      <c r="BL33" s="1152"/>
      <c r="BM33" s="1152"/>
      <c r="BN33" s="1152"/>
      <c r="BO33" s="1152"/>
      <c r="BP33" s="1152"/>
      <c r="BQ33" s="1152"/>
      <c r="BR33" s="1152"/>
      <c r="BS33" s="1152"/>
      <c r="BT33" s="1152"/>
      <c r="BU33" s="1152"/>
      <c r="BV33" s="1152"/>
      <c r="BW33" s="1152"/>
      <c r="BX33" s="1152"/>
      <c r="BY33" s="1152"/>
      <c r="BZ33" s="1152"/>
      <c r="CA33" s="1152"/>
      <c r="CB33" s="1152"/>
      <c r="CC33" s="1152"/>
      <c r="CD33" s="1152"/>
      <c r="CE33" s="1152"/>
      <c r="CF33" s="1152"/>
      <c r="CG33" s="1152"/>
      <c r="CH33" s="1152"/>
      <c r="CI33" s="1152"/>
      <c r="CJ33" s="1152"/>
    </row>
    <row r="34" spans="1:88" ht="82.5" customHeight="1" thickBot="1">
      <c r="A34" s="1152"/>
      <c r="B34" s="3340" t="s">
        <v>11707</v>
      </c>
      <c r="C34" s="3639"/>
      <c r="D34" s="3639"/>
      <c r="E34" s="3639"/>
      <c r="F34" s="3639"/>
      <c r="G34" s="3639"/>
      <c r="H34" s="3639"/>
      <c r="I34" s="3639"/>
      <c r="J34" s="3640"/>
      <c r="K34" s="1152"/>
      <c r="L34" s="1152"/>
      <c r="M34" s="1152"/>
      <c r="N34" s="1152"/>
      <c r="O34" s="1152"/>
      <c r="P34" s="1152"/>
      <c r="Q34" s="1152"/>
      <c r="R34" s="1152"/>
      <c r="S34" s="1152"/>
      <c r="T34" s="1152"/>
      <c r="U34" s="1152"/>
      <c r="V34" s="1152"/>
      <c r="W34" s="1152"/>
      <c r="X34" s="1152"/>
      <c r="Y34" s="1152"/>
      <c r="Z34" s="1152"/>
      <c r="AA34" s="1152"/>
      <c r="AB34" s="1152"/>
      <c r="AC34" s="1152"/>
      <c r="AD34" s="1152"/>
      <c r="AE34" s="1152"/>
      <c r="AF34" s="1152"/>
      <c r="AG34" s="1152"/>
      <c r="AH34" s="1152"/>
      <c r="AI34" s="1152"/>
      <c r="AJ34" s="1152"/>
      <c r="AK34" s="1152"/>
      <c r="AL34" s="1152"/>
      <c r="AM34" s="1152"/>
      <c r="AN34" s="1152"/>
      <c r="AO34" s="1152"/>
      <c r="AP34" s="1152"/>
      <c r="AQ34" s="1152"/>
      <c r="AR34" s="1152"/>
      <c r="AS34" s="1152"/>
      <c r="AT34" s="1152"/>
      <c r="AU34" s="1152"/>
      <c r="AV34" s="1152"/>
      <c r="AW34" s="1152"/>
      <c r="AX34" s="1152"/>
      <c r="AY34" s="1152"/>
      <c r="AZ34" s="1152"/>
      <c r="BA34" s="1152"/>
      <c r="BB34" s="1152"/>
      <c r="BC34" s="1152"/>
      <c r="BD34" s="1152"/>
      <c r="BE34" s="1152"/>
      <c r="BF34" s="1152"/>
      <c r="BG34" s="1152"/>
      <c r="BH34" s="1152"/>
      <c r="BI34" s="1152"/>
      <c r="BJ34" s="1152"/>
      <c r="BK34" s="1152"/>
      <c r="BL34" s="1152"/>
      <c r="BM34" s="1152"/>
      <c r="BN34" s="1152"/>
      <c r="BO34" s="1152"/>
      <c r="BP34" s="1152"/>
      <c r="BQ34" s="1152"/>
      <c r="BR34" s="1152"/>
      <c r="BS34" s="1152"/>
      <c r="BT34" s="1152"/>
      <c r="BU34" s="1152"/>
      <c r="BV34" s="1152"/>
      <c r="BW34" s="1152"/>
      <c r="BX34" s="1152"/>
      <c r="BY34" s="1152"/>
      <c r="BZ34" s="1152"/>
      <c r="CA34" s="1152"/>
      <c r="CB34" s="1152"/>
      <c r="CC34" s="1152"/>
      <c r="CD34" s="1152"/>
      <c r="CE34" s="1152"/>
      <c r="CF34" s="1152"/>
      <c r="CG34" s="1152"/>
      <c r="CH34" s="1152"/>
      <c r="CI34" s="1152"/>
      <c r="CJ34" s="1152"/>
    </row>
    <row r="35" spans="1:88">
      <c r="A35" s="1152"/>
      <c r="B35" s="1152"/>
      <c r="C35" s="1152"/>
      <c r="D35" s="1152"/>
      <c r="E35" s="1152"/>
      <c r="F35" s="1152"/>
      <c r="G35" s="1152"/>
      <c r="H35" s="1152"/>
      <c r="I35" s="1152"/>
      <c r="J35" s="1152"/>
      <c r="K35" s="1152"/>
      <c r="L35" s="1152"/>
      <c r="M35" s="1152"/>
      <c r="N35" s="1152"/>
      <c r="O35" s="1152"/>
      <c r="P35" s="1152"/>
      <c r="Q35" s="1152"/>
      <c r="R35" s="1152"/>
      <c r="S35" s="1152"/>
      <c r="T35" s="1152"/>
      <c r="U35" s="1152"/>
      <c r="V35" s="1152"/>
      <c r="W35" s="1152"/>
      <c r="X35" s="1152"/>
      <c r="Y35" s="1152"/>
      <c r="Z35" s="1152"/>
      <c r="AA35" s="1152"/>
      <c r="AB35" s="1152"/>
      <c r="AC35" s="1152"/>
      <c r="AD35" s="1152"/>
      <c r="AE35" s="1152"/>
      <c r="AF35" s="1152"/>
      <c r="AG35" s="1152"/>
      <c r="AH35" s="1152"/>
      <c r="AI35" s="1152"/>
      <c r="AJ35" s="1152"/>
      <c r="AK35" s="1152"/>
      <c r="AL35" s="1152"/>
      <c r="AM35" s="1152"/>
      <c r="AN35" s="1152"/>
      <c r="AO35" s="1152"/>
      <c r="AP35" s="1152"/>
      <c r="AQ35" s="1152"/>
      <c r="AR35" s="1152"/>
      <c r="AS35" s="1152"/>
      <c r="AT35" s="1152"/>
      <c r="AU35" s="1152"/>
      <c r="AV35" s="1152"/>
      <c r="AW35" s="1152"/>
      <c r="AX35" s="1152"/>
      <c r="AY35" s="1152"/>
      <c r="AZ35" s="1152"/>
      <c r="BA35" s="1152"/>
      <c r="BB35" s="1152"/>
      <c r="BC35" s="1152"/>
      <c r="BD35" s="1152"/>
      <c r="BE35" s="1152"/>
      <c r="BF35" s="1152"/>
      <c r="BG35" s="1152"/>
      <c r="BH35" s="1152"/>
      <c r="BI35" s="1152"/>
      <c r="BJ35" s="1152"/>
      <c r="BK35" s="1152"/>
      <c r="BL35" s="1152"/>
      <c r="BM35" s="1152"/>
      <c r="BN35" s="1152"/>
      <c r="BO35" s="1152"/>
      <c r="BP35" s="1152"/>
      <c r="BQ35" s="1152"/>
      <c r="BR35" s="1152"/>
      <c r="BS35" s="1152"/>
      <c r="BT35" s="1152"/>
      <c r="BU35" s="1152"/>
      <c r="BV35" s="1152"/>
      <c r="BW35" s="1152"/>
      <c r="BX35" s="1152"/>
      <c r="BY35" s="1152"/>
      <c r="BZ35" s="1152"/>
      <c r="CA35" s="1152"/>
      <c r="CB35" s="1152"/>
      <c r="CC35" s="1152"/>
      <c r="CD35" s="1152"/>
      <c r="CE35" s="1152"/>
      <c r="CF35" s="1152"/>
      <c r="CG35" s="1152"/>
      <c r="CH35" s="1152"/>
      <c r="CI35" s="1152"/>
      <c r="CJ35" s="1152"/>
    </row>
    <row r="36" spans="1:88" ht="15" hidden="1" thickBot="1">
      <c r="A36" s="1795"/>
      <c r="B36" s="34" t="str">
        <f ca="1" xml:space="preserve"> RIGHT(CELL("filename", $A$1), LEN(CELL("filename", $A$1)) - SEARCH("]", CELL("filename", $A$1)))&amp;" - Line definitions"</f>
        <v>4O - Line definitions</v>
      </c>
      <c r="C36" s="1011"/>
      <c r="D36" s="1012"/>
      <c r="E36" s="1012"/>
      <c r="F36" s="1012"/>
      <c r="G36" s="1012"/>
      <c r="H36" s="1012"/>
      <c r="I36" s="1012"/>
      <c r="J36" s="1013"/>
      <c r="K36" s="1152"/>
      <c r="L36" s="1152"/>
      <c r="M36" s="1152"/>
      <c r="N36" s="1152"/>
      <c r="O36" s="1152"/>
      <c r="P36" s="1152"/>
      <c r="Q36" s="1152"/>
      <c r="R36" s="1152"/>
      <c r="S36" s="1152"/>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c r="AT36" s="1152"/>
      <c r="AU36" s="1152"/>
      <c r="AV36" s="1152"/>
      <c r="AW36" s="1152"/>
      <c r="AX36" s="1152"/>
      <c r="AY36" s="1152"/>
      <c r="AZ36" s="1152"/>
      <c r="BA36" s="1152"/>
      <c r="BB36" s="1152"/>
      <c r="BC36" s="1152"/>
      <c r="BD36" s="1152"/>
      <c r="BE36" s="1152"/>
      <c r="BF36" s="1152"/>
      <c r="BG36" s="1152"/>
      <c r="BH36" s="1152"/>
      <c r="BI36" s="1152"/>
      <c r="BJ36" s="1152"/>
      <c r="BK36" s="1152"/>
      <c r="BL36" s="1152"/>
      <c r="BM36" s="1152"/>
      <c r="BN36" s="1152"/>
      <c r="BO36" s="1152"/>
      <c r="BP36" s="1152"/>
      <c r="BQ36" s="1152"/>
      <c r="BR36" s="1152"/>
      <c r="BS36" s="1152"/>
      <c r="BT36" s="1152"/>
      <c r="BU36" s="1152"/>
      <c r="BV36" s="1152"/>
      <c r="BW36" s="1152"/>
      <c r="BX36" s="1152"/>
      <c r="BY36" s="1152"/>
      <c r="BZ36" s="1152"/>
      <c r="CA36" s="1152"/>
      <c r="CB36" s="1152"/>
      <c r="CC36" s="1152"/>
      <c r="CD36" s="1152"/>
      <c r="CE36" s="1152"/>
      <c r="CF36" s="1152"/>
      <c r="CG36" s="1152"/>
      <c r="CH36" s="1152"/>
      <c r="CI36" s="1152"/>
      <c r="CJ36" s="1152"/>
    </row>
    <row r="37" spans="1:88" ht="15" hidden="1" thickBot="1">
      <c r="A37" s="1795"/>
      <c r="B37" s="1182"/>
      <c r="C37" s="1182"/>
      <c r="D37" s="1182"/>
      <c r="E37" s="1182"/>
      <c r="F37" s="1155"/>
      <c r="G37" s="1155"/>
      <c r="H37" s="1155"/>
      <c r="I37" s="1152"/>
      <c r="J37" s="1152"/>
      <c r="K37" s="1152"/>
      <c r="L37" s="1152"/>
      <c r="M37" s="1152"/>
      <c r="N37" s="1152"/>
      <c r="O37" s="1152"/>
      <c r="P37" s="1152"/>
      <c r="Q37" s="1152"/>
      <c r="R37" s="1152"/>
      <c r="S37" s="1152"/>
      <c r="T37" s="1152"/>
      <c r="U37" s="1152"/>
      <c r="V37" s="1152"/>
      <c r="W37" s="1152"/>
      <c r="X37" s="1152"/>
      <c r="Y37" s="1152"/>
      <c r="Z37" s="1152"/>
      <c r="AA37" s="1152"/>
      <c r="AB37" s="1152"/>
      <c r="AC37" s="1152"/>
      <c r="AD37" s="1152"/>
      <c r="AE37" s="1152"/>
      <c r="AF37" s="1152"/>
      <c r="AG37" s="1152"/>
      <c r="AH37" s="1152"/>
      <c r="AI37" s="1152"/>
      <c r="AJ37" s="1152"/>
      <c r="AK37" s="1152"/>
      <c r="AL37" s="1152"/>
      <c r="AM37" s="1152"/>
      <c r="AN37" s="1152"/>
      <c r="AO37" s="1152"/>
      <c r="AP37" s="1152"/>
      <c r="AQ37" s="1152"/>
      <c r="AR37" s="1152"/>
      <c r="AS37" s="1152"/>
      <c r="AT37" s="1152"/>
      <c r="AU37" s="1152"/>
      <c r="AV37" s="1152"/>
      <c r="AW37" s="1152"/>
      <c r="AX37" s="1152"/>
      <c r="AY37" s="1152"/>
      <c r="AZ37" s="1152"/>
      <c r="BA37" s="1152"/>
      <c r="BB37" s="1152"/>
      <c r="BC37" s="1152"/>
      <c r="BD37" s="1152"/>
      <c r="BE37" s="1152"/>
      <c r="BF37" s="1152"/>
      <c r="BG37" s="1152"/>
      <c r="BH37" s="1152"/>
      <c r="BI37" s="1152"/>
      <c r="BJ37" s="1152"/>
      <c r="BK37" s="1152"/>
      <c r="BL37" s="1152"/>
      <c r="BM37" s="1152"/>
      <c r="BN37" s="1152"/>
      <c r="BO37" s="1152"/>
      <c r="BP37" s="1152"/>
      <c r="BQ37" s="1152"/>
      <c r="BR37" s="1152"/>
      <c r="BS37" s="1152"/>
      <c r="BT37" s="1152"/>
      <c r="BU37" s="1152"/>
      <c r="BV37" s="1152"/>
      <c r="BW37" s="1152"/>
      <c r="BX37" s="1152"/>
      <c r="BY37" s="1152"/>
      <c r="BZ37" s="1152"/>
      <c r="CA37" s="1152"/>
      <c r="CB37" s="1152"/>
      <c r="CC37" s="1152"/>
      <c r="CD37" s="1152"/>
      <c r="CE37" s="1152"/>
      <c r="CF37" s="1152"/>
      <c r="CG37" s="1152"/>
      <c r="CH37" s="1152"/>
      <c r="CI37" s="1152"/>
      <c r="CJ37" s="1152"/>
    </row>
    <row r="38" spans="1:88" ht="15" hidden="1" thickBot="1">
      <c r="A38" s="1795"/>
      <c r="B38" s="1017" t="s">
        <v>2423</v>
      </c>
      <c r="C38" s="3458" t="s">
        <v>2424</v>
      </c>
      <c r="D38" s="3459"/>
      <c r="E38" s="3459"/>
      <c r="F38" s="3459"/>
      <c r="G38" s="3459"/>
      <c r="H38" s="3459"/>
      <c r="I38" s="3459"/>
      <c r="J38" s="3460"/>
      <c r="K38" s="1152"/>
      <c r="L38" s="1152"/>
      <c r="M38" s="1152"/>
      <c r="N38" s="1152"/>
      <c r="O38" s="1152"/>
      <c r="P38" s="1152"/>
      <c r="Q38" s="1152"/>
      <c r="R38" s="1152"/>
      <c r="S38" s="1152"/>
      <c r="T38" s="1152"/>
      <c r="U38" s="1152"/>
      <c r="V38" s="1152"/>
      <c r="W38" s="1152"/>
      <c r="X38" s="1152"/>
      <c r="Y38" s="1152"/>
      <c r="Z38" s="1152"/>
      <c r="AA38" s="1152"/>
      <c r="AB38" s="1152"/>
      <c r="AC38" s="1152"/>
      <c r="AD38" s="1152"/>
      <c r="AE38" s="1152"/>
      <c r="AF38" s="1152"/>
      <c r="AG38" s="1152"/>
      <c r="AH38" s="1152"/>
      <c r="AI38" s="1152"/>
      <c r="AJ38" s="1152"/>
      <c r="AK38" s="1152"/>
      <c r="AL38" s="1152"/>
      <c r="AM38" s="1152"/>
      <c r="AN38" s="1152"/>
      <c r="AO38" s="1152"/>
      <c r="AP38" s="1152"/>
      <c r="AQ38" s="1152"/>
      <c r="AR38" s="1152"/>
      <c r="AS38" s="1152"/>
      <c r="AT38" s="1152"/>
      <c r="AU38" s="1152"/>
      <c r="AV38" s="1152"/>
      <c r="AW38" s="1152"/>
      <c r="AX38" s="1152"/>
      <c r="AY38" s="1152"/>
      <c r="AZ38" s="1152"/>
      <c r="BA38" s="1152"/>
      <c r="BB38" s="1152"/>
      <c r="BC38" s="1152"/>
      <c r="BD38" s="1152"/>
      <c r="BE38" s="1152"/>
      <c r="BF38" s="1152"/>
      <c r="BG38" s="1152"/>
      <c r="BH38" s="1152"/>
      <c r="BI38" s="1152"/>
      <c r="BJ38" s="1152"/>
      <c r="BK38" s="1152"/>
      <c r="BL38" s="1152"/>
      <c r="BM38" s="1152"/>
      <c r="BN38" s="1152"/>
      <c r="BO38" s="1152"/>
      <c r="BP38" s="1152"/>
      <c r="BQ38" s="1152"/>
      <c r="BR38" s="1152"/>
      <c r="BS38" s="1152"/>
      <c r="BT38" s="1152"/>
      <c r="BU38" s="1152"/>
      <c r="BV38" s="1152"/>
      <c r="BW38" s="1152"/>
      <c r="BX38" s="1152"/>
      <c r="BY38" s="1152"/>
      <c r="BZ38" s="1152"/>
      <c r="CA38" s="1152"/>
      <c r="CB38" s="1152"/>
      <c r="CC38" s="1152"/>
      <c r="CD38" s="1152"/>
      <c r="CE38" s="1152"/>
      <c r="CF38" s="1152"/>
      <c r="CG38" s="1152"/>
      <c r="CH38" s="1152"/>
      <c r="CI38" s="1152"/>
      <c r="CJ38" s="1152"/>
    </row>
    <row r="39" spans="1:88" hidden="1">
      <c r="A39" s="1795"/>
      <c r="B39" s="1183">
        <v>1</v>
      </c>
      <c r="C39" s="3461" t="s">
        <v>4336</v>
      </c>
      <c r="D39" s="3462"/>
      <c r="E39" s="3462"/>
      <c r="F39" s="3462"/>
      <c r="G39" s="3462"/>
      <c r="H39" s="3462"/>
      <c r="I39" s="3462"/>
      <c r="J39" s="3463"/>
      <c r="K39" s="1152"/>
      <c r="L39" s="1152"/>
      <c r="M39" s="1152"/>
      <c r="N39" s="1152"/>
      <c r="O39" s="1152"/>
      <c r="P39" s="1152"/>
      <c r="Q39" s="1152"/>
      <c r="R39" s="1152"/>
      <c r="S39" s="1152"/>
      <c r="T39" s="1152"/>
      <c r="U39" s="1152"/>
      <c r="V39" s="1152"/>
      <c r="W39" s="1152"/>
      <c r="X39" s="1152"/>
      <c r="Y39" s="1152"/>
      <c r="Z39" s="1152"/>
      <c r="AA39" s="1152"/>
      <c r="AB39" s="1152"/>
      <c r="AC39" s="1152"/>
      <c r="AD39" s="1152"/>
      <c r="AE39" s="1152"/>
      <c r="AF39" s="1152"/>
      <c r="AG39" s="1152"/>
      <c r="AH39" s="1152"/>
      <c r="AI39" s="1152"/>
      <c r="AJ39" s="1152"/>
      <c r="AK39" s="1152"/>
      <c r="AL39" s="1152"/>
      <c r="AM39" s="1152"/>
      <c r="AN39" s="1152"/>
      <c r="AO39" s="1152"/>
      <c r="AP39" s="1152"/>
      <c r="AQ39" s="1152"/>
      <c r="AR39" s="1152"/>
      <c r="AS39" s="1152"/>
      <c r="AT39" s="1152"/>
      <c r="AU39" s="1152"/>
      <c r="AV39" s="1152"/>
      <c r="AW39" s="1152"/>
      <c r="AX39" s="1152"/>
      <c r="AY39" s="1152"/>
      <c r="AZ39" s="1152"/>
      <c r="BA39" s="1152"/>
      <c r="BB39" s="1152"/>
      <c r="BC39" s="1152"/>
      <c r="BD39" s="1152"/>
      <c r="BE39" s="1152"/>
      <c r="BF39" s="1152"/>
      <c r="BG39" s="1152"/>
      <c r="BH39" s="1152"/>
      <c r="BI39" s="1152"/>
      <c r="BJ39" s="1152"/>
      <c r="BK39" s="1152"/>
      <c r="BL39" s="1152"/>
      <c r="BM39" s="1152"/>
      <c r="BN39" s="1152"/>
      <c r="BO39" s="1152"/>
      <c r="BP39" s="1152"/>
      <c r="BQ39" s="1152"/>
      <c r="BR39" s="1152"/>
      <c r="BS39" s="1152"/>
      <c r="BT39" s="1152"/>
      <c r="BU39" s="1152"/>
      <c r="BV39" s="1152"/>
      <c r="BW39" s="1152"/>
      <c r="BX39" s="1152"/>
      <c r="BY39" s="1152"/>
      <c r="BZ39" s="1152"/>
      <c r="CA39" s="1152"/>
      <c r="CB39" s="1152"/>
      <c r="CC39" s="1152"/>
      <c r="CD39" s="1152"/>
      <c r="CE39" s="1152"/>
      <c r="CF39" s="1152"/>
      <c r="CG39" s="1152"/>
      <c r="CH39" s="1152"/>
      <c r="CI39" s="1152"/>
      <c r="CJ39" s="1152"/>
    </row>
    <row r="40" spans="1:88" ht="96.75" hidden="1" customHeight="1">
      <c r="A40" s="1795"/>
      <c r="B40" s="1184">
        <f t="shared" ref="B40:B54" si="6">+B39+1</f>
        <v>2</v>
      </c>
      <c r="C40" s="3451" t="s">
        <v>4337</v>
      </c>
      <c r="D40" s="3452"/>
      <c r="E40" s="3452"/>
      <c r="F40" s="3452"/>
      <c r="G40" s="3452"/>
      <c r="H40" s="3452"/>
      <c r="I40" s="3452"/>
      <c r="J40" s="3453"/>
      <c r="K40" s="1152"/>
      <c r="L40" s="1152"/>
      <c r="M40" s="1152"/>
      <c r="N40" s="1152"/>
      <c r="O40" s="1152"/>
      <c r="P40" s="1152"/>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c r="BD40" s="1152"/>
      <c r="BE40" s="1152"/>
      <c r="BF40" s="1152"/>
      <c r="BG40" s="1152"/>
      <c r="BH40" s="1152"/>
      <c r="BI40" s="1152"/>
      <c r="BJ40" s="1152"/>
      <c r="BK40" s="1152"/>
      <c r="BL40" s="1152"/>
      <c r="BM40" s="1152"/>
      <c r="BN40" s="1152"/>
      <c r="BO40" s="1152"/>
      <c r="BP40" s="1152"/>
      <c r="BQ40" s="1152"/>
      <c r="BR40" s="1152"/>
      <c r="BS40" s="1152"/>
      <c r="BT40" s="1152"/>
      <c r="BU40" s="1152"/>
      <c r="BV40" s="1152"/>
      <c r="BW40" s="1152"/>
      <c r="BX40" s="1152"/>
      <c r="BY40" s="1152"/>
      <c r="BZ40" s="1152"/>
      <c r="CA40" s="1152"/>
      <c r="CB40" s="1152"/>
      <c r="CC40" s="1152"/>
      <c r="CD40" s="1152"/>
      <c r="CE40" s="1152"/>
      <c r="CF40" s="1152"/>
      <c r="CG40" s="1152"/>
      <c r="CH40" s="1152"/>
      <c r="CI40" s="1152"/>
      <c r="CJ40" s="1152"/>
    </row>
    <row r="41" spans="1:88" hidden="1">
      <c r="A41" s="1795"/>
      <c r="B41" s="1184">
        <f t="shared" si="6"/>
        <v>3</v>
      </c>
      <c r="C41" s="3451" t="s">
        <v>4338</v>
      </c>
      <c r="D41" s="3452"/>
      <c r="E41" s="3452"/>
      <c r="F41" s="3452"/>
      <c r="G41" s="3452"/>
      <c r="H41" s="3452"/>
      <c r="I41" s="3452"/>
      <c r="J41" s="3453"/>
      <c r="K41" s="1152"/>
      <c r="L41" s="1152"/>
      <c r="M41" s="1152"/>
      <c r="N41" s="1152"/>
      <c r="O41" s="1152"/>
      <c r="P41" s="1152"/>
      <c r="Q41" s="1152"/>
      <c r="R41" s="1152"/>
      <c r="S41" s="1152"/>
      <c r="T41" s="1152"/>
      <c r="U41" s="1152"/>
      <c r="V41" s="1152"/>
      <c r="W41" s="1152"/>
      <c r="X41" s="1152"/>
      <c r="Y41" s="1152"/>
      <c r="Z41" s="1152"/>
      <c r="AA41" s="1152"/>
      <c r="AB41" s="1152"/>
      <c r="AC41" s="1152"/>
      <c r="AD41" s="1152"/>
      <c r="AE41" s="1152"/>
      <c r="AF41" s="1152"/>
      <c r="AG41" s="1152"/>
      <c r="AH41" s="1152"/>
      <c r="AI41" s="1152"/>
      <c r="AJ41" s="1152"/>
      <c r="AK41" s="1152"/>
      <c r="AL41" s="1152"/>
      <c r="AM41" s="1152"/>
      <c r="AN41" s="1152"/>
      <c r="AO41" s="1152"/>
      <c r="AP41" s="1152"/>
      <c r="AQ41" s="1152"/>
      <c r="AR41" s="1152"/>
      <c r="AS41" s="1152"/>
      <c r="AT41" s="1152"/>
      <c r="AU41" s="1152"/>
      <c r="AV41" s="1152"/>
      <c r="AW41" s="1152"/>
      <c r="AX41" s="1152"/>
      <c r="AY41" s="1152"/>
      <c r="AZ41" s="1152"/>
      <c r="BA41" s="1152"/>
      <c r="BB41" s="1152"/>
      <c r="BC41" s="1152"/>
      <c r="BD41" s="1152"/>
      <c r="BE41" s="1152"/>
      <c r="BF41" s="1152"/>
      <c r="BG41" s="1152"/>
      <c r="BH41" s="1152"/>
      <c r="BI41" s="1152"/>
      <c r="BJ41" s="1152"/>
      <c r="BK41" s="1152"/>
      <c r="BL41" s="1152"/>
      <c r="BM41" s="1152"/>
      <c r="BN41" s="1152"/>
      <c r="BO41" s="1152"/>
      <c r="BP41" s="1152"/>
      <c r="BQ41" s="1152"/>
      <c r="BR41" s="1152"/>
      <c r="BS41" s="1152"/>
      <c r="BT41" s="1152"/>
      <c r="BU41" s="1152"/>
      <c r="BV41" s="1152"/>
      <c r="BW41" s="1152"/>
      <c r="BX41" s="1152"/>
      <c r="BY41" s="1152"/>
      <c r="BZ41" s="1152"/>
      <c r="CA41" s="1152"/>
      <c r="CB41" s="1152"/>
      <c r="CC41" s="1152"/>
      <c r="CD41" s="1152"/>
      <c r="CE41" s="1152"/>
      <c r="CF41" s="1152"/>
      <c r="CG41" s="1152"/>
      <c r="CH41" s="1152"/>
      <c r="CI41" s="1152"/>
      <c r="CJ41" s="1152"/>
    </row>
    <row r="42" spans="1:88" ht="25.5" hidden="1" customHeight="1">
      <c r="A42" s="1795"/>
      <c r="B42" s="1184">
        <f t="shared" si="6"/>
        <v>4</v>
      </c>
      <c r="C42" s="3451" t="s">
        <v>4339</v>
      </c>
      <c r="D42" s="3452"/>
      <c r="E42" s="3452"/>
      <c r="F42" s="3452"/>
      <c r="G42" s="3452"/>
      <c r="H42" s="3452"/>
      <c r="I42" s="3452"/>
      <c r="J42" s="3453"/>
      <c r="K42" s="1152"/>
      <c r="L42" s="1152"/>
      <c r="M42" s="1152"/>
      <c r="N42" s="1152"/>
      <c r="O42" s="1152"/>
      <c r="P42" s="1152"/>
      <c r="Q42" s="1152"/>
      <c r="R42" s="1152"/>
      <c r="S42" s="1152"/>
      <c r="T42" s="1152"/>
      <c r="U42" s="1152"/>
      <c r="V42" s="1152"/>
      <c r="W42" s="1152"/>
      <c r="X42" s="1152"/>
      <c r="Y42" s="1152"/>
      <c r="Z42" s="1152"/>
      <c r="AA42" s="1152"/>
      <c r="AB42" s="1152"/>
      <c r="AC42" s="1152"/>
      <c r="AD42" s="1152"/>
      <c r="AE42" s="1152"/>
      <c r="AF42" s="1152"/>
      <c r="AG42" s="1152"/>
      <c r="AH42" s="1152"/>
      <c r="AI42" s="1152"/>
      <c r="AJ42" s="1152"/>
      <c r="AK42" s="1152"/>
      <c r="AL42" s="1152"/>
      <c r="AM42" s="1152"/>
      <c r="AN42" s="1152"/>
      <c r="AO42" s="1152"/>
      <c r="AP42" s="1152"/>
      <c r="AQ42" s="1152"/>
      <c r="AR42" s="1152"/>
      <c r="AS42" s="1152"/>
      <c r="AT42" s="1152"/>
      <c r="AU42" s="1152"/>
      <c r="AV42" s="1152"/>
      <c r="AW42" s="1152"/>
      <c r="AX42" s="1152"/>
      <c r="AY42" s="1152"/>
      <c r="AZ42" s="1152"/>
      <c r="BA42" s="1152"/>
      <c r="BB42" s="1152"/>
      <c r="BC42" s="1152"/>
      <c r="BD42" s="1152"/>
      <c r="BE42" s="1152"/>
      <c r="BF42" s="1152"/>
      <c r="BG42" s="1152"/>
      <c r="BH42" s="1152"/>
      <c r="BI42" s="1152"/>
      <c r="BJ42" s="1152"/>
      <c r="BK42" s="1152"/>
      <c r="BL42" s="1152"/>
      <c r="BM42" s="1152"/>
      <c r="BN42" s="1152"/>
      <c r="BO42" s="1152"/>
      <c r="BP42" s="1152"/>
      <c r="BQ42" s="1152"/>
      <c r="BR42" s="1152"/>
      <c r="BS42" s="1152"/>
      <c r="BT42" s="1152"/>
      <c r="BU42" s="1152"/>
      <c r="BV42" s="1152"/>
      <c r="BW42" s="1152"/>
      <c r="BX42" s="1152"/>
      <c r="BY42" s="1152"/>
      <c r="BZ42" s="1152"/>
      <c r="CA42" s="1152"/>
      <c r="CB42" s="1152"/>
      <c r="CC42" s="1152"/>
      <c r="CD42" s="1152"/>
      <c r="CE42" s="1152"/>
      <c r="CF42" s="1152"/>
      <c r="CG42" s="1152"/>
      <c r="CH42" s="1152"/>
      <c r="CI42" s="1152"/>
      <c r="CJ42" s="1152"/>
    </row>
    <row r="43" spans="1:88" ht="29.25" hidden="1" customHeight="1">
      <c r="A43" s="1795"/>
      <c r="B43" s="1184">
        <f t="shared" si="6"/>
        <v>5</v>
      </c>
      <c r="C43" s="3451" t="s">
        <v>4340</v>
      </c>
      <c r="D43" s="3452"/>
      <c r="E43" s="3452"/>
      <c r="F43" s="3452"/>
      <c r="G43" s="3452"/>
      <c r="H43" s="3452"/>
      <c r="I43" s="3452"/>
      <c r="J43" s="3453"/>
      <c r="K43" s="1152"/>
      <c r="L43" s="1152"/>
      <c r="M43" s="1152"/>
      <c r="N43" s="1152"/>
      <c r="O43" s="1152"/>
      <c r="P43" s="1152"/>
      <c r="Q43" s="1152"/>
      <c r="R43" s="1152"/>
      <c r="S43" s="1152"/>
      <c r="T43" s="1152"/>
      <c r="U43" s="1152"/>
      <c r="V43" s="1152"/>
      <c r="W43" s="1152"/>
      <c r="X43" s="1152"/>
      <c r="Y43" s="1152"/>
      <c r="Z43" s="1152"/>
      <c r="AA43" s="1152"/>
      <c r="AB43" s="1152"/>
      <c r="AC43" s="1152"/>
      <c r="AD43" s="1152"/>
      <c r="AE43" s="1152"/>
      <c r="AF43" s="1152"/>
      <c r="AG43" s="1152"/>
      <c r="AH43" s="1152"/>
      <c r="AI43" s="1152"/>
      <c r="AJ43" s="1152"/>
      <c r="AK43" s="1152"/>
      <c r="AL43" s="1152"/>
      <c r="AM43" s="1152"/>
      <c r="AN43" s="1152"/>
      <c r="AO43" s="1152"/>
      <c r="AP43" s="1152"/>
      <c r="AQ43" s="1152"/>
      <c r="AR43" s="1152"/>
      <c r="AS43" s="1152"/>
      <c r="AT43" s="1152"/>
      <c r="AU43" s="1152"/>
      <c r="AV43" s="1152"/>
      <c r="AW43" s="1152"/>
      <c r="AX43" s="1152"/>
      <c r="AY43" s="1152"/>
      <c r="AZ43" s="1152"/>
      <c r="BA43" s="1152"/>
      <c r="BB43" s="1152"/>
      <c r="BC43" s="1152"/>
      <c r="BD43" s="1152"/>
      <c r="BE43" s="1152"/>
      <c r="BF43" s="1152"/>
      <c r="BG43" s="1152"/>
      <c r="BH43" s="1152"/>
      <c r="BI43" s="1152"/>
      <c r="BJ43" s="1152"/>
      <c r="BK43" s="1152"/>
      <c r="BL43" s="1152"/>
      <c r="BM43" s="1152"/>
      <c r="BN43" s="1152"/>
      <c r="BO43" s="1152"/>
      <c r="BP43" s="1152"/>
      <c r="BQ43" s="1152"/>
      <c r="BR43" s="1152"/>
      <c r="BS43" s="1152"/>
      <c r="BT43" s="1152"/>
      <c r="BU43" s="1152"/>
      <c r="BV43" s="1152"/>
      <c r="BW43" s="1152"/>
      <c r="BX43" s="1152"/>
      <c r="BY43" s="1152"/>
      <c r="BZ43" s="1152"/>
      <c r="CA43" s="1152"/>
      <c r="CB43" s="1152"/>
      <c r="CC43" s="1152"/>
      <c r="CD43" s="1152"/>
      <c r="CE43" s="1152"/>
      <c r="CF43" s="1152"/>
      <c r="CG43" s="1152"/>
      <c r="CH43" s="1152"/>
      <c r="CI43" s="1152"/>
      <c r="CJ43" s="1152"/>
    </row>
    <row r="44" spans="1:88" ht="25.15" hidden="1" customHeight="1">
      <c r="A44" s="1795"/>
      <c r="B44" s="1184">
        <f t="shared" si="6"/>
        <v>6</v>
      </c>
      <c r="C44" s="3451" t="s">
        <v>4341</v>
      </c>
      <c r="D44" s="3452"/>
      <c r="E44" s="3452"/>
      <c r="F44" s="3452"/>
      <c r="G44" s="3452"/>
      <c r="H44" s="3452"/>
      <c r="I44" s="3452"/>
      <c r="J44" s="3453"/>
      <c r="K44" s="1152"/>
      <c r="L44" s="1152"/>
      <c r="M44" s="1152"/>
      <c r="N44" s="1152"/>
      <c r="O44" s="1152"/>
      <c r="P44" s="1152"/>
      <c r="Q44" s="1152"/>
      <c r="R44" s="1152"/>
      <c r="S44" s="1152"/>
      <c r="T44" s="1152"/>
      <c r="U44" s="1152"/>
      <c r="V44" s="1152"/>
      <c r="W44" s="1152"/>
      <c r="X44" s="1152"/>
      <c r="Y44" s="1152"/>
      <c r="Z44" s="1152"/>
      <c r="AA44" s="1152"/>
      <c r="AB44" s="1152"/>
      <c r="AC44" s="1152"/>
      <c r="AD44" s="1152"/>
      <c r="AE44" s="1152"/>
      <c r="AF44" s="1152"/>
      <c r="AG44" s="1152"/>
      <c r="AH44" s="1152"/>
      <c r="AI44" s="1152"/>
      <c r="AJ44" s="1152"/>
      <c r="AK44" s="1152"/>
      <c r="AL44" s="1152"/>
      <c r="AM44" s="1152"/>
      <c r="AN44" s="1152"/>
      <c r="AO44" s="1152"/>
      <c r="AP44" s="1152"/>
      <c r="AQ44" s="1152"/>
      <c r="AR44" s="1152"/>
      <c r="AS44" s="1152"/>
      <c r="AT44" s="1152"/>
      <c r="AU44" s="1152"/>
      <c r="AV44" s="1152"/>
      <c r="AW44" s="1152"/>
      <c r="AX44" s="1152"/>
      <c r="AY44" s="1152"/>
      <c r="AZ44" s="1152"/>
      <c r="BA44" s="1152"/>
      <c r="BB44" s="1152"/>
      <c r="BC44" s="1152"/>
      <c r="BD44" s="1152"/>
      <c r="BE44" s="1152"/>
      <c r="BF44" s="1152"/>
      <c r="BG44" s="1152"/>
      <c r="BH44" s="1152"/>
      <c r="BI44" s="1152"/>
      <c r="BJ44" s="1152"/>
      <c r="BK44" s="1152"/>
      <c r="BL44" s="1152"/>
      <c r="BM44" s="1152"/>
      <c r="BN44" s="1152"/>
      <c r="BO44" s="1152"/>
      <c r="BP44" s="1152"/>
      <c r="BQ44" s="1152"/>
      <c r="BR44" s="1152"/>
      <c r="BS44" s="1152"/>
      <c r="BT44" s="1152"/>
      <c r="BU44" s="1152"/>
      <c r="BV44" s="1152"/>
      <c r="BW44" s="1152"/>
      <c r="BX44" s="1152"/>
      <c r="BY44" s="1152"/>
      <c r="BZ44" s="1152"/>
      <c r="CA44" s="1152"/>
      <c r="CB44" s="1152"/>
      <c r="CC44" s="1152"/>
      <c r="CD44" s="1152"/>
      <c r="CE44" s="1152"/>
      <c r="CF44" s="1152"/>
      <c r="CG44" s="1152"/>
      <c r="CH44" s="1152"/>
      <c r="CI44" s="1152"/>
      <c r="CJ44" s="1152"/>
    </row>
    <row r="45" spans="1:88" ht="27.75" hidden="1" customHeight="1">
      <c r="A45" s="1795"/>
      <c r="B45" s="1184">
        <f t="shared" si="6"/>
        <v>7</v>
      </c>
      <c r="C45" s="3451" t="s">
        <v>4342</v>
      </c>
      <c r="D45" s="3452"/>
      <c r="E45" s="3452"/>
      <c r="F45" s="3452"/>
      <c r="G45" s="3452"/>
      <c r="H45" s="3452"/>
      <c r="I45" s="3452"/>
      <c r="J45" s="3453"/>
    </row>
    <row r="46" spans="1:88" ht="27.75" hidden="1" customHeight="1">
      <c r="A46" s="1795"/>
      <c r="B46" s="1184">
        <f t="shared" si="6"/>
        <v>8</v>
      </c>
      <c r="C46" s="3451" t="s">
        <v>4343</v>
      </c>
      <c r="D46" s="3452"/>
      <c r="E46" s="3452"/>
      <c r="F46" s="3452"/>
      <c r="G46" s="3452"/>
      <c r="H46" s="3452"/>
      <c r="I46" s="3452"/>
      <c r="J46" s="3453"/>
    </row>
    <row r="47" spans="1:88" ht="30.75" hidden="1" customHeight="1">
      <c r="A47" s="1795"/>
      <c r="B47" s="1184">
        <f t="shared" si="6"/>
        <v>9</v>
      </c>
      <c r="C47" s="3451" t="s">
        <v>4344</v>
      </c>
      <c r="D47" s="3452"/>
      <c r="E47" s="3452"/>
      <c r="F47" s="3452"/>
      <c r="G47" s="3452"/>
      <c r="H47" s="3452"/>
      <c r="I47" s="3452"/>
      <c r="J47" s="3453"/>
    </row>
    <row r="48" spans="1:88" ht="21.75" hidden="1" customHeight="1">
      <c r="A48" s="1795"/>
      <c r="B48" s="1184">
        <f t="shared" si="6"/>
        <v>10</v>
      </c>
      <c r="C48" s="3451" t="s">
        <v>4345</v>
      </c>
      <c r="D48" s="3452"/>
      <c r="E48" s="3452"/>
      <c r="F48" s="3452"/>
      <c r="G48" s="3452"/>
      <c r="H48" s="3452"/>
      <c r="I48" s="3452"/>
      <c r="J48" s="3453"/>
    </row>
    <row r="49" spans="1:88" ht="18" hidden="1" customHeight="1">
      <c r="A49" s="1795"/>
      <c r="B49" s="1184">
        <f t="shared" si="6"/>
        <v>11</v>
      </c>
      <c r="C49" s="3451" t="s">
        <v>12804</v>
      </c>
      <c r="D49" s="3452"/>
      <c r="E49" s="3452"/>
      <c r="F49" s="3452"/>
      <c r="G49" s="3452"/>
      <c r="H49" s="3452"/>
      <c r="I49" s="3452"/>
      <c r="J49" s="3453"/>
    </row>
    <row r="50" spans="1:88" ht="14.25" hidden="1" customHeight="1">
      <c r="A50" s="1795"/>
      <c r="B50" s="1184">
        <f t="shared" si="6"/>
        <v>12</v>
      </c>
      <c r="C50" s="3451" t="s">
        <v>12805</v>
      </c>
      <c r="D50" s="3452"/>
      <c r="E50" s="3452"/>
      <c r="F50" s="3452"/>
      <c r="G50" s="3452"/>
      <c r="H50" s="3452"/>
      <c r="I50" s="3452"/>
      <c r="J50" s="3453"/>
      <c r="K50" s="1152"/>
      <c r="L50" s="1152"/>
      <c r="M50" s="1152"/>
      <c r="N50" s="1152"/>
      <c r="O50" s="1152"/>
      <c r="P50" s="1152"/>
      <c r="Q50" s="1152"/>
      <c r="R50" s="1152"/>
      <c r="S50" s="1152"/>
      <c r="T50" s="1152"/>
      <c r="U50" s="1152"/>
      <c r="V50" s="1152"/>
      <c r="W50" s="1152"/>
      <c r="X50" s="1152"/>
      <c r="Y50" s="1152"/>
      <c r="Z50" s="1152"/>
      <c r="AA50" s="1152"/>
      <c r="AB50" s="1152"/>
      <c r="AC50" s="1152"/>
      <c r="AD50" s="1152"/>
      <c r="AE50" s="1152"/>
      <c r="AF50" s="1152"/>
      <c r="AG50" s="1152"/>
      <c r="AH50" s="1152"/>
      <c r="AI50" s="1152"/>
      <c r="AJ50" s="1152"/>
      <c r="AK50" s="1152"/>
      <c r="AL50" s="1152"/>
      <c r="AM50" s="1152"/>
      <c r="AN50" s="1152"/>
      <c r="AO50" s="1152"/>
      <c r="AP50" s="1152"/>
      <c r="AQ50" s="1152"/>
      <c r="AR50" s="1152"/>
      <c r="AS50" s="1152"/>
      <c r="AT50" s="1152"/>
      <c r="AU50" s="1152"/>
      <c r="AV50" s="1152"/>
      <c r="AW50" s="1152"/>
      <c r="AX50" s="1152"/>
      <c r="AY50" s="1152"/>
      <c r="AZ50" s="1152"/>
      <c r="BA50" s="1152"/>
      <c r="BB50" s="1152"/>
      <c r="BC50" s="1152"/>
      <c r="BD50" s="1152"/>
      <c r="BE50" s="1152"/>
      <c r="BF50" s="1152"/>
      <c r="BG50" s="1152"/>
      <c r="BH50" s="1152"/>
      <c r="BI50" s="1152"/>
      <c r="BJ50" s="1152"/>
      <c r="BK50" s="1152"/>
      <c r="BL50" s="1152"/>
      <c r="BM50" s="1152"/>
      <c r="BN50" s="1152"/>
      <c r="BO50" s="1152"/>
      <c r="BP50" s="1152"/>
      <c r="BQ50" s="1152"/>
      <c r="BR50" s="1152"/>
      <c r="BS50" s="1152"/>
      <c r="BT50" s="1152"/>
      <c r="BU50" s="1152"/>
      <c r="BV50" s="1152"/>
      <c r="BW50" s="1152"/>
      <c r="BX50" s="1152"/>
      <c r="BY50" s="1152"/>
      <c r="BZ50" s="1152"/>
      <c r="CA50" s="1152"/>
      <c r="CB50" s="1152"/>
      <c r="CC50" s="1152"/>
      <c r="CD50" s="1152"/>
      <c r="CE50" s="1152"/>
      <c r="CF50" s="1152"/>
      <c r="CG50" s="1152"/>
      <c r="CH50" s="1152"/>
      <c r="CI50" s="1152"/>
      <c r="CJ50" s="1152"/>
    </row>
    <row r="51" spans="1:88" ht="23.25" hidden="1" customHeight="1">
      <c r="A51" s="1795"/>
      <c r="B51" s="1184">
        <f t="shared" si="6"/>
        <v>13</v>
      </c>
      <c r="C51" s="3451" t="s">
        <v>12806</v>
      </c>
      <c r="D51" s="3452"/>
      <c r="E51" s="3452"/>
      <c r="F51" s="3452"/>
      <c r="G51" s="3452"/>
      <c r="H51" s="3452"/>
      <c r="I51" s="3452"/>
      <c r="J51" s="3453"/>
      <c r="K51" s="1152"/>
      <c r="L51" s="1152"/>
      <c r="M51" s="1152"/>
      <c r="N51" s="1152"/>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2"/>
      <c r="AK51" s="1152"/>
      <c r="AL51" s="1152"/>
      <c r="AM51" s="1152"/>
      <c r="AN51" s="1152"/>
      <c r="AO51" s="1152"/>
      <c r="AP51" s="1152"/>
      <c r="AQ51" s="1152"/>
      <c r="AR51" s="1152"/>
      <c r="AS51" s="1152"/>
      <c r="AT51" s="1152"/>
      <c r="AU51" s="1152"/>
      <c r="AV51" s="1152"/>
      <c r="AW51" s="1152"/>
      <c r="AX51" s="1152"/>
      <c r="AY51" s="1152"/>
      <c r="AZ51" s="1152"/>
      <c r="BA51" s="1152"/>
      <c r="BB51" s="1152"/>
      <c r="BC51" s="1152"/>
      <c r="BD51" s="1152"/>
      <c r="BE51" s="1152"/>
      <c r="BF51" s="1152"/>
      <c r="BG51" s="1152"/>
      <c r="BH51" s="1152"/>
      <c r="BI51" s="1152"/>
      <c r="BJ51" s="1152"/>
      <c r="BK51" s="1152"/>
      <c r="BL51" s="1152"/>
      <c r="BM51" s="1152"/>
      <c r="BN51" s="1152"/>
      <c r="BO51" s="1152"/>
      <c r="BP51" s="1152"/>
      <c r="BQ51" s="1152"/>
      <c r="BR51" s="1152"/>
      <c r="BS51" s="1152"/>
      <c r="BT51" s="1152"/>
      <c r="BU51" s="1152"/>
      <c r="BV51" s="1152"/>
      <c r="BW51" s="1152"/>
      <c r="BX51" s="1152"/>
      <c r="BY51" s="1152"/>
      <c r="BZ51" s="1152"/>
      <c r="CA51" s="1152"/>
      <c r="CB51" s="1152"/>
      <c r="CC51" s="1152"/>
      <c r="CD51" s="1152"/>
      <c r="CE51" s="1152"/>
      <c r="CF51" s="1152"/>
      <c r="CG51" s="1152"/>
      <c r="CH51" s="1152"/>
      <c r="CI51" s="1152"/>
      <c r="CJ51" s="1152"/>
    </row>
    <row r="52" spans="1:88" ht="14.65" hidden="1" customHeight="1">
      <c r="A52" s="1795"/>
      <c r="B52" s="1184">
        <f t="shared" si="6"/>
        <v>14</v>
      </c>
      <c r="C52" s="3451" t="s">
        <v>12807</v>
      </c>
      <c r="D52" s="3452"/>
      <c r="E52" s="3452"/>
      <c r="F52" s="3452"/>
      <c r="G52" s="3452"/>
      <c r="H52" s="3452"/>
      <c r="I52" s="3452"/>
      <c r="J52" s="3453"/>
      <c r="K52" s="1152"/>
      <c r="L52" s="1152"/>
      <c r="M52" s="1152"/>
      <c r="N52" s="1152"/>
      <c r="O52" s="1152"/>
      <c r="P52" s="1152"/>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2"/>
      <c r="AL52" s="1152"/>
      <c r="AM52" s="1152"/>
      <c r="AN52" s="1152"/>
      <c r="AO52" s="1152"/>
      <c r="AP52" s="1152"/>
      <c r="AQ52" s="1152"/>
      <c r="AR52" s="1152"/>
      <c r="AS52" s="1152"/>
      <c r="AT52" s="1152"/>
      <c r="AU52" s="1152"/>
      <c r="AV52" s="1152"/>
      <c r="AW52" s="1152"/>
      <c r="AX52" s="1152"/>
      <c r="AY52" s="1152"/>
      <c r="AZ52" s="1152"/>
      <c r="BA52" s="1152"/>
      <c r="BB52" s="1152"/>
      <c r="BC52" s="1152"/>
      <c r="BD52" s="1152"/>
      <c r="BE52" s="1152"/>
      <c r="BF52" s="1152"/>
      <c r="BG52" s="1152"/>
      <c r="BH52" s="1152"/>
      <c r="BI52" s="1152"/>
      <c r="BJ52" s="1152"/>
      <c r="BK52" s="1152"/>
      <c r="BL52" s="1152"/>
      <c r="BM52" s="1152"/>
      <c r="BN52" s="1152"/>
      <c r="BO52" s="1152"/>
      <c r="BP52" s="1152"/>
      <c r="BQ52" s="1152"/>
      <c r="BR52" s="1152"/>
      <c r="BS52" s="1152"/>
      <c r="BT52" s="1152"/>
      <c r="BU52" s="1152"/>
      <c r="BV52" s="1152"/>
      <c r="BW52" s="1152"/>
      <c r="BX52" s="1152"/>
      <c r="BY52" s="1152"/>
      <c r="BZ52" s="1152"/>
      <c r="CA52" s="1152"/>
      <c r="CB52" s="1152"/>
      <c r="CC52" s="1152"/>
      <c r="CD52" s="1152"/>
      <c r="CE52" s="1152"/>
      <c r="CF52" s="1152"/>
      <c r="CG52" s="1152"/>
      <c r="CH52" s="1152"/>
      <c r="CI52" s="1152"/>
      <c r="CJ52" s="1152"/>
    </row>
    <row r="53" spans="1:88" ht="27" hidden="1" customHeight="1">
      <c r="A53" s="1795"/>
      <c r="B53" s="1184">
        <f t="shared" si="6"/>
        <v>15</v>
      </c>
      <c r="C53" s="3464" t="s">
        <v>12808</v>
      </c>
      <c r="D53" s="3465"/>
      <c r="E53" s="3465"/>
      <c r="F53" s="3465"/>
      <c r="G53" s="3465"/>
      <c r="H53" s="3465"/>
      <c r="I53" s="3465"/>
      <c r="J53" s="3466"/>
      <c r="K53" s="1152"/>
      <c r="L53" s="1152"/>
      <c r="M53" s="1152"/>
      <c r="N53" s="1152"/>
      <c r="O53" s="1152"/>
      <c r="P53" s="1152"/>
      <c r="Q53" s="1152"/>
      <c r="R53" s="1152"/>
      <c r="S53" s="1152"/>
      <c r="T53" s="1152"/>
      <c r="U53" s="1152"/>
      <c r="V53" s="1152"/>
      <c r="W53" s="1152"/>
      <c r="X53" s="1152"/>
      <c r="Y53" s="1152"/>
      <c r="Z53" s="1152"/>
      <c r="AA53" s="1152"/>
      <c r="AB53" s="1152"/>
      <c r="AC53" s="1152"/>
      <c r="AD53" s="1152"/>
      <c r="AE53" s="1152"/>
      <c r="AF53" s="1152"/>
      <c r="AG53" s="1152"/>
      <c r="AH53" s="1152"/>
      <c r="AI53" s="1152"/>
      <c r="AJ53" s="1152"/>
      <c r="AK53" s="1152"/>
      <c r="AL53" s="1152"/>
      <c r="AM53" s="1152"/>
      <c r="AN53" s="1152"/>
      <c r="AO53" s="1152"/>
      <c r="AP53" s="1152"/>
      <c r="AQ53" s="1152"/>
      <c r="AR53" s="1152"/>
      <c r="AS53" s="1152"/>
      <c r="AT53" s="1152"/>
      <c r="AU53" s="1152"/>
      <c r="AV53" s="1152"/>
      <c r="AW53" s="1152"/>
      <c r="AX53" s="1152"/>
      <c r="AY53" s="1152"/>
      <c r="AZ53" s="1152"/>
      <c r="BA53" s="1152"/>
      <c r="BB53" s="1152"/>
      <c r="BC53" s="1152"/>
      <c r="BD53" s="1152"/>
      <c r="BE53" s="1152"/>
      <c r="BF53" s="1152"/>
      <c r="BG53" s="1152"/>
      <c r="BH53" s="1152"/>
      <c r="BI53" s="1152"/>
      <c r="BJ53" s="1152"/>
      <c r="BK53" s="1152"/>
      <c r="BL53" s="1152"/>
      <c r="BM53" s="1152"/>
      <c r="BN53" s="1152"/>
      <c r="BO53" s="1152"/>
      <c r="BP53" s="1152"/>
      <c r="BQ53" s="1152"/>
      <c r="BR53" s="1152"/>
      <c r="BS53" s="1152"/>
      <c r="BT53" s="1152"/>
      <c r="BU53" s="1152"/>
      <c r="BV53" s="1152"/>
      <c r="BW53" s="1152"/>
      <c r="BX53" s="1152"/>
      <c r="BY53" s="1152"/>
      <c r="BZ53" s="1152"/>
      <c r="CA53" s="1152"/>
      <c r="CB53" s="1152"/>
      <c r="CC53" s="1152"/>
      <c r="CD53" s="1152"/>
      <c r="CE53" s="1152"/>
      <c r="CF53" s="1152"/>
      <c r="CG53" s="1152"/>
      <c r="CH53" s="1152"/>
      <c r="CI53" s="1152"/>
      <c r="CJ53" s="1152"/>
    </row>
    <row r="54" spans="1:88" ht="15" hidden="1" thickBot="1">
      <c r="A54" s="1795"/>
      <c r="B54" s="1185">
        <f t="shared" si="6"/>
        <v>16</v>
      </c>
      <c r="C54" s="3620" t="s">
        <v>12809</v>
      </c>
      <c r="D54" s="3621"/>
      <c r="E54" s="3621"/>
      <c r="F54" s="3621"/>
      <c r="G54" s="3621"/>
      <c r="H54" s="3621"/>
      <c r="I54" s="3621"/>
      <c r="J54" s="3622"/>
      <c r="K54" s="1152"/>
      <c r="L54" s="1152"/>
      <c r="M54" s="1152"/>
      <c r="N54" s="1152"/>
      <c r="O54" s="1152"/>
      <c r="P54" s="1152"/>
      <c r="Q54" s="1152"/>
      <c r="R54" s="1152"/>
      <c r="S54" s="1152"/>
      <c r="T54" s="1152"/>
      <c r="U54" s="1152"/>
      <c r="V54" s="1152"/>
      <c r="W54" s="1152"/>
      <c r="X54" s="1152"/>
      <c r="Y54" s="1152"/>
      <c r="Z54" s="1152"/>
      <c r="AA54" s="1152"/>
      <c r="AB54" s="1152"/>
      <c r="AC54" s="1152"/>
      <c r="AD54" s="1152"/>
      <c r="AE54" s="1152"/>
      <c r="AF54" s="1152"/>
      <c r="AG54" s="1152"/>
      <c r="AH54" s="1152"/>
      <c r="AI54" s="1152"/>
      <c r="AJ54" s="1152"/>
      <c r="AK54" s="1152"/>
      <c r="AL54" s="1152"/>
      <c r="AM54" s="1152"/>
      <c r="AN54" s="1152"/>
      <c r="AO54" s="1152"/>
      <c r="AP54" s="1152"/>
      <c r="AQ54" s="1152"/>
      <c r="AR54" s="1152"/>
      <c r="AS54" s="1152"/>
      <c r="AT54" s="1152"/>
      <c r="AU54" s="1152"/>
      <c r="AV54" s="1152"/>
      <c r="AW54" s="1152"/>
      <c r="AX54" s="1152"/>
      <c r="AY54" s="1152"/>
      <c r="AZ54" s="1152"/>
      <c r="BA54" s="1152"/>
      <c r="BB54" s="1152"/>
      <c r="BC54" s="1152"/>
      <c r="BD54" s="1152"/>
      <c r="BE54" s="1152"/>
      <c r="BF54" s="1152"/>
      <c r="BG54" s="1152"/>
      <c r="BH54" s="1152"/>
      <c r="BI54" s="1152"/>
      <c r="BJ54" s="1152"/>
      <c r="BK54" s="1152"/>
      <c r="BL54" s="1152"/>
      <c r="BM54" s="1152"/>
      <c r="BN54" s="1152"/>
      <c r="BO54" s="1152"/>
      <c r="BP54" s="1152"/>
      <c r="BQ54" s="1152"/>
      <c r="BR54" s="1152"/>
      <c r="BS54" s="1152"/>
      <c r="BT54" s="1152"/>
      <c r="BU54" s="1152"/>
      <c r="BV54" s="1152"/>
      <c r="BW54" s="1152"/>
      <c r="BX54" s="1152"/>
      <c r="BY54" s="1152"/>
      <c r="BZ54" s="1152"/>
      <c r="CA54" s="1152"/>
      <c r="CB54" s="1152"/>
      <c r="CC54" s="1152"/>
      <c r="CD54" s="1152"/>
      <c r="CE54" s="1152"/>
      <c r="CF54" s="1152"/>
      <c r="CG54" s="1152"/>
      <c r="CH54" s="1152"/>
      <c r="CI54" s="1152"/>
      <c r="CJ54" s="1152"/>
    </row>
    <row r="55" spans="1:88" hidden="1">
      <c r="A55" s="1152"/>
      <c r="B55" s="1155"/>
      <c r="C55" s="1155"/>
      <c r="D55" s="1155"/>
      <c r="E55" s="1155"/>
      <c r="F55" s="1155"/>
      <c r="G55" s="1155"/>
      <c r="H55" s="1155"/>
      <c r="I55" s="1152"/>
      <c r="J55" s="1152"/>
      <c r="K55" s="1152"/>
      <c r="L55" s="1152"/>
      <c r="M55" s="1152"/>
      <c r="N55" s="1152"/>
      <c r="O55" s="1152"/>
      <c r="P55" s="1152"/>
      <c r="Q55" s="1152"/>
      <c r="R55" s="1152"/>
      <c r="S55" s="1152"/>
      <c r="T55" s="1152"/>
      <c r="U55" s="1152"/>
      <c r="V55" s="1152"/>
      <c r="W55" s="1152"/>
      <c r="X55" s="1152"/>
      <c r="Y55" s="1152"/>
      <c r="Z55" s="1152"/>
      <c r="AA55" s="1152"/>
      <c r="AB55" s="1152"/>
      <c r="AC55" s="1152"/>
      <c r="AD55" s="1152"/>
      <c r="AE55" s="1152"/>
      <c r="AF55" s="1152"/>
      <c r="AG55" s="1152"/>
      <c r="AH55" s="1152"/>
      <c r="AI55" s="1152"/>
      <c r="AJ55" s="1152"/>
      <c r="AK55" s="1152"/>
      <c r="AL55" s="1152"/>
      <c r="AM55" s="1152"/>
      <c r="AN55" s="1152"/>
      <c r="AO55" s="1152"/>
      <c r="AP55" s="1152"/>
      <c r="AQ55" s="1152"/>
      <c r="AR55" s="1152"/>
      <c r="AS55" s="1152"/>
      <c r="AT55" s="1152"/>
      <c r="AU55" s="1152"/>
      <c r="AV55" s="1152"/>
      <c r="AW55" s="1152"/>
      <c r="AX55" s="1152"/>
      <c r="AY55" s="1152"/>
      <c r="AZ55" s="1152"/>
      <c r="BA55" s="1152"/>
      <c r="BB55" s="1152"/>
      <c r="BC55" s="1152"/>
      <c r="BD55" s="1152"/>
      <c r="BE55" s="1152"/>
      <c r="BF55" s="1152"/>
      <c r="BG55" s="1152"/>
      <c r="BH55" s="1152"/>
      <c r="BI55" s="1152"/>
      <c r="BJ55" s="1152"/>
      <c r="BK55" s="1152"/>
      <c r="BL55" s="1152"/>
      <c r="BM55" s="1152"/>
      <c r="BN55" s="1152"/>
      <c r="BO55" s="1152"/>
      <c r="BP55" s="1152"/>
      <c r="BQ55" s="1152"/>
      <c r="BR55" s="1152"/>
      <c r="BS55" s="1152"/>
      <c r="BT55" s="1152"/>
      <c r="BU55" s="1152"/>
      <c r="BV55" s="1152"/>
      <c r="BW55" s="1152"/>
      <c r="BX55" s="1152"/>
      <c r="BY55" s="1152"/>
      <c r="BZ55" s="1152"/>
      <c r="CA55" s="1152"/>
      <c r="CB55" s="1152"/>
      <c r="CC55" s="1152"/>
      <c r="CD55" s="1152"/>
      <c r="CE55" s="1152"/>
      <c r="CF55" s="1152"/>
      <c r="CG55" s="1152"/>
      <c r="CH55" s="1152"/>
      <c r="CI55" s="1152"/>
      <c r="CJ55" s="1152"/>
    </row>
    <row r="56" spans="1:88">
      <c r="A56" s="1152"/>
      <c r="B56" s="2009" t="s">
        <v>4089</v>
      </c>
      <c r="C56" s="1182"/>
      <c r="D56" s="1182"/>
      <c r="E56" s="1182"/>
      <c r="F56" s="1155"/>
      <c r="G56" s="1155"/>
      <c r="H56" s="1155"/>
      <c r="I56" s="1152"/>
      <c r="J56" s="1152"/>
      <c r="K56" s="1152"/>
      <c r="L56" s="1152"/>
      <c r="M56" s="1152"/>
      <c r="N56" s="1152"/>
      <c r="O56" s="1152"/>
      <c r="P56" s="1152"/>
      <c r="Q56" s="1152"/>
      <c r="R56" s="1152"/>
      <c r="S56" s="1152"/>
      <c r="T56" s="1152"/>
      <c r="U56" s="1152"/>
      <c r="V56" s="1152"/>
      <c r="W56" s="1152"/>
      <c r="X56" s="1152"/>
      <c r="Y56" s="1152"/>
      <c r="Z56" s="1152"/>
      <c r="AA56" s="1152"/>
      <c r="AB56" s="1152"/>
      <c r="AC56" s="1152"/>
      <c r="AD56" s="1152"/>
      <c r="AE56" s="1152"/>
      <c r="AF56" s="1152"/>
      <c r="AG56" s="1152"/>
      <c r="AH56" s="1152"/>
      <c r="AI56" s="1152"/>
      <c r="AJ56" s="1152"/>
      <c r="AK56" s="1152"/>
      <c r="AL56" s="1152"/>
      <c r="AM56" s="1152"/>
      <c r="AN56" s="1152"/>
      <c r="AO56" s="1152"/>
      <c r="AP56" s="1152"/>
      <c r="AQ56" s="1152"/>
      <c r="AR56" s="1152"/>
      <c r="AS56" s="1152"/>
      <c r="AT56" s="1152"/>
      <c r="AU56" s="1152"/>
      <c r="AV56" s="1152"/>
      <c r="AW56" s="1152"/>
      <c r="AX56" s="1152"/>
      <c r="AY56" s="1152"/>
      <c r="AZ56" s="1152"/>
      <c r="BA56" s="1152"/>
      <c r="BB56" s="1152"/>
      <c r="BC56" s="1152"/>
      <c r="BD56" s="1152"/>
      <c r="BE56" s="1152"/>
      <c r="BF56" s="1152"/>
      <c r="BG56" s="1152"/>
      <c r="BH56" s="1152"/>
      <c r="BI56" s="1152"/>
      <c r="BJ56" s="1152"/>
      <c r="BK56" s="1152"/>
      <c r="BL56" s="1152"/>
      <c r="BM56" s="1152"/>
      <c r="BN56" s="1152"/>
      <c r="BO56" s="1152"/>
      <c r="BP56" s="1152"/>
      <c r="BQ56" s="1152"/>
      <c r="BR56" s="1152"/>
      <c r="BS56" s="1152"/>
      <c r="BT56" s="1152"/>
      <c r="BU56" s="1152"/>
      <c r="BV56" s="1152"/>
      <c r="BW56" s="1152"/>
      <c r="BX56" s="1152"/>
      <c r="BY56" s="1152"/>
      <c r="BZ56" s="1152"/>
      <c r="CA56" s="1152"/>
      <c r="CB56" s="1152"/>
      <c r="CC56" s="1152"/>
      <c r="CD56" s="1152"/>
      <c r="CE56" s="1152"/>
      <c r="CF56" s="1152"/>
      <c r="CG56" s="1152"/>
      <c r="CH56" s="1152"/>
      <c r="CI56" s="1152"/>
      <c r="CJ56" s="1152"/>
    </row>
    <row r="57" spans="1:88" ht="15" thickBot="1">
      <c r="A57" s="1152"/>
      <c r="B57" s="1182"/>
      <c r="C57" s="1182"/>
      <c r="D57" s="1182"/>
      <c r="E57" s="1182"/>
      <c r="F57" s="1155"/>
      <c r="G57" s="1155"/>
      <c r="H57" s="1155"/>
      <c r="I57" s="1152"/>
      <c r="J57" s="1152"/>
      <c r="K57" s="1152"/>
      <c r="L57" s="1152"/>
      <c r="M57" s="1152"/>
      <c r="N57" s="1152"/>
      <c r="O57" s="1152"/>
      <c r="P57" s="1152"/>
      <c r="Q57" s="1152"/>
      <c r="R57" s="1152"/>
      <c r="S57" s="1152"/>
      <c r="T57" s="1152"/>
      <c r="U57" s="1152"/>
      <c r="V57" s="1152"/>
      <c r="W57" s="1152"/>
      <c r="X57" s="1152"/>
      <c r="Y57" s="1152"/>
      <c r="Z57" s="1152"/>
      <c r="AA57" s="1152"/>
      <c r="AB57" s="1152"/>
      <c r="AC57" s="1152"/>
      <c r="AD57" s="1152"/>
      <c r="AE57" s="1152"/>
      <c r="AF57" s="1152"/>
      <c r="AG57" s="1152"/>
      <c r="AH57" s="1152"/>
      <c r="AI57" s="1152"/>
      <c r="AJ57" s="1152"/>
      <c r="AK57" s="1152"/>
      <c r="AL57" s="1152"/>
      <c r="AM57" s="1152"/>
      <c r="AN57" s="1152"/>
      <c r="AO57" s="1152"/>
      <c r="AP57" s="1152"/>
      <c r="AQ57" s="1152"/>
      <c r="AR57" s="1152"/>
      <c r="AS57" s="1152"/>
      <c r="AT57" s="1152"/>
      <c r="AU57" s="1152"/>
      <c r="AV57" s="1152"/>
      <c r="AW57" s="1152"/>
      <c r="AX57" s="1152"/>
      <c r="AY57" s="1152"/>
      <c r="AZ57" s="1152"/>
      <c r="BA57" s="1152"/>
      <c r="BB57" s="1152"/>
      <c r="BC57" s="1152"/>
      <c r="BD57" s="1152"/>
      <c r="BE57" s="1152"/>
      <c r="BF57" s="1152"/>
      <c r="BG57" s="1152"/>
      <c r="BH57" s="1152"/>
      <c r="BI57" s="1152"/>
      <c r="BJ57" s="1152"/>
      <c r="BK57" s="1152"/>
      <c r="BL57" s="1152"/>
      <c r="BM57" s="1152"/>
      <c r="BN57" s="1152"/>
      <c r="BO57" s="1152"/>
      <c r="BP57" s="1152"/>
      <c r="BQ57" s="1152"/>
      <c r="BR57" s="1152"/>
      <c r="BS57" s="1152"/>
      <c r="BT57" s="1152"/>
      <c r="BU57" s="1152"/>
      <c r="BV57" s="1152"/>
      <c r="BW57" s="1152"/>
      <c r="BX57" s="1152"/>
      <c r="BY57" s="1152"/>
      <c r="BZ57" s="1152"/>
      <c r="CA57" s="1152"/>
      <c r="CB57" s="1152"/>
      <c r="CC57" s="1152"/>
      <c r="CD57" s="1152"/>
      <c r="CE57" s="1152"/>
      <c r="CF57" s="1152"/>
      <c r="CG57" s="1152"/>
      <c r="CH57" s="1152"/>
      <c r="CI57" s="1152"/>
      <c r="CJ57" s="1152"/>
    </row>
    <row r="58" spans="1:88" ht="18" customHeight="1" thickBot="1">
      <c r="A58" s="1152"/>
      <c r="B58" s="3623" t="s">
        <v>4346</v>
      </c>
      <c r="C58" s="3624"/>
      <c r="D58" s="3624"/>
      <c r="E58" s="3624"/>
      <c r="F58" s="3624"/>
      <c r="G58" s="3624"/>
      <c r="H58" s="3624"/>
      <c r="I58" s="3624"/>
      <c r="J58" s="3625"/>
      <c r="K58" s="1186"/>
      <c r="L58" s="1152"/>
      <c r="M58" s="1152"/>
      <c r="N58" s="1152"/>
      <c r="O58" s="1152"/>
      <c r="P58" s="1152"/>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2"/>
      <c r="AL58" s="1152"/>
      <c r="AM58" s="1152"/>
      <c r="AN58" s="1152"/>
      <c r="AO58" s="1152"/>
      <c r="AP58" s="1152"/>
      <c r="AQ58" s="1152"/>
      <c r="AR58" s="1152"/>
      <c r="AS58" s="1152"/>
      <c r="AT58" s="1152"/>
      <c r="AU58" s="1152"/>
      <c r="AV58" s="1152"/>
      <c r="AW58" s="1152"/>
      <c r="AX58" s="1152"/>
      <c r="AY58" s="1152"/>
      <c r="AZ58" s="1152"/>
      <c r="BA58" s="1152"/>
      <c r="BB58" s="1152"/>
      <c r="BC58" s="1152"/>
      <c r="BD58" s="1152"/>
      <c r="BE58" s="1152"/>
      <c r="BF58" s="1152"/>
      <c r="BG58" s="1152"/>
      <c r="BH58" s="1152"/>
      <c r="BI58" s="1152"/>
      <c r="BJ58" s="1152"/>
      <c r="BK58" s="1152"/>
      <c r="BL58" s="1152"/>
      <c r="BM58" s="1152"/>
      <c r="BN58" s="1152"/>
      <c r="BO58" s="1152"/>
      <c r="BP58" s="1152"/>
      <c r="BQ58" s="1152"/>
      <c r="BR58" s="1152"/>
      <c r="BS58" s="1152"/>
      <c r="BT58" s="1152"/>
      <c r="BU58" s="1152"/>
      <c r="BV58" s="1152"/>
      <c r="BW58" s="1152"/>
      <c r="BX58" s="1152"/>
      <c r="BY58" s="1152"/>
      <c r="BZ58" s="1152"/>
      <c r="CA58" s="1152"/>
      <c r="CB58" s="1152"/>
      <c r="CC58" s="1152"/>
      <c r="CD58" s="1152"/>
      <c r="CE58" s="1152"/>
      <c r="CF58" s="1152"/>
      <c r="CG58" s="1152"/>
      <c r="CH58" s="1152"/>
      <c r="CI58" s="1152"/>
      <c r="CJ58" s="1152"/>
    </row>
    <row r="59" spans="1:88" ht="15" thickBot="1">
      <c r="A59" s="1152"/>
      <c r="B59" s="1182"/>
      <c r="C59" s="1182"/>
      <c r="D59" s="1182"/>
      <c r="E59" s="1182"/>
      <c r="F59" s="1155"/>
      <c r="G59" s="1155"/>
      <c r="H59" s="1155"/>
      <c r="I59" s="1152"/>
      <c r="J59" s="1152"/>
      <c r="K59" s="1152"/>
      <c r="L59" s="1152"/>
      <c r="M59" s="1152"/>
      <c r="N59" s="1152"/>
      <c r="O59" s="1152"/>
      <c r="P59" s="1152"/>
      <c r="Q59" s="1152"/>
      <c r="R59" s="1152"/>
      <c r="S59" s="1152"/>
      <c r="T59" s="1152"/>
      <c r="U59" s="1152"/>
      <c r="V59" s="1152"/>
      <c r="W59" s="1152"/>
      <c r="X59" s="1152"/>
      <c r="Y59" s="1152"/>
      <c r="Z59" s="1152"/>
      <c r="AA59" s="1152"/>
      <c r="AB59" s="1152"/>
      <c r="AC59" s="1152"/>
      <c r="AD59" s="1152"/>
      <c r="AE59" s="1152"/>
      <c r="AF59" s="1152"/>
      <c r="AG59" s="1152"/>
      <c r="AH59" s="1152"/>
      <c r="AI59" s="1152"/>
      <c r="AJ59" s="1152"/>
      <c r="AK59" s="1152"/>
      <c r="AL59" s="1152"/>
      <c r="AM59" s="1152"/>
      <c r="AN59" s="1152"/>
      <c r="AO59" s="1152"/>
      <c r="AP59" s="1152"/>
      <c r="AQ59" s="1152"/>
      <c r="AR59" s="1152"/>
      <c r="AS59" s="1152"/>
      <c r="AT59" s="1152"/>
      <c r="AU59" s="1152"/>
      <c r="AV59" s="1152"/>
      <c r="AW59" s="1152"/>
      <c r="AX59" s="1152"/>
      <c r="AY59" s="1152"/>
      <c r="AZ59" s="1152"/>
      <c r="BA59" s="1152"/>
      <c r="BB59" s="1152"/>
      <c r="BC59" s="1152"/>
      <c r="BD59" s="1152"/>
      <c r="BE59" s="1152"/>
      <c r="BF59" s="1152"/>
      <c r="BG59" s="1152"/>
      <c r="BH59" s="1152"/>
      <c r="BI59" s="1152"/>
      <c r="BJ59" s="1152"/>
      <c r="BK59" s="1152"/>
      <c r="BL59" s="1152"/>
      <c r="BM59" s="1152"/>
      <c r="BN59" s="1152"/>
      <c r="BO59" s="1152"/>
      <c r="BP59" s="1152"/>
      <c r="BQ59" s="1152"/>
      <c r="BR59" s="1152"/>
      <c r="BS59" s="1152"/>
      <c r="BT59" s="1152"/>
      <c r="BU59" s="1152"/>
      <c r="BV59" s="1152"/>
      <c r="BW59" s="1152"/>
      <c r="BX59" s="1152"/>
      <c r="BY59" s="1152"/>
      <c r="BZ59" s="1152"/>
      <c r="CA59" s="1152"/>
      <c r="CB59" s="1152"/>
      <c r="CC59" s="1152"/>
      <c r="CD59" s="1152"/>
      <c r="CE59" s="1152"/>
      <c r="CF59" s="1152"/>
      <c r="CG59" s="1152"/>
      <c r="CH59" s="1152"/>
      <c r="CI59" s="1152"/>
      <c r="CJ59" s="1152"/>
    </row>
    <row r="60" spans="1:88" ht="22.5" customHeight="1" thickBot="1">
      <c r="A60" s="1152"/>
      <c r="B60" s="3636" t="s">
        <v>4347</v>
      </c>
      <c r="C60" s="3627"/>
      <c r="D60" s="3627"/>
      <c r="E60" s="3627"/>
      <c r="F60" s="3627"/>
      <c r="G60" s="3627"/>
      <c r="H60" s="3627"/>
      <c r="I60" s="3627"/>
      <c r="J60" s="3641"/>
      <c r="K60" s="1152"/>
      <c r="L60" s="1152"/>
      <c r="M60" s="1152"/>
      <c r="N60" s="1152"/>
      <c r="O60" s="1152"/>
      <c r="P60" s="1152"/>
      <c r="Q60" s="1152"/>
      <c r="R60" s="1152"/>
      <c r="S60" s="1152"/>
      <c r="T60" s="1152"/>
      <c r="U60" s="1152"/>
      <c r="V60" s="1152"/>
      <c r="W60" s="1152"/>
      <c r="X60" s="1152"/>
      <c r="Y60" s="1152"/>
      <c r="Z60" s="1152"/>
      <c r="AA60" s="1152"/>
      <c r="AB60" s="1152"/>
      <c r="AC60" s="1152"/>
      <c r="AD60" s="1152"/>
      <c r="AE60" s="1152"/>
      <c r="AF60" s="1152"/>
      <c r="AG60" s="1152"/>
      <c r="AH60" s="1152"/>
      <c r="AI60" s="1152"/>
      <c r="AJ60" s="1152"/>
      <c r="AK60" s="1152"/>
      <c r="AL60" s="1152"/>
      <c r="AM60" s="1152"/>
      <c r="AN60" s="1152"/>
      <c r="AO60" s="1152"/>
      <c r="AP60" s="1152"/>
      <c r="AQ60" s="1152"/>
      <c r="AR60" s="1152"/>
      <c r="AS60" s="1152"/>
      <c r="AT60" s="1152"/>
      <c r="AU60" s="1152"/>
      <c r="AV60" s="1152"/>
      <c r="AW60" s="1152"/>
      <c r="AX60" s="1152"/>
      <c r="AY60" s="1152"/>
      <c r="AZ60" s="1152"/>
      <c r="BA60" s="1152"/>
      <c r="BB60" s="1152"/>
      <c r="BC60" s="1152"/>
      <c r="BD60" s="1152"/>
      <c r="BE60" s="1152"/>
      <c r="BF60" s="1152"/>
      <c r="BG60" s="1152"/>
      <c r="BH60" s="1152"/>
      <c r="BI60" s="1152"/>
      <c r="BJ60" s="1152"/>
      <c r="BK60" s="1152"/>
      <c r="BL60" s="1152"/>
      <c r="BM60" s="1152"/>
      <c r="BN60" s="1152"/>
      <c r="BO60" s="1152"/>
      <c r="BP60" s="1152"/>
      <c r="BQ60" s="1152"/>
      <c r="BR60" s="1152"/>
      <c r="BS60" s="1152"/>
      <c r="BT60" s="1152"/>
      <c r="BU60" s="1152"/>
      <c r="BV60" s="1152"/>
      <c r="BW60" s="1152"/>
      <c r="BX60" s="1152"/>
      <c r="BY60" s="1152"/>
      <c r="BZ60" s="1152"/>
      <c r="CA60" s="1152"/>
      <c r="CB60" s="1152"/>
      <c r="CC60" s="1152"/>
      <c r="CD60" s="1152"/>
      <c r="CE60" s="1152"/>
      <c r="CF60" s="1152"/>
      <c r="CG60" s="1152"/>
      <c r="CH60" s="1152"/>
      <c r="CI60" s="1152"/>
      <c r="CJ60" s="1152"/>
    </row>
    <row r="61" spans="1:88" s="1189" customFormat="1" ht="15" thickBot="1">
      <c r="A61" s="1187"/>
      <c r="B61" s="1188"/>
      <c r="C61" s="1188"/>
      <c r="D61" s="1188"/>
      <c r="E61" s="1188"/>
      <c r="F61" s="1188"/>
      <c r="G61" s="1188"/>
      <c r="H61" s="1188"/>
      <c r="I61" s="1187"/>
      <c r="J61" s="1187"/>
      <c r="K61" s="1187"/>
      <c r="L61" s="1187"/>
      <c r="M61" s="1187"/>
      <c r="N61" s="1187"/>
      <c r="O61" s="1187"/>
      <c r="P61" s="1187"/>
      <c r="Q61" s="1187"/>
      <c r="R61" s="1187"/>
      <c r="S61" s="1187"/>
      <c r="T61" s="1187"/>
      <c r="U61" s="1187"/>
      <c r="V61" s="1187"/>
      <c r="W61" s="1187"/>
      <c r="X61" s="1187"/>
      <c r="Y61" s="1187"/>
      <c r="Z61" s="1187"/>
      <c r="AA61" s="1187"/>
      <c r="AB61" s="1187"/>
      <c r="AC61" s="1187"/>
      <c r="AD61" s="1187"/>
      <c r="AE61" s="1187"/>
      <c r="AF61" s="1187"/>
      <c r="AG61" s="1187"/>
      <c r="AH61" s="1187"/>
      <c r="AI61" s="1187"/>
      <c r="AJ61" s="1187"/>
      <c r="AK61" s="1187"/>
      <c r="AL61" s="1187"/>
      <c r="AM61" s="1187"/>
      <c r="AN61" s="1187"/>
      <c r="AO61" s="1187"/>
      <c r="AP61" s="1187"/>
      <c r="AQ61" s="1187"/>
      <c r="AR61" s="1187"/>
      <c r="AS61" s="1187"/>
      <c r="AT61" s="1187"/>
      <c r="AU61" s="1187"/>
      <c r="AV61" s="1187"/>
      <c r="AW61" s="1187"/>
      <c r="AX61" s="1187"/>
      <c r="AY61" s="1187"/>
      <c r="AZ61" s="1187"/>
      <c r="BA61" s="1187"/>
      <c r="BB61" s="1187"/>
      <c r="BC61" s="1187"/>
      <c r="BD61" s="1187"/>
      <c r="BE61" s="1187"/>
      <c r="BF61" s="1187"/>
      <c r="BG61" s="1187"/>
      <c r="BH61" s="1187"/>
      <c r="BI61" s="1187"/>
      <c r="BJ61" s="1187"/>
      <c r="BK61" s="1187"/>
      <c r="BL61" s="1187"/>
      <c r="BM61" s="1187"/>
      <c r="BN61" s="1187"/>
      <c r="BO61" s="1187"/>
      <c r="BP61" s="1187"/>
      <c r="BQ61" s="1187"/>
      <c r="BR61" s="1187"/>
      <c r="BS61" s="1187"/>
      <c r="BT61" s="1187"/>
      <c r="BU61" s="1187"/>
      <c r="BV61" s="1187"/>
      <c r="BW61" s="1187"/>
      <c r="BX61" s="1187"/>
      <c r="BY61" s="1187"/>
      <c r="BZ61" s="1187"/>
      <c r="CA61" s="1187"/>
      <c r="CB61" s="1187"/>
      <c r="CC61" s="1187"/>
      <c r="CD61" s="1187"/>
      <c r="CE61" s="1187"/>
      <c r="CF61" s="1187"/>
      <c r="CG61" s="1187"/>
      <c r="CH61" s="1187"/>
      <c r="CI61" s="1187"/>
      <c r="CJ61" s="1187"/>
    </row>
    <row r="62" spans="1:88" s="1189" customFormat="1" ht="90.75" customHeight="1" thickBot="1">
      <c r="A62" s="1187"/>
      <c r="B62" s="3626" t="s">
        <v>4348</v>
      </c>
      <c r="C62" s="3627"/>
      <c r="D62" s="3627"/>
      <c r="E62" s="3627"/>
      <c r="F62" s="3627"/>
      <c r="G62" s="3627"/>
      <c r="H62" s="3627"/>
      <c r="I62" s="3628"/>
      <c r="J62" s="3629"/>
      <c r="K62" s="1187"/>
      <c r="L62" s="1187"/>
      <c r="M62" s="1187"/>
      <c r="N62" s="1187"/>
      <c r="O62" s="1187"/>
      <c r="P62" s="1187"/>
      <c r="Q62" s="1187"/>
      <c r="R62" s="1187"/>
      <c r="S62" s="1187"/>
      <c r="T62" s="1187"/>
      <c r="U62" s="1187"/>
      <c r="V62" s="1187"/>
      <c r="W62" s="1187"/>
      <c r="X62" s="1187"/>
      <c r="Y62" s="1187"/>
      <c r="Z62" s="1187"/>
      <c r="AA62" s="1187"/>
      <c r="AB62" s="1187"/>
      <c r="AC62" s="1187"/>
      <c r="AD62" s="1187"/>
      <c r="AE62" s="1187"/>
      <c r="AF62" s="1187"/>
      <c r="AG62" s="1187"/>
      <c r="AH62" s="1187"/>
      <c r="AI62" s="1187"/>
      <c r="AJ62" s="1187"/>
      <c r="AK62" s="1187"/>
      <c r="AL62" s="1187"/>
      <c r="AM62" s="1187"/>
      <c r="AN62" s="1187"/>
      <c r="AO62" s="1187"/>
      <c r="AP62" s="1187"/>
      <c r="AQ62" s="1187"/>
      <c r="AR62" s="1187"/>
      <c r="AS62" s="1187"/>
      <c r="AT62" s="1187"/>
      <c r="AU62" s="1187"/>
      <c r="AV62" s="1187"/>
      <c r="AW62" s="1187"/>
      <c r="AX62" s="1187"/>
      <c r="AY62" s="1187"/>
      <c r="AZ62" s="1187"/>
      <c r="BA62" s="1187"/>
      <c r="BB62" s="1187"/>
      <c r="BC62" s="1187"/>
      <c r="BD62" s="1187"/>
      <c r="BE62" s="1187"/>
      <c r="BF62" s="1187"/>
      <c r="BG62" s="1187"/>
      <c r="BH62" s="1187"/>
      <c r="BI62" s="1187"/>
      <c r="BJ62" s="1187"/>
      <c r="BK62" s="1187"/>
      <c r="BL62" s="1187"/>
      <c r="BM62" s="1187"/>
      <c r="BN62" s="1187"/>
      <c r="BO62" s="1187"/>
      <c r="BP62" s="1187"/>
      <c r="BQ62" s="1187"/>
      <c r="BR62" s="1187"/>
      <c r="BS62" s="1187"/>
      <c r="BT62" s="1187"/>
      <c r="BU62" s="1187"/>
      <c r="BV62" s="1187"/>
      <c r="BW62" s="1187"/>
      <c r="BX62" s="1187"/>
      <c r="BY62" s="1187"/>
      <c r="BZ62" s="1187"/>
      <c r="CA62" s="1187"/>
      <c r="CB62" s="1187"/>
      <c r="CC62" s="1187"/>
      <c r="CD62" s="1187"/>
      <c r="CE62" s="1187"/>
      <c r="CF62" s="1187"/>
      <c r="CG62" s="1187"/>
      <c r="CH62" s="1187"/>
      <c r="CI62" s="1187"/>
      <c r="CJ62" s="1187"/>
    </row>
    <row r="63" spans="1:88" s="1189" customFormat="1" ht="15" thickBot="1">
      <c r="A63" s="1187"/>
      <c r="B63" s="1188"/>
      <c r="C63" s="1188"/>
      <c r="D63" s="1188"/>
      <c r="E63" s="1188"/>
      <c r="F63" s="1188"/>
      <c r="G63" s="1188"/>
      <c r="H63" s="1188"/>
      <c r="I63" s="1187"/>
      <c r="J63" s="1187"/>
      <c r="K63" s="1187"/>
      <c r="L63" s="1187"/>
      <c r="M63" s="1187"/>
      <c r="N63" s="1187"/>
      <c r="O63" s="1187"/>
      <c r="P63" s="1187"/>
      <c r="Q63" s="1187"/>
      <c r="R63" s="1187"/>
      <c r="S63" s="1187"/>
      <c r="T63" s="1187"/>
      <c r="U63" s="1187"/>
      <c r="V63" s="1187"/>
      <c r="W63" s="1187"/>
      <c r="X63" s="1187"/>
      <c r="Y63" s="1187"/>
      <c r="Z63" s="1187"/>
      <c r="AA63" s="1187"/>
      <c r="AB63" s="1187"/>
      <c r="AC63" s="1187"/>
      <c r="AD63" s="1187"/>
      <c r="AE63" s="1187"/>
      <c r="AF63" s="1187"/>
      <c r="AG63" s="1187"/>
      <c r="AH63" s="1187"/>
      <c r="AI63" s="1187"/>
      <c r="AJ63" s="1187"/>
      <c r="AK63" s="1187"/>
      <c r="AL63" s="1187"/>
      <c r="AM63" s="1187"/>
      <c r="AN63" s="1187"/>
      <c r="AO63" s="1187"/>
      <c r="AP63" s="1187"/>
      <c r="AQ63" s="1187"/>
      <c r="AR63" s="1187"/>
      <c r="AS63" s="1187"/>
      <c r="AT63" s="1187"/>
      <c r="AU63" s="1187"/>
      <c r="AV63" s="1187"/>
      <c r="AW63" s="1187"/>
      <c r="AX63" s="1187"/>
      <c r="AY63" s="1187"/>
      <c r="AZ63" s="1187"/>
      <c r="BA63" s="1187"/>
      <c r="BB63" s="1187"/>
      <c r="BC63" s="1187"/>
      <c r="BD63" s="1187"/>
      <c r="BE63" s="1187"/>
      <c r="BF63" s="1187"/>
      <c r="BG63" s="1187"/>
      <c r="BH63" s="1187"/>
      <c r="BI63" s="1187"/>
      <c r="BJ63" s="1187"/>
      <c r="BK63" s="1187"/>
      <c r="BL63" s="1187"/>
      <c r="BM63" s="1187"/>
      <c r="BN63" s="1187"/>
      <c r="BO63" s="1187"/>
      <c r="BP63" s="1187"/>
      <c r="BQ63" s="1187"/>
      <c r="BR63" s="1187"/>
      <c r="BS63" s="1187"/>
      <c r="BT63" s="1187"/>
      <c r="BU63" s="1187"/>
      <c r="BV63" s="1187"/>
      <c r="BW63" s="1187"/>
      <c r="BX63" s="1187"/>
      <c r="BY63" s="1187"/>
      <c r="BZ63" s="1187"/>
      <c r="CA63" s="1187"/>
      <c r="CB63" s="1187"/>
      <c r="CC63" s="1187"/>
      <c r="CD63" s="1187"/>
      <c r="CE63" s="1187"/>
      <c r="CF63" s="1187"/>
      <c r="CG63" s="1187"/>
      <c r="CH63" s="1187"/>
      <c r="CI63" s="1187"/>
      <c r="CJ63" s="1187"/>
    </row>
    <row r="64" spans="1:88" s="1189" customFormat="1" ht="39" thickBot="1">
      <c r="A64" s="1187"/>
      <c r="B64" s="2010" t="s">
        <v>4349</v>
      </c>
      <c r="C64" s="3630" t="s">
        <v>4350</v>
      </c>
      <c r="D64" s="3631"/>
      <c r="E64" s="3631"/>
      <c r="F64" s="3631"/>
      <c r="G64" s="3631"/>
      <c r="H64" s="3631"/>
      <c r="I64" s="3631"/>
      <c r="J64" s="3632"/>
      <c r="K64" s="1187"/>
      <c r="L64" s="1187"/>
      <c r="M64" s="1187"/>
      <c r="N64" s="1187"/>
      <c r="O64" s="1187"/>
      <c r="P64" s="1187"/>
      <c r="Q64" s="1187"/>
      <c r="R64" s="1187"/>
      <c r="S64" s="1187"/>
      <c r="T64" s="1187"/>
      <c r="U64" s="1187"/>
      <c r="V64" s="1187"/>
      <c r="W64" s="1187"/>
      <c r="X64" s="1187"/>
      <c r="Y64" s="1187"/>
      <c r="Z64" s="1187"/>
      <c r="AA64" s="1187"/>
      <c r="AB64" s="1187"/>
      <c r="AC64" s="1187"/>
      <c r="AD64" s="1187"/>
      <c r="AE64" s="1187"/>
      <c r="AF64" s="1187"/>
      <c r="AG64" s="1187"/>
      <c r="AH64" s="1187"/>
      <c r="AI64" s="1187"/>
      <c r="AJ64" s="1187"/>
      <c r="AK64" s="1187"/>
      <c r="AL64" s="1187"/>
      <c r="AM64" s="1187"/>
      <c r="AN64" s="1187"/>
      <c r="AO64" s="1187"/>
      <c r="AP64" s="1187"/>
      <c r="AQ64" s="1187"/>
      <c r="AR64" s="1187"/>
      <c r="AS64" s="1187"/>
      <c r="AT64" s="1187"/>
      <c r="AU64" s="1187"/>
      <c r="AV64" s="1187"/>
      <c r="AW64" s="1187"/>
      <c r="AX64" s="1187"/>
      <c r="AY64" s="1187"/>
      <c r="AZ64" s="1187"/>
      <c r="BA64" s="1187"/>
      <c r="BB64" s="1187"/>
      <c r="BC64" s="1187"/>
      <c r="BD64" s="1187"/>
      <c r="BE64" s="1187"/>
      <c r="BF64" s="1187"/>
      <c r="BG64" s="1187"/>
      <c r="BH64" s="1187"/>
      <c r="BI64" s="1187"/>
      <c r="BJ64" s="1187"/>
      <c r="BK64" s="1187"/>
      <c r="BL64" s="1187"/>
      <c r="BM64" s="1187"/>
      <c r="BN64" s="1187"/>
      <c r="BO64" s="1187"/>
      <c r="BP64" s="1187"/>
      <c r="BQ64" s="1187"/>
      <c r="BR64" s="1187"/>
      <c r="BS64" s="1187"/>
      <c r="BT64" s="1187"/>
      <c r="BU64" s="1187"/>
      <c r="BV64" s="1187"/>
      <c r="BW64" s="1187"/>
      <c r="BX64" s="1187"/>
      <c r="BY64" s="1187"/>
      <c r="BZ64" s="1187"/>
      <c r="CA64" s="1187"/>
      <c r="CB64" s="1187"/>
      <c r="CC64" s="1187"/>
      <c r="CD64" s="1187"/>
      <c r="CE64" s="1187"/>
      <c r="CF64" s="1187"/>
      <c r="CG64" s="1187"/>
      <c r="CH64" s="1187"/>
      <c r="CI64" s="1187"/>
      <c r="CJ64" s="1187"/>
    </row>
    <row r="65" spans="1:88" s="1189" customFormat="1" ht="25.5">
      <c r="A65" s="1187"/>
      <c r="B65" s="2011" t="s">
        <v>4351</v>
      </c>
      <c r="C65" s="3611" t="s">
        <v>12205</v>
      </c>
      <c r="D65" s="3612"/>
      <c r="E65" s="3612"/>
      <c r="F65" s="3612"/>
      <c r="G65" s="3612"/>
      <c r="H65" s="3612"/>
      <c r="I65" s="3612"/>
      <c r="J65" s="3613"/>
      <c r="K65" s="1187"/>
      <c r="L65" s="1187"/>
      <c r="M65" s="1187"/>
      <c r="N65" s="1187"/>
      <c r="O65" s="1187"/>
      <c r="P65" s="1187"/>
      <c r="Q65" s="1187"/>
      <c r="R65" s="1187"/>
      <c r="S65" s="1187"/>
      <c r="T65" s="1187"/>
      <c r="U65" s="1187"/>
      <c r="V65" s="1187"/>
      <c r="W65" s="1187"/>
      <c r="X65" s="1187"/>
      <c r="Y65" s="1187"/>
      <c r="Z65" s="1187"/>
      <c r="AA65" s="1187"/>
      <c r="AB65" s="1187"/>
      <c r="AC65" s="1187"/>
      <c r="AD65" s="1187"/>
      <c r="AE65" s="1187"/>
      <c r="AF65" s="1187"/>
      <c r="AG65" s="1187"/>
      <c r="AH65" s="1187"/>
      <c r="AI65" s="1187"/>
      <c r="AJ65" s="1187"/>
      <c r="AK65" s="1187"/>
      <c r="AL65" s="1187"/>
      <c r="AM65" s="1187"/>
      <c r="AN65" s="1187"/>
      <c r="AO65" s="1187"/>
      <c r="AP65" s="1187"/>
      <c r="AQ65" s="1187"/>
      <c r="AR65" s="1187"/>
      <c r="AS65" s="1187"/>
      <c r="AT65" s="1187"/>
      <c r="AU65" s="1187"/>
      <c r="AV65" s="1187"/>
      <c r="AW65" s="1187"/>
      <c r="AX65" s="1187"/>
      <c r="AY65" s="1187"/>
      <c r="AZ65" s="1187"/>
      <c r="BA65" s="1187"/>
      <c r="BB65" s="1187"/>
      <c r="BC65" s="1187"/>
      <c r="BD65" s="1187"/>
      <c r="BE65" s="1187"/>
      <c r="BF65" s="1187"/>
      <c r="BG65" s="1187"/>
      <c r="BH65" s="1187"/>
      <c r="BI65" s="1187"/>
      <c r="BJ65" s="1187"/>
      <c r="BK65" s="1187"/>
      <c r="BL65" s="1187"/>
      <c r="BM65" s="1187"/>
      <c r="BN65" s="1187"/>
      <c r="BO65" s="1187"/>
      <c r="BP65" s="1187"/>
      <c r="BQ65" s="1187"/>
      <c r="BR65" s="1187"/>
      <c r="BS65" s="1187"/>
      <c r="BT65" s="1187"/>
      <c r="BU65" s="1187"/>
      <c r="BV65" s="1187"/>
      <c r="BW65" s="1187"/>
      <c r="BX65" s="1187"/>
      <c r="BY65" s="1187"/>
      <c r="BZ65" s="1187"/>
      <c r="CA65" s="1187"/>
      <c r="CB65" s="1187"/>
      <c r="CC65" s="1187"/>
      <c r="CD65" s="1187"/>
      <c r="CE65" s="1187"/>
      <c r="CF65" s="1187"/>
      <c r="CG65" s="1187"/>
      <c r="CH65" s="1187"/>
      <c r="CI65" s="1187"/>
      <c r="CJ65" s="1187"/>
    </row>
    <row r="66" spans="1:88" s="1189" customFormat="1" ht="25.5">
      <c r="A66" s="1187"/>
      <c r="B66" s="2012" t="s">
        <v>4352</v>
      </c>
      <c r="C66" s="3614"/>
      <c r="D66" s="3615"/>
      <c r="E66" s="3615"/>
      <c r="F66" s="3615"/>
      <c r="G66" s="3615"/>
      <c r="H66" s="3615"/>
      <c r="I66" s="3615"/>
      <c r="J66" s="3616"/>
      <c r="K66" s="1187"/>
      <c r="L66" s="1187"/>
      <c r="M66" s="1187"/>
      <c r="N66" s="1187"/>
      <c r="O66" s="1187"/>
      <c r="P66" s="1187"/>
      <c r="Q66" s="1187"/>
      <c r="R66" s="1187"/>
      <c r="S66" s="1187"/>
      <c r="T66" s="1187"/>
      <c r="U66" s="1187"/>
      <c r="V66" s="1187"/>
      <c r="W66" s="1187"/>
      <c r="X66" s="1187"/>
      <c r="Y66" s="1187"/>
      <c r="Z66" s="1187"/>
      <c r="AA66" s="1187"/>
      <c r="AB66" s="1187"/>
      <c r="AC66" s="1187"/>
      <c r="AD66" s="1187"/>
      <c r="AE66" s="1187"/>
      <c r="AF66" s="1187"/>
      <c r="AG66" s="1187"/>
      <c r="AH66" s="1187"/>
      <c r="AI66" s="1187"/>
      <c r="AJ66" s="1187"/>
      <c r="AK66" s="1187"/>
      <c r="AL66" s="1187"/>
      <c r="AM66" s="1187"/>
      <c r="AN66" s="1187"/>
      <c r="AO66" s="1187"/>
      <c r="AP66" s="1187"/>
      <c r="AQ66" s="1187"/>
      <c r="AR66" s="1187"/>
      <c r="AS66" s="1187"/>
      <c r="AT66" s="1187"/>
      <c r="AU66" s="1187"/>
      <c r="AV66" s="1187"/>
      <c r="AW66" s="1187"/>
      <c r="AX66" s="1187"/>
      <c r="AY66" s="1187"/>
      <c r="AZ66" s="1187"/>
      <c r="BA66" s="1187"/>
      <c r="BB66" s="1187"/>
      <c r="BC66" s="1187"/>
      <c r="BD66" s="1187"/>
      <c r="BE66" s="1187"/>
      <c r="BF66" s="1187"/>
      <c r="BG66" s="1187"/>
      <c r="BH66" s="1187"/>
      <c r="BI66" s="1187"/>
      <c r="BJ66" s="1187"/>
      <c r="BK66" s="1187"/>
      <c r="BL66" s="1187"/>
      <c r="BM66" s="1187"/>
      <c r="BN66" s="1187"/>
      <c r="BO66" s="1187"/>
      <c r="BP66" s="1187"/>
      <c r="BQ66" s="1187"/>
      <c r="BR66" s="1187"/>
      <c r="BS66" s="1187"/>
      <c r="BT66" s="1187"/>
      <c r="BU66" s="1187"/>
      <c r="BV66" s="1187"/>
      <c r="BW66" s="1187"/>
      <c r="BX66" s="1187"/>
      <c r="BY66" s="1187"/>
      <c r="BZ66" s="1187"/>
      <c r="CA66" s="1187"/>
      <c r="CB66" s="1187"/>
      <c r="CC66" s="1187"/>
      <c r="CD66" s="1187"/>
      <c r="CE66" s="1187"/>
      <c r="CF66" s="1187"/>
      <c r="CG66" s="1187"/>
      <c r="CH66" s="1187"/>
      <c r="CI66" s="1187"/>
      <c r="CJ66" s="1187"/>
    </row>
    <row r="67" spans="1:88" s="1189" customFormat="1" ht="25.5">
      <c r="A67" s="1187"/>
      <c r="B67" s="2012" t="s">
        <v>4353</v>
      </c>
      <c r="C67" s="3614"/>
      <c r="D67" s="3615"/>
      <c r="E67" s="3615"/>
      <c r="F67" s="3615"/>
      <c r="G67" s="3615"/>
      <c r="H67" s="3615"/>
      <c r="I67" s="3615"/>
      <c r="J67" s="3616"/>
      <c r="K67" s="1187"/>
      <c r="L67" s="1187"/>
      <c r="M67" s="1187"/>
      <c r="N67" s="1187"/>
      <c r="O67" s="1187"/>
      <c r="P67" s="1187"/>
      <c r="Q67" s="1187"/>
      <c r="R67" s="1187"/>
      <c r="S67" s="1187"/>
      <c r="T67" s="1187"/>
      <c r="U67" s="1187"/>
      <c r="V67" s="1187"/>
      <c r="W67" s="1187"/>
      <c r="X67" s="1187"/>
      <c r="Y67" s="1187"/>
      <c r="Z67" s="1187"/>
      <c r="AA67" s="1187"/>
      <c r="AB67" s="1187"/>
      <c r="AC67" s="1187"/>
      <c r="AD67" s="1187"/>
      <c r="AE67" s="1187"/>
      <c r="AF67" s="1187"/>
      <c r="AG67" s="1187"/>
      <c r="AH67" s="1187"/>
      <c r="AI67" s="1187"/>
      <c r="AJ67" s="1187"/>
      <c r="AK67" s="1187"/>
      <c r="AL67" s="1187"/>
      <c r="AM67" s="1187"/>
      <c r="AN67" s="1187"/>
      <c r="AO67" s="1187"/>
      <c r="AP67" s="1187"/>
      <c r="AQ67" s="1187"/>
      <c r="AR67" s="1187"/>
      <c r="AS67" s="1187"/>
      <c r="AT67" s="1187"/>
      <c r="AU67" s="1187"/>
      <c r="AV67" s="1187"/>
      <c r="AW67" s="1187"/>
      <c r="AX67" s="1187"/>
      <c r="AY67" s="1187"/>
      <c r="AZ67" s="1187"/>
      <c r="BA67" s="1187"/>
      <c r="BB67" s="1187"/>
      <c r="BC67" s="1187"/>
      <c r="BD67" s="1187"/>
      <c r="BE67" s="1187"/>
      <c r="BF67" s="1187"/>
      <c r="BG67" s="1187"/>
      <c r="BH67" s="1187"/>
      <c r="BI67" s="1187"/>
      <c r="BJ67" s="1187"/>
      <c r="BK67" s="1187"/>
      <c r="BL67" s="1187"/>
      <c r="BM67" s="1187"/>
      <c r="BN67" s="1187"/>
      <c r="BO67" s="1187"/>
      <c r="BP67" s="1187"/>
      <c r="BQ67" s="1187"/>
      <c r="BR67" s="1187"/>
      <c r="BS67" s="1187"/>
      <c r="BT67" s="1187"/>
      <c r="BU67" s="1187"/>
      <c r="BV67" s="1187"/>
      <c r="BW67" s="1187"/>
      <c r="BX67" s="1187"/>
      <c r="BY67" s="1187"/>
      <c r="BZ67" s="1187"/>
      <c r="CA67" s="1187"/>
      <c r="CB67" s="1187"/>
      <c r="CC67" s="1187"/>
      <c r="CD67" s="1187"/>
      <c r="CE67" s="1187"/>
      <c r="CF67" s="1187"/>
      <c r="CG67" s="1187"/>
      <c r="CH67" s="1187"/>
      <c r="CI67" s="1187"/>
      <c r="CJ67" s="1187"/>
    </row>
    <row r="68" spans="1:88" s="1189" customFormat="1" ht="25.5">
      <c r="A68" s="1187"/>
      <c r="B68" s="2012" t="s">
        <v>4354</v>
      </c>
      <c r="C68" s="3614"/>
      <c r="D68" s="3615"/>
      <c r="E68" s="3615"/>
      <c r="F68" s="3615"/>
      <c r="G68" s="3615"/>
      <c r="H68" s="3615"/>
      <c r="I68" s="3615"/>
      <c r="J68" s="3616"/>
      <c r="K68" s="1187"/>
      <c r="L68" s="1187"/>
      <c r="M68" s="1187"/>
      <c r="N68" s="1187"/>
      <c r="O68" s="1187"/>
      <c r="P68" s="1187"/>
      <c r="Q68" s="1187"/>
      <c r="R68" s="1187"/>
      <c r="S68" s="1187"/>
      <c r="T68" s="1187"/>
      <c r="U68" s="1187"/>
      <c r="V68" s="1187"/>
      <c r="W68" s="1187"/>
      <c r="X68" s="1187"/>
      <c r="Y68" s="1187"/>
      <c r="Z68" s="1187"/>
      <c r="AA68" s="1187"/>
      <c r="AB68" s="1187"/>
      <c r="AC68" s="1187"/>
      <c r="AD68" s="1187"/>
      <c r="AE68" s="1187"/>
      <c r="AF68" s="1187"/>
      <c r="AG68" s="1187"/>
      <c r="AH68" s="1187"/>
      <c r="AI68" s="1187"/>
      <c r="AJ68" s="1187"/>
      <c r="AK68" s="1187"/>
      <c r="AL68" s="1187"/>
      <c r="AM68" s="1187"/>
      <c r="AN68" s="1187"/>
      <c r="AO68" s="1187"/>
      <c r="AP68" s="1187"/>
      <c r="AQ68" s="1187"/>
      <c r="AR68" s="1187"/>
      <c r="AS68" s="1187"/>
      <c r="AT68" s="1187"/>
      <c r="AU68" s="1187"/>
      <c r="AV68" s="1187"/>
      <c r="AW68" s="1187"/>
      <c r="AX68" s="1187"/>
      <c r="AY68" s="1187"/>
      <c r="AZ68" s="1187"/>
      <c r="BA68" s="1187"/>
      <c r="BB68" s="1187"/>
      <c r="BC68" s="1187"/>
      <c r="BD68" s="1187"/>
      <c r="BE68" s="1187"/>
      <c r="BF68" s="1187"/>
      <c r="BG68" s="1187"/>
      <c r="BH68" s="1187"/>
      <c r="BI68" s="1187"/>
      <c r="BJ68" s="1187"/>
      <c r="BK68" s="1187"/>
      <c r="BL68" s="1187"/>
      <c r="BM68" s="1187"/>
      <c r="BN68" s="1187"/>
      <c r="BO68" s="1187"/>
      <c r="BP68" s="1187"/>
      <c r="BQ68" s="1187"/>
      <c r="BR68" s="1187"/>
      <c r="BS68" s="1187"/>
      <c r="BT68" s="1187"/>
      <c r="BU68" s="1187"/>
      <c r="BV68" s="1187"/>
      <c r="BW68" s="1187"/>
      <c r="BX68" s="1187"/>
      <c r="BY68" s="1187"/>
      <c r="BZ68" s="1187"/>
      <c r="CA68" s="1187"/>
      <c r="CB68" s="1187"/>
      <c r="CC68" s="1187"/>
      <c r="CD68" s="1187"/>
      <c r="CE68" s="1187"/>
      <c r="CF68" s="1187"/>
      <c r="CG68" s="1187"/>
      <c r="CH68" s="1187"/>
      <c r="CI68" s="1187"/>
      <c r="CJ68" s="1187"/>
    </row>
    <row r="69" spans="1:88" s="1189" customFormat="1" ht="38.25">
      <c r="A69" s="1187"/>
      <c r="B69" s="2012" t="s">
        <v>4355</v>
      </c>
      <c r="C69" s="3614"/>
      <c r="D69" s="3615"/>
      <c r="E69" s="3615"/>
      <c r="F69" s="3615"/>
      <c r="G69" s="3615"/>
      <c r="H69" s="3615"/>
      <c r="I69" s="3615"/>
      <c r="J69" s="3616"/>
      <c r="K69" s="1187"/>
      <c r="L69" s="1187"/>
      <c r="M69" s="1187"/>
      <c r="N69" s="1187"/>
      <c r="O69" s="1187"/>
      <c r="P69" s="1187"/>
      <c r="Q69" s="1187"/>
      <c r="R69" s="1187"/>
      <c r="S69" s="1187"/>
      <c r="T69" s="1187"/>
      <c r="U69" s="1187"/>
      <c r="V69" s="1187"/>
      <c r="W69" s="1187"/>
      <c r="X69" s="1187"/>
      <c r="Y69" s="1187"/>
      <c r="Z69" s="1187"/>
      <c r="AA69" s="1187"/>
      <c r="AB69" s="1187"/>
      <c r="AC69" s="1187"/>
      <c r="AD69" s="1187"/>
      <c r="AE69" s="1187"/>
      <c r="AF69" s="1187"/>
      <c r="AG69" s="1187"/>
      <c r="AH69" s="1187"/>
      <c r="AI69" s="1187"/>
      <c r="AJ69" s="1187"/>
      <c r="AK69" s="1187"/>
      <c r="AL69" s="1187"/>
      <c r="AM69" s="1187"/>
      <c r="AN69" s="1187"/>
      <c r="AO69" s="1187"/>
      <c r="AP69" s="1187"/>
      <c r="AQ69" s="1187"/>
      <c r="AR69" s="1187"/>
      <c r="AS69" s="1187"/>
      <c r="AT69" s="1187"/>
      <c r="AU69" s="1187"/>
      <c r="AV69" s="1187"/>
      <c r="AW69" s="1187"/>
      <c r="AX69" s="1187"/>
      <c r="AY69" s="1187"/>
      <c r="AZ69" s="1187"/>
      <c r="BA69" s="1187"/>
      <c r="BB69" s="1187"/>
      <c r="BC69" s="1187"/>
      <c r="BD69" s="1187"/>
      <c r="BE69" s="1187"/>
      <c r="BF69" s="1187"/>
      <c r="BG69" s="1187"/>
      <c r="BH69" s="1187"/>
      <c r="BI69" s="1187"/>
      <c r="BJ69" s="1187"/>
      <c r="BK69" s="1187"/>
      <c r="BL69" s="1187"/>
      <c r="BM69" s="1187"/>
      <c r="BN69" s="1187"/>
      <c r="BO69" s="1187"/>
      <c r="BP69" s="1187"/>
      <c r="BQ69" s="1187"/>
      <c r="BR69" s="1187"/>
      <c r="BS69" s="1187"/>
      <c r="BT69" s="1187"/>
      <c r="BU69" s="1187"/>
      <c r="BV69" s="1187"/>
      <c r="BW69" s="1187"/>
      <c r="BX69" s="1187"/>
      <c r="BY69" s="1187"/>
      <c r="BZ69" s="1187"/>
      <c r="CA69" s="1187"/>
      <c r="CB69" s="1187"/>
      <c r="CC69" s="1187"/>
      <c r="CD69" s="1187"/>
      <c r="CE69" s="1187"/>
      <c r="CF69" s="1187"/>
      <c r="CG69" s="1187"/>
      <c r="CH69" s="1187"/>
      <c r="CI69" s="1187"/>
      <c r="CJ69" s="1187"/>
    </row>
    <row r="70" spans="1:88" s="1189" customFormat="1" ht="25.5">
      <c r="A70" s="1187"/>
      <c r="B70" s="2012" t="s">
        <v>4356</v>
      </c>
      <c r="C70" s="3614"/>
      <c r="D70" s="3615"/>
      <c r="E70" s="3615"/>
      <c r="F70" s="3615"/>
      <c r="G70" s="3615"/>
      <c r="H70" s="3615"/>
      <c r="I70" s="3615"/>
      <c r="J70" s="3616"/>
      <c r="K70" s="1187"/>
      <c r="L70" s="1187"/>
      <c r="M70" s="1187"/>
      <c r="N70" s="1187"/>
      <c r="O70" s="1187"/>
      <c r="P70" s="1187"/>
      <c r="Q70" s="1187"/>
      <c r="R70" s="1187"/>
      <c r="S70" s="1187"/>
      <c r="T70" s="1187"/>
      <c r="U70" s="1187"/>
      <c r="V70" s="1187"/>
      <c r="W70" s="1187"/>
      <c r="X70" s="1187"/>
      <c r="Y70" s="1187"/>
      <c r="Z70" s="1187"/>
      <c r="AA70" s="1187"/>
      <c r="AB70" s="1187"/>
      <c r="AC70" s="1187"/>
      <c r="AD70" s="1187"/>
      <c r="AE70" s="1187"/>
      <c r="AF70" s="1187"/>
      <c r="AG70" s="1187"/>
      <c r="AH70" s="1187"/>
      <c r="AI70" s="1187"/>
      <c r="AJ70" s="1187"/>
      <c r="AK70" s="1187"/>
      <c r="AL70" s="1187"/>
      <c r="AM70" s="1187"/>
      <c r="AN70" s="1187"/>
      <c r="AO70" s="1187"/>
      <c r="AP70" s="1187"/>
      <c r="AQ70" s="1187"/>
      <c r="AR70" s="1187"/>
      <c r="AS70" s="1187"/>
      <c r="AT70" s="1187"/>
      <c r="AU70" s="1187"/>
      <c r="AV70" s="1187"/>
      <c r="AW70" s="1187"/>
      <c r="AX70" s="1187"/>
      <c r="AY70" s="1187"/>
      <c r="AZ70" s="1187"/>
      <c r="BA70" s="1187"/>
      <c r="BB70" s="1187"/>
      <c r="BC70" s="1187"/>
      <c r="BD70" s="1187"/>
      <c r="BE70" s="1187"/>
      <c r="BF70" s="1187"/>
      <c r="BG70" s="1187"/>
      <c r="BH70" s="1187"/>
      <c r="BI70" s="1187"/>
      <c r="BJ70" s="1187"/>
      <c r="BK70" s="1187"/>
      <c r="BL70" s="1187"/>
      <c r="BM70" s="1187"/>
      <c r="BN70" s="1187"/>
      <c r="BO70" s="1187"/>
      <c r="BP70" s="1187"/>
      <c r="BQ70" s="1187"/>
      <c r="BR70" s="1187"/>
      <c r="BS70" s="1187"/>
      <c r="BT70" s="1187"/>
      <c r="BU70" s="1187"/>
      <c r="BV70" s="1187"/>
      <c r="BW70" s="1187"/>
      <c r="BX70" s="1187"/>
      <c r="BY70" s="1187"/>
      <c r="BZ70" s="1187"/>
      <c r="CA70" s="1187"/>
      <c r="CB70" s="1187"/>
      <c r="CC70" s="1187"/>
      <c r="CD70" s="1187"/>
      <c r="CE70" s="1187"/>
      <c r="CF70" s="1187"/>
      <c r="CG70" s="1187"/>
      <c r="CH70" s="1187"/>
      <c r="CI70" s="1187"/>
      <c r="CJ70" s="1187"/>
    </row>
    <row r="71" spans="1:88" s="1189" customFormat="1" ht="38.25">
      <c r="A71" s="1187"/>
      <c r="B71" s="2012" t="s">
        <v>4357</v>
      </c>
      <c r="C71" s="3614"/>
      <c r="D71" s="3615"/>
      <c r="E71" s="3615"/>
      <c r="F71" s="3615"/>
      <c r="G71" s="3615"/>
      <c r="H71" s="3615"/>
      <c r="I71" s="3615"/>
      <c r="J71" s="3616"/>
      <c r="K71" s="1187"/>
      <c r="L71" s="1187"/>
      <c r="M71" s="1187"/>
      <c r="N71" s="1187"/>
      <c r="O71" s="1187"/>
      <c r="P71" s="1187"/>
      <c r="Q71" s="1187"/>
      <c r="R71" s="1187"/>
      <c r="S71" s="1187"/>
      <c r="T71" s="1187"/>
      <c r="U71" s="1187"/>
      <c r="V71" s="1187"/>
      <c r="W71" s="1187"/>
      <c r="X71" s="1187"/>
      <c r="Y71" s="1187"/>
      <c r="Z71" s="1187"/>
      <c r="AA71" s="1187"/>
      <c r="AB71" s="1187"/>
      <c r="AC71" s="1187"/>
      <c r="AD71" s="1187"/>
      <c r="AE71" s="1187"/>
      <c r="AF71" s="1187"/>
      <c r="AG71" s="1187"/>
      <c r="AH71" s="1187"/>
      <c r="AI71" s="1187"/>
      <c r="AJ71" s="1187"/>
      <c r="AK71" s="1187"/>
      <c r="AL71" s="1187"/>
      <c r="AM71" s="1187"/>
      <c r="AN71" s="1187"/>
      <c r="AO71" s="1187"/>
      <c r="AP71" s="1187"/>
      <c r="AQ71" s="1187"/>
      <c r="AR71" s="1187"/>
      <c r="AS71" s="1187"/>
      <c r="AT71" s="1187"/>
      <c r="AU71" s="1187"/>
      <c r="AV71" s="1187"/>
      <c r="AW71" s="1187"/>
      <c r="AX71" s="1187"/>
      <c r="AY71" s="1187"/>
      <c r="AZ71" s="1187"/>
      <c r="BA71" s="1187"/>
      <c r="BB71" s="1187"/>
      <c r="BC71" s="1187"/>
      <c r="BD71" s="1187"/>
      <c r="BE71" s="1187"/>
      <c r="BF71" s="1187"/>
      <c r="BG71" s="1187"/>
      <c r="BH71" s="1187"/>
      <c r="BI71" s="1187"/>
      <c r="BJ71" s="1187"/>
      <c r="BK71" s="1187"/>
      <c r="BL71" s="1187"/>
      <c r="BM71" s="1187"/>
      <c r="BN71" s="1187"/>
      <c r="BO71" s="1187"/>
      <c r="BP71" s="1187"/>
      <c r="BQ71" s="1187"/>
      <c r="BR71" s="1187"/>
      <c r="BS71" s="1187"/>
      <c r="BT71" s="1187"/>
      <c r="BU71" s="1187"/>
      <c r="BV71" s="1187"/>
      <c r="BW71" s="1187"/>
      <c r="BX71" s="1187"/>
      <c r="BY71" s="1187"/>
      <c r="BZ71" s="1187"/>
      <c r="CA71" s="1187"/>
      <c r="CB71" s="1187"/>
      <c r="CC71" s="1187"/>
      <c r="CD71" s="1187"/>
      <c r="CE71" s="1187"/>
      <c r="CF71" s="1187"/>
      <c r="CG71" s="1187"/>
      <c r="CH71" s="1187"/>
      <c r="CI71" s="1187"/>
      <c r="CJ71" s="1187"/>
    </row>
    <row r="72" spans="1:88" s="1189" customFormat="1" ht="25.5">
      <c r="A72" s="1187"/>
      <c r="B72" s="2012" t="s">
        <v>4358</v>
      </c>
      <c r="C72" s="3614"/>
      <c r="D72" s="3615"/>
      <c r="E72" s="3615"/>
      <c r="F72" s="3615"/>
      <c r="G72" s="3615"/>
      <c r="H72" s="3615"/>
      <c r="I72" s="3615"/>
      <c r="J72" s="3616"/>
      <c r="K72" s="1187"/>
      <c r="L72" s="1187"/>
      <c r="M72" s="1187"/>
      <c r="N72" s="1187"/>
      <c r="O72" s="1187"/>
      <c r="P72" s="1187"/>
      <c r="Q72" s="1187"/>
      <c r="R72" s="1187"/>
      <c r="S72" s="1187"/>
      <c r="T72" s="1187"/>
      <c r="U72" s="1187"/>
      <c r="V72" s="1187"/>
      <c r="W72" s="1187"/>
      <c r="X72" s="1187"/>
      <c r="Y72" s="1187"/>
      <c r="Z72" s="1187"/>
      <c r="AA72" s="1187"/>
      <c r="AB72" s="1187"/>
      <c r="AC72" s="1187"/>
      <c r="AD72" s="1187"/>
      <c r="AE72" s="1187"/>
      <c r="AF72" s="1187"/>
      <c r="AG72" s="1187"/>
      <c r="AH72" s="1187"/>
      <c r="AI72" s="1187"/>
      <c r="AJ72" s="1187"/>
      <c r="AK72" s="1187"/>
      <c r="AL72" s="1187"/>
      <c r="AM72" s="1187"/>
      <c r="AN72" s="1187"/>
      <c r="AO72" s="1187"/>
      <c r="AP72" s="1187"/>
      <c r="AQ72" s="1187"/>
      <c r="AR72" s="1187"/>
      <c r="AS72" s="1187"/>
      <c r="AT72" s="1187"/>
      <c r="AU72" s="1187"/>
      <c r="AV72" s="1187"/>
      <c r="AW72" s="1187"/>
      <c r="AX72" s="1187"/>
      <c r="AY72" s="1187"/>
      <c r="AZ72" s="1187"/>
      <c r="BA72" s="1187"/>
      <c r="BB72" s="1187"/>
      <c r="BC72" s="1187"/>
      <c r="BD72" s="1187"/>
      <c r="BE72" s="1187"/>
      <c r="BF72" s="1187"/>
      <c r="BG72" s="1187"/>
      <c r="BH72" s="1187"/>
      <c r="BI72" s="1187"/>
      <c r="BJ72" s="1187"/>
      <c r="BK72" s="1187"/>
      <c r="BL72" s="1187"/>
      <c r="BM72" s="1187"/>
      <c r="BN72" s="1187"/>
      <c r="BO72" s="1187"/>
      <c r="BP72" s="1187"/>
      <c r="BQ72" s="1187"/>
      <c r="BR72" s="1187"/>
      <c r="BS72" s="1187"/>
      <c r="BT72" s="1187"/>
      <c r="BU72" s="1187"/>
      <c r="BV72" s="1187"/>
      <c r="BW72" s="1187"/>
      <c r="BX72" s="1187"/>
      <c r="BY72" s="1187"/>
      <c r="BZ72" s="1187"/>
      <c r="CA72" s="1187"/>
      <c r="CB72" s="1187"/>
      <c r="CC72" s="1187"/>
      <c r="CD72" s="1187"/>
      <c r="CE72" s="1187"/>
      <c r="CF72" s="1187"/>
      <c r="CG72" s="1187"/>
      <c r="CH72" s="1187"/>
      <c r="CI72" s="1187"/>
      <c r="CJ72" s="1187"/>
    </row>
    <row r="73" spans="1:88" s="1189" customFormat="1" ht="39" thickBot="1">
      <c r="A73" s="1187"/>
      <c r="B73" s="2013" t="s">
        <v>4359</v>
      </c>
      <c r="C73" s="3617"/>
      <c r="D73" s="3618"/>
      <c r="E73" s="3618"/>
      <c r="F73" s="3618"/>
      <c r="G73" s="3618"/>
      <c r="H73" s="3618"/>
      <c r="I73" s="3618"/>
      <c r="J73" s="3619"/>
      <c r="K73" s="1187"/>
      <c r="L73" s="1187"/>
      <c r="M73" s="1187"/>
      <c r="N73" s="1187"/>
      <c r="O73" s="1187"/>
      <c r="P73" s="1187"/>
      <c r="Q73" s="1187"/>
      <c r="R73" s="1187"/>
      <c r="S73" s="1187"/>
      <c r="T73" s="1187"/>
      <c r="U73" s="1187"/>
      <c r="V73" s="1187"/>
      <c r="W73" s="1187"/>
      <c r="X73" s="1187"/>
      <c r="Y73" s="1187"/>
      <c r="Z73" s="1187"/>
      <c r="AA73" s="1187"/>
      <c r="AB73" s="1187"/>
      <c r="AC73" s="1187"/>
      <c r="AD73" s="1187"/>
      <c r="AE73" s="1187"/>
      <c r="AF73" s="1187"/>
      <c r="AG73" s="1187"/>
      <c r="AH73" s="1187"/>
      <c r="AI73" s="1187"/>
      <c r="AJ73" s="1187"/>
      <c r="AK73" s="1187"/>
      <c r="AL73" s="1187"/>
      <c r="AM73" s="1187"/>
      <c r="AN73" s="1187"/>
      <c r="AO73" s="1187"/>
      <c r="AP73" s="1187"/>
      <c r="AQ73" s="1187"/>
      <c r="AR73" s="1187"/>
      <c r="AS73" s="1187"/>
      <c r="AT73" s="1187"/>
      <c r="AU73" s="1187"/>
      <c r="AV73" s="1187"/>
      <c r="AW73" s="1187"/>
      <c r="AX73" s="1187"/>
      <c r="AY73" s="1187"/>
      <c r="AZ73" s="1187"/>
      <c r="BA73" s="1187"/>
      <c r="BB73" s="1187"/>
      <c r="BC73" s="1187"/>
      <c r="BD73" s="1187"/>
      <c r="BE73" s="1187"/>
      <c r="BF73" s="1187"/>
      <c r="BG73" s="1187"/>
      <c r="BH73" s="1187"/>
      <c r="BI73" s="1187"/>
      <c r="BJ73" s="1187"/>
      <c r="BK73" s="1187"/>
      <c r="BL73" s="1187"/>
      <c r="BM73" s="1187"/>
      <c r="BN73" s="1187"/>
      <c r="BO73" s="1187"/>
      <c r="BP73" s="1187"/>
      <c r="BQ73" s="1187"/>
      <c r="BR73" s="1187"/>
      <c r="BS73" s="1187"/>
      <c r="BT73" s="1187"/>
      <c r="BU73" s="1187"/>
      <c r="BV73" s="1187"/>
      <c r="BW73" s="1187"/>
      <c r="BX73" s="1187"/>
      <c r="BY73" s="1187"/>
      <c r="BZ73" s="1187"/>
      <c r="CA73" s="1187"/>
      <c r="CB73" s="1187"/>
      <c r="CC73" s="1187"/>
      <c r="CD73" s="1187"/>
      <c r="CE73" s="1187"/>
      <c r="CF73" s="1187"/>
      <c r="CG73" s="1187"/>
      <c r="CH73" s="1187"/>
      <c r="CI73" s="1187"/>
      <c r="CJ73" s="1187"/>
    </row>
    <row r="74" spans="1:88" s="1189" customFormat="1" ht="66" customHeight="1" thickBot="1">
      <c r="A74" s="1187"/>
      <c r="B74" s="2014" t="s">
        <v>4360</v>
      </c>
      <c r="C74" s="3633" t="s">
        <v>12206</v>
      </c>
      <c r="D74" s="3634"/>
      <c r="E74" s="3634"/>
      <c r="F74" s="3634"/>
      <c r="G74" s="3634"/>
      <c r="H74" s="3634"/>
      <c r="I74" s="3634"/>
      <c r="J74" s="3635"/>
      <c r="K74" s="1187"/>
      <c r="L74" s="1187"/>
      <c r="M74" s="1187"/>
      <c r="N74" s="1187"/>
      <c r="O74" s="1187"/>
      <c r="P74" s="1187"/>
      <c r="Q74" s="1187"/>
      <c r="R74" s="1187"/>
      <c r="S74" s="1187"/>
      <c r="T74" s="1187"/>
      <c r="U74" s="1187"/>
      <c r="V74" s="1187"/>
      <c r="W74" s="1187"/>
      <c r="X74" s="1187"/>
      <c r="Y74" s="1187"/>
      <c r="Z74" s="1187"/>
      <c r="AA74" s="1187"/>
      <c r="AB74" s="1187"/>
      <c r="AC74" s="1187"/>
      <c r="AD74" s="1187"/>
      <c r="AE74" s="1187"/>
      <c r="AF74" s="1187"/>
      <c r="AG74" s="1187"/>
      <c r="AH74" s="1187"/>
      <c r="AI74" s="1187"/>
      <c r="AJ74" s="1187"/>
      <c r="AK74" s="1187"/>
      <c r="AL74" s="1187"/>
      <c r="AM74" s="1187"/>
      <c r="AN74" s="1187"/>
      <c r="AO74" s="1187"/>
      <c r="AP74" s="1187"/>
      <c r="AQ74" s="1187"/>
      <c r="AR74" s="1187"/>
      <c r="AS74" s="1187"/>
      <c r="AT74" s="1187"/>
      <c r="AU74" s="1187"/>
      <c r="AV74" s="1187"/>
      <c r="AW74" s="1187"/>
      <c r="AX74" s="1187"/>
      <c r="AY74" s="1187"/>
      <c r="AZ74" s="1187"/>
      <c r="BA74" s="1187"/>
      <c r="BB74" s="1187"/>
      <c r="BC74" s="1187"/>
      <c r="BD74" s="1187"/>
      <c r="BE74" s="1187"/>
      <c r="BF74" s="1187"/>
      <c r="BG74" s="1187"/>
      <c r="BH74" s="1187"/>
      <c r="BI74" s="1187"/>
      <c r="BJ74" s="1187"/>
      <c r="BK74" s="1187"/>
      <c r="BL74" s="1187"/>
      <c r="BM74" s="1187"/>
      <c r="BN74" s="1187"/>
      <c r="BO74" s="1187"/>
      <c r="BP74" s="1187"/>
      <c r="BQ74" s="1187"/>
      <c r="BR74" s="1187"/>
      <c r="BS74" s="1187"/>
      <c r="BT74" s="1187"/>
      <c r="BU74" s="1187"/>
      <c r="BV74" s="1187"/>
      <c r="BW74" s="1187"/>
      <c r="BX74" s="1187"/>
      <c r="BY74" s="1187"/>
      <c r="BZ74" s="1187"/>
      <c r="CA74" s="1187"/>
      <c r="CB74" s="1187"/>
      <c r="CC74" s="1187"/>
      <c r="CD74" s="1187"/>
      <c r="CE74" s="1187"/>
      <c r="CF74" s="1187"/>
      <c r="CG74" s="1187"/>
      <c r="CH74" s="1187"/>
      <c r="CI74" s="1187"/>
      <c r="CJ74" s="1187"/>
    </row>
    <row r="75" spans="1:88" s="1189" customFormat="1" ht="26.25" thickBot="1">
      <c r="A75" s="1187"/>
      <c r="B75" s="2014" t="s">
        <v>4361</v>
      </c>
      <c r="C75" s="3633" t="s">
        <v>12207</v>
      </c>
      <c r="D75" s="3634"/>
      <c r="E75" s="3634"/>
      <c r="F75" s="3634"/>
      <c r="G75" s="3634"/>
      <c r="H75" s="3634"/>
      <c r="I75" s="3634"/>
      <c r="J75" s="3635"/>
      <c r="K75" s="1187"/>
      <c r="L75" s="1187"/>
      <c r="M75" s="1187"/>
      <c r="N75" s="1187"/>
      <c r="O75" s="1187"/>
      <c r="P75" s="1187"/>
      <c r="Q75" s="1187"/>
      <c r="R75" s="1187"/>
      <c r="S75" s="1187"/>
      <c r="T75" s="1187"/>
      <c r="U75" s="1187"/>
      <c r="V75" s="1187"/>
      <c r="W75" s="1187"/>
      <c r="X75" s="1187"/>
      <c r="Y75" s="1187"/>
      <c r="Z75" s="1187"/>
      <c r="AA75" s="1187"/>
      <c r="AB75" s="1187"/>
      <c r="AC75" s="1187"/>
      <c r="AD75" s="1187"/>
      <c r="AE75" s="1187"/>
      <c r="AF75" s="1187"/>
      <c r="AG75" s="1187"/>
      <c r="AH75" s="1187"/>
      <c r="AI75" s="1187"/>
      <c r="AJ75" s="1187"/>
      <c r="AK75" s="1187"/>
      <c r="AL75" s="1187"/>
      <c r="AM75" s="1187"/>
      <c r="AN75" s="1187"/>
      <c r="AO75" s="1187"/>
      <c r="AP75" s="1187"/>
      <c r="AQ75" s="1187"/>
      <c r="AR75" s="1187"/>
      <c r="AS75" s="1187"/>
      <c r="AT75" s="1187"/>
      <c r="AU75" s="1187"/>
      <c r="AV75" s="1187"/>
      <c r="AW75" s="1187"/>
      <c r="AX75" s="1187"/>
      <c r="AY75" s="1187"/>
      <c r="AZ75" s="1187"/>
      <c r="BA75" s="1187"/>
      <c r="BB75" s="1187"/>
      <c r="BC75" s="1187"/>
      <c r="BD75" s="1187"/>
      <c r="BE75" s="1187"/>
      <c r="BF75" s="1187"/>
      <c r="BG75" s="1187"/>
      <c r="BH75" s="1187"/>
      <c r="BI75" s="1187"/>
      <c r="BJ75" s="1187"/>
      <c r="BK75" s="1187"/>
      <c r="BL75" s="1187"/>
      <c r="BM75" s="1187"/>
      <c r="BN75" s="1187"/>
      <c r="BO75" s="1187"/>
      <c r="BP75" s="1187"/>
      <c r="BQ75" s="1187"/>
      <c r="BR75" s="1187"/>
      <c r="BS75" s="1187"/>
      <c r="BT75" s="1187"/>
      <c r="BU75" s="1187"/>
      <c r="BV75" s="1187"/>
      <c r="BW75" s="1187"/>
      <c r="BX75" s="1187"/>
      <c r="BY75" s="1187"/>
      <c r="BZ75" s="1187"/>
      <c r="CA75" s="1187"/>
      <c r="CB75" s="1187"/>
      <c r="CC75" s="1187"/>
      <c r="CD75" s="1187"/>
      <c r="CE75" s="1187"/>
      <c r="CF75" s="1187"/>
      <c r="CG75" s="1187"/>
      <c r="CH75" s="1187"/>
      <c r="CI75" s="1187"/>
      <c r="CJ75" s="1187"/>
    </row>
    <row r="76" spans="1:88" s="1189" customFormat="1" ht="27" customHeight="1" thickBot="1">
      <c r="A76" s="1187"/>
      <c r="B76" s="2014" t="s">
        <v>4362</v>
      </c>
      <c r="C76" s="3633" t="s">
        <v>4363</v>
      </c>
      <c r="D76" s="3634"/>
      <c r="E76" s="3634"/>
      <c r="F76" s="3634"/>
      <c r="G76" s="3634"/>
      <c r="H76" s="3634"/>
      <c r="I76" s="3634"/>
      <c r="J76" s="3635"/>
      <c r="K76" s="1187"/>
      <c r="L76" s="1187"/>
      <c r="M76" s="1187"/>
      <c r="N76" s="1187"/>
      <c r="O76" s="1187"/>
      <c r="P76" s="1187"/>
      <c r="Q76" s="1187"/>
      <c r="R76" s="1187"/>
      <c r="S76" s="1187"/>
      <c r="T76" s="1187"/>
      <c r="U76" s="1187"/>
      <c r="V76" s="1187"/>
      <c r="W76" s="1187"/>
      <c r="X76" s="1187"/>
      <c r="Y76" s="1187"/>
      <c r="Z76" s="1187"/>
      <c r="AA76" s="1187"/>
      <c r="AB76" s="1187"/>
      <c r="AC76" s="1187"/>
      <c r="AD76" s="1187"/>
      <c r="AE76" s="1187"/>
      <c r="AF76" s="1187"/>
      <c r="AG76" s="1187"/>
      <c r="AH76" s="1187"/>
      <c r="AI76" s="1187"/>
      <c r="AJ76" s="1187"/>
      <c r="AK76" s="1187"/>
      <c r="AL76" s="1187"/>
      <c r="AM76" s="1187"/>
      <c r="AN76" s="1187"/>
      <c r="AO76" s="1187"/>
      <c r="AP76" s="1187"/>
      <c r="AQ76" s="1187"/>
      <c r="AR76" s="1187"/>
      <c r="AS76" s="1187"/>
      <c r="AT76" s="1187"/>
      <c r="AU76" s="1187"/>
      <c r="AV76" s="1187"/>
      <c r="AW76" s="1187"/>
      <c r="AX76" s="1187"/>
      <c r="AY76" s="1187"/>
      <c r="AZ76" s="1187"/>
      <c r="BA76" s="1187"/>
      <c r="BB76" s="1187"/>
      <c r="BC76" s="1187"/>
      <c r="BD76" s="1187"/>
      <c r="BE76" s="1187"/>
      <c r="BF76" s="1187"/>
      <c r="BG76" s="1187"/>
      <c r="BH76" s="1187"/>
      <c r="BI76" s="1187"/>
      <c r="BJ76" s="1187"/>
      <c r="BK76" s="1187"/>
      <c r="BL76" s="1187"/>
      <c r="BM76" s="1187"/>
      <c r="BN76" s="1187"/>
      <c r="BO76" s="1187"/>
      <c r="BP76" s="1187"/>
      <c r="BQ76" s="1187"/>
      <c r="BR76" s="1187"/>
      <c r="BS76" s="1187"/>
      <c r="BT76" s="1187"/>
      <c r="BU76" s="1187"/>
      <c r="BV76" s="1187"/>
      <c r="BW76" s="1187"/>
      <c r="BX76" s="1187"/>
      <c r="BY76" s="1187"/>
      <c r="BZ76" s="1187"/>
      <c r="CA76" s="1187"/>
      <c r="CB76" s="1187"/>
      <c r="CC76" s="1187"/>
      <c r="CD76" s="1187"/>
      <c r="CE76" s="1187"/>
      <c r="CF76" s="1187"/>
      <c r="CG76" s="1187"/>
      <c r="CH76" s="1187"/>
      <c r="CI76" s="1187"/>
      <c r="CJ76" s="1187"/>
    </row>
    <row r="77" spans="1:88" s="1189" customFormat="1" ht="51.75" thickBot="1">
      <c r="A77" s="1187"/>
      <c r="B77" s="2014" t="s">
        <v>4364</v>
      </c>
      <c r="C77" s="3633" t="s">
        <v>4365</v>
      </c>
      <c r="D77" s="3634"/>
      <c r="E77" s="3634"/>
      <c r="F77" s="3634"/>
      <c r="G77" s="3634"/>
      <c r="H77" s="3634"/>
      <c r="I77" s="3634"/>
      <c r="J77" s="3635"/>
      <c r="K77" s="1187"/>
      <c r="L77" s="1187"/>
      <c r="M77" s="1187"/>
      <c r="N77" s="1187"/>
      <c r="O77" s="1187"/>
      <c r="P77" s="1187"/>
      <c r="Q77" s="1187"/>
      <c r="R77" s="1187"/>
      <c r="S77" s="1187"/>
      <c r="T77" s="1187"/>
      <c r="U77" s="1187"/>
      <c r="V77" s="1187"/>
      <c r="W77" s="1187"/>
      <c r="X77" s="1187"/>
      <c r="Y77" s="1187"/>
      <c r="Z77" s="1187"/>
      <c r="AA77" s="1187"/>
      <c r="AB77" s="1187"/>
      <c r="AC77" s="1187"/>
      <c r="AD77" s="1187"/>
      <c r="AE77" s="1187"/>
      <c r="AF77" s="1187"/>
      <c r="AG77" s="1187"/>
      <c r="AH77" s="1187"/>
      <c r="AI77" s="1187"/>
      <c r="AJ77" s="1187"/>
      <c r="AK77" s="1187"/>
      <c r="AL77" s="1187"/>
      <c r="AM77" s="1187"/>
      <c r="AN77" s="1187"/>
      <c r="AO77" s="1187"/>
      <c r="AP77" s="1187"/>
      <c r="AQ77" s="1187"/>
      <c r="AR77" s="1187"/>
      <c r="AS77" s="1187"/>
      <c r="AT77" s="1187"/>
      <c r="AU77" s="1187"/>
      <c r="AV77" s="1187"/>
      <c r="AW77" s="1187"/>
      <c r="AX77" s="1187"/>
      <c r="AY77" s="1187"/>
      <c r="AZ77" s="1187"/>
      <c r="BA77" s="1187"/>
      <c r="BB77" s="1187"/>
      <c r="BC77" s="1187"/>
      <c r="BD77" s="1187"/>
      <c r="BE77" s="1187"/>
      <c r="BF77" s="1187"/>
      <c r="BG77" s="1187"/>
      <c r="BH77" s="1187"/>
      <c r="BI77" s="1187"/>
      <c r="BJ77" s="1187"/>
      <c r="BK77" s="1187"/>
      <c r="BL77" s="1187"/>
      <c r="BM77" s="1187"/>
      <c r="BN77" s="1187"/>
      <c r="BO77" s="1187"/>
      <c r="BP77" s="1187"/>
      <c r="BQ77" s="1187"/>
      <c r="BR77" s="1187"/>
      <c r="BS77" s="1187"/>
      <c r="BT77" s="1187"/>
      <c r="BU77" s="1187"/>
      <c r="BV77" s="1187"/>
      <c r="BW77" s="1187"/>
      <c r="BX77" s="1187"/>
      <c r="BY77" s="1187"/>
      <c r="BZ77" s="1187"/>
      <c r="CA77" s="1187"/>
      <c r="CB77" s="1187"/>
      <c r="CC77" s="1187"/>
      <c r="CD77" s="1187"/>
      <c r="CE77" s="1187"/>
      <c r="CF77" s="1187"/>
      <c r="CG77" s="1187"/>
      <c r="CH77" s="1187"/>
      <c r="CI77" s="1187"/>
      <c r="CJ77" s="1187"/>
    </row>
    <row r="78" spans="1:88" s="1189" customFormat="1" ht="39" thickBot="1">
      <c r="A78" s="1187"/>
      <c r="B78" s="2014" t="s">
        <v>4366</v>
      </c>
      <c r="C78" s="3633" t="s">
        <v>12208</v>
      </c>
      <c r="D78" s="3634"/>
      <c r="E78" s="3634"/>
      <c r="F78" s="3634"/>
      <c r="G78" s="3634"/>
      <c r="H78" s="3634"/>
      <c r="I78" s="3634"/>
      <c r="J78" s="3635"/>
      <c r="K78" s="1187"/>
      <c r="L78" s="1187"/>
      <c r="M78" s="1187"/>
      <c r="N78" s="1187"/>
      <c r="O78" s="1187"/>
      <c r="P78" s="1187"/>
      <c r="Q78" s="1187"/>
      <c r="R78" s="1187"/>
      <c r="S78" s="1187"/>
      <c r="T78" s="1187"/>
      <c r="U78" s="1187"/>
      <c r="V78" s="1187"/>
      <c r="W78" s="1187"/>
      <c r="X78" s="1187"/>
      <c r="Y78" s="1187"/>
      <c r="Z78" s="1187"/>
      <c r="AA78" s="1187"/>
      <c r="AB78" s="1187"/>
      <c r="AC78" s="1187"/>
      <c r="AD78" s="1187"/>
      <c r="AE78" s="1187"/>
      <c r="AF78" s="1187"/>
      <c r="AG78" s="1187"/>
      <c r="AH78" s="1187"/>
      <c r="AI78" s="1187"/>
      <c r="AJ78" s="1187"/>
      <c r="AK78" s="1187"/>
      <c r="AL78" s="1187"/>
      <c r="AM78" s="1187"/>
      <c r="AN78" s="1187"/>
      <c r="AO78" s="1187"/>
      <c r="AP78" s="1187"/>
      <c r="AQ78" s="1187"/>
      <c r="AR78" s="1187"/>
      <c r="AS78" s="1187"/>
      <c r="AT78" s="1187"/>
      <c r="AU78" s="1187"/>
      <c r="AV78" s="1187"/>
      <c r="AW78" s="1187"/>
      <c r="AX78" s="1187"/>
      <c r="AY78" s="1187"/>
      <c r="AZ78" s="1187"/>
      <c r="BA78" s="1187"/>
      <c r="BB78" s="1187"/>
      <c r="BC78" s="1187"/>
      <c r="BD78" s="1187"/>
      <c r="BE78" s="1187"/>
      <c r="BF78" s="1187"/>
      <c r="BG78" s="1187"/>
      <c r="BH78" s="1187"/>
      <c r="BI78" s="1187"/>
      <c r="BJ78" s="1187"/>
      <c r="BK78" s="1187"/>
      <c r="BL78" s="1187"/>
      <c r="BM78" s="1187"/>
      <c r="BN78" s="1187"/>
      <c r="BO78" s="1187"/>
      <c r="BP78" s="1187"/>
      <c r="BQ78" s="1187"/>
      <c r="BR78" s="1187"/>
      <c r="BS78" s="1187"/>
      <c r="BT78" s="1187"/>
      <c r="BU78" s="1187"/>
      <c r="BV78" s="1187"/>
      <c r="BW78" s="1187"/>
      <c r="BX78" s="1187"/>
      <c r="BY78" s="1187"/>
      <c r="BZ78" s="1187"/>
      <c r="CA78" s="1187"/>
      <c r="CB78" s="1187"/>
      <c r="CC78" s="1187"/>
      <c r="CD78" s="1187"/>
      <c r="CE78" s="1187"/>
      <c r="CF78" s="1187"/>
      <c r="CG78" s="1187"/>
      <c r="CH78" s="1187"/>
      <c r="CI78" s="1187"/>
      <c r="CJ78" s="1187"/>
    </row>
    <row r="79" spans="1:88" s="1189" customFormat="1" ht="26.25" thickBot="1">
      <c r="A79" s="1187"/>
      <c r="B79" s="2013" t="s">
        <v>4367</v>
      </c>
      <c r="C79" s="3608" t="s">
        <v>4368</v>
      </c>
      <c r="D79" s="3609"/>
      <c r="E79" s="3609"/>
      <c r="F79" s="3609"/>
      <c r="G79" s="3609"/>
      <c r="H79" s="3609"/>
      <c r="I79" s="3609"/>
      <c r="J79" s="3610"/>
      <c r="K79" s="1187"/>
      <c r="L79" s="1187"/>
      <c r="M79" s="1187"/>
      <c r="N79" s="1187"/>
      <c r="O79" s="1187"/>
      <c r="P79" s="1187"/>
      <c r="Q79" s="1187"/>
      <c r="R79" s="1187"/>
      <c r="S79" s="1187"/>
      <c r="T79" s="1187"/>
      <c r="U79" s="1187"/>
      <c r="V79" s="1187"/>
      <c r="W79" s="1187"/>
      <c r="X79" s="1187"/>
      <c r="Y79" s="1187"/>
      <c r="Z79" s="1187"/>
      <c r="AA79" s="1187"/>
      <c r="AB79" s="1187"/>
      <c r="AC79" s="1187"/>
      <c r="AD79" s="1187"/>
      <c r="AE79" s="1187"/>
      <c r="AF79" s="1187"/>
      <c r="AG79" s="1187"/>
      <c r="AH79" s="1187"/>
      <c r="AI79" s="1187"/>
      <c r="AJ79" s="1187"/>
      <c r="AK79" s="1187"/>
      <c r="AL79" s="1187"/>
      <c r="AM79" s="1187"/>
      <c r="AN79" s="1187"/>
      <c r="AO79" s="1187"/>
      <c r="AP79" s="1187"/>
      <c r="AQ79" s="1187"/>
      <c r="AR79" s="1187"/>
      <c r="AS79" s="1187"/>
      <c r="AT79" s="1187"/>
      <c r="AU79" s="1187"/>
      <c r="AV79" s="1187"/>
      <c r="AW79" s="1187"/>
      <c r="AX79" s="1187"/>
      <c r="AY79" s="1187"/>
      <c r="AZ79" s="1187"/>
      <c r="BA79" s="1187"/>
      <c r="BB79" s="1187"/>
      <c r="BC79" s="1187"/>
      <c r="BD79" s="1187"/>
      <c r="BE79" s="1187"/>
      <c r="BF79" s="1187"/>
      <c r="BG79" s="1187"/>
      <c r="BH79" s="1187"/>
      <c r="BI79" s="1187"/>
      <c r="BJ79" s="1187"/>
      <c r="BK79" s="1187"/>
      <c r="BL79" s="1187"/>
      <c r="BM79" s="1187"/>
      <c r="BN79" s="1187"/>
      <c r="BO79" s="1187"/>
      <c r="BP79" s="1187"/>
      <c r="BQ79" s="1187"/>
      <c r="BR79" s="1187"/>
      <c r="BS79" s="1187"/>
      <c r="BT79" s="1187"/>
      <c r="BU79" s="1187"/>
      <c r="BV79" s="1187"/>
      <c r="BW79" s="1187"/>
      <c r="BX79" s="1187"/>
      <c r="BY79" s="1187"/>
      <c r="BZ79" s="1187"/>
      <c r="CA79" s="1187"/>
      <c r="CB79" s="1187"/>
      <c r="CC79" s="1187"/>
      <c r="CD79" s="1187"/>
      <c r="CE79" s="1187"/>
      <c r="CF79" s="1187"/>
      <c r="CG79" s="1187"/>
      <c r="CH79" s="1187"/>
      <c r="CI79" s="1187"/>
      <c r="CJ79" s="1187"/>
    </row>
    <row r="80" spans="1:88" s="1189" customFormat="1" ht="16.149999999999999" customHeight="1" thickBot="1">
      <c r="A80" s="1187"/>
      <c r="B80" s="1188"/>
      <c r="C80" s="1188"/>
      <c r="D80" s="1188"/>
      <c r="E80" s="1188"/>
      <c r="F80" s="1188"/>
      <c r="G80" s="1188"/>
      <c r="H80" s="1188"/>
      <c r="I80" s="1187"/>
      <c r="J80" s="1187"/>
      <c r="K80" s="1187"/>
      <c r="L80" s="1187"/>
      <c r="M80" s="1187"/>
      <c r="N80" s="1187"/>
      <c r="O80" s="1187"/>
      <c r="P80" s="1187"/>
      <c r="Q80" s="1187"/>
      <c r="R80" s="1187"/>
      <c r="S80" s="1187"/>
      <c r="T80" s="1187"/>
      <c r="U80" s="1187"/>
      <c r="V80" s="1187"/>
      <c r="W80" s="1187"/>
      <c r="X80" s="1187"/>
      <c r="Y80" s="1187"/>
      <c r="Z80" s="1187"/>
      <c r="AA80" s="1187"/>
      <c r="AB80" s="1187"/>
      <c r="AC80" s="1187"/>
      <c r="AD80" s="1187"/>
      <c r="AE80" s="1187"/>
      <c r="AF80" s="1187"/>
      <c r="AG80" s="1187"/>
      <c r="AH80" s="1187"/>
      <c r="AI80" s="1187"/>
      <c r="AJ80" s="1187"/>
      <c r="AK80" s="1187"/>
      <c r="AL80" s="1187"/>
      <c r="AM80" s="1187"/>
      <c r="AN80" s="1187"/>
      <c r="AO80" s="1187"/>
      <c r="AP80" s="1187"/>
      <c r="AQ80" s="1187"/>
      <c r="AR80" s="1187"/>
      <c r="AS80" s="1187"/>
      <c r="AT80" s="1187"/>
      <c r="AU80" s="1187"/>
      <c r="AV80" s="1187"/>
      <c r="AW80" s="1187"/>
      <c r="AX80" s="1187"/>
      <c r="AY80" s="1187"/>
      <c r="AZ80" s="1187"/>
      <c r="BA80" s="1187"/>
      <c r="BB80" s="1187"/>
      <c r="BC80" s="1187"/>
      <c r="BD80" s="1187"/>
      <c r="BE80" s="1187"/>
      <c r="BF80" s="1187"/>
      <c r="BG80" s="1187"/>
      <c r="BH80" s="1187"/>
      <c r="BI80" s="1187"/>
      <c r="BJ80" s="1187"/>
      <c r="BK80" s="1187"/>
      <c r="BL80" s="1187"/>
      <c r="BM80" s="1187"/>
      <c r="BN80" s="1187"/>
      <c r="BO80" s="1187"/>
      <c r="BP80" s="1187"/>
      <c r="BQ80" s="1187"/>
      <c r="BR80" s="1187"/>
      <c r="BS80" s="1187"/>
      <c r="BT80" s="1187"/>
      <c r="BU80" s="1187"/>
      <c r="BV80" s="1187"/>
      <c r="BW80" s="1187"/>
      <c r="BX80" s="1187"/>
      <c r="BY80" s="1187"/>
      <c r="BZ80" s="1187"/>
      <c r="CA80" s="1187"/>
      <c r="CB80" s="1187"/>
      <c r="CC80" s="1187"/>
      <c r="CD80" s="1187"/>
      <c r="CE80" s="1187"/>
      <c r="CF80" s="1187"/>
      <c r="CG80" s="1187"/>
      <c r="CH80" s="1187"/>
      <c r="CI80" s="1187"/>
      <c r="CJ80" s="1187"/>
    </row>
    <row r="81" spans="1:88" s="1189" customFormat="1" ht="15" thickBot="1">
      <c r="A81" s="1187"/>
      <c r="B81" s="3636" t="s">
        <v>4369</v>
      </c>
      <c r="C81" s="3627"/>
      <c r="D81" s="3627"/>
      <c r="E81" s="3627"/>
      <c r="F81" s="3627"/>
      <c r="G81" s="3627"/>
      <c r="H81" s="3627"/>
      <c r="I81" s="3628"/>
      <c r="J81" s="3629"/>
      <c r="K81" s="1187"/>
      <c r="L81" s="1187"/>
      <c r="M81" s="1187"/>
      <c r="N81" s="1187"/>
      <c r="O81" s="1187"/>
      <c r="P81" s="1187"/>
      <c r="Q81" s="1187"/>
      <c r="R81" s="1187"/>
      <c r="S81" s="1187"/>
      <c r="T81" s="1187"/>
      <c r="U81" s="1187"/>
      <c r="V81" s="1187"/>
      <c r="W81" s="1187"/>
      <c r="X81" s="1187"/>
      <c r="Y81" s="1187"/>
      <c r="Z81" s="1187"/>
      <c r="AA81" s="1187"/>
      <c r="AB81" s="1187"/>
      <c r="AC81" s="1187"/>
      <c r="AD81" s="1187"/>
      <c r="AE81" s="1187"/>
      <c r="AF81" s="1187"/>
      <c r="AG81" s="1187"/>
      <c r="AH81" s="1187"/>
      <c r="AI81" s="1187"/>
      <c r="AJ81" s="1187"/>
      <c r="AK81" s="1187"/>
      <c r="AL81" s="1187"/>
      <c r="AM81" s="1187"/>
      <c r="AN81" s="1187"/>
      <c r="AO81" s="1187"/>
      <c r="AP81" s="1187"/>
      <c r="AQ81" s="1187"/>
      <c r="AR81" s="1187"/>
      <c r="AS81" s="1187"/>
      <c r="AT81" s="1187"/>
      <c r="AU81" s="1187"/>
      <c r="AV81" s="1187"/>
      <c r="AW81" s="1187"/>
      <c r="AX81" s="1187"/>
      <c r="AY81" s="1187"/>
      <c r="AZ81" s="1187"/>
      <c r="BA81" s="1187"/>
      <c r="BB81" s="1187"/>
      <c r="BC81" s="1187"/>
      <c r="BD81" s="1187"/>
      <c r="BE81" s="1187"/>
      <c r="BF81" s="1187"/>
      <c r="BG81" s="1187"/>
      <c r="BH81" s="1187"/>
      <c r="BI81" s="1187"/>
      <c r="BJ81" s="1187"/>
      <c r="BK81" s="1187"/>
      <c r="BL81" s="1187"/>
      <c r="BM81" s="1187"/>
      <c r="BN81" s="1187"/>
      <c r="BO81" s="1187"/>
      <c r="BP81" s="1187"/>
      <c r="BQ81" s="1187"/>
      <c r="BR81" s="1187"/>
      <c r="BS81" s="1187"/>
      <c r="BT81" s="1187"/>
      <c r="BU81" s="1187"/>
      <c r="BV81" s="1187"/>
      <c r="BW81" s="1187"/>
      <c r="BX81" s="1187"/>
      <c r="BY81" s="1187"/>
      <c r="BZ81" s="1187"/>
      <c r="CA81" s="1187"/>
      <c r="CB81" s="1187"/>
      <c r="CC81" s="1187"/>
      <c r="CD81" s="1187"/>
      <c r="CE81" s="1187"/>
      <c r="CF81" s="1187"/>
      <c r="CG81" s="1187"/>
      <c r="CH81" s="1187"/>
      <c r="CI81" s="1187"/>
      <c r="CJ81" s="1187"/>
    </row>
    <row r="82" spans="1:88"/>
  </sheetData>
  <mergeCells count="31">
    <mergeCell ref="B81:J81"/>
    <mergeCell ref="B3:C3"/>
    <mergeCell ref="C43:J43"/>
    <mergeCell ref="C38:J38"/>
    <mergeCell ref="C39:J39"/>
    <mergeCell ref="C40:J40"/>
    <mergeCell ref="C41:J41"/>
    <mergeCell ref="C42:J42"/>
    <mergeCell ref="B34:J34"/>
    <mergeCell ref="B60:J60"/>
    <mergeCell ref="C44:J44"/>
    <mergeCell ref="C45:J45"/>
    <mergeCell ref="C46:J46"/>
    <mergeCell ref="C47:J47"/>
    <mergeCell ref="C48:J48"/>
    <mergeCell ref="C49:J49"/>
    <mergeCell ref="C50:J50"/>
    <mergeCell ref="C51:J51"/>
    <mergeCell ref="C52:J52"/>
    <mergeCell ref="C77:J77"/>
    <mergeCell ref="C78:J78"/>
    <mergeCell ref="C53:J53"/>
    <mergeCell ref="C79:J79"/>
    <mergeCell ref="C65:J73"/>
    <mergeCell ref="C54:J54"/>
    <mergeCell ref="B58:J58"/>
    <mergeCell ref="B62:J62"/>
    <mergeCell ref="C64:J64"/>
    <mergeCell ref="C76:J76"/>
    <mergeCell ref="C74:J74"/>
    <mergeCell ref="C75:J75"/>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D8CF702D-BD3B-4A5E-8ACA-4F08841973EB}">
            <xm:f>Validation!$H$3=1</xm:f>
            <x14:dxf>
              <fill>
                <patternFill>
                  <bgColor theme="2"/>
                </patternFill>
              </fill>
            </x14:dxf>
          </x14:cfRule>
          <xm:sqref>G6:CI15 G22:CI23 H21:CI21 G18:CI19</xm:sqref>
        </x14:conditionalFormatting>
        <x14:conditionalFormatting xmlns:xm="http://schemas.microsoft.com/office/excel/2006/main">
          <x14:cfRule type="expression" priority="5"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4"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3"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2"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1" id="{3603D968-3593-4160-9E2D-A5FCC3D22E32}">
            <xm:f>Validation!$H$3=1</xm:f>
            <x14:dxf>
              <fill>
                <patternFill>
                  <bgColor theme="2"/>
                </patternFill>
              </fill>
            </x14:dxf>
          </x14:cfRule>
          <xm:sqref>CI20</xm:sqref>
        </x14:conditionalFormatting>
      </x14:conditionalFormattings>
    </ext>
  </extLst>
</worksheet>
</file>

<file path=xl/worksheets/sheet46.xml><?xml version="1.0" encoding="utf-8"?>
<worksheet xmlns="http://schemas.openxmlformats.org/spreadsheetml/2006/main" xmlns:r="http://schemas.openxmlformats.org/officeDocument/2006/relationships">
  <sheetPr codeName="Sheet43">
    <pageSetUpPr fitToPage="1"/>
  </sheetPr>
  <dimension ref="A1:V281"/>
  <sheetViews>
    <sheetView workbookViewId="0"/>
  </sheetViews>
  <sheetFormatPr defaultColWidth="0" defaultRowHeight="14.25" zeroHeight="1"/>
  <cols>
    <col min="1" max="1" width="0.625" customWidth="1"/>
    <col min="2" max="2" width="8.625" customWidth="1"/>
    <col min="3" max="3" width="73.125" customWidth="1"/>
    <col min="4" max="4" width="10.75" style="584" bestFit="1" customWidth="1"/>
    <col min="5" max="5" width="8.125" style="584" customWidth="1"/>
    <col min="6" max="6" width="8.625" customWidth="1"/>
    <col min="7" max="7" width="12.125" customWidth="1"/>
    <col min="8" max="8" width="30.125" customWidth="1"/>
    <col min="9" max="9" width="2.625" customWidth="1"/>
    <col min="10" max="10" width="23.5" customWidth="1"/>
    <col min="11" max="11" width="1.125" customWidth="1"/>
    <col min="12" max="12" width="1.125" style="1764" hidden="1" customWidth="1"/>
    <col min="13" max="13" width="19.625" hidden="1" customWidth="1"/>
    <col min="14" max="14" width="0.625" style="1764" hidden="1" customWidth="1"/>
    <col min="15" max="15" width="13.625" hidden="1" customWidth="1"/>
    <col min="16" max="16" width="0.5" style="1764" hidden="1" customWidth="1"/>
    <col min="17" max="18" width="8.625" hidden="1" customWidth="1"/>
    <col min="19" max="19" width="26.125" hidden="1" customWidth="1"/>
    <col min="20" max="20" width="1.625" style="1764" hidden="1" customWidth="1"/>
    <col min="21" max="22" width="0" hidden="1" customWidth="1"/>
    <col min="23" max="16384" width="8.625" hidden="1"/>
  </cols>
  <sheetData>
    <row r="1" spans="1:20" s="928" customFormat="1" ht="18.75">
      <c r="B1" s="67" t="s">
        <v>4370</v>
      </c>
      <c r="C1" s="67"/>
      <c r="D1" s="67"/>
      <c r="E1" s="67"/>
      <c r="F1" s="67"/>
      <c r="G1" s="67"/>
      <c r="H1" s="69" t="str">
        <f>Validation!B3</f>
        <v>South West Water – South West area</v>
      </c>
      <c r="I1" s="67"/>
      <c r="J1" s="70" t="s">
        <v>2394</v>
      </c>
      <c r="K1" s="71"/>
      <c r="L1" s="72"/>
      <c r="N1" s="72"/>
      <c r="P1" s="1772"/>
      <c r="T1" s="1772"/>
    </row>
    <row r="2" spans="1:20" s="928" customFormat="1" ht="15" thickBot="1">
      <c r="B2" s="74" t="s">
        <v>12524</v>
      </c>
      <c r="C2" s="1046"/>
      <c r="D2" s="1046"/>
      <c r="I2" s="71"/>
      <c r="J2" s="71"/>
      <c r="K2" s="71"/>
      <c r="L2" s="72"/>
      <c r="N2" s="72"/>
      <c r="P2" s="1772"/>
      <c r="T2" s="1772"/>
    </row>
    <row r="3" spans="1:20" s="200" customFormat="1" ht="15" thickBot="1">
      <c r="A3" s="928"/>
      <c r="B3" s="1048" t="s">
        <v>2423</v>
      </c>
      <c r="C3" s="1048" t="s">
        <v>2395</v>
      </c>
      <c r="D3" s="1049" t="s">
        <v>6495</v>
      </c>
      <c r="E3" s="1050" t="s">
        <v>2396</v>
      </c>
      <c r="F3" s="1050" t="s">
        <v>2397</v>
      </c>
      <c r="G3" s="1190" t="s">
        <v>2642</v>
      </c>
      <c r="H3" s="195" t="s">
        <v>4047</v>
      </c>
      <c r="I3" s="71"/>
      <c r="J3" s="195" t="s">
        <v>1361</v>
      </c>
      <c r="K3" s="71"/>
      <c r="L3" s="72"/>
      <c r="M3" s="77" t="s">
        <v>2404</v>
      </c>
      <c r="N3" s="72"/>
      <c r="O3" s="1655" t="s">
        <v>2390</v>
      </c>
      <c r="P3" s="72"/>
      <c r="Q3" s="77" t="s">
        <v>2578</v>
      </c>
      <c r="R3" s="78"/>
      <c r="S3" s="78"/>
      <c r="T3" s="72"/>
    </row>
    <row r="4" spans="1:20" s="200" customFormat="1" ht="15.75" thickBot="1">
      <c r="A4" s="928"/>
      <c r="B4" s="928"/>
      <c r="C4" s="928"/>
      <c r="D4" s="928"/>
      <c r="E4" s="928"/>
      <c r="F4" s="928"/>
      <c r="G4" s="928"/>
      <c r="H4" s="928"/>
      <c r="I4" s="71"/>
      <c r="J4" s="1146"/>
      <c r="K4" s="71"/>
      <c r="L4" s="72"/>
      <c r="M4" s="90" t="s">
        <v>2405</v>
      </c>
      <c r="N4" s="72"/>
      <c r="P4" s="72"/>
      <c r="R4" s="1800"/>
      <c r="S4" s="1800"/>
      <c r="T4" s="72"/>
    </row>
    <row r="5" spans="1:20" s="200" customFormat="1" ht="15.75" thickBot="1">
      <c r="A5" s="928"/>
      <c r="B5" s="1051" t="s">
        <v>2449</v>
      </c>
      <c r="C5" s="1114" t="s">
        <v>2746</v>
      </c>
      <c r="D5" s="928"/>
      <c r="E5" s="928"/>
      <c r="F5" s="928"/>
      <c r="G5" s="928"/>
      <c r="H5" s="928"/>
      <c r="I5" s="71"/>
      <c r="J5" s="1146"/>
      <c r="K5" s="71"/>
      <c r="L5" s="72"/>
      <c r="M5" s="90"/>
      <c r="N5" s="72"/>
      <c r="P5" s="72"/>
      <c r="T5" s="72"/>
    </row>
    <row r="6" spans="1:20" s="200" customFormat="1">
      <c r="A6" s="928"/>
      <c r="B6" s="1053" t="s">
        <v>6389</v>
      </c>
      <c r="C6" s="1191" t="s">
        <v>4371</v>
      </c>
      <c r="D6" s="1713" t="s">
        <v>8931</v>
      </c>
      <c r="E6" s="1055" t="s">
        <v>4372</v>
      </c>
      <c r="F6" s="1056">
        <v>3</v>
      </c>
      <c r="G6" s="1058"/>
      <c r="H6" s="2025"/>
      <c r="I6" s="71"/>
      <c r="J6" s="24" t="str">
        <f t="shared" ref="J6:J33" si="0" xml:space="preserve"> IF( SUM( L6:N6 ) = 0, 0, $M$4 )</f>
        <v>Please complete all cells in row</v>
      </c>
      <c r="K6" s="71"/>
      <c r="L6" s="72"/>
      <c r="M6" s="98">
        <f t="shared" ref="M6:M26" si="1" xml:space="preserve"> IF( ISNUMBER( G6 ), 0, 1 )</f>
        <v>1</v>
      </c>
      <c r="N6" s="72"/>
      <c r="P6" s="72"/>
      <c r="T6" s="72"/>
    </row>
    <row r="7" spans="1:20" s="200" customFormat="1">
      <c r="A7" s="928"/>
      <c r="B7" s="1063" t="s">
        <v>6390</v>
      </c>
      <c r="C7" s="1064" t="s">
        <v>4373</v>
      </c>
      <c r="D7" s="1714" t="s">
        <v>8932</v>
      </c>
      <c r="E7" s="1060" t="s">
        <v>4372</v>
      </c>
      <c r="F7" s="1061">
        <v>3</v>
      </c>
      <c r="G7" s="1066"/>
      <c r="H7" s="2026"/>
      <c r="I7" s="71"/>
      <c r="J7" s="24" t="str">
        <f t="shared" si="0"/>
        <v>Please complete all cells in row</v>
      </c>
      <c r="K7" s="71"/>
      <c r="L7" s="72"/>
      <c r="M7" s="98">
        <f t="shared" si="1"/>
        <v>1</v>
      </c>
      <c r="N7" s="72"/>
      <c r="P7" s="72"/>
      <c r="T7" s="72"/>
    </row>
    <row r="8" spans="1:20" s="200" customFormat="1">
      <c r="A8" s="928"/>
      <c r="B8" s="1063" t="s">
        <v>6391</v>
      </c>
      <c r="C8" s="1064" t="s">
        <v>4374</v>
      </c>
      <c r="D8" s="1714" t="s">
        <v>8933</v>
      </c>
      <c r="E8" s="1060" t="s">
        <v>4372</v>
      </c>
      <c r="F8" s="1061">
        <v>3</v>
      </c>
      <c r="G8" s="1066"/>
      <c r="H8" s="2026"/>
      <c r="I8" s="71"/>
      <c r="J8" s="24" t="str">
        <f t="shared" si="0"/>
        <v>Please complete all cells in row</v>
      </c>
      <c r="K8" s="71"/>
      <c r="L8" s="72"/>
      <c r="M8" s="98">
        <f t="shared" si="1"/>
        <v>1</v>
      </c>
      <c r="N8" s="72"/>
      <c r="P8" s="72"/>
      <c r="T8" s="72"/>
    </row>
    <row r="9" spans="1:20" s="200" customFormat="1" ht="25.5">
      <c r="A9" s="928"/>
      <c r="B9" s="1063" t="s">
        <v>6392</v>
      </c>
      <c r="C9" s="1064" t="s">
        <v>4375</v>
      </c>
      <c r="D9" s="1714" t="s">
        <v>8934</v>
      </c>
      <c r="E9" s="1060" t="s">
        <v>4372</v>
      </c>
      <c r="F9" s="1061">
        <v>3</v>
      </c>
      <c r="G9" s="1066"/>
      <c r="H9" s="2026"/>
      <c r="I9" s="71"/>
      <c r="J9" s="24" t="str">
        <f t="shared" si="0"/>
        <v>Please complete all cells in row</v>
      </c>
      <c r="K9" s="71"/>
      <c r="L9" s="72"/>
      <c r="M9" s="98">
        <f t="shared" si="1"/>
        <v>1</v>
      </c>
      <c r="N9" s="72"/>
      <c r="P9" s="72"/>
      <c r="T9" s="72"/>
    </row>
    <row r="10" spans="1:20" s="200" customFormat="1">
      <c r="A10" s="928"/>
      <c r="B10" s="1063" t="s">
        <v>6393</v>
      </c>
      <c r="C10" s="1064" t="s">
        <v>4376</v>
      </c>
      <c r="D10" s="1714" t="s">
        <v>8935</v>
      </c>
      <c r="E10" s="1060" t="s">
        <v>4372</v>
      </c>
      <c r="F10" s="1061">
        <v>3</v>
      </c>
      <c r="G10" s="1066"/>
      <c r="H10" s="2026"/>
      <c r="I10" s="71"/>
      <c r="J10" s="24" t="str">
        <f t="shared" si="0"/>
        <v>Please complete all cells in row</v>
      </c>
      <c r="K10" s="71"/>
      <c r="L10" s="72"/>
      <c r="M10" s="98">
        <f t="shared" si="1"/>
        <v>1</v>
      </c>
      <c r="N10" s="72"/>
      <c r="P10" s="72"/>
      <c r="T10" s="72"/>
    </row>
    <row r="11" spans="1:20" s="200" customFormat="1" ht="25.5" customHeight="1">
      <c r="A11" s="928"/>
      <c r="B11" s="1063" t="s">
        <v>6394</v>
      </c>
      <c r="C11" s="1064" t="s">
        <v>4377</v>
      </c>
      <c r="D11" s="1714" t="s">
        <v>8936</v>
      </c>
      <c r="E11" s="1060" t="s">
        <v>4372</v>
      </c>
      <c r="F11" s="1061">
        <v>3</v>
      </c>
      <c r="G11" s="1066"/>
      <c r="H11" s="2026"/>
      <c r="I11" s="71"/>
      <c r="J11" s="24" t="str">
        <f t="shared" si="0"/>
        <v>Please complete all cells in row</v>
      </c>
      <c r="L11" s="72"/>
      <c r="M11" s="98">
        <f t="shared" ref="M11:M13" si="2" xml:space="preserve"> IF( ISNUMBER( G11 ), 0, 1 )</f>
        <v>1</v>
      </c>
      <c r="N11" s="72"/>
      <c r="P11" s="72"/>
      <c r="T11" s="124"/>
    </row>
    <row r="12" spans="1:20" s="2314" customFormat="1">
      <c r="A12" s="928"/>
      <c r="B12" s="1063" t="s">
        <v>6395</v>
      </c>
      <c r="C12" s="2608" t="s">
        <v>12649</v>
      </c>
      <c r="D12" s="2318" t="s">
        <v>13101</v>
      </c>
      <c r="E12" s="2145" t="s">
        <v>4372</v>
      </c>
      <c r="F12" s="1061">
        <v>3</v>
      </c>
      <c r="G12" s="1066"/>
      <c r="H12" s="2026"/>
      <c r="I12" s="2270"/>
      <c r="J12" s="2620" t="str">
        <f t="shared" si="0"/>
        <v>Please complete all cells in row</v>
      </c>
      <c r="K12" s="2270"/>
      <c r="L12" s="2613"/>
      <c r="M12" s="2621">
        <f t="shared" si="2"/>
        <v>1</v>
      </c>
      <c r="N12" s="2613"/>
      <c r="P12" s="2622"/>
      <c r="Q12" s="2623"/>
      <c r="R12" s="2623"/>
      <c r="S12" s="2624"/>
      <c r="T12" s="2622"/>
    </row>
    <row r="13" spans="1:20" s="2314" customFormat="1">
      <c r="A13" s="928"/>
      <c r="B13" s="1063" t="s">
        <v>6396</v>
      </c>
      <c r="C13" s="2608" t="s">
        <v>12650</v>
      </c>
      <c r="D13" s="2318" t="s">
        <v>13102</v>
      </c>
      <c r="E13" s="2145" t="s">
        <v>4372</v>
      </c>
      <c r="F13" s="1061">
        <v>3</v>
      </c>
      <c r="G13" s="1066"/>
      <c r="H13" s="2026"/>
      <c r="I13" s="2270"/>
      <c r="J13" s="2620" t="str">
        <f xml:space="preserve"> IF( SUM( L13:N13 ) &lt;&gt; 0, $M$4, IF(SUM(N13:P13) =  0, 0, $S$13))</f>
        <v>Please complete all cells in row</v>
      </c>
      <c r="K13" s="2270"/>
      <c r="L13" s="2613"/>
      <c r="M13" s="2621">
        <f t="shared" si="2"/>
        <v>1</v>
      </c>
      <c r="N13" s="2613"/>
      <c r="O13" s="2621">
        <f xml:space="preserve"> IF( (Q13 - R13) = 0, 0, 1 )</f>
        <v>1</v>
      </c>
      <c r="P13" s="2622"/>
      <c r="Q13" s="2623">
        <f>SUM(G6:G13)</f>
        <v>0</v>
      </c>
      <c r="R13" s="2623">
        <v>1</v>
      </c>
      <c r="S13" s="2624" t="s">
        <v>12843</v>
      </c>
      <c r="T13" s="2622"/>
    </row>
    <row r="14" spans="1:20" s="200" customFormat="1">
      <c r="A14" s="928"/>
      <c r="B14" s="1063" t="s">
        <v>6397</v>
      </c>
      <c r="C14" s="1064" t="s">
        <v>4378</v>
      </c>
      <c r="D14" s="1714" t="s">
        <v>4379</v>
      </c>
      <c r="E14" s="1060" t="s">
        <v>48</v>
      </c>
      <c r="F14" s="1061">
        <v>0</v>
      </c>
      <c r="G14" s="1192"/>
      <c r="H14" s="2026"/>
      <c r="I14" s="71"/>
      <c r="J14" s="24" t="str">
        <f t="shared" si="0"/>
        <v>Please complete all cells in row</v>
      </c>
      <c r="K14" s="71"/>
      <c r="L14" s="72"/>
      <c r="M14" s="98">
        <f t="shared" si="1"/>
        <v>1</v>
      </c>
      <c r="N14" s="72"/>
      <c r="P14" s="72"/>
      <c r="T14" s="72"/>
    </row>
    <row r="15" spans="1:20" s="200" customFormat="1">
      <c r="A15" s="928"/>
      <c r="B15" s="1063" t="s">
        <v>6398</v>
      </c>
      <c r="C15" s="1064" t="s">
        <v>4380</v>
      </c>
      <c r="D15" s="1714" t="s">
        <v>8937</v>
      </c>
      <c r="E15" s="1060" t="s">
        <v>48</v>
      </c>
      <c r="F15" s="1061">
        <v>0</v>
      </c>
      <c r="G15" s="1192"/>
      <c r="H15" s="2026"/>
      <c r="I15" s="71"/>
      <c r="J15" s="24" t="str">
        <f t="shared" si="0"/>
        <v>Please complete all cells in row</v>
      </c>
      <c r="K15" s="71"/>
      <c r="L15" s="72"/>
      <c r="M15" s="98">
        <f t="shared" si="1"/>
        <v>1</v>
      </c>
      <c r="N15" s="72"/>
      <c r="P15" s="72"/>
      <c r="T15" s="72"/>
    </row>
    <row r="16" spans="1:20" s="200" customFormat="1">
      <c r="A16" s="928"/>
      <c r="B16" s="1063" t="s">
        <v>6399</v>
      </c>
      <c r="C16" s="1064" t="s">
        <v>4381</v>
      </c>
      <c r="D16" s="1714" t="s">
        <v>4382</v>
      </c>
      <c r="E16" s="1060" t="s">
        <v>48</v>
      </c>
      <c r="F16" s="1061">
        <v>0</v>
      </c>
      <c r="G16" s="1192"/>
      <c r="H16" s="2026"/>
      <c r="I16" s="71"/>
      <c r="J16" s="24" t="str">
        <f t="shared" si="0"/>
        <v>Please complete all cells in row</v>
      </c>
      <c r="K16" s="71"/>
      <c r="L16" s="72"/>
      <c r="M16" s="98">
        <f t="shared" si="1"/>
        <v>1</v>
      </c>
      <c r="N16" s="72"/>
      <c r="P16" s="72"/>
      <c r="T16" s="72"/>
    </row>
    <row r="17" spans="1:20" s="200" customFormat="1" ht="14.25" customHeight="1">
      <c r="A17" s="928"/>
      <c r="B17" s="1063" t="s">
        <v>6400</v>
      </c>
      <c r="C17" s="1064" t="s">
        <v>4383</v>
      </c>
      <c r="D17" s="1714" t="s">
        <v>8938</v>
      </c>
      <c r="E17" s="1060" t="s">
        <v>48</v>
      </c>
      <c r="F17" s="1061">
        <v>0</v>
      </c>
      <c r="G17" s="1192"/>
      <c r="H17" s="2026"/>
      <c r="I17" s="71"/>
      <c r="J17" s="24" t="str">
        <f t="shared" si="0"/>
        <v>Please complete all cells in row</v>
      </c>
      <c r="K17" s="71"/>
      <c r="L17" s="72"/>
      <c r="M17" s="98">
        <f t="shared" si="1"/>
        <v>1</v>
      </c>
      <c r="N17" s="72"/>
      <c r="P17" s="72"/>
      <c r="T17" s="72"/>
    </row>
    <row r="18" spans="1:20" s="200" customFormat="1">
      <c r="A18" s="928"/>
      <c r="B18" s="1063" t="s">
        <v>6401</v>
      </c>
      <c r="C18" s="1064" t="s">
        <v>4384</v>
      </c>
      <c r="D18" s="1714" t="s">
        <v>8939</v>
      </c>
      <c r="E18" s="1060" t="s">
        <v>48</v>
      </c>
      <c r="F18" s="1061">
        <v>0</v>
      </c>
      <c r="G18" s="1192"/>
      <c r="H18" s="2026"/>
      <c r="I18" s="71"/>
      <c r="J18" s="24" t="str">
        <f t="shared" si="0"/>
        <v>Please complete all cells in row</v>
      </c>
      <c r="K18" s="71"/>
      <c r="L18" s="72"/>
      <c r="M18" s="98">
        <f t="shared" si="1"/>
        <v>1</v>
      </c>
      <c r="N18" s="72"/>
      <c r="P18" s="72"/>
      <c r="T18" s="72"/>
    </row>
    <row r="19" spans="1:20" s="200" customFormat="1">
      <c r="A19" s="928"/>
      <c r="B19" s="1063" t="s">
        <v>6402</v>
      </c>
      <c r="C19" s="1064" t="s">
        <v>4385</v>
      </c>
      <c r="D19" s="1714" t="s">
        <v>8940</v>
      </c>
      <c r="E19" s="1060" t="s">
        <v>48</v>
      </c>
      <c r="F19" s="1061">
        <v>0</v>
      </c>
      <c r="G19" s="1192"/>
      <c r="H19" s="2026"/>
      <c r="I19" s="71"/>
      <c r="J19" s="24" t="str">
        <f t="shared" si="0"/>
        <v>Please complete all cells in row</v>
      </c>
      <c r="K19" s="71"/>
      <c r="L19" s="72"/>
      <c r="M19" s="98">
        <f t="shared" si="1"/>
        <v>1</v>
      </c>
      <c r="N19" s="72"/>
      <c r="P19" s="72"/>
      <c r="T19" s="72"/>
    </row>
    <row r="20" spans="1:20" s="2314" customFormat="1">
      <c r="A20" s="928"/>
      <c r="B20" s="1063" t="s">
        <v>6403</v>
      </c>
      <c r="C20" s="2608" t="s">
        <v>12651</v>
      </c>
      <c r="D20" s="2318" t="s">
        <v>13103</v>
      </c>
      <c r="E20" s="2145" t="s">
        <v>48</v>
      </c>
      <c r="F20" s="1061">
        <v>0</v>
      </c>
      <c r="G20" s="1192"/>
      <c r="H20" s="2026"/>
      <c r="I20" s="2270"/>
      <c r="J20" s="2620" t="str">
        <f t="shared" si="0"/>
        <v>Please complete all cells in row</v>
      </c>
      <c r="K20" s="2270"/>
      <c r="L20" s="2613"/>
      <c r="M20" s="2621">
        <f t="shared" ref="M20" si="3" xml:space="preserve"> IF( ISNUMBER( G20 ), 0, 1 )</f>
        <v>1</v>
      </c>
      <c r="N20" s="2613"/>
      <c r="P20" s="2613"/>
      <c r="T20" s="2613"/>
    </row>
    <row r="21" spans="1:20" s="2314" customFormat="1">
      <c r="A21" s="928"/>
      <c r="B21" s="1063" t="s">
        <v>6404</v>
      </c>
      <c r="C21" s="2608" t="s">
        <v>4386</v>
      </c>
      <c r="D21" s="2318" t="s">
        <v>4387</v>
      </c>
      <c r="E21" s="2145" t="s">
        <v>48</v>
      </c>
      <c r="F21" s="1061">
        <v>0</v>
      </c>
      <c r="G21" s="1192"/>
      <c r="H21" s="2026"/>
      <c r="I21" s="2270"/>
      <c r="J21" s="2620" t="str">
        <f t="shared" si="0"/>
        <v>Please complete all cells in row</v>
      </c>
      <c r="K21" s="2270"/>
      <c r="L21" s="2613"/>
      <c r="M21" s="2621">
        <f t="shared" si="1"/>
        <v>1</v>
      </c>
      <c r="N21" s="2613"/>
      <c r="P21" s="2613"/>
      <c r="T21" s="2613"/>
    </row>
    <row r="22" spans="1:20" s="2314" customFormat="1">
      <c r="A22" s="928"/>
      <c r="B22" s="1063" t="s">
        <v>6405</v>
      </c>
      <c r="C22" s="2608" t="s">
        <v>12652</v>
      </c>
      <c r="D22" s="2318" t="s">
        <v>13104</v>
      </c>
      <c r="E22" s="2145" t="s">
        <v>48</v>
      </c>
      <c r="F22" s="1061">
        <v>0</v>
      </c>
      <c r="G22" s="1192"/>
      <c r="H22" s="2026"/>
      <c r="I22" s="2270"/>
      <c r="J22" s="2620" t="str">
        <f t="shared" si="0"/>
        <v>Please complete all cells in row</v>
      </c>
      <c r="K22" s="2270"/>
      <c r="L22" s="2613"/>
      <c r="M22" s="2621">
        <f t="shared" ref="M22" si="4" xml:space="preserve"> IF( ISNUMBER( G22 ), 0, 1 )</f>
        <v>1</v>
      </c>
      <c r="N22" s="2613"/>
      <c r="P22" s="2613"/>
      <c r="T22" s="2613"/>
    </row>
    <row r="23" spans="1:20" s="200" customFormat="1">
      <c r="A23" s="928"/>
      <c r="B23" s="1063" t="s">
        <v>6406</v>
      </c>
      <c r="C23" s="1064" t="s">
        <v>4388</v>
      </c>
      <c r="D23" s="1714" t="s">
        <v>4389</v>
      </c>
      <c r="E23" s="1060" t="s">
        <v>48</v>
      </c>
      <c r="F23" s="1061">
        <v>0</v>
      </c>
      <c r="G23" s="1192"/>
      <c r="H23" s="2026"/>
      <c r="I23" s="71"/>
      <c r="J23" s="24" t="str">
        <f t="shared" si="0"/>
        <v>Please complete all cells in row</v>
      </c>
      <c r="K23" s="71"/>
      <c r="L23" s="72"/>
      <c r="M23" s="98">
        <f t="shared" si="1"/>
        <v>1</v>
      </c>
      <c r="N23" s="72"/>
      <c r="P23" s="72"/>
      <c r="T23" s="72"/>
    </row>
    <row r="24" spans="1:20" s="200" customFormat="1">
      <c r="A24" s="928"/>
      <c r="B24" s="1063" t="s">
        <v>6407</v>
      </c>
      <c r="C24" s="1064" t="s">
        <v>4390</v>
      </c>
      <c r="D24" s="1714" t="s">
        <v>8941</v>
      </c>
      <c r="E24" s="1060" t="s">
        <v>2755</v>
      </c>
      <c r="F24" s="1061">
        <v>0</v>
      </c>
      <c r="G24" s="1192"/>
      <c r="H24" s="2026"/>
      <c r="I24" s="71"/>
      <c r="J24" s="24" t="str">
        <f t="shared" si="0"/>
        <v>Please complete all cells in row</v>
      </c>
      <c r="K24" s="71"/>
      <c r="L24" s="72"/>
      <c r="M24" s="98">
        <f t="shared" si="1"/>
        <v>1</v>
      </c>
      <c r="N24" s="72"/>
      <c r="P24" s="72"/>
      <c r="T24" s="72"/>
    </row>
    <row r="25" spans="1:20" s="200" customFormat="1">
      <c r="A25" s="928"/>
      <c r="B25" s="1063" t="s">
        <v>6408</v>
      </c>
      <c r="C25" s="1064" t="s">
        <v>4392</v>
      </c>
      <c r="D25" s="1714" t="s">
        <v>8942</v>
      </c>
      <c r="E25" s="1060" t="s">
        <v>48</v>
      </c>
      <c r="F25" s="1061">
        <v>0</v>
      </c>
      <c r="G25" s="1192"/>
      <c r="H25" s="2026"/>
      <c r="I25" s="71"/>
      <c r="J25" s="24" t="str">
        <f t="shared" si="0"/>
        <v>Please complete all cells in row</v>
      </c>
      <c r="K25" s="71"/>
      <c r="L25" s="72"/>
      <c r="M25" s="98">
        <f t="shared" si="1"/>
        <v>1</v>
      </c>
      <c r="N25" s="72"/>
      <c r="P25" s="72"/>
      <c r="T25" s="72"/>
    </row>
    <row r="26" spans="1:20" s="200" customFormat="1">
      <c r="A26" s="928"/>
      <c r="B26" s="1063" t="s">
        <v>6409</v>
      </c>
      <c r="C26" s="1064" t="s">
        <v>12653</v>
      </c>
      <c r="D26" s="2318" t="s">
        <v>8943</v>
      </c>
      <c r="E26" s="1060" t="s">
        <v>48</v>
      </c>
      <c r="F26" s="1061">
        <v>0</v>
      </c>
      <c r="G26" s="1192"/>
      <c r="H26" s="2026"/>
      <c r="I26" s="71"/>
      <c r="J26" s="24" t="str">
        <f t="shared" si="0"/>
        <v>Please complete all cells in row</v>
      </c>
      <c r="K26" s="71"/>
      <c r="L26" s="72"/>
      <c r="M26" s="98">
        <f t="shared" si="1"/>
        <v>1</v>
      </c>
      <c r="N26" s="72"/>
      <c r="P26" s="72"/>
      <c r="T26" s="72"/>
    </row>
    <row r="27" spans="1:20" s="200" customFormat="1">
      <c r="A27" s="928"/>
      <c r="B27" s="1119" t="s">
        <v>6410</v>
      </c>
      <c r="C27" s="1064" t="s">
        <v>4393</v>
      </c>
      <c r="D27" s="1714" t="s">
        <v>8944</v>
      </c>
      <c r="E27" s="1060" t="s">
        <v>4394</v>
      </c>
      <c r="F27" s="1061">
        <v>0</v>
      </c>
      <c r="G27" s="1192"/>
      <c r="H27" s="2026"/>
      <c r="I27" s="71"/>
      <c r="J27" s="24" t="str">
        <f t="shared" si="0"/>
        <v>Please complete all cells in row</v>
      </c>
      <c r="K27" s="71"/>
      <c r="L27" s="72"/>
      <c r="M27" s="98">
        <f xml:space="preserve"> IF( ISNUMBER( G27 ), 0, 1 )</f>
        <v>1</v>
      </c>
      <c r="N27" s="72"/>
      <c r="P27" s="72"/>
      <c r="T27" s="72"/>
    </row>
    <row r="28" spans="1:20" s="200" customFormat="1">
      <c r="A28" s="928"/>
      <c r="B28" s="1063" t="s">
        <v>6411</v>
      </c>
      <c r="C28" s="1064" t="s">
        <v>4395</v>
      </c>
      <c r="D28" s="2318" t="s">
        <v>8945</v>
      </c>
      <c r="E28" s="1060" t="s">
        <v>4394</v>
      </c>
      <c r="F28" s="1061">
        <v>0</v>
      </c>
      <c r="G28" s="1192"/>
      <c r="H28" s="2026"/>
      <c r="I28" s="71"/>
      <c r="J28" s="24" t="str">
        <f t="shared" si="0"/>
        <v>Please complete all cells in row</v>
      </c>
      <c r="K28" s="71"/>
      <c r="L28" s="72"/>
      <c r="M28" s="98">
        <f t="shared" ref="M28" si="5" xml:space="preserve"> IF( ISNUMBER( G28 ), 0, 1 )</f>
        <v>1</v>
      </c>
      <c r="N28" s="72"/>
      <c r="P28" s="72"/>
      <c r="T28" s="72"/>
    </row>
    <row r="29" spans="1:20" s="200" customFormat="1">
      <c r="A29" s="928"/>
      <c r="B29" s="1063" t="s">
        <v>6412</v>
      </c>
      <c r="C29" s="1064" t="s">
        <v>12654</v>
      </c>
      <c r="D29" s="1714" t="s">
        <v>4391</v>
      </c>
      <c r="E29" s="1060" t="s">
        <v>4396</v>
      </c>
      <c r="F29" s="1061">
        <v>2</v>
      </c>
      <c r="G29" s="1193"/>
      <c r="H29" s="2026"/>
      <c r="I29" s="71"/>
      <c r="J29" s="24" t="str">
        <f t="shared" si="0"/>
        <v>Please complete all cells in row</v>
      </c>
      <c r="K29" s="71"/>
      <c r="L29" s="72"/>
      <c r="M29" s="98">
        <f xml:space="preserve"> IF( ISNUMBER( G29 ), 0, 1 )</f>
        <v>1</v>
      </c>
      <c r="N29" s="72"/>
      <c r="P29" s="72"/>
      <c r="T29" s="72"/>
    </row>
    <row r="30" spans="1:20" s="200" customFormat="1">
      <c r="A30" s="928"/>
      <c r="B30" s="1119" t="s">
        <v>6413</v>
      </c>
      <c r="C30" s="1194" t="s">
        <v>12655</v>
      </c>
      <c r="D30" s="1715" t="s">
        <v>8946</v>
      </c>
      <c r="E30" s="1195" t="s">
        <v>4397</v>
      </c>
      <c r="F30" s="1196">
        <v>2</v>
      </c>
      <c r="G30" s="1197"/>
      <c r="H30" s="2027"/>
      <c r="I30" s="71"/>
      <c r="J30" s="24" t="str">
        <f t="shared" si="0"/>
        <v>Please complete all cells in row</v>
      </c>
      <c r="K30" s="71"/>
      <c r="L30" s="72"/>
      <c r="M30" s="98">
        <f xml:space="preserve"> IF( ISNUMBER( G30 ), 0, 1 )</f>
        <v>1</v>
      </c>
      <c r="N30" s="72"/>
      <c r="P30" s="72"/>
      <c r="T30" s="72"/>
    </row>
    <row r="31" spans="1:20" s="200" customFormat="1">
      <c r="A31" s="928"/>
      <c r="B31" s="1119" t="s">
        <v>6414</v>
      </c>
      <c r="C31" s="1194" t="s">
        <v>4398</v>
      </c>
      <c r="D31" s="1715" t="s">
        <v>8947</v>
      </c>
      <c r="E31" s="1195" t="s">
        <v>4397</v>
      </c>
      <c r="F31" s="1196">
        <v>2</v>
      </c>
      <c r="G31" s="1197"/>
      <c r="H31" s="2027"/>
      <c r="I31" s="71"/>
      <c r="J31" s="24" t="str">
        <f t="shared" ref="J31:J32" si="6" xml:space="preserve"> IF( SUM( L31:N31 ) = 0, 0, $M$4 )</f>
        <v>Please complete all cells in row</v>
      </c>
      <c r="K31" s="71"/>
      <c r="L31" s="72"/>
      <c r="M31" s="98">
        <f t="shared" ref="M31:M32" si="7" xml:space="preserve"> IF( ISNUMBER( G31 ), 0, 1 )</f>
        <v>1</v>
      </c>
      <c r="N31" s="72"/>
      <c r="P31" s="72"/>
      <c r="T31" s="72"/>
    </row>
    <row r="32" spans="1:20" s="2314" customFormat="1">
      <c r="A32" s="928"/>
      <c r="B32" s="1119" t="s">
        <v>6415</v>
      </c>
      <c r="C32" s="2625" t="s">
        <v>12657</v>
      </c>
      <c r="D32" s="2626" t="s">
        <v>13105</v>
      </c>
      <c r="E32" s="2145" t="s">
        <v>4396</v>
      </c>
      <c r="F32" s="1061">
        <v>2</v>
      </c>
      <c r="G32" s="1197"/>
      <c r="H32" s="2027"/>
      <c r="I32" s="2270"/>
      <c r="J32" s="2620" t="str">
        <f t="shared" si="6"/>
        <v>Please complete all cells in row</v>
      </c>
      <c r="K32" s="2270"/>
      <c r="L32" s="2613"/>
      <c r="M32" s="2621">
        <f t="shared" si="7"/>
        <v>1</v>
      </c>
      <c r="N32" s="2613"/>
      <c r="P32" s="2613"/>
      <c r="T32" s="2613"/>
    </row>
    <row r="33" spans="1:20" s="2314" customFormat="1" ht="15" thickBot="1">
      <c r="A33" s="928"/>
      <c r="B33" s="1068" t="s">
        <v>6416</v>
      </c>
      <c r="C33" s="2627" t="s">
        <v>12656</v>
      </c>
      <c r="D33" s="2628" t="s">
        <v>13106</v>
      </c>
      <c r="E33" s="1070" t="s">
        <v>2731</v>
      </c>
      <c r="F33" s="1071">
        <v>2</v>
      </c>
      <c r="G33" s="1198"/>
      <c r="H33" s="2028"/>
      <c r="I33" s="2270"/>
      <c r="J33" s="2620" t="str">
        <f t="shared" si="0"/>
        <v>Please complete all cells in row</v>
      </c>
      <c r="K33" s="2270"/>
      <c r="L33" s="2613"/>
      <c r="M33" s="2621">
        <f xml:space="preserve"> IF( ISNUMBER( G33 ), 0, 1 )</f>
        <v>1</v>
      </c>
      <c r="N33" s="2613"/>
      <c r="P33" s="2613"/>
      <c r="T33" s="2613"/>
    </row>
    <row r="34" spans="1:20" ht="15" thickBot="1">
      <c r="D34" s="1716"/>
    </row>
    <row r="35" spans="1:20" s="928" customFormat="1" ht="15.75" thickBot="1">
      <c r="B35" s="1051" t="s">
        <v>2458</v>
      </c>
      <c r="C35" s="1114" t="s">
        <v>2747</v>
      </c>
      <c r="D35" s="1717"/>
      <c r="I35" s="71"/>
      <c r="J35" s="1146"/>
      <c r="K35" s="71"/>
      <c r="L35" s="72"/>
      <c r="N35" s="1772"/>
      <c r="P35" s="1772"/>
      <c r="T35" s="1772"/>
    </row>
    <row r="36" spans="1:20" s="200" customFormat="1" ht="15" customHeight="1">
      <c r="A36" s="928"/>
      <c r="B36" s="1053" t="s">
        <v>6417</v>
      </c>
      <c r="C36" s="1199" t="s">
        <v>4399</v>
      </c>
      <c r="D36" s="1718" t="s">
        <v>8948</v>
      </c>
      <c r="E36" s="1200" t="s">
        <v>2731</v>
      </c>
      <c r="F36" s="1056">
        <v>2</v>
      </c>
      <c r="G36" s="1201"/>
      <c r="H36" s="2025"/>
      <c r="I36" s="71"/>
      <c r="J36" s="24" t="str">
        <f t="shared" ref="J36:J67" si="8" xml:space="preserve"> IF( SUM( L36:N36 ) = 0, 0, $M$4 )</f>
        <v>Please complete all cells in row</v>
      </c>
      <c r="K36" s="71"/>
      <c r="L36" s="72"/>
      <c r="M36" s="98">
        <f t="shared" ref="M36:M67" si="9" xml:space="preserve"> IF( ISNUMBER( G36 ), 0, 1 )</f>
        <v>1</v>
      </c>
      <c r="N36" s="72"/>
      <c r="P36" s="72"/>
      <c r="T36" s="72"/>
    </row>
    <row r="37" spans="1:20" s="200" customFormat="1" ht="15" customHeight="1">
      <c r="A37" s="928"/>
      <c r="B37" s="1063" t="s">
        <v>6418</v>
      </c>
      <c r="C37" s="1202" t="s">
        <v>4400</v>
      </c>
      <c r="D37" s="1719" t="s">
        <v>8949</v>
      </c>
      <c r="E37" s="1203" t="s">
        <v>2731</v>
      </c>
      <c r="F37" s="1061">
        <v>2</v>
      </c>
      <c r="G37" s="1193"/>
      <c r="H37" s="2026"/>
      <c r="I37" s="71"/>
      <c r="J37" s="24" t="str">
        <f t="shared" si="8"/>
        <v>Please complete all cells in row</v>
      </c>
      <c r="K37" s="71"/>
      <c r="L37" s="72"/>
      <c r="M37" s="98">
        <f t="shared" si="9"/>
        <v>1</v>
      </c>
      <c r="N37" s="72"/>
      <c r="P37" s="72"/>
      <c r="T37" s="72"/>
    </row>
    <row r="38" spans="1:20" s="200" customFormat="1" ht="15" customHeight="1">
      <c r="A38" s="928"/>
      <c r="B38" s="1063" t="s">
        <v>6419</v>
      </c>
      <c r="C38" s="1202" t="s">
        <v>4401</v>
      </c>
      <c r="D38" s="1719" t="s">
        <v>4402</v>
      </c>
      <c r="E38" s="1203" t="s">
        <v>2731</v>
      </c>
      <c r="F38" s="1061">
        <v>2</v>
      </c>
      <c r="G38" s="1193"/>
      <c r="H38" s="2026"/>
      <c r="I38" s="71"/>
      <c r="J38" s="24" t="str">
        <f t="shared" si="8"/>
        <v>Please complete all cells in row</v>
      </c>
      <c r="K38" s="71"/>
      <c r="L38" s="72"/>
      <c r="M38" s="98">
        <f t="shared" si="9"/>
        <v>1</v>
      </c>
      <c r="N38" s="72"/>
      <c r="P38" s="72"/>
      <c r="T38" s="72"/>
    </row>
    <row r="39" spans="1:20" s="200" customFormat="1" ht="15" customHeight="1">
      <c r="A39" s="928"/>
      <c r="B39" s="1063" t="s">
        <v>6420</v>
      </c>
      <c r="C39" s="1202" t="s">
        <v>4403</v>
      </c>
      <c r="D39" s="1719" t="s">
        <v>4404</v>
      </c>
      <c r="E39" s="1203" t="s">
        <v>2731</v>
      </c>
      <c r="F39" s="1061">
        <v>2</v>
      </c>
      <c r="G39" s="1193"/>
      <c r="H39" s="2026"/>
      <c r="I39" s="71"/>
      <c r="J39" s="24" t="str">
        <f t="shared" si="8"/>
        <v>Please complete all cells in row</v>
      </c>
      <c r="K39" s="71"/>
      <c r="L39" s="72"/>
      <c r="M39" s="98">
        <f t="shared" si="9"/>
        <v>1</v>
      </c>
      <c r="N39" s="72"/>
      <c r="P39" s="72"/>
      <c r="T39" s="72"/>
    </row>
    <row r="40" spans="1:20" s="200" customFormat="1" ht="15" customHeight="1">
      <c r="A40" s="928"/>
      <c r="B40" s="1063" t="s">
        <v>6421</v>
      </c>
      <c r="C40" s="1202" t="s">
        <v>4405</v>
      </c>
      <c r="D40" s="1719" t="s">
        <v>8950</v>
      </c>
      <c r="E40" s="1203" t="s">
        <v>2731</v>
      </c>
      <c r="F40" s="1061">
        <v>2</v>
      </c>
      <c r="G40" s="1193"/>
      <c r="H40" s="2026"/>
      <c r="I40" s="71"/>
      <c r="J40" s="24" t="str">
        <f t="shared" si="8"/>
        <v>Please complete all cells in row</v>
      </c>
      <c r="K40" s="71"/>
      <c r="L40" s="72"/>
      <c r="M40" s="98">
        <f t="shared" si="9"/>
        <v>1</v>
      </c>
      <c r="N40" s="72"/>
      <c r="P40" s="72"/>
      <c r="T40" s="72"/>
    </row>
    <row r="41" spans="1:20" s="200" customFormat="1" ht="15" customHeight="1">
      <c r="A41" s="928"/>
      <c r="B41" s="1063" t="s">
        <v>6422</v>
      </c>
      <c r="C41" s="1202" t="s">
        <v>4406</v>
      </c>
      <c r="D41" s="1719" t="s">
        <v>8951</v>
      </c>
      <c r="E41" s="1203" t="s">
        <v>2731</v>
      </c>
      <c r="F41" s="1061">
        <v>2</v>
      </c>
      <c r="G41" s="1193"/>
      <c r="H41" s="2026"/>
      <c r="I41" s="71"/>
      <c r="J41" s="24" t="str">
        <f t="shared" si="8"/>
        <v>Please complete all cells in row</v>
      </c>
      <c r="K41" s="71"/>
      <c r="L41" s="72"/>
      <c r="M41" s="98">
        <f t="shared" si="9"/>
        <v>1</v>
      </c>
      <c r="N41" s="72"/>
      <c r="P41" s="72"/>
      <c r="T41" s="72"/>
    </row>
    <row r="42" spans="1:20" s="200" customFormat="1" ht="15" customHeight="1">
      <c r="A42" s="928"/>
      <c r="B42" s="1063" t="s">
        <v>6423</v>
      </c>
      <c r="C42" s="1202" t="s">
        <v>4407</v>
      </c>
      <c r="D42" s="1719" t="s">
        <v>8952</v>
      </c>
      <c r="E42" s="1203" t="s">
        <v>2731</v>
      </c>
      <c r="F42" s="1061">
        <v>2</v>
      </c>
      <c r="G42" s="1193"/>
      <c r="H42" s="2026"/>
      <c r="I42" s="71"/>
      <c r="J42" s="24" t="str">
        <f t="shared" si="8"/>
        <v>Please complete all cells in row</v>
      </c>
      <c r="K42" s="71"/>
      <c r="L42" s="72"/>
      <c r="M42" s="98">
        <f t="shared" si="9"/>
        <v>1</v>
      </c>
      <c r="N42" s="72"/>
      <c r="P42" s="72"/>
      <c r="T42" s="72"/>
    </row>
    <row r="43" spans="1:20" s="200" customFormat="1" ht="15" customHeight="1">
      <c r="A43" s="928"/>
      <c r="B43" s="1063" t="s">
        <v>6424</v>
      </c>
      <c r="C43" s="1202" t="s">
        <v>4408</v>
      </c>
      <c r="D43" s="1719" t="s">
        <v>8953</v>
      </c>
      <c r="E43" s="1203" t="s">
        <v>2731</v>
      </c>
      <c r="F43" s="1061">
        <v>2</v>
      </c>
      <c r="G43" s="1193"/>
      <c r="H43" s="2026"/>
      <c r="I43" s="71"/>
      <c r="J43" s="24" t="str">
        <f t="shared" si="8"/>
        <v>Please complete all cells in row</v>
      </c>
      <c r="K43" s="71"/>
      <c r="L43" s="72"/>
      <c r="M43" s="98">
        <f t="shared" si="9"/>
        <v>1</v>
      </c>
      <c r="N43" s="72"/>
      <c r="P43" s="72"/>
      <c r="T43" s="72"/>
    </row>
    <row r="44" spans="1:20" s="200" customFormat="1" ht="15" customHeight="1">
      <c r="A44" s="928"/>
      <c r="B44" s="1063" t="s">
        <v>6425</v>
      </c>
      <c r="C44" s="1202" t="s">
        <v>4409</v>
      </c>
      <c r="D44" s="1719" t="s">
        <v>8954</v>
      </c>
      <c r="E44" s="1203" t="s">
        <v>2731</v>
      </c>
      <c r="F44" s="1061">
        <v>2</v>
      </c>
      <c r="G44" s="1193"/>
      <c r="H44" s="2026"/>
      <c r="I44" s="71"/>
      <c r="J44" s="24" t="str">
        <f t="shared" si="8"/>
        <v>Please complete all cells in row</v>
      </c>
      <c r="K44" s="71"/>
      <c r="L44" s="72"/>
      <c r="M44" s="98">
        <f t="shared" si="9"/>
        <v>1</v>
      </c>
      <c r="N44" s="72"/>
      <c r="P44" s="72"/>
      <c r="T44" s="72"/>
    </row>
    <row r="45" spans="1:20" s="200" customFormat="1" ht="15" customHeight="1">
      <c r="A45" s="928"/>
      <c r="B45" s="1063" t="s">
        <v>6426</v>
      </c>
      <c r="C45" s="1202" t="s">
        <v>4410</v>
      </c>
      <c r="D45" s="1719" t="s">
        <v>4411</v>
      </c>
      <c r="E45" s="1203" t="s">
        <v>2731</v>
      </c>
      <c r="F45" s="1061">
        <v>2</v>
      </c>
      <c r="G45" s="1193"/>
      <c r="H45" s="2026"/>
      <c r="I45" s="71"/>
      <c r="J45" s="24" t="str">
        <f t="shared" si="8"/>
        <v>Please complete all cells in row</v>
      </c>
      <c r="K45" s="71"/>
      <c r="L45" s="72"/>
      <c r="M45" s="98">
        <f t="shared" si="9"/>
        <v>1</v>
      </c>
      <c r="N45" s="72"/>
      <c r="P45" s="72"/>
      <c r="T45" s="72"/>
    </row>
    <row r="46" spans="1:20" s="200" customFormat="1" ht="15" customHeight="1">
      <c r="A46" s="928"/>
      <c r="B46" s="1063" t="s">
        <v>6427</v>
      </c>
      <c r="C46" s="1202" t="s">
        <v>4412</v>
      </c>
      <c r="D46" s="1719" t="s">
        <v>4413</v>
      </c>
      <c r="E46" s="1203" t="s">
        <v>2731</v>
      </c>
      <c r="F46" s="1061">
        <v>2</v>
      </c>
      <c r="G46" s="1193"/>
      <c r="H46" s="2026"/>
      <c r="I46" s="71"/>
      <c r="J46" s="24" t="str">
        <f t="shared" si="8"/>
        <v>Please complete all cells in row</v>
      </c>
      <c r="K46" s="71"/>
      <c r="L46" s="72"/>
      <c r="M46" s="98">
        <f t="shared" si="9"/>
        <v>1</v>
      </c>
      <c r="N46" s="72"/>
      <c r="P46" s="72"/>
      <c r="T46" s="72"/>
    </row>
    <row r="47" spans="1:20" s="200" customFormat="1" ht="15" customHeight="1">
      <c r="A47" s="928"/>
      <c r="B47" s="1063" t="s">
        <v>6428</v>
      </c>
      <c r="C47" s="1202" t="s">
        <v>4414</v>
      </c>
      <c r="D47" s="1719" t="s">
        <v>8955</v>
      </c>
      <c r="E47" s="1203" t="s">
        <v>2731</v>
      </c>
      <c r="F47" s="1061">
        <v>2</v>
      </c>
      <c r="G47" s="1193"/>
      <c r="H47" s="2026"/>
      <c r="I47" s="71"/>
      <c r="J47" s="24" t="str">
        <f t="shared" si="8"/>
        <v>Please complete all cells in row</v>
      </c>
      <c r="K47" s="71"/>
      <c r="L47" s="72"/>
      <c r="M47" s="98">
        <f t="shared" si="9"/>
        <v>1</v>
      </c>
      <c r="N47" s="72"/>
      <c r="P47" s="72"/>
      <c r="T47" s="72"/>
    </row>
    <row r="48" spans="1:20" s="200" customFormat="1" ht="15" customHeight="1">
      <c r="A48" s="928"/>
      <c r="B48" s="1063" t="s">
        <v>6429</v>
      </c>
      <c r="C48" s="1202" t="s">
        <v>4415</v>
      </c>
      <c r="D48" s="1719" t="s">
        <v>8956</v>
      </c>
      <c r="E48" s="1203" t="s">
        <v>2731</v>
      </c>
      <c r="F48" s="1061">
        <v>2</v>
      </c>
      <c r="G48" s="1193"/>
      <c r="H48" s="2026"/>
      <c r="I48" s="71"/>
      <c r="J48" s="24" t="str">
        <f t="shared" si="8"/>
        <v>Please complete all cells in row</v>
      </c>
      <c r="K48" s="71"/>
      <c r="L48" s="72"/>
      <c r="M48" s="98">
        <f t="shared" si="9"/>
        <v>1</v>
      </c>
      <c r="N48" s="72"/>
      <c r="P48" s="72"/>
      <c r="T48" s="72"/>
    </row>
    <row r="49" spans="1:20" s="200" customFormat="1" ht="15" customHeight="1">
      <c r="A49" s="928"/>
      <c r="B49" s="1063" t="s">
        <v>6430</v>
      </c>
      <c r="C49" s="1202" t="s">
        <v>4416</v>
      </c>
      <c r="D49" s="1719" t="s">
        <v>8957</v>
      </c>
      <c r="E49" s="1203" t="s">
        <v>2731</v>
      </c>
      <c r="F49" s="1061">
        <v>2</v>
      </c>
      <c r="G49" s="1193"/>
      <c r="H49" s="2026"/>
      <c r="I49" s="71"/>
      <c r="J49" s="24" t="str">
        <f t="shared" si="8"/>
        <v>Please complete all cells in row</v>
      </c>
      <c r="K49" s="71"/>
      <c r="L49" s="72"/>
      <c r="M49" s="98">
        <f t="shared" si="9"/>
        <v>1</v>
      </c>
      <c r="N49" s="72"/>
      <c r="P49" s="72"/>
      <c r="T49" s="72"/>
    </row>
    <row r="50" spans="1:20" s="200" customFormat="1" ht="15" customHeight="1">
      <c r="A50" s="928"/>
      <c r="B50" s="1063" t="s">
        <v>6431</v>
      </c>
      <c r="C50" s="1202" t="s">
        <v>4417</v>
      </c>
      <c r="D50" s="1719" t="s">
        <v>8958</v>
      </c>
      <c r="E50" s="1203" t="s">
        <v>2731</v>
      </c>
      <c r="F50" s="1061">
        <v>2</v>
      </c>
      <c r="G50" s="1193"/>
      <c r="H50" s="2026"/>
      <c r="I50" s="71"/>
      <c r="J50" s="24" t="str">
        <f t="shared" si="8"/>
        <v>Please complete all cells in row</v>
      </c>
      <c r="K50" s="71"/>
      <c r="L50" s="72"/>
      <c r="M50" s="98">
        <f t="shared" si="9"/>
        <v>1</v>
      </c>
      <c r="N50" s="72"/>
      <c r="P50" s="72"/>
      <c r="T50" s="72"/>
    </row>
    <row r="51" spans="1:20" s="200" customFormat="1" ht="15" customHeight="1">
      <c r="A51" s="928"/>
      <c r="B51" s="1063" t="s">
        <v>6432</v>
      </c>
      <c r="C51" s="1202" t="s">
        <v>4418</v>
      </c>
      <c r="D51" s="1719" t="s">
        <v>8959</v>
      </c>
      <c r="E51" s="1203" t="s">
        <v>48</v>
      </c>
      <c r="F51" s="1061">
        <v>0</v>
      </c>
      <c r="G51" s="1192"/>
      <c r="H51" s="2026"/>
      <c r="I51" s="71"/>
      <c r="J51" s="24" t="str">
        <f t="shared" si="8"/>
        <v>Please complete all cells in row</v>
      </c>
      <c r="K51" s="71"/>
      <c r="L51" s="72"/>
      <c r="M51" s="98">
        <f t="shared" si="9"/>
        <v>1</v>
      </c>
      <c r="N51" s="72"/>
      <c r="P51" s="72"/>
      <c r="T51" s="72"/>
    </row>
    <row r="52" spans="1:20" s="200" customFormat="1" ht="15" customHeight="1">
      <c r="A52" s="928"/>
      <c r="B52" s="1063" t="s">
        <v>6433</v>
      </c>
      <c r="C52" s="1202" t="s">
        <v>4419</v>
      </c>
      <c r="D52" s="1719" t="s">
        <v>8960</v>
      </c>
      <c r="E52" s="1203" t="s">
        <v>48</v>
      </c>
      <c r="F52" s="1061">
        <v>0</v>
      </c>
      <c r="G52" s="1192"/>
      <c r="H52" s="2026"/>
      <c r="I52" s="71"/>
      <c r="J52" s="24" t="str">
        <f t="shared" si="8"/>
        <v>Please complete all cells in row</v>
      </c>
      <c r="K52" s="71"/>
      <c r="L52" s="72"/>
      <c r="M52" s="98">
        <f t="shared" si="9"/>
        <v>1</v>
      </c>
      <c r="N52" s="72"/>
      <c r="P52" s="72"/>
      <c r="T52" s="72"/>
    </row>
    <row r="53" spans="1:20" s="200" customFormat="1" ht="15" customHeight="1">
      <c r="A53" s="928"/>
      <c r="B53" s="1063" t="s">
        <v>6434</v>
      </c>
      <c r="C53" s="1202" t="s">
        <v>4420</v>
      </c>
      <c r="D53" s="1719" t="s">
        <v>4421</v>
      </c>
      <c r="E53" s="1203" t="s">
        <v>48</v>
      </c>
      <c r="F53" s="1061">
        <v>0</v>
      </c>
      <c r="G53" s="1192"/>
      <c r="H53" s="2026"/>
      <c r="I53" s="71"/>
      <c r="J53" s="24" t="str">
        <f t="shared" si="8"/>
        <v>Please complete all cells in row</v>
      </c>
      <c r="K53" s="71"/>
      <c r="L53" s="72"/>
      <c r="M53" s="98">
        <f t="shared" si="9"/>
        <v>1</v>
      </c>
      <c r="N53" s="72"/>
      <c r="P53" s="72"/>
      <c r="T53" s="72"/>
    </row>
    <row r="54" spans="1:20" s="200" customFormat="1" ht="15" customHeight="1">
      <c r="A54" s="928"/>
      <c r="B54" s="1063" t="s">
        <v>6435</v>
      </c>
      <c r="C54" s="1202" t="s">
        <v>4422</v>
      </c>
      <c r="D54" s="1719" t="s">
        <v>4423</v>
      </c>
      <c r="E54" s="1203" t="s">
        <v>48</v>
      </c>
      <c r="F54" s="1061">
        <v>0</v>
      </c>
      <c r="G54" s="1192"/>
      <c r="H54" s="2026"/>
      <c r="I54" s="71"/>
      <c r="J54" s="24" t="str">
        <f t="shared" si="8"/>
        <v>Please complete all cells in row</v>
      </c>
      <c r="K54" s="71"/>
      <c r="L54" s="72"/>
      <c r="M54" s="98">
        <f t="shared" si="9"/>
        <v>1</v>
      </c>
      <c r="N54" s="72"/>
      <c r="P54" s="72"/>
      <c r="T54" s="72"/>
    </row>
    <row r="55" spans="1:20" s="200" customFormat="1" ht="15" customHeight="1">
      <c r="A55" s="928"/>
      <c r="B55" s="1063" t="s">
        <v>6436</v>
      </c>
      <c r="C55" s="1202" t="s">
        <v>4424</v>
      </c>
      <c r="D55" s="1719" t="s">
        <v>4425</v>
      </c>
      <c r="E55" s="1203" t="s">
        <v>48</v>
      </c>
      <c r="F55" s="1061">
        <v>0</v>
      </c>
      <c r="G55" s="1192"/>
      <c r="H55" s="2026"/>
      <c r="I55" s="71"/>
      <c r="J55" s="24" t="str">
        <f t="shared" si="8"/>
        <v>Please complete all cells in row</v>
      </c>
      <c r="K55" s="71"/>
      <c r="L55" s="72"/>
      <c r="M55" s="98">
        <f t="shared" si="9"/>
        <v>1</v>
      </c>
      <c r="N55" s="72"/>
      <c r="P55" s="72"/>
      <c r="T55" s="72"/>
    </row>
    <row r="56" spans="1:20" s="200" customFormat="1" ht="15" customHeight="1">
      <c r="A56" s="928"/>
      <c r="B56" s="1063" t="s">
        <v>6437</v>
      </c>
      <c r="C56" s="1202" t="s">
        <v>4426</v>
      </c>
      <c r="D56" s="1719" t="s">
        <v>8961</v>
      </c>
      <c r="E56" s="1203" t="s">
        <v>48</v>
      </c>
      <c r="F56" s="1061">
        <v>0</v>
      </c>
      <c r="G56" s="1192"/>
      <c r="H56" s="2026"/>
      <c r="I56" s="71"/>
      <c r="J56" s="24" t="str">
        <f t="shared" si="8"/>
        <v>Please complete all cells in row</v>
      </c>
      <c r="K56" s="71"/>
      <c r="L56" s="72"/>
      <c r="M56" s="98">
        <f t="shared" si="9"/>
        <v>1</v>
      </c>
      <c r="N56" s="72"/>
      <c r="P56" s="72"/>
      <c r="T56" s="72"/>
    </row>
    <row r="57" spans="1:20" s="200" customFormat="1" ht="15" customHeight="1">
      <c r="A57" s="928"/>
      <c r="B57" s="1063" t="s">
        <v>6438</v>
      </c>
      <c r="C57" s="1202" t="s">
        <v>4427</v>
      </c>
      <c r="D57" s="1719" t="s">
        <v>8962</v>
      </c>
      <c r="E57" s="1203" t="s">
        <v>48</v>
      </c>
      <c r="F57" s="1061">
        <v>0</v>
      </c>
      <c r="G57" s="1192"/>
      <c r="H57" s="2026"/>
      <c r="I57" s="71"/>
      <c r="J57" s="24" t="str">
        <f t="shared" si="8"/>
        <v>Please complete all cells in row</v>
      </c>
      <c r="K57" s="71"/>
      <c r="L57" s="72"/>
      <c r="M57" s="98">
        <f t="shared" si="9"/>
        <v>1</v>
      </c>
      <c r="N57" s="72"/>
      <c r="P57" s="72"/>
      <c r="T57" s="72"/>
    </row>
    <row r="58" spans="1:20" s="200" customFormat="1" ht="15" customHeight="1">
      <c r="A58" s="928"/>
      <c r="B58" s="1063" t="s">
        <v>6439</v>
      </c>
      <c r="C58" s="1202" t="s">
        <v>4428</v>
      </c>
      <c r="D58" s="1719" t="s">
        <v>8963</v>
      </c>
      <c r="E58" s="1203" t="s">
        <v>48</v>
      </c>
      <c r="F58" s="1061">
        <v>0</v>
      </c>
      <c r="G58" s="1192"/>
      <c r="H58" s="2026"/>
      <c r="I58" s="71"/>
      <c r="J58" s="24" t="str">
        <f t="shared" si="8"/>
        <v>Please complete all cells in row</v>
      </c>
      <c r="K58" s="71"/>
      <c r="L58" s="72"/>
      <c r="M58" s="98">
        <f t="shared" si="9"/>
        <v>1</v>
      </c>
      <c r="N58" s="72"/>
      <c r="P58" s="72"/>
      <c r="T58" s="72"/>
    </row>
    <row r="59" spans="1:20" s="200" customFormat="1" ht="15" customHeight="1">
      <c r="A59" s="928"/>
      <c r="B59" s="1063" t="s">
        <v>6440</v>
      </c>
      <c r="C59" s="1202" t="s">
        <v>4429</v>
      </c>
      <c r="D59" s="1719" t="s">
        <v>8964</v>
      </c>
      <c r="E59" s="1203" t="s">
        <v>48</v>
      </c>
      <c r="F59" s="1061">
        <v>0</v>
      </c>
      <c r="G59" s="1192"/>
      <c r="H59" s="2026"/>
      <c r="I59" s="71"/>
      <c r="J59" s="24" t="str">
        <f t="shared" si="8"/>
        <v>Please complete all cells in row</v>
      </c>
      <c r="K59" s="71"/>
      <c r="L59" s="72"/>
      <c r="M59" s="98">
        <f t="shared" si="9"/>
        <v>1</v>
      </c>
      <c r="N59" s="72"/>
      <c r="P59" s="72"/>
      <c r="T59" s="72"/>
    </row>
    <row r="60" spans="1:20" s="200" customFormat="1" ht="15" customHeight="1">
      <c r="A60" s="928"/>
      <c r="B60" s="1063" t="s">
        <v>6441</v>
      </c>
      <c r="C60" s="1202" t="s">
        <v>4430</v>
      </c>
      <c r="D60" s="1719" t="s">
        <v>4431</v>
      </c>
      <c r="E60" s="1203" t="s">
        <v>48</v>
      </c>
      <c r="F60" s="1061">
        <v>0</v>
      </c>
      <c r="G60" s="1192"/>
      <c r="H60" s="2026"/>
      <c r="I60" s="71"/>
      <c r="J60" s="24" t="str">
        <f t="shared" si="8"/>
        <v>Please complete all cells in row</v>
      </c>
      <c r="K60" s="71"/>
      <c r="L60" s="72"/>
      <c r="M60" s="98">
        <f t="shared" si="9"/>
        <v>1</v>
      </c>
      <c r="N60" s="72"/>
      <c r="P60" s="72"/>
      <c r="T60" s="72"/>
    </row>
    <row r="61" spans="1:20" s="200" customFormat="1" ht="15" customHeight="1">
      <c r="A61" s="928"/>
      <c r="B61" s="1063" t="s">
        <v>6442</v>
      </c>
      <c r="C61" s="1202" t="s">
        <v>4432</v>
      </c>
      <c r="D61" s="1719" t="s">
        <v>4433</v>
      </c>
      <c r="E61" s="1203" t="s">
        <v>48</v>
      </c>
      <c r="F61" s="1061">
        <v>0</v>
      </c>
      <c r="G61" s="1192"/>
      <c r="H61" s="2026"/>
      <c r="I61" s="71"/>
      <c r="J61" s="24" t="str">
        <f t="shared" si="8"/>
        <v>Please complete all cells in row</v>
      </c>
      <c r="K61" s="71"/>
      <c r="L61" s="72"/>
      <c r="M61" s="98">
        <f t="shared" si="9"/>
        <v>1</v>
      </c>
      <c r="N61" s="72"/>
      <c r="P61" s="72"/>
      <c r="T61" s="72"/>
    </row>
    <row r="62" spans="1:20" s="200" customFormat="1" ht="15" customHeight="1">
      <c r="A62" s="928"/>
      <c r="B62" s="1063" t="s">
        <v>6443</v>
      </c>
      <c r="C62" s="1202" t="s">
        <v>4434</v>
      </c>
      <c r="D62" s="1719" t="s">
        <v>4435</v>
      </c>
      <c r="E62" s="1203" t="s">
        <v>48</v>
      </c>
      <c r="F62" s="1061">
        <v>0</v>
      </c>
      <c r="G62" s="1192"/>
      <c r="H62" s="2026"/>
      <c r="I62" s="71"/>
      <c r="J62" s="24" t="str">
        <f t="shared" si="8"/>
        <v>Please complete all cells in row</v>
      </c>
      <c r="K62" s="71"/>
      <c r="L62" s="72"/>
      <c r="M62" s="98">
        <f t="shared" si="9"/>
        <v>1</v>
      </c>
      <c r="N62" s="72"/>
      <c r="P62" s="72"/>
      <c r="T62" s="72"/>
    </row>
    <row r="63" spans="1:20" s="200" customFormat="1" ht="15" customHeight="1">
      <c r="A63" s="928"/>
      <c r="B63" s="1063" t="s">
        <v>6444</v>
      </c>
      <c r="C63" s="1202" t="s">
        <v>4436</v>
      </c>
      <c r="D63" s="1719" t="s">
        <v>8965</v>
      </c>
      <c r="E63" s="1203" t="s">
        <v>48</v>
      </c>
      <c r="F63" s="1061">
        <v>0</v>
      </c>
      <c r="G63" s="1192"/>
      <c r="H63" s="2026"/>
      <c r="I63" s="71"/>
      <c r="J63" s="24" t="str">
        <f t="shared" si="8"/>
        <v>Please complete all cells in row</v>
      </c>
      <c r="K63" s="71"/>
      <c r="L63" s="72"/>
      <c r="M63" s="98">
        <f t="shared" si="9"/>
        <v>1</v>
      </c>
      <c r="N63" s="72"/>
      <c r="P63" s="72"/>
      <c r="T63" s="72"/>
    </row>
    <row r="64" spans="1:20" s="200" customFormat="1" ht="15" customHeight="1">
      <c r="A64" s="928"/>
      <c r="B64" s="1063" t="s">
        <v>6445</v>
      </c>
      <c r="C64" s="1202" t="s">
        <v>4437</v>
      </c>
      <c r="D64" s="1719" t="s">
        <v>8966</v>
      </c>
      <c r="E64" s="1203" t="s">
        <v>48</v>
      </c>
      <c r="F64" s="1061">
        <v>0</v>
      </c>
      <c r="G64" s="1192"/>
      <c r="H64" s="2026"/>
      <c r="I64" s="71"/>
      <c r="J64" s="24" t="str">
        <f t="shared" si="8"/>
        <v>Please complete all cells in row</v>
      </c>
      <c r="K64" s="71"/>
      <c r="L64" s="72"/>
      <c r="M64" s="98">
        <f t="shared" si="9"/>
        <v>1</v>
      </c>
      <c r="N64" s="72"/>
      <c r="P64" s="72"/>
      <c r="T64" s="72"/>
    </row>
    <row r="65" spans="1:20" s="200" customFormat="1" ht="15" customHeight="1">
      <c r="A65" s="928"/>
      <c r="B65" s="1063" t="s">
        <v>6446</v>
      </c>
      <c r="C65" s="1202" t="s">
        <v>4438</v>
      </c>
      <c r="D65" s="1719" t="s">
        <v>4439</v>
      </c>
      <c r="E65" s="1203" t="s">
        <v>48</v>
      </c>
      <c r="F65" s="1061">
        <v>0</v>
      </c>
      <c r="G65" s="1192"/>
      <c r="H65" s="2026"/>
      <c r="I65" s="71"/>
      <c r="J65" s="24" t="str">
        <f t="shared" si="8"/>
        <v>Please complete all cells in row</v>
      </c>
      <c r="K65" s="71"/>
      <c r="L65" s="72"/>
      <c r="M65" s="98">
        <f t="shared" si="9"/>
        <v>1</v>
      </c>
      <c r="N65" s="72"/>
      <c r="P65" s="72"/>
      <c r="T65" s="72"/>
    </row>
    <row r="66" spans="1:20" s="200" customFormat="1" ht="15" customHeight="1">
      <c r="A66" s="928"/>
      <c r="B66" s="1063" t="s">
        <v>6447</v>
      </c>
      <c r="C66" s="1202" t="s">
        <v>4440</v>
      </c>
      <c r="D66" s="1719" t="s">
        <v>8967</v>
      </c>
      <c r="E66" s="1203" t="s">
        <v>4312</v>
      </c>
      <c r="F66" s="1061">
        <v>3</v>
      </c>
      <c r="G66" s="1066"/>
      <c r="H66" s="2026"/>
      <c r="I66" s="71"/>
      <c r="J66" s="24" t="str">
        <f t="shared" si="8"/>
        <v>Please complete all cells in row</v>
      </c>
      <c r="K66" s="71"/>
      <c r="L66" s="72"/>
      <c r="M66" s="98">
        <f t="shared" si="9"/>
        <v>1</v>
      </c>
      <c r="N66" s="72"/>
      <c r="P66" s="72"/>
      <c r="T66" s="72"/>
    </row>
    <row r="67" spans="1:20" s="200" customFormat="1" ht="15" customHeight="1" thickBot="1">
      <c r="A67" s="928"/>
      <c r="B67" s="1068" t="s">
        <v>6448</v>
      </c>
      <c r="C67" s="1204" t="s">
        <v>12658</v>
      </c>
      <c r="D67" s="1720" t="s">
        <v>8968</v>
      </c>
      <c r="E67" s="1205" t="s">
        <v>4397</v>
      </c>
      <c r="F67" s="1071">
        <v>2</v>
      </c>
      <c r="G67" s="1198"/>
      <c r="H67" s="2028"/>
      <c r="I67" s="71"/>
      <c r="J67" s="24" t="str">
        <f t="shared" si="8"/>
        <v>Please complete all cells in row</v>
      </c>
      <c r="K67" s="71"/>
      <c r="L67" s="72"/>
      <c r="M67" s="98">
        <f t="shared" si="9"/>
        <v>1</v>
      </c>
      <c r="N67" s="72"/>
      <c r="P67" s="72"/>
      <c r="T67" s="72"/>
    </row>
    <row r="68" spans="1:20" ht="15" thickBot="1">
      <c r="D68" s="1716"/>
    </row>
    <row r="69" spans="1:20" s="928" customFormat="1" ht="15.75" thickBot="1">
      <c r="B69" s="1051" t="s">
        <v>2464</v>
      </c>
      <c r="C69" s="1114" t="s">
        <v>4441</v>
      </c>
      <c r="D69" s="1717"/>
      <c r="I69" s="71"/>
      <c r="J69" s="1146"/>
      <c r="K69" s="71"/>
      <c r="L69" s="72"/>
      <c r="N69" s="1772"/>
      <c r="P69" s="1772"/>
      <c r="T69" s="1772"/>
    </row>
    <row r="70" spans="1:20" s="200" customFormat="1" ht="15" customHeight="1">
      <c r="A70" s="928"/>
      <c r="B70" s="1053" t="s">
        <v>6449</v>
      </c>
      <c r="C70" s="1199" t="s">
        <v>4442</v>
      </c>
      <c r="D70" s="1709" t="s">
        <v>4443</v>
      </c>
      <c r="E70" s="1206" t="s">
        <v>4396</v>
      </c>
      <c r="F70" s="1056">
        <v>1</v>
      </c>
      <c r="G70" s="1207"/>
      <c r="H70" s="2025"/>
      <c r="I70" s="71"/>
      <c r="J70" s="24" t="str">
        <f t="shared" ref="J70:J103" si="10" xml:space="preserve"> IF( SUM( L70:N70 ) = 0, 0, $M$4 )</f>
        <v>Please complete all cells in row</v>
      </c>
      <c r="K70" s="71"/>
      <c r="L70" s="72"/>
      <c r="M70" s="98">
        <f t="shared" ref="M70:M103" si="11" xml:space="preserve"> IF( ISNUMBER( G70 ), 0, 1 )</f>
        <v>1</v>
      </c>
      <c r="N70" s="72"/>
      <c r="P70" s="72"/>
      <c r="T70" s="72"/>
    </row>
    <row r="71" spans="1:20" s="200" customFormat="1" ht="15" customHeight="1">
      <c r="A71" s="928"/>
      <c r="B71" s="1063" t="s">
        <v>6450</v>
      </c>
      <c r="C71" s="1202" t="s">
        <v>12659</v>
      </c>
      <c r="D71" s="1710" t="s">
        <v>4444</v>
      </c>
      <c r="E71" s="1208" t="s">
        <v>4396</v>
      </c>
      <c r="F71" s="1061">
        <v>1</v>
      </c>
      <c r="G71" s="1209"/>
      <c r="H71" s="2026"/>
      <c r="I71" s="71"/>
      <c r="J71" s="24" t="str">
        <f t="shared" si="10"/>
        <v>Please complete all cells in row</v>
      </c>
      <c r="K71" s="71"/>
      <c r="L71" s="72"/>
      <c r="M71" s="98">
        <f t="shared" si="11"/>
        <v>1</v>
      </c>
      <c r="N71" s="72"/>
      <c r="P71" s="72"/>
      <c r="T71" s="72"/>
    </row>
    <row r="72" spans="1:20" s="200" customFormat="1" ht="15" customHeight="1">
      <c r="A72" s="928"/>
      <c r="B72" s="1063" t="s">
        <v>6451</v>
      </c>
      <c r="C72" s="1202" t="s">
        <v>12660</v>
      </c>
      <c r="D72" s="1710" t="s">
        <v>4445</v>
      </c>
      <c r="E72" s="1208" t="s">
        <v>4396</v>
      </c>
      <c r="F72" s="1061">
        <v>1</v>
      </c>
      <c r="G72" s="1209"/>
      <c r="H72" s="2026"/>
      <c r="I72" s="71"/>
      <c r="J72" s="24" t="str">
        <f t="shared" si="10"/>
        <v>Please complete all cells in row</v>
      </c>
      <c r="K72" s="71"/>
      <c r="L72" s="72"/>
      <c r="M72" s="98">
        <f t="shared" si="11"/>
        <v>1</v>
      </c>
      <c r="N72" s="72"/>
      <c r="P72" s="72"/>
      <c r="T72" s="72"/>
    </row>
    <row r="73" spans="1:20" s="200" customFormat="1" ht="15" customHeight="1">
      <c r="A73" s="928"/>
      <c r="B73" s="1063" t="s">
        <v>6452</v>
      </c>
      <c r="C73" s="1202" t="s">
        <v>12661</v>
      </c>
      <c r="D73" s="1710" t="s">
        <v>4446</v>
      </c>
      <c r="E73" s="1208" t="s">
        <v>4396</v>
      </c>
      <c r="F73" s="1061">
        <v>1</v>
      </c>
      <c r="G73" s="1209"/>
      <c r="H73" s="2026"/>
      <c r="I73" s="71"/>
      <c r="J73" s="24" t="str">
        <f t="shared" si="10"/>
        <v>Please complete all cells in row</v>
      </c>
      <c r="K73" s="71"/>
      <c r="L73" s="72"/>
      <c r="M73" s="98">
        <f t="shared" si="11"/>
        <v>1</v>
      </c>
      <c r="N73" s="72"/>
      <c r="P73" s="72"/>
      <c r="T73" s="72"/>
    </row>
    <row r="74" spans="1:20" s="200" customFormat="1" ht="15" customHeight="1">
      <c r="A74" s="928"/>
      <c r="B74" s="1063" t="s">
        <v>6453</v>
      </c>
      <c r="C74" s="1202" t="s">
        <v>12662</v>
      </c>
      <c r="D74" s="1710" t="s">
        <v>8969</v>
      </c>
      <c r="E74" s="1208" t="s">
        <v>4396</v>
      </c>
      <c r="F74" s="1061">
        <v>1</v>
      </c>
      <c r="G74" s="1209"/>
      <c r="H74" s="2026"/>
      <c r="I74" s="71"/>
      <c r="J74" s="24" t="str">
        <f t="shared" si="10"/>
        <v>Please complete all cells in row</v>
      </c>
      <c r="K74" s="71"/>
      <c r="L74" s="72"/>
      <c r="M74" s="98">
        <f t="shared" si="11"/>
        <v>1</v>
      </c>
      <c r="N74" s="72"/>
      <c r="P74" s="72"/>
      <c r="T74" s="72"/>
    </row>
    <row r="75" spans="1:20" s="200" customFormat="1" ht="15" customHeight="1">
      <c r="A75" s="928"/>
      <c r="B75" s="1063" t="s">
        <v>6454</v>
      </c>
      <c r="C75" s="1202" t="s">
        <v>12663</v>
      </c>
      <c r="D75" s="1710" t="s">
        <v>8970</v>
      </c>
      <c r="E75" s="1208" t="s">
        <v>4396</v>
      </c>
      <c r="F75" s="1061">
        <v>1</v>
      </c>
      <c r="G75" s="1209"/>
      <c r="H75" s="2026"/>
      <c r="I75" s="71"/>
      <c r="J75" s="24" t="str">
        <f t="shared" si="10"/>
        <v>Please complete all cells in row</v>
      </c>
      <c r="K75" s="71"/>
      <c r="L75" s="72"/>
      <c r="M75" s="98">
        <f t="shared" si="11"/>
        <v>1</v>
      </c>
      <c r="N75" s="72"/>
      <c r="P75" s="72"/>
      <c r="T75" s="72"/>
    </row>
    <row r="76" spans="1:20" s="200" customFormat="1" ht="15" customHeight="1">
      <c r="A76" s="928"/>
      <c r="B76" s="1063" t="s">
        <v>6455</v>
      </c>
      <c r="C76" s="1202" t="s">
        <v>12664</v>
      </c>
      <c r="D76" s="1710" t="s">
        <v>8971</v>
      </c>
      <c r="E76" s="1208" t="s">
        <v>4396</v>
      </c>
      <c r="F76" s="1061">
        <v>1</v>
      </c>
      <c r="G76" s="1209"/>
      <c r="H76" s="2026"/>
      <c r="I76" s="71"/>
      <c r="J76" s="24" t="str">
        <f t="shared" si="10"/>
        <v>Please complete all cells in row</v>
      </c>
      <c r="K76" s="71"/>
      <c r="L76" s="72"/>
      <c r="M76" s="98">
        <f t="shared" si="11"/>
        <v>1</v>
      </c>
      <c r="N76" s="72"/>
      <c r="P76" s="72"/>
      <c r="T76" s="72"/>
    </row>
    <row r="77" spans="1:20" s="200" customFormat="1" ht="15" customHeight="1">
      <c r="A77" s="928"/>
      <c r="B77" s="1063" t="s">
        <v>6456</v>
      </c>
      <c r="C77" s="1202" t="s">
        <v>12665</v>
      </c>
      <c r="D77" s="1710" t="s">
        <v>8972</v>
      </c>
      <c r="E77" s="1208" t="s">
        <v>4396</v>
      </c>
      <c r="F77" s="1061">
        <v>1</v>
      </c>
      <c r="G77" s="1209"/>
      <c r="H77" s="2026"/>
      <c r="I77" s="71"/>
      <c r="J77" s="24" t="str">
        <f t="shared" si="10"/>
        <v>Please complete all cells in row</v>
      </c>
      <c r="K77" s="71"/>
      <c r="L77" s="72"/>
      <c r="M77" s="98">
        <f t="shared" si="11"/>
        <v>1</v>
      </c>
      <c r="N77" s="72"/>
      <c r="P77" s="72"/>
      <c r="T77" s="72"/>
    </row>
    <row r="78" spans="1:20" s="200" customFormat="1" ht="15" customHeight="1">
      <c r="A78" s="928"/>
      <c r="B78" s="1063" t="s">
        <v>6457</v>
      </c>
      <c r="C78" s="1202" t="s">
        <v>4447</v>
      </c>
      <c r="D78" s="1710" t="s">
        <v>8973</v>
      </c>
      <c r="E78" s="1060" t="s">
        <v>4394</v>
      </c>
      <c r="F78" s="1061">
        <v>0</v>
      </c>
      <c r="G78" s="1210"/>
      <c r="H78" s="2026"/>
      <c r="I78" s="71"/>
      <c r="J78" s="24" t="str">
        <f t="shared" si="10"/>
        <v>Please complete all cells in row</v>
      </c>
      <c r="K78" s="71"/>
      <c r="L78" s="72"/>
      <c r="M78" s="98">
        <f t="shared" si="11"/>
        <v>1</v>
      </c>
      <c r="N78" s="72"/>
      <c r="P78" s="72"/>
      <c r="T78" s="72"/>
    </row>
    <row r="79" spans="1:20" s="200" customFormat="1" ht="15" customHeight="1">
      <c r="A79" s="928"/>
      <c r="B79" s="1063" t="s">
        <v>6458</v>
      </c>
      <c r="C79" s="1202" t="s">
        <v>4448</v>
      </c>
      <c r="D79" s="1710" t="s">
        <v>8974</v>
      </c>
      <c r="E79" s="1208" t="s">
        <v>2755</v>
      </c>
      <c r="F79" s="1061">
        <v>0</v>
      </c>
      <c r="G79" s="1210"/>
      <c r="H79" s="2026"/>
      <c r="I79" s="71"/>
      <c r="J79" s="24" t="str">
        <f t="shared" si="10"/>
        <v>Please complete all cells in row</v>
      </c>
      <c r="K79" s="71"/>
      <c r="L79" s="72"/>
      <c r="M79" s="98">
        <f t="shared" si="11"/>
        <v>1</v>
      </c>
      <c r="N79" s="72"/>
      <c r="P79" s="72"/>
      <c r="T79" s="72"/>
    </row>
    <row r="80" spans="1:20" s="200" customFormat="1" ht="15" customHeight="1">
      <c r="A80" s="928"/>
      <c r="B80" s="1063" t="s">
        <v>6459</v>
      </c>
      <c r="C80" s="1202" t="s">
        <v>4449</v>
      </c>
      <c r="D80" s="1710" t="s">
        <v>8975</v>
      </c>
      <c r="E80" s="1208" t="s">
        <v>2755</v>
      </c>
      <c r="F80" s="1061">
        <v>0</v>
      </c>
      <c r="G80" s="1210"/>
      <c r="H80" s="2026"/>
      <c r="I80" s="71"/>
      <c r="J80" s="24" t="str">
        <f t="shared" si="10"/>
        <v>Please complete all cells in row</v>
      </c>
      <c r="K80" s="71"/>
      <c r="L80" s="72"/>
      <c r="M80" s="98">
        <f t="shared" si="11"/>
        <v>1</v>
      </c>
      <c r="N80" s="72"/>
      <c r="P80" s="72"/>
      <c r="T80" s="72"/>
    </row>
    <row r="81" spans="1:20" s="200" customFormat="1" ht="15" customHeight="1">
      <c r="A81" s="928"/>
      <c r="B81" s="1063" t="s">
        <v>6460</v>
      </c>
      <c r="C81" s="1202" t="s">
        <v>2733</v>
      </c>
      <c r="D81" s="1710" t="s">
        <v>4450</v>
      </c>
      <c r="E81" s="1208" t="s">
        <v>2731</v>
      </c>
      <c r="F81" s="1061">
        <v>2</v>
      </c>
      <c r="G81" s="1211"/>
      <c r="H81" s="2026"/>
      <c r="I81" s="71"/>
      <c r="J81" s="24" t="str">
        <f t="shared" si="10"/>
        <v>Please complete all cells in row</v>
      </c>
      <c r="K81" s="71"/>
      <c r="L81" s="72"/>
      <c r="M81" s="98">
        <f t="shared" si="11"/>
        <v>1</v>
      </c>
      <c r="N81" s="72"/>
      <c r="P81" s="72"/>
      <c r="T81" s="72"/>
    </row>
    <row r="82" spans="1:20" s="200" customFormat="1" ht="15" customHeight="1">
      <c r="A82" s="928"/>
      <c r="B82" s="1063" t="s">
        <v>6461</v>
      </c>
      <c r="C82" s="1202" t="s">
        <v>4451</v>
      </c>
      <c r="D82" s="1710" t="s">
        <v>4452</v>
      </c>
      <c r="E82" s="1208" t="s">
        <v>2731</v>
      </c>
      <c r="F82" s="1061">
        <v>2</v>
      </c>
      <c r="G82" s="1211"/>
      <c r="H82" s="2026"/>
      <c r="I82" s="71"/>
      <c r="J82" s="24" t="str">
        <f t="shared" si="10"/>
        <v>Please complete all cells in row</v>
      </c>
      <c r="K82" s="71"/>
      <c r="L82" s="72"/>
      <c r="M82" s="98">
        <f t="shared" si="11"/>
        <v>1</v>
      </c>
      <c r="N82" s="72"/>
      <c r="P82" s="72"/>
      <c r="T82" s="72"/>
    </row>
    <row r="83" spans="1:20" s="200" customFormat="1" ht="15" customHeight="1">
      <c r="A83" s="928"/>
      <c r="B83" s="1063" t="s">
        <v>6462</v>
      </c>
      <c r="C83" s="1202" t="s">
        <v>4453</v>
      </c>
      <c r="D83" s="1710" t="s">
        <v>4454</v>
      </c>
      <c r="E83" s="1208" t="s">
        <v>2731</v>
      </c>
      <c r="F83" s="1061">
        <v>2</v>
      </c>
      <c r="G83" s="1211"/>
      <c r="H83" s="2026"/>
      <c r="I83" s="71"/>
      <c r="J83" s="24" t="str">
        <f t="shared" si="10"/>
        <v>Please complete all cells in row</v>
      </c>
      <c r="K83" s="71"/>
      <c r="L83" s="72"/>
      <c r="M83" s="98">
        <f t="shared" si="11"/>
        <v>1</v>
      </c>
      <c r="N83" s="72"/>
      <c r="P83" s="72"/>
      <c r="T83" s="72"/>
    </row>
    <row r="84" spans="1:20" s="200" customFormat="1" ht="15" customHeight="1">
      <c r="A84" s="928"/>
      <c r="B84" s="1063" t="s">
        <v>6463</v>
      </c>
      <c r="C84" s="1202" t="s">
        <v>4455</v>
      </c>
      <c r="D84" s="1710" t="s">
        <v>4456</v>
      </c>
      <c r="E84" s="1208" t="s">
        <v>2731</v>
      </c>
      <c r="F84" s="1061">
        <v>2</v>
      </c>
      <c r="G84" s="1211"/>
      <c r="H84" s="2026"/>
      <c r="I84" s="71"/>
      <c r="J84" s="24" t="str">
        <f t="shared" si="10"/>
        <v>Please complete all cells in row</v>
      </c>
      <c r="K84" s="71"/>
      <c r="L84" s="72"/>
      <c r="M84" s="98">
        <f t="shared" si="11"/>
        <v>1</v>
      </c>
      <c r="N84" s="72"/>
      <c r="P84" s="72"/>
      <c r="T84" s="72"/>
    </row>
    <row r="85" spans="1:20" s="200" customFormat="1" ht="15" customHeight="1">
      <c r="A85" s="928"/>
      <c r="B85" s="1063" t="s">
        <v>6464</v>
      </c>
      <c r="C85" s="1202" t="s">
        <v>4457</v>
      </c>
      <c r="D85" s="1710" t="s">
        <v>4458</v>
      </c>
      <c r="E85" s="1208" t="s">
        <v>2731</v>
      </c>
      <c r="F85" s="1061">
        <v>2</v>
      </c>
      <c r="G85" s="1211"/>
      <c r="H85" s="2026"/>
      <c r="I85" s="71"/>
      <c r="J85" s="24" t="str">
        <f t="shared" si="10"/>
        <v>Please complete all cells in row</v>
      </c>
      <c r="K85" s="71"/>
      <c r="L85" s="72"/>
      <c r="M85" s="98">
        <f t="shared" si="11"/>
        <v>1</v>
      </c>
      <c r="N85" s="72"/>
      <c r="P85" s="72"/>
      <c r="T85" s="72"/>
    </row>
    <row r="86" spans="1:20" s="200" customFormat="1" ht="15" customHeight="1">
      <c r="A86" s="928"/>
      <c r="B86" s="1063" t="s">
        <v>6465</v>
      </c>
      <c r="C86" s="1202" t="s">
        <v>4459</v>
      </c>
      <c r="D86" s="1710" t="s">
        <v>4460</v>
      </c>
      <c r="E86" s="1208" t="s">
        <v>2731</v>
      </c>
      <c r="F86" s="1061">
        <v>2</v>
      </c>
      <c r="G86" s="1211"/>
      <c r="H86" s="2026"/>
      <c r="I86" s="71"/>
      <c r="J86" s="24" t="str">
        <f t="shared" si="10"/>
        <v>Please complete all cells in row</v>
      </c>
      <c r="K86" s="71"/>
      <c r="L86" s="72"/>
      <c r="M86" s="98">
        <f t="shared" si="11"/>
        <v>1</v>
      </c>
      <c r="N86" s="72"/>
      <c r="P86" s="72"/>
      <c r="T86" s="72"/>
    </row>
    <row r="87" spans="1:20" s="200" customFormat="1" ht="15" customHeight="1">
      <c r="A87" s="928"/>
      <c r="B87" s="1063" t="s">
        <v>6466</v>
      </c>
      <c r="C87" s="1202" t="s">
        <v>4461</v>
      </c>
      <c r="D87" s="1710" t="s">
        <v>8976</v>
      </c>
      <c r="E87" s="1208" t="s">
        <v>2731</v>
      </c>
      <c r="F87" s="1061">
        <v>2</v>
      </c>
      <c r="G87" s="1211"/>
      <c r="H87" s="2026"/>
      <c r="I87" s="71"/>
      <c r="J87" s="24" t="str">
        <f t="shared" si="10"/>
        <v>Please complete all cells in row</v>
      </c>
      <c r="K87" s="71"/>
      <c r="L87" s="72"/>
      <c r="M87" s="98">
        <f t="shared" si="11"/>
        <v>1</v>
      </c>
      <c r="N87" s="72"/>
      <c r="P87" s="72"/>
      <c r="T87" s="72"/>
    </row>
    <row r="88" spans="1:20" s="200" customFormat="1" ht="15" customHeight="1">
      <c r="A88" s="928"/>
      <c r="B88" s="1063" t="s">
        <v>6467</v>
      </c>
      <c r="C88" s="1202" t="s">
        <v>4462</v>
      </c>
      <c r="D88" s="1710" t="s">
        <v>8977</v>
      </c>
      <c r="E88" s="1208" t="s">
        <v>2731</v>
      </c>
      <c r="F88" s="1061">
        <v>2</v>
      </c>
      <c r="G88" s="1211"/>
      <c r="H88" s="2026"/>
      <c r="I88" s="71"/>
      <c r="J88" s="24" t="str">
        <f t="shared" si="10"/>
        <v>Please complete all cells in row</v>
      </c>
      <c r="K88" s="71"/>
      <c r="L88" s="72"/>
      <c r="M88" s="98">
        <f t="shared" si="11"/>
        <v>1</v>
      </c>
      <c r="N88" s="72"/>
      <c r="P88" s="72"/>
      <c r="T88" s="72"/>
    </row>
    <row r="89" spans="1:20" s="200" customFormat="1" ht="15" customHeight="1">
      <c r="A89" s="928"/>
      <c r="B89" s="1063" t="s">
        <v>6468</v>
      </c>
      <c r="C89" s="1202" t="s">
        <v>4463</v>
      </c>
      <c r="D89" s="1710" t="s">
        <v>4464</v>
      </c>
      <c r="E89" s="1208" t="s">
        <v>48</v>
      </c>
      <c r="F89" s="1196">
        <v>0</v>
      </c>
      <c r="G89" s="1210"/>
      <c r="H89" s="2026"/>
      <c r="I89" s="71"/>
      <c r="J89" s="24" t="str">
        <f t="shared" si="10"/>
        <v>Please complete all cells in row</v>
      </c>
      <c r="K89" s="71"/>
      <c r="L89" s="72"/>
      <c r="M89" s="98">
        <f t="shared" si="11"/>
        <v>1</v>
      </c>
      <c r="N89" s="72"/>
      <c r="P89" s="72"/>
      <c r="T89" s="72"/>
    </row>
    <row r="90" spans="1:20" s="200" customFormat="1" ht="15" customHeight="1">
      <c r="A90" s="928"/>
      <c r="B90" s="1063" t="s">
        <v>6469</v>
      </c>
      <c r="C90" s="1202" t="s">
        <v>4465</v>
      </c>
      <c r="D90" s="1710" t="s">
        <v>4466</v>
      </c>
      <c r="E90" s="1208" t="s">
        <v>48</v>
      </c>
      <c r="F90" s="1196">
        <v>0</v>
      </c>
      <c r="G90" s="1210"/>
      <c r="H90" s="2026"/>
      <c r="I90" s="71"/>
      <c r="J90" s="24" t="str">
        <f t="shared" si="10"/>
        <v>Please complete all cells in row</v>
      </c>
      <c r="K90" s="71"/>
      <c r="L90" s="72"/>
      <c r="M90" s="98">
        <f t="shared" si="11"/>
        <v>1</v>
      </c>
      <c r="N90" s="72"/>
      <c r="P90" s="72"/>
      <c r="T90" s="72"/>
    </row>
    <row r="91" spans="1:20" s="200" customFormat="1" ht="15" customHeight="1">
      <c r="A91" s="928"/>
      <c r="B91" s="1063" t="s">
        <v>6470</v>
      </c>
      <c r="C91" s="1202" t="s">
        <v>4467</v>
      </c>
      <c r="D91" s="1710" t="s">
        <v>4468</v>
      </c>
      <c r="E91" s="1208" t="s">
        <v>48</v>
      </c>
      <c r="F91" s="1196">
        <v>0</v>
      </c>
      <c r="G91" s="1210"/>
      <c r="H91" s="2026"/>
      <c r="I91" s="71"/>
      <c r="J91" s="24" t="str">
        <f t="shared" si="10"/>
        <v>Please complete all cells in row</v>
      </c>
      <c r="K91" s="71"/>
      <c r="L91" s="72"/>
      <c r="M91" s="98">
        <f t="shared" si="11"/>
        <v>1</v>
      </c>
      <c r="N91" s="72"/>
      <c r="P91" s="72"/>
      <c r="T91" s="72"/>
    </row>
    <row r="92" spans="1:20" s="200" customFormat="1" ht="15" customHeight="1">
      <c r="A92" s="928"/>
      <c r="B92" s="1063" t="s">
        <v>6471</v>
      </c>
      <c r="C92" s="1202" t="s">
        <v>4469</v>
      </c>
      <c r="D92" s="1710" t="s">
        <v>4470</v>
      </c>
      <c r="E92" s="1208" t="s">
        <v>48</v>
      </c>
      <c r="F92" s="1196">
        <v>0</v>
      </c>
      <c r="G92" s="1210"/>
      <c r="H92" s="2026"/>
      <c r="I92" s="71"/>
      <c r="J92" s="24" t="str">
        <f t="shared" si="10"/>
        <v>Please complete all cells in row</v>
      </c>
      <c r="K92" s="71"/>
      <c r="L92" s="72"/>
      <c r="M92" s="98">
        <f t="shared" si="11"/>
        <v>1</v>
      </c>
      <c r="N92" s="72"/>
      <c r="P92" s="72"/>
      <c r="T92" s="72"/>
    </row>
    <row r="93" spans="1:20" s="200" customFormat="1" ht="15" customHeight="1">
      <c r="A93" s="928"/>
      <c r="B93" s="1063" t="s">
        <v>6472</v>
      </c>
      <c r="C93" s="1202" t="s">
        <v>4471</v>
      </c>
      <c r="D93" s="1710" t="s">
        <v>4472</v>
      </c>
      <c r="E93" s="1208" t="s">
        <v>48</v>
      </c>
      <c r="F93" s="1196">
        <v>0</v>
      </c>
      <c r="G93" s="1210"/>
      <c r="H93" s="2026"/>
      <c r="I93" s="71"/>
      <c r="J93" s="24" t="str">
        <f t="shared" si="10"/>
        <v>Please complete all cells in row</v>
      </c>
      <c r="K93" s="71"/>
      <c r="L93" s="72"/>
      <c r="M93" s="98">
        <f t="shared" si="11"/>
        <v>1</v>
      </c>
      <c r="N93" s="72"/>
      <c r="P93" s="72"/>
      <c r="T93" s="72"/>
    </row>
    <row r="94" spans="1:20" s="200" customFormat="1" ht="15" customHeight="1">
      <c r="A94" s="928"/>
      <c r="B94" s="1063" t="s">
        <v>6473</v>
      </c>
      <c r="C94" s="1202" t="s">
        <v>4473</v>
      </c>
      <c r="D94" s="1710" t="s">
        <v>4474</v>
      </c>
      <c r="E94" s="1208" t="s">
        <v>48</v>
      </c>
      <c r="F94" s="1196">
        <v>0</v>
      </c>
      <c r="G94" s="1210"/>
      <c r="H94" s="2026"/>
      <c r="I94" s="71"/>
      <c r="J94" s="24" t="str">
        <f t="shared" si="10"/>
        <v>Please complete all cells in row</v>
      </c>
      <c r="K94" s="71"/>
      <c r="L94" s="72"/>
      <c r="M94" s="98">
        <f t="shared" si="11"/>
        <v>1</v>
      </c>
      <c r="N94" s="72"/>
      <c r="P94" s="72"/>
      <c r="T94" s="72"/>
    </row>
    <row r="95" spans="1:20" s="200" customFormat="1" ht="15" customHeight="1">
      <c r="A95" s="928"/>
      <c r="B95" s="1063" t="s">
        <v>6474</v>
      </c>
      <c r="C95" s="1202" t="s">
        <v>12666</v>
      </c>
      <c r="D95" s="1710" t="s">
        <v>8978</v>
      </c>
      <c r="E95" s="1208" t="s">
        <v>4396</v>
      </c>
      <c r="F95" s="1196">
        <v>1</v>
      </c>
      <c r="G95" s="1209"/>
      <c r="H95" s="2026"/>
      <c r="I95" s="71"/>
      <c r="J95" s="24" t="str">
        <f t="shared" si="10"/>
        <v>Please complete all cells in row</v>
      </c>
      <c r="K95" s="71"/>
      <c r="L95" s="72"/>
      <c r="M95" s="98">
        <f t="shared" si="11"/>
        <v>1</v>
      </c>
      <c r="N95" s="72"/>
      <c r="P95" s="72"/>
      <c r="T95" s="72"/>
    </row>
    <row r="96" spans="1:20" s="200" customFormat="1" ht="15" customHeight="1">
      <c r="A96" s="928"/>
      <c r="B96" s="1063" t="s">
        <v>6475</v>
      </c>
      <c r="C96" s="1202" t="s">
        <v>12667</v>
      </c>
      <c r="D96" s="1710" t="s">
        <v>8979</v>
      </c>
      <c r="E96" s="1208" t="s">
        <v>4396</v>
      </c>
      <c r="F96" s="1196">
        <v>1</v>
      </c>
      <c r="G96" s="1209"/>
      <c r="H96" s="2026"/>
      <c r="I96" s="71"/>
      <c r="J96" s="24" t="str">
        <f t="shared" si="10"/>
        <v>Please complete all cells in row</v>
      </c>
      <c r="K96" s="71"/>
      <c r="L96" s="72"/>
      <c r="M96" s="98">
        <f t="shared" si="11"/>
        <v>1</v>
      </c>
      <c r="N96" s="72"/>
      <c r="P96" s="72"/>
      <c r="T96" s="72"/>
    </row>
    <row r="97" spans="1:20" s="200" customFormat="1" ht="15" customHeight="1">
      <c r="A97" s="928"/>
      <c r="B97" s="1063" t="s">
        <v>6476</v>
      </c>
      <c r="C97" s="1202" t="s">
        <v>12668</v>
      </c>
      <c r="D97" s="1710" t="s">
        <v>8980</v>
      </c>
      <c r="E97" s="1208" t="s">
        <v>4396</v>
      </c>
      <c r="F97" s="1196">
        <v>1</v>
      </c>
      <c r="G97" s="1209"/>
      <c r="H97" s="2026"/>
      <c r="I97" s="71"/>
      <c r="J97" s="24" t="str">
        <f t="shared" si="10"/>
        <v>Please complete all cells in row</v>
      </c>
      <c r="K97" s="71"/>
      <c r="L97" s="72"/>
      <c r="M97" s="98">
        <f t="shared" si="11"/>
        <v>1</v>
      </c>
      <c r="N97" s="72"/>
      <c r="P97" s="72"/>
      <c r="T97" s="72"/>
    </row>
    <row r="98" spans="1:20" s="200" customFormat="1" ht="15" customHeight="1">
      <c r="A98" s="928"/>
      <c r="B98" s="1063" t="s">
        <v>6477</v>
      </c>
      <c r="C98" s="1202" t="s">
        <v>12669</v>
      </c>
      <c r="D98" s="1710" t="s">
        <v>8981</v>
      </c>
      <c r="E98" s="1208" t="s">
        <v>4396</v>
      </c>
      <c r="F98" s="1196">
        <v>1</v>
      </c>
      <c r="G98" s="1209"/>
      <c r="H98" s="2026"/>
      <c r="I98" s="71"/>
      <c r="J98" s="24" t="str">
        <f t="shared" si="10"/>
        <v>Please complete all cells in row</v>
      </c>
      <c r="K98" s="71"/>
      <c r="L98" s="72"/>
      <c r="M98" s="98">
        <f t="shared" si="11"/>
        <v>1</v>
      </c>
      <c r="N98" s="72"/>
      <c r="P98" s="72"/>
      <c r="T98" s="72"/>
    </row>
    <row r="99" spans="1:20" s="200" customFormat="1" ht="15" customHeight="1">
      <c r="A99" s="928"/>
      <c r="B99" s="1063" t="s">
        <v>6478</v>
      </c>
      <c r="C99" s="1202" t="s">
        <v>12670</v>
      </c>
      <c r="D99" s="1710" t="s">
        <v>8982</v>
      </c>
      <c r="E99" s="1208" t="s">
        <v>4396</v>
      </c>
      <c r="F99" s="1196">
        <v>1</v>
      </c>
      <c r="G99" s="1209"/>
      <c r="H99" s="2026"/>
      <c r="I99" s="71"/>
      <c r="J99" s="24" t="str">
        <f t="shared" si="10"/>
        <v>Please complete all cells in row</v>
      </c>
      <c r="K99" s="71"/>
      <c r="L99" s="72"/>
      <c r="M99" s="98">
        <f t="shared" si="11"/>
        <v>1</v>
      </c>
      <c r="N99" s="72"/>
      <c r="P99" s="72"/>
      <c r="T99" s="72"/>
    </row>
    <row r="100" spans="1:20" s="200" customFormat="1" ht="15" customHeight="1">
      <c r="A100" s="928"/>
      <c r="B100" s="1063" t="s">
        <v>6479</v>
      </c>
      <c r="C100" s="1202" t="s">
        <v>12671</v>
      </c>
      <c r="D100" s="1710" t="s">
        <v>8983</v>
      </c>
      <c r="E100" s="1208" t="s">
        <v>4396</v>
      </c>
      <c r="F100" s="1196">
        <v>1</v>
      </c>
      <c r="G100" s="1209"/>
      <c r="H100" s="2026"/>
      <c r="I100" s="71"/>
      <c r="J100" s="24" t="str">
        <f t="shared" si="10"/>
        <v>Please complete all cells in row</v>
      </c>
      <c r="K100" s="71"/>
      <c r="L100" s="72"/>
      <c r="M100" s="98">
        <f t="shared" si="11"/>
        <v>1</v>
      </c>
      <c r="N100" s="72"/>
      <c r="P100" s="72"/>
      <c r="T100" s="72"/>
    </row>
    <row r="101" spans="1:20" s="200" customFormat="1" ht="15" customHeight="1">
      <c r="A101" s="928"/>
      <c r="B101" s="1063" t="s">
        <v>6480</v>
      </c>
      <c r="C101" s="1202" t="s">
        <v>12672</v>
      </c>
      <c r="D101" s="1710" t="s">
        <v>8984</v>
      </c>
      <c r="E101" s="1208" t="s">
        <v>4396</v>
      </c>
      <c r="F101" s="1196">
        <v>1</v>
      </c>
      <c r="G101" s="1209"/>
      <c r="H101" s="2026"/>
      <c r="I101" s="71"/>
      <c r="J101" s="24" t="str">
        <f t="shared" si="10"/>
        <v>Please complete all cells in row</v>
      </c>
      <c r="K101" s="71"/>
      <c r="L101" s="72"/>
      <c r="M101" s="98">
        <f t="shared" si="11"/>
        <v>1</v>
      </c>
      <c r="N101" s="72"/>
      <c r="P101" s="72"/>
      <c r="T101" s="72"/>
    </row>
    <row r="102" spans="1:20" s="200" customFormat="1" ht="15" customHeight="1">
      <c r="A102" s="928"/>
      <c r="B102" s="1063" t="s">
        <v>6481</v>
      </c>
      <c r="C102" s="1202" t="s">
        <v>12673</v>
      </c>
      <c r="D102" s="1710" t="s">
        <v>8985</v>
      </c>
      <c r="E102" s="1208" t="s">
        <v>4396</v>
      </c>
      <c r="F102" s="1061">
        <v>1</v>
      </c>
      <c r="G102" s="1209"/>
      <c r="H102" s="2026"/>
      <c r="I102" s="71"/>
      <c r="J102" s="24" t="str">
        <f t="shared" si="10"/>
        <v>Please complete all cells in row</v>
      </c>
      <c r="K102" s="71"/>
      <c r="L102" s="72"/>
      <c r="M102" s="98">
        <f t="shared" si="11"/>
        <v>1</v>
      </c>
      <c r="N102" s="72"/>
      <c r="P102" s="72"/>
      <c r="T102" s="72"/>
    </row>
    <row r="103" spans="1:20" s="200" customFormat="1" ht="15" customHeight="1" thickBot="1">
      <c r="A103" s="928"/>
      <c r="B103" s="1068" t="s">
        <v>6482</v>
      </c>
      <c r="C103" s="1204" t="s">
        <v>12674</v>
      </c>
      <c r="D103" s="1711" t="s">
        <v>8986</v>
      </c>
      <c r="E103" s="1212" t="s">
        <v>4397</v>
      </c>
      <c r="F103" s="1071">
        <v>2</v>
      </c>
      <c r="G103" s="1213"/>
      <c r="H103" s="2028"/>
      <c r="I103" s="71"/>
      <c r="J103" s="24" t="str">
        <f t="shared" si="10"/>
        <v>Please complete all cells in row</v>
      </c>
      <c r="K103" s="71"/>
      <c r="L103" s="72"/>
      <c r="M103" s="98">
        <f t="shared" si="11"/>
        <v>1</v>
      </c>
      <c r="N103" s="72"/>
      <c r="P103" s="72"/>
      <c r="T103" s="72"/>
    </row>
    <row r="104" spans="1:20" s="200" customFormat="1" ht="15" thickBot="1">
      <c r="A104" s="928"/>
      <c r="B104" s="1078"/>
      <c r="C104" s="1079"/>
      <c r="D104" s="1721"/>
      <c r="E104" s="1080"/>
      <c r="F104" s="1081"/>
      <c r="G104" s="2031"/>
      <c r="H104" s="2032"/>
      <c r="I104" s="71"/>
      <c r="J104" s="24"/>
      <c r="K104" s="71"/>
      <c r="L104" s="72"/>
      <c r="M104" s="210"/>
      <c r="N104" s="129"/>
      <c r="P104" s="72"/>
      <c r="T104" s="72"/>
    </row>
    <row r="105" spans="1:20" s="200" customFormat="1" ht="15" thickBot="1">
      <c r="A105" s="928"/>
      <c r="B105" s="1801" t="s">
        <v>2473</v>
      </c>
      <c r="C105" s="1114" t="s">
        <v>4483</v>
      </c>
      <c r="D105" s="1721"/>
      <c r="E105" s="1080"/>
      <c r="F105" s="1081"/>
      <c r="G105" s="2031"/>
      <c r="H105" s="2032"/>
      <c r="I105" s="71"/>
      <c r="J105" s="24"/>
      <c r="K105" s="71"/>
      <c r="L105" s="72"/>
      <c r="M105" s="210"/>
      <c r="N105" s="129"/>
      <c r="P105" s="72"/>
      <c r="T105" s="72"/>
    </row>
    <row r="106" spans="1:20" s="200" customFormat="1">
      <c r="A106" s="928"/>
      <c r="B106" s="1807" t="s">
        <v>6483</v>
      </c>
      <c r="C106" s="1220" t="s">
        <v>4484</v>
      </c>
      <c r="D106" s="1722" t="s">
        <v>8987</v>
      </c>
      <c r="E106" s="96" t="s">
        <v>12209</v>
      </c>
      <c r="F106" s="1214">
        <v>0</v>
      </c>
      <c r="G106" s="1215"/>
      <c r="H106" s="2025"/>
      <c r="I106" s="71"/>
      <c r="J106" s="24" t="str">
        <f t="shared" ref="J106:J123" si="12" xml:space="preserve"> IF( SUM( L106:N106 ) = 0, 0, $M$4 )</f>
        <v>Please complete all cells in row</v>
      </c>
      <c r="K106" s="71"/>
      <c r="L106" s="72"/>
      <c r="M106" s="98">
        <f t="shared" ref="M106:M113" si="13" xml:space="preserve"> IF( ISNUMBER( G106 ), 0, 1 )</f>
        <v>1</v>
      </c>
      <c r="N106" s="72"/>
      <c r="P106" s="72"/>
      <c r="T106" s="72"/>
    </row>
    <row r="107" spans="1:20" s="200" customFormat="1">
      <c r="A107" s="928"/>
      <c r="B107" s="1808" t="s">
        <v>6484</v>
      </c>
      <c r="C107" s="1557" t="s">
        <v>4485</v>
      </c>
      <c r="D107" s="1723" t="s">
        <v>8988</v>
      </c>
      <c r="E107" s="1558" t="s">
        <v>12209</v>
      </c>
      <c r="F107" s="1216">
        <v>0</v>
      </c>
      <c r="G107" s="1210"/>
      <c r="H107" s="2026"/>
      <c r="I107" s="71"/>
      <c r="J107" s="24" t="str">
        <f t="shared" si="12"/>
        <v>Please complete all cells in row</v>
      </c>
      <c r="K107" s="71"/>
      <c r="L107" s="72"/>
      <c r="M107" s="98">
        <f t="shared" si="13"/>
        <v>1</v>
      </c>
      <c r="N107" s="72"/>
      <c r="P107" s="72"/>
      <c r="T107" s="72"/>
    </row>
    <row r="108" spans="1:20" s="200" customFormat="1">
      <c r="A108" s="928"/>
      <c r="B108" s="1808" t="s">
        <v>6485</v>
      </c>
      <c r="C108" s="1222" t="s">
        <v>4486</v>
      </c>
      <c r="D108" s="1724" t="s">
        <v>8989</v>
      </c>
      <c r="E108" s="103" t="s">
        <v>12209</v>
      </c>
      <c r="F108" s="1216">
        <v>0</v>
      </c>
      <c r="G108" s="1210"/>
      <c r="H108" s="2026"/>
      <c r="I108" s="71"/>
      <c r="J108" s="24" t="str">
        <f t="shared" si="12"/>
        <v>Please complete all cells in row</v>
      </c>
      <c r="K108" s="71"/>
      <c r="L108" s="72"/>
      <c r="M108" s="98">
        <f t="shared" si="13"/>
        <v>1</v>
      </c>
      <c r="N108" s="72"/>
      <c r="P108" s="72"/>
      <c r="T108" s="72"/>
    </row>
    <row r="109" spans="1:20" s="200" customFormat="1">
      <c r="A109" s="928"/>
      <c r="B109" s="1808" t="s">
        <v>6486</v>
      </c>
      <c r="C109" s="1222" t="s">
        <v>4487</v>
      </c>
      <c r="D109" s="1724" t="s">
        <v>8990</v>
      </c>
      <c r="E109" s="103" t="s">
        <v>12209</v>
      </c>
      <c r="F109" s="1216">
        <v>0</v>
      </c>
      <c r="G109" s="1210"/>
      <c r="H109" s="2026"/>
      <c r="I109" s="71"/>
      <c r="J109" s="24" t="str">
        <f t="shared" si="12"/>
        <v>Please complete all cells in row</v>
      </c>
      <c r="K109" s="71"/>
      <c r="L109" s="72"/>
      <c r="M109" s="98">
        <f t="shared" si="13"/>
        <v>1</v>
      </c>
      <c r="N109" s="72"/>
      <c r="P109" s="72"/>
      <c r="T109" s="72"/>
    </row>
    <row r="110" spans="1:20" s="200" customFormat="1">
      <c r="A110" s="928"/>
      <c r="B110" s="1808" t="s">
        <v>6487</v>
      </c>
      <c r="C110" s="1222" t="s">
        <v>4488</v>
      </c>
      <c r="D110" s="1724" t="s">
        <v>8991</v>
      </c>
      <c r="E110" s="103" t="s">
        <v>12209</v>
      </c>
      <c r="F110" s="1216">
        <v>0</v>
      </c>
      <c r="G110" s="1210"/>
      <c r="H110" s="2026"/>
      <c r="I110" s="71"/>
      <c r="J110" s="24" t="str">
        <f t="shared" si="12"/>
        <v>Please complete all cells in row</v>
      </c>
      <c r="K110" s="71"/>
      <c r="L110" s="72"/>
      <c r="M110" s="98">
        <f t="shared" si="13"/>
        <v>1</v>
      </c>
      <c r="N110" s="72"/>
      <c r="P110" s="72"/>
      <c r="T110" s="72"/>
    </row>
    <row r="111" spans="1:20" s="200" customFormat="1">
      <c r="A111" s="928"/>
      <c r="B111" s="1808" t="s">
        <v>6488</v>
      </c>
      <c r="C111" s="1222" t="s">
        <v>4489</v>
      </c>
      <c r="D111" s="1724" t="s">
        <v>8992</v>
      </c>
      <c r="E111" s="103" t="s">
        <v>12209</v>
      </c>
      <c r="F111" s="1217">
        <v>0</v>
      </c>
      <c r="G111" s="1210"/>
      <c r="H111" s="2026"/>
      <c r="I111" s="71"/>
      <c r="J111" s="24" t="str">
        <f t="shared" si="12"/>
        <v>Please complete all cells in row</v>
      </c>
      <c r="K111" s="71"/>
      <c r="L111" s="72"/>
      <c r="M111" s="98">
        <f t="shared" si="13"/>
        <v>1</v>
      </c>
      <c r="N111" s="72"/>
      <c r="P111" s="72"/>
      <c r="T111" s="72"/>
    </row>
    <row r="112" spans="1:20" s="200" customFormat="1">
      <c r="A112" s="928"/>
      <c r="B112" s="1808" t="s">
        <v>6489</v>
      </c>
      <c r="C112" s="1222" t="s">
        <v>4490</v>
      </c>
      <c r="D112" s="1726" t="s">
        <v>8993</v>
      </c>
      <c r="E112" s="1556" t="s">
        <v>12209</v>
      </c>
      <c r="F112" s="1216">
        <v>0</v>
      </c>
      <c r="G112" s="1210"/>
      <c r="H112" s="2026"/>
      <c r="I112" s="71"/>
      <c r="J112" s="24" t="str">
        <f t="shared" si="12"/>
        <v>Please complete all cells in row</v>
      </c>
      <c r="K112" s="71"/>
      <c r="L112" s="72"/>
      <c r="M112" s="98">
        <f t="shared" si="13"/>
        <v>1</v>
      </c>
      <c r="N112" s="72"/>
      <c r="P112" s="72"/>
      <c r="T112" s="72"/>
    </row>
    <row r="113" spans="1:20" s="200" customFormat="1" ht="15" thickBot="1">
      <c r="A113" s="928"/>
      <c r="B113" s="1809" t="s">
        <v>6490</v>
      </c>
      <c r="C113" s="2457" t="s">
        <v>4491</v>
      </c>
      <c r="D113" s="2458" t="s">
        <v>8994</v>
      </c>
      <c r="E113" s="1555" t="s">
        <v>12209</v>
      </c>
      <c r="F113" s="1218">
        <v>0</v>
      </c>
      <c r="G113" s="1219"/>
      <c r="H113" s="2028"/>
      <c r="I113" s="71"/>
      <c r="J113" s="24" t="str">
        <f t="shared" si="12"/>
        <v>Please complete all cells in row</v>
      </c>
      <c r="K113" s="71"/>
      <c r="L113" s="72"/>
      <c r="M113" s="98">
        <f t="shared" si="13"/>
        <v>1</v>
      </c>
      <c r="N113" s="72"/>
      <c r="P113" s="72"/>
      <c r="T113" s="72"/>
    </row>
    <row r="114" spans="1:20" s="200" customFormat="1" ht="15" thickBot="1">
      <c r="A114" s="928"/>
      <c r="B114" s="1078"/>
      <c r="C114" s="836"/>
      <c r="D114" s="1721"/>
      <c r="E114" s="837"/>
      <c r="F114" s="1081"/>
      <c r="G114" s="2029"/>
      <c r="H114" s="2030"/>
      <c r="J114" s="24"/>
      <c r="L114" s="72"/>
      <c r="M114" s="71"/>
      <c r="N114" s="72"/>
      <c r="P114" s="72"/>
      <c r="T114" s="72"/>
    </row>
    <row r="115" spans="1:20" s="200" customFormat="1" ht="15" thickBot="1">
      <c r="A115" s="928"/>
      <c r="B115" s="1801" t="s">
        <v>2480</v>
      </c>
      <c r="C115" s="1114" t="s">
        <v>4492</v>
      </c>
      <c r="D115" s="1721"/>
      <c r="E115" s="837"/>
      <c r="F115" s="1081"/>
      <c r="G115" s="2029"/>
      <c r="H115" s="2030"/>
      <c r="J115" s="24"/>
      <c r="K115" s="71"/>
      <c r="L115" s="72"/>
      <c r="M115" s="71"/>
      <c r="N115" s="72"/>
      <c r="P115" s="72"/>
      <c r="T115" s="72"/>
    </row>
    <row r="116" spans="1:20" s="200" customFormat="1">
      <c r="A116" s="928"/>
      <c r="B116" s="1807" t="s">
        <v>6491</v>
      </c>
      <c r="C116" s="1220" t="s">
        <v>13557</v>
      </c>
      <c r="D116" s="1725" t="s">
        <v>8995</v>
      </c>
      <c r="E116" s="96" t="s">
        <v>76</v>
      </c>
      <c r="F116" s="1214">
        <v>1</v>
      </c>
      <c r="G116" s="1221"/>
      <c r="H116" s="2025"/>
      <c r="I116" s="71"/>
      <c r="J116" s="24" t="str">
        <f t="shared" si="12"/>
        <v>Please complete all cells in row</v>
      </c>
      <c r="K116" s="71"/>
      <c r="L116" s="72"/>
      <c r="M116" s="98">
        <f t="shared" ref="M116:M123" si="14" xml:space="preserve"> IF( ISNUMBER( G116 ), 0, 1 )</f>
        <v>1</v>
      </c>
      <c r="N116" s="72"/>
      <c r="P116" s="72"/>
      <c r="T116" s="72"/>
    </row>
    <row r="117" spans="1:20" s="200" customFormat="1">
      <c r="A117" s="928"/>
      <c r="B117" s="1808" t="s">
        <v>6492</v>
      </c>
      <c r="C117" s="1222" t="s">
        <v>13558</v>
      </c>
      <c r="D117" s="1726" t="s">
        <v>8996</v>
      </c>
      <c r="E117" s="103" t="s">
        <v>76</v>
      </c>
      <c r="F117" s="1216">
        <v>1</v>
      </c>
      <c r="G117" s="1223"/>
      <c r="H117" s="2026"/>
      <c r="I117" s="71"/>
      <c r="J117" s="24" t="str">
        <f t="shared" si="12"/>
        <v>Please complete all cells in row</v>
      </c>
      <c r="K117" s="71"/>
      <c r="L117" s="72"/>
      <c r="M117" s="98">
        <f t="shared" si="14"/>
        <v>1</v>
      </c>
      <c r="N117" s="72"/>
      <c r="P117" s="72"/>
      <c r="T117" s="72"/>
    </row>
    <row r="118" spans="1:20" s="200" customFormat="1">
      <c r="A118" s="928"/>
      <c r="B118" s="1808" t="s">
        <v>6493</v>
      </c>
      <c r="C118" s="1222" t="s">
        <v>13559</v>
      </c>
      <c r="D118" s="1726" t="s">
        <v>8997</v>
      </c>
      <c r="E118" s="103" t="s">
        <v>76</v>
      </c>
      <c r="F118" s="1216">
        <v>1</v>
      </c>
      <c r="G118" s="1223"/>
      <c r="H118" s="2026"/>
      <c r="I118" s="71"/>
      <c r="J118" s="24" t="str">
        <f t="shared" si="12"/>
        <v>Please complete all cells in row</v>
      </c>
      <c r="K118" s="71"/>
      <c r="L118" s="72"/>
      <c r="M118" s="98">
        <f t="shared" si="14"/>
        <v>1</v>
      </c>
      <c r="N118" s="72"/>
      <c r="P118" s="72"/>
      <c r="T118" s="72"/>
    </row>
    <row r="119" spans="1:20" s="200" customFormat="1">
      <c r="A119" s="928"/>
      <c r="B119" s="1808" t="s">
        <v>6494</v>
      </c>
      <c r="C119" s="1222" t="s">
        <v>13560</v>
      </c>
      <c r="D119" s="1726" t="s">
        <v>8998</v>
      </c>
      <c r="E119" s="103" t="s">
        <v>76</v>
      </c>
      <c r="F119" s="1216">
        <v>1</v>
      </c>
      <c r="G119" s="1223"/>
      <c r="H119" s="2026"/>
      <c r="I119" s="71"/>
      <c r="J119" s="24" t="str">
        <f t="shared" si="12"/>
        <v>Please complete all cells in row</v>
      </c>
      <c r="K119" s="71"/>
      <c r="L119" s="72"/>
      <c r="M119" s="98">
        <f t="shared" si="14"/>
        <v>1</v>
      </c>
      <c r="N119" s="72"/>
      <c r="P119" s="72"/>
      <c r="T119" s="72"/>
    </row>
    <row r="120" spans="1:20" s="200" customFormat="1">
      <c r="A120" s="928"/>
      <c r="B120" s="1808" t="s">
        <v>12675</v>
      </c>
      <c r="C120" s="1222" t="s">
        <v>13561</v>
      </c>
      <c r="D120" s="1726" t="s">
        <v>8999</v>
      </c>
      <c r="E120" s="103" t="s">
        <v>76</v>
      </c>
      <c r="F120" s="1216">
        <v>1</v>
      </c>
      <c r="G120" s="1223"/>
      <c r="H120" s="2026"/>
      <c r="I120" s="71"/>
      <c r="J120" s="24" t="str">
        <f t="shared" si="12"/>
        <v>Please complete all cells in row</v>
      </c>
      <c r="K120" s="71"/>
      <c r="L120" s="72"/>
      <c r="M120" s="98">
        <f t="shared" si="14"/>
        <v>1</v>
      </c>
      <c r="N120" s="72"/>
      <c r="P120" s="72"/>
      <c r="T120" s="72"/>
    </row>
    <row r="121" spans="1:20" s="200" customFormat="1">
      <c r="A121" s="928"/>
      <c r="B121" s="1808" t="s">
        <v>12676</v>
      </c>
      <c r="C121" s="1222" t="s">
        <v>13562</v>
      </c>
      <c r="D121" s="1726" t="s">
        <v>9000</v>
      </c>
      <c r="E121" s="103" t="s">
        <v>76</v>
      </c>
      <c r="F121" s="1217">
        <v>1</v>
      </c>
      <c r="G121" s="1223"/>
      <c r="H121" s="2026"/>
      <c r="I121" s="71"/>
      <c r="J121" s="24" t="str">
        <f t="shared" si="12"/>
        <v>Please complete all cells in row</v>
      </c>
      <c r="K121" s="71"/>
      <c r="L121" s="72"/>
      <c r="M121" s="98">
        <f t="shared" si="14"/>
        <v>1</v>
      </c>
      <c r="N121" s="72"/>
      <c r="P121" s="72"/>
      <c r="T121" s="72"/>
    </row>
    <row r="122" spans="1:20" s="200" customFormat="1">
      <c r="A122" s="928"/>
      <c r="B122" s="1808" t="s">
        <v>12677</v>
      </c>
      <c r="C122" s="1222" t="s">
        <v>13563</v>
      </c>
      <c r="D122" s="1726" t="s">
        <v>9001</v>
      </c>
      <c r="E122" s="103" t="s">
        <v>76</v>
      </c>
      <c r="F122" s="1216">
        <v>1</v>
      </c>
      <c r="G122" s="1223"/>
      <c r="H122" s="2026"/>
      <c r="I122" s="71"/>
      <c r="J122" s="24" t="str">
        <f t="shared" si="12"/>
        <v>Please complete all cells in row</v>
      </c>
      <c r="K122" s="71"/>
      <c r="L122" s="72"/>
      <c r="M122" s="98">
        <f t="shared" si="14"/>
        <v>1</v>
      </c>
      <c r="N122" s="72"/>
      <c r="P122" s="72"/>
      <c r="T122" s="72"/>
    </row>
    <row r="123" spans="1:20" s="200" customFormat="1" ht="15" thickBot="1">
      <c r="A123" s="928"/>
      <c r="B123" s="1809" t="s">
        <v>12678</v>
      </c>
      <c r="C123" s="1224" t="s">
        <v>13564</v>
      </c>
      <c r="D123" s="1727" t="s">
        <v>9002</v>
      </c>
      <c r="E123" s="104" t="s">
        <v>76</v>
      </c>
      <c r="F123" s="1218">
        <v>1</v>
      </c>
      <c r="G123" s="1225"/>
      <c r="H123" s="2028"/>
      <c r="I123" s="71"/>
      <c r="J123" s="24" t="str">
        <f t="shared" si="12"/>
        <v>Please complete all cells in row</v>
      </c>
      <c r="K123" s="71"/>
      <c r="L123" s="72"/>
      <c r="M123" s="98">
        <f t="shared" si="14"/>
        <v>1</v>
      </c>
      <c r="N123" s="72"/>
      <c r="P123" s="72"/>
      <c r="T123" s="72"/>
    </row>
    <row r="124" spans="1:20"/>
    <row r="125" spans="1:20">
      <c r="B125" s="3457" t="s">
        <v>2420</v>
      </c>
      <c r="C125" s="3457"/>
      <c r="D125" s="1079"/>
      <c r="E125" s="1080"/>
      <c r="F125" s="1081"/>
      <c r="G125" s="1081"/>
      <c r="H125" s="1081"/>
      <c r="I125" s="1081"/>
      <c r="J125" s="1082"/>
      <c r="K125" s="1082"/>
      <c r="L125" s="1782"/>
    </row>
    <row r="126" spans="1:20">
      <c r="B126" s="1078"/>
      <c r="C126" s="1085"/>
      <c r="D126" s="1079"/>
      <c r="E126" s="1080"/>
      <c r="F126" s="1081"/>
      <c r="G126" s="1081"/>
      <c r="H126" s="1081"/>
      <c r="I126" s="1081"/>
      <c r="J126" s="1086"/>
      <c r="K126" s="1086"/>
      <c r="L126" s="1783"/>
    </row>
    <row r="127" spans="1:20">
      <c r="B127" s="1008"/>
      <c r="C127" s="1009" t="s">
        <v>2421</v>
      </c>
      <c r="D127" s="1009"/>
      <c r="E127" s="170"/>
      <c r="F127" s="170"/>
      <c r="G127" s="170"/>
      <c r="H127" s="170"/>
      <c r="I127" s="170"/>
      <c r="J127" s="170"/>
      <c r="K127" s="170"/>
      <c r="L127" s="1774"/>
    </row>
    <row r="128" spans="1:20">
      <c r="B128" s="1006"/>
      <c r="C128" s="1007"/>
      <c r="D128" s="1007"/>
      <c r="E128" s="170"/>
      <c r="F128" s="170"/>
      <c r="G128" s="170"/>
      <c r="H128" s="170"/>
      <c r="I128" s="170"/>
      <c r="J128" s="170"/>
      <c r="K128" s="170"/>
      <c r="L128" s="1774"/>
    </row>
    <row r="129" spans="1:20">
      <c r="B129" s="1010"/>
      <c r="C129" s="1009" t="s">
        <v>2422</v>
      </c>
      <c r="D129" s="1009"/>
      <c r="E129" s="170"/>
      <c r="F129" s="170"/>
      <c r="G129" s="170"/>
      <c r="H129" s="170"/>
      <c r="I129" s="170"/>
      <c r="J129" s="170"/>
      <c r="K129" s="170"/>
      <c r="L129" s="1774"/>
    </row>
    <row r="130" spans="1:20">
      <c r="B130" s="115"/>
      <c r="C130" s="157"/>
      <c r="D130" s="157"/>
      <c r="E130" s="115"/>
      <c r="F130" s="115"/>
      <c r="G130" s="115"/>
      <c r="H130" s="115"/>
      <c r="I130" s="115"/>
      <c r="J130" s="115"/>
      <c r="K130" s="115"/>
      <c r="L130" s="1775"/>
    </row>
    <row r="131" spans="1:20" ht="15" thickBot="1">
      <c r="B131" s="115"/>
      <c r="C131" s="157"/>
      <c r="D131" s="157"/>
      <c r="E131" s="115"/>
      <c r="F131" s="115"/>
      <c r="G131" s="115"/>
      <c r="H131" s="115"/>
      <c r="I131" s="115"/>
      <c r="J131" s="115"/>
      <c r="K131" s="115"/>
      <c r="L131" s="1775"/>
    </row>
    <row r="132" spans="1:20" ht="15" thickBot="1">
      <c r="B132" s="3518" t="s">
        <v>12572</v>
      </c>
      <c r="C132" s="3674"/>
      <c r="D132" s="3674"/>
      <c r="E132" s="3674"/>
      <c r="F132" s="3674"/>
      <c r="G132" s="3674"/>
      <c r="H132" s="3674"/>
      <c r="I132" s="3674"/>
      <c r="J132" s="3675"/>
      <c r="K132" s="115"/>
      <c r="L132" s="1775"/>
    </row>
    <row r="133" spans="1:20" ht="15" thickBot="1">
      <c r="B133" s="115"/>
      <c r="C133" s="157"/>
      <c r="D133" s="157"/>
      <c r="E133" s="115"/>
      <c r="F133" s="115"/>
      <c r="G133" s="115"/>
      <c r="H133" s="115"/>
      <c r="I133" s="115"/>
      <c r="J133" s="115"/>
      <c r="K133" s="115"/>
      <c r="L133" s="1775"/>
    </row>
    <row r="134" spans="1:20" ht="15" hidden="1" thickBot="1">
      <c r="A134" s="1696"/>
      <c r="B134" s="3571" t="str">
        <f ca="1" xml:space="preserve"> RIGHT(CELL("filename", $A$1), LEN(CELL("filename", $A$1)) - SEARCH("]", CELL("filename", $A$1)))&amp;" - Line definitions"</f>
        <v>4P - Line definitions</v>
      </c>
      <c r="C134" s="3600"/>
      <c r="D134" s="3600"/>
      <c r="E134" s="3600"/>
      <c r="F134" s="3600"/>
      <c r="G134" s="3600"/>
      <c r="H134" s="3600"/>
      <c r="I134" s="3600"/>
      <c r="J134" s="3601"/>
      <c r="K134" s="115"/>
      <c r="L134" s="1775"/>
    </row>
    <row r="135" spans="1:20" ht="15" hidden="1" thickBot="1">
      <c r="A135" s="1696"/>
      <c r="B135" s="928"/>
      <c r="C135" s="1088"/>
      <c r="D135" s="1088"/>
      <c r="E135" s="928"/>
      <c r="F135" s="928"/>
      <c r="G135" s="928"/>
      <c r="H135" s="928"/>
      <c r="I135" s="928"/>
      <c r="J135" s="928"/>
      <c r="K135" s="115"/>
      <c r="L135" s="1775"/>
    </row>
    <row r="136" spans="1:20" ht="15" hidden="1" thickBot="1">
      <c r="A136" s="1696"/>
      <c r="B136" s="2238" t="s">
        <v>2449</v>
      </c>
      <c r="C136" s="3676" t="s">
        <v>2746</v>
      </c>
      <c r="D136" s="3677"/>
      <c r="E136" s="3677"/>
      <c r="F136" s="3677"/>
      <c r="G136" s="3677"/>
      <c r="H136" s="3677"/>
      <c r="I136" s="3677"/>
      <c r="J136" s="3678"/>
      <c r="K136" s="115"/>
      <c r="L136" s="1775"/>
    </row>
    <row r="137" spans="1:20" hidden="1">
      <c r="A137" s="1696"/>
      <c r="B137" s="2239" t="s">
        <v>2423</v>
      </c>
      <c r="C137" s="3679" t="s">
        <v>2424</v>
      </c>
      <c r="D137" s="3680"/>
      <c r="E137" s="3680"/>
      <c r="F137" s="3680"/>
      <c r="G137" s="3680"/>
      <c r="H137" s="3680"/>
      <c r="I137" s="3680"/>
      <c r="J137" s="3681"/>
      <c r="K137" s="115"/>
      <c r="L137" s="1775"/>
    </row>
    <row r="138" spans="1:20" ht="14.25" hidden="1" customHeight="1">
      <c r="A138" s="1696"/>
      <c r="B138" s="1554">
        <v>1</v>
      </c>
      <c r="C138" s="3662" t="s">
        <v>4493</v>
      </c>
      <c r="D138" s="3663"/>
      <c r="E138" s="3663"/>
      <c r="F138" s="3663"/>
      <c r="G138" s="3663"/>
      <c r="H138" s="3663"/>
      <c r="I138" s="3663"/>
      <c r="J138" s="3664"/>
      <c r="K138" s="115"/>
      <c r="L138" s="1775"/>
    </row>
    <row r="139" spans="1:20" ht="70.5" hidden="1" customHeight="1">
      <c r="A139" s="1696"/>
      <c r="B139" s="1554">
        <f t="shared" ref="B139:B164" si="15">+B138+1</f>
        <v>2</v>
      </c>
      <c r="C139" s="3662" t="s">
        <v>4494</v>
      </c>
      <c r="D139" s="3663"/>
      <c r="E139" s="3663"/>
      <c r="F139" s="3663"/>
      <c r="G139" s="3663"/>
      <c r="H139" s="3663"/>
      <c r="I139" s="3663"/>
      <c r="J139" s="3664"/>
      <c r="K139" s="115"/>
      <c r="L139" s="1775"/>
    </row>
    <row r="140" spans="1:20" ht="34.5" hidden="1" customHeight="1">
      <c r="A140" s="1696"/>
      <c r="B140" s="1554">
        <f t="shared" si="15"/>
        <v>3</v>
      </c>
      <c r="C140" s="3662" t="s">
        <v>4495</v>
      </c>
      <c r="D140" s="3663"/>
      <c r="E140" s="3663"/>
      <c r="F140" s="3663"/>
      <c r="G140" s="3663"/>
      <c r="H140" s="3663"/>
      <c r="I140" s="3663"/>
      <c r="J140" s="3664"/>
      <c r="K140" s="115"/>
      <c r="L140" s="1775"/>
    </row>
    <row r="141" spans="1:20" ht="34.5" hidden="1" customHeight="1">
      <c r="A141" s="1696"/>
      <c r="B141" s="1554">
        <f t="shared" si="15"/>
        <v>4</v>
      </c>
      <c r="C141" s="3662" t="s">
        <v>12810</v>
      </c>
      <c r="D141" s="3663"/>
      <c r="E141" s="3663"/>
      <c r="F141" s="3663"/>
      <c r="G141" s="3663"/>
      <c r="H141" s="3663"/>
      <c r="I141" s="3663"/>
      <c r="J141" s="3664"/>
      <c r="K141" s="115"/>
      <c r="L141" s="1775"/>
    </row>
    <row r="142" spans="1:20" ht="41.25" hidden="1" customHeight="1">
      <c r="A142" s="1696"/>
      <c r="B142" s="1554">
        <f t="shared" si="15"/>
        <v>5</v>
      </c>
      <c r="C142" s="3662" t="s">
        <v>4496</v>
      </c>
      <c r="D142" s="3663"/>
      <c r="E142" s="3663"/>
      <c r="F142" s="3663"/>
      <c r="G142" s="3663"/>
      <c r="H142" s="3663"/>
      <c r="I142" s="3663"/>
      <c r="J142" s="3664"/>
      <c r="K142" s="115"/>
      <c r="L142" s="1775"/>
    </row>
    <row r="143" spans="1:20" ht="41.25" hidden="1" customHeight="1">
      <c r="A143" s="1696"/>
      <c r="B143" s="1554">
        <f t="shared" si="15"/>
        <v>6</v>
      </c>
      <c r="C143" s="3662" t="s">
        <v>4497</v>
      </c>
      <c r="D143" s="3663"/>
      <c r="E143" s="3663"/>
      <c r="F143" s="3663"/>
      <c r="G143" s="3663"/>
      <c r="H143" s="3663"/>
      <c r="I143" s="3663"/>
      <c r="J143" s="3664"/>
      <c r="K143" s="115"/>
      <c r="L143" s="1775"/>
    </row>
    <row r="144" spans="1:20" s="2146" customFormat="1" ht="14.25" hidden="1" customHeight="1">
      <c r="A144" s="1696"/>
      <c r="B144" s="1554">
        <f t="shared" si="15"/>
        <v>7</v>
      </c>
      <c r="C144" s="3662" t="s">
        <v>12811</v>
      </c>
      <c r="D144" s="3663"/>
      <c r="E144" s="3663"/>
      <c r="F144" s="3663"/>
      <c r="G144" s="3663"/>
      <c r="H144" s="3663"/>
      <c r="I144" s="3663"/>
      <c r="J144" s="3664"/>
      <c r="K144" s="115"/>
      <c r="L144" s="1775"/>
      <c r="N144" s="1764"/>
      <c r="P144" s="1764"/>
      <c r="T144" s="1764"/>
    </row>
    <row r="145" spans="1:20" s="2146" customFormat="1" ht="14.25" hidden="1" customHeight="1">
      <c r="A145" s="1696"/>
      <c r="B145" s="1554">
        <f t="shared" si="15"/>
        <v>8</v>
      </c>
      <c r="C145" s="3662" t="s">
        <v>12812</v>
      </c>
      <c r="D145" s="3663"/>
      <c r="E145" s="3663"/>
      <c r="F145" s="3663"/>
      <c r="G145" s="3663"/>
      <c r="H145" s="3663"/>
      <c r="I145" s="3663"/>
      <c r="J145" s="3664"/>
      <c r="K145" s="115"/>
      <c r="L145" s="1775"/>
      <c r="N145" s="1764"/>
      <c r="P145" s="1764"/>
      <c r="T145" s="1764"/>
    </row>
    <row r="146" spans="1:20" ht="14.25" hidden="1" customHeight="1">
      <c r="A146" s="1696"/>
      <c r="B146" s="1554">
        <f t="shared" si="15"/>
        <v>9</v>
      </c>
      <c r="C146" s="3662" t="s">
        <v>12813</v>
      </c>
      <c r="D146" s="3663"/>
      <c r="E146" s="3663"/>
      <c r="F146" s="3663"/>
      <c r="G146" s="3663"/>
      <c r="H146" s="3663"/>
      <c r="I146" s="3663"/>
      <c r="J146" s="3664"/>
      <c r="K146" s="115"/>
      <c r="L146" s="1775"/>
    </row>
    <row r="147" spans="1:20" ht="38.65" hidden="1" customHeight="1">
      <c r="A147" s="1696"/>
      <c r="B147" s="1554">
        <f t="shared" si="15"/>
        <v>10</v>
      </c>
      <c r="C147" s="3662" t="s">
        <v>12814</v>
      </c>
      <c r="D147" s="3663"/>
      <c r="E147" s="3663"/>
      <c r="F147" s="3663"/>
      <c r="G147" s="3663"/>
      <c r="H147" s="3663"/>
      <c r="I147" s="3663"/>
      <c r="J147" s="3664"/>
      <c r="K147" s="115"/>
      <c r="L147" s="1775"/>
    </row>
    <row r="148" spans="1:20" ht="14.25" hidden="1" customHeight="1">
      <c r="A148" s="1696"/>
      <c r="B148" s="1554">
        <f t="shared" si="15"/>
        <v>11</v>
      </c>
      <c r="C148" s="3662" t="s">
        <v>12815</v>
      </c>
      <c r="D148" s="3663"/>
      <c r="E148" s="3663"/>
      <c r="F148" s="3663"/>
      <c r="G148" s="3663"/>
      <c r="H148" s="3663"/>
      <c r="I148" s="3663"/>
      <c r="J148" s="3664"/>
      <c r="K148" s="115"/>
      <c r="L148" s="1775"/>
    </row>
    <row r="149" spans="1:20" ht="27" hidden="1" customHeight="1">
      <c r="A149" s="1696"/>
      <c r="B149" s="1554">
        <f t="shared" si="15"/>
        <v>12</v>
      </c>
      <c r="C149" s="3662" t="s">
        <v>12816</v>
      </c>
      <c r="D149" s="3663"/>
      <c r="E149" s="3663"/>
      <c r="F149" s="3663"/>
      <c r="G149" s="3663"/>
      <c r="H149" s="3663"/>
      <c r="I149" s="3663"/>
      <c r="J149" s="3664"/>
      <c r="K149" s="115"/>
      <c r="L149" s="1775"/>
    </row>
    <row r="150" spans="1:20" ht="14.25" hidden="1" customHeight="1">
      <c r="A150" s="1696"/>
      <c r="B150" s="1554">
        <f t="shared" si="15"/>
        <v>13</v>
      </c>
      <c r="C150" s="3662" t="s">
        <v>12817</v>
      </c>
      <c r="D150" s="3663"/>
      <c r="E150" s="3663"/>
      <c r="F150" s="3663"/>
      <c r="G150" s="3663"/>
      <c r="H150" s="3663"/>
      <c r="I150" s="3663"/>
      <c r="J150" s="3664"/>
      <c r="K150" s="115"/>
      <c r="L150" s="1775"/>
    </row>
    <row r="151" spans="1:20" ht="14.25" hidden="1" customHeight="1">
      <c r="A151" s="1696"/>
      <c r="B151" s="1554">
        <f t="shared" si="15"/>
        <v>14</v>
      </c>
      <c r="C151" s="3662" t="s">
        <v>12818</v>
      </c>
      <c r="D151" s="3663"/>
      <c r="E151" s="3663"/>
      <c r="F151" s="3663"/>
      <c r="G151" s="3663"/>
      <c r="H151" s="3663"/>
      <c r="I151" s="3663"/>
      <c r="J151" s="3664"/>
      <c r="K151" s="115"/>
      <c r="L151" s="1775"/>
    </row>
    <row r="152" spans="1:20" s="2146" customFormat="1" ht="13.5" hidden="1" customHeight="1">
      <c r="A152" s="1696"/>
      <c r="B152" s="1554">
        <f t="shared" si="15"/>
        <v>15</v>
      </c>
      <c r="C152" s="3662" t="s">
        <v>12819</v>
      </c>
      <c r="D152" s="3663"/>
      <c r="E152" s="3663"/>
      <c r="F152" s="3663"/>
      <c r="G152" s="3663"/>
      <c r="H152" s="3663"/>
      <c r="I152" s="3663"/>
      <c r="J152" s="3664"/>
      <c r="K152" s="115"/>
      <c r="L152" s="1775"/>
      <c r="N152" s="1764"/>
      <c r="P152" s="1764"/>
      <c r="T152" s="1764"/>
    </row>
    <row r="153" spans="1:20" ht="41.65" hidden="1" customHeight="1">
      <c r="A153" s="1696"/>
      <c r="B153" s="1554">
        <f t="shared" si="15"/>
        <v>16</v>
      </c>
      <c r="C153" s="3662" t="s">
        <v>13194</v>
      </c>
      <c r="D153" s="3663"/>
      <c r="E153" s="3663"/>
      <c r="F153" s="3663"/>
      <c r="G153" s="3663"/>
      <c r="H153" s="3663"/>
      <c r="I153" s="3663"/>
      <c r="J153" s="3664"/>
      <c r="K153" s="115"/>
      <c r="L153" s="1775"/>
    </row>
    <row r="154" spans="1:20" s="2146" customFormat="1" hidden="1">
      <c r="A154" s="1696"/>
      <c r="B154" s="1554">
        <f t="shared" si="15"/>
        <v>17</v>
      </c>
      <c r="C154" s="3662" t="s">
        <v>13195</v>
      </c>
      <c r="D154" s="3663"/>
      <c r="E154" s="3663"/>
      <c r="F154" s="3663"/>
      <c r="G154" s="3663"/>
      <c r="H154" s="3663"/>
      <c r="I154" s="3663"/>
      <c r="J154" s="3664"/>
      <c r="K154" s="115"/>
      <c r="L154" s="1775"/>
      <c r="N154" s="1764"/>
      <c r="P154" s="1764"/>
      <c r="T154" s="1764"/>
    </row>
    <row r="155" spans="1:20" ht="14.25" hidden="1" customHeight="1">
      <c r="A155" s="1696"/>
      <c r="B155" s="1554">
        <f t="shared" si="15"/>
        <v>18</v>
      </c>
      <c r="C155" s="3662" t="s">
        <v>4498</v>
      </c>
      <c r="D155" s="3663"/>
      <c r="E155" s="3663"/>
      <c r="F155" s="3663"/>
      <c r="G155" s="3663"/>
      <c r="H155" s="3663"/>
      <c r="I155" s="3663"/>
      <c r="J155" s="3664"/>
      <c r="K155" s="115"/>
      <c r="L155" s="1775"/>
    </row>
    <row r="156" spans="1:20" ht="14.25" hidden="1" customHeight="1">
      <c r="A156" s="1696"/>
      <c r="B156" s="1554">
        <f t="shared" si="15"/>
        <v>19</v>
      </c>
      <c r="C156" s="3662" t="s">
        <v>4499</v>
      </c>
      <c r="D156" s="3663"/>
      <c r="E156" s="3663"/>
      <c r="F156" s="3663"/>
      <c r="G156" s="3663"/>
      <c r="H156" s="3663"/>
      <c r="I156" s="3663"/>
      <c r="J156" s="3664"/>
      <c r="K156" s="115"/>
      <c r="L156" s="1775"/>
    </row>
    <row r="157" spans="1:20" ht="26.25" hidden="1" customHeight="1">
      <c r="A157" s="1696"/>
      <c r="B157" s="1554">
        <f t="shared" si="15"/>
        <v>20</v>
      </c>
      <c r="C157" s="3662" t="s">
        <v>12820</v>
      </c>
      <c r="D157" s="3663"/>
      <c r="E157" s="3663"/>
      <c r="F157" s="3663"/>
      <c r="G157" s="3663"/>
      <c r="H157" s="3663"/>
      <c r="I157" s="3663"/>
      <c r="J157" s="3664"/>
      <c r="K157" s="115"/>
      <c r="L157" s="1775"/>
    </row>
    <row r="158" spans="1:20" ht="14.25" hidden="1" customHeight="1">
      <c r="A158" s="1696"/>
      <c r="B158" s="1554">
        <f t="shared" si="15"/>
        <v>21</v>
      </c>
      <c r="C158" s="3662" t="s">
        <v>13191</v>
      </c>
      <c r="D158" s="3663"/>
      <c r="E158" s="3663"/>
      <c r="F158" s="3663"/>
      <c r="G158" s="3663"/>
      <c r="H158" s="3663"/>
      <c r="I158" s="3663"/>
      <c r="J158" s="3664"/>
      <c r="K158" s="115"/>
      <c r="L158" s="1775"/>
    </row>
    <row r="159" spans="1:20" ht="14.25" hidden="1" customHeight="1">
      <c r="A159" s="1696"/>
      <c r="B159" s="1554">
        <f t="shared" si="15"/>
        <v>22</v>
      </c>
      <c r="C159" s="3662" t="s">
        <v>4500</v>
      </c>
      <c r="D159" s="3663"/>
      <c r="E159" s="3663"/>
      <c r="F159" s="3663"/>
      <c r="G159" s="3663"/>
      <c r="H159" s="3663"/>
      <c r="I159" s="3663"/>
      <c r="J159" s="3664"/>
      <c r="K159" s="115"/>
      <c r="L159" s="1775"/>
    </row>
    <row r="160" spans="1:20" ht="14.25" hidden="1" customHeight="1">
      <c r="A160" s="1696"/>
      <c r="B160" s="1554">
        <f t="shared" si="15"/>
        <v>23</v>
      </c>
      <c r="C160" s="3662" t="s">
        <v>4501</v>
      </c>
      <c r="D160" s="3663"/>
      <c r="E160" s="3663"/>
      <c r="F160" s="3663"/>
      <c r="G160" s="3663"/>
      <c r="H160" s="3663"/>
      <c r="I160" s="3663"/>
      <c r="J160" s="3664"/>
      <c r="K160" s="115"/>
      <c r="L160" s="1775"/>
    </row>
    <row r="161" spans="1:20" ht="26.65" hidden="1" customHeight="1">
      <c r="A161" s="1696"/>
      <c r="B161" s="1554">
        <f t="shared" si="15"/>
        <v>24</v>
      </c>
      <c r="C161" s="3662" t="s">
        <v>12821</v>
      </c>
      <c r="D161" s="3663"/>
      <c r="E161" s="3663"/>
      <c r="F161" s="3663"/>
      <c r="G161" s="3663"/>
      <c r="H161" s="3663"/>
      <c r="I161" s="3663"/>
      <c r="J161" s="3664"/>
      <c r="K161" s="115"/>
      <c r="L161" s="1775"/>
    </row>
    <row r="162" spans="1:20" s="2146" customFormat="1" ht="14.25" hidden="1" customHeight="1">
      <c r="A162" s="1696"/>
      <c r="B162" s="1554">
        <f t="shared" si="15"/>
        <v>25</v>
      </c>
      <c r="C162" s="3662" t="s">
        <v>12822</v>
      </c>
      <c r="D162" s="3663"/>
      <c r="E162" s="3663"/>
      <c r="F162" s="3663"/>
      <c r="G162" s="3663"/>
      <c r="H162" s="3663"/>
      <c r="I162" s="3663"/>
      <c r="J162" s="3664"/>
      <c r="K162" s="115"/>
      <c r="L162" s="1775"/>
      <c r="N162" s="1764"/>
      <c r="P162" s="1764"/>
      <c r="T162" s="1764"/>
    </row>
    <row r="163" spans="1:20" s="2146" customFormat="1" ht="14.25" hidden="1" customHeight="1">
      <c r="A163" s="1696"/>
      <c r="B163" s="1554">
        <f t="shared" si="15"/>
        <v>26</v>
      </c>
      <c r="C163" s="3662" t="s">
        <v>12823</v>
      </c>
      <c r="D163" s="3663"/>
      <c r="E163" s="3663"/>
      <c r="F163" s="3663"/>
      <c r="G163" s="3663"/>
      <c r="H163" s="3663"/>
      <c r="I163" s="3663"/>
      <c r="J163" s="3664"/>
      <c r="K163" s="115"/>
      <c r="L163" s="1775"/>
      <c r="N163" s="1764"/>
      <c r="P163" s="1764"/>
      <c r="T163" s="1764"/>
    </row>
    <row r="164" spans="1:20" ht="45.75" hidden="1" customHeight="1">
      <c r="A164" s="1696"/>
      <c r="B164" s="1554">
        <f t="shared" si="15"/>
        <v>27</v>
      </c>
      <c r="C164" s="3662" t="s">
        <v>12824</v>
      </c>
      <c r="D164" s="3663"/>
      <c r="E164" s="3663"/>
      <c r="F164" s="3663"/>
      <c r="G164" s="3663"/>
      <c r="H164" s="3663"/>
      <c r="I164" s="3663"/>
      <c r="J164" s="3664"/>
      <c r="K164" s="115"/>
      <c r="L164" s="1775"/>
    </row>
    <row r="165" spans="1:20" ht="39.75" hidden="1" customHeight="1" thickBot="1">
      <c r="A165" s="1696"/>
      <c r="B165" s="2196">
        <f>+B164+1</f>
        <v>28</v>
      </c>
      <c r="C165" s="3668" t="s">
        <v>12825</v>
      </c>
      <c r="D165" s="3669"/>
      <c r="E165" s="3669"/>
      <c r="F165" s="3669"/>
      <c r="G165" s="3669"/>
      <c r="H165" s="3669"/>
      <c r="I165" s="3669"/>
      <c r="J165" s="3670"/>
      <c r="K165" s="115"/>
      <c r="L165" s="1775"/>
    </row>
    <row r="166" spans="1:20" ht="15" hidden="1" thickBot="1">
      <c r="A166" s="1696"/>
      <c r="B166" s="1078"/>
      <c r="C166" s="1093"/>
      <c r="D166" s="1226"/>
      <c r="E166" s="1226"/>
      <c r="F166" s="1226"/>
      <c r="G166" s="1226"/>
      <c r="H166" s="1226"/>
      <c r="I166" s="1226"/>
      <c r="J166" s="1226"/>
      <c r="K166" s="115"/>
      <c r="L166" s="1775"/>
    </row>
    <row r="167" spans="1:20" ht="15" hidden="1" thickBot="1">
      <c r="A167" s="1696"/>
      <c r="B167" s="2238" t="s">
        <v>2458</v>
      </c>
      <c r="C167" s="3684" t="s">
        <v>2747</v>
      </c>
      <c r="D167" s="3685"/>
      <c r="E167" s="3685"/>
      <c r="F167" s="3685"/>
      <c r="G167" s="3685"/>
      <c r="H167" s="3685"/>
      <c r="I167" s="3685"/>
      <c r="J167" s="3686"/>
      <c r="K167" s="115"/>
      <c r="L167" s="1775"/>
    </row>
    <row r="168" spans="1:20" hidden="1">
      <c r="A168" s="1696"/>
      <c r="B168" s="2239" t="s">
        <v>2423</v>
      </c>
      <c r="C168" s="2240" t="s">
        <v>2424</v>
      </c>
      <c r="D168" s="2241"/>
      <c r="E168" s="2241"/>
      <c r="F168" s="2241"/>
      <c r="G168" s="2241"/>
      <c r="H168" s="2241"/>
      <c r="I168" s="2241"/>
      <c r="J168" s="2242"/>
      <c r="K168" s="115"/>
      <c r="L168" s="1775"/>
    </row>
    <row r="169" spans="1:20" ht="14.25" hidden="1" customHeight="1">
      <c r="A169" s="1696"/>
      <c r="B169" s="1554">
        <f>+B165+1</f>
        <v>29</v>
      </c>
      <c r="C169" s="3662" t="s">
        <v>4502</v>
      </c>
      <c r="D169" s="3663"/>
      <c r="E169" s="3663"/>
      <c r="F169" s="3663"/>
      <c r="G169" s="3663"/>
      <c r="H169" s="3663"/>
      <c r="I169" s="3663"/>
      <c r="J169" s="3664"/>
      <c r="K169" s="115"/>
      <c r="L169" s="1775"/>
    </row>
    <row r="170" spans="1:20" ht="14.25" hidden="1" customHeight="1">
      <c r="A170" s="1696"/>
      <c r="B170" s="1554">
        <f>+B169+1</f>
        <v>30</v>
      </c>
      <c r="C170" s="3662" t="s">
        <v>4503</v>
      </c>
      <c r="D170" s="3663"/>
      <c r="E170" s="3663"/>
      <c r="F170" s="3663"/>
      <c r="G170" s="3663"/>
      <c r="H170" s="3663"/>
      <c r="I170" s="3663"/>
      <c r="J170" s="3664"/>
      <c r="K170" s="115"/>
      <c r="L170" s="1775"/>
    </row>
    <row r="171" spans="1:20" ht="27.75" hidden="1" customHeight="1">
      <c r="A171" s="1696"/>
      <c r="B171" s="1554">
        <f t="shared" ref="B171:B200" si="16">+B170+1</f>
        <v>31</v>
      </c>
      <c r="C171" s="3662" t="s">
        <v>4504</v>
      </c>
      <c r="D171" s="3663"/>
      <c r="E171" s="3663"/>
      <c r="F171" s="3663"/>
      <c r="G171" s="3663"/>
      <c r="H171" s="3663"/>
      <c r="I171" s="3663"/>
      <c r="J171" s="3664"/>
      <c r="K171" s="115"/>
      <c r="L171" s="1775"/>
    </row>
    <row r="172" spans="1:20" ht="28.5" hidden="1" customHeight="1">
      <c r="A172" s="1696"/>
      <c r="B172" s="1554">
        <f t="shared" si="16"/>
        <v>32</v>
      </c>
      <c r="C172" s="3662" t="s">
        <v>4505</v>
      </c>
      <c r="D172" s="3663"/>
      <c r="E172" s="3663"/>
      <c r="F172" s="3663"/>
      <c r="G172" s="3663"/>
      <c r="H172" s="3663"/>
      <c r="I172" s="3663"/>
      <c r="J172" s="3664"/>
      <c r="K172" s="115"/>
      <c r="L172" s="1775"/>
    </row>
    <row r="173" spans="1:20" ht="14.25" hidden="1" customHeight="1">
      <c r="A173" s="1696"/>
      <c r="B173" s="1554">
        <f t="shared" si="16"/>
        <v>33</v>
      </c>
      <c r="C173" s="3662" t="s">
        <v>4506</v>
      </c>
      <c r="D173" s="3663"/>
      <c r="E173" s="3663"/>
      <c r="F173" s="3663"/>
      <c r="G173" s="3663"/>
      <c r="H173" s="3663"/>
      <c r="I173" s="3663"/>
      <c r="J173" s="3664"/>
      <c r="K173" s="115"/>
      <c r="L173" s="1775"/>
    </row>
    <row r="174" spans="1:20" ht="14.25" hidden="1" customHeight="1">
      <c r="A174" s="1696"/>
      <c r="B174" s="1554">
        <f t="shared" si="16"/>
        <v>34</v>
      </c>
      <c r="C174" s="3662" t="s">
        <v>4507</v>
      </c>
      <c r="D174" s="3663"/>
      <c r="E174" s="3663"/>
      <c r="F174" s="3663"/>
      <c r="G174" s="3663"/>
      <c r="H174" s="3663"/>
      <c r="I174" s="3663"/>
      <c r="J174" s="3664"/>
      <c r="K174" s="115"/>
      <c r="L174" s="1775"/>
    </row>
    <row r="175" spans="1:20" ht="14.25" hidden="1" customHeight="1">
      <c r="A175" s="1696"/>
      <c r="B175" s="1554">
        <f t="shared" si="16"/>
        <v>35</v>
      </c>
      <c r="C175" s="3662" t="s">
        <v>4508</v>
      </c>
      <c r="D175" s="3663"/>
      <c r="E175" s="3663"/>
      <c r="F175" s="3663"/>
      <c r="G175" s="3663"/>
      <c r="H175" s="3663"/>
      <c r="I175" s="3663"/>
      <c r="J175" s="3664"/>
      <c r="K175" s="115"/>
      <c r="L175" s="1775"/>
    </row>
    <row r="176" spans="1:20" ht="14.25" hidden="1" customHeight="1">
      <c r="A176" s="1696"/>
      <c r="B176" s="1554">
        <f t="shared" si="16"/>
        <v>36</v>
      </c>
      <c r="C176" s="3662" t="s">
        <v>4502</v>
      </c>
      <c r="D176" s="3663"/>
      <c r="E176" s="3663"/>
      <c r="F176" s="3663"/>
      <c r="G176" s="3663"/>
      <c r="H176" s="3663"/>
      <c r="I176" s="3663"/>
      <c r="J176" s="3664"/>
      <c r="K176" s="115"/>
      <c r="L176" s="1775"/>
    </row>
    <row r="177" spans="1:12" ht="14.25" hidden="1" customHeight="1">
      <c r="A177" s="1696"/>
      <c r="B177" s="1554">
        <f t="shared" si="16"/>
        <v>37</v>
      </c>
      <c r="C177" s="3662" t="s">
        <v>4509</v>
      </c>
      <c r="D177" s="3663"/>
      <c r="E177" s="3663"/>
      <c r="F177" s="3663"/>
      <c r="G177" s="3663"/>
      <c r="H177" s="3663"/>
      <c r="I177" s="3663"/>
      <c r="J177" s="3664"/>
      <c r="K177" s="115"/>
      <c r="L177" s="1775"/>
    </row>
    <row r="178" spans="1:12" ht="27" hidden="1" customHeight="1">
      <c r="A178" s="1696"/>
      <c r="B178" s="1554">
        <f t="shared" si="16"/>
        <v>38</v>
      </c>
      <c r="C178" s="3662" t="s">
        <v>4510</v>
      </c>
      <c r="D178" s="3663"/>
      <c r="E178" s="3663"/>
      <c r="F178" s="3663"/>
      <c r="G178" s="3663"/>
      <c r="H178" s="3663"/>
      <c r="I178" s="3663"/>
      <c r="J178" s="3664"/>
      <c r="K178" s="115"/>
      <c r="L178" s="1775"/>
    </row>
    <row r="179" spans="1:12" ht="25.5" hidden="1" customHeight="1">
      <c r="A179" s="1696"/>
      <c r="B179" s="1554">
        <f t="shared" si="16"/>
        <v>39</v>
      </c>
      <c r="C179" s="3662" t="s">
        <v>4511</v>
      </c>
      <c r="D179" s="3663"/>
      <c r="E179" s="3663"/>
      <c r="F179" s="3663"/>
      <c r="G179" s="3663"/>
      <c r="H179" s="3663"/>
      <c r="I179" s="3663"/>
      <c r="J179" s="3664"/>
      <c r="K179" s="115"/>
      <c r="L179" s="1775"/>
    </row>
    <row r="180" spans="1:12" ht="14.25" hidden="1" customHeight="1">
      <c r="A180" s="1696"/>
      <c r="B180" s="1554">
        <f t="shared" si="16"/>
        <v>40</v>
      </c>
      <c r="C180" s="3662" t="s">
        <v>4512</v>
      </c>
      <c r="D180" s="3663"/>
      <c r="E180" s="3663"/>
      <c r="F180" s="3663"/>
      <c r="G180" s="3663"/>
      <c r="H180" s="3663"/>
      <c r="I180" s="3663"/>
      <c r="J180" s="3664"/>
      <c r="K180" s="115"/>
      <c r="L180" s="1775"/>
    </row>
    <row r="181" spans="1:12" ht="14.25" hidden="1" customHeight="1">
      <c r="A181" s="1696"/>
      <c r="B181" s="1554">
        <f t="shared" si="16"/>
        <v>41</v>
      </c>
      <c r="C181" s="3662" t="s">
        <v>4513</v>
      </c>
      <c r="D181" s="3663"/>
      <c r="E181" s="3663"/>
      <c r="F181" s="3663"/>
      <c r="G181" s="3663"/>
      <c r="H181" s="3663"/>
      <c r="I181" s="3663"/>
      <c r="J181" s="3664"/>
      <c r="K181" s="115"/>
      <c r="L181" s="1775"/>
    </row>
    <row r="182" spans="1:12" ht="14.25" hidden="1" customHeight="1">
      <c r="A182" s="1696"/>
      <c r="B182" s="1554">
        <f t="shared" si="16"/>
        <v>42</v>
      </c>
      <c r="C182" s="3662" t="s">
        <v>4514</v>
      </c>
      <c r="D182" s="3663"/>
      <c r="E182" s="3663"/>
      <c r="F182" s="3663"/>
      <c r="G182" s="3663"/>
      <c r="H182" s="3663"/>
      <c r="I182" s="3663"/>
      <c r="J182" s="3664"/>
      <c r="K182" s="115"/>
      <c r="L182" s="1775"/>
    </row>
    <row r="183" spans="1:12" ht="14.25" hidden="1" customHeight="1">
      <c r="A183" s="1696"/>
      <c r="B183" s="1554">
        <f t="shared" si="16"/>
        <v>43</v>
      </c>
      <c r="C183" s="3662" t="s">
        <v>12826</v>
      </c>
      <c r="D183" s="3663"/>
      <c r="E183" s="3663"/>
      <c r="F183" s="3663"/>
      <c r="G183" s="3663"/>
      <c r="H183" s="3663"/>
      <c r="I183" s="3663"/>
      <c r="J183" s="3664"/>
      <c r="K183" s="115"/>
      <c r="L183" s="1775"/>
    </row>
    <row r="184" spans="1:12" hidden="1">
      <c r="A184" s="1696"/>
      <c r="B184" s="1554">
        <f>+B183+1</f>
        <v>44</v>
      </c>
      <c r="C184" s="3662" t="s">
        <v>4515</v>
      </c>
      <c r="D184" s="3663"/>
      <c r="E184" s="3663"/>
      <c r="F184" s="3663"/>
      <c r="G184" s="3663"/>
      <c r="H184" s="3663"/>
      <c r="I184" s="3663"/>
      <c r="J184" s="3664"/>
      <c r="K184" s="115"/>
      <c r="L184" s="1775"/>
    </row>
    <row r="185" spans="1:12" hidden="1">
      <c r="A185" s="1696"/>
      <c r="B185" s="1554">
        <f t="shared" si="16"/>
        <v>45</v>
      </c>
      <c r="C185" s="3662" t="s">
        <v>4516</v>
      </c>
      <c r="D185" s="3663"/>
      <c r="E185" s="3663"/>
      <c r="F185" s="3663"/>
      <c r="G185" s="3663"/>
      <c r="H185" s="3663"/>
      <c r="I185" s="3663"/>
      <c r="J185" s="3664"/>
      <c r="K185" s="115"/>
      <c r="L185" s="1775"/>
    </row>
    <row r="186" spans="1:12" ht="14.25" hidden="1" customHeight="1">
      <c r="A186" s="1696"/>
      <c r="B186" s="1554">
        <f t="shared" si="16"/>
        <v>46</v>
      </c>
      <c r="C186" s="3662" t="s">
        <v>4517</v>
      </c>
      <c r="D186" s="3663"/>
      <c r="E186" s="3663"/>
      <c r="F186" s="3663"/>
      <c r="G186" s="3663"/>
      <c r="H186" s="3663"/>
      <c r="I186" s="3663"/>
      <c r="J186" s="3664"/>
      <c r="K186" s="115"/>
      <c r="L186" s="1775"/>
    </row>
    <row r="187" spans="1:12" ht="14.25" hidden="1" customHeight="1">
      <c r="A187" s="1696"/>
      <c r="B187" s="1554">
        <f t="shared" si="16"/>
        <v>47</v>
      </c>
      <c r="C187" s="3662" t="s">
        <v>4518</v>
      </c>
      <c r="D187" s="3663"/>
      <c r="E187" s="3663"/>
      <c r="F187" s="3663"/>
      <c r="G187" s="3663"/>
      <c r="H187" s="3663"/>
      <c r="I187" s="3663"/>
      <c r="J187" s="3664"/>
      <c r="K187" s="115"/>
      <c r="L187" s="1775"/>
    </row>
    <row r="188" spans="1:12" ht="14.25" hidden="1" customHeight="1">
      <c r="A188" s="1696"/>
      <c r="B188" s="1554">
        <f t="shared" si="16"/>
        <v>48</v>
      </c>
      <c r="C188" s="3662" t="s">
        <v>4519</v>
      </c>
      <c r="D188" s="3663"/>
      <c r="E188" s="3663"/>
      <c r="F188" s="3663"/>
      <c r="G188" s="3663"/>
      <c r="H188" s="3663"/>
      <c r="I188" s="3663"/>
      <c r="J188" s="3664"/>
      <c r="K188" s="115"/>
      <c r="L188" s="1775"/>
    </row>
    <row r="189" spans="1:12" ht="14.25" hidden="1" customHeight="1">
      <c r="A189" s="1696"/>
      <c r="B189" s="1554">
        <f t="shared" si="16"/>
        <v>49</v>
      </c>
      <c r="C189" s="3662" t="s">
        <v>4520</v>
      </c>
      <c r="D189" s="3663"/>
      <c r="E189" s="3663"/>
      <c r="F189" s="3663"/>
      <c r="G189" s="3663"/>
      <c r="H189" s="3663"/>
      <c r="I189" s="3663"/>
      <c r="J189" s="3664"/>
      <c r="K189" s="115"/>
      <c r="L189" s="1775"/>
    </row>
    <row r="190" spans="1:12" hidden="1">
      <c r="A190" s="1696"/>
      <c r="B190" s="1554">
        <f t="shared" si="16"/>
        <v>50</v>
      </c>
      <c r="C190" s="3662" t="s">
        <v>4521</v>
      </c>
      <c r="D190" s="3663"/>
      <c r="E190" s="3663"/>
      <c r="F190" s="3663"/>
      <c r="G190" s="3663"/>
      <c r="H190" s="3663"/>
      <c r="I190" s="3663"/>
      <c r="J190" s="3664"/>
      <c r="K190" s="115"/>
      <c r="L190" s="1775"/>
    </row>
    <row r="191" spans="1:12" hidden="1">
      <c r="A191" s="1696"/>
      <c r="B191" s="1554">
        <f t="shared" si="16"/>
        <v>51</v>
      </c>
      <c r="C191" s="3662" t="s">
        <v>4522</v>
      </c>
      <c r="D191" s="3663"/>
      <c r="E191" s="3663"/>
      <c r="F191" s="3663"/>
      <c r="G191" s="3663"/>
      <c r="H191" s="3663"/>
      <c r="I191" s="3663"/>
      <c r="J191" s="3664"/>
      <c r="K191" s="115"/>
      <c r="L191" s="1775"/>
    </row>
    <row r="192" spans="1:12" hidden="1">
      <c r="A192" s="1696"/>
      <c r="B192" s="1554">
        <f t="shared" si="16"/>
        <v>52</v>
      </c>
      <c r="C192" s="3662" t="s">
        <v>4523</v>
      </c>
      <c r="D192" s="3663"/>
      <c r="E192" s="3663"/>
      <c r="F192" s="3663"/>
      <c r="G192" s="3663"/>
      <c r="H192" s="3663"/>
      <c r="I192" s="3663"/>
      <c r="J192" s="3664"/>
      <c r="K192" s="115"/>
      <c r="L192" s="1775"/>
    </row>
    <row r="193" spans="1:20" ht="14.25" hidden="1" customHeight="1">
      <c r="A193" s="1696"/>
      <c r="B193" s="1554">
        <f t="shared" si="16"/>
        <v>53</v>
      </c>
      <c r="C193" s="3662" t="s">
        <v>4524</v>
      </c>
      <c r="D193" s="3663"/>
      <c r="E193" s="3663"/>
      <c r="F193" s="3663"/>
      <c r="G193" s="3663"/>
      <c r="H193" s="3663"/>
      <c r="I193" s="3663"/>
      <c r="J193" s="3664"/>
      <c r="K193" s="115"/>
      <c r="L193" s="1775"/>
    </row>
    <row r="194" spans="1:20" ht="14.25" hidden="1" customHeight="1">
      <c r="A194" s="1696"/>
      <c r="B194" s="1554">
        <f t="shared" si="16"/>
        <v>54</v>
      </c>
      <c r="C194" s="3662" t="s">
        <v>4525</v>
      </c>
      <c r="D194" s="3663"/>
      <c r="E194" s="3663"/>
      <c r="F194" s="3663"/>
      <c r="G194" s="3663"/>
      <c r="H194" s="3663"/>
      <c r="I194" s="3663"/>
      <c r="J194" s="3664"/>
      <c r="K194" s="115"/>
      <c r="L194" s="1775"/>
    </row>
    <row r="195" spans="1:20" ht="14.25" hidden="1" customHeight="1">
      <c r="A195" s="1696"/>
      <c r="B195" s="1554">
        <f t="shared" si="16"/>
        <v>55</v>
      </c>
      <c r="C195" s="3662" t="s">
        <v>4526</v>
      </c>
      <c r="D195" s="3663"/>
      <c r="E195" s="3663"/>
      <c r="F195" s="3663"/>
      <c r="G195" s="3663"/>
      <c r="H195" s="3663"/>
      <c r="I195" s="3663"/>
      <c r="J195" s="3664"/>
      <c r="K195" s="115"/>
      <c r="L195" s="1775"/>
    </row>
    <row r="196" spans="1:20" ht="14.25" hidden="1" customHeight="1">
      <c r="A196" s="1696"/>
      <c r="B196" s="1554">
        <f t="shared" si="16"/>
        <v>56</v>
      </c>
      <c r="C196" s="3662" t="s">
        <v>4527</v>
      </c>
      <c r="D196" s="3663"/>
      <c r="E196" s="3663"/>
      <c r="F196" s="3663"/>
      <c r="G196" s="3663"/>
      <c r="H196" s="3663"/>
      <c r="I196" s="3663"/>
      <c r="J196" s="3664"/>
      <c r="K196" s="115"/>
      <c r="L196" s="1775"/>
    </row>
    <row r="197" spans="1:20" hidden="1">
      <c r="A197" s="1696"/>
      <c r="B197" s="1554">
        <f t="shared" si="16"/>
        <v>57</v>
      </c>
      <c r="C197" s="3662" t="s">
        <v>4528</v>
      </c>
      <c r="D197" s="3663"/>
      <c r="E197" s="3663"/>
      <c r="F197" s="3663"/>
      <c r="G197" s="3663"/>
      <c r="H197" s="3663"/>
      <c r="I197" s="3663"/>
      <c r="J197" s="3664"/>
      <c r="K197" s="115"/>
      <c r="L197" s="1775"/>
    </row>
    <row r="198" spans="1:20" ht="33" hidden="1" customHeight="1">
      <c r="A198" s="1696"/>
      <c r="B198" s="1554">
        <f t="shared" si="16"/>
        <v>58</v>
      </c>
      <c r="C198" s="3662" t="s">
        <v>4529</v>
      </c>
      <c r="D198" s="3663"/>
      <c r="E198" s="3663"/>
      <c r="F198" s="3663"/>
      <c r="G198" s="3663"/>
      <c r="H198" s="3663"/>
      <c r="I198" s="3663"/>
      <c r="J198" s="3664"/>
      <c r="K198" s="115"/>
      <c r="L198" s="1775"/>
    </row>
    <row r="199" spans="1:20" hidden="1">
      <c r="A199" s="1696"/>
      <c r="B199" s="1554">
        <f t="shared" si="16"/>
        <v>59</v>
      </c>
      <c r="C199" s="3662" t="s">
        <v>4530</v>
      </c>
      <c r="D199" s="3663"/>
      <c r="E199" s="3663"/>
      <c r="F199" s="3663"/>
      <c r="G199" s="3663"/>
      <c r="H199" s="3663"/>
      <c r="I199" s="3663"/>
      <c r="J199" s="3664"/>
      <c r="K199" s="115"/>
      <c r="L199" s="1775"/>
    </row>
    <row r="200" spans="1:20" ht="14.25" hidden="1" customHeight="1" thickBot="1">
      <c r="A200" s="1696"/>
      <c r="B200" s="2196">
        <f t="shared" si="16"/>
        <v>60</v>
      </c>
      <c r="C200" s="3668" t="s">
        <v>4531</v>
      </c>
      <c r="D200" s="3669"/>
      <c r="E200" s="3669"/>
      <c r="F200" s="3669"/>
      <c r="G200" s="3669"/>
      <c r="H200" s="3669"/>
      <c r="I200" s="3669"/>
      <c r="J200" s="3670"/>
      <c r="K200" s="115"/>
      <c r="L200" s="1775"/>
    </row>
    <row r="201" spans="1:20" ht="15" hidden="1" thickBot="1">
      <c r="A201" s="1696"/>
      <c r="B201" s="928"/>
      <c r="C201" s="928"/>
      <c r="D201" s="928"/>
      <c r="E201" s="928"/>
      <c r="F201" s="928"/>
      <c r="G201" s="928"/>
      <c r="H201" s="928"/>
      <c r="I201" s="928"/>
      <c r="J201" s="928"/>
      <c r="K201" s="115"/>
      <c r="L201" s="1775"/>
      <c r="M201" s="928"/>
    </row>
    <row r="202" spans="1:20">
      <c r="A202" s="675"/>
      <c r="B202" s="2243" t="s">
        <v>4532</v>
      </c>
      <c r="C202" s="3682"/>
      <c r="D202" s="3682"/>
      <c r="E202" s="3682"/>
      <c r="F202" s="3682"/>
      <c r="G202" s="3682"/>
      <c r="H202" s="3682"/>
      <c r="I202" s="3682"/>
      <c r="J202" s="3683"/>
      <c r="K202" s="115"/>
      <c r="L202" s="1775"/>
      <c r="M202" s="928"/>
    </row>
    <row r="203" spans="1:20">
      <c r="A203" s="675"/>
      <c r="B203" s="1230"/>
      <c r="C203" s="1084"/>
      <c r="D203" s="1084"/>
      <c r="E203" s="1084"/>
      <c r="F203" s="1084"/>
      <c r="G203" s="1084"/>
      <c r="H203" s="1084"/>
      <c r="I203" s="1084"/>
      <c r="J203" s="2244"/>
      <c r="K203" s="115"/>
      <c r="L203" s="1775"/>
      <c r="M203" s="928"/>
    </row>
    <row r="204" spans="1:20">
      <c r="A204" s="675"/>
      <c r="B204" s="1227" t="s">
        <v>4533</v>
      </c>
      <c r="C204" s="2247"/>
      <c r="D204" s="2248"/>
      <c r="E204" s="2248"/>
      <c r="F204" s="2248"/>
      <c r="G204" s="2248"/>
      <c r="H204" s="2248"/>
      <c r="I204" s="2248"/>
      <c r="J204" s="2249"/>
      <c r="K204" s="115"/>
      <c r="L204" s="1775"/>
      <c r="M204" s="1229"/>
    </row>
    <row r="205" spans="1:20" s="2146" customFormat="1">
      <c r="A205" s="675"/>
      <c r="B205" s="1227"/>
      <c r="C205" s="1228"/>
      <c r="D205" s="1228"/>
      <c r="E205" s="1228"/>
      <c r="F205" s="1228"/>
      <c r="G205" s="1228"/>
      <c r="H205" s="1228"/>
      <c r="I205" s="1228"/>
      <c r="J205" s="2245"/>
      <c r="K205" s="115"/>
      <c r="L205" s="1775"/>
      <c r="M205" s="1229"/>
      <c r="N205" s="1764"/>
      <c r="P205" s="1764"/>
      <c r="T205" s="1764"/>
    </row>
    <row r="206" spans="1:20" s="2146" customFormat="1" ht="123.75" customHeight="1">
      <c r="A206" s="675"/>
      <c r="B206" s="3671" t="s">
        <v>12841</v>
      </c>
      <c r="C206" s="3672"/>
      <c r="D206" s="3672"/>
      <c r="E206" s="3672"/>
      <c r="F206" s="3672"/>
      <c r="G206" s="3672"/>
      <c r="H206" s="3672"/>
      <c r="I206" s="3672"/>
      <c r="J206" s="3673"/>
      <c r="K206" s="115"/>
      <c r="L206" s="1775"/>
      <c r="M206" s="1229"/>
      <c r="N206" s="1764"/>
      <c r="P206" s="1764"/>
      <c r="T206" s="1764"/>
    </row>
    <row r="207" spans="1:20" s="2146" customFormat="1">
      <c r="A207" s="675"/>
      <c r="B207" s="1230"/>
      <c r="C207" s="1084"/>
      <c r="D207" s="1084"/>
      <c r="E207" s="1084"/>
      <c r="F207" s="1084"/>
      <c r="G207" s="1084"/>
      <c r="H207" s="1084"/>
      <c r="I207" s="1084"/>
      <c r="J207" s="2244"/>
      <c r="K207" s="115"/>
      <c r="L207" s="1775"/>
      <c r="M207" s="928"/>
      <c r="N207" s="1764"/>
      <c r="P207" s="1764"/>
      <c r="T207" s="1764"/>
    </row>
    <row r="208" spans="1:20" s="2146" customFormat="1">
      <c r="A208" s="675"/>
      <c r="B208" s="1230" t="s">
        <v>12842</v>
      </c>
      <c r="C208" s="1084"/>
      <c r="D208" s="1084"/>
      <c r="E208" s="1084"/>
      <c r="F208" s="1084"/>
      <c r="G208" s="1084"/>
      <c r="H208" s="1084"/>
      <c r="I208" s="1084"/>
      <c r="J208" s="2244"/>
      <c r="K208" s="115"/>
      <c r="L208" s="1775"/>
      <c r="M208" s="928"/>
      <c r="N208" s="1764"/>
      <c r="P208" s="1764"/>
      <c r="T208" s="1764"/>
    </row>
    <row r="209" spans="1:22" ht="63" customHeight="1">
      <c r="A209" s="675"/>
      <c r="B209" s="3671" t="s">
        <v>4534</v>
      </c>
      <c r="C209" s="3672"/>
      <c r="D209" s="3672"/>
      <c r="E209" s="3672"/>
      <c r="F209" s="3672"/>
      <c r="G209" s="3672"/>
      <c r="H209" s="3672"/>
      <c r="I209" s="3672"/>
      <c r="J209" s="3673"/>
      <c r="K209" s="115"/>
      <c r="L209" s="1775"/>
      <c r="M209" s="1231"/>
    </row>
    <row r="210" spans="1:22">
      <c r="A210" s="675"/>
      <c r="B210" s="1230"/>
      <c r="C210" s="1084"/>
      <c r="D210" s="1084"/>
      <c r="E210" s="1084"/>
      <c r="F210" s="1084"/>
      <c r="G210" s="1084"/>
      <c r="H210" s="1084"/>
      <c r="I210" s="1084"/>
      <c r="J210" s="2244"/>
      <c r="K210" s="115"/>
      <c r="L210" s="1775"/>
      <c r="M210" s="928"/>
    </row>
    <row r="211" spans="1:22">
      <c r="A211" s="675"/>
      <c r="B211" s="1227" t="s">
        <v>4535</v>
      </c>
      <c r="C211" s="1084"/>
      <c r="D211" s="1084"/>
      <c r="E211" s="1084"/>
      <c r="F211" s="1084"/>
      <c r="G211" s="1084"/>
      <c r="H211" s="1084"/>
      <c r="I211" s="1084"/>
      <c r="J211" s="2244"/>
      <c r="K211" s="115"/>
      <c r="L211" s="1775"/>
      <c r="M211" s="928"/>
    </row>
    <row r="212" spans="1:22">
      <c r="A212" s="675"/>
      <c r="B212" s="1230"/>
      <c r="C212" s="1084"/>
      <c r="D212" s="1084"/>
      <c r="E212" s="1084"/>
      <c r="F212" s="1084"/>
      <c r="G212" s="1084"/>
      <c r="H212" s="1084"/>
      <c r="I212" s="1084"/>
      <c r="J212" s="2244"/>
      <c r="K212" s="115"/>
      <c r="L212" s="1775"/>
      <c r="M212" s="928"/>
    </row>
    <row r="213" spans="1:22" ht="15" thickBot="1">
      <c r="A213" s="675"/>
      <c r="B213" s="1232" t="s">
        <v>12840</v>
      </c>
      <c r="C213" s="1233"/>
      <c r="D213" s="1233"/>
      <c r="E213" s="1233"/>
      <c r="F213" s="1233"/>
      <c r="G213" s="1233"/>
      <c r="H213" s="1233"/>
      <c r="I213" s="1233"/>
      <c r="J213" s="2246"/>
      <c r="K213" s="115"/>
      <c r="L213" s="1775"/>
      <c r="M213" s="928"/>
    </row>
    <row r="214" spans="1:22" ht="15" hidden="1" thickBot="1">
      <c r="A214" s="1696"/>
      <c r="B214" s="928"/>
      <c r="C214" s="928"/>
      <c r="D214" s="928"/>
      <c r="E214" s="928"/>
      <c r="F214" s="928"/>
      <c r="G214" s="928"/>
      <c r="H214" s="928"/>
      <c r="I214" s="928"/>
      <c r="J214" s="928"/>
      <c r="K214" s="115"/>
      <c r="L214" s="1775"/>
      <c r="M214" s="928"/>
    </row>
    <row r="215" spans="1:22" ht="15" hidden="1" thickBot="1">
      <c r="A215" s="1696"/>
      <c r="B215" s="2238" t="s">
        <v>2464</v>
      </c>
      <c r="C215" s="3676" t="s">
        <v>4441</v>
      </c>
      <c r="D215" s="3677"/>
      <c r="E215" s="3677"/>
      <c r="F215" s="3677"/>
      <c r="G215" s="3677"/>
      <c r="H215" s="3677"/>
      <c r="I215" s="3677"/>
      <c r="J215" s="3678"/>
      <c r="K215" s="115"/>
      <c r="L215" s="1775"/>
      <c r="M215" s="928"/>
    </row>
    <row r="216" spans="1:22" s="185" customFormat="1" hidden="1">
      <c r="A216" s="1644"/>
      <c r="B216" s="2239" t="s">
        <v>2423</v>
      </c>
      <c r="C216" s="2240" t="s">
        <v>2424</v>
      </c>
      <c r="D216" s="2241"/>
      <c r="E216" s="2241"/>
      <c r="F216" s="2241"/>
      <c r="G216" s="2241"/>
      <c r="H216" s="2241"/>
      <c r="I216" s="2241"/>
      <c r="J216" s="2242"/>
      <c r="K216" s="115"/>
      <c r="L216" s="1775"/>
      <c r="M216" s="928"/>
      <c r="N216" s="1777"/>
      <c r="O216" s="1090"/>
      <c r="P216" s="1777"/>
      <c r="Q216" s="1090"/>
      <c r="R216" s="135"/>
      <c r="S216" s="125"/>
      <c r="T216" s="129"/>
      <c r="U216" s="129"/>
      <c r="V216" s="90" t="s">
        <v>2425</v>
      </c>
    </row>
    <row r="217" spans="1:22" s="115" customFormat="1" ht="14.25" hidden="1" customHeight="1">
      <c r="A217" s="1643"/>
      <c r="B217" s="1554">
        <f>+B200+1</f>
        <v>61</v>
      </c>
      <c r="C217" s="3662" t="s">
        <v>4536</v>
      </c>
      <c r="D217" s="3663"/>
      <c r="E217" s="3663"/>
      <c r="F217" s="3663"/>
      <c r="G217" s="3663"/>
      <c r="H217" s="3663"/>
      <c r="I217" s="3663"/>
      <c r="J217" s="3664"/>
      <c r="L217" s="1775"/>
      <c r="M217" s="928"/>
      <c r="N217" s="1778"/>
      <c r="O217" s="1235"/>
      <c r="P217" s="1778"/>
      <c r="Q217" s="1226"/>
      <c r="R217" s="135"/>
      <c r="S217" s="125"/>
      <c r="T217" s="129"/>
      <c r="U217" s="129"/>
      <c r="V217" s="210">
        <v>1</v>
      </c>
    </row>
    <row r="218" spans="1:22" s="115" customFormat="1" hidden="1">
      <c r="A218" s="1643"/>
      <c r="B218" s="1554">
        <f>+B217+1</f>
        <v>62</v>
      </c>
      <c r="C218" s="3662" t="s">
        <v>13192</v>
      </c>
      <c r="D218" s="3663"/>
      <c r="E218" s="3663"/>
      <c r="F218" s="3663"/>
      <c r="G218" s="3663"/>
      <c r="H218" s="3663"/>
      <c r="I218" s="3663"/>
      <c r="J218" s="3664"/>
      <c r="L218" s="1775"/>
      <c r="M218" s="928"/>
      <c r="N218" s="1778"/>
      <c r="O218" s="1235"/>
      <c r="P218" s="1778"/>
      <c r="Q218" s="1226"/>
      <c r="R218" s="135"/>
      <c r="S218" s="135"/>
      <c r="T218" s="129"/>
      <c r="U218" s="129"/>
      <c r="V218" s="210">
        <v>1</v>
      </c>
    </row>
    <row r="219" spans="1:22" s="115" customFormat="1" ht="31.5" hidden="1" customHeight="1">
      <c r="A219" s="1643"/>
      <c r="B219" s="1554">
        <f t="shared" ref="B219:B250" si="17">+B218+1</f>
        <v>63</v>
      </c>
      <c r="C219" s="3662" t="s">
        <v>12827</v>
      </c>
      <c r="D219" s="3663"/>
      <c r="E219" s="3663"/>
      <c r="F219" s="3663"/>
      <c r="G219" s="3663"/>
      <c r="H219" s="3663"/>
      <c r="I219" s="3663"/>
      <c r="J219" s="3664"/>
      <c r="L219" s="1775"/>
      <c r="M219" s="928"/>
      <c r="N219" s="1778"/>
      <c r="O219" s="1235"/>
      <c r="P219" s="1778"/>
      <c r="Q219" s="1226"/>
      <c r="R219" s="135"/>
      <c r="S219" s="125"/>
      <c r="T219" s="129"/>
      <c r="U219" s="129"/>
      <c r="V219" s="210" t="s">
        <v>2432</v>
      </c>
    </row>
    <row r="220" spans="1:22" s="115" customFormat="1" ht="18" hidden="1" customHeight="1">
      <c r="A220" s="1643"/>
      <c r="B220" s="1554">
        <f t="shared" si="17"/>
        <v>64</v>
      </c>
      <c r="C220" s="3662" t="s">
        <v>13193</v>
      </c>
      <c r="D220" s="3663"/>
      <c r="E220" s="3663"/>
      <c r="F220" s="3663"/>
      <c r="G220" s="3663"/>
      <c r="H220" s="3663"/>
      <c r="I220" s="3663"/>
      <c r="J220" s="3664"/>
      <c r="L220" s="1775"/>
      <c r="M220" s="928"/>
      <c r="N220" s="1778"/>
      <c r="O220" s="1235"/>
      <c r="P220" s="1778"/>
      <c r="Q220" s="1226"/>
      <c r="R220" s="135"/>
      <c r="S220" s="125"/>
      <c r="T220" s="129"/>
      <c r="U220" s="129"/>
      <c r="V220" s="210" t="s">
        <v>2426</v>
      </c>
    </row>
    <row r="221" spans="1:22" s="115" customFormat="1" ht="28.5" hidden="1" customHeight="1">
      <c r="A221" s="1643"/>
      <c r="B221" s="1554">
        <f t="shared" si="17"/>
        <v>65</v>
      </c>
      <c r="C221" s="3662" t="s">
        <v>12828</v>
      </c>
      <c r="D221" s="3663"/>
      <c r="E221" s="3663"/>
      <c r="F221" s="3663"/>
      <c r="G221" s="3663"/>
      <c r="H221" s="3663"/>
      <c r="I221" s="3663"/>
      <c r="J221" s="3664"/>
      <c r="L221" s="1775"/>
      <c r="M221" s="928"/>
      <c r="N221" s="1778"/>
      <c r="O221" s="1235"/>
      <c r="P221" s="1778"/>
      <c r="Q221" s="1226"/>
      <c r="R221" s="135"/>
      <c r="S221" s="125"/>
      <c r="T221" s="129"/>
      <c r="U221" s="129"/>
      <c r="V221" s="210" t="s">
        <v>2428</v>
      </c>
    </row>
    <row r="222" spans="1:22" s="115" customFormat="1" ht="30" hidden="1" customHeight="1">
      <c r="A222" s="1643"/>
      <c r="B222" s="1554">
        <f t="shared" si="17"/>
        <v>66</v>
      </c>
      <c r="C222" s="3662" t="s">
        <v>12829</v>
      </c>
      <c r="D222" s="3663"/>
      <c r="E222" s="3663"/>
      <c r="F222" s="3663"/>
      <c r="G222" s="3663"/>
      <c r="H222" s="3663"/>
      <c r="I222" s="3663"/>
      <c r="J222" s="3664"/>
      <c r="L222" s="1775"/>
      <c r="M222" s="928"/>
      <c r="N222" s="1778"/>
      <c r="O222" s="1235"/>
      <c r="P222" s="1778"/>
      <c r="Q222" s="1226"/>
      <c r="R222" s="135"/>
      <c r="S222" s="125"/>
      <c r="T222" s="129"/>
      <c r="U222" s="129"/>
      <c r="V222" s="210" t="s">
        <v>2428</v>
      </c>
    </row>
    <row r="223" spans="1:22" s="115" customFormat="1" ht="32.25" hidden="1" customHeight="1">
      <c r="A223" s="1643"/>
      <c r="B223" s="1554">
        <f t="shared" si="17"/>
        <v>67</v>
      </c>
      <c r="C223" s="3662" t="s">
        <v>12830</v>
      </c>
      <c r="D223" s="3663"/>
      <c r="E223" s="3663"/>
      <c r="F223" s="3663"/>
      <c r="G223" s="3663"/>
      <c r="H223" s="3663"/>
      <c r="I223" s="3663"/>
      <c r="J223" s="3664"/>
      <c r="L223" s="1775"/>
      <c r="M223" s="928"/>
      <c r="N223" s="1778"/>
      <c r="O223" s="1235"/>
      <c r="P223" s="1778"/>
      <c r="Q223" s="1226"/>
      <c r="R223" s="135"/>
      <c r="S223" s="125"/>
      <c r="T223" s="129"/>
      <c r="U223" s="129"/>
      <c r="V223" s="210" t="s">
        <v>2428</v>
      </c>
    </row>
    <row r="224" spans="1:22" s="115" customFormat="1" ht="31.5" hidden="1" customHeight="1">
      <c r="A224" s="1643"/>
      <c r="B224" s="1554">
        <f t="shared" si="17"/>
        <v>68</v>
      </c>
      <c r="C224" s="3662" t="s">
        <v>12831</v>
      </c>
      <c r="D224" s="3663"/>
      <c r="E224" s="3663"/>
      <c r="F224" s="3663"/>
      <c r="G224" s="3663"/>
      <c r="H224" s="3663"/>
      <c r="I224" s="3663"/>
      <c r="J224" s="3664"/>
      <c r="L224" s="1775"/>
      <c r="M224" s="928"/>
      <c r="N224" s="1778"/>
      <c r="O224" s="1235"/>
      <c r="P224" s="1778"/>
      <c r="Q224" s="1226"/>
      <c r="R224" s="135"/>
      <c r="S224" s="125"/>
      <c r="T224" s="129"/>
      <c r="U224" s="129"/>
      <c r="V224" s="210" t="s">
        <v>2428</v>
      </c>
    </row>
    <row r="225" spans="1:22" s="115" customFormat="1" ht="35.25" hidden="1" customHeight="1">
      <c r="A225" s="1643"/>
      <c r="B225" s="1554">
        <f t="shared" si="17"/>
        <v>69</v>
      </c>
      <c r="C225" s="3662" t="s">
        <v>4537</v>
      </c>
      <c r="D225" s="3663"/>
      <c r="E225" s="3663"/>
      <c r="F225" s="3663"/>
      <c r="G225" s="3663"/>
      <c r="H225" s="3663"/>
      <c r="I225" s="3663"/>
      <c r="J225" s="3664"/>
      <c r="L225" s="1775"/>
      <c r="M225" s="928"/>
      <c r="N225" s="1778"/>
      <c r="O225" s="1235"/>
      <c r="P225" s="1778"/>
      <c r="Q225" s="1226"/>
      <c r="R225" s="135"/>
      <c r="S225" s="125"/>
      <c r="T225" s="129"/>
      <c r="U225" s="129"/>
      <c r="V225" s="210" t="s">
        <v>2426</v>
      </c>
    </row>
    <row r="226" spans="1:22" s="928" customFormat="1" ht="24.75" hidden="1" customHeight="1">
      <c r="A226" s="1793"/>
      <c r="B226" s="1554">
        <f t="shared" si="17"/>
        <v>70</v>
      </c>
      <c r="C226" s="3662" t="s">
        <v>4538</v>
      </c>
      <c r="D226" s="3663"/>
      <c r="E226" s="3663"/>
      <c r="F226" s="3663"/>
      <c r="G226" s="3663"/>
      <c r="H226" s="3663"/>
      <c r="I226" s="3663"/>
      <c r="J226" s="3664"/>
      <c r="K226" s="115"/>
      <c r="L226" s="1775"/>
      <c r="N226" s="1778"/>
      <c r="O226" s="1235"/>
      <c r="P226" s="1778"/>
      <c r="Q226" s="1226"/>
      <c r="R226" s="135"/>
      <c r="S226" s="125"/>
      <c r="T226" s="129"/>
      <c r="U226" s="129"/>
      <c r="V226" s="210" t="s">
        <v>2428</v>
      </c>
    </row>
    <row r="227" spans="1:22" s="115" customFormat="1" ht="24" hidden="1" customHeight="1">
      <c r="A227" s="1643"/>
      <c r="B227" s="1554">
        <f t="shared" si="17"/>
        <v>71</v>
      </c>
      <c r="C227" s="3662" t="s">
        <v>4539</v>
      </c>
      <c r="D227" s="3663"/>
      <c r="E227" s="3663"/>
      <c r="F227" s="3663"/>
      <c r="G227" s="3663"/>
      <c r="H227" s="3663"/>
      <c r="I227" s="3663"/>
      <c r="J227" s="3664"/>
      <c r="L227" s="1775"/>
      <c r="M227" s="928"/>
      <c r="N227" s="1778"/>
      <c r="O227" s="1235"/>
      <c r="P227" s="1778"/>
      <c r="Q227" s="1226"/>
      <c r="R227" s="135"/>
      <c r="S227" s="125"/>
      <c r="T227" s="129"/>
      <c r="U227" s="129"/>
      <c r="V227" s="210" t="s">
        <v>2428</v>
      </c>
    </row>
    <row r="228" spans="1:22" s="928" customFormat="1" ht="14.25" hidden="1" customHeight="1">
      <c r="A228" s="1793"/>
      <c r="B228" s="1554">
        <f t="shared" si="17"/>
        <v>72</v>
      </c>
      <c r="C228" s="3662" t="s">
        <v>12832</v>
      </c>
      <c r="D228" s="3663"/>
      <c r="E228" s="3663"/>
      <c r="F228" s="3663"/>
      <c r="G228" s="3663"/>
      <c r="H228" s="3663"/>
      <c r="I228" s="3663"/>
      <c r="J228" s="3664"/>
      <c r="K228" s="115"/>
      <c r="L228" s="1775"/>
      <c r="N228" s="1778"/>
      <c r="O228" s="1235"/>
      <c r="P228" s="1778"/>
      <c r="Q228" s="1226"/>
      <c r="R228" s="135"/>
      <c r="S228" s="125"/>
      <c r="T228" s="129"/>
      <c r="U228" s="129"/>
      <c r="V228" s="210">
        <v>1</v>
      </c>
    </row>
    <row r="229" spans="1:22" s="928" customFormat="1" ht="21" hidden="1" customHeight="1">
      <c r="A229" s="1793"/>
      <c r="B229" s="1554">
        <f t="shared" si="17"/>
        <v>73</v>
      </c>
      <c r="C229" s="3662" t="s">
        <v>4540</v>
      </c>
      <c r="D229" s="3663"/>
      <c r="E229" s="3663"/>
      <c r="F229" s="3663"/>
      <c r="G229" s="3663"/>
      <c r="H229" s="3663"/>
      <c r="I229" s="3663"/>
      <c r="J229" s="3664"/>
      <c r="K229" s="115"/>
      <c r="L229" s="1775"/>
      <c r="N229" s="1779"/>
      <c r="O229" s="1236"/>
      <c r="P229" s="1779"/>
      <c r="Q229" s="1226"/>
      <c r="R229" s="135"/>
      <c r="S229" s="125"/>
      <c r="T229" s="129"/>
      <c r="U229" s="129"/>
      <c r="V229" s="210" t="s">
        <v>3344</v>
      </c>
    </row>
    <row r="230" spans="1:22" s="928" customFormat="1" ht="109.5" hidden="1" customHeight="1">
      <c r="A230" s="1793"/>
      <c r="B230" s="1554">
        <f t="shared" si="17"/>
        <v>74</v>
      </c>
      <c r="C230" s="3662" t="s">
        <v>12834</v>
      </c>
      <c r="D230" s="3663"/>
      <c r="E230" s="3663"/>
      <c r="F230" s="3663"/>
      <c r="G230" s="3663"/>
      <c r="H230" s="3663"/>
      <c r="I230" s="3663"/>
      <c r="J230" s="3664"/>
      <c r="K230" s="115"/>
      <c r="L230" s="1775"/>
      <c r="M230" s="2214" t="s">
        <v>12833</v>
      </c>
      <c r="N230" s="1780"/>
      <c r="O230" s="1237"/>
      <c r="P230" s="1780"/>
      <c r="Q230" s="1226"/>
      <c r="R230" s="135"/>
      <c r="S230" s="125"/>
      <c r="T230" s="129"/>
      <c r="U230" s="129"/>
      <c r="V230" s="210" t="s">
        <v>2426</v>
      </c>
    </row>
    <row r="231" spans="1:22" s="928" customFormat="1" ht="48" hidden="1" customHeight="1">
      <c r="A231" s="1793"/>
      <c r="B231" s="1554">
        <f t="shared" si="17"/>
        <v>75</v>
      </c>
      <c r="C231" s="3662" t="s">
        <v>4541</v>
      </c>
      <c r="D231" s="3663"/>
      <c r="E231" s="3663"/>
      <c r="F231" s="3663"/>
      <c r="G231" s="3663"/>
      <c r="H231" s="3663"/>
      <c r="I231" s="3663"/>
      <c r="J231" s="3664"/>
      <c r="K231" s="115"/>
      <c r="L231" s="1775"/>
      <c r="N231" s="1780"/>
      <c r="O231" s="1237"/>
      <c r="P231" s="1780"/>
      <c r="Q231" s="1226"/>
      <c r="R231" s="135"/>
      <c r="S231" s="125"/>
      <c r="T231" s="129"/>
      <c r="U231" s="129"/>
      <c r="V231" s="210" t="s">
        <v>2426</v>
      </c>
    </row>
    <row r="232" spans="1:22" s="928" customFormat="1" ht="38.25" hidden="1" customHeight="1">
      <c r="A232" s="1793"/>
      <c r="B232" s="1554">
        <f t="shared" si="17"/>
        <v>76</v>
      </c>
      <c r="C232" s="3662" t="s">
        <v>4542</v>
      </c>
      <c r="D232" s="3663"/>
      <c r="E232" s="3663"/>
      <c r="F232" s="3663"/>
      <c r="G232" s="3663"/>
      <c r="H232" s="3663"/>
      <c r="I232" s="3663"/>
      <c r="J232" s="3664"/>
      <c r="K232" s="115"/>
      <c r="L232" s="1775"/>
      <c r="N232" s="1780"/>
      <c r="O232" s="1237"/>
      <c r="P232" s="1780"/>
      <c r="Q232" s="1226"/>
      <c r="R232" s="135"/>
      <c r="S232" s="71"/>
      <c r="T232" s="72"/>
      <c r="U232" s="72"/>
      <c r="V232" s="210" t="s">
        <v>2428</v>
      </c>
    </row>
    <row r="233" spans="1:22" s="928" customFormat="1" ht="24" hidden="1" customHeight="1">
      <c r="A233" s="1793"/>
      <c r="B233" s="1554">
        <f t="shared" si="17"/>
        <v>77</v>
      </c>
      <c r="C233" s="3662" t="s">
        <v>4543</v>
      </c>
      <c r="D233" s="3663"/>
      <c r="E233" s="3663"/>
      <c r="F233" s="3663"/>
      <c r="G233" s="3663"/>
      <c r="H233" s="3663"/>
      <c r="I233" s="3663"/>
      <c r="J233" s="3664"/>
      <c r="K233" s="115"/>
      <c r="L233" s="1775"/>
      <c r="N233" s="1780"/>
      <c r="O233" s="1237"/>
      <c r="P233" s="1780"/>
      <c r="Q233" s="1226"/>
      <c r="R233" s="135"/>
      <c r="S233" s="125"/>
      <c r="T233" s="129"/>
      <c r="U233" s="129"/>
      <c r="V233" s="210" t="s">
        <v>2428</v>
      </c>
    </row>
    <row r="234" spans="1:22" s="928" customFormat="1" ht="30" hidden="1" customHeight="1">
      <c r="A234" s="1793"/>
      <c r="B234" s="1554">
        <f t="shared" si="17"/>
        <v>78</v>
      </c>
      <c r="C234" s="3662" t="s">
        <v>6507</v>
      </c>
      <c r="D234" s="3663"/>
      <c r="E234" s="3663"/>
      <c r="F234" s="3663"/>
      <c r="G234" s="3663"/>
      <c r="H234" s="3663"/>
      <c r="I234" s="3663"/>
      <c r="J234" s="3664"/>
      <c r="K234" s="115"/>
      <c r="L234" s="1775"/>
      <c r="N234" s="1780"/>
      <c r="O234" s="1237"/>
      <c r="P234" s="1780"/>
      <c r="Q234" s="1226"/>
      <c r="R234" s="135"/>
      <c r="S234" s="125"/>
      <c r="T234" s="129"/>
      <c r="U234" s="129"/>
      <c r="V234" s="210" t="s">
        <v>2428</v>
      </c>
    </row>
    <row r="235" spans="1:22" s="928" customFormat="1" ht="14.25" hidden="1" customHeight="1">
      <c r="A235" s="1793"/>
      <c r="B235" s="1554">
        <f t="shared" si="17"/>
        <v>79</v>
      </c>
      <c r="C235" s="3662" t="s">
        <v>4544</v>
      </c>
      <c r="D235" s="3663"/>
      <c r="E235" s="3663"/>
      <c r="F235" s="3663"/>
      <c r="G235" s="3663"/>
      <c r="H235" s="3663"/>
      <c r="I235" s="3663"/>
      <c r="J235" s="3664"/>
      <c r="K235" s="115"/>
      <c r="L235" s="1775"/>
      <c r="N235" s="1780"/>
      <c r="O235" s="1237"/>
      <c r="P235" s="1780"/>
      <c r="Q235" s="1226"/>
      <c r="R235" s="135"/>
      <c r="S235" s="71"/>
      <c r="T235" s="72"/>
      <c r="U235" s="72"/>
      <c r="V235" s="210">
        <v>1</v>
      </c>
    </row>
    <row r="236" spans="1:22" s="928" customFormat="1" hidden="1">
      <c r="A236" s="1793"/>
      <c r="B236" s="1554">
        <f t="shared" si="17"/>
        <v>80</v>
      </c>
      <c r="C236" s="3662" t="s">
        <v>4545</v>
      </c>
      <c r="D236" s="3663"/>
      <c r="E236" s="3663"/>
      <c r="F236" s="3663"/>
      <c r="G236" s="3663"/>
      <c r="H236" s="3663"/>
      <c r="I236" s="3663"/>
      <c r="J236" s="3664"/>
      <c r="K236" s="115"/>
      <c r="L236" s="1775"/>
      <c r="N236" s="1780"/>
      <c r="O236" s="1237"/>
      <c r="P236" s="1780"/>
      <c r="Q236" s="1226"/>
      <c r="R236" s="135"/>
      <c r="S236" s="71"/>
      <c r="T236" s="72"/>
      <c r="U236" s="72"/>
      <c r="V236" s="210">
        <v>1</v>
      </c>
    </row>
    <row r="237" spans="1:22" s="928" customFormat="1" hidden="1">
      <c r="A237" s="1793"/>
      <c r="B237" s="1554">
        <f t="shared" si="17"/>
        <v>81</v>
      </c>
      <c r="C237" s="3662" t="s">
        <v>4546</v>
      </c>
      <c r="D237" s="3663"/>
      <c r="E237" s="3663"/>
      <c r="F237" s="3663"/>
      <c r="G237" s="3663"/>
      <c r="H237" s="3663"/>
      <c r="I237" s="3663"/>
      <c r="J237" s="3664"/>
      <c r="K237" s="115"/>
      <c r="L237" s="1775"/>
      <c r="N237" s="1780"/>
      <c r="O237" s="1237"/>
      <c r="P237" s="1780"/>
      <c r="Q237" s="1226"/>
      <c r="R237" s="135"/>
      <c r="S237" s="71"/>
      <c r="T237" s="72"/>
      <c r="U237" s="72"/>
      <c r="V237" s="210">
        <v>1</v>
      </c>
    </row>
    <row r="238" spans="1:22" s="928" customFormat="1" ht="20.65" hidden="1" customHeight="1">
      <c r="A238" s="1793"/>
      <c r="B238" s="1554">
        <f t="shared" si="17"/>
        <v>82</v>
      </c>
      <c r="C238" s="3662" t="s">
        <v>4547</v>
      </c>
      <c r="D238" s="3663"/>
      <c r="E238" s="3663"/>
      <c r="F238" s="3663"/>
      <c r="G238" s="3663"/>
      <c r="H238" s="3663"/>
      <c r="I238" s="3663"/>
      <c r="J238" s="3664"/>
      <c r="K238" s="115"/>
      <c r="L238" s="1775"/>
      <c r="N238" s="1780"/>
      <c r="O238" s="1237"/>
      <c r="P238" s="1780"/>
      <c r="Q238" s="1226"/>
      <c r="R238" s="135"/>
      <c r="S238" s="71"/>
      <c r="T238" s="72"/>
      <c r="U238" s="72"/>
      <c r="V238" s="210" t="s">
        <v>2428</v>
      </c>
    </row>
    <row r="239" spans="1:22" s="928" customFormat="1" ht="20.25" hidden="1" customHeight="1">
      <c r="A239" s="1793"/>
      <c r="B239" s="1554">
        <f t="shared" si="17"/>
        <v>83</v>
      </c>
      <c r="C239" s="3662" t="s">
        <v>12835</v>
      </c>
      <c r="D239" s="3663"/>
      <c r="E239" s="3663"/>
      <c r="F239" s="3663"/>
      <c r="G239" s="3663"/>
      <c r="H239" s="3663"/>
      <c r="I239" s="3663"/>
      <c r="J239" s="3664"/>
      <c r="K239" s="115"/>
      <c r="L239" s="1775"/>
      <c r="M239" s="2214" t="s">
        <v>12836</v>
      </c>
      <c r="N239" s="1780"/>
      <c r="O239" s="1237"/>
      <c r="P239" s="1780"/>
      <c r="Q239" s="1226"/>
      <c r="R239" s="135"/>
      <c r="S239" s="71"/>
      <c r="T239" s="72"/>
      <c r="U239" s="72"/>
      <c r="V239" s="210" t="s">
        <v>2428</v>
      </c>
    </row>
    <row r="240" spans="1:22" s="928" customFormat="1" ht="25.15" hidden="1" customHeight="1">
      <c r="A240" s="1793"/>
      <c r="B240" s="1554">
        <f t="shared" si="17"/>
        <v>84</v>
      </c>
      <c r="C240" s="3662" t="s">
        <v>4548</v>
      </c>
      <c r="D240" s="3663"/>
      <c r="E240" s="3663"/>
      <c r="F240" s="3663"/>
      <c r="G240" s="3663"/>
      <c r="H240" s="3663"/>
      <c r="I240" s="3663"/>
      <c r="J240" s="3664"/>
      <c r="K240" s="115"/>
      <c r="L240" s="1775"/>
      <c r="M240" s="2214" t="s">
        <v>12836</v>
      </c>
      <c r="N240" s="1780"/>
      <c r="O240" s="1237"/>
      <c r="P240" s="1780"/>
      <c r="Q240" s="1226"/>
      <c r="R240" s="135"/>
      <c r="S240" s="71"/>
      <c r="T240" s="72"/>
      <c r="U240" s="72"/>
      <c r="V240" s="210">
        <v>1</v>
      </c>
    </row>
    <row r="241" spans="1:22" s="928" customFormat="1" ht="14.25" hidden="1" customHeight="1">
      <c r="A241" s="1793"/>
      <c r="B241" s="1554">
        <f t="shared" si="17"/>
        <v>85</v>
      </c>
      <c r="C241" s="3662" t="s">
        <v>4549</v>
      </c>
      <c r="D241" s="3663"/>
      <c r="E241" s="3663"/>
      <c r="F241" s="3663"/>
      <c r="G241" s="3663"/>
      <c r="H241" s="3663"/>
      <c r="I241" s="3663"/>
      <c r="J241" s="3664"/>
      <c r="K241" s="115"/>
      <c r="L241" s="1775"/>
      <c r="N241" s="1780"/>
      <c r="O241" s="1237"/>
      <c r="P241" s="1780"/>
      <c r="Q241" s="1226"/>
      <c r="R241" s="135"/>
      <c r="S241" s="71"/>
      <c r="T241" s="72"/>
      <c r="U241" s="72"/>
      <c r="V241" s="210">
        <v>1</v>
      </c>
    </row>
    <row r="242" spans="1:22" s="928" customFormat="1" hidden="1">
      <c r="A242" s="1793"/>
      <c r="B242" s="1554">
        <f t="shared" si="17"/>
        <v>86</v>
      </c>
      <c r="C242" s="3662" t="s">
        <v>4475</v>
      </c>
      <c r="D242" s="3663"/>
      <c r="E242" s="3663"/>
      <c r="F242" s="3663"/>
      <c r="G242" s="3663"/>
      <c r="H242" s="3663"/>
      <c r="I242" s="3663"/>
      <c r="J242" s="3664"/>
      <c r="K242" s="115"/>
      <c r="L242" s="1775"/>
      <c r="N242" s="1780"/>
      <c r="O242" s="1237"/>
      <c r="P242" s="1780"/>
      <c r="Q242" s="1226"/>
      <c r="R242" s="135"/>
      <c r="S242" s="71"/>
      <c r="T242" s="72"/>
      <c r="U242" s="72"/>
      <c r="V242" s="210">
        <v>1</v>
      </c>
    </row>
    <row r="243" spans="1:22" s="928" customFormat="1" hidden="1">
      <c r="A243" s="1793"/>
      <c r="B243" s="1554">
        <f t="shared" si="17"/>
        <v>87</v>
      </c>
      <c r="C243" s="3662" t="s">
        <v>4476</v>
      </c>
      <c r="D243" s="3663"/>
      <c r="E243" s="3663"/>
      <c r="F243" s="3663"/>
      <c r="G243" s="3663"/>
      <c r="H243" s="3663"/>
      <c r="I243" s="3663"/>
      <c r="J243" s="3664"/>
      <c r="K243" s="115"/>
      <c r="L243" s="1775"/>
      <c r="N243" s="1780"/>
      <c r="O243" s="1237"/>
      <c r="P243" s="1780"/>
      <c r="Q243" s="1226"/>
      <c r="R243" s="135"/>
      <c r="S243" s="71"/>
      <c r="T243" s="72"/>
      <c r="U243" s="72"/>
      <c r="V243" s="210">
        <v>1</v>
      </c>
    </row>
    <row r="244" spans="1:22" s="928" customFormat="1" hidden="1">
      <c r="A244" s="1793"/>
      <c r="B244" s="1554">
        <f t="shared" si="17"/>
        <v>88</v>
      </c>
      <c r="C244" s="3662" t="s">
        <v>4477</v>
      </c>
      <c r="D244" s="3663"/>
      <c r="E244" s="3663"/>
      <c r="F244" s="3663"/>
      <c r="G244" s="3663"/>
      <c r="H244" s="3663"/>
      <c r="I244" s="3663"/>
      <c r="J244" s="3664"/>
      <c r="K244" s="115"/>
      <c r="L244" s="1775"/>
      <c r="N244" s="1780"/>
      <c r="O244" s="1237"/>
      <c r="P244" s="1780"/>
      <c r="Q244" s="1226"/>
      <c r="R244" s="135"/>
      <c r="S244" s="71"/>
      <c r="T244" s="72"/>
      <c r="U244" s="72"/>
      <c r="V244" s="210">
        <v>1</v>
      </c>
    </row>
    <row r="245" spans="1:22" s="928" customFormat="1" hidden="1">
      <c r="A245" s="1793"/>
      <c r="B245" s="1554">
        <f t="shared" si="17"/>
        <v>89</v>
      </c>
      <c r="C245" s="3662" t="s">
        <v>4478</v>
      </c>
      <c r="D245" s="3663"/>
      <c r="E245" s="3663"/>
      <c r="F245" s="3663"/>
      <c r="G245" s="3663"/>
      <c r="H245" s="3663"/>
      <c r="I245" s="3663"/>
      <c r="J245" s="3664"/>
      <c r="K245" s="115"/>
      <c r="L245" s="1775"/>
      <c r="N245" s="1780"/>
      <c r="O245" s="1237"/>
      <c r="P245" s="1780"/>
      <c r="Q245" s="1226"/>
      <c r="R245" s="135"/>
      <c r="S245" s="71"/>
      <c r="T245" s="72"/>
      <c r="U245" s="72"/>
      <c r="V245" s="210">
        <v>1</v>
      </c>
    </row>
    <row r="246" spans="1:22" s="928" customFormat="1" hidden="1">
      <c r="A246" s="1793"/>
      <c r="B246" s="1554">
        <f t="shared" si="17"/>
        <v>90</v>
      </c>
      <c r="C246" s="3662" t="s">
        <v>4479</v>
      </c>
      <c r="D246" s="3663"/>
      <c r="E246" s="3663"/>
      <c r="F246" s="3663"/>
      <c r="G246" s="3663"/>
      <c r="H246" s="3663"/>
      <c r="I246" s="3663"/>
      <c r="J246" s="3664"/>
      <c r="K246" s="115"/>
      <c r="L246" s="1775"/>
      <c r="N246" s="1780"/>
      <c r="O246" s="1237"/>
      <c r="P246" s="1780"/>
      <c r="Q246" s="1226"/>
      <c r="R246" s="135"/>
      <c r="S246" s="71"/>
      <c r="T246" s="72"/>
      <c r="U246" s="72"/>
      <c r="V246" s="210">
        <v>1</v>
      </c>
    </row>
    <row r="247" spans="1:22" s="928" customFormat="1" hidden="1">
      <c r="A247" s="1793"/>
      <c r="B247" s="1554">
        <f t="shared" si="17"/>
        <v>91</v>
      </c>
      <c r="C247" s="3662" t="s">
        <v>4480</v>
      </c>
      <c r="D247" s="3663"/>
      <c r="E247" s="3663"/>
      <c r="F247" s="3663"/>
      <c r="G247" s="3663"/>
      <c r="H247" s="3663"/>
      <c r="I247" s="3663"/>
      <c r="J247" s="3664"/>
      <c r="K247" s="115"/>
      <c r="L247" s="1775"/>
      <c r="N247" s="1780"/>
      <c r="O247" s="1237"/>
      <c r="P247" s="1780"/>
      <c r="Q247" s="1226"/>
      <c r="R247" s="135"/>
      <c r="S247" s="71"/>
      <c r="T247" s="72"/>
      <c r="U247" s="72"/>
      <c r="V247" s="210">
        <v>1</v>
      </c>
    </row>
    <row r="248" spans="1:22" s="928" customFormat="1" hidden="1">
      <c r="A248" s="1793"/>
      <c r="B248" s="1554">
        <f t="shared" si="17"/>
        <v>92</v>
      </c>
      <c r="C248" s="3662" t="s">
        <v>4481</v>
      </c>
      <c r="D248" s="3663"/>
      <c r="E248" s="3663"/>
      <c r="F248" s="3663"/>
      <c r="G248" s="3663"/>
      <c r="H248" s="3663"/>
      <c r="I248" s="3663"/>
      <c r="J248" s="3664"/>
      <c r="K248" s="115"/>
      <c r="L248" s="1775"/>
      <c r="N248" s="1780"/>
      <c r="O248" s="1237"/>
      <c r="P248" s="1780"/>
      <c r="Q248" s="1226"/>
      <c r="R248" s="135"/>
      <c r="S248" s="71"/>
      <c r="T248" s="72"/>
      <c r="U248" s="72"/>
      <c r="V248" s="210">
        <v>1</v>
      </c>
    </row>
    <row r="249" spans="1:22" s="928" customFormat="1" hidden="1">
      <c r="A249" s="1793"/>
      <c r="B249" s="1554">
        <f t="shared" si="17"/>
        <v>93</v>
      </c>
      <c r="C249" s="3662" t="s">
        <v>4482</v>
      </c>
      <c r="D249" s="3663"/>
      <c r="E249" s="3663"/>
      <c r="F249" s="3663"/>
      <c r="G249" s="3663"/>
      <c r="H249" s="3663"/>
      <c r="I249" s="3663"/>
      <c r="J249" s="3664"/>
      <c r="K249" s="115"/>
      <c r="L249" s="1775"/>
      <c r="N249" s="1780"/>
      <c r="O249" s="1237"/>
      <c r="P249" s="1780"/>
      <c r="Q249" s="1226"/>
      <c r="R249" s="135"/>
      <c r="S249" s="71"/>
      <c r="T249" s="72"/>
      <c r="U249" s="72"/>
      <c r="V249" s="210"/>
    </row>
    <row r="250" spans="1:22" s="928" customFormat="1" ht="15.75" hidden="1" customHeight="1">
      <c r="A250" s="1793"/>
      <c r="B250" s="1554">
        <f t="shared" si="17"/>
        <v>94</v>
      </c>
      <c r="C250" s="3662" t="s">
        <v>12837</v>
      </c>
      <c r="D250" s="3663"/>
      <c r="E250" s="3663"/>
      <c r="F250" s="3663"/>
      <c r="G250" s="3663"/>
      <c r="H250" s="3663"/>
      <c r="I250" s="3663"/>
      <c r="J250" s="3664"/>
      <c r="K250" s="115"/>
      <c r="L250" s="1775"/>
      <c r="N250" s="1780"/>
      <c r="O250" s="1237"/>
      <c r="P250" s="1780"/>
      <c r="Q250" s="1226"/>
      <c r="R250" s="135"/>
      <c r="S250" s="71"/>
      <c r="T250" s="72"/>
      <c r="U250" s="72"/>
      <c r="V250" s="210" t="s">
        <v>2428</v>
      </c>
    </row>
    <row r="251" spans="1:22" s="928" customFormat="1" ht="15.75" hidden="1" customHeight="1">
      <c r="A251" s="1793"/>
      <c r="B251" s="2250" t="s">
        <v>12838</v>
      </c>
      <c r="C251" s="3662" t="s">
        <v>4550</v>
      </c>
      <c r="D251" s="3663"/>
      <c r="E251" s="3663"/>
      <c r="F251" s="3663"/>
      <c r="G251" s="3663"/>
      <c r="H251" s="3663"/>
      <c r="I251" s="3663"/>
      <c r="J251" s="3664"/>
      <c r="K251" s="115"/>
      <c r="L251" s="1775"/>
      <c r="N251" s="1780"/>
      <c r="O251" s="1237"/>
      <c r="P251" s="1780"/>
      <c r="Q251" s="1226"/>
      <c r="R251" s="135"/>
      <c r="S251" s="71"/>
      <c r="T251" s="72"/>
      <c r="U251" s="72"/>
      <c r="V251" s="210"/>
    </row>
    <row r="252" spans="1:22" s="928" customFormat="1" ht="15.75" hidden="1" customHeight="1" thickBot="1">
      <c r="A252" s="1793"/>
      <c r="B252" s="2251" t="s">
        <v>12839</v>
      </c>
      <c r="C252" s="3668" t="s">
        <v>13565</v>
      </c>
      <c r="D252" s="3669"/>
      <c r="E252" s="3669"/>
      <c r="F252" s="3669"/>
      <c r="G252" s="3669"/>
      <c r="H252" s="3669"/>
      <c r="I252" s="3669"/>
      <c r="J252" s="3670"/>
      <c r="K252" s="115"/>
      <c r="L252" s="1775"/>
      <c r="N252" s="1780"/>
      <c r="O252" s="1237"/>
      <c r="P252" s="1780"/>
      <c r="Q252" s="1226"/>
      <c r="R252" s="135"/>
      <c r="S252" s="71"/>
      <c r="T252" s="72"/>
      <c r="U252" s="72"/>
      <c r="V252" s="210"/>
    </row>
    <row r="253" spans="1:22" s="928" customFormat="1" ht="15" thickBot="1">
      <c r="B253" s="1078"/>
      <c r="C253" s="1235"/>
      <c r="D253" s="1226"/>
      <c r="E253" s="1226"/>
      <c r="F253" s="1226"/>
      <c r="G253" s="1226"/>
      <c r="H253" s="1226"/>
      <c r="I253" s="1226"/>
      <c r="J253" s="1226"/>
      <c r="K253" s="115"/>
      <c r="L253" s="1775"/>
      <c r="M253" s="1226"/>
      <c r="N253" s="1781"/>
      <c r="O253" s="1226"/>
      <c r="P253" s="1781"/>
      <c r="Q253" s="1226"/>
      <c r="R253" s="135"/>
      <c r="S253" s="71"/>
      <c r="T253" s="72"/>
      <c r="U253" s="72"/>
      <c r="V253" s="210"/>
    </row>
    <row r="254" spans="1:22" ht="15" thickBot="1">
      <c r="B254" s="3665" t="s">
        <v>4551</v>
      </c>
      <c r="C254" s="3666"/>
      <c r="D254" s="3665" t="s">
        <v>4552</v>
      </c>
      <c r="E254" s="3667"/>
      <c r="F254" s="3667"/>
      <c r="G254" s="3667"/>
      <c r="H254" s="3667"/>
      <c r="I254" s="3667"/>
      <c r="J254" s="3666"/>
      <c r="K254" s="115"/>
      <c r="L254" s="1775"/>
      <c r="M254" s="928"/>
    </row>
    <row r="255" spans="1:22" ht="27" customHeight="1" thickBot="1">
      <c r="B255" s="3658" t="s">
        <v>4553</v>
      </c>
      <c r="C255" s="3635"/>
      <c r="D255" s="3659" t="s">
        <v>4554</v>
      </c>
      <c r="E255" s="3660"/>
      <c r="F255" s="3660"/>
      <c r="G255" s="3660"/>
      <c r="H255" s="3660"/>
      <c r="I255" s="3660"/>
      <c r="J255" s="3661"/>
      <c r="K255" s="115"/>
      <c r="L255" s="1775"/>
      <c r="M255" s="928"/>
    </row>
    <row r="256" spans="1:22" ht="42.75" customHeight="1" thickBot="1">
      <c r="B256" s="3658" t="s">
        <v>4555</v>
      </c>
      <c r="C256" s="3635"/>
      <c r="D256" s="3659" t="s">
        <v>4556</v>
      </c>
      <c r="E256" s="3660"/>
      <c r="F256" s="3660"/>
      <c r="G256" s="3660"/>
      <c r="H256" s="3660"/>
      <c r="I256" s="3660"/>
      <c r="J256" s="3661"/>
      <c r="K256" s="115"/>
      <c r="L256" s="1775"/>
      <c r="M256" s="928"/>
    </row>
    <row r="257" spans="2:13" ht="84" customHeight="1" thickBot="1">
      <c r="B257" s="3658" t="s">
        <v>4557</v>
      </c>
      <c r="C257" s="3635"/>
      <c r="D257" s="3659" t="s">
        <v>4558</v>
      </c>
      <c r="E257" s="3660"/>
      <c r="F257" s="3660"/>
      <c r="G257" s="3660"/>
      <c r="H257" s="3660"/>
      <c r="I257" s="3660"/>
      <c r="J257" s="3661"/>
      <c r="K257" s="115"/>
      <c r="L257" s="1775"/>
      <c r="M257" s="928"/>
    </row>
    <row r="258" spans="2:13" ht="72.75" customHeight="1" thickBot="1">
      <c r="B258" s="3658" t="s">
        <v>4559</v>
      </c>
      <c r="C258" s="3635"/>
      <c r="D258" s="3659" t="s">
        <v>4560</v>
      </c>
      <c r="E258" s="3660"/>
      <c r="F258" s="3660"/>
      <c r="G258" s="3660"/>
      <c r="H258" s="3660"/>
      <c r="I258" s="3660"/>
      <c r="J258" s="3661"/>
      <c r="K258" s="115"/>
      <c r="L258" s="1775"/>
      <c r="M258" s="928"/>
    </row>
    <row r="259" spans="2:13" ht="28.5" customHeight="1" thickBot="1">
      <c r="B259" s="3658" t="s">
        <v>4561</v>
      </c>
      <c r="C259" s="3635"/>
      <c r="D259" s="3659" t="s">
        <v>4562</v>
      </c>
      <c r="E259" s="3660"/>
      <c r="F259" s="3660"/>
      <c r="G259" s="3660"/>
      <c r="H259" s="3660"/>
      <c r="I259" s="3660"/>
      <c r="J259" s="3661"/>
      <c r="K259" s="115"/>
      <c r="L259" s="1775"/>
      <c r="M259" s="928"/>
    </row>
    <row r="260" spans="2:13" ht="15" thickBot="1">
      <c r="B260" s="928"/>
      <c r="C260" s="928"/>
      <c r="D260" s="928"/>
      <c r="E260" s="928"/>
      <c r="F260" s="928"/>
      <c r="G260" s="928"/>
      <c r="H260" s="928"/>
      <c r="I260" s="928"/>
      <c r="J260" s="928"/>
      <c r="K260" s="115"/>
      <c r="L260" s="1775"/>
      <c r="M260" s="928"/>
    </row>
    <row r="261" spans="2:13" ht="15" thickBot="1">
      <c r="B261" s="3571" t="s">
        <v>4563</v>
      </c>
      <c r="C261" s="3600"/>
      <c r="D261" s="3600"/>
      <c r="E261" s="3600"/>
      <c r="F261" s="3600"/>
      <c r="G261" s="3600"/>
      <c r="H261" s="3600"/>
      <c r="I261" s="3600"/>
      <c r="J261" s="3601"/>
      <c r="K261" s="115"/>
      <c r="L261" s="1775"/>
      <c r="M261" s="1238"/>
    </row>
    <row r="262" spans="2:13" ht="15" thickBot="1">
      <c r="B262" s="928"/>
      <c r="C262" s="928"/>
      <c r="D262" s="928"/>
      <c r="E262" s="928"/>
      <c r="F262" s="928"/>
      <c r="G262" s="928"/>
      <c r="H262" s="928"/>
      <c r="I262" s="928"/>
      <c r="J262" s="928"/>
      <c r="K262" s="115"/>
      <c r="L262" s="1775"/>
      <c r="M262" s="928"/>
    </row>
    <row r="263" spans="2:13" ht="15" customHeight="1" thickBot="1">
      <c r="B263" s="3652" t="s">
        <v>4564</v>
      </c>
      <c r="C263" s="3653"/>
      <c r="D263" s="2015"/>
      <c r="E263" s="3652" t="s">
        <v>4565</v>
      </c>
      <c r="F263" s="3654"/>
      <c r="G263" s="3654"/>
      <c r="H263" s="3654"/>
      <c r="I263" s="3654"/>
      <c r="J263" s="3653"/>
      <c r="K263" s="115"/>
      <c r="L263" s="1775"/>
      <c r="M263" s="928"/>
    </row>
    <row r="264" spans="2:13" ht="15">
      <c r="B264" s="3642" t="s">
        <v>4566</v>
      </c>
      <c r="C264" s="3643"/>
      <c r="D264" s="2016"/>
      <c r="E264" s="3655" t="s">
        <v>4567</v>
      </c>
      <c r="F264" s="3656"/>
      <c r="G264" s="3656"/>
      <c r="H264" s="3656"/>
      <c r="I264" s="3656"/>
      <c r="J264" s="3657"/>
      <c r="K264" s="115"/>
      <c r="L264" s="1775"/>
      <c r="M264" s="928"/>
    </row>
    <row r="265" spans="2:13" ht="15">
      <c r="B265" s="3642" t="s">
        <v>4568</v>
      </c>
      <c r="C265" s="3643"/>
      <c r="D265" s="2016"/>
      <c r="E265" s="3644" t="s">
        <v>4569</v>
      </c>
      <c r="F265" s="3645"/>
      <c r="G265" s="3645"/>
      <c r="H265" s="3645"/>
      <c r="I265" s="3645"/>
      <c r="J265" s="3646"/>
      <c r="K265" s="115"/>
      <c r="L265" s="1775"/>
      <c r="M265" s="928"/>
    </row>
    <row r="266" spans="2:13" ht="15">
      <c r="B266" s="3642" t="s">
        <v>4570</v>
      </c>
      <c r="C266" s="3643"/>
      <c r="D266" s="2016"/>
      <c r="E266" s="3644" t="s">
        <v>4571</v>
      </c>
      <c r="F266" s="3645"/>
      <c r="G266" s="3645"/>
      <c r="H266" s="3645"/>
      <c r="I266" s="3645"/>
      <c r="J266" s="3646"/>
      <c r="K266" s="115"/>
      <c r="L266" s="1775"/>
      <c r="M266" s="928"/>
    </row>
    <row r="267" spans="2:13" ht="15">
      <c r="B267" s="3642" t="s">
        <v>4572</v>
      </c>
      <c r="C267" s="3643"/>
      <c r="D267" s="2016"/>
      <c r="E267" s="3644" t="s">
        <v>4573</v>
      </c>
      <c r="F267" s="3645"/>
      <c r="G267" s="3645"/>
      <c r="H267" s="3645"/>
      <c r="I267" s="3645"/>
      <c r="J267" s="3646"/>
      <c r="K267" s="115"/>
      <c r="L267" s="1775"/>
      <c r="M267" s="928"/>
    </row>
    <row r="268" spans="2:13" ht="15" customHeight="1">
      <c r="B268" s="3642" t="s">
        <v>4574</v>
      </c>
      <c r="C268" s="3643"/>
      <c r="D268" s="2016"/>
      <c r="E268" s="3644" t="s">
        <v>4575</v>
      </c>
      <c r="F268" s="3645"/>
      <c r="G268" s="3645"/>
      <c r="H268" s="3645"/>
      <c r="I268" s="3645"/>
      <c r="J268" s="3646"/>
      <c r="K268" s="115"/>
      <c r="L268" s="1775"/>
      <c r="M268" s="928"/>
    </row>
    <row r="269" spans="2:13" ht="15" customHeight="1">
      <c r="B269" s="3642" t="s">
        <v>4576</v>
      </c>
      <c r="C269" s="3643"/>
      <c r="D269" s="2016"/>
      <c r="E269" s="3644" t="s">
        <v>4577</v>
      </c>
      <c r="F269" s="3645"/>
      <c r="G269" s="3645"/>
      <c r="H269" s="3645"/>
      <c r="I269" s="3645"/>
      <c r="J269" s="3646"/>
      <c r="K269" s="115"/>
      <c r="L269" s="1775"/>
      <c r="M269" s="928"/>
    </row>
    <row r="270" spans="2:13" ht="15" customHeight="1">
      <c r="B270" s="3642" t="s">
        <v>4578</v>
      </c>
      <c r="C270" s="3643"/>
      <c r="D270" s="2016"/>
      <c r="E270" s="3644" t="s">
        <v>4579</v>
      </c>
      <c r="F270" s="3645"/>
      <c r="G270" s="3645"/>
      <c r="H270" s="3645"/>
      <c r="I270" s="3645"/>
      <c r="J270" s="3646"/>
      <c r="K270" s="115"/>
      <c r="L270" s="1775"/>
      <c r="M270" s="928"/>
    </row>
    <row r="271" spans="2:13" ht="15.75" thickBot="1">
      <c r="B271" s="3647" t="s">
        <v>4580</v>
      </c>
      <c r="C271" s="3648"/>
      <c r="D271" s="2017"/>
      <c r="E271" s="3649" t="s">
        <v>4581</v>
      </c>
      <c r="F271" s="3650"/>
      <c r="G271" s="3650"/>
      <c r="H271" s="3650"/>
      <c r="I271" s="3650"/>
      <c r="J271" s="3651"/>
      <c r="K271" s="115"/>
      <c r="L271" s="1775"/>
      <c r="M271" s="928"/>
    </row>
    <row r="272" spans="2:13">
      <c r="K272" s="115"/>
      <c r="L272" s="1775"/>
    </row>
    <row r="273" spans="11:12" hidden="1">
      <c r="K273" s="115"/>
      <c r="L273" s="1775"/>
    </row>
    <row r="274" spans="11:12" hidden="1">
      <c r="K274" s="115"/>
      <c r="L274" s="1775"/>
    </row>
    <row r="275" spans="11:12" hidden="1">
      <c r="K275" s="115"/>
      <c r="L275" s="1775"/>
    </row>
    <row r="276" spans="11:12" hidden="1">
      <c r="K276" s="115"/>
      <c r="L276" s="1775"/>
    </row>
    <row r="277" spans="11:12" hidden="1">
      <c r="K277" s="115"/>
      <c r="L277" s="1775"/>
    </row>
    <row r="278" spans="11:12" hidden="1">
      <c r="K278" s="115"/>
      <c r="L278" s="1775"/>
    </row>
    <row r="279" spans="11:12" hidden="1">
      <c r="K279" s="115"/>
      <c r="L279" s="1775"/>
    </row>
    <row r="280" spans="11:12" hidden="1">
      <c r="K280" s="115"/>
      <c r="L280" s="1775"/>
    </row>
    <row r="281" spans="11:12" hidden="1">
      <c r="K281" s="115"/>
      <c r="L281" s="1775"/>
    </row>
  </sheetData>
  <mergeCells count="137">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217:J217"/>
    <mergeCell ref="C218:J218"/>
    <mergeCell ref="C219:J219"/>
    <mergeCell ref="C220:J220"/>
    <mergeCell ref="C221:J221"/>
    <mergeCell ref="C222:J222"/>
    <mergeCell ref="C223:J223"/>
    <mergeCell ref="C224:J224"/>
    <mergeCell ref="B206:J206"/>
    <mergeCell ref="B209:J209"/>
    <mergeCell ref="C225:J225"/>
    <mergeCell ref="C226:J226"/>
    <mergeCell ref="C227:J227"/>
    <mergeCell ref="C228:J228"/>
    <mergeCell ref="C229:J229"/>
    <mergeCell ref="C230:J230"/>
    <mergeCell ref="C231:J231"/>
    <mergeCell ref="C232:J232"/>
    <mergeCell ref="C233:J233"/>
    <mergeCell ref="C234:J234"/>
    <mergeCell ref="C235:J235"/>
    <mergeCell ref="C236:J236"/>
    <mergeCell ref="C237:J237"/>
    <mergeCell ref="C238:J238"/>
    <mergeCell ref="C239:J239"/>
    <mergeCell ref="C240:J240"/>
    <mergeCell ref="C241:J241"/>
    <mergeCell ref="C242:J242"/>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B269:C269"/>
    <mergeCell ref="E269:J269"/>
    <mergeCell ref="B270:C270"/>
    <mergeCell ref="E270:J270"/>
    <mergeCell ref="B271:C271"/>
    <mergeCell ref="E271:J271"/>
    <mergeCell ref="B266:C266"/>
    <mergeCell ref="E266:J266"/>
    <mergeCell ref="B267:C267"/>
    <mergeCell ref="E267:J267"/>
    <mergeCell ref="B268:C268"/>
    <mergeCell ref="E268:J268"/>
  </mergeCells>
  <conditionalFormatting sqref="J27 J29:J30 J70:J103 J6:J10 J33 J13:J25">
    <cfRule type="cellIs" dxfId="106" priority="16" operator="equal">
      <formula>0</formula>
    </cfRule>
  </conditionalFormatting>
  <conditionalFormatting sqref="J36:J67 J104">
    <cfRule type="cellIs" dxfId="105" priority="15" operator="equal">
      <formula>0</formula>
    </cfRule>
  </conditionalFormatting>
  <conditionalFormatting sqref="J50:J67">
    <cfRule type="cellIs" dxfId="104" priority="14" operator="equal">
      <formula>0</formula>
    </cfRule>
  </conditionalFormatting>
  <conditionalFormatting sqref="J106">
    <cfRule type="cellIs" dxfId="103" priority="11" operator="equal">
      <formula>0</formula>
    </cfRule>
  </conditionalFormatting>
  <conditionalFormatting sqref="J115:J122">
    <cfRule type="cellIs" dxfId="102" priority="10" operator="equal">
      <formula>0</formula>
    </cfRule>
  </conditionalFormatting>
  <conditionalFormatting sqref="J123">
    <cfRule type="cellIs" dxfId="101" priority="13" operator="equal">
      <formula>0</formula>
    </cfRule>
  </conditionalFormatting>
  <conditionalFormatting sqref="J105:J123">
    <cfRule type="cellIs" dxfId="100" priority="12" operator="equal">
      <formula>0</formula>
    </cfRule>
  </conditionalFormatting>
  <conditionalFormatting sqref="J107:J113">
    <cfRule type="cellIs" dxfId="99" priority="9" operator="equal">
      <formula>0</formula>
    </cfRule>
  </conditionalFormatting>
  <conditionalFormatting sqref="J26">
    <cfRule type="cellIs" dxfId="98" priority="6" operator="equal">
      <formula>0</formula>
    </cfRule>
  </conditionalFormatting>
  <conditionalFormatting sqref="J28">
    <cfRule type="cellIs" dxfId="97" priority="5" operator="equal">
      <formula>0</formula>
    </cfRule>
  </conditionalFormatting>
  <conditionalFormatting sqref="J11:J12">
    <cfRule type="cellIs" dxfId="96" priority="4" operator="equal">
      <formula>0</formula>
    </cfRule>
  </conditionalFormatting>
  <conditionalFormatting sqref="J31:J32">
    <cfRule type="cellIs" dxfId="9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47.xml><?xml version="1.0" encoding="utf-8"?>
<worksheet xmlns="http://schemas.openxmlformats.org/spreadsheetml/2006/main" xmlns:r="http://schemas.openxmlformats.org/officeDocument/2006/relationships">
  <sheetPr codeName="Sheet44">
    <pageSetUpPr fitToPage="1"/>
  </sheetPr>
  <dimension ref="A1:O88"/>
  <sheetViews>
    <sheetView workbookViewId="0"/>
  </sheetViews>
  <sheetFormatPr defaultColWidth="0" defaultRowHeight="14.25" zeroHeight="1"/>
  <cols>
    <col min="1" max="1" width="0.625" style="928" customWidth="1"/>
    <col min="2" max="2" width="4.625" style="928" customWidth="1"/>
    <col min="3" max="3" width="53.125" style="928" customWidth="1"/>
    <col min="4" max="4" width="16.25" style="928" customWidth="1"/>
    <col min="5" max="6" width="5.625" style="928" customWidth="1"/>
    <col min="7" max="7" width="15.625" style="928" customWidth="1"/>
    <col min="8" max="8" width="26.125" style="928" bestFit="1" customWidth="1"/>
    <col min="9" max="9" width="2.625" style="71" customWidth="1"/>
    <col min="10" max="10" width="20.625" style="71" customWidth="1"/>
    <col min="11" max="11" width="1.625" style="71" customWidth="1"/>
    <col min="12" max="12" width="1.625" style="72" hidden="1" customWidth="1"/>
    <col min="13" max="13" width="19.625" style="71" hidden="1" customWidth="1"/>
    <col min="14" max="14" width="1.625" style="1772" hidden="1" customWidth="1"/>
    <col min="15" max="15" width="8.625" style="928" hidden="1" customWidth="1"/>
    <col min="16" max="16384" width="8" style="928" hidden="1"/>
  </cols>
  <sheetData>
    <row r="1" spans="1:14" ht="18.75">
      <c r="B1" s="67" t="s">
        <v>4582</v>
      </c>
      <c r="C1" s="67"/>
      <c r="D1" s="67"/>
      <c r="E1" s="67"/>
      <c r="F1" s="67"/>
      <c r="G1" s="67"/>
      <c r="H1" s="69" t="str">
        <f>Validation!B3</f>
        <v>South West Water – South West area</v>
      </c>
      <c r="I1" s="67"/>
      <c r="J1" s="70" t="s">
        <v>2394</v>
      </c>
    </row>
    <row r="2" spans="1:14" ht="15" thickBot="1">
      <c r="B2" s="74" t="s">
        <v>12524</v>
      </c>
      <c r="C2" s="1046"/>
      <c r="D2" s="1046"/>
    </row>
    <row r="3" spans="1:14" s="200" customFormat="1" ht="26.25" thickBot="1">
      <c r="A3" s="928"/>
      <c r="B3" s="1048" t="s">
        <v>2395</v>
      </c>
      <c r="C3" s="1790"/>
      <c r="D3" s="1050" t="s">
        <v>6495</v>
      </c>
      <c r="E3" s="1050" t="s">
        <v>2396</v>
      </c>
      <c r="F3" s="1050" t="s">
        <v>2397</v>
      </c>
      <c r="G3" s="1190" t="s">
        <v>2642</v>
      </c>
      <c r="H3" s="195" t="s">
        <v>4047</v>
      </c>
      <c r="I3" s="71"/>
      <c r="J3" s="195" t="s">
        <v>1361</v>
      </c>
      <c r="K3" s="71"/>
      <c r="L3" s="72"/>
      <c r="M3" s="77" t="s">
        <v>2404</v>
      </c>
      <c r="N3" s="72"/>
    </row>
    <row r="4" spans="1:14" s="200" customFormat="1" ht="15.75" thickBot="1">
      <c r="A4" s="928"/>
      <c r="B4" s="928"/>
      <c r="C4" s="928"/>
      <c r="D4" s="928"/>
      <c r="E4" s="928"/>
      <c r="F4" s="928"/>
      <c r="G4" s="928"/>
      <c r="H4" s="928"/>
      <c r="I4" s="71"/>
      <c r="J4" s="1146"/>
      <c r="K4" s="71"/>
      <c r="L4" s="72"/>
      <c r="M4" s="90" t="s">
        <v>2405</v>
      </c>
      <c r="N4" s="72"/>
    </row>
    <row r="5" spans="1:14" s="200" customFormat="1" ht="15.75" thickBot="1">
      <c r="A5" s="928"/>
      <c r="B5" s="1051" t="s">
        <v>2449</v>
      </c>
      <c r="C5" s="1114" t="s">
        <v>4583</v>
      </c>
      <c r="D5" s="928"/>
      <c r="E5" s="928"/>
      <c r="F5" s="928"/>
      <c r="G5" s="928"/>
      <c r="H5" s="928"/>
      <c r="I5" s="71"/>
      <c r="J5" s="1146"/>
      <c r="K5" s="71"/>
      <c r="L5" s="72"/>
      <c r="M5" s="90"/>
      <c r="N5" s="72"/>
    </row>
    <row r="6" spans="1:14" s="200" customFormat="1" ht="20.25" customHeight="1">
      <c r="A6" s="928"/>
      <c r="B6" s="1053" t="s">
        <v>6361</v>
      </c>
      <c r="C6" s="1199" t="s">
        <v>4584</v>
      </c>
      <c r="D6" s="1709" t="s">
        <v>4585</v>
      </c>
      <c r="E6" s="1206" t="s">
        <v>4312</v>
      </c>
      <c r="F6" s="1056">
        <v>3</v>
      </c>
      <c r="G6" s="1057"/>
      <c r="H6" s="1868"/>
      <c r="I6" s="71"/>
      <c r="J6" s="24" t="str">
        <f t="shared" ref="J6:J12" si="0" xml:space="preserve"> IF( SUM( L6:N6 ) = 0, 0, $M$4 )</f>
        <v>Please complete all cells in row</v>
      </c>
      <c r="K6" s="71"/>
      <c r="L6" s="72"/>
      <c r="M6" s="98">
        <f t="shared" ref="M6:M12" si="1" xml:space="preserve"> IF( ISNUMBER( G6 ), 0, 1 )</f>
        <v>1</v>
      </c>
      <c r="N6" s="72"/>
    </row>
    <row r="7" spans="1:14" s="200" customFormat="1" ht="20.25" customHeight="1">
      <c r="A7" s="928"/>
      <c r="B7" s="1063" t="s">
        <v>6362</v>
      </c>
      <c r="C7" s="1202" t="s">
        <v>4586</v>
      </c>
      <c r="D7" s="1710" t="s">
        <v>4587</v>
      </c>
      <c r="E7" s="1208" t="s">
        <v>4312</v>
      </c>
      <c r="F7" s="1061">
        <v>3</v>
      </c>
      <c r="G7" s="1065"/>
      <c r="H7" s="1870"/>
      <c r="I7" s="71"/>
      <c r="J7" s="24" t="str">
        <f t="shared" si="0"/>
        <v>Please complete all cells in row</v>
      </c>
      <c r="K7" s="71"/>
      <c r="L7" s="72"/>
      <c r="M7" s="98">
        <f t="shared" si="1"/>
        <v>1</v>
      </c>
      <c r="N7" s="72"/>
    </row>
    <row r="8" spans="1:14" s="200" customFormat="1" ht="20.25" customHeight="1">
      <c r="A8" s="928"/>
      <c r="B8" s="1063" t="s">
        <v>6363</v>
      </c>
      <c r="C8" s="1202" t="s">
        <v>4588</v>
      </c>
      <c r="D8" s="1710" t="s">
        <v>4589</v>
      </c>
      <c r="E8" s="1208" t="s">
        <v>4312</v>
      </c>
      <c r="F8" s="1061">
        <v>3</v>
      </c>
      <c r="G8" s="1065"/>
      <c r="H8" s="1870"/>
      <c r="I8" s="71"/>
      <c r="J8" s="24" t="str">
        <f t="shared" si="0"/>
        <v>Please complete all cells in row</v>
      </c>
      <c r="K8" s="71"/>
      <c r="L8" s="72"/>
      <c r="M8" s="98">
        <f t="shared" si="1"/>
        <v>1</v>
      </c>
      <c r="N8" s="72"/>
    </row>
    <row r="9" spans="1:14" s="200" customFormat="1" ht="20.25" customHeight="1">
      <c r="A9" s="928"/>
      <c r="B9" s="1063" t="s">
        <v>6364</v>
      </c>
      <c r="C9" s="1202" t="s">
        <v>4590</v>
      </c>
      <c r="D9" s="1710" t="s">
        <v>4591</v>
      </c>
      <c r="E9" s="1208" t="s">
        <v>4312</v>
      </c>
      <c r="F9" s="1061">
        <v>3</v>
      </c>
      <c r="G9" s="1065"/>
      <c r="H9" s="1870"/>
      <c r="I9" s="71"/>
      <c r="J9" s="24" t="str">
        <f t="shared" si="0"/>
        <v>Please complete all cells in row</v>
      </c>
      <c r="K9" s="71"/>
      <c r="L9" s="72"/>
      <c r="M9" s="98">
        <f t="shared" si="1"/>
        <v>1</v>
      </c>
      <c r="N9" s="72"/>
    </row>
    <row r="10" spans="1:14" s="200" customFormat="1" ht="20.25" customHeight="1">
      <c r="A10" s="928"/>
      <c r="B10" s="1063" t="s">
        <v>6365</v>
      </c>
      <c r="C10" s="1202" t="s">
        <v>4592</v>
      </c>
      <c r="D10" s="1710" t="s">
        <v>4593</v>
      </c>
      <c r="E10" s="1208" t="s">
        <v>4312</v>
      </c>
      <c r="F10" s="1061">
        <v>3</v>
      </c>
      <c r="G10" s="1065"/>
      <c r="H10" s="1870"/>
      <c r="I10" s="71"/>
      <c r="J10" s="24" t="str">
        <f t="shared" si="0"/>
        <v>Please complete all cells in row</v>
      </c>
      <c r="K10" s="71"/>
      <c r="L10" s="72"/>
      <c r="M10" s="98">
        <f t="shared" si="1"/>
        <v>1</v>
      </c>
      <c r="N10" s="72"/>
    </row>
    <row r="11" spans="1:14" s="200" customFormat="1" ht="20.25" customHeight="1">
      <c r="A11" s="928"/>
      <c r="B11" s="1063" t="s">
        <v>6366</v>
      </c>
      <c r="C11" s="1202" t="s">
        <v>4594</v>
      </c>
      <c r="D11" s="1710" t="s">
        <v>9003</v>
      </c>
      <c r="E11" s="1208" t="s">
        <v>3624</v>
      </c>
      <c r="F11" s="1061">
        <v>3</v>
      </c>
      <c r="G11" s="1065"/>
      <c r="H11" s="1870"/>
      <c r="I11" s="71"/>
      <c r="J11" s="24" t="str">
        <f t="shared" si="0"/>
        <v>Please complete all cells in row</v>
      </c>
      <c r="K11" s="71"/>
      <c r="L11" s="72"/>
      <c r="M11" s="98">
        <f t="shared" si="1"/>
        <v>1</v>
      </c>
      <c r="N11" s="72"/>
    </row>
    <row r="12" spans="1:14" s="200" customFormat="1" ht="20.25" customHeight="1">
      <c r="A12" s="928"/>
      <c r="B12" s="1063" t="s">
        <v>6367</v>
      </c>
      <c r="C12" s="1202" t="s">
        <v>4596</v>
      </c>
      <c r="D12" s="1710" t="s">
        <v>9004</v>
      </c>
      <c r="E12" s="1208" t="s">
        <v>3624</v>
      </c>
      <c r="F12" s="1061">
        <v>3</v>
      </c>
      <c r="G12" s="1065"/>
      <c r="H12" s="1870"/>
      <c r="I12" s="71"/>
      <c r="J12" s="24" t="str">
        <f t="shared" si="0"/>
        <v>Please complete all cells in row</v>
      </c>
      <c r="K12" s="71"/>
      <c r="L12" s="72"/>
      <c r="M12" s="98">
        <f t="shared" si="1"/>
        <v>1</v>
      </c>
      <c r="N12" s="72"/>
    </row>
    <row r="13" spans="1:14" s="200" customFormat="1" ht="20.25" customHeight="1">
      <c r="A13" s="928"/>
      <c r="B13" s="1063" t="s">
        <v>6368</v>
      </c>
      <c r="C13" s="1202" t="s">
        <v>4598</v>
      </c>
      <c r="D13" s="1710" t="s">
        <v>9005</v>
      </c>
      <c r="E13" s="1208" t="s">
        <v>4312</v>
      </c>
      <c r="F13" s="1061">
        <v>3</v>
      </c>
      <c r="G13" s="1065"/>
      <c r="H13" s="1870"/>
      <c r="I13" s="71"/>
      <c r="J13" s="24" t="str">
        <f t="shared" ref="J13" si="2" xml:space="preserve"> IF( SUM( L13:N13 ) = 0, 0, $M$4 )</f>
        <v>Please complete all cells in row</v>
      </c>
      <c r="K13" s="71"/>
      <c r="L13" s="72"/>
      <c r="M13" s="98">
        <f t="shared" ref="M13" si="3" xml:space="preserve"> IF( ISNUMBER( G13 ), 0, 1 )</f>
        <v>1</v>
      </c>
      <c r="N13" s="72"/>
    </row>
    <row r="14" spans="1:14" s="200" customFormat="1" ht="20.25" customHeight="1">
      <c r="A14" s="928"/>
      <c r="B14" s="1063" t="s">
        <v>6369</v>
      </c>
      <c r="C14" s="1202" t="s">
        <v>4599</v>
      </c>
      <c r="D14" s="1710" t="s">
        <v>4600</v>
      </c>
      <c r="E14" s="1208" t="s">
        <v>4312</v>
      </c>
      <c r="F14" s="1061">
        <v>3</v>
      </c>
      <c r="G14" s="1065"/>
      <c r="H14" s="1870"/>
      <c r="I14" s="71"/>
      <c r="J14" s="24" t="str">
        <f t="shared" ref="J14:J23" si="4" xml:space="preserve"> IF( SUM( L14:N14 ) = 0, 0, $M$4 )</f>
        <v>Please complete all cells in row</v>
      </c>
      <c r="K14" s="71"/>
      <c r="L14" s="72"/>
      <c r="M14" s="98">
        <f t="shared" ref="M14:M23" si="5" xml:space="preserve"> IF( ISNUMBER( G14 ), 0, 1 )</f>
        <v>1</v>
      </c>
      <c r="N14" s="72"/>
    </row>
    <row r="15" spans="1:14" s="200" customFormat="1" ht="20.25" customHeight="1">
      <c r="A15" s="928"/>
      <c r="B15" s="1063" t="s">
        <v>6370</v>
      </c>
      <c r="C15" s="1202" t="s">
        <v>4601</v>
      </c>
      <c r="D15" s="1710" t="s">
        <v>9006</v>
      </c>
      <c r="E15" s="1208" t="s">
        <v>3624</v>
      </c>
      <c r="F15" s="1061">
        <v>3</v>
      </c>
      <c r="G15" s="1065"/>
      <c r="H15" s="1870"/>
      <c r="I15" s="71"/>
      <c r="J15" s="24" t="str">
        <f t="shared" si="4"/>
        <v>Please complete all cells in row</v>
      </c>
      <c r="K15" s="71"/>
      <c r="L15" s="72"/>
      <c r="M15" s="98">
        <f t="shared" si="5"/>
        <v>1</v>
      </c>
      <c r="N15" s="72"/>
    </row>
    <row r="16" spans="1:14" s="200" customFormat="1" ht="20.25" customHeight="1">
      <c r="A16" s="928"/>
      <c r="B16" s="1063" t="s">
        <v>6371</v>
      </c>
      <c r="C16" s="1202" t="s">
        <v>4602</v>
      </c>
      <c r="D16" s="1710" t="s">
        <v>4603</v>
      </c>
      <c r="E16" s="1208" t="s">
        <v>4312</v>
      </c>
      <c r="F16" s="1061">
        <v>3</v>
      </c>
      <c r="G16" s="1065"/>
      <c r="H16" s="1870"/>
      <c r="I16" s="71"/>
      <c r="J16" s="24" t="str">
        <f t="shared" si="4"/>
        <v>Please complete all cells in row</v>
      </c>
      <c r="K16" s="71"/>
      <c r="L16" s="72"/>
      <c r="M16" s="98">
        <f t="shared" si="5"/>
        <v>1</v>
      </c>
      <c r="N16" s="72"/>
    </row>
    <row r="17" spans="1:14" s="200" customFormat="1" ht="20.25" customHeight="1">
      <c r="A17" s="928"/>
      <c r="B17" s="1063" t="s">
        <v>6372</v>
      </c>
      <c r="C17" s="1202" t="s">
        <v>4604</v>
      </c>
      <c r="D17" s="1710" t="s">
        <v>4605</v>
      </c>
      <c r="E17" s="1208" t="s">
        <v>4312</v>
      </c>
      <c r="F17" s="1061">
        <v>3</v>
      </c>
      <c r="G17" s="1065"/>
      <c r="H17" s="1870"/>
      <c r="I17" s="71"/>
      <c r="J17" s="24" t="str">
        <f t="shared" si="4"/>
        <v>Please complete all cells in row</v>
      </c>
      <c r="K17" s="71"/>
      <c r="L17" s="72"/>
      <c r="M17" s="98">
        <f t="shared" si="5"/>
        <v>1</v>
      </c>
      <c r="N17" s="72"/>
    </row>
    <row r="18" spans="1:14" s="200" customFormat="1" ht="20.25" customHeight="1">
      <c r="A18" s="928"/>
      <c r="B18" s="1063" t="s">
        <v>6373</v>
      </c>
      <c r="C18" s="1202" t="s">
        <v>4606</v>
      </c>
      <c r="D18" s="1710" t="s">
        <v>4595</v>
      </c>
      <c r="E18" s="1208" t="s">
        <v>4312</v>
      </c>
      <c r="F18" s="1061">
        <v>3</v>
      </c>
      <c r="G18" s="1065"/>
      <c r="H18" s="1870"/>
      <c r="I18" s="71"/>
      <c r="J18" s="24" t="str">
        <f t="shared" si="4"/>
        <v>Please complete all cells in row</v>
      </c>
      <c r="K18" s="71"/>
      <c r="L18" s="72"/>
      <c r="M18" s="98">
        <f t="shared" si="5"/>
        <v>1</v>
      </c>
      <c r="N18" s="72"/>
    </row>
    <row r="19" spans="1:14" s="200" customFormat="1" ht="20.25" customHeight="1">
      <c r="A19" s="928"/>
      <c r="B19" s="1063" t="s">
        <v>6374</v>
      </c>
      <c r="C19" s="1202" t="s">
        <v>4607</v>
      </c>
      <c r="D19" s="1710" t="s">
        <v>4597</v>
      </c>
      <c r="E19" s="1208" t="s">
        <v>4312</v>
      </c>
      <c r="F19" s="1061">
        <v>3</v>
      </c>
      <c r="G19" s="1065"/>
      <c r="H19" s="1870"/>
      <c r="I19" s="71"/>
      <c r="J19" s="24" t="str">
        <f t="shared" si="4"/>
        <v>Please complete all cells in row</v>
      </c>
      <c r="K19" s="71"/>
      <c r="L19" s="72"/>
      <c r="M19" s="98">
        <f t="shared" si="5"/>
        <v>1</v>
      </c>
      <c r="N19" s="72"/>
    </row>
    <row r="20" spans="1:14" s="200" customFormat="1" ht="20.25" customHeight="1">
      <c r="A20" s="928"/>
      <c r="B20" s="1063" t="s">
        <v>6375</v>
      </c>
      <c r="C20" s="1202" t="s">
        <v>4608</v>
      </c>
      <c r="D20" s="1710" t="s">
        <v>4609</v>
      </c>
      <c r="E20" s="1208" t="s">
        <v>4312</v>
      </c>
      <c r="F20" s="1061">
        <v>3</v>
      </c>
      <c r="G20" s="1065"/>
      <c r="H20" s="1870"/>
      <c r="I20" s="71"/>
      <c r="J20" s="24" t="str">
        <f t="shared" si="4"/>
        <v>Please complete all cells in row</v>
      </c>
      <c r="K20" s="71"/>
      <c r="L20" s="72"/>
      <c r="M20" s="98">
        <f t="shared" si="5"/>
        <v>1</v>
      </c>
      <c r="N20" s="72"/>
    </row>
    <row r="21" spans="1:14" s="200" customFormat="1" ht="20.25" customHeight="1">
      <c r="A21" s="928"/>
      <c r="B21" s="1063" t="s">
        <v>6376</v>
      </c>
      <c r="C21" s="1202" t="s">
        <v>4610</v>
      </c>
      <c r="D21" s="1710" t="s">
        <v>4611</v>
      </c>
      <c r="E21" s="1208" t="s">
        <v>4312</v>
      </c>
      <c r="F21" s="1061">
        <v>3</v>
      </c>
      <c r="G21" s="1065"/>
      <c r="H21" s="1870"/>
      <c r="I21" s="71"/>
      <c r="J21" s="24" t="str">
        <f t="shared" si="4"/>
        <v>Please complete all cells in row</v>
      </c>
      <c r="K21" s="71"/>
      <c r="L21" s="72"/>
      <c r="M21" s="98">
        <f t="shared" si="5"/>
        <v>1</v>
      </c>
      <c r="N21" s="72"/>
    </row>
    <row r="22" spans="1:14" s="200" customFormat="1" ht="20.25" customHeight="1">
      <c r="A22" s="928"/>
      <c r="B22" s="1063" t="s">
        <v>6377</v>
      </c>
      <c r="C22" s="1202" t="s">
        <v>4612</v>
      </c>
      <c r="D22" s="1710" t="s">
        <v>4613</v>
      </c>
      <c r="E22" s="1208" t="s">
        <v>4312</v>
      </c>
      <c r="F22" s="1061">
        <v>3</v>
      </c>
      <c r="G22" s="1065"/>
      <c r="H22" s="1870"/>
      <c r="I22" s="71"/>
      <c r="J22" s="24" t="str">
        <f t="shared" si="4"/>
        <v>Please complete all cells in row</v>
      </c>
      <c r="K22" s="71"/>
      <c r="L22" s="72"/>
      <c r="M22" s="98">
        <f t="shared" si="5"/>
        <v>1</v>
      </c>
      <c r="N22" s="72"/>
    </row>
    <row r="23" spans="1:14" s="200" customFormat="1" ht="20.25" customHeight="1" thickBot="1">
      <c r="A23" s="928"/>
      <c r="B23" s="1068" t="s">
        <v>6378</v>
      </c>
      <c r="C23" s="1204" t="s">
        <v>4614</v>
      </c>
      <c r="D23" s="1711" t="s">
        <v>9007</v>
      </c>
      <c r="E23" s="1212" t="s">
        <v>4615</v>
      </c>
      <c r="F23" s="1071">
        <v>0</v>
      </c>
      <c r="G23" s="1219"/>
      <c r="H23" s="1871"/>
      <c r="I23" s="71"/>
      <c r="J23" s="24" t="str">
        <f t="shared" si="4"/>
        <v>Please complete all cells in row</v>
      </c>
      <c r="K23" s="71"/>
      <c r="L23" s="72"/>
      <c r="M23" s="98">
        <f t="shared" si="5"/>
        <v>1</v>
      </c>
      <c r="N23" s="72"/>
    </row>
    <row r="24" spans="1:14" s="200" customFormat="1" ht="15" thickBot="1">
      <c r="A24" s="928"/>
      <c r="B24" s="1078"/>
      <c r="C24" s="1079"/>
      <c r="D24" s="1712"/>
      <c r="E24" s="1080"/>
      <c r="F24" s="1081"/>
      <c r="G24" s="1239"/>
      <c r="H24" s="2032"/>
      <c r="I24" s="71"/>
      <c r="J24" s="131"/>
      <c r="K24" s="71"/>
      <c r="L24" s="72"/>
      <c r="M24" s="71"/>
      <c r="N24" s="72"/>
    </row>
    <row r="25" spans="1:14" s="200" customFormat="1" ht="15" thickBot="1">
      <c r="A25" s="928"/>
      <c r="B25" s="1051" t="s">
        <v>2458</v>
      </c>
      <c r="C25" s="1114" t="s">
        <v>2525</v>
      </c>
      <c r="D25" s="1712"/>
      <c r="E25" s="1080"/>
      <c r="F25" s="1081"/>
      <c r="G25" s="1239"/>
      <c r="H25" s="2032"/>
      <c r="I25" s="71"/>
      <c r="J25" s="131"/>
      <c r="K25" s="71"/>
      <c r="L25" s="72"/>
      <c r="M25" s="71"/>
      <c r="N25" s="72"/>
    </row>
    <row r="26" spans="1:14" s="200" customFormat="1" ht="20.25" customHeight="1">
      <c r="A26" s="928"/>
      <c r="B26" s="1053" t="s">
        <v>6379</v>
      </c>
      <c r="C26" s="1199" t="s">
        <v>4616</v>
      </c>
      <c r="D26" s="1709" t="s">
        <v>4617</v>
      </c>
      <c r="E26" s="1206" t="s">
        <v>48</v>
      </c>
      <c r="F26" s="1056">
        <v>0</v>
      </c>
      <c r="G26" s="1215"/>
      <c r="H26" s="1868"/>
      <c r="I26" s="71"/>
      <c r="J26" s="24" t="str">
        <f t="shared" ref="J26:J37" si="6" xml:space="preserve"> IF( SUM( L26:N26 ) = 0, 0, $M$4 )</f>
        <v>Please complete all cells in row</v>
      </c>
      <c r="K26" s="71"/>
      <c r="L26" s="72"/>
      <c r="M26" s="98">
        <f t="shared" ref="M26:M37" si="7" xml:space="preserve"> IF( ISNUMBER( G26 ), 0, 1 )</f>
        <v>1</v>
      </c>
      <c r="N26" s="72"/>
    </row>
    <row r="27" spans="1:14" s="200" customFormat="1" ht="26.25" customHeight="1">
      <c r="A27" s="928"/>
      <c r="B27" s="1063" t="s">
        <v>6380</v>
      </c>
      <c r="C27" s="1202" t="s">
        <v>4618</v>
      </c>
      <c r="D27" s="1710" t="s">
        <v>9008</v>
      </c>
      <c r="E27" s="1208" t="s">
        <v>2731</v>
      </c>
      <c r="F27" s="1061">
        <v>2</v>
      </c>
      <c r="G27" s="1211"/>
      <c r="H27" s="1870"/>
      <c r="I27" s="71"/>
      <c r="J27" s="24" t="str">
        <f t="shared" si="6"/>
        <v>Please complete all cells in row</v>
      </c>
      <c r="K27" s="71"/>
      <c r="L27" s="72"/>
      <c r="M27" s="98">
        <f t="shared" si="7"/>
        <v>1</v>
      </c>
      <c r="N27" s="72"/>
    </row>
    <row r="28" spans="1:14" s="200" customFormat="1" ht="26.25" customHeight="1">
      <c r="A28" s="928"/>
      <c r="B28" s="1063" t="s">
        <v>6381</v>
      </c>
      <c r="C28" s="1202" t="s">
        <v>4619</v>
      </c>
      <c r="D28" s="1710" t="s">
        <v>9009</v>
      </c>
      <c r="E28" s="1208" t="s">
        <v>2731</v>
      </c>
      <c r="F28" s="1061">
        <v>2</v>
      </c>
      <c r="G28" s="1211"/>
      <c r="H28" s="1870"/>
      <c r="I28" s="71"/>
      <c r="J28" s="24" t="str">
        <f t="shared" si="6"/>
        <v>Please complete all cells in row</v>
      </c>
      <c r="K28" s="71"/>
      <c r="L28" s="72"/>
      <c r="M28" s="98">
        <f t="shared" si="7"/>
        <v>1</v>
      </c>
      <c r="N28" s="72"/>
    </row>
    <row r="29" spans="1:14" s="200" customFormat="1" ht="26.25" customHeight="1">
      <c r="A29" s="928"/>
      <c r="B29" s="1063" t="s">
        <v>6382</v>
      </c>
      <c r="C29" s="1202" t="s">
        <v>4620</v>
      </c>
      <c r="D29" s="1710" t="s">
        <v>9010</v>
      </c>
      <c r="E29" s="1208" t="s">
        <v>2731</v>
      </c>
      <c r="F29" s="1061">
        <v>2</v>
      </c>
      <c r="G29" s="1211"/>
      <c r="H29" s="1870"/>
      <c r="I29" s="71"/>
      <c r="J29" s="24" t="str">
        <f t="shared" si="6"/>
        <v>Please complete all cells in row</v>
      </c>
      <c r="K29" s="71"/>
      <c r="L29" s="72"/>
      <c r="M29" s="98">
        <f t="shared" si="7"/>
        <v>1</v>
      </c>
      <c r="N29" s="72"/>
    </row>
    <row r="30" spans="1:14" s="200" customFormat="1" ht="26.25" customHeight="1">
      <c r="A30" s="928"/>
      <c r="B30" s="1063" t="s">
        <v>6383</v>
      </c>
      <c r="C30" s="1202" t="s">
        <v>4621</v>
      </c>
      <c r="D30" s="1710" t="s">
        <v>9011</v>
      </c>
      <c r="E30" s="1208" t="s">
        <v>2731</v>
      </c>
      <c r="F30" s="1061">
        <v>2</v>
      </c>
      <c r="G30" s="1211"/>
      <c r="H30" s="1870"/>
      <c r="I30" s="71"/>
      <c r="J30" s="24" t="str">
        <f t="shared" si="6"/>
        <v>Please complete all cells in row</v>
      </c>
      <c r="K30" s="71"/>
      <c r="L30" s="72"/>
      <c r="M30" s="98">
        <f t="shared" si="7"/>
        <v>1</v>
      </c>
      <c r="N30" s="72"/>
    </row>
    <row r="31" spans="1:14" s="200" customFormat="1" ht="20.25" customHeight="1">
      <c r="A31" s="928"/>
      <c r="B31" s="1063" t="s">
        <v>6384</v>
      </c>
      <c r="C31" s="1202" t="s">
        <v>4622</v>
      </c>
      <c r="D31" s="1710" t="s">
        <v>9012</v>
      </c>
      <c r="E31" s="1208" t="s">
        <v>4623</v>
      </c>
      <c r="F31" s="1061">
        <v>0</v>
      </c>
      <c r="G31" s="1210"/>
      <c r="H31" s="1870"/>
      <c r="I31" s="71"/>
      <c r="J31" s="24" t="str">
        <f t="shared" si="6"/>
        <v>Please complete all cells in row</v>
      </c>
      <c r="K31" s="71"/>
      <c r="L31" s="72"/>
      <c r="M31" s="98">
        <f t="shared" si="7"/>
        <v>1</v>
      </c>
      <c r="N31" s="72"/>
    </row>
    <row r="32" spans="1:14" s="200" customFormat="1" ht="20.25" customHeight="1">
      <c r="A32" s="928"/>
      <c r="B32" s="1063" t="s">
        <v>6385</v>
      </c>
      <c r="C32" s="1202" t="s">
        <v>4624</v>
      </c>
      <c r="D32" s="1710" t="s">
        <v>13577</v>
      </c>
      <c r="E32" s="1208" t="s">
        <v>4623</v>
      </c>
      <c r="F32" s="1061">
        <v>0</v>
      </c>
      <c r="G32" s="1210"/>
      <c r="H32" s="1870"/>
      <c r="I32" s="71"/>
      <c r="J32" s="24" t="str">
        <f t="shared" si="6"/>
        <v>Please complete all cells in row</v>
      </c>
      <c r="K32" s="71"/>
      <c r="L32" s="72"/>
      <c r="M32" s="98">
        <f t="shared" si="7"/>
        <v>1</v>
      </c>
      <c r="N32" s="72"/>
    </row>
    <row r="33" spans="1:15" s="200" customFormat="1" ht="20.25" customHeight="1">
      <c r="A33" s="928"/>
      <c r="B33" s="1063" t="s">
        <v>6386</v>
      </c>
      <c r="C33" s="1202" t="s">
        <v>4625</v>
      </c>
      <c r="D33" s="1710" t="s">
        <v>13576</v>
      </c>
      <c r="E33" s="1208" t="s">
        <v>4623</v>
      </c>
      <c r="F33" s="1061">
        <v>0</v>
      </c>
      <c r="G33" s="2024">
        <f>+G31+G32</f>
        <v>0</v>
      </c>
      <c r="H33" s="1870"/>
      <c r="I33" s="71"/>
      <c r="J33" s="24">
        <f t="shared" si="6"/>
        <v>0</v>
      </c>
      <c r="K33" s="71"/>
      <c r="L33" s="72"/>
      <c r="M33" s="211"/>
      <c r="N33" s="72"/>
    </row>
    <row r="34" spans="1:15" s="200" customFormat="1" ht="20.25" customHeight="1">
      <c r="A34" s="928"/>
      <c r="B34" s="1063" t="s">
        <v>6387</v>
      </c>
      <c r="C34" s="1202" t="s">
        <v>4626</v>
      </c>
      <c r="D34" s="1710" t="s">
        <v>9013</v>
      </c>
      <c r="E34" s="1208" t="s">
        <v>76</v>
      </c>
      <c r="F34" s="1061">
        <v>2</v>
      </c>
      <c r="G34" s="1240"/>
      <c r="H34" s="1870"/>
      <c r="I34" s="71"/>
      <c r="J34" s="24" t="str">
        <f t="shared" si="6"/>
        <v>Please complete all cells in row</v>
      </c>
      <c r="K34" s="71"/>
      <c r="L34" s="72"/>
      <c r="M34" s="98">
        <f t="shared" si="7"/>
        <v>1</v>
      </c>
      <c r="N34" s="72"/>
    </row>
    <row r="35" spans="1:15" s="200" customFormat="1" ht="20.25" customHeight="1">
      <c r="A35" s="928"/>
      <c r="B35" s="1063" t="s">
        <v>6388</v>
      </c>
      <c r="C35" s="2625" t="s">
        <v>12679</v>
      </c>
      <c r="D35" s="2629" t="s">
        <v>13107</v>
      </c>
      <c r="E35" s="2630" t="s">
        <v>48</v>
      </c>
      <c r="F35" s="1196">
        <v>1</v>
      </c>
      <c r="G35" s="2631"/>
      <c r="H35" s="2195"/>
      <c r="I35" s="71"/>
      <c r="J35" s="24" t="str">
        <f t="shared" ref="J35:J36" si="8" xml:space="preserve"> IF( SUM( L35:N35 ) = 0, 0, $M$4 )</f>
        <v>Please complete all cells in row</v>
      </c>
      <c r="K35" s="71"/>
      <c r="L35" s="72"/>
      <c r="M35" s="98">
        <f t="shared" ref="M35:M36" si="9" xml:space="preserve"> IF( ISNUMBER( G35 ), 0, 1 )</f>
        <v>1</v>
      </c>
      <c r="N35" s="72"/>
    </row>
    <row r="36" spans="1:15" s="200" customFormat="1" ht="20.25" customHeight="1">
      <c r="A36" s="928"/>
      <c r="B36" s="1063" t="s">
        <v>6388</v>
      </c>
      <c r="C36" s="2625" t="s">
        <v>12680</v>
      </c>
      <c r="D36" s="2629" t="s">
        <v>13108</v>
      </c>
      <c r="E36" s="2630" t="s">
        <v>48</v>
      </c>
      <c r="F36" s="1196">
        <v>1</v>
      </c>
      <c r="G36" s="2631"/>
      <c r="H36" s="2195"/>
      <c r="I36" s="71"/>
      <c r="J36" s="24" t="str">
        <f t="shared" si="8"/>
        <v>Please complete all cells in row</v>
      </c>
      <c r="K36" s="71"/>
      <c r="L36" s="72"/>
      <c r="M36" s="98">
        <f t="shared" si="9"/>
        <v>1</v>
      </c>
      <c r="N36" s="72"/>
    </row>
    <row r="37" spans="1:15" s="200" customFormat="1" ht="20.25" customHeight="1" thickBot="1">
      <c r="A37" s="928"/>
      <c r="B37" s="1068" t="s">
        <v>12681</v>
      </c>
      <c r="C37" s="1204" t="s">
        <v>4627</v>
      </c>
      <c r="D37" s="1711" t="s">
        <v>9014</v>
      </c>
      <c r="E37" s="1212" t="s">
        <v>2731</v>
      </c>
      <c r="F37" s="1071">
        <v>3</v>
      </c>
      <c r="G37" s="1072"/>
      <c r="H37" s="1871"/>
      <c r="I37" s="71"/>
      <c r="J37" s="24" t="str">
        <f t="shared" si="6"/>
        <v>Please complete all cells in row</v>
      </c>
      <c r="K37" s="71"/>
      <c r="L37" s="72"/>
      <c r="M37" s="98">
        <f t="shared" si="7"/>
        <v>1</v>
      </c>
      <c r="N37" s="72"/>
    </row>
    <row r="38" spans="1:15" s="115" customFormat="1">
      <c r="A38" s="1084"/>
      <c r="B38"/>
      <c r="C38"/>
      <c r="D38" s="1079"/>
      <c r="E38" s="1080"/>
      <c r="F38" s="1081"/>
      <c r="G38" s="1081"/>
      <c r="H38" s="2032"/>
      <c r="I38" s="1087"/>
      <c r="J38" s="131"/>
      <c r="K38" s="1087"/>
      <c r="L38" s="1773"/>
      <c r="M38" s="71"/>
      <c r="N38" s="1773"/>
      <c r="O38" s="1087"/>
    </row>
    <row r="39" spans="1:15" s="115" customFormat="1">
      <c r="A39" s="1084"/>
      <c r="B39" s="3457" t="s">
        <v>2420</v>
      </c>
      <c r="C39" s="3457"/>
      <c r="D39" s="1079"/>
      <c r="E39" s="1080"/>
      <c r="F39" s="1081"/>
      <c r="G39" s="1081"/>
      <c r="H39" s="2032"/>
      <c r="I39" s="1087"/>
      <c r="J39" s="131"/>
      <c r="K39" s="1087"/>
      <c r="L39" s="1773"/>
      <c r="M39" s="71"/>
      <c r="N39" s="1773"/>
      <c r="O39" s="1087"/>
    </row>
    <row r="40" spans="1:15" s="115" customFormat="1">
      <c r="A40" s="1084"/>
      <c r="B40" s="1005"/>
      <c r="C40" s="1005"/>
      <c r="D40" s="1079"/>
      <c r="E40" s="1080"/>
      <c r="F40" s="1081"/>
      <c r="G40" s="1081"/>
      <c r="H40" s="2032"/>
      <c r="I40" s="1087"/>
      <c r="J40" s="131"/>
      <c r="K40" s="1087"/>
      <c r="L40" s="1773"/>
      <c r="M40" s="71"/>
      <c r="N40" s="1773"/>
      <c r="O40" s="1087"/>
    </row>
    <row r="41" spans="1:15" s="115" customFormat="1">
      <c r="A41" s="170"/>
      <c r="B41" s="1008"/>
      <c r="C41" s="1009" t="s">
        <v>2421</v>
      </c>
      <c r="D41" s="1009"/>
      <c r="E41" s="170"/>
      <c r="F41" s="170"/>
      <c r="G41" s="170"/>
      <c r="H41" s="170"/>
      <c r="I41" s="131"/>
      <c r="J41" s="131"/>
      <c r="K41" s="131"/>
      <c r="L41" s="124"/>
      <c r="M41" s="211"/>
      <c r="N41" s="1774"/>
      <c r="O41" s="170"/>
    </row>
    <row r="42" spans="1:15" s="115" customFormat="1">
      <c r="A42" s="170"/>
      <c r="B42" s="1006"/>
      <c r="C42" s="1007"/>
      <c r="D42" s="1007"/>
      <c r="E42" s="170"/>
      <c r="F42" s="170"/>
      <c r="G42" s="170"/>
      <c r="H42" s="170"/>
      <c r="I42" s="131"/>
      <c r="J42" s="131"/>
      <c r="K42" s="131"/>
      <c r="L42" s="124"/>
      <c r="M42" s="211"/>
      <c r="N42" s="1774"/>
      <c r="O42" s="170"/>
    </row>
    <row r="43" spans="1:15" s="115" customFormat="1">
      <c r="A43" s="170"/>
      <c r="B43" s="1010"/>
      <c r="C43" s="1009" t="s">
        <v>2422</v>
      </c>
      <c r="D43" s="1009"/>
      <c r="E43" s="170"/>
      <c r="F43" s="170"/>
      <c r="G43" s="170"/>
      <c r="H43" s="170"/>
      <c r="I43" s="131"/>
      <c r="J43" s="131"/>
      <c r="K43" s="131"/>
      <c r="L43" s="124"/>
      <c r="M43" s="211"/>
      <c r="N43" s="1774"/>
      <c r="O43" s="170"/>
    </row>
    <row r="44" spans="1:15" s="115" customFormat="1" ht="14.25" customHeight="1">
      <c r="C44" s="157"/>
      <c r="D44" s="157"/>
      <c r="I44" s="131"/>
      <c r="J44" s="131"/>
      <c r="K44" s="131"/>
      <c r="L44" s="124"/>
      <c r="M44" s="211"/>
      <c r="N44" s="1775"/>
    </row>
    <row r="45" spans="1:15" s="115" customFormat="1" ht="14.25" customHeight="1" thickBot="1">
      <c r="C45" s="157"/>
      <c r="D45" s="157"/>
      <c r="I45" s="131"/>
      <c r="J45" s="131"/>
      <c r="K45" s="131"/>
      <c r="L45" s="124"/>
      <c r="M45" s="211"/>
      <c r="N45" s="1775"/>
    </row>
    <row r="46" spans="1:15" s="115" customFormat="1" ht="14.25" customHeight="1" thickBot="1">
      <c r="B46" s="1433" t="s">
        <v>12572</v>
      </c>
      <c r="C46" s="1011"/>
      <c r="D46" s="1011"/>
      <c r="E46" s="1012"/>
      <c r="F46" s="1012"/>
      <c r="G46" s="1012"/>
      <c r="H46" s="1012"/>
      <c r="I46" s="1012"/>
      <c r="J46" s="1013"/>
      <c r="K46" s="131"/>
      <c r="L46" s="124"/>
      <c r="M46" s="211"/>
      <c r="N46" s="1775"/>
    </row>
    <row r="47" spans="1:15" s="115" customFormat="1" ht="14.25" customHeight="1" thickBot="1">
      <c r="C47" s="157"/>
      <c r="D47" s="157"/>
      <c r="I47" s="131"/>
      <c r="J47" s="131"/>
      <c r="K47" s="131"/>
      <c r="L47" s="124"/>
      <c r="M47" s="211"/>
      <c r="N47" s="1775"/>
    </row>
    <row r="48" spans="1:15" s="115" customFormat="1" ht="14.25" hidden="1" customHeight="1" thickBot="1">
      <c r="A48" s="1643"/>
      <c r="B48" s="34" t="str">
        <f ca="1" xml:space="preserve"> RIGHT(CELL("filename", $A$1), LEN(CELL("filename", $A$1)) - SEARCH("]", CELL("filename", $A$1)))&amp;" - Line definitions"</f>
        <v>4Q - Line definitions</v>
      </c>
      <c r="C48" s="1011"/>
      <c r="D48" s="1011"/>
      <c r="E48" s="1012"/>
      <c r="F48" s="1012"/>
      <c r="G48" s="1012"/>
      <c r="H48" s="1012"/>
      <c r="I48" s="1012"/>
      <c r="J48" s="1013"/>
      <c r="K48" s="131"/>
      <c r="L48" s="124"/>
      <c r="M48" s="313"/>
      <c r="N48" s="1775"/>
    </row>
    <row r="49" spans="1:15" s="115" customFormat="1" ht="15" hidden="1" thickBot="1">
      <c r="A49" s="1643"/>
      <c r="B49" s="928"/>
      <c r="C49" s="1088"/>
      <c r="D49" s="1088"/>
      <c r="E49" s="928"/>
      <c r="F49" s="928"/>
      <c r="G49" s="928"/>
      <c r="I49" s="928"/>
      <c r="K49" s="131"/>
      <c r="L49" s="124"/>
      <c r="M49" s="313"/>
      <c r="N49" s="1775"/>
    </row>
    <row r="50" spans="1:15" s="115" customFormat="1" ht="15" hidden="1" thickBot="1">
      <c r="A50" s="1643"/>
      <c r="B50" s="1051" t="s">
        <v>2449</v>
      </c>
      <c r="C50" s="3717" t="s">
        <v>4583</v>
      </c>
      <c r="D50" s="3677"/>
      <c r="E50" s="3677"/>
      <c r="F50" s="3677"/>
      <c r="G50" s="3677"/>
      <c r="H50" s="3677"/>
      <c r="I50" s="3677"/>
      <c r="J50" s="3678"/>
      <c r="K50" s="131"/>
      <c r="L50" s="124"/>
      <c r="M50" s="313"/>
      <c r="N50" s="1775"/>
    </row>
    <row r="51" spans="1:15" s="115" customFormat="1" ht="25.5" hidden="1" customHeight="1" thickBot="1">
      <c r="A51" s="1644"/>
      <c r="B51" s="1234" t="s">
        <v>2423</v>
      </c>
      <c r="C51" s="3718" t="s">
        <v>2424</v>
      </c>
      <c r="D51" s="3719"/>
      <c r="E51" s="3719"/>
      <c r="F51" s="3719"/>
      <c r="G51" s="3719"/>
      <c r="H51" s="3719"/>
      <c r="I51" s="3719"/>
      <c r="J51" s="3720"/>
      <c r="K51" s="123"/>
      <c r="L51" s="129"/>
      <c r="M51" s="90" t="s">
        <v>2425</v>
      </c>
      <c r="N51" s="1776"/>
      <c r="O51" s="185"/>
    </row>
    <row r="52" spans="1:15" s="115" customFormat="1" ht="25.5" hidden="1" customHeight="1">
      <c r="A52" s="1643"/>
      <c r="B52" s="1059">
        <v>1</v>
      </c>
      <c r="C52" s="3721" t="s">
        <v>4628</v>
      </c>
      <c r="D52" s="3722"/>
      <c r="E52" s="3722"/>
      <c r="F52" s="3722"/>
      <c r="G52" s="3722"/>
      <c r="H52" s="3722"/>
      <c r="I52" s="3722"/>
      <c r="J52" s="3723"/>
      <c r="K52" s="123"/>
      <c r="L52" s="129"/>
      <c r="M52" s="210" t="s">
        <v>2428</v>
      </c>
      <c r="N52" s="1775"/>
    </row>
    <row r="53" spans="1:15" s="115" customFormat="1" ht="25.5" hidden="1" customHeight="1">
      <c r="A53" s="1643"/>
      <c r="B53" s="1063">
        <f>+B52+1</f>
        <v>2</v>
      </c>
      <c r="C53" s="3708" t="s">
        <v>4629</v>
      </c>
      <c r="D53" s="3709"/>
      <c r="E53" s="3709"/>
      <c r="F53" s="3709"/>
      <c r="G53" s="3709"/>
      <c r="H53" s="3709"/>
      <c r="I53" s="3709"/>
      <c r="J53" s="3710"/>
      <c r="K53" s="123"/>
      <c r="L53" s="129"/>
      <c r="M53" s="210" t="s">
        <v>2428</v>
      </c>
      <c r="N53" s="1775"/>
    </row>
    <row r="54" spans="1:15" s="115" customFormat="1" ht="38.25" hidden="1" customHeight="1">
      <c r="A54" s="1643"/>
      <c r="B54" s="1063">
        <f t="shared" ref="B54:B69" si="10">+B53+1</f>
        <v>3</v>
      </c>
      <c r="C54" s="3708" t="s">
        <v>12844</v>
      </c>
      <c r="D54" s="3709"/>
      <c r="E54" s="3709"/>
      <c r="F54" s="3709"/>
      <c r="G54" s="3709"/>
      <c r="H54" s="3709"/>
      <c r="I54" s="3709"/>
      <c r="J54" s="3710"/>
      <c r="K54" s="123"/>
      <c r="L54" s="129"/>
      <c r="M54" s="210">
        <v>1</v>
      </c>
      <c r="N54" s="1775"/>
    </row>
    <row r="55" spans="1:15" ht="14.25" hidden="1" customHeight="1">
      <c r="A55" s="1643"/>
      <c r="B55" s="1063">
        <f t="shared" si="10"/>
        <v>4</v>
      </c>
      <c r="C55" s="3708" t="s">
        <v>4630</v>
      </c>
      <c r="D55" s="3709"/>
      <c r="E55" s="3709"/>
      <c r="F55" s="3709"/>
      <c r="G55" s="3709"/>
      <c r="H55" s="3709"/>
      <c r="I55" s="3709"/>
      <c r="J55" s="3710"/>
      <c r="K55" s="123"/>
      <c r="L55" s="129"/>
      <c r="M55" s="210" t="s">
        <v>2428</v>
      </c>
      <c r="N55" s="1775"/>
      <c r="O55" s="115"/>
    </row>
    <row r="56" spans="1:15" ht="22.5" hidden="1" customHeight="1">
      <c r="A56" s="1643"/>
      <c r="B56" s="1063">
        <f t="shared" si="10"/>
        <v>5</v>
      </c>
      <c r="C56" s="3708" t="s">
        <v>4631</v>
      </c>
      <c r="D56" s="3709"/>
      <c r="E56" s="3709"/>
      <c r="F56" s="3709"/>
      <c r="G56" s="3709"/>
      <c r="H56" s="3709"/>
      <c r="I56" s="3709"/>
      <c r="J56" s="3710"/>
      <c r="K56" s="123"/>
      <c r="L56" s="129"/>
      <c r="M56" s="210" t="s">
        <v>2428</v>
      </c>
      <c r="N56" s="1775"/>
      <c r="O56" s="115"/>
    </row>
    <row r="57" spans="1:15" ht="45" hidden="1" customHeight="1">
      <c r="A57" s="1643"/>
      <c r="B57" s="1063">
        <f t="shared" si="10"/>
        <v>6</v>
      </c>
      <c r="C57" s="3708" t="s">
        <v>4632</v>
      </c>
      <c r="D57" s="3709"/>
      <c r="E57" s="3709"/>
      <c r="F57" s="3709"/>
      <c r="G57" s="3709"/>
      <c r="H57" s="3709"/>
      <c r="I57" s="3709"/>
      <c r="J57" s="3710"/>
      <c r="K57" s="123"/>
      <c r="L57" s="129"/>
      <c r="M57" s="210" t="s">
        <v>2426</v>
      </c>
      <c r="N57" s="1775"/>
      <c r="O57" s="115"/>
    </row>
    <row r="58" spans="1:15" ht="48" hidden="1" customHeight="1">
      <c r="A58" s="1643"/>
      <c r="B58" s="1063">
        <f t="shared" si="10"/>
        <v>7</v>
      </c>
      <c r="C58" s="3708" t="s">
        <v>4633</v>
      </c>
      <c r="D58" s="3709"/>
      <c r="E58" s="3709"/>
      <c r="F58" s="3709"/>
      <c r="G58" s="3709"/>
      <c r="H58" s="3709"/>
      <c r="I58" s="3709"/>
      <c r="J58" s="3710"/>
      <c r="K58" s="123"/>
      <c r="L58" s="129"/>
      <c r="M58" s="210" t="s">
        <v>2426</v>
      </c>
      <c r="N58" s="1775"/>
      <c r="O58" s="115"/>
    </row>
    <row r="59" spans="1:15" ht="36" hidden="1" customHeight="1">
      <c r="A59" s="1643"/>
      <c r="B59" s="1063">
        <f t="shared" si="10"/>
        <v>8</v>
      </c>
      <c r="C59" s="3724" t="s">
        <v>4634</v>
      </c>
      <c r="D59" s="3725"/>
      <c r="E59" s="3725"/>
      <c r="F59" s="3725"/>
      <c r="G59" s="3725"/>
      <c r="H59" s="3725"/>
      <c r="I59" s="3725"/>
      <c r="J59" s="3726"/>
      <c r="K59" s="123"/>
      <c r="L59" s="129"/>
      <c r="M59" s="210" t="s">
        <v>2426</v>
      </c>
      <c r="N59" s="1775"/>
      <c r="O59" s="115"/>
    </row>
    <row r="60" spans="1:15" hidden="1">
      <c r="A60" s="1643"/>
      <c r="B60" s="1063">
        <f t="shared" si="10"/>
        <v>9</v>
      </c>
      <c r="C60" s="3708" t="s">
        <v>4635</v>
      </c>
      <c r="D60" s="3709"/>
      <c r="E60" s="3709"/>
      <c r="F60" s="3709"/>
      <c r="G60" s="3709"/>
      <c r="H60" s="3709"/>
      <c r="I60" s="3709"/>
      <c r="J60" s="3710"/>
      <c r="K60" s="123"/>
      <c r="L60" s="129"/>
      <c r="M60" s="210">
        <v>1</v>
      </c>
      <c r="N60" s="1775"/>
      <c r="O60" s="115"/>
    </row>
    <row r="61" spans="1:15" hidden="1">
      <c r="A61" s="1643"/>
      <c r="B61" s="1063">
        <f t="shared" si="10"/>
        <v>10</v>
      </c>
      <c r="C61" s="3708" t="s">
        <v>4636</v>
      </c>
      <c r="D61" s="3709"/>
      <c r="E61" s="3709"/>
      <c r="F61" s="3709"/>
      <c r="G61" s="3709"/>
      <c r="H61" s="3709"/>
      <c r="I61" s="3709"/>
      <c r="J61" s="3710"/>
      <c r="K61" s="123"/>
      <c r="L61" s="129"/>
      <c r="M61" s="210">
        <v>1</v>
      </c>
      <c r="N61" s="1775"/>
      <c r="O61" s="115"/>
    </row>
    <row r="62" spans="1:15" ht="51" hidden="1" customHeight="1">
      <c r="A62" s="1643"/>
      <c r="B62" s="1063">
        <f t="shared" si="10"/>
        <v>11</v>
      </c>
      <c r="C62" s="3708" t="s">
        <v>4637</v>
      </c>
      <c r="D62" s="3709"/>
      <c r="E62" s="3709"/>
      <c r="F62" s="3709"/>
      <c r="G62" s="3709"/>
      <c r="H62" s="3709"/>
      <c r="I62" s="3709"/>
      <c r="J62" s="3710"/>
      <c r="K62" s="123"/>
      <c r="L62" s="129"/>
      <c r="M62" s="210" t="s">
        <v>2426</v>
      </c>
      <c r="N62" s="1775"/>
      <c r="O62" s="115"/>
    </row>
    <row r="63" spans="1:15" ht="25.5" hidden="1">
      <c r="A63" s="1643"/>
      <c r="B63" s="1063">
        <f t="shared" si="10"/>
        <v>12</v>
      </c>
      <c r="C63" s="3708" t="s">
        <v>4638</v>
      </c>
      <c r="D63" s="3709"/>
      <c r="E63" s="3709"/>
      <c r="F63" s="3709"/>
      <c r="G63" s="3709"/>
      <c r="H63" s="3709"/>
      <c r="I63" s="3709"/>
      <c r="J63" s="3710"/>
      <c r="K63" s="123"/>
      <c r="L63" s="129"/>
      <c r="M63" s="210" t="s">
        <v>2428</v>
      </c>
      <c r="N63" s="1775"/>
      <c r="O63" s="115"/>
    </row>
    <row r="64" spans="1:15" ht="25.5" hidden="1">
      <c r="A64" s="1643"/>
      <c r="B64" s="1063">
        <f t="shared" si="10"/>
        <v>13</v>
      </c>
      <c r="C64" s="3708" t="s">
        <v>4639</v>
      </c>
      <c r="D64" s="3709"/>
      <c r="E64" s="3709"/>
      <c r="F64" s="3709"/>
      <c r="G64" s="3709"/>
      <c r="H64" s="3709"/>
      <c r="I64" s="3709"/>
      <c r="J64" s="3710"/>
      <c r="K64" s="123"/>
      <c r="L64" s="129"/>
      <c r="M64" s="210" t="s">
        <v>2428</v>
      </c>
      <c r="N64" s="1775"/>
      <c r="O64" s="115"/>
    </row>
    <row r="65" spans="1:15" ht="25.5" hidden="1">
      <c r="A65" s="1643"/>
      <c r="B65" s="1063">
        <f t="shared" si="10"/>
        <v>14</v>
      </c>
      <c r="C65" s="3708" t="s">
        <v>4640</v>
      </c>
      <c r="D65" s="3709"/>
      <c r="E65" s="3709"/>
      <c r="F65" s="3709"/>
      <c r="G65" s="3709"/>
      <c r="H65" s="3709"/>
      <c r="I65" s="3709"/>
      <c r="J65" s="3710"/>
      <c r="K65" s="123"/>
      <c r="L65" s="129"/>
      <c r="M65" s="210" t="s">
        <v>2428</v>
      </c>
      <c r="N65" s="1775"/>
      <c r="O65" s="115"/>
    </row>
    <row r="66" spans="1:15" ht="38.25" hidden="1">
      <c r="A66" s="1643"/>
      <c r="B66" s="1063">
        <f t="shared" si="10"/>
        <v>15</v>
      </c>
      <c r="C66" s="3708" t="s">
        <v>4641</v>
      </c>
      <c r="D66" s="3709"/>
      <c r="E66" s="3709"/>
      <c r="F66" s="3709"/>
      <c r="G66" s="3709"/>
      <c r="H66" s="3709"/>
      <c r="I66" s="3709"/>
      <c r="J66" s="3710"/>
      <c r="K66" s="123"/>
      <c r="L66" s="129"/>
      <c r="M66" s="210" t="s">
        <v>2426</v>
      </c>
      <c r="N66" s="1775"/>
      <c r="O66" s="115"/>
    </row>
    <row r="67" spans="1:15" ht="12.75" hidden="1">
      <c r="A67" s="1793"/>
      <c r="B67" s="1063">
        <f t="shared" si="10"/>
        <v>16</v>
      </c>
      <c r="C67" s="3708" t="s">
        <v>12845</v>
      </c>
      <c r="D67" s="3709"/>
      <c r="E67" s="3709"/>
      <c r="F67" s="3709"/>
      <c r="G67" s="3709"/>
      <c r="H67" s="3709"/>
      <c r="I67" s="3709"/>
      <c r="J67" s="3710"/>
      <c r="K67" s="123"/>
      <c r="L67" s="129"/>
      <c r="M67" s="210">
        <v>1</v>
      </c>
    </row>
    <row r="68" spans="1:15" ht="12.75" hidden="1">
      <c r="A68" s="1793"/>
      <c r="B68" s="1063">
        <f t="shared" si="10"/>
        <v>17</v>
      </c>
      <c r="C68" s="3708" t="s">
        <v>12846</v>
      </c>
      <c r="D68" s="3709"/>
      <c r="E68" s="3709"/>
      <c r="F68" s="3709"/>
      <c r="G68" s="3709"/>
      <c r="H68" s="3709"/>
      <c r="I68" s="3709"/>
      <c r="J68" s="3710"/>
      <c r="K68" s="123"/>
      <c r="L68" s="129"/>
      <c r="M68" s="210">
        <v>1</v>
      </c>
    </row>
    <row r="69" spans="1:15" ht="13.5" hidden="1" thickBot="1">
      <c r="A69" s="1793"/>
      <c r="B69" s="1068">
        <f t="shared" si="10"/>
        <v>18</v>
      </c>
      <c r="C69" s="3711" t="s">
        <v>4642</v>
      </c>
      <c r="D69" s="3712"/>
      <c r="E69" s="3712"/>
      <c r="F69" s="3712"/>
      <c r="G69" s="3712"/>
      <c r="H69" s="3712"/>
      <c r="I69" s="3712"/>
      <c r="J69" s="3713"/>
      <c r="K69" s="123"/>
      <c r="L69" s="129"/>
      <c r="M69" s="210">
        <v>1</v>
      </c>
    </row>
    <row r="70" spans="1:15" ht="15" hidden="1" thickBot="1">
      <c r="A70" s="1793"/>
      <c r="I70" s="135"/>
    </row>
    <row r="71" spans="1:15" s="200" customFormat="1" ht="15" hidden="1" thickBot="1">
      <c r="A71" s="1793"/>
      <c r="B71" s="1241" t="s">
        <v>2458</v>
      </c>
      <c r="C71" s="1242" t="s">
        <v>2525</v>
      </c>
      <c r="D71" s="1079"/>
      <c r="E71" s="1080"/>
      <c r="F71" s="1081"/>
      <c r="G71" s="1081"/>
      <c r="H71" s="1083"/>
      <c r="I71" s="71"/>
      <c r="J71" s="131"/>
      <c r="K71" s="71"/>
      <c r="L71" s="72"/>
      <c r="M71" s="71"/>
      <c r="N71" s="72"/>
    </row>
    <row r="72" spans="1:15" ht="40.5" hidden="1" customHeight="1">
      <c r="A72" s="1793"/>
      <c r="B72" s="1243">
        <f>+B69+1</f>
        <v>19</v>
      </c>
      <c r="C72" s="3714" t="s">
        <v>12847</v>
      </c>
      <c r="D72" s="3715"/>
      <c r="E72" s="3715"/>
      <c r="F72" s="3715"/>
      <c r="G72" s="3715"/>
      <c r="H72" s="3715"/>
      <c r="I72" s="3715"/>
      <c r="J72" s="3715"/>
      <c r="K72" s="3715"/>
      <c r="L72" s="3715"/>
      <c r="M72" s="3716"/>
    </row>
    <row r="73" spans="1:15" ht="68.25" hidden="1" customHeight="1">
      <c r="A73" s="1793"/>
      <c r="B73" s="1244">
        <f t="shared" ref="B73:B83" si="11">+B72+1</f>
        <v>20</v>
      </c>
      <c r="C73" s="3690" t="s">
        <v>12848</v>
      </c>
      <c r="D73" s="3706"/>
      <c r="E73" s="3706"/>
      <c r="F73" s="3706"/>
      <c r="G73" s="3706"/>
      <c r="H73" s="3706"/>
      <c r="I73" s="3706"/>
      <c r="J73" s="3706"/>
      <c r="K73" s="3706"/>
      <c r="L73" s="3706"/>
      <c r="M73" s="3707"/>
    </row>
    <row r="74" spans="1:15" ht="55.5" hidden="1" customHeight="1">
      <c r="A74" s="1793"/>
      <c r="B74" s="1244">
        <f t="shared" si="11"/>
        <v>21</v>
      </c>
      <c r="C74" s="3690" t="s">
        <v>4643</v>
      </c>
      <c r="D74" s="3706"/>
      <c r="E74" s="3706"/>
      <c r="F74" s="3706"/>
      <c r="G74" s="3706"/>
      <c r="H74" s="3706"/>
      <c r="I74" s="3706"/>
      <c r="J74" s="3706"/>
      <c r="K74" s="3706"/>
      <c r="L74" s="3706"/>
      <c r="M74" s="3707"/>
    </row>
    <row r="75" spans="1:15" ht="129" hidden="1" customHeight="1">
      <c r="A75" s="1793"/>
      <c r="B75" s="1244">
        <f t="shared" si="11"/>
        <v>22</v>
      </c>
      <c r="C75" s="3690" t="s">
        <v>4644</v>
      </c>
      <c r="D75" s="3691"/>
      <c r="E75" s="3691"/>
      <c r="F75" s="3691"/>
      <c r="G75" s="3691"/>
      <c r="H75" s="3691"/>
      <c r="I75" s="3691"/>
      <c r="J75" s="3691"/>
      <c r="K75" s="3691"/>
      <c r="L75" s="3691"/>
      <c r="M75" s="3692"/>
    </row>
    <row r="76" spans="1:15" ht="104.25" hidden="1" customHeight="1">
      <c r="A76" s="1793"/>
      <c r="B76" s="1244">
        <f t="shared" si="11"/>
        <v>23</v>
      </c>
      <c r="C76" s="3690" t="s">
        <v>4645</v>
      </c>
      <c r="D76" s="3691"/>
      <c r="E76" s="3691"/>
      <c r="F76" s="3691"/>
      <c r="G76" s="3691"/>
      <c r="H76" s="3691"/>
      <c r="I76" s="3691"/>
      <c r="J76" s="3691"/>
      <c r="K76" s="3691"/>
      <c r="L76" s="3691"/>
      <c r="M76" s="3692"/>
    </row>
    <row r="77" spans="1:15" ht="42.75" hidden="1" customHeight="1">
      <c r="A77" s="1793"/>
      <c r="B77" s="1244">
        <f t="shared" si="11"/>
        <v>24</v>
      </c>
      <c r="C77" s="3690" t="s">
        <v>4646</v>
      </c>
      <c r="D77" s="3693"/>
      <c r="E77" s="3693"/>
      <c r="F77" s="3693"/>
      <c r="G77" s="3693"/>
      <c r="H77" s="3693"/>
      <c r="I77" s="3693"/>
      <c r="J77" s="3693"/>
      <c r="K77" s="3693"/>
      <c r="L77" s="3693"/>
      <c r="M77" s="3694"/>
    </row>
    <row r="78" spans="1:15" ht="42.75" hidden="1" customHeight="1">
      <c r="A78" s="1793"/>
      <c r="B78" s="1244">
        <f t="shared" si="11"/>
        <v>25</v>
      </c>
      <c r="C78" s="3690" t="s">
        <v>4647</v>
      </c>
      <c r="D78" s="3693"/>
      <c r="E78" s="3693"/>
      <c r="F78" s="3693"/>
      <c r="G78" s="3693"/>
      <c r="H78" s="3693"/>
      <c r="I78" s="3693"/>
      <c r="J78" s="3693"/>
      <c r="K78" s="3693"/>
      <c r="L78" s="3693"/>
      <c r="M78" s="3694"/>
    </row>
    <row r="79" spans="1:15" ht="12.75" hidden="1">
      <c r="A79" s="1793"/>
      <c r="B79" s="1244">
        <f t="shared" si="11"/>
        <v>26</v>
      </c>
      <c r="C79" s="3690" t="s">
        <v>12986</v>
      </c>
      <c r="D79" s="3693"/>
      <c r="E79" s="3693"/>
      <c r="F79" s="3693"/>
      <c r="G79" s="3693"/>
      <c r="H79" s="3693"/>
      <c r="I79" s="3693"/>
      <c r="J79" s="3693"/>
      <c r="K79" s="3693"/>
      <c r="L79" s="3693"/>
      <c r="M79" s="3694"/>
    </row>
    <row r="80" spans="1:15" ht="29.25" hidden="1" customHeight="1">
      <c r="A80" s="1793"/>
      <c r="B80" s="1244">
        <f t="shared" si="11"/>
        <v>27</v>
      </c>
      <c r="C80" s="3690" t="s">
        <v>4648</v>
      </c>
      <c r="D80" s="3693"/>
      <c r="E80" s="3693"/>
      <c r="F80" s="3693"/>
      <c r="G80" s="3693"/>
      <c r="H80" s="3693"/>
      <c r="I80" s="3693"/>
      <c r="J80" s="3693"/>
      <c r="K80" s="3693"/>
      <c r="L80" s="3693"/>
      <c r="M80" s="3694"/>
    </row>
    <row r="81" spans="1:13" ht="29.25" hidden="1" customHeight="1">
      <c r="A81" s="1793"/>
      <c r="B81" s="1244">
        <f t="shared" si="11"/>
        <v>28</v>
      </c>
      <c r="C81" s="3690" t="s">
        <v>12849</v>
      </c>
      <c r="D81" s="3693"/>
      <c r="E81" s="3693"/>
      <c r="F81" s="3693"/>
      <c r="G81" s="3693"/>
      <c r="H81" s="3693"/>
      <c r="I81" s="3693"/>
      <c r="J81" s="3693"/>
      <c r="K81" s="3693"/>
      <c r="L81" s="3693"/>
      <c r="M81" s="3694"/>
    </row>
    <row r="82" spans="1:13" ht="12.75" hidden="1">
      <c r="A82" s="1793"/>
      <c r="B82" s="1244">
        <f t="shared" si="11"/>
        <v>29</v>
      </c>
      <c r="C82" s="3690" t="s">
        <v>12850</v>
      </c>
      <c r="D82" s="3693"/>
      <c r="E82" s="3693"/>
      <c r="F82" s="3693"/>
      <c r="G82" s="3693"/>
      <c r="H82" s="3693"/>
      <c r="I82" s="3693"/>
      <c r="J82" s="3693"/>
      <c r="K82" s="3693"/>
      <c r="L82" s="3693"/>
      <c r="M82" s="3694"/>
    </row>
    <row r="83" spans="1:13" ht="13.5" hidden="1" thickBot="1">
      <c r="A83" s="1793"/>
      <c r="B83" s="1245">
        <f t="shared" si="11"/>
        <v>30</v>
      </c>
      <c r="C83" s="3695" t="s">
        <v>12851</v>
      </c>
      <c r="D83" s="3696"/>
      <c r="E83" s="3696"/>
      <c r="F83" s="3696"/>
      <c r="G83" s="3696"/>
      <c r="H83" s="3696"/>
      <c r="I83" s="3696"/>
      <c r="J83" s="3696"/>
      <c r="K83" s="3696"/>
      <c r="L83" s="3696"/>
      <c r="M83" s="3697"/>
    </row>
    <row r="84" spans="1:13" ht="13.5" hidden="1" thickBot="1">
      <c r="A84" s="1793"/>
      <c r="I84" s="928"/>
      <c r="J84" s="928"/>
      <c r="K84" s="928"/>
      <c r="L84" s="1772"/>
      <c r="M84" s="928"/>
    </row>
    <row r="85" spans="1:13" ht="15" thickBot="1">
      <c r="B85" s="3698" t="s">
        <v>4075</v>
      </c>
      <c r="C85" s="3699"/>
      <c r="D85" s="3699"/>
      <c r="E85" s="3699"/>
      <c r="F85" s="3699"/>
      <c r="G85" s="3699"/>
      <c r="H85" s="3699"/>
      <c r="I85" s="3699"/>
      <c r="J85" s="3699"/>
      <c r="K85" s="3699"/>
      <c r="L85" s="3699"/>
      <c r="M85" s="3700"/>
    </row>
    <row r="86" spans="1:13" ht="12.75">
      <c r="B86" s="3701" t="s">
        <v>4649</v>
      </c>
      <c r="C86" s="3702"/>
      <c r="D86" s="3702"/>
      <c r="E86" s="3702"/>
      <c r="F86" s="3702"/>
      <c r="G86" s="3702"/>
      <c r="H86" s="3702"/>
      <c r="I86" s="3702"/>
      <c r="J86" s="3702"/>
      <c r="K86" s="3702"/>
      <c r="L86" s="3702"/>
      <c r="M86" s="3703"/>
    </row>
    <row r="87" spans="1:13" ht="39" customHeight="1">
      <c r="B87" s="3704" t="s">
        <v>12852</v>
      </c>
      <c r="C87" s="3693"/>
      <c r="D87" s="3693"/>
      <c r="E87" s="3693"/>
      <c r="F87" s="3693"/>
      <c r="G87" s="3693"/>
      <c r="H87" s="3693"/>
      <c r="I87" s="3693"/>
      <c r="J87" s="3693"/>
      <c r="K87" s="3693"/>
      <c r="L87" s="3693"/>
      <c r="M87" s="3705"/>
    </row>
    <row r="88" spans="1:13" ht="13.5" thickBot="1">
      <c r="B88" s="3687"/>
      <c r="C88" s="3688"/>
      <c r="D88" s="3688"/>
      <c r="E88" s="3688"/>
      <c r="F88" s="3688"/>
      <c r="G88" s="3688"/>
      <c r="H88" s="3688"/>
      <c r="I88" s="3688"/>
      <c r="J88" s="3688"/>
      <c r="K88" s="3688"/>
      <c r="L88" s="3688"/>
      <c r="M88" s="3689"/>
    </row>
  </sheetData>
  <mergeCells count="37">
    <mergeCell ref="C60:J60"/>
    <mergeCell ref="B39:C39"/>
    <mergeCell ref="C50:J50"/>
    <mergeCell ref="C51:J51"/>
    <mergeCell ref="C52:J52"/>
    <mergeCell ref="C53:J53"/>
    <mergeCell ref="C54:J54"/>
    <mergeCell ref="C55:J55"/>
    <mergeCell ref="C56:J56"/>
    <mergeCell ref="C57:J57"/>
    <mergeCell ref="C58:J58"/>
    <mergeCell ref="C59:J59"/>
    <mergeCell ref="C74:M74"/>
    <mergeCell ref="C61:J61"/>
    <mergeCell ref="C62:J62"/>
    <mergeCell ref="C63:J63"/>
    <mergeCell ref="C64:J64"/>
    <mergeCell ref="C65:J65"/>
    <mergeCell ref="C66:J66"/>
    <mergeCell ref="C67:J67"/>
    <mergeCell ref="C68:J68"/>
    <mergeCell ref="C69:J69"/>
    <mergeCell ref="C72:M72"/>
    <mergeCell ref="C73:M73"/>
    <mergeCell ref="B88:M88"/>
    <mergeCell ref="C75:M75"/>
    <mergeCell ref="C76:M76"/>
    <mergeCell ref="C77:M77"/>
    <mergeCell ref="C78:M78"/>
    <mergeCell ref="C79:M79"/>
    <mergeCell ref="C80:M80"/>
    <mergeCell ref="C82:M82"/>
    <mergeCell ref="C83:M83"/>
    <mergeCell ref="B85:M85"/>
    <mergeCell ref="B86:M86"/>
    <mergeCell ref="B87:M87"/>
    <mergeCell ref="C81:M81"/>
  </mergeCells>
  <conditionalFormatting sqref="J7:J12 J14:J23 J26:J37">
    <cfRule type="cellIs" dxfId="94" priority="6" operator="equal">
      <formula>0</formula>
    </cfRule>
  </conditionalFormatting>
  <conditionalFormatting sqref="J6:J12 J14:J23">
    <cfRule type="cellIs" dxfId="93" priority="5" operator="equal">
      <formula>0</formula>
    </cfRule>
  </conditionalFormatting>
  <conditionalFormatting sqref="J13">
    <cfRule type="cellIs" dxfId="92" priority="2" operator="equal">
      <formula>0</formula>
    </cfRule>
  </conditionalFormatting>
  <conditionalFormatting sqref="J13">
    <cfRule type="cellIs" dxfId="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48.xml><?xml version="1.0" encoding="utf-8"?>
<worksheet xmlns="http://schemas.openxmlformats.org/spreadsheetml/2006/main" xmlns:r="http://schemas.openxmlformats.org/officeDocument/2006/relationships">
  <sheetPr codeName="Sheet45">
    <pageSetUpPr fitToPage="1"/>
  </sheetPr>
  <dimension ref="A1:N122"/>
  <sheetViews>
    <sheetView workbookViewId="0"/>
  </sheetViews>
  <sheetFormatPr defaultColWidth="0" defaultRowHeight="14.25" zeroHeight="1"/>
  <cols>
    <col min="1" max="1" width="0.625" customWidth="1"/>
    <col min="2" max="2" width="8.625" customWidth="1"/>
    <col min="3" max="3" width="84.125" customWidth="1"/>
    <col min="4" max="4" width="8.75" customWidth="1"/>
    <col min="5" max="6" width="8.625" customWidth="1"/>
    <col min="7" max="7" width="11.625" customWidth="1"/>
    <col min="8" max="8" width="37.125" customWidth="1"/>
    <col min="9" max="9" width="2.5" customWidth="1"/>
    <col min="10" max="10" width="24" customWidth="1"/>
    <col min="11" max="11" width="1.125" customWidth="1"/>
    <col min="12" max="12" width="2.125" style="1764" hidden="1" customWidth="1"/>
    <col min="13" max="13" width="19.625" hidden="1" customWidth="1"/>
    <col min="14" max="14" width="2.125" style="1764" hidden="1" customWidth="1"/>
    <col min="15" max="16384" width="8.625" hidden="1"/>
  </cols>
  <sheetData>
    <row r="1" spans="1:14" ht="18.75">
      <c r="A1" s="1246"/>
      <c r="B1" s="1247" t="s">
        <v>4650</v>
      </c>
      <c r="C1" s="1247"/>
      <c r="D1" s="1247"/>
      <c r="E1" s="1248"/>
      <c r="F1" s="1249"/>
      <c r="G1" s="67"/>
      <c r="H1" s="69" t="str">
        <f>Validation!B3</f>
        <v>South West Water – South West area</v>
      </c>
      <c r="I1" s="67"/>
      <c r="J1" s="70" t="s">
        <v>2394</v>
      </c>
      <c r="K1" s="71"/>
      <c r="L1" s="72"/>
      <c r="M1" s="71"/>
      <c r="N1" s="1772"/>
    </row>
    <row r="2" spans="1:14" ht="15" thickBot="1">
      <c r="A2" s="1250"/>
      <c r="B2" s="74" t="s">
        <v>12524</v>
      </c>
      <c r="C2" s="1250"/>
      <c r="D2" s="1250"/>
      <c r="E2" s="1251"/>
      <c r="F2" s="1250"/>
      <c r="G2" s="1252"/>
      <c r="H2" s="1250"/>
      <c r="I2" s="1250"/>
      <c r="J2" s="71"/>
      <c r="K2" s="71"/>
      <c r="L2" s="72"/>
      <c r="M2" s="71"/>
      <c r="N2" s="1772"/>
    </row>
    <row r="3" spans="1:14" ht="15" thickBot="1">
      <c r="A3" s="1250"/>
      <c r="B3" s="1253" t="s">
        <v>2423</v>
      </c>
      <c r="C3" s="1254" t="s">
        <v>4077</v>
      </c>
      <c r="D3" s="191" t="s">
        <v>6495</v>
      </c>
      <c r="E3" s="191" t="s">
        <v>3346</v>
      </c>
      <c r="F3" s="192" t="s">
        <v>2397</v>
      </c>
      <c r="G3" s="1190" t="s">
        <v>2642</v>
      </c>
      <c r="H3" s="195" t="s">
        <v>4047</v>
      </c>
      <c r="I3" s="1130"/>
      <c r="J3" s="195" t="s">
        <v>1361</v>
      </c>
      <c r="K3" s="71"/>
      <c r="L3" s="72"/>
      <c r="M3" s="77" t="s">
        <v>2404</v>
      </c>
      <c r="N3" s="72"/>
    </row>
    <row r="4" spans="1:14" ht="15.75" thickBot="1">
      <c r="A4" s="1255"/>
      <c r="B4" s="1256"/>
      <c r="C4" s="1256"/>
      <c r="D4" s="1271"/>
      <c r="E4" s="1255"/>
      <c r="F4" s="1255"/>
      <c r="G4" s="1255"/>
      <c r="H4" s="1255"/>
      <c r="I4" s="1255"/>
      <c r="J4" s="1146"/>
      <c r="K4" s="71"/>
      <c r="L4" s="72"/>
      <c r="M4" s="90" t="s">
        <v>2405</v>
      </c>
      <c r="N4" s="72"/>
    </row>
    <row r="5" spans="1:14" ht="15.75" thickBot="1">
      <c r="A5" s="1255"/>
      <c r="B5" s="1051" t="s">
        <v>2449</v>
      </c>
      <c r="C5" s="1114" t="s">
        <v>4651</v>
      </c>
      <c r="D5" s="1271"/>
      <c r="E5" s="1255"/>
      <c r="F5" s="1255"/>
      <c r="G5" s="1255"/>
      <c r="H5" s="1255"/>
      <c r="I5" s="1255"/>
      <c r="J5" s="1146"/>
      <c r="K5" s="71"/>
      <c r="L5" s="72"/>
      <c r="M5" s="90"/>
      <c r="N5" s="72"/>
    </row>
    <row r="6" spans="1:14">
      <c r="A6" s="1257"/>
      <c r="B6" s="1053" t="s">
        <v>6321</v>
      </c>
      <c r="C6" s="1160" t="s">
        <v>4652</v>
      </c>
      <c r="D6" s="1055" t="s">
        <v>9015</v>
      </c>
      <c r="E6" s="1258" t="s">
        <v>48</v>
      </c>
      <c r="F6" s="1259">
        <v>0</v>
      </c>
      <c r="G6" s="1260"/>
      <c r="H6" s="1178"/>
      <c r="I6" s="1250"/>
      <c r="J6" s="24" t="str">
        <f xml:space="preserve"> IF( SUM( L6:N6 ) = 0, 0, $M$4 )</f>
        <v>Please complete all cells in row</v>
      </c>
      <c r="K6" s="71"/>
      <c r="L6" s="72"/>
      <c r="M6" s="98">
        <f>IF(Validation!$H$3=1,0,IF(ISNUMBER(G6),0,1))</f>
        <v>1</v>
      </c>
      <c r="N6" s="72"/>
    </row>
    <row r="7" spans="1:14">
      <c r="A7" s="1257"/>
      <c r="B7" s="1063" t="s">
        <v>6322</v>
      </c>
      <c r="C7" s="1177" t="s">
        <v>4653</v>
      </c>
      <c r="D7" s="1261" t="s">
        <v>9016</v>
      </c>
      <c r="E7" s="2145" t="s">
        <v>12209</v>
      </c>
      <c r="F7" s="1061">
        <v>0</v>
      </c>
      <c r="G7" s="1262"/>
      <c r="H7" s="1263"/>
      <c r="I7" s="1250"/>
      <c r="J7" s="24" t="str">
        <f t="shared" ref="J7:J27" si="0" xml:space="preserve"> IF( SUM( L7:N7 ) = 0, 0, $M$4 )</f>
        <v>Please complete all cells in row</v>
      </c>
      <c r="K7" s="71"/>
      <c r="L7" s="72"/>
      <c r="M7" s="98">
        <f>IF(Validation!$H$3=1,0,IF(ISNUMBER(G7),0,1))</f>
        <v>1</v>
      </c>
      <c r="N7" s="72"/>
    </row>
    <row r="8" spans="1:14">
      <c r="A8" s="1250"/>
      <c r="B8" s="1063" t="s">
        <v>6323</v>
      </c>
      <c r="C8" s="1064" t="s">
        <v>4654</v>
      </c>
      <c r="D8" s="1060" t="s">
        <v>4655</v>
      </c>
      <c r="E8" s="1060" t="s">
        <v>4394</v>
      </c>
      <c r="F8" s="1061">
        <v>0</v>
      </c>
      <c r="G8" s="1264"/>
      <c r="H8" s="1179"/>
      <c r="I8" s="1250"/>
      <c r="J8" s="24" t="str">
        <f t="shared" si="0"/>
        <v>Please complete all cells in row</v>
      </c>
      <c r="K8" s="71"/>
      <c r="L8" s="72"/>
      <c r="M8" s="98">
        <f>IF(Validation!$H$3=1,0,IF(ISNUMBER(G8),0,1))</f>
        <v>1</v>
      </c>
      <c r="N8" s="72"/>
    </row>
    <row r="9" spans="1:14">
      <c r="A9" s="1265"/>
      <c r="B9" s="1063" t="s">
        <v>6324</v>
      </c>
      <c r="C9" s="1064" t="s">
        <v>4656</v>
      </c>
      <c r="D9" s="1060" t="s">
        <v>4657</v>
      </c>
      <c r="E9" s="1060" t="s">
        <v>48</v>
      </c>
      <c r="F9" s="1061">
        <v>0</v>
      </c>
      <c r="G9" s="1264"/>
      <c r="H9" s="1179"/>
      <c r="I9" s="1265"/>
      <c r="J9" s="24" t="str">
        <f t="shared" si="0"/>
        <v>Please complete all cells in row</v>
      </c>
      <c r="K9" s="71"/>
      <c r="L9" s="72"/>
      <c r="M9" s="98">
        <f>IF(Validation!$H$3=1,0,IF(ISNUMBER(G9),0,1))</f>
        <v>1</v>
      </c>
      <c r="N9" s="72"/>
    </row>
    <row r="10" spans="1:14">
      <c r="A10" s="1266"/>
      <c r="B10" s="1063" t="s">
        <v>6325</v>
      </c>
      <c r="C10" s="1064" t="s">
        <v>4658</v>
      </c>
      <c r="D10" s="1060" t="s">
        <v>4659</v>
      </c>
      <c r="E10" s="1060" t="s">
        <v>48</v>
      </c>
      <c r="F10" s="1061">
        <v>0</v>
      </c>
      <c r="G10" s="1264"/>
      <c r="H10" s="1179"/>
      <c r="I10" s="1265"/>
      <c r="J10" s="24" t="str">
        <f t="shared" si="0"/>
        <v>Please complete all cells in row</v>
      </c>
      <c r="K10" s="71"/>
      <c r="L10" s="72"/>
      <c r="M10" s="98">
        <f>IF(Validation!$H$3=1,0,IF(ISNUMBER(G10),0,1))</f>
        <v>1</v>
      </c>
      <c r="N10" s="72"/>
    </row>
    <row r="11" spans="1:14">
      <c r="A11" s="1266"/>
      <c r="B11" s="1063" t="s">
        <v>6326</v>
      </c>
      <c r="C11" s="1064" t="s">
        <v>4660</v>
      </c>
      <c r="D11" s="1060" t="s">
        <v>4661</v>
      </c>
      <c r="E11" s="1060" t="s">
        <v>48</v>
      </c>
      <c r="F11" s="1061">
        <v>0</v>
      </c>
      <c r="G11" s="1264"/>
      <c r="H11" s="1179"/>
      <c r="I11" s="1265"/>
      <c r="J11" s="24" t="str">
        <f t="shared" si="0"/>
        <v>Please complete all cells in row</v>
      </c>
      <c r="K11" s="71"/>
      <c r="L11" s="72"/>
      <c r="M11" s="98">
        <f>IF(Validation!$H$3=1,0,IF(ISNUMBER(G11),0,1))</f>
        <v>1</v>
      </c>
      <c r="N11" s="72"/>
    </row>
    <row r="12" spans="1:14">
      <c r="A12" s="1266"/>
      <c r="B12" s="1063" t="s">
        <v>6327</v>
      </c>
      <c r="C12" s="1064" t="s">
        <v>4662</v>
      </c>
      <c r="D12" s="1060" t="s">
        <v>4663</v>
      </c>
      <c r="E12" s="1060" t="s">
        <v>48</v>
      </c>
      <c r="F12" s="1061">
        <v>0</v>
      </c>
      <c r="G12" s="1264"/>
      <c r="H12" s="1179"/>
      <c r="I12" s="1265"/>
      <c r="J12" s="24" t="str">
        <f t="shared" si="0"/>
        <v>Please complete all cells in row</v>
      </c>
      <c r="K12" s="71"/>
      <c r="L12" s="72"/>
      <c r="M12" s="98">
        <f>IF(Validation!$H$3=1,0,IF(ISNUMBER(G12),0,1))</f>
        <v>1</v>
      </c>
      <c r="N12" s="72"/>
    </row>
    <row r="13" spans="1:14">
      <c r="A13" s="1250"/>
      <c r="B13" s="1063" t="s">
        <v>6328</v>
      </c>
      <c r="C13" s="1064" t="s">
        <v>4664</v>
      </c>
      <c r="D13" s="1060" t="s">
        <v>9017</v>
      </c>
      <c r="E13" s="1060" t="s">
        <v>48</v>
      </c>
      <c r="F13" s="1061">
        <v>0</v>
      </c>
      <c r="G13" s="1264"/>
      <c r="H13" s="1179"/>
      <c r="I13" s="1250"/>
      <c r="J13" s="24" t="str">
        <f t="shared" si="0"/>
        <v>Please complete all cells in row</v>
      </c>
      <c r="K13" s="71"/>
      <c r="L13" s="72"/>
      <c r="M13" s="98">
        <f>IF(Validation!$H$3=1,0,IF(ISNUMBER(G13),0,1))</f>
        <v>1</v>
      </c>
      <c r="N13" s="72"/>
    </row>
    <row r="14" spans="1:14">
      <c r="A14" s="1250"/>
      <c r="B14" s="1063" t="s">
        <v>6329</v>
      </c>
      <c r="C14" s="1064" t="s">
        <v>4665</v>
      </c>
      <c r="D14" s="1060" t="s">
        <v>9018</v>
      </c>
      <c r="E14" s="1060" t="s">
        <v>48</v>
      </c>
      <c r="F14" s="1061">
        <v>0</v>
      </c>
      <c r="G14" s="1267"/>
      <c r="H14" s="1165"/>
      <c r="I14" s="1250"/>
      <c r="J14" s="24" t="str">
        <f t="shared" si="0"/>
        <v>Please complete all cells in row</v>
      </c>
      <c r="K14" s="71"/>
      <c r="L14" s="72"/>
      <c r="M14" s="98">
        <f>IF(Validation!$H$3=1,0,IF(ISNUMBER(G14),0,1))</f>
        <v>1</v>
      </c>
      <c r="N14" s="72"/>
    </row>
    <row r="15" spans="1:14">
      <c r="A15" s="1250"/>
      <c r="B15" s="1063" t="s">
        <v>6330</v>
      </c>
      <c r="C15" s="1064" t="s">
        <v>4666</v>
      </c>
      <c r="D15" s="1060" t="s">
        <v>9019</v>
      </c>
      <c r="E15" s="1060" t="s">
        <v>48</v>
      </c>
      <c r="F15" s="1061">
        <v>0</v>
      </c>
      <c r="G15" s="1267"/>
      <c r="H15" s="1165"/>
      <c r="I15" s="1250"/>
      <c r="J15" s="24" t="str">
        <f t="shared" si="0"/>
        <v>Please complete all cells in row</v>
      </c>
      <c r="K15" s="71"/>
      <c r="L15" s="72"/>
      <c r="M15" s="98">
        <f>IF(Validation!$H$3=1,0,IF(ISNUMBER(G15),0,1))</f>
        <v>1</v>
      </c>
      <c r="N15" s="72"/>
    </row>
    <row r="16" spans="1:14">
      <c r="A16" s="1250"/>
      <c r="B16" s="1063" t="s">
        <v>6331</v>
      </c>
      <c r="C16" s="1064" t="s">
        <v>4667</v>
      </c>
      <c r="D16" s="1060" t="s">
        <v>9020</v>
      </c>
      <c r="E16" s="1060" t="s">
        <v>4396</v>
      </c>
      <c r="F16" s="1061">
        <v>0</v>
      </c>
      <c r="G16" s="1267"/>
      <c r="H16" s="1165"/>
      <c r="I16" s="1250"/>
      <c r="J16" s="24" t="str">
        <f t="shared" si="0"/>
        <v>Please complete all cells in row</v>
      </c>
      <c r="K16" s="71"/>
      <c r="L16" s="72"/>
      <c r="M16" s="98">
        <f>IF(Validation!$H$3=1,0,IF(ISNUMBER(G16),0,1))</f>
        <v>1</v>
      </c>
      <c r="N16" s="72"/>
    </row>
    <row r="17" spans="1:14">
      <c r="A17" s="1250"/>
      <c r="B17" s="1063" t="s">
        <v>6332</v>
      </c>
      <c r="C17" s="1064" t="s">
        <v>4668</v>
      </c>
      <c r="D17" s="1060" t="s">
        <v>9021</v>
      </c>
      <c r="E17" s="2145" t="s">
        <v>4669</v>
      </c>
      <c r="F17" s="1061">
        <v>2</v>
      </c>
      <c r="G17" s="1268"/>
      <c r="H17" s="1165"/>
      <c r="I17" s="1250"/>
      <c r="J17" s="24" t="str">
        <f t="shared" si="0"/>
        <v>Please complete all cells in row</v>
      </c>
      <c r="K17" s="71"/>
      <c r="L17" s="72"/>
      <c r="M17" s="98">
        <f>IF(Validation!$H$3=1,0,IF(ISNUMBER(G17),0,1))</f>
        <v>1</v>
      </c>
      <c r="N17" s="72"/>
    </row>
    <row r="18" spans="1:14">
      <c r="A18" s="1250"/>
      <c r="B18" s="1063" t="s">
        <v>6333</v>
      </c>
      <c r="C18" s="1064" t="s">
        <v>4670</v>
      </c>
      <c r="D18" s="1060" t="s">
        <v>9022</v>
      </c>
      <c r="E18" s="1060" t="s">
        <v>4669</v>
      </c>
      <c r="F18" s="1061">
        <v>2</v>
      </c>
      <c r="G18" s="1268"/>
      <c r="H18" s="1165"/>
      <c r="I18" s="1250"/>
      <c r="J18" s="24" t="str">
        <f t="shared" si="0"/>
        <v>Please complete all cells in row</v>
      </c>
      <c r="K18" s="71"/>
      <c r="L18" s="72"/>
      <c r="M18" s="98">
        <f>IF(Validation!$H$3=1,0,IF(ISNUMBER(G18),0,1))</f>
        <v>1</v>
      </c>
      <c r="N18" s="72"/>
    </row>
    <row r="19" spans="1:14">
      <c r="A19" s="1250"/>
      <c r="B19" s="1063" t="s">
        <v>6334</v>
      </c>
      <c r="C19" s="1064" t="s">
        <v>4671</v>
      </c>
      <c r="D19" s="1060" t="s">
        <v>9023</v>
      </c>
      <c r="E19" s="1060" t="s">
        <v>4396</v>
      </c>
      <c r="F19" s="1061">
        <v>0</v>
      </c>
      <c r="G19" s="1267"/>
      <c r="H19" s="1165"/>
      <c r="I19" s="1250"/>
      <c r="J19" s="24" t="str">
        <f t="shared" si="0"/>
        <v>Please complete all cells in row</v>
      </c>
      <c r="K19" s="71"/>
      <c r="L19" s="72"/>
      <c r="M19" s="98">
        <f>IF(Validation!$H$3=1,0,IF(ISNUMBER(G19),0,1))</f>
        <v>1</v>
      </c>
      <c r="N19" s="72"/>
    </row>
    <row r="20" spans="1:14">
      <c r="A20" s="1250"/>
      <c r="B20" s="1063" t="s">
        <v>6335</v>
      </c>
      <c r="C20" s="1064" t="s">
        <v>4672</v>
      </c>
      <c r="D20" s="1060" t="s">
        <v>9024</v>
      </c>
      <c r="E20" s="1060" t="s">
        <v>4396</v>
      </c>
      <c r="F20" s="1061">
        <v>0</v>
      </c>
      <c r="G20" s="1267"/>
      <c r="H20" s="1165"/>
      <c r="I20" s="1250"/>
      <c r="J20" s="24" t="str">
        <f t="shared" si="0"/>
        <v>Please complete all cells in row</v>
      </c>
      <c r="K20" s="71"/>
      <c r="L20" s="72"/>
      <c r="M20" s="98">
        <f>IF(Validation!$H$3=1,0,IF(ISNUMBER(G20),0,1))</f>
        <v>1</v>
      </c>
      <c r="N20" s="72"/>
    </row>
    <row r="21" spans="1:14">
      <c r="A21" s="1250"/>
      <c r="B21" s="1063" t="s">
        <v>6336</v>
      </c>
      <c r="C21" s="1064" t="s">
        <v>4673</v>
      </c>
      <c r="D21" s="1060" t="s">
        <v>9025</v>
      </c>
      <c r="E21" s="1060" t="s">
        <v>4396</v>
      </c>
      <c r="F21" s="1061">
        <v>0</v>
      </c>
      <c r="G21" s="1267"/>
      <c r="H21" s="1165"/>
      <c r="I21" s="1250"/>
      <c r="J21" s="24" t="str">
        <f t="shared" si="0"/>
        <v>Please complete all cells in row</v>
      </c>
      <c r="K21" s="71"/>
      <c r="L21" s="72"/>
      <c r="M21" s="98">
        <f>IF(Validation!$H$3=1,0,IF(ISNUMBER(G21),0,1))</f>
        <v>1</v>
      </c>
      <c r="N21" s="72"/>
    </row>
    <row r="22" spans="1:14">
      <c r="A22" s="1265"/>
      <c r="B22" s="1063" t="s">
        <v>6337</v>
      </c>
      <c r="C22" s="1064" t="s">
        <v>4674</v>
      </c>
      <c r="D22" s="1060" t="s">
        <v>9026</v>
      </c>
      <c r="E22" s="1060" t="s">
        <v>4396</v>
      </c>
      <c r="F22" s="1061">
        <v>0</v>
      </c>
      <c r="G22" s="1267"/>
      <c r="H22" s="1165"/>
      <c r="I22" s="1265"/>
      <c r="J22" s="24" t="str">
        <f t="shared" si="0"/>
        <v>Please complete all cells in row</v>
      </c>
      <c r="K22" s="71"/>
      <c r="L22" s="72"/>
      <c r="M22" s="98">
        <f>IF(Validation!$H$3=1,0,IF(ISNUMBER(G22),0,1))</f>
        <v>1</v>
      </c>
      <c r="N22" s="72"/>
    </row>
    <row r="23" spans="1:14">
      <c r="A23" s="1265"/>
      <c r="B23" s="1063" t="s">
        <v>6338</v>
      </c>
      <c r="C23" s="1064" t="s">
        <v>4675</v>
      </c>
      <c r="D23" s="1060" t="s">
        <v>9027</v>
      </c>
      <c r="E23" s="1060" t="s">
        <v>4396</v>
      </c>
      <c r="F23" s="1061">
        <v>0</v>
      </c>
      <c r="G23" s="1267"/>
      <c r="H23" s="1165"/>
      <c r="I23" s="1265"/>
      <c r="J23" s="24" t="str">
        <f t="shared" si="0"/>
        <v>Please complete all cells in row</v>
      </c>
      <c r="K23" s="71"/>
      <c r="L23" s="72"/>
      <c r="M23" s="98">
        <f>IF(Validation!$H$3=1,0,IF(ISNUMBER(G23),0,1))</f>
        <v>1</v>
      </c>
      <c r="N23" s="72"/>
    </row>
    <row r="24" spans="1:14">
      <c r="A24" s="1265"/>
      <c r="B24" s="1063" t="s">
        <v>6339</v>
      </c>
      <c r="C24" s="1064" t="s">
        <v>4676</v>
      </c>
      <c r="D24" s="1060" t="s">
        <v>9028</v>
      </c>
      <c r="E24" s="1060" t="s">
        <v>4396</v>
      </c>
      <c r="F24" s="1061">
        <v>0</v>
      </c>
      <c r="G24" s="1267"/>
      <c r="H24" s="1165"/>
      <c r="I24" s="1265"/>
      <c r="J24" s="24" t="str">
        <f t="shared" si="0"/>
        <v>Please complete all cells in row</v>
      </c>
      <c r="K24" s="71"/>
      <c r="L24" s="72"/>
      <c r="M24" s="98">
        <f>IF(Validation!$H$3=1,0,IF(ISNUMBER(G24),0,1))</f>
        <v>1</v>
      </c>
      <c r="N24" s="72"/>
    </row>
    <row r="25" spans="1:14">
      <c r="A25" s="1265"/>
      <c r="B25" s="1063" t="s">
        <v>6340</v>
      </c>
      <c r="C25" s="1064" t="s">
        <v>4677</v>
      </c>
      <c r="D25" s="1060" t="s">
        <v>9029</v>
      </c>
      <c r="E25" s="2145" t="s">
        <v>12210</v>
      </c>
      <c r="F25" s="1061">
        <v>0</v>
      </c>
      <c r="G25" s="1267"/>
      <c r="H25" s="1165"/>
      <c r="I25" s="1265"/>
      <c r="J25" s="24" t="str">
        <f t="shared" si="0"/>
        <v>Please complete all cells in row</v>
      </c>
      <c r="K25" s="71"/>
      <c r="L25" s="72"/>
      <c r="M25" s="98">
        <f>IF(Validation!$H$3=1,0,IF(ISNUMBER(G25),0,1))</f>
        <v>1</v>
      </c>
      <c r="N25" s="72"/>
    </row>
    <row r="26" spans="1:14">
      <c r="A26" s="1265"/>
      <c r="B26" s="1063" t="s">
        <v>6341</v>
      </c>
      <c r="C26" s="1064" t="s">
        <v>4678</v>
      </c>
      <c r="D26" s="1060" t="s">
        <v>9030</v>
      </c>
      <c r="E26" s="2145" t="s">
        <v>12210</v>
      </c>
      <c r="F26" s="1061">
        <v>0</v>
      </c>
      <c r="G26" s="2139">
        <f>SUM(G21:G25)</f>
        <v>0</v>
      </c>
      <c r="H26" s="1165"/>
      <c r="I26" s="1265"/>
      <c r="J26" s="24">
        <f t="shared" si="0"/>
        <v>0</v>
      </c>
      <c r="K26" s="71"/>
      <c r="L26" s="72"/>
      <c r="M26" s="98">
        <f>IF(Validation!$H$3=1,0,IF(ISNUMBER(G26),0,1))</f>
        <v>0</v>
      </c>
      <c r="N26" s="72"/>
    </row>
    <row r="27" spans="1:14" ht="15" thickBot="1">
      <c r="A27" s="1265"/>
      <c r="B27" s="1068" t="s">
        <v>6342</v>
      </c>
      <c r="C27" s="1170" t="s">
        <v>4679</v>
      </c>
      <c r="D27" s="1070" t="s">
        <v>9031</v>
      </c>
      <c r="E27" s="1070" t="s">
        <v>4396</v>
      </c>
      <c r="F27" s="1071">
        <v>0</v>
      </c>
      <c r="G27" s="1269"/>
      <c r="H27" s="1173"/>
      <c r="I27" s="1250"/>
      <c r="J27" s="24" t="str">
        <f t="shared" si="0"/>
        <v>Please complete all cells in row</v>
      </c>
      <c r="K27" s="71"/>
      <c r="L27" s="72"/>
      <c r="M27" s="98">
        <f>IF(Validation!$H$3=1,0,IF(ISNUMBER(G27),0,1))</f>
        <v>1</v>
      </c>
      <c r="N27" s="72"/>
    </row>
    <row r="28" spans="1:14" ht="15" thickBot="1">
      <c r="A28" s="1265"/>
      <c r="B28" s="1270"/>
      <c r="C28" s="1271"/>
      <c r="D28" s="1271"/>
      <c r="E28" s="1272"/>
      <c r="F28" s="1273"/>
    </row>
    <row r="29" spans="1:14" ht="15" thickBot="1">
      <c r="A29" s="1265"/>
      <c r="B29" s="1051" t="s">
        <v>2458</v>
      </c>
      <c r="C29" s="1114" t="s">
        <v>1195</v>
      </c>
      <c r="D29" s="1271"/>
      <c r="E29" s="1272"/>
      <c r="F29" s="1273"/>
    </row>
    <row r="30" spans="1:14">
      <c r="A30" s="1265"/>
      <c r="B30" s="91" t="s">
        <v>6343</v>
      </c>
      <c r="C30" s="122" t="s">
        <v>4680</v>
      </c>
      <c r="D30" s="93" t="s">
        <v>9032</v>
      </c>
      <c r="E30" s="93" t="s">
        <v>4681</v>
      </c>
      <c r="F30" s="94">
        <v>1</v>
      </c>
      <c r="G30" s="1274"/>
      <c r="H30" s="1178"/>
      <c r="J30" s="24" t="str">
        <f t="shared" ref="J30:J31" si="1" xml:space="preserve"> IF( SUM( L30:N30 ) = 0, 0, $M$4 )</f>
        <v>Please complete all cells in row</v>
      </c>
      <c r="K30" s="71"/>
      <c r="L30" s="72"/>
      <c r="M30" s="98">
        <f>IF(Validation!$H$3=1,0,IF(ISNUMBER(G30),0,1))</f>
        <v>1</v>
      </c>
      <c r="N30" s="72"/>
    </row>
    <row r="31" spans="1:14">
      <c r="A31" s="1265"/>
      <c r="B31" s="1119" t="s">
        <v>6344</v>
      </c>
      <c r="C31" s="1064" t="s">
        <v>4682</v>
      </c>
      <c r="D31" s="1060" t="s">
        <v>9033</v>
      </c>
      <c r="E31" s="1060" t="s">
        <v>4681</v>
      </c>
      <c r="F31" s="1061">
        <v>1</v>
      </c>
      <c r="G31" s="1275"/>
      <c r="H31" s="1179"/>
      <c r="J31" s="24" t="str">
        <f t="shared" si="1"/>
        <v>Please complete all cells in row</v>
      </c>
      <c r="K31" s="71"/>
      <c r="L31" s="72"/>
      <c r="M31" s="98">
        <f>IF(Validation!$H$3=1,0,IF(ISNUMBER(G31),0,1))</f>
        <v>1</v>
      </c>
      <c r="N31" s="72"/>
    </row>
    <row r="32" spans="1:14">
      <c r="A32" s="1265"/>
      <c r="B32" s="1063" t="s">
        <v>6345</v>
      </c>
      <c r="C32" s="1064" t="s">
        <v>4683</v>
      </c>
      <c r="D32" s="2145" t="s">
        <v>4684</v>
      </c>
      <c r="E32" s="2145" t="s">
        <v>4681</v>
      </c>
      <c r="F32" s="1061">
        <v>1</v>
      </c>
      <c r="G32" s="2198">
        <f>+G30+G31</f>
        <v>0</v>
      </c>
      <c r="H32" s="1179"/>
    </row>
    <row r="33" spans="1:14" s="2146" customFormat="1" ht="15" thickBot="1">
      <c r="A33" s="1265"/>
      <c r="B33" s="2196" t="s">
        <v>6346</v>
      </c>
      <c r="C33" s="2632" t="s">
        <v>12682</v>
      </c>
      <c r="D33" s="2633" t="s">
        <v>13109</v>
      </c>
      <c r="E33" s="2633" t="s">
        <v>4681</v>
      </c>
      <c r="F33" s="3165">
        <v>1</v>
      </c>
      <c r="G33" s="3164"/>
      <c r="H33" s="2197"/>
      <c r="J33" s="24" t="str">
        <f t="shared" ref="J33" si="2" xml:space="preserve"> IF( SUM( L33:N33 ) = 0, 0, $M$4 )</f>
        <v>Please complete all cells in row</v>
      </c>
      <c r="K33" s="71"/>
      <c r="L33" s="72"/>
      <c r="M33" s="98">
        <f>IF(Validation!$H$3=1,0,IF(ISNUMBER(G33),0,1))</f>
        <v>1</v>
      </c>
      <c r="N33" s="1764"/>
    </row>
    <row r="34" spans="1:14" ht="15" thickBot="1">
      <c r="A34" s="1265"/>
      <c r="B34" s="1277"/>
      <c r="C34" s="1278"/>
      <c r="D34" s="1278"/>
      <c r="E34" s="1277"/>
      <c r="F34" s="1279"/>
      <c r="G34" s="1280"/>
      <c r="H34" s="1281"/>
    </row>
    <row r="35" spans="1:14" ht="15" thickBot="1">
      <c r="A35" s="1265"/>
      <c r="B35" s="1073" t="s">
        <v>6347</v>
      </c>
      <c r="C35" s="1074" t="s">
        <v>4685</v>
      </c>
      <c r="D35" s="1282" t="s">
        <v>9034</v>
      </c>
      <c r="E35" s="1282" t="s">
        <v>76</v>
      </c>
      <c r="F35" s="1283">
        <v>2</v>
      </c>
      <c r="G35" s="1763"/>
      <c r="H35" s="1878"/>
      <c r="J35" s="24" t="str">
        <f xml:space="preserve"> IF( SUM( L35:N35 ) = 0, 0, $M$4 )</f>
        <v>Please complete all cells in row</v>
      </c>
      <c r="K35" s="71"/>
      <c r="L35" s="72"/>
      <c r="M35" s="98">
        <f>IF(Validation!$H$3=1,0,IF(ISNUMBER(G35),0,1))</f>
        <v>1</v>
      </c>
      <c r="N35" s="72"/>
    </row>
    <row r="36" spans="1:14" ht="15" thickBot="1">
      <c r="A36" s="1265"/>
      <c r="B36" s="1284"/>
      <c r="C36" s="1279"/>
      <c r="D36" s="1279"/>
      <c r="E36" s="1284"/>
      <c r="F36" s="1279"/>
      <c r="G36" s="1285"/>
      <c r="H36" s="1286"/>
    </row>
    <row r="37" spans="1:14">
      <c r="A37" s="1265"/>
      <c r="B37" s="91" t="s">
        <v>6348</v>
      </c>
      <c r="C37" s="122" t="s">
        <v>4686</v>
      </c>
      <c r="D37" s="93" t="s">
        <v>9035</v>
      </c>
      <c r="E37" s="93" t="s">
        <v>4681</v>
      </c>
      <c r="F37" s="94">
        <v>1</v>
      </c>
      <c r="G37" s="1274"/>
      <c r="H37" s="1178"/>
      <c r="J37" s="24" t="str">
        <f t="shared" ref="J37:J38" si="3" xml:space="preserve"> IF( SUM( L37:N37 ) = 0, 0, $M$4 )</f>
        <v>Please complete all cells in row</v>
      </c>
      <c r="K37" s="71"/>
      <c r="L37" s="72"/>
      <c r="M37" s="98">
        <f>IF(Validation!$H$3=1,0,IF(ISNUMBER(G37),0,1))</f>
        <v>1</v>
      </c>
      <c r="N37" s="72"/>
    </row>
    <row r="38" spans="1:14">
      <c r="A38" s="1265"/>
      <c r="B38" s="1119" t="s">
        <v>6349</v>
      </c>
      <c r="C38" s="1064" t="s">
        <v>4687</v>
      </c>
      <c r="D38" s="1060" t="s">
        <v>9036</v>
      </c>
      <c r="E38" s="1060" t="s">
        <v>4681</v>
      </c>
      <c r="F38" s="1061">
        <v>1</v>
      </c>
      <c r="G38" s="1275"/>
      <c r="H38" s="1179"/>
      <c r="J38" s="24" t="str">
        <f t="shared" si="3"/>
        <v>Please complete all cells in row</v>
      </c>
      <c r="K38" s="71"/>
      <c r="L38" s="72"/>
      <c r="M38" s="98">
        <f>IF(Validation!$H$3=1,0,IF(ISNUMBER(G38),0,1))</f>
        <v>1</v>
      </c>
      <c r="N38" s="72"/>
    </row>
    <row r="39" spans="1:14" ht="15" thickBot="1">
      <c r="A39" s="1265"/>
      <c r="B39" s="1068" t="s">
        <v>6350</v>
      </c>
      <c r="C39" s="1170" t="s">
        <v>4688</v>
      </c>
      <c r="D39" s="1070" t="s">
        <v>4689</v>
      </c>
      <c r="E39" s="1070" t="s">
        <v>4681</v>
      </c>
      <c r="F39" s="1071">
        <v>1</v>
      </c>
      <c r="G39" s="2140">
        <f>+G37+G38</f>
        <v>0</v>
      </c>
      <c r="H39" s="1173"/>
    </row>
    <row r="40" spans="1:14" ht="15" thickBot="1">
      <c r="A40" s="1265"/>
      <c r="B40" s="1287"/>
      <c r="C40" s="1279"/>
      <c r="D40" s="1279"/>
      <c r="E40" s="1279"/>
      <c r="F40" s="1279"/>
      <c r="G40" s="1288"/>
      <c r="H40" s="1289"/>
    </row>
    <row r="41" spans="1:14">
      <c r="A41" s="1265"/>
      <c r="B41" s="91" t="s">
        <v>6351</v>
      </c>
      <c r="C41" s="122" t="s">
        <v>4690</v>
      </c>
      <c r="D41" s="93" t="s">
        <v>9037</v>
      </c>
      <c r="E41" s="93" t="s">
        <v>4691</v>
      </c>
      <c r="F41" s="94">
        <v>0</v>
      </c>
      <c r="G41" s="1290"/>
      <c r="H41" s="1879"/>
      <c r="J41" s="24" t="str">
        <f t="shared" ref="J41:J43" si="4" xml:space="preserve"> IF( SUM( L41:N41 ) = 0, 0, $M$4 )</f>
        <v>Please complete all cells in row</v>
      </c>
      <c r="K41" s="71"/>
      <c r="L41" s="72"/>
      <c r="M41" s="98">
        <f>IF(Validation!$H$3=1,0,IF(ISNUMBER(G41),0,1))</f>
        <v>1</v>
      </c>
      <c r="N41" s="72"/>
    </row>
    <row r="42" spans="1:14">
      <c r="A42" s="1265"/>
      <c r="B42" s="1119" t="s">
        <v>6352</v>
      </c>
      <c r="C42" s="1064" t="s">
        <v>4692</v>
      </c>
      <c r="D42" s="1060" t="s">
        <v>9038</v>
      </c>
      <c r="E42" s="1060" t="s">
        <v>4691</v>
      </c>
      <c r="F42" s="1061">
        <v>0</v>
      </c>
      <c r="G42" s="1291"/>
      <c r="H42" s="1880"/>
      <c r="J42" s="24" t="str">
        <f t="shared" si="4"/>
        <v>Please complete all cells in row</v>
      </c>
      <c r="K42" s="71"/>
      <c r="L42" s="72"/>
      <c r="M42" s="98">
        <f>IF(Validation!$H$3=1,0,IF(ISNUMBER(G42),0,1))</f>
        <v>1</v>
      </c>
      <c r="N42" s="72"/>
    </row>
    <row r="43" spans="1:14">
      <c r="A43" s="1265"/>
      <c r="B43" s="1119" t="s">
        <v>6353</v>
      </c>
      <c r="C43" s="1064" t="s">
        <v>4693</v>
      </c>
      <c r="D43" s="1060" t="s">
        <v>9039</v>
      </c>
      <c r="E43" s="1060" t="s">
        <v>4691</v>
      </c>
      <c r="F43" s="1061">
        <v>0</v>
      </c>
      <c r="G43" s="1292"/>
      <c r="H43" s="1880"/>
      <c r="J43" s="24" t="str">
        <f t="shared" si="4"/>
        <v>Please complete all cells in row</v>
      </c>
      <c r="K43" s="71"/>
      <c r="L43" s="72"/>
      <c r="M43" s="98">
        <f>IF(Validation!$H$3=1,0,IF(ISNUMBER(G43),0,1))</f>
        <v>1</v>
      </c>
      <c r="N43" s="72"/>
    </row>
    <row r="44" spans="1:14" ht="15" thickBot="1">
      <c r="A44" s="1265"/>
      <c r="B44" s="1068" t="s">
        <v>6354</v>
      </c>
      <c r="C44" s="1170" t="s">
        <v>4694</v>
      </c>
      <c r="D44" s="1070" t="s">
        <v>9040</v>
      </c>
      <c r="E44" s="1070" t="s">
        <v>4691</v>
      </c>
      <c r="F44" s="1071">
        <v>0</v>
      </c>
      <c r="G44" s="2142">
        <f>+G41+G42+G43</f>
        <v>0</v>
      </c>
      <c r="H44" s="1881"/>
    </row>
    <row r="45" spans="1:14" ht="15" thickBot="1">
      <c r="A45" s="1265"/>
      <c r="B45" s="1078"/>
      <c r="C45" s="1079"/>
      <c r="D45" s="1081"/>
      <c r="E45" s="1081"/>
      <c r="F45" s="1081"/>
      <c r="G45" s="1293"/>
      <c r="H45" s="1294"/>
    </row>
    <row r="46" spans="1:14" ht="15" thickBot="1">
      <c r="A46" s="1265"/>
      <c r="B46" s="1073" t="s">
        <v>6355</v>
      </c>
      <c r="C46" s="1074" t="s">
        <v>4695</v>
      </c>
      <c r="D46" s="1282" t="s">
        <v>9041</v>
      </c>
      <c r="E46" s="1282" t="s">
        <v>12439</v>
      </c>
      <c r="F46" s="1283">
        <v>0</v>
      </c>
      <c r="G46" s="1295"/>
      <c r="H46" s="1878"/>
      <c r="J46" s="24" t="str">
        <f xml:space="preserve"> IF( SUM( L46:N46 ) = 0, 0, $M$4 )</f>
        <v>Please complete all cells in row</v>
      </c>
      <c r="K46" s="71"/>
      <c r="L46" s="72"/>
      <c r="M46" s="98">
        <f>IF(Validation!$H$3=1,0,IF(ISNUMBER(G46),0,1))</f>
        <v>1</v>
      </c>
      <c r="N46" s="72"/>
    </row>
    <row r="47" spans="1:14" ht="15" thickBot="1">
      <c r="A47" s="1265"/>
      <c r="B47" s="1296"/>
      <c r="C47" s="1297"/>
      <c r="D47" s="1297"/>
      <c r="E47" s="1296"/>
      <c r="F47" s="1297"/>
      <c r="G47" s="1298"/>
      <c r="H47" s="1299"/>
    </row>
    <row r="48" spans="1:14">
      <c r="A48" s="1265"/>
      <c r="B48" s="1300" t="s">
        <v>6356</v>
      </c>
      <c r="C48" s="839" t="s">
        <v>4696</v>
      </c>
      <c r="D48" s="1301" t="s">
        <v>9042</v>
      </c>
      <c r="E48" s="1301" t="s">
        <v>4691</v>
      </c>
      <c r="F48" s="1302">
        <v>0</v>
      </c>
      <c r="G48" s="1303"/>
      <c r="H48" s="1882"/>
      <c r="J48" s="24" t="str">
        <f t="shared" ref="J48:J50" si="5" xml:space="preserve"> IF( SUM( L48:N48 ) = 0, 0, $M$4 )</f>
        <v>Please complete all cells in row</v>
      </c>
      <c r="K48" s="71"/>
      <c r="L48" s="72"/>
      <c r="M48" s="98">
        <f>IF(Validation!$H$3=1,0,IF(ISNUMBER(G48),0,1))</f>
        <v>1</v>
      </c>
      <c r="N48" s="72"/>
    </row>
    <row r="49" spans="1:14">
      <c r="A49" s="1265"/>
      <c r="B49" s="99" t="s">
        <v>6357</v>
      </c>
      <c r="C49" s="92" t="s">
        <v>4697</v>
      </c>
      <c r="D49" s="100" t="s">
        <v>9043</v>
      </c>
      <c r="E49" s="100" t="s">
        <v>4691</v>
      </c>
      <c r="F49" s="101">
        <v>0</v>
      </c>
      <c r="G49" s="1304"/>
      <c r="H49" s="1179"/>
      <c r="J49" s="24" t="str">
        <f t="shared" si="5"/>
        <v>Please complete all cells in row</v>
      </c>
      <c r="K49" s="71"/>
      <c r="L49" s="72"/>
      <c r="M49" s="98">
        <f>IF(Validation!$H$3=1,0,IF(ISNUMBER(G49),0,1))</f>
        <v>1</v>
      </c>
      <c r="N49" s="72"/>
    </row>
    <row r="50" spans="1:14">
      <c r="A50" s="1265"/>
      <c r="B50" s="1305" t="s">
        <v>6358</v>
      </c>
      <c r="C50" s="178" t="s">
        <v>4698</v>
      </c>
      <c r="D50" s="174" t="s">
        <v>9044</v>
      </c>
      <c r="E50" s="1060" t="s">
        <v>4691</v>
      </c>
      <c r="F50" s="175">
        <v>0</v>
      </c>
      <c r="G50" s="2141"/>
      <c r="H50" s="1883"/>
      <c r="J50" s="24" t="str">
        <f t="shared" si="5"/>
        <v>Please complete all cells in row</v>
      </c>
      <c r="K50" s="71"/>
      <c r="L50" s="72"/>
      <c r="M50" s="98">
        <f>IF(Validation!$H$3=1,0,IF(ISNUMBER(G50),0,1))</f>
        <v>1</v>
      </c>
      <c r="N50" s="72"/>
    </row>
    <row r="51" spans="1:14" ht="15" thickBot="1">
      <c r="A51" s="1265"/>
      <c r="B51" s="1068" t="s">
        <v>6359</v>
      </c>
      <c r="C51" s="1170" t="s">
        <v>4699</v>
      </c>
      <c r="D51" s="1070" t="s">
        <v>9045</v>
      </c>
      <c r="E51" s="1070" t="s">
        <v>4691</v>
      </c>
      <c r="F51" s="1071">
        <v>0</v>
      </c>
      <c r="G51" s="2142">
        <f>+G48+G49+G50</f>
        <v>0</v>
      </c>
      <c r="H51" s="1881"/>
    </row>
    <row r="52" spans="1:14" ht="15" thickBot="1">
      <c r="A52" s="1265"/>
      <c r="B52" s="1078"/>
      <c r="C52" s="1079"/>
      <c r="D52" s="1081"/>
      <c r="E52" s="1081"/>
      <c r="F52" s="1081"/>
      <c r="G52" s="1293"/>
      <c r="H52" s="1294"/>
    </row>
    <row r="53" spans="1:14" ht="15" thickBot="1">
      <c r="A53" s="1265"/>
      <c r="B53" s="1073" t="s">
        <v>6360</v>
      </c>
      <c r="C53" s="1074" t="s">
        <v>4700</v>
      </c>
      <c r="D53" s="1282" t="s">
        <v>9046</v>
      </c>
      <c r="E53" s="1282" t="s">
        <v>12439</v>
      </c>
      <c r="F53" s="1283">
        <v>0</v>
      </c>
      <c r="G53" s="1295"/>
      <c r="H53" s="1878"/>
      <c r="J53" s="24" t="str">
        <f xml:space="preserve"> IF( SUM( L53:N53 ) = 0, 0, $M$4 )</f>
        <v>Please complete all cells in row</v>
      </c>
      <c r="K53" s="71"/>
      <c r="L53" s="72"/>
      <c r="M53" s="98">
        <f>IF(Validation!$H$3=1,0,IF(ISNUMBER(G53),0,1))</f>
        <v>1</v>
      </c>
      <c r="N53" s="72"/>
    </row>
    <row r="54" spans="1:14" ht="15" thickBot="1">
      <c r="A54" s="1265"/>
      <c r="B54" s="1279"/>
      <c r="C54" s="1279"/>
      <c r="D54" s="1279"/>
      <c r="E54" s="1279"/>
      <c r="F54" s="1279"/>
      <c r="G54" s="1306"/>
      <c r="H54" s="1306"/>
    </row>
    <row r="55" spans="1:14" ht="15" thickBot="1">
      <c r="A55" s="1265"/>
      <c r="B55" s="1073" t="s">
        <v>12683</v>
      </c>
      <c r="C55" s="1074" t="s">
        <v>4701</v>
      </c>
      <c r="D55" s="1282" t="s">
        <v>9047</v>
      </c>
      <c r="E55" s="1282" t="s">
        <v>76</v>
      </c>
      <c r="F55" s="1283">
        <v>2</v>
      </c>
      <c r="G55" s="1762"/>
      <c r="H55" s="1878"/>
      <c r="J55" s="24" t="str">
        <f xml:space="preserve"> IF( SUM( L55:N55 ) = 0, 0, $M$4 )</f>
        <v>Please complete all cells in row</v>
      </c>
      <c r="K55" s="71"/>
      <c r="L55" s="72"/>
      <c r="M55" s="98">
        <f>IF(Validation!$H$3=1,0,IF(ISNUMBER(G55),0,1))</f>
        <v>1</v>
      </c>
      <c r="N55" s="72"/>
    </row>
    <row r="56" spans="1:14">
      <c r="A56" s="1265"/>
      <c r="B56" s="1078"/>
      <c r="C56" s="1079"/>
      <c r="D56" s="1081"/>
      <c r="E56" s="1081"/>
      <c r="F56" s="1081"/>
      <c r="G56" s="1081"/>
      <c r="H56" s="1081"/>
    </row>
    <row r="57" spans="1:14">
      <c r="A57" s="1265"/>
      <c r="B57" s="3742" t="s">
        <v>2420</v>
      </c>
      <c r="C57" s="3742"/>
      <c r="D57" s="1079"/>
      <c r="E57" s="1080"/>
      <c r="F57" s="1081"/>
    </row>
    <row r="58" spans="1:14">
      <c r="A58" s="1265"/>
      <c r="B58" s="1078"/>
      <c r="C58" s="1085"/>
      <c r="D58" s="1079"/>
      <c r="E58" s="1080"/>
      <c r="F58" s="1081"/>
    </row>
    <row r="59" spans="1:14">
      <c r="A59" s="1265"/>
      <c r="B59" s="1307"/>
      <c r="C59" s="1181" t="s">
        <v>2421</v>
      </c>
      <c r="D59" s="1009"/>
      <c r="E59" s="1276"/>
      <c r="F59" s="1276"/>
    </row>
    <row r="60" spans="1:14">
      <c r="A60" s="1265"/>
      <c r="B60" s="1308"/>
      <c r="C60" s="1181"/>
      <c r="D60" s="1009"/>
      <c r="E60" s="1276"/>
      <c r="F60" s="1276"/>
    </row>
    <row r="61" spans="1:14">
      <c r="B61" s="1010"/>
      <c r="C61" s="1309" t="s">
        <v>4082</v>
      </c>
      <c r="D61" s="1047"/>
      <c r="E61" s="1047"/>
      <c r="F61" s="1047"/>
    </row>
    <row r="62" spans="1:14"/>
    <row r="63" spans="1:14" ht="15" thickBot="1"/>
    <row r="64" spans="1:14" ht="15" thickBot="1">
      <c r="B64" s="2183" t="s">
        <v>12572</v>
      </c>
      <c r="C64" s="2186"/>
      <c r="D64" s="2186"/>
      <c r="E64" s="2186"/>
      <c r="F64" s="2186"/>
      <c r="G64" s="2186"/>
      <c r="H64" s="2186"/>
      <c r="I64" s="2186"/>
      <c r="J64" s="2187"/>
    </row>
    <row r="65" spans="1:10"/>
    <row r="66" spans="1:10" ht="15" hidden="1" thickBot="1">
      <c r="A66" s="1696"/>
      <c r="B66" s="3571" t="str">
        <f ca="1" xml:space="preserve"> RIGHT(CELL("filename", $A$1), LEN(CELL("filename", $A$1)) - SEARCH("]", CELL("filename", $A$1)))&amp;" - Line definitions"</f>
        <v>4R - Line definitions</v>
      </c>
      <c r="C66" s="3600"/>
      <c r="D66" s="3600"/>
      <c r="E66" s="3600"/>
      <c r="F66" s="3600"/>
      <c r="G66" s="3600"/>
      <c r="H66" s="3600"/>
      <c r="I66" s="3600"/>
      <c r="J66" s="3601"/>
    </row>
    <row r="67" spans="1:10" ht="15" hidden="1" thickBot="1">
      <c r="A67" s="1696"/>
      <c r="B67" s="1250"/>
      <c r="C67" s="1250"/>
      <c r="D67" s="1250"/>
      <c r="E67" s="1250"/>
      <c r="F67" s="1250"/>
      <c r="G67" s="1250"/>
      <c r="H67" s="1250"/>
      <c r="I67" s="1250"/>
      <c r="J67" s="1250"/>
    </row>
    <row r="68" spans="1:10" ht="15" hidden="1" thickBot="1">
      <c r="A68" s="1696"/>
      <c r="B68" s="1126" t="s">
        <v>2423</v>
      </c>
      <c r="C68" s="3743" t="s">
        <v>4179</v>
      </c>
      <c r="D68" s="3744"/>
      <c r="E68" s="3744"/>
      <c r="F68" s="3744"/>
      <c r="G68" s="3744"/>
      <c r="H68" s="3744"/>
      <c r="I68" s="3744"/>
      <c r="J68" s="3745"/>
    </row>
    <row r="69" spans="1:10" ht="14.25" hidden="1" customHeight="1">
      <c r="A69" s="1696"/>
      <c r="B69" s="1183">
        <v>1</v>
      </c>
      <c r="C69" s="3746" t="s">
        <v>4702</v>
      </c>
      <c r="D69" s="3747"/>
      <c r="E69" s="3747"/>
      <c r="F69" s="3747"/>
      <c r="G69" s="3747"/>
      <c r="H69" s="3747"/>
      <c r="I69" s="3747"/>
      <c r="J69" s="3748"/>
    </row>
    <row r="70" spans="1:10" hidden="1">
      <c r="A70" s="1696"/>
      <c r="B70" s="1310">
        <f>+B69+1</f>
        <v>2</v>
      </c>
      <c r="C70" s="3464" t="s">
        <v>4703</v>
      </c>
      <c r="D70" s="3465"/>
      <c r="E70" s="3465"/>
      <c r="F70" s="3465"/>
      <c r="G70" s="3465"/>
      <c r="H70" s="3465"/>
      <c r="I70" s="3465"/>
      <c r="J70" s="3466"/>
    </row>
    <row r="71" spans="1:10" ht="26.65" hidden="1" customHeight="1">
      <c r="A71" s="1696"/>
      <c r="B71" s="1310">
        <f t="shared" ref="B71:B90" si="6">+B70+1</f>
        <v>3</v>
      </c>
      <c r="C71" s="3464" t="s">
        <v>4704</v>
      </c>
      <c r="D71" s="3465"/>
      <c r="E71" s="3465"/>
      <c r="F71" s="3465"/>
      <c r="G71" s="3465"/>
      <c r="H71" s="3465"/>
      <c r="I71" s="3465"/>
      <c r="J71" s="3466"/>
    </row>
    <row r="72" spans="1:10" ht="26.25" hidden="1" customHeight="1">
      <c r="A72" s="1696"/>
      <c r="B72" s="1310">
        <f t="shared" si="6"/>
        <v>4</v>
      </c>
      <c r="C72" s="3464" t="s">
        <v>4705</v>
      </c>
      <c r="D72" s="3465"/>
      <c r="E72" s="3465"/>
      <c r="F72" s="3465"/>
      <c r="G72" s="3465"/>
      <c r="H72" s="3465"/>
      <c r="I72" s="3465"/>
      <c r="J72" s="3466"/>
    </row>
    <row r="73" spans="1:10" ht="28.15" hidden="1" customHeight="1">
      <c r="A73" s="1696"/>
      <c r="B73" s="1310">
        <f t="shared" si="6"/>
        <v>5</v>
      </c>
      <c r="C73" s="3464" t="s">
        <v>4706</v>
      </c>
      <c r="D73" s="3465"/>
      <c r="E73" s="3465"/>
      <c r="F73" s="3465"/>
      <c r="G73" s="3465"/>
      <c r="H73" s="3465"/>
      <c r="I73" s="3465"/>
      <c r="J73" s="3466"/>
    </row>
    <row r="74" spans="1:10" ht="24" hidden="1" customHeight="1">
      <c r="A74" s="1696"/>
      <c r="B74" s="1310">
        <f t="shared" si="6"/>
        <v>6</v>
      </c>
      <c r="C74" s="3464" t="s">
        <v>4707</v>
      </c>
      <c r="D74" s="3465"/>
      <c r="E74" s="3465"/>
      <c r="F74" s="3465"/>
      <c r="G74" s="3465"/>
      <c r="H74" s="3465"/>
      <c r="I74" s="3465"/>
      <c r="J74" s="3466"/>
    </row>
    <row r="75" spans="1:10" ht="27.75" hidden="1" customHeight="1">
      <c r="A75" s="1696"/>
      <c r="B75" s="1310">
        <f t="shared" si="6"/>
        <v>7</v>
      </c>
      <c r="C75" s="3464" t="s">
        <v>4708</v>
      </c>
      <c r="D75" s="3465"/>
      <c r="E75" s="3465"/>
      <c r="F75" s="3465"/>
      <c r="G75" s="3465"/>
      <c r="H75" s="3465"/>
      <c r="I75" s="3465"/>
      <c r="J75" s="3466"/>
    </row>
    <row r="76" spans="1:10" ht="14.25" hidden="1" customHeight="1">
      <c r="A76" s="1696"/>
      <c r="B76" s="1310">
        <f t="shared" si="6"/>
        <v>8</v>
      </c>
      <c r="C76" s="3464" t="s">
        <v>4709</v>
      </c>
      <c r="D76" s="3465"/>
      <c r="E76" s="3465"/>
      <c r="F76" s="3465"/>
      <c r="G76" s="3465"/>
      <c r="H76" s="3465"/>
      <c r="I76" s="3465"/>
      <c r="J76" s="3466"/>
    </row>
    <row r="77" spans="1:10" ht="39" hidden="1" customHeight="1">
      <c r="A77" s="1696"/>
      <c r="B77" s="1310">
        <f t="shared" si="6"/>
        <v>9</v>
      </c>
      <c r="C77" s="3464" t="s">
        <v>4710</v>
      </c>
      <c r="D77" s="3465"/>
      <c r="E77" s="3465"/>
      <c r="F77" s="3465"/>
      <c r="G77" s="3465"/>
      <c r="H77" s="3465"/>
      <c r="I77" s="3465"/>
      <c r="J77" s="3466"/>
    </row>
    <row r="78" spans="1:10" hidden="1">
      <c r="A78" s="1696"/>
      <c r="B78" s="1310">
        <f t="shared" si="6"/>
        <v>10</v>
      </c>
      <c r="C78" s="3464" t="s">
        <v>4711</v>
      </c>
      <c r="D78" s="3465"/>
      <c r="E78" s="3465"/>
      <c r="F78" s="3465"/>
      <c r="G78" s="3465"/>
      <c r="H78" s="3465"/>
      <c r="I78" s="3465"/>
      <c r="J78" s="3466"/>
    </row>
    <row r="79" spans="1:10" ht="26.25" hidden="1" customHeight="1">
      <c r="A79" s="1696"/>
      <c r="B79" s="1310">
        <f t="shared" si="6"/>
        <v>11</v>
      </c>
      <c r="C79" s="3464" t="s">
        <v>4712</v>
      </c>
      <c r="D79" s="3465"/>
      <c r="E79" s="3465"/>
      <c r="F79" s="3465"/>
      <c r="G79" s="3465"/>
      <c r="H79" s="3465"/>
      <c r="I79" s="3465"/>
      <c r="J79" s="3466"/>
    </row>
    <row r="80" spans="1:10" hidden="1">
      <c r="A80" s="1696"/>
      <c r="B80" s="1310">
        <f t="shared" si="6"/>
        <v>12</v>
      </c>
      <c r="C80" s="3464" t="s">
        <v>4713</v>
      </c>
      <c r="D80" s="3465"/>
      <c r="E80" s="3465"/>
      <c r="F80" s="3465"/>
      <c r="G80" s="3465"/>
      <c r="H80" s="3465"/>
      <c r="I80" s="3465"/>
      <c r="J80" s="3466"/>
    </row>
    <row r="81" spans="1:13" ht="26.25" hidden="1" customHeight="1">
      <c r="A81" s="1696"/>
      <c r="B81" s="1310">
        <f t="shared" si="6"/>
        <v>13</v>
      </c>
      <c r="C81" s="3464" t="s">
        <v>4714</v>
      </c>
      <c r="D81" s="3465"/>
      <c r="E81" s="3465"/>
      <c r="F81" s="3465"/>
      <c r="G81" s="3465"/>
      <c r="H81" s="3465"/>
      <c r="I81" s="3465"/>
      <c r="J81" s="3466"/>
    </row>
    <row r="82" spans="1:13" hidden="1">
      <c r="A82" s="1696"/>
      <c r="B82" s="1310">
        <f t="shared" si="6"/>
        <v>14</v>
      </c>
      <c r="C82" s="3464" t="s">
        <v>4715</v>
      </c>
      <c r="D82" s="3465"/>
      <c r="E82" s="3465"/>
      <c r="F82" s="3465"/>
      <c r="G82" s="3465"/>
      <c r="H82" s="3465"/>
      <c r="I82" s="3465"/>
      <c r="J82" s="3466"/>
    </row>
    <row r="83" spans="1:13" ht="54" hidden="1" customHeight="1">
      <c r="A83" s="1696"/>
      <c r="B83" s="1310">
        <f t="shared" si="6"/>
        <v>15</v>
      </c>
      <c r="C83" s="3464" t="s">
        <v>4716</v>
      </c>
      <c r="D83" s="3465"/>
      <c r="E83" s="3465"/>
      <c r="F83" s="3465"/>
      <c r="G83" s="3465"/>
      <c r="H83" s="3465"/>
      <c r="I83" s="3465"/>
      <c r="J83" s="3466"/>
    </row>
    <row r="84" spans="1:13" ht="14.25" hidden="1" customHeight="1">
      <c r="A84" s="1696"/>
      <c r="B84" s="1310">
        <f t="shared" si="6"/>
        <v>16</v>
      </c>
      <c r="C84" s="3464" t="s">
        <v>4717</v>
      </c>
      <c r="D84" s="3465"/>
      <c r="E84" s="3465"/>
      <c r="F84" s="3465"/>
      <c r="G84" s="3465"/>
      <c r="H84" s="3465"/>
      <c r="I84" s="3465"/>
      <c r="J84" s="3466"/>
    </row>
    <row r="85" spans="1:13" ht="14.25" hidden="1" customHeight="1">
      <c r="A85" s="1696"/>
      <c r="B85" s="1310">
        <f t="shared" si="6"/>
        <v>17</v>
      </c>
      <c r="C85" s="3464" t="s">
        <v>4718</v>
      </c>
      <c r="D85" s="3465"/>
      <c r="E85" s="3465"/>
      <c r="F85" s="3465"/>
      <c r="G85" s="3465"/>
      <c r="H85" s="3465"/>
      <c r="I85" s="3465"/>
      <c r="J85" s="3466"/>
    </row>
    <row r="86" spans="1:13" ht="14.25" hidden="1" customHeight="1">
      <c r="A86" s="1696"/>
      <c r="B86" s="1310">
        <f t="shared" si="6"/>
        <v>18</v>
      </c>
      <c r="C86" s="3464" t="s">
        <v>4719</v>
      </c>
      <c r="D86" s="3465"/>
      <c r="E86" s="3465"/>
      <c r="F86" s="3465"/>
      <c r="G86" s="3465"/>
      <c r="H86" s="3465"/>
      <c r="I86" s="3465"/>
      <c r="J86" s="3466"/>
    </row>
    <row r="87" spans="1:13" ht="14.25" hidden="1" customHeight="1">
      <c r="A87" s="1696"/>
      <c r="B87" s="1310">
        <f t="shared" si="6"/>
        <v>19</v>
      </c>
      <c r="C87" s="3464" t="s">
        <v>4720</v>
      </c>
      <c r="D87" s="3465"/>
      <c r="E87" s="3465"/>
      <c r="F87" s="3465"/>
      <c r="G87" s="3465"/>
      <c r="H87" s="3465"/>
      <c r="I87" s="3465"/>
      <c r="J87" s="3466"/>
    </row>
    <row r="88" spans="1:13" ht="14.25" hidden="1" customHeight="1">
      <c r="A88" s="1696"/>
      <c r="B88" s="1310">
        <f t="shared" si="6"/>
        <v>20</v>
      </c>
      <c r="C88" s="3464" t="s">
        <v>12958</v>
      </c>
      <c r="D88" s="3465"/>
      <c r="E88" s="3465"/>
      <c r="F88" s="3465"/>
      <c r="G88" s="3465"/>
      <c r="H88" s="3465"/>
      <c r="I88" s="3465"/>
      <c r="J88" s="3466"/>
    </row>
    <row r="89" spans="1:13" hidden="1">
      <c r="A89" s="1696"/>
      <c r="B89" s="1310">
        <f t="shared" si="6"/>
        <v>21</v>
      </c>
      <c r="C89" s="3464" t="s">
        <v>12957</v>
      </c>
      <c r="D89" s="3465"/>
      <c r="E89" s="3465"/>
      <c r="F89" s="3465"/>
      <c r="G89" s="3465"/>
      <c r="H89" s="3465"/>
      <c r="I89" s="3465"/>
      <c r="J89" s="3466"/>
    </row>
    <row r="90" spans="1:13" ht="15" hidden="1" customHeight="1" thickBot="1">
      <c r="A90" s="1696"/>
      <c r="B90" s="1311">
        <f t="shared" si="6"/>
        <v>22</v>
      </c>
      <c r="C90" s="3464" t="s">
        <v>4721</v>
      </c>
      <c r="D90" s="3465"/>
      <c r="E90" s="3465"/>
      <c r="F90" s="3465"/>
      <c r="G90" s="3465"/>
      <c r="H90" s="3465"/>
      <c r="I90" s="3465"/>
      <c r="J90" s="3466"/>
    </row>
    <row r="91" spans="1:13" ht="15" hidden="1" thickBot="1">
      <c r="A91" s="1696"/>
    </row>
    <row r="92" spans="1:13" ht="15" hidden="1" thickBot="1">
      <c r="A92" s="1696"/>
      <c r="B92" s="34" t="s">
        <v>4722</v>
      </c>
      <c r="C92" s="1011"/>
      <c r="D92" s="1011"/>
      <c r="E92" s="1012"/>
      <c r="F92" s="1012"/>
      <c r="G92" s="1012"/>
      <c r="H92" s="1012"/>
      <c r="I92" s="1012"/>
      <c r="J92" s="1013"/>
    </row>
    <row r="93" spans="1:13" ht="41.25" hidden="1" customHeight="1">
      <c r="A93" s="2215"/>
      <c r="B93" s="1310">
        <f>+B90+1</f>
        <v>23</v>
      </c>
      <c r="C93" s="3736" t="s">
        <v>12959</v>
      </c>
      <c r="D93" s="3737"/>
      <c r="E93" s="3737"/>
      <c r="F93" s="3737"/>
      <c r="G93" s="3737"/>
      <c r="H93" s="3737"/>
      <c r="I93" s="3737"/>
      <c r="J93" s="3738"/>
      <c r="K93" s="2216"/>
      <c r="L93" s="2217"/>
      <c r="M93" s="2213" t="s">
        <v>13110</v>
      </c>
    </row>
    <row r="94" spans="1:13" ht="41.65" hidden="1" customHeight="1">
      <c r="A94" s="2215"/>
      <c r="B94" s="1310">
        <f t="shared" ref="B94:B111" si="7">+B93+1</f>
        <v>24</v>
      </c>
      <c r="C94" s="3736" t="s">
        <v>12960</v>
      </c>
      <c r="D94" s="3737"/>
      <c r="E94" s="3737"/>
      <c r="F94" s="3737"/>
      <c r="G94" s="3737"/>
      <c r="H94" s="3737"/>
      <c r="I94" s="3737"/>
      <c r="J94" s="3738"/>
      <c r="K94" s="2216"/>
      <c r="L94" s="2217"/>
      <c r="M94" s="2213"/>
    </row>
    <row r="95" spans="1:13" hidden="1">
      <c r="A95" s="2215"/>
      <c r="B95" s="1310">
        <f t="shared" si="7"/>
        <v>25</v>
      </c>
      <c r="C95" s="3736" t="s">
        <v>12961</v>
      </c>
      <c r="D95" s="3737"/>
      <c r="E95" s="3737"/>
      <c r="F95" s="3737"/>
      <c r="G95" s="3737"/>
      <c r="H95" s="3737"/>
      <c r="I95" s="3737"/>
      <c r="J95" s="3738"/>
      <c r="K95" s="2216"/>
      <c r="L95" s="2217"/>
    </row>
    <row r="96" spans="1:13" ht="34.5" hidden="1" customHeight="1">
      <c r="A96" s="2215"/>
      <c r="B96" s="1310">
        <f t="shared" si="7"/>
        <v>26</v>
      </c>
      <c r="C96" s="3736" t="s">
        <v>12962</v>
      </c>
      <c r="D96" s="3737"/>
      <c r="E96" s="3737"/>
      <c r="F96" s="3737"/>
      <c r="G96" s="3737"/>
      <c r="H96" s="3737"/>
      <c r="I96" s="3737"/>
      <c r="J96" s="3738"/>
      <c r="K96" s="2218"/>
      <c r="L96" s="2217"/>
    </row>
    <row r="97" spans="1:14" s="2146" customFormat="1" ht="45.75" hidden="1" customHeight="1">
      <c r="A97" s="2215"/>
      <c r="B97" s="1310">
        <f t="shared" si="7"/>
        <v>27</v>
      </c>
      <c r="C97" s="3739" t="s">
        <v>12963</v>
      </c>
      <c r="D97" s="3740"/>
      <c r="E97" s="3740"/>
      <c r="F97" s="3740"/>
      <c r="G97" s="3740"/>
      <c r="H97" s="3740"/>
      <c r="I97" s="3740"/>
      <c r="J97" s="3741"/>
      <c r="K97" s="2218"/>
      <c r="L97" s="2217"/>
      <c r="N97" s="1764"/>
    </row>
    <row r="98" spans="1:14" ht="84" hidden="1" customHeight="1">
      <c r="A98" s="2215"/>
      <c r="B98" s="1310">
        <f t="shared" si="7"/>
        <v>28</v>
      </c>
      <c r="C98" s="3736" t="s">
        <v>12964</v>
      </c>
      <c r="D98" s="3737"/>
      <c r="E98" s="3737"/>
      <c r="F98" s="3737"/>
      <c r="G98" s="3737"/>
      <c r="H98" s="3737"/>
      <c r="I98" s="3737"/>
      <c r="J98" s="3738"/>
      <c r="K98" s="2216"/>
      <c r="L98" s="2217"/>
    </row>
    <row r="99" spans="1:14" ht="94.5" hidden="1" customHeight="1">
      <c r="A99" s="2215"/>
      <c r="B99" s="1310">
        <f t="shared" si="7"/>
        <v>29</v>
      </c>
      <c r="C99" s="3736" t="s">
        <v>12965</v>
      </c>
      <c r="D99" s="3737"/>
      <c r="E99" s="3737"/>
      <c r="F99" s="3737"/>
      <c r="G99" s="3737"/>
      <c r="H99" s="3737"/>
      <c r="I99" s="3737"/>
      <c r="J99" s="3738"/>
      <c r="K99" s="2216"/>
      <c r="L99" s="2217"/>
    </row>
    <row r="100" spans="1:14" ht="19.149999999999999" hidden="1" customHeight="1">
      <c r="A100" s="2215"/>
      <c r="B100" s="1310">
        <f t="shared" si="7"/>
        <v>30</v>
      </c>
      <c r="C100" s="3736" t="s">
        <v>12966</v>
      </c>
      <c r="D100" s="3737"/>
      <c r="E100" s="3737"/>
      <c r="F100" s="3737"/>
      <c r="G100" s="3737"/>
      <c r="H100" s="3737"/>
      <c r="I100" s="3737"/>
      <c r="J100" s="3738"/>
      <c r="K100" s="2216"/>
      <c r="L100" s="2217"/>
    </row>
    <row r="101" spans="1:14" ht="55.5" hidden="1" customHeight="1">
      <c r="A101" s="2215"/>
      <c r="B101" s="1310">
        <f t="shared" si="7"/>
        <v>31</v>
      </c>
      <c r="C101" s="3736" t="s">
        <v>4723</v>
      </c>
      <c r="D101" s="3737"/>
      <c r="E101" s="3737"/>
      <c r="F101" s="3737"/>
      <c r="G101" s="3737"/>
      <c r="H101" s="3737"/>
      <c r="I101" s="3737"/>
      <c r="J101" s="3738"/>
      <c r="K101" s="2216"/>
      <c r="L101" s="2217"/>
    </row>
    <row r="102" spans="1:14" ht="68.650000000000006" hidden="1" customHeight="1">
      <c r="A102" s="2215"/>
      <c r="B102" s="1310">
        <f t="shared" si="7"/>
        <v>32</v>
      </c>
      <c r="C102" s="3736" t="s">
        <v>4724</v>
      </c>
      <c r="D102" s="3737"/>
      <c r="E102" s="3737"/>
      <c r="F102" s="3737"/>
      <c r="G102" s="3737"/>
      <c r="H102" s="3737"/>
      <c r="I102" s="3737"/>
      <c r="J102" s="3738"/>
      <c r="K102" s="2216"/>
      <c r="L102" s="2217"/>
    </row>
    <row r="103" spans="1:14" ht="64.150000000000006" hidden="1" customHeight="1">
      <c r="A103" s="2215"/>
      <c r="B103" s="1310">
        <f t="shared" si="7"/>
        <v>33</v>
      </c>
      <c r="C103" s="3736" t="s">
        <v>4725</v>
      </c>
      <c r="D103" s="3737"/>
      <c r="E103" s="3737"/>
      <c r="F103" s="3737"/>
      <c r="G103" s="3737"/>
      <c r="H103" s="3737"/>
      <c r="I103" s="3737"/>
      <c r="J103" s="3738"/>
      <c r="K103" s="2216"/>
      <c r="L103" s="2217"/>
    </row>
    <row r="104" spans="1:14" hidden="1">
      <c r="A104" s="2215"/>
      <c r="B104" s="1310">
        <f t="shared" si="7"/>
        <v>34</v>
      </c>
      <c r="C104" s="3736" t="s">
        <v>12967</v>
      </c>
      <c r="D104" s="3737"/>
      <c r="E104" s="3737"/>
      <c r="F104" s="3737"/>
      <c r="G104" s="3737"/>
      <c r="H104" s="3737"/>
      <c r="I104" s="3737"/>
      <c r="J104" s="3738"/>
      <c r="K104" s="2216"/>
      <c r="L104" s="2217"/>
    </row>
    <row r="105" spans="1:14" ht="70.5" hidden="1" customHeight="1">
      <c r="A105" s="2215"/>
      <c r="B105" s="1310">
        <f t="shared" si="7"/>
        <v>35</v>
      </c>
      <c r="C105" s="3736" t="s">
        <v>12853</v>
      </c>
      <c r="D105" s="3737"/>
      <c r="E105" s="3737"/>
      <c r="F105" s="3737"/>
      <c r="G105" s="3737"/>
      <c r="H105" s="3737"/>
      <c r="I105" s="3737"/>
      <c r="J105" s="3738"/>
      <c r="K105" s="2216"/>
      <c r="L105" s="2217"/>
    </row>
    <row r="106" spans="1:14" ht="56.25" hidden="1" customHeight="1">
      <c r="A106" s="2215"/>
      <c r="B106" s="1310">
        <f t="shared" si="7"/>
        <v>36</v>
      </c>
      <c r="C106" s="3736" t="s">
        <v>4726</v>
      </c>
      <c r="D106" s="3737"/>
      <c r="E106" s="3737"/>
      <c r="F106" s="3737"/>
      <c r="G106" s="3737"/>
      <c r="H106" s="3737"/>
      <c r="I106" s="3737"/>
      <c r="J106" s="3738"/>
      <c r="K106" s="2216"/>
      <c r="L106" s="2217"/>
    </row>
    <row r="107" spans="1:14" ht="66.75" hidden="1" customHeight="1">
      <c r="A107" s="2215"/>
      <c r="B107" s="1310">
        <f t="shared" si="7"/>
        <v>37</v>
      </c>
      <c r="C107" s="3736" t="s">
        <v>4727</v>
      </c>
      <c r="D107" s="3737"/>
      <c r="E107" s="3737"/>
      <c r="F107" s="3737"/>
      <c r="G107" s="3737"/>
      <c r="H107" s="3737"/>
      <c r="I107" s="3737"/>
      <c r="J107" s="3738"/>
      <c r="K107" s="2216"/>
      <c r="L107" s="2217"/>
    </row>
    <row r="108" spans="1:14" ht="54" hidden="1" customHeight="1">
      <c r="A108" s="2215"/>
      <c r="B108" s="1310">
        <f t="shared" si="7"/>
        <v>38</v>
      </c>
      <c r="C108" s="3736" t="s">
        <v>4728</v>
      </c>
      <c r="D108" s="3737"/>
      <c r="E108" s="3737"/>
      <c r="F108" s="3737"/>
      <c r="G108" s="3737"/>
      <c r="H108" s="3737"/>
      <c r="I108" s="3737"/>
      <c r="J108" s="3738"/>
      <c r="K108" s="2216"/>
      <c r="L108" s="2217"/>
    </row>
    <row r="109" spans="1:14" hidden="1">
      <c r="A109" s="2215"/>
      <c r="B109" s="1310">
        <f t="shared" si="7"/>
        <v>39</v>
      </c>
      <c r="C109" s="3736" t="s">
        <v>12968</v>
      </c>
      <c r="D109" s="3737"/>
      <c r="E109" s="3737"/>
      <c r="F109" s="3737"/>
      <c r="G109" s="3737"/>
      <c r="H109" s="3737"/>
      <c r="I109" s="3737"/>
      <c r="J109" s="3738"/>
      <c r="K109" s="2216"/>
      <c r="L109" s="2217"/>
    </row>
    <row r="110" spans="1:14" ht="71.25" hidden="1" customHeight="1">
      <c r="A110" s="2215"/>
      <c r="B110" s="1310">
        <f t="shared" si="7"/>
        <v>40</v>
      </c>
      <c r="C110" s="3736" t="s">
        <v>12854</v>
      </c>
      <c r="D110" s="3737"/>
      <c r="E110" s="3737"/>
      <c r="F110" s="3737"/>
      <c r="G110" s="3737"/>
      <c r="H110" s="3737"/>
      <c r="I110" s="3737"/>
      <c r="J110" s="3738"/>
      <c r="K110" s="2216"/>
      <c r="L110" s="2217"/>
    </row>
    <row r="111" spans="1:14" hidden="1">
      <c r="A111" s="2215"/>
      <c r="B111" s="1310">
        <f t="shared" si="7"/>
        <v>41</v>
      </c>
      <c r="C111" s="3736" t="s">
        <v>12969</v>
      </c>
      <c r="D111" s="3737"/>
      <c r="E111" s="3737"/>
      <c r="F111" s="3737"/>
      <c r="G111" s="3737"/>
      <c r="H111" s="3737"/>
      <c r="I111" s="3737"/>
      <c r="J111" s="3738"/>
      <c r="K111" s="2216"/>
      <c r="L111" s="2217"/>
    </row>
    <row r="112" spans="1:14" hidden="1">
      <c r="A112" s="2215"/>
      <c r="B112" s="2219"/>
      <c r="C112" s="2219"/>
      <c r="D112" s="2219"/>
      <c r="E112" s="2219"/>
      <c r="F112" s="2220"/>
      <c r="G112" s="2219"/>
      <c r="H112" s="2219"/>
      <c r="I112" s="2219"/>
      <c r="J112" s="2219"/>
      <c r="K112" s="2219"/>
      <c r="L112" s="2217"/>
    </row>
    <row r="113" spans="1:12">
      <c r="A113" s="2221"/>
      <c r="B113" s="2222" t="s">
        <v>4089</v>
      </c>
      <c r="C113" s="2219"/>
      <c r="D113" s="2219"/>
      <c r="E113" s="2219"/>
      <c r="F113" s="2220"/>
      <c r="G113" s="2219"/>
      <c r="H113" s="2219"/>
      <c r="I113" s="2219"/>
      <c r="J113" s="2219"/>
      <c r="K113" s="2219"/>
      <c r="L113" s="2217"/>
    </row>
    <row r="114" spans="1:12" ht="15" thickBot="1">
      <c r="A114" s="2221"/>
      <c r="B114" s="2219"/>
      <c r="C114" s="2219"/>
      <c r="D114" s="2219"/>
      <c r="E114" s="2219"/>
      <c r="F114" s="2220"/>
      <c r="G114" s="2219"/>
      <c r="H114" s="2219"/>
      <c r="I114" s="2219"/>
      <c r="J114" s="2219"/>
      <c r="K114" s="2219"/>
      <c r="L114" s="2217"/>
    </row>
    <row r="115" spans="1:12" ht="14.25" customHeight="1">
      <c r="A115" s="2221"/>
      <c r="B115" s="3727" t="s">
        <v>12970</v>
      </c>
      <c r="C115" s="3728"/>
      <c r="D115" s="3728"/>
      <c r="E115" s="3728"/>
      <c r="F115" s="3728"/>
      <c r="G115" s="3728"/>
      <c r="H115" s="3728"/>
      <c r="I115" s="3728"/>
      <c r="J115" s="3729"/>
      <c r="K115" s="2219"/>
      <c r="L115" s="2217"/>
    </row>
    <row r="116" spans="1:12" ht="14.25" customHeight="1">
      <c r="A116" s="2221"/>
      <c r="B116" s="3730"/>
      <c r="C116" s="3731"/>
      <c r="D116" s="3731"/>
      <c r="E116" s="3731"/>
      <c r="F116" s="3731"/>
      <c r="G116" s="3731"/>
      <c r="H116" s="3731"/>
      <c r="I116" s="3731"/>
      <c r="J116" s="3732"/>
      <c r="K116" s="2219"/>
      <c r="L116" s="2217"/>
    </row>
    <row r="117" spans="1:12" ht="14.25" customHeight="1">
      <c r="A117" s="2221"/>
      <c r="B117" s="3730"/>
      <c r="C117" s="3731"/>
      <c r="D117" s="3731"/>
      <c r="E117" s="3731"/>
      <c r="F117" s="3731"/>
      <c r="G117" s="3731"/>
      <c r="H117" s="3731"/>
      <c r="I117" s="3731"/>
      <c r="J117" s="3732"/>
      <c r="K117" s="2219"/>
      <c r="L117" s="2217"/>
    </row>
    <row r="118" spans="1:12" ht="14.25" customHeight="1">
      <c r="A118" s="2221"/>
      <c r="B118" s="3730"/>
      <c r="C118" s="3731"/>
      <c r="D118" s="3731"/>
      <c r="E118" s="3731"/>
      <c r="F118" s="3731"/>
      <c r="G118" s="3731"/>
      <c r="H118" s="3731"/>
      <c r="I118" s="3731"/>
      <c r="J118" s="3732"/>
      <c r="K118" s="2219"/>
      <c r="L118" s="2217"/>
    </row>
    <row r="119" spans="1:12" ht="14.25" customHeight="1">
      <c r="A119" s="2221"/>
      <c r="B119" s="3730"/>
      <c r="C119" s="3731"/>
      <c r="D119" s="3731"/>
      <c r="E119" s="3731"/>
      <c r="F119" s="3731"/>
      <c r="G119" s="3731"/>
      <c r="H119" s="3731"/>
      <c r="I119" s="3731"/>
      <c r="J119" s="3732"/>
      <c r="K119" s="2219"/>
      <c r="L119" s="2217"/>
    </row>
    <row r="120" spans="1:12" ht="14.25" customHeight="1">
      <c r="A120" s="2221"/>
      <c r="B120" s="3730"/>
      <c r="C120" s="3731"/>
      <c r="D120" s="3731"/>
      <c r="E120" s="3731"/>
      <c r="F120" s="3731"/>
      <c r="G120" s="3731"/>
      <c r="H120" s="3731"/>
      <c r="I120" s="3731"/>
      <c r="J120" s="3732"/>
      <c r="K120" s="2219"/>
      <c r="L120" s="2217"/>
    </row>
    <row r="121" spans="1:12" ht="27" customHeight="1" thickBot="1">
      <c r="A121" s="2221"/>
      <c r="B121" s="3733"/>
      <c r="C121" s="3734"/>
      <c r="D121" s="3734"/>
      <c r="E121" s="3734"/>
      <c r="F121" s="3734"/>
      <c r="G121" s="3734"/>
      <c r="H121" s="3734"/>
      <c r="I121" s="3734"/>
      <c r="J121" s="3735"/>
      <c r="K121" s="2219"/>
      <c r="L121" s="2217"/>
    </row>
    <row r="122" spans="1:12"/>
  </sheetData>
  <mergeCells count="45">
    <mergeCell ref="C77:J77"/>
    <mergeCell ref="B57:C57"/>
    <mergeCell ref="B66:J66"/>
    <mergeCell ref="C68:J68"/>
    <mergeCell ref="C69:J69"/>
    <mergeCell ref="C70:J70"/>
    <mergeCell ref="C71:J71"/>
    <mergeCell ref="C72:J72"/>
    <mergeCell ref="C73:J73"/>
    <mergeCell ref="C74:J74"/>
    <mergeCell ref="C75:J75"/>
    <mergeCell ref="C76:J76"/>
    <mergeCell ref="C89:J89"/>
    <mergeCell ref="C78:J78"/>
    <mergeCell ref="C79:J79"/>
    <mergeCell ref="C80:J80"/>
    <mergeCell ref="C81:J81"/>
    <mergeCell ref="C82:J82"/>
    <mergeCell ref="C83:J83"/>
    <mergeCell ref="C84:J84"/>
    <mergeCell ref="C85:J85"/>
    <mergeCell ref="C86:J86"/>
    <mergeCell ref="C87:J87"/>
    <mergeCell ref="C88:J88"/>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B115:J121"/>
    <mergeCell ref="C111:J111"/>
    <mergeCell ref="C105:J105"/>
    <mergeCell ref="C106:J106"/>
    <mergeCell ref="C107:J107"/>
    <mergeCell ref="C108:J108"/>
    <mergeCell ref="C109:J109"/>
    <mergeCell ref="C110:J110"/>
  </mergeCells>
  <conditionalFormatting sqref="J6:J27">
    <cfRule type="cellIs" dxfId="90" priority="13" operator="equal">
      <formula>0</formula>
    </cfRule>
  </conditionalFormatting>
  <conditionalFormatting sqref="J30:J31">
    <cfRule type="cellIs" dxfId="89" priority="12" operator="equal">
      <formula>0</formula>
    </cfRule>
  </conditionalFormatting>
  <conditionalFormatting sqref="J35">
    <cfRule type="cellIs" dxfId="88" priority="11" operator="equal">
      <formula>0</formula>
    </cfRule>
  </conditionalFormatting>
  <conditionalFormatting sqref="J37:J38">
    <cfRule type="cellIs" dxfId="87" priority="10" operator="equal">
      <formula>0</formula>
    </cfRule>
  </conditionalFormatting>
  <conditionalFormatting sqref="J41:J43">
    <cfRule type="cellIs" dxfId="86" priority="9" operator="equal">
      <formula>0</formula>
    </cfRule>
  </conditionalFormatting>
  <conditionalFormatting sqref="J46">
    <cfRule type="cellIs" dxfId="85" priority="8" operator="equal">
      <formula>0</formula>
    </cfRule>
  </conditionalFormatting>
  <conditionalFormatting sqref="J48:J50">
    <cfRule type="cellIs" dxfId="84" priority="7" operator="equal">
      <formula>0</formula>
    </cfRule>
  </conditionalFormatting>
  <conditionalFormatting sqref="J53">
    <cfRule type="cellIs" dxfId="83" priority="6" operator="equal">
      <formula>0</formula>
    </cfRule>
  </conditionalFormatting>
  <conditionalFormatting sqref="J55">
    <cfRule type="cellIs" dxfId="82" priority="5" operator="equal">
      <formula>0</formula>
    </cfRule>
  </conditionalFormatting>
  <conditionalFormatting sqref="J33">
    <cfRule type="cellIs" dxfId="8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G30:H32 G35:H35 G37:H39 G41:H44 G46:H46 G48:H51 G53:H53 G55:H55</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9.xml><?xml version="1.0" encoding="utf-8"?>
<worksheet xmlns="http://schemas.openxmlformats.org/spreadsheetml/2006/main" xmlns:r="http://schemas.openxmlformats.org/officeDocument/2006/relationships">
  <sheetPr codeName="Sheet46">
    <pageSetUpPr fitToPage="1"/>
  </sheetPr>
  <dimension ref="A1:CS95"/>
  <sheetViews>
    <sheetView workbookViewId="0"/>
  </sheetViews>
  <sheetFormatPr defaultColWidth="0" defaultRowHeight="14.25" zeroHeight="1"/>
  <cols>
    <col min="1" max="1" width="0.625" customWidth="1"/>
    <col min="2" max="2" width="8.625" customWidth="1"/>
    <col min="3" max="3" width="71.125" customWidth="1"/>
    <col min="4" max="4" width="1.375" customWidth="1"/>
    <col min="5" max="6" width="8.625" customWidth="1"/>
    <col min="7" max="7" width="10.125" customWidth="1"/>
    <col min="8" max="14" width="8.625" customWidth="1"/>
    <col min="15" max="15" width="2.125" customWidth="1"/>
    <col min="16" max="32" width="8.625" customWidth="1"/>
    <col min="33" max="33" width="28.625" customWidth="1"/>
    <col min="34" max="34" width="2.625" customWidth="1"/>
    <col min="35" max="35" width="21.125" customWidth="1"/>
    <col min="36" max="36" width="2.625" customWidth="1"/>
    <col min="37" max="37" width="1.5" style="1764" hidden="1" customWidth="1"/>
    <col min="38" max="63" width="1.5" hidden="1" customWidth="1"/>
    <col min="64" max="64" width="1.5" style="1764" hidden="1" customWidth="1"/>
    <col min="65" max="66" width="8.625" customWidth="1"/>
    <col min="67" max="67" width="71.125" customWidth="1"/>
    <col min="68" max="68" width="0.875" customWidth="1"/>
    <col min="69" max="97" width="8.625" customWidth="1"/>
    <col min="98" max="16384" width="8.625" hidden="1"/>
  </cols>
  <sheetData>
    <row r="1" spans="1:96" ht="18.75">
      <c r="A1" s="1313"/>
      <c r="B1" s="1247" t="s">
        <v>4729</v>
      </c>
      <c r="C1" s="1247"/>
      <c r="D1" s="1314"/>
      <c r="E1" s="1249"/>
      <c r="F1" s="67"/>
      <c r="G1" s="67"/>
      <c r="H1" s="67"/>
      <c r="I1" s="67"/>
      <c r="J1" s="67"/>
      <c r="K1" s="67"/>
      <c r="L1" s="67"/>
      <c r="M1" s="67"/>
      <c r="N1" s="67"/>
      <c r="O1" s="67"/>
      <c r="P1" s="67"/>
      <c r="Q1" s="67"/>
      <c r="R1" s="67"/>
      <c r="S1" s="67"/>
      <c r="T1" s="67"/>
      <c r="U1" s="67"/>
      <c r="V1" s="67"/>
      <c r="W1" s="69"/>
      <c r="X1" s="69"/>
      <c r="Y1" s="69"/>
      <c r="Z1" s="69"/>
      <c r="AA1" s="69"/>
      <c r="AB1" s="69"/>
      <c r="AC1" s="69"/>
      <c r="AD1" s="69"/>
      <c r="AE1" s="69"/>
      <c r="AF1" s="69"/>
      <c r="AG1" s="69" t="str">
        <f>Validation!B3</f>
        <v>South West Water – South West area</v>
      </c>
      <c r="AH1" s="67"/>
      <c r="AI1" s="70" t="s">
        <v>2394</v>
      </c>
      <c r="AJ1" s="928"/>
      <c r="AK1" s="72"/>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2"/>
      <c r="BN1" s="3125" t="s">
        <v>4729</v>
      </c>
      <c r="BO1" s="3125"/>
      <c r="BP1" s="3126"/>
      <c r="BQ1" s="3127"/>
      <c r="BR1" s="67"/>
      <c r="BS1" s="67"/>
      <c r="BT1" s="67"/>
      <c r="BU1" s="67"/>
      <c r="BV1" s="67"/>
      <c r="BW1" s="67"/>
      <c r="BX1" s="67"/>
      <c r="BY1" s="67"/>
      <c r="BZ1" s="67"/>
      <c r="CA1" s="67"/>
      <c r="CB1" s="67"/>
      <c r="CC1" s="67"/>
      <c r="CD1" s="67"/>
      <c r="CE1" s="67"/>
      <c r="CF1" s="67"/>
      <c r="CG1" s="67"/>
      <c r="CH1" s="67"/>
      <c r="CI1" s="69"/>
      <c r="CJ1" s="69"/>
      <c r="CK1" s="69"/>
      <c r="CL1" s="69"/>
      <c r="CM1" s="69"/>
      <c r="CN1" s="69"/>
      <c r="CO1" s="69"/>
      <c r="CP1" s="69"/>
      <c r="CQ1" s="69"/>
      <c r="CR1" s="69"/>
    </row>
    <row r="2" spans="1:96" ht="15" thickBot="1">
      <c r="A2" s="1315"/>
      <c r="B2" s="74" t="s">
        <v>12524</v>
      </c>
      <c r="C2" s="1250"/>
      <c r="D2" s="1257"/>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71"/>
      <c r="AJ2" s="928"/>
      <c r="AK2" s="72"/>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2"/>
      <c r="BN2" s="74" t="str">
        <f>+B2</f>
        <v>For the 12 months ended 31 March 2019</v>
      </c>
      <c r="BO2" s="2705"/>
      <c r="BP2" s="3128"/>
      <c r="BQ2" s="2705"/>
      <c r="BR2" s="2705"/>
      <c r="BS2" s="2705"/>
      <c r="BT2" s="2705"/>
      <c r="BU2" s="2705"/>
      <c r="BV2" s="2705"/>
      <c r="BW2" s="2705"/>
      <c r="BX2" s="2705"/>
      <c r="BY2" s="2705"/>
      <c r="BZ2" s="2705"/>
      <c r="CA2" s="2705"/>
      <c r="CB2" s="2705"/>
      <c r="CC2" s="2705"/>
      <c r="CD2" s="2705"/>
      <c r="CE2" s="2705"/>
      <c r="CF2" s="2705"/>
      <c r="CG2" s="2705"/>
      <c r="CH2" s="2705"/>
      <c r="CI2" s="2705"/>
      <c r="CJ2" s="2705"/>
      <c r="CK2" s="2705"/>
      <c r="CL2" s="2705"/>
      <c r="CM2" s="2705"/>
      <c r="CN2" s="2705"/>
      <c r="CO2" s="2705"/>
      <c r="CP2" s="2705"/>
      <c r="CQ2" s="2705"/>
      <c r="CR2" s="2705"/>
    </row>
    <row r="3" spans="1:96" ht="15" thickBot="1">
      <c r="A3" s="1316"/>
      <c r="B3" s="3467" t="s">
        <v>2395</v>
      </c>
      <c r="C3" s="3468"/>
      <c r="D3" s="3204" t="s">
        <v>6495</v>
      </c>
      <c r="E3" s="3204" t="s">
        <v>3346</v>
      </c>
      <c r="F3" s="3206" t="s">
        <v>2397</v>
      </c>
      <c r="G3" s="3244" t="s">
        <v>4731</v>
      </c>
      <c r="H3" s="3785"/>
      <c r="I3" s="3785"/>
      <c r="J3" s="3785"/>
      <c r="K3" s="3785"/>
      <c r="L3" s="3785"/>
      <c r="M3" s="3785"/>
      <c r="N3" s="3786"/>
      <c r="O3" s="1317"/>
      <c r="P3" s="3244" t="s">
        <v>4732</v>
      </c>
      <c r="Q3" s="3785"/>
      <c r="R3" s="3785"/>
      <c r="S3" s="3785"/>
      <c r="T3" s="3785"/>
      <c r="U3" s="3785"/>
      <c r="V3" s="3785"/>
      <c r="W3" s="3785"/>
      <c r="X3" s="3785"/>
      <c r="Y3" s="3785"/>
      <c r="Z3" s="3785"/>
      <c r="AA3" s="3785"/>
      <c r="AB3" s="3785"/>
      <c r="AC3" s="3785"/>
      <c r="AD3" s="3785"/>
      <c r="AE3" s="3785"/>
      <c r="AF3" s="3786"/>
      <c r="AG3" s="3213" t="s">
        <v>4047</v>
      </c>
      <c r="AH3" s="1317"/>
      <c r="AI3" s="3213" t="s">
        <v>1361</v>
      </c>
      <c r="AJ3" s="200"/>
      <c r="AK3" s="72"/>
      <c r="AL3" s="77" t="s">
        <v>2404</v>
      </c>
      <c r="AM3" s="77"/>
      <c r="AN3" s="77"/>
      <c r="AO3" s="77"/>
      <c r="AP3" s="77"/>
      <c r="AQ3" s="77"/>
      <c r="AR3" s="77"/>
      <c r="AS3" s="77"/>
      <c r="AT3" s="77"/>
      <c r="AU3" s="77"/>
      <c r="AV3" s="77"/>
      <c r="AW3" s="77"/>
      <c r="AX3" s="77"/>
      <c r="AY3" s="77"/>
      <c r="AZ3" s="77"/>
      <c r="BA3" s="77"/>
      <c r="BB3" s="714"/>
      <c r="BC3" s="714"/>
      <c r="BD3" s="714"/>
      <c r="BE3" s="714"/>
      <c r="BF3" s="714"/>
      <c r="BG3" s="714"/>
      <c r="BH3" s="714"/>
      <c r="BI3" s="714"/>
      <c r="BJ3" s="714"/>
      <c r="BK3" s="714"/>
      <c r="BL3" s="72"/>
      <c r="BN3" s="1253" t="s">
        <v>2423</v>
      </c>
      <c r="BO3" s="1254" t="s">
        <v>4077</v>
      </c>
      <c r="BP3" s="191" t="s">
        <v>6495</v>
      </c>
      <c r="BQ3" s="191" t="s">
        <v>3346</v>
      </c>
      <c r="BR3" s="192" t="s">
        <v>2397</v>
      </c>
      <c r="BS3" s="3244" t="s">
        <v>4731</v>
      </c>
      <c r="BT3" s="3749"/>
      <c r="BU3" s="3749"/>
      <c r="BV3" s="3749"/>
      <c r="BW3" s="3749"/>
      <c r="BX3" s="3749"/>
      <c r="BY3" s="3749"/>
      <c r="BZ3" s="3750"/>
      <c r="CA3" s="3129"/>
      <c r="CB3" s="3244" t="s">
        <v>4732</v>
      </c>
      <c r="CC3" s="3749"/>
      <c r="CD3" s="3749"/>
      <c r="CE3" s="3749"/>
      <c r="CF3" s="3749"/>
      <c r="CG3" s="3749"/>
      <c r="CH3" s="3749"/>
      <c r="CI3" s="3749"/>
      <c r="CJ3" s="3749"/>
      <c r="CK3" s="3749"/>
      <c r="CL3" s="3749"/>
      <c r="CM3" s="3749"/>
      <c r="CN3" s="3749"/>
      <c r="CO3" s="3749"/>
      <c r="CP3" s="3749"/>
      <c r="CQ3" s="3749"/>
      <c r="CR3" s="3750"/>
    </row>
    <row r="4" spans="1:96">
      <c r="A4" s="1317"/>
      <c r="B4" s="3527"/>
      <c r="C4" s="3528"/>
      <c r="D4" s="3242"/>
      <c r="E4" s="3242"/>
      <c r="F4" s="3243"/>
      <c r="G4" s="3231" t="s">
        <v>4733</v>
      </c>
      <c r="H4" s="3210" t="s">
        <v>4734</v>
      </c>
      <c r="I4" s="3790"/>
      <c r="J4" s="3231" t="s">
        <v>4735</v>
      </c>
      <c r="K4" s="3791"/>
      <c r="L4" s="3791"/>
      <c r="M4" s="3792"/>
      <c r="N4" s="3755" t="s">
        <v>2554</v>
      </c>
      <c r="O4" s="1317"/>
      <c r="P4" s="3210" t="s">
        <v>4736</v>
      </c>
      <c r="Q4" s="3794"/>
      <c r="R4" s="3794"/>
      <c r="S4" s="3794"/>
      <c r="T4" s="3795"/>
      <c r="U4" s="3495" t="s">
        <v>4737</v>
      </c>
      <c r="V4" s="3775"/>
      <c r="W4" s="3775"/>
      <c r="X4" s="3775"/>
      <c r="Y4" s="3775"/>
      <c r="Z4" s="3776"/>
      <c r="AA4" s="3495" t="s">
        <v>4738</v>
      </c>
      <c r="AB4" s="3775"/>
      <c r="AC4" s="3775"/>
      <c r="AD4" s="3775"/>
      <c r="AE4" s="3775"/>
      <c r="AF4" s="3776"/>
      <c r="AG4" s="3787"/>
      <c r="AH4" s="1317"/>
      <c r="AI4" s="3239"/>
      <c r="AJ4" s="200"/>
      <c r="AK4" s="72"/>
      <c r="AL4" s="663"/>
      <c r="AM4" s="663"/>
      <c r="AN4" s="663"/>
      <c r="AO4" s="663"/>
      <c r="AP4" s="663"/>
      <c r="AQ4" s="663"/>
      <c r="AR4" s="663"/>
      <c r="AS4" s="663"/>
      <c r="AT4" s="663"/>
      <c r="AU4" s="663"/>
      <c r="AV4" s="663"/>
      <c r="AW4" s="663"/>
      <c r="AX4" s="663"/>
      <c r="AY4" s="663"/>
      <c r="AZ4" s="663"/>
      <c r="BA4" s="663"/>
      <c r="BL4" s="72"/>
      <c r="BN4" s="3130"/>
      <c r="BO4" s="3131"/>
      <c r="BP4" s="3131"/>
      <c r="BQ4" s="3132"/>
      <c r="BR4" s="3129"/>
      <c r="BS4" s="3231" t="s">
        <v>4733</v>
      </c>
      <c r="BT4" s="3210" t="s">
        <v>4734</v>
      </c>
      <c r="BU4" s="3752"/>
      <c r="BV4" s="3231" t="s">
        <v>4735</v>
      </c>
      <c r="BW4" s="3753"/>
      <c r="BX4" s="3753"/>
      <c r="BY4" s="3754"/>
      <c r="BZ4" s="3755" t="s">
        <v>2554</v>
      </c>
      <c r="CA4" s="3129"/>
      <c r="CB4" s="3210" t="s">
        <v>4736</v>
      </c>
      <c r="CC4" s="3757"/>
      <c r="CD4" s="3757"/>
      <c r="CE4" s="3757"/>
      <c r="CF4" s="3758"/>
      <c r="CG4" s="3495" t="s">
        <v>4737</v>
      </c>
      <c r="CH4" s="3759"/>
      <c r="CI4" s="3759"/>
      <c r="CJ4" s="3759"/>
      <c r="CK4" s="3759"/>
      <c r="CL4" s="3760"/>
      <c r="CM4" s="3495" t="s">
        <v>4738</v>
      </c>
      <c r="CN4" s="3759"/>
      <c r="CO4" s="3759"/>
      <c r="CP4" s="3759"/>
      <c r="CQ4" s="3759"/>
      <c r="CR4" s="3760"/>
    </row>
    <row r="5" spans="1:96" ht="26.25" thickBot="1">
      <c r="A5" s="1317"/>
      <c r="B5" s="3469"/>
      <c r="C5" s="3470"/>
      <c r="D5" s="3205"/>
      <c r="E5" s="3205"/>
      <c r="F5" s="3207"/>
      <c r="G5" s="3789"/>
      <c r="H5" s="926" t="s">
        <v>4739</v>
      </c>
      <c r="I5" s="927" t="s">
        <v>4740</v>
      </c>
      <c r="J5" s="926" t="s">
        <v>315</v>
      </c>
      <c r="K5" s="81" t="s">
        <v>319</v>
      </c>
      <c r="L5" s="81" t="s">
        <v>332</v>
      </c>
      <c r="M5" s="927" t="s">
        <v>457</v>
      </c>
      <c r="N5" s="3793"/>
      <c r="O5" s="1317"/>
      <c r="P5" s="926" t="s">
        <v>4741</v>
      </c>
      <c r="Q5" s="81" t="s">
        <v>4742</v>
      </c>
      <c r="R5" s="81" t="s">
        <v>4743</v>
      </c>
      <c r="S5" s="81" t="s">
        <v>4744</v>
      </c>
      <c r="T5" s="1318" t="s">
        <v>2554</v>
      </c>
      <c r="U5" s="926" t="s">
        <v>4745</v>
      </c>
      <c r="V5" s="81" t="s">
        <v>4746</v>
      </c>
      <c r="W5" s="81" t="s">
        <v>4747</v>
      </c>
      <c r="X5" s="81" t="s">
        <v>4748</v>
      </c>
      <c r="Y5" s="81" t="s">
        <v>4744</v>
      </c>
      <c r="Z5" s="927" t="s">
        <v>2554</v>
      </c>
      <c r="AA5" s="926" t="s">
        <v>4749</v>
      </c>
      <c r="AB5" s="81" t="s">
        <v>4750</v>
      </c>
      <c r="AC5" s="81" t="s">
        <v>4751</v>
      </c>
      <c r="AD5" s="81" t="s">
        <v>4752</v>
      </c>
      <c r="AE5" s="81" t="s">
        <v>4744</v>
      </c>
      <c r="AF5" s="927" t="s">
        <v>2554</v>
      </c>
      <c r="AG5" s="3788"/>
      <c r="AH5" s="1317"/>
      <c r="AI5" s="3214"/>
      <c r="AJ5" s="200"/>
      <c r="AK5" s="72"/>
      <c r="AL5" s="90" t="s">
        <v>2405</v>
      </c>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72"/>
      <c r="BN5" s="3129"/>
      <c r="BO5" s="3131"/>
      <c r="BP5" s="3131"/>
      <c r="BQ5" s="3132"/>
      <c r="BR5" s="3129"/>
      <c r="BS5" s="3751"/>
      <c r="BT5" s="2731" t="s">
        <v>4739</v>
      </c>
      <c r="BU5" s="2732" t="s">
        <v>4740</v>
      </c>
      <c r="BV5" s="2731" t="s">
        <v>315</v>
      </c>
      <c r="BW5" s="81" t="s">
        <v>319</v>
      </c>
      <c r="BX5" s="81" t="s">
        <v>332</v>
      </c>
      <c r="BY5" s="2732" t="s">
        <v>457</v>
      </c>
      <c r="BZ5" s="3756"/>
      <c r="CA5" s="3129"/>
      <c r="CB5" s="2731" t="s">
        <v>4741</v>
      </c>
      <c r="CC5" s="81" t="s">
        <v>4742</v>
      </c>
      <c r="CD5" s="81" t="s">
        <v>4743</v>
      </c>
      <c r="CE5" s="81" t="s">
        <v>4744</v>
      </c>
      <c r="CF5" s="1318" t="s">
        <v>2554</v>
      </c>
      <c r="CG5" s="2731" t="s">
        <v>4745</v>
      </c>
      <c r="CH5" s="81" t="s">
        <v>4746</v>
      </c>
      <c r="CI5" s="81" t="s">
        <v>4747</v>
      </c>
      <c r="CJ5" s="81" t="s">
        <v>4748</v>
      </c>
      <c r="CK5" s="81" t="s">
        <v>4744</v>
      </c>
      <c r="CL5" s="2732" t="s">
        <v>2554</v>
      </c>
      <c r="CM5" s="2731" t="s">
        <v>4749</v>
      </c>
      <c r="CN5" s="81" t="s">
        <v>4750</v>
      </c>
      <c r="CO5" s="81" t="s">
        <v>4751</v>
      </c>
      <c r="CP5" s="81" t="s">
        <v>4752</v>
      </c>
      <c r="CQ5" s="81" t="s">
        <v>4744</v>
      </c>
      <c r="CR5" s="2732" t="s">
        <v>2554</v>
      </c>
    </row>
    <row r="6" spans="1:96" ht="15" thickBot="1">
      <c r="A6" s="1250"/>
      <c r="B6" s="1317"/>
      <c r="C6" s="1181"/>
      <c r="D6" s="1181"/>
      <c r="E6" s="1319"/>
      <c r="F6" s="1250"/>
      <c r="G6" s="1317"/>
      <c r="H6" s="1317"/>
      <c r="I6" s="1317"/>
      <c r="J6" s="1317"/>
      <c r="K6" s="1317"/>
      <c r="L6" s="1317"/>
      <c r="M6" s="1317"/>
      <c r="N6" s="1317"/>
      <c r="O6" s="1250"/>
      <c r="P6" s="1250"/>
      <c r="Q6" s="1250"/>
      <c r="R6" s="1250"/>
      <c r="S6" s="1250"/>
      <c r="T6" s="1250"/>
      <c r="U6" s="1320"/>
      <c r="V6" s="1320"/>
      <c r="W6" s="1320"/>
      <c r="X6" s="1320"/>
      <c r="Y6" s="1320"/>
      <c r="Z6" s="1320"/>
      <c r="AA6" s="1320"/>
      <c r="AB6" s="1320"/>
      <c r="AC6" s="1320"/>
      <c r="AD6" s="1320"/>
      <c r="AE6" s="1320"/>
      <c r="AF6" s="1320"/>
      <c r="AG6" s="1250"/>
      <c r="AH6" s="1250"/>
      <c r="AI6" s="71"/>
      <c r="AJ6" s="200"/>
      <c r="AK6" s="72"/>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72"/>
      <c r="BN6" s="3129"/>
      <c r="BO6" s="3133"/>
      <c r="BP6" s="3133"/>
      <c r="BQ6" s="3134"/>
      <c r="BR6" s="2705"/>
      <c r="BS6" s="3129"/>
      <c r="BT6" s="3129"/>
      <c r="BU6" s="3129"/>
      <c r="BV6" s="3129"/>
      <c r="BW6" s="3129"/>
      <c r="BX6" s="3129"/>
      <c r="BY6" s="3129"/>
      <c r="BZ6" s="3129"/>
      <c r="CA6" s="2705"/>
      <c r="CB6" s="2705"/>
      <c r="CC6" s="2705"/>
      <c r="CD6" s="2705"/>
      <c r="CE6" s="2705"/>
      <c r="CF6" s="2705"/>
      <c r="CG6" s="3135"/>
      <c r="CH6" s="3135"/>
      <c r="CI6" s="3135"/>
      <c r="CJ6" s="3135"/>
      <c r="CK6" s="3135"/>
      <c r="CL6" s="3135"/>
      <c r="CM6" s="3135"/>
      <c r="CN6" s="3135"/>
      <c r="CO6" s="3135"/>
      <c r="CP6" s="3135"/>
      <c r="CQ6" s="3135"/>
      <c r="CR6" s="3135"/>
    </row>
    <row r="7" spans="1:96" ht="15" thickBot="1">
      <c r="A7" s="1315"/>
      <c r="B7" s="118" t="s">
        <v>2449</v>
      </c>
      <c r="C7" s="119" t="s">
        <v>12684</v>
      </c>
      <c r="D7" s="1250"/>
      <c r="E7" s="1251"/>
      <c r="F7" s="1250"/>
      <c r="G7" s="1250"/>
      <c r="H7" s="1250"/>
      <c r="I7" s="1250"/>
      <c r="J7" s="1250"/>
      <c r="K7" s="1250"/>
      <c r="L7" s="1250"/>
      <c r="M7" s="1250"/>
      <c r="N7" s="1250"/>
      <c r="O7" s="1250"/>
      <c r="P7" s="1315"/>
      <c r="Q7" s="1315"/>
      <c r="R7" s="1315"/>
      <c r="S7" s="1315"/>
      <c r="T7" s="1315"/>
      <c r="U7" s="1321"/>
      <c r="V7" s="1321"/>
      <c r="W7" s="1321"/>
      <c r="X7" s="1321"/>
      <c r="Y7" s="1321"/>
      <c r="Z7" s="1321"/>
      <c r="AA7" s="1321"/>
      <c r="AB7" s="1321"/>
      <c r="AC7" s="1321"/>
      <c r="AD7" s="1321"/>
      <c r="AE7" s="1321"/>
      <c r="AF7" s="1321"/>
      <c r="AG7" s="1250"/>
      <c r="AH7" s="1250"/>
      <c r="AI7" s="1250"/>
      <c r="AJ7" s="200"/>
      <c r="AK7" s="72"/>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72"/>
      <c r="BN7" s="118" t="s">
        <v>2449</v>
      </c>
      <c r="BO7" s="119" t="s">
        <v>4753</v>
      </c>
      <c r="BP7" s="2705"/>
      <c r="BQ7" s="3136"/>
      <c r="BR7" s="2705"/>
      <c r="BS7" s="2705"/>
      <c r="BT7" s="2705"/>
      <c r="BU7" s="2705"/>
      <c r="BV7" s="2705"/>
      <c r="BW7" s="2705"/>
      <c r="BX7" s="2705"/>
      <c r="BY7" s="2705"/>
      <c r="BZ7" s="2705"/>
      <c r="CA7" s="2705"/>
      <c r="CB7" s="3137"/>
      <c r="CC7" s="3137"/>
      <c r="CD7" s="3137"/>
      <c r="CE7" s="3137"/>
      <c r="CF7" s="3137"/>
      <c r="CG7" s="3138"/>
      <c r="CH7" s="3138"/>
      <c r="CI7" s="3138"/>
      <c r="CJ7" s="3138"/>
      <c r="CK7" s="3138"/>
      <c r="CL7" s="3138"/>
      <c r="CM7" s="3138"/>
      <c r="CN7" s="3138"/>
      <c r="CO7" s="3138"/>
      <c r="CP7" s="3138"/>
      <c r="CQ7" s="3138"/>
      <c r="CR7" s="3138"/>
    </row>
    <row r="8" spans="1:96" ht="15.75">
      <c r="A8" s="1315"/>
      <c r="B8" s="91" t="s">
        <v>6296</v>
      </c>
      <c r="C8" s="122" t="s">
        <v>4754</v>
      </c>
      <c r="D8" s="93"/>
      <c r="E8" s="93" t="s">
        <v>4755</v>
      </c>
      <c r="F8" s="94">
        <v>0</v>
      </c>
      <c r="G8" s="1322"/>
      <c r="H8" s="1323"/>
      <c r="I8" s="1323"/>
      <c r="J8" s="1323"/>
      <c r="K8" s="1323"/>
      <c r="L8" s="1323"/>
      <c r="M8" s="1323"/>
      <c r="N8" s="1324">
        <f t="shared" ref="N8:N13" si="0">+SUM(G8:M8)</f>
        <v>0</v>
      </c>
      <c r="O8" s="1250"/>
      <c r="P8" s="1322"/>
      <c r="Q8" s="1323"/>
      <c r="R8" s="1323"/>
      <c r="S8" s="1323"/>
      <c r="T8" s="1324">
        <f t="shared" ref="T8:T13" si="1">+SUM(P8:S8)</f>
        <v>0</v>
      </c>
      <c r="U8" s="1322"/>
      <c r="V8" s="1323"/>
      <c r="W8" s="1323"/>
      <c r="X8" s="1323"/>
      <c r="Y8" s="1323"/>
      <c r="Z8" s="1324">
        <f t="shared" ref="Z8:Z13" si="2">+SUM(U8:Y8)</f>
        <v>0</v>
      </c>
      <c r="AA8" s="1322"/>
      <c r="AB8" s="1323"/>
      <c r="AC8" s="1323"/>
      <c r="AD8" s="1323"/>
      <c r="AE8" s="1323"/>
      <c r="AF8" s="1324">
        <f t="shared" ref="AF8:AF13" si="3">+SUM(AA8:AE8)</f>
        <v>0</v>
      </c>
      <c r="AG8" s="1178"/>
      <c r="AH8" s="1250"/>
      <c r="AI8" s="945" t="str">
        <f xml:space="preserve"> IF( SUM( AK8:BL8 ) = 0, 0, $AL$5 )</f>
        <v>Please complete all cells in row</v>
      </c>
      <c r="AJ8" s="200"/>
      <c r="AK8" s="72"/>
      <c r="AL8" s="98">
        <f>IF(Validation!$H$3=1,0,IF(ISNUMBER(G8),0,1))</f>
        <v>1</v>
      </c>
      <c r="AM8" s="98">
        <f>IF(Validation!$H$3=1,0,IF(ISNUMBER(H8),0,1))</f>
        <v>1</v>
      </c>
      <c r="AN8" s="98">
        <f>IF(Validation!$H$3=1,0,IF(ISNUMBER(I8),0,1))</f>
        <v>1</v>
      </c>
      <c r="AO8" s="98">
        <f>IF(Validation!$H$3=1,0,IF(ISNUMBER(J8),0,1))</f>
        <v>1</v>
      </c>
      <c r="AP8" s="98">
        <f>IF(Validation!$H$3=1,0,IF(ISNUMBER(K8),0,1))</f>
        <v>1</v>
      </c>
      <c r="AQ8" s="98">
        <f>IF(Validation!$H$3=1,0,IF(ISNUMBER(L8),0,1))</f>
        <v>1</v>
      </c>
      <c r="AR8" s="98">
        <f>IF(Validation!$H$3=1,0,IF(ISNUMBER(M8),0,1))</f>
        <v>1</v>
      </c>
      <c r="AS8" s="98"/>
      <c r="AT8" s="90"/>
      <c r="AU8" s="98">
        <f>IF(Validation!$H$3=1,0,IF(ISNUMBER(P8),0,1))</f>
        <v>1</v>
      </c>
      <c r="AV8" s="98">
        <f>IF(Validation!$H$3=1,0,IF(ISNUMBER(Q8),0,1))</f>
        <v>1</v>
      </c>
      <c r="AW8" s="98">
        <f>IF(Validation!$H$3=1,0,IF(ISNUMBER(R8),0,1))</f>
        <v>1</v>
      </c>
      <c r="AX8" s="98">
        <f>IF(Validation!$H$3=1,0,IF(ISNUMBER(S8),0,1))</f>
        <v>1</v>
      </c>
      <c r="AY8" s="98"/>
      <c r="AZ8" s="98">
        <f>IF(Validation!$H$3=1,0,IF(ISNUMBER(U8),0,1))</f>
        <v>1</v>
      </c>
      <c r="BA8" s="98">
        <f>IF(Validation!$H$3=1,0,IF(ISNUMBER(V8),0,1))</f>
        <v>1</v>
      </c>
      <c r="BB8" s="98">
        <f>IF(Validation!$H$3=1,0,IF(ISNUMBER(W8),0,1))</f>
        <v>1</v>
      </c>
      <c r="BC8" s="98">
        <f>IF(Validation!$H$3=1,0,IF(ISNUMBER(X8),0,1))</f>
        <v>1</v>
      </c>
      <c r="BD8" s="98">
        <f>IF(Validation!$H$3=1,0,IF(ISNUMBER(Y8),0,1))</f>
        <v>1</v>
      </c>
      <c r="BE8" s="98"/>
      <c r="BF8" s="98">
        <f>IF(Validation!$H$3=1,0,IF(ISNUMBER(AA8),0,1))</f>
        <v>1</v>
      </c>
      <c r="BG8" s="98">
        <f>IF(Validation!$H$3=1,0,IF(ISNUMBER(AB8),0,1))</f>
        <v>1</v>
      </c>
      <c r="BH8" s="98">
        <f>IF(Validation!$H$3=1,0,IF(ISNUMBER(AC8),0,1))</f>
        <v>1</v>
      </c>
      <c r="BI8" s="98">
        <f>IF(Validation!$H$3=1,0,IF(ISNUMBER(AD8),0,1))</f>
        <v>1</v>
      </c>
      <c r="BJ8" s="98">
        <f>IF(Validation!$H$3=1,0,IF(ISNUMBER(AE8),0,1))</f>
        <v>1</v>
      </c>
      <c r="BK8" s="98"/>
      <c r="BL8" s="72"/>
      <c r="BN8" s="91" t="s">
        <v>6296</v>
      </c>
      <c r="BO8" s="122" t="s">
        <v>4754</v>
      </c>
      <c r="BP8" s="93"/>
      <c r="BQ8" s="93" t="s">
        <v>4755</v>
      </c>
      <c r="BR8" s="94">
        <v>0</v>
      </c>
      <c r="BS8" s="3139" t="s">
        <v>9048</v>
      </c>
      <c r="BT8" s="3140" t="s">
        <v>9049</v>
      </c>
      <c r="BU8" s="3140" t="s">
        <v>9050</v>
      </c>
      <c r="BV8" s="3140" t="s">
        <v>9051</v>
      </c>
      <c r="BW8" s="3140" t="s">
        <v>9052</v>
      </c>
      <c r="BX8" s="3140" t="s">
        <v>9053</v>
      </c>
      <c r="BY8" s="3140" t="s">
        <v>9054</v>
      </c>
      <c r="BZ8" s="1324" t="s">
        <v>9055</v>
      </c>
      <c r="CA8" s="2705"/>
      <c r="CB8" s="3139" t="s">
        <v>9056</v>
      </c>
      <c r="CC8" s="3140" t="s">
        <v>9057</v>
      </c>
      <c r="CD8" s="3140" t="s">
        <v>9058</v>
      </c>
      <c r="CE8" s="3140" t="s">
        <v>9059</v>
      </c>
      <c r="CF8" s="1324" t="s">
        <v>9060</v>
      </c>
      <c r="CG8" s="3139" t="s">
        <v>9061</v>
      </c>
      <c r="CH8" s="3140" t="s">
        <v>9062</v>
      </c>
      <c r="CI8" s="3140" t="s">
        <v>9063</v>
      </c>
      <c r="CJ8" s="3140" t="s">
        <v>9064</v>
      </c>
      <c r="CK8" s="3140" t="s">
        <v>9065</v>
      </c>
      <c r="CL8" s="1324" t="s">
        <v>9066</v>
      </c>
      <c r="CM8" s="3139" t="s">
        <v>9067</v>
      </c>
      <c r="CN8" s="3140" t="s">
        <v>9068</v>
      </c>
      <c r="CO8" s="3140" t="s">
        <v>9069</v>
      </c>
      <c r="CP8" s="3140" t="s">
        <v>9070</v>
      </c>
      <c r="CQ8" s="3140" t="s">
        <v>9071</v>
      </c>
      <c r="CR8" s="1324" t="s">
        <v>9072</v>
      </c>
    </row>
    <row r="9" spans="1:96" ht="15.75">
      <c r="A9" s="1315"/>
      <c r="B9" s="99" t="s">
        <v>6297</v>
      </c>
      <c r="C9" s="92" t="s">
        <v>4756</v>
      </c>
      <c r="D9" s="100"/>
      <c r="E9" s="100" t="s">
        <v>4755</v>
      </c>
      <c r="F9" s="101">
        <v>0</v>
      </c>
      <c r="G9" s="1325"/>
      <c r="H9" s="1326"/>
      <c r="I9" s="1326"/>
      <c r="J9" s="1326"/>
      <c r="K9" s="1326"/>
      <c r="L9" s="1326"/>
      <c r="M9" s="1326"/>
      <c r="N9" s="1327">
        <f t="shared" si="0"/>
        <v>0</v>
      </c>
      <c r="O9" s="1250"/>
      <c r="P9" s="1325"/>
      <c r="Q9" s="1326"/>
      <c r="R9" s="1326"/>
      <c r="S9" s="1326"/>
      <c r="T9" s="1327">
        <f t="shared" si="1"/>
        <v>0</v>
      </c>
      <c r="U9" s="1325"/>
      <c r="V9" s="1326"/>
      <c r="W9" s="1326"/>
      <c r="X9" s="1326"/>
      <c r="Y9" s="1326"/>
      <c r="Z9" s="1327">
        <f t="shared" si="2"/>
        <v>0</v>
      </c>
      <c r="AA9" s="1325"/>
      <c r="AB9" s="1326"/>
      <c r="AC9" s="1326"/>
      <c r="AD9" s="1326"/>
      <c r="AE9" s="1326"/>
      <c r="AF9" s="1327">
        <f t="shared" si="3"/>
        <v>0</v>
      </c>
      <c r="AG9" s="1179"/>
      <c r="AH9" s="1250"/>
      <c r="AI9" s="945" t="str">
        <f t="shared" ref="AI9:AI13" si="4" xml:space="preserve"> IF( SUM( AK9:BL9 ) = 0, 0, $AL$5 )</f>
        <v>Please complete all cells in row</v>
      </c>
      <c r="AJ9" s="200"/>
      <c r="AK9" s="72"/>
      <c r="AL9" s="98">
        <f>IF(Validation!$H$3=1,0,IF(ISNUMBER(G9),0,1))</f>
        <v>1</v>
      </c>
      <c r="AM9" s="98">
        <f>IF(Validation!$H$3=1,0,IF(ISNUMBER(H9),0,1))</f>
        <v>1</v>
      </c>
      <c r="AN9" s="98">
        <f>IF(Validation!$H$3=1,0,IF(ISNUMBER(I9),0,1))</f>
        <v>1</v>
      </c>
      <c r="AO9" s="98">
        <f>IF(Validation!$H$3=1,0,IF(ISNUMBER(J9),0,1))</f>
        <v>1</v>
      </c>
      <c r="AP9" s="98">
        <f>IF(Validation!$H$3=1,0,IF(ISNUMBER(K9),0,1))</f>
        <v>1</v>
      </c>
      <c r="AQ9" s="98">
        <f>IF(Validation!$H$3=1,0,IF(ISNUMBER(L9),0,1))</f>
        <v>1</v>
      </c>
      <c r="AR9" s="98">
        <f>IF(Validation!$H$3=1,0,IF(ISNUMBER(M9),0,1))</f>
        <v>1</v>
      </c>
      <c r="AS9" s="98"/>
      <c r="AT9" s="90"/>
      <c r="AU9" s="98">
        <f>IF(Validation!$H$3=1,0,IF(ISNUMBER(P9),0,1))</f>
        <v>1</v>
      </c>
      <c r="AV9" s="98">
        <f>IF(Validation!$H$3=1,0,IF(ISNUMBER(Q9),0,1))</f>
        <v>1</v>
      </c>
      <c r="AW9" s="98">
        <f>IF(Validation!$H$3=1,0,IF(ISNUMBER(R9),0,1))</f>
        <v>1</v>
      </c>
      <c r="AX9" s="98">
        <f>IF(Validation!$H$3=1,0,IF(ISNUMBER(S9),0,1))</f>
        <v>1</v>
      </c>
      <c r="AY9" s="98"/>
      <c r="AZ9" s="98">
        <f>IF(Validation!$H$3=1,0,IF(ISNUMBER(U9),0,1))</f>
        <v>1</v>
      </c>
      <c r="BA9" s="98">
        <f>IF(Validation!$H$3=1,0,IF(ISNUMBER(V9),0,1))</f>
        <v>1</v>
      </c>
      <c r="BB9" s="98">
        <f>IF(Validation!$H$3=1,0,IF(ISNUMBER(W9),0,1))</f>
        <v>1</v>
      </c>
      <c r="BC9" s="98">
        <f>IF(Validation!$H$3=1,0,IF(ISNUMBER(X9),0,1))</f>
        <v>1</v>
      </c>
      <c r="BD9" s="98">
        <f>IF(Validation!$H$3=1,0,IF(ISNUMBER(Y9),0,1))</f>
        <v>1</v>
      </c>
      <c r="BE9" s="98"/>
      <c r="BF9" s="98">
        <f>IF(Validation!$H$3=1,0,IF(ISNUMBER(AA9),0,1))</f>
        <v>1</v>
      </c>
      <c r="BG9" s="98">
        <f>IF(Validation!$H$3=1,0,IF(ISNUMBER(AB9),0,1))</f>
        <v>1</v>
      </c>
      <c r="BH9" s="98">
        <f>IF(Validation!$H$3=1,0,IF(ISNUMBER(AC9),0,1))</f>
        <v>1</v>
      </c>
      <c r="BI9" s="98">
        <f>IF(Validation!$H$3=1,0,IF(ISNUMBER(AD9),0,1))</f>
        <v>1</v>
      </c>
      <c r="BJ9" s="98">
        <f>IF(Validation!$H$3=1,0,IF(ISNUMBER(AE9),0,1))</f>
        <v>1</v>
      </c>
      <c r="BK9" s="98"/>
      <c r="BL9" s="72"/>
      <c r="BN9" s="99" t="s">
        <v>6297</v>
      </c>
      <c r="BO9" s="92" t="s">
        <v>4756</v>
      </c>
      <c r="BP9" s="100"/>
      <c r="BQ9" s="100" t="s">
        <v>4755</v>
      </c>
      <c r="BR9" s="101">
        <v>0</v>
      </c>
      <c r="BS9" s="3141" t="s">
        <v>9073</v>
      </c>
      <c r="BT9" s="3142" t="s">
        <v>9074</v>
      </c>
      <c r="BU9" s="3142" t="s">
        <v>9075</v>
      </c>
      <c r="BV9" s="3142" t="s">
        <v>9076</v>
      </c>
      <c r="BW9" s="3142" t="s">
        <v>9077</v>
      </c>
      <c r="BX9" s="3142" t="s">
        <v>9078</v>
      </c>
      <c r="BY9" s="3142" t="s">
        <v>9079</v>
      </c>
      <c r="BZ9" s="1327" t="s">
        <v>9080</v>
      </c>
      <c r="CA9" s="2705"/>
      <c r="CB9" s="3141" t="s">
        <v>9081</v>
      </c>
      <c r="CC9" s="3142" t="s">
        <v>9082</v>
      </c>
      <c r="CD9" s="3142" t="s">
        <v>9083</v>
      </c>
      <c r="CE9" s="3142" t="s">
        <v>9084</v>
      </c>
      <c r="CF9" s="1327" t="s">
        <v>9085</v>
      </c>
      <c r="CG9" s="3141" t="s">
        <v>9086</v>
      </c>
      <c r="CH9" s="3142" t="s">
        <v>9087</v>
      </c>
      <c r="CI9" s="3142" t="s">
        <v>9088</v>
      </c>
      <c r="CJ9" s="3142" t="s">
        <v>9089</v>
      </c>
      <c r="CK9" s="3142" t="s">
        <v>9090</v>
      </c>
      <c r="CL9" s="1327" t="s">
        <v>9091</v>
      </c>
      <c r="CM9" s="3141" t="s">
        <v>9092</v>
      </c>
      <c r="CN9" s="3142" t="s">
        <v>9093</v>
      </c>
      <c r="CO9" s="3142" t="s">
        <v>9094</v>
      </c>
      <c r="CP9" s="3142" t="s">
        <v>9095</v>
      </c>
      <c r="CQ9" s="3142" t="s">
        <v>9096</v>
      </c>
      <c r="CR9" s="1327" t="s">
        <v>9097</v>
      </c>
    </row>
    <row r="10" spans="1:96" ht="15.75">
      <c r="A10" s="1315"/>
      <c r="B10" s="99" t="s">
        <v>6298</v>
      </c>
      <c r="C10" s="92" t="s">
        <v>4757</v>
      </c>
      <c r="D10" s="100"/>
      <c r="E10" s="100" t="s">
        <v>4755</v>
      </c>
      <c r="F10" s="101">
        <v>0</v>
      </c>
      <c r="G10" s="1325"/>
      <c r="H10" s="1326"/>
      <c r="I10" s="1326"/>
      <c r="J10" s="1326"/>
      <c r="K10" s="1326"/>
      <c r="L10" s="1326"/>
      <c r="M10" s="1326"/>
      <c r="N10" s="1327">
        <f t="shared" si="0"/>
        <v>0</v>
      </c>
      <c r="O10" s="1250"/>
      <c r="P10" s="1325"/>
      <c r="Q10" s="1326"/>
      <c r="R10" s="1326"/>
      <c r="S10" s="1326"/>
      <c r="T10" s="1327">
        <f t="shared" si="1"/>
        <v>0</v>
      </c>
      <c r="U10" s="1325"/>
      <c r="V10" s="1326"/>
      <c r="W10" s="1326"/>
      <c r="X10" s="1326"/>
      <c r="Y10" s="1326"/>
      <c r="Z10" s="1327">
        <f t="shared" si="2"/>
        <v>0</v>
      </c>
      <c r="AA10" s="1325"/>
      <c r="AB10" s="1326"/>
      <c r="AC10" s="1326"/>
      <c r="AD10" s="1326"/>
      <c r="AE10" s="1326"/>
      <c r="AF10" s="1327">
        <f t="shared" si="3"/>
        <v>0</v>
      </c>
      <c r="AG10" s="1179"/>
      <c r="AH10" s="1250"/>
      <c r="AI10" s="945" t="str">
        <f t="shared" si="4"/>
        <v>Please complete all cells in row</v>
      </c>
      <c r="AJ10" s="200"/>
      <c r="AK10" s="72"/>
      <c r="AL10" s="98">
        <f>IF(Validation!$H$3=1,0,IF(ISNUMBER(G10),0,1))</f>
        <v>1</v>
      </c>
      <c r="AM10" s="98">
        <f>IF(Validation!$H$3=1,0,IF(ISNUMBER(H10),0,1))</f>
        <v>1</v>
      </c>
      <c r="AN10" s="98">
        <f>IF(Validation!$H$3=1,0,IF(ISNUMBER(I10),0,1))</f>
        <v>1</v>
      </c>
      <c r="AO10" s="98">
        <f>IF(Validation!$H$3=1,0,IF(ISNUMBER(J10),0,1))</f>
        <v>1</v>
      </c>
      <c r="AP10" s="98">
        <f>IF(Validation!$H$3=1,0,IF(ISNUMBER(K10),0,1))</f>
        <v>1</v>
      </c>
      <c r="AQ10" s="98">
        <f>IF(Validation!$H$3=1,0,IF(ISNUMBER(L10),0,1))</f>
        <v>1</v>
      </c>
      <c r="AR10" s="98">
        <f>IF(Validation!$H$3=1,0,IF(ISNUMBER(M10),0,1))</f>
        <v>1</v>
      </c>
      <c r="AS10" s="98"/>
      <c r="AT10" s="90"/>
      <c r="AU10" s="98">
        <f>IF(Validation!$H$3=1,0,IF(ISNUMBER(P10),0,1))</f>
        <v>1</v>
      </c>
      <c r="AV10" s="98">
        <f>IF(Validation!$H$3=1,0,IF(ISNUMBER(Q10),0,1))</f>
        <v>1</v>
      </c>
      <c r="AW10" s="98">
        <f>IF(Validation!$H$3=1,0,IF(ISNUMBER(R10),0,1))</f>
        <v>1</v>
      </c>
      <c r="AX10" s="98">
        <f>IF(Validation!$H$3=1,0,IF(ISNUMBER(S10),0,1))</f>
        <v>1</v>
      </c>
      <c r="AY10" s="98"/>
      <c r="AZ10" s="98">
        <f>IF(Validation!$H$3=1,0,IF(ISNUMBER(U10),0,1))</f>
        <v>1</v>
      </c>
      <c r="BA10" s="98">
        <f>IF(Validation!$H$3=1,0,IF(ISNUMBER(V10),0,1))</f>
        <v>1</v>
      </c>
      <c r="BB10" s="98">
        <f>IF(Validation!$H$3=1,0,IF(ISNUMBER(W10),0,1))</f>
        <v>1</v>
      </c>
      <c r="BC10" s="98">
        <f>IF(Validation!$H$3=1,0,IF(ISNUMBER(X10),0,1))</f>
        <v>1</v>
      </c>
      <c r="BD10" s="98">
        <f>IF(Validation!$H$3=1,0,IF(ISNUMBER(Y10),0,1))</f>
        <v>1</v>
      </c>
      <c r="BE10" s="98"/>
      <c r="BF10" s="98">
        <f>IF(Validation!$H$3=1,0,IF(ISNUMBER(AA10),0,1))</f>
        <v>1</v>
      </c>
      <c r="BG10" s="98">
        <f>IF(Validation!$H$3=1,0,IF(ISNUMBER(AB10),0,1))</f>
        <v>1</v>
      </c>
      <c r="BH10" s="98">
        <f>IF(Validation!$H$3=1,0,IF(ISNUMBER(AC10),0,1))</f>
        <v>1</v>
      </c>
      <c r="BI10" s="98">
        <f>IF(Validation!$H$3=1,0,IF(ISNUMBER(AD10),0,1))</f>
        <v>1</v>
      </c>
      <c r="BJ10" s="98">
        <f>IF(Validation!$H$3=1,0,IF(ISNUMBER(AE10),0,1))</f>
        <v>1</v>
      </c>
      <c r="BK10" s="98"/>
      <c r="BL10" s="72"/>
      <c r="BN10" s="99" t="s">
        <v>6298</v>
      </c>
      <c r="BO10" s="92" t="s">
        <v>4757</v>
      </c>
      <c r="BP10" s="100"/>
      <c r="BQ10" s="100" t="s">
        <v>4755</v>
      </c>
      <c r="BR10" s="101">
        <v>0</v>
      </c>
      <c r="BS10" s="3141" t="s">
        <v>9098</v>
      </c>
      <c r="BT10" s="3142" t="s">
        <v>9099</v>
      </c>
      <c r="BU10" s="3142" t="s">
        <v>9100</v>
      </c>
      <c r="BV10" s="3142" t="s">
        <v>9101</v>
      </c>
      <c r="BW10" s="3142" t="s">
        <v>9102</v>
      </c>
      <c r="BX10" s="3142" t="s">
        <v>9103</v>
      </c>
      <c r="BY10" s="3142" t="s">
        <v>9104</v>
      </c>
      <c r="BZ10" s="1327" t="s">
        <v>9105</v>
      </c>
      <c r="CA10" s="2705"/>
      <c r="CB10" s="3141" t="s">
        <v>9106</v>
      </c>
      <c r="CC10" s="3142" t="s">
        <v>9107</v>
      </c>
      <c r="CD10" s="3142" t="s">
        <v>9108</v>
      </c>
      <c r="CE10" s="3142" t="s">
        <v>9109</v>
      </c>
      <c r="CF10" s="1327" t="s">
        <v>9110</v>
      </c>
      <c r="CG10" s="3141" t="s">
        <v>9111</v>
      </c>
      <c r="CH10" s="3142" t="s">
        <v>9112</v>
      </c>
      <c r="CI10" s="3142" t="s">
        <v>9113</v>
      </c>
      <c r="CJ10" s="3142" t="s">
        <v>9114</v>
      </c>
      <c r="CK10" s="3142" t="s">
        <v>9115</v>
      </c>
      <c r="CL10" s="1327" t="s">
        <v>9116</v>
      </c>
      <c r="CM10" s="3141" t="s">
        <v>9117</v>
      </c>
      <c r="CN10" s="3142" t="s">
        <v>9118</v>
      </c>
      <c r="CO10" s="3142" t="s">
        <v>9119</v>
      </c>
      <c r="CP10" s="3142" t="s">
        <v>9120</v>
      </c>
      <c r="CQ10" s="3142" t="s">
        <v>9121</v>
      </c>
      <c r="CR10" s="1327" t="s">
        <v>9122</v>
      </c>
    </row>
    <row r="11" spans="1:96" ht="15.75">
      <c r="A11" s="1315"/>
      <c r="B11" s="99" t="s">
        <v>6299</v>
      </c>
      <c r="C11" s="92" t="s">
        <v>4758</v>
      </c>
      <c r="D11" s="100"/>
      <c r="E11" s="100" t="s">
        <v>4755</v>
      </c>
      <c r="F11" s="101">
        <v>0</v>
      </c>
      <c r="G11" s="1325"/>
      <c r="H11" s="1326"/>
      <c r="I11" s="1326"/>
      <c r="J11" s="1326"/>
      <c r="K11" s="1326"/>
      <c r="L11" s="1326"/>
      <c r="M11" s="1326"/>
      <c r="N11" s="1327">
        <f t="shared" si="0"/>
        <v>0</v>
      </c>
      <c r="O11" s="1250"/>
      <c r="P11" s="1325"/>
      <c r="Q11" s="1326"/>
      <c r="R11" s="1326"/>
      <c r="S11" s="1326"/>
      <c r="T11" s="1327">
        <f t="shared" si="1"/>
        <v>0</v>
      </c>
      <c r="U11" s="1325"/>
      <c r="V11" s="1326"/>
      <c r="W11" s="1326"/>
      <c r="X11" s="1326"/>
      <c r="Y11" s="1326"/>
      <c r="Z11" s="1327">
        <f t="shared" si="2"/>
        <v>0</v>
      </c>
      <c r="AA11" s="1325"/>
      <c r="AB11" s="1326"/>
      <c r="AC11" s="1326"/>
      <c r="AD11" s="1326"/>
      <c r="AE11" s="1326"/>
      <c r="AF11" s="1327">
        <f t="shared" si="3"/>
        <v>0</v>
      </c>
      <c r="AG11" s="1179"/>
      <c r="AH11" s="1250"/>
      <c r="AI11" s="945" t="str">
        <f t="shared" si="4"/>
        <v>Please complete all cells in row</v>
      </c>
      <c r="AJ11" s="200"/>
      <c r="AK11" s="72"/>
      <c r="AL11" s="98">
        <f>IF(Validation!$H$3=1,0,IF(ISNUMBER(G11),0,1))</f>
        <v>1</v>
      </c>
      <c r="AM11" s="98">
        <f>IF(Validation!$H$3=1,0,IF(ISNUMBER(H11),0,1))</f>
        <v>1</v>
      </c>
      <c r="AN11" s="98">
        <f>IF(Validation!$H$3=1,0,IF(ISNUMBER(I11),0,1))</f>
        <v>1</v>
      </c>
      <c r="AO11" s="98">
        <f>IF(Validation!$H$3=1,0,IF(ISNUMBER(J11),0,1))</f>
        <v>1</v>
      </c>
      <c r="AP11" s="98">
        <f>IF(Validation!$H$3=1,0,IF(ISNUMBER(K11),0,1))</f>
        <v>1</v>
      </c>
      <c r="AQ11" s="98">
        <f>IF(Validation!$H$3=1,0,IF(ISNUMBER(L11),0,1))</f>
        <v>1</v>
      </c>
      <c r="AR11" s="98">
        <f>IF(Validation!$H$3=1,0,IF(ISNUMBER(M11),0,1))</f>
        <v>1</v>
      </c>
      <c r="AS11" s="98"/>
      <c r="AT11" s="90"/>
      <c r="AU11" s="98">
        <f>IF(Validation!$H$3=1,0,IF(ISNUMBER(P11),0,1))</f>
        <v>1</v>
      </c>
      <c r="AV11" s="98">
        <f>IF(Validation!$H$3=1,0,IF(ISNUMBER(Q11),0,1))</f>
        <v>1</v>
      </c>
      <c r="AW11" s="98">
        <f>IF(Validation!$H$3=1,0,IF(ISNUMBER(R11),0,1))</f>
        <v>1</v>
      </c>
      <c r="AX11" s="98">
        <f>IF(Validation!$H$3=1,0,IF(ISNUMBER(S11),0,1))</f>
        <v>1</v>
      </c>
      <c r="AY11" s="98"/>
      <c r="AZ11" s="98">
        <f>IF(Validation!$H$3=1,0,IF(ISNUMBER(U11),0,1))</f>
        <v>1</v>
      </c>
      <c r="BA11" s="98">
        <f>IF(Validation!$H$3=1,0,IF(ISNUMBER(V11),0,1))</f>
        <v>1</v>
      </c>
      <c r="BB11" s="98">
        <f>IF(Validation!$H$3=1,0,IF(ISNUMBER(W11),0,1))</f>
        <v>1</v>
      </c>
      <c r="BC11" s="98">
        <f>IF(Validation!$H$3=1,0,IF(ISNUMBER(X11),0,1))</f>
        <v>1</v>
      </c>
      <c r="BD11" s="98">
        <f>IF(Validation!$H$3=1,0,IF(ISNUMBER(Y11),0,1))</f>
        <v>1</v>
      </c>
      <c r="BE11" s="98"/>
      <c r="BF11" s="98">
        <f>IF(Validation!$H$3=1,0,IF(ISNUMBER(AA11),0,1))</f>
        <v>1</v>
      </c>
      <c r="BG11" s="98">
        <f>IF(Validation!$H$3=1,0,IF(ISNUMBER(AB11),0,1))</f>
        <v>1</v>
      </c>
      <c r="BH11" s="98">
        <f>IF(Validation!$H$3=1,0,IF(ISNUMBER(AC11),0,1))</f>
        <v>1</v>
      </c>
      <c r="BI11" s="98">
        <f>IF(Validation!$H$3=1,0,IF(ISNUMBER(AD11),0,1))</f>
        <v>1</v>
      </c>
      <c r="BJ11" s="98">
        <f>IF(Validation!$H$3=1,0,IF(ISNUMBER(AE11),0,1))</f>
        <v>1</v>
      </c>
      <c r="BK11" s="98"/>
      <c r="BL11" s="72"/>
      <c r="BN11" s="99" t="s">
        <v>6299</v>
      </c>
      <c r="BO11" s="92" t="s">
        <v>4758</v>
      </c>
      <c r="BP11" s="100"/>
      <c r="BQ11" s="100" t="s">
        <v>4755</v>
      </c>
      <c r="BR11" s="101">
        <v>0</v>
      </c>
      <c r="BS11" s="3141" t="s">
        <v>9123</v>
      </c>
      <c r="BT11" s="3142" t="s">
        <v>9124</v>
      </c>
      <c r="BU11" s="3142" t="s">
        <v>9125</v>
      </c>
      <c r="BV11" s="3142" t="s">
        <v>9126</v>
      </c>
      <c r="BW11" s="3142" t="s">
        <v>9127</v>
      </c>
      <c r="BX11" s="3142" t="s">
        <v>9128</v>
      </c>
      <c r="BY11" s="3142" t="s">
        <v>9129</v>
      </c>
      <c r="BZ11" s="1327" t="s">
        <v>9130</v>
      </c>
      <c r="CA11" s="2705"/>
      <c r="CB11" s="3141" t="s">
        <v>9131</v>
      </c>
      <c r="CC11" s="3142" t="s">
        <v>9132</v>
      </c>
      <c r="CD11" s="3142" t="s">
        <v>9133</v>
      </c>
      <c r="CE11" s="3142" t="s">
        <v>9134</v>
      </c>
      <c r="CF11" s="1327" t="s">
        <v>9135</v>
      </c>
      <c r="CG11" s="3141" t="s">
        <v>9136</v>
      </c>
      <c r="CH11" s="3142" t="s">
        <v>9137</v>
      </c>
      <c r="CI11" s="3142" t="s">
        <v>9138</v>
      </c>
      <c r="CJ11" s="3142" t="s">
        <v>9139</v>
      </c>
      <c r="CK11" s="3142" t="s">
        <v>9140</v>
      </c>
      <c r="CL11" s="1327" t="s">
        <v>9141</v>
      </c>
      <c r="CM11" s="3141" t="s">
        <v>9142</v>
      </c>
      <c r="CN11" s="3142" t="s">
        <v>9143</v>
      </c>
      <c r="CO11" s="3142" t="s">
        <v>9144</v>
      </c>
      <c r="CP11" s="3142" t="s">
        <v>9145</v>
      </c>
      <c r="CQ11" s="3142" t="s">
        <v>9146</v>
      </c>
      <c r="CR11" s="1327" t="s">
        <v>9147</v>
      </c>
    </row>
    <row r="12" spans="1:96" ht="15.75">
      <c r="A12" s="1315"/>
      <c r="B12" s="99" t="s">
        <v>6300</v>
      </c>
      <c r="C12" s="961" t="s">
        <v>4759</v>
      </c>
      <c r="D12" s="1328"/>
      <c r="E12" s="1328" t="s">
        <v>4755</v>
      </c>
      <c r="F12" s="1329">
        <v>0</v>
      </c>
      <c r="G12" s="1325"/>
      <c r="H12" s="1326"/>
      <c r="I12" s="1326"/>
      <c r="J12" s="1326"/>
      <c r="K12" s="1326"/>
      <c r="L12" s="1326"/>
      <c r="M12" s="1326"/>
      <c r="N12" s="1327">
        <f t="shared" si="0"/>
        <v>0</v>
      </c>
      <c r="O12" s="1250"/>
      <c r="P12" s="1325"/>
      <c r="Q12" s="1326"/>
      <c r="R12" s="1326"/>
      <c r="S12" s="1326"/>
      <c r="T12" s="1327">
        <f t="shared" si="1"/>
        <v>0</v>
      </c>
      <c r="U12" s="1325"/>
      <c r="V12" s="1326"/>
      <c r="W12" s="1326"/>
      <c r="X12" s="1326"/>
      <c r="Y12" s="1326"/>
      <c r="Z12" s="1327">
        <f t="shared" si="2"/>
        <v>0</v>
      </c>
      <c r="AA12" s="1325"/>
      <c r="AB12" s="1326"/>
      <c r="AC12" s="1326"/>
      <c r="AD12" s="1326"/>
      <c r="AE12" s="1326"/>
      <c r="AF12" s="1327">
        <f t="shared" si="3"/>
        <v>0</v>
      </c>
      <c r="AG12" s="1179"/>
      <c r="AH12" s="1250"/>
      <c r="AI12" s="945" t="str">
        <f t="shared" si="4"/>
        <v>Please complete all cells in row</v>
      </c>
      <c r="AJ12" s="200"/>
      <c r="AK12" s="72"/>
      <c r="AL12" s="98">
        <f>IF(Validation!$H$3=1,0,IF(ISNUMBER(G12),0,1))</f>
        <v>1</v>
      </c>
      <c r="AM12" s="98">
        <f>IF(Validation!$H$3=1,0,IF(ISNUMBER(H12),0,1))</f>
        <v>1</v>
      </c>
      <c r="AN12" s="98">
        <f>IF(Validation!$H$3=1,0,IF(ISNUMBER(I12),0,1))</f>
        <v>1</v>
      </c>
      <c r="AO12" s="98">
        <f>IF(Validation!$H$3=1,0,IF(ISNUMBER(J12),0,1))</f>
        <v>1</v>
      </c>
      <c r="AP12" s="98">
        <f>IF(Validation!$H$3=1,0,IF(ISNUMBER(K12),0,1))</f>
        <v>1</v>
      </c>
      <c r="AQ12" s="98">
        <f>IF(Validation!$H$3=1,0,IF(ISNUMBER(L12),0,1))</f>
        <v>1</v>
      </c>
      <c r="AR12" s="98">
        <f>IF(Validation!$H$3=1,0,IF(ISNUMBER(M12),0,1))</f>
        <v>1</v>
      </c>
      <c r="AS12" s="98"/>
      <c r="AT12" s="90"/>
      <c r="AU12" s="98">
        <f>IF(Validation!$H$3=1,0,IF(ISNUMBER(P12),0,1))</f>
        <v>1</v>
      </c>
      <c r="AV12" s="98">
        <f>IF(Validation!$H$3=1,0,IF(ISNUMBER(Q12),0,1))</f>
        <v>1</v>
      </c>
      <c r="AW12" s="98">
        <f>IF(Validation!$H$3=1,0,IF(ISNUMBER(R12),0,1))</f>
        <v>1</v>
      </c>
      <c r="AX12" s="98">
        <f>IF(Validation!$H$3=1,0,IF(ISNUMBER(S12),0,1))</f>
        <v>1</v>
      </c>
      <c r="AY12" s="98"/>
      <c r="AZ12" s="98">
        <f>IF(Validation!$H$3=1,0,IF(ISNUMBER(U12),0,1))</f>
        <v>1</v>
      </c>
      <c r="BA12" s="98">
        <f>IF(Validation!$H$3=1,0,IF(ISNUMBER(V12),0,1))</f>
        <v>1</v>
      </c>
      <c r="BB12" s="98">
        <f>IF(Validation!$H$3=1,0,IF(ISNUMBER(W12),0,1))</f>
        <v>1</v>
      </c>
      <c r="BC12" s="98">
        <f>IF(Validation!$H$3=1,0,IF(ISNUMBER(X12),0,1))</f>
        <v>1</v>
      </c>
      <c r="BD12" s="98">
        <f>IF(Validation!$H$3=1,0,IF(ISNUMBER(Y12),0,1))</f>
        <v>1</v>
      </c>
      <c r="BE12" s="98"/>
      <c r="BF12" s="98">
        <f>IF(Validation!$H$3=1,0,IF(ISNUMBER(AA12),0,1))</f>
        <v>1</v>
      </c>
      <c r="BG12" s="98">
        <f>IF(Validation!$H$3=1,0,IF(ISNUMBER(AB12),0,1))</f>
        <v>1</v>
      </c>
      <c r="BH12" s="98">
        <f>IF(Validation!$H$3=1,0,IF(ISNUMBER(AC12),0,1))</f>
        <v>1</v>
      </c>
      <c r="BI12" s="98">
        <f>IF(Validation!$H$3=1,0,IF(ISNUMBER(AD12),0,1))</f>
        <v>1</v>
      </c>
      <c r="BJ12" s="98">
        <f>IF(Validation!$H$3=1,0,IF(ISNUMBER(AE12),0,1))</f>
        <v>1</v>
      </c>
      <c r="BK12" s="98"/>
      <c r="BL12" s="72"/>
      <c r="BN12" s="99" t="s">
        <v>6300</v>
      </c>
      <c r="BO12" s="961" t="s">
        <v>4759</v>
      </c>
      <c r="BP12" s="1328"/>
      <c r="BQ12" s="1328" t="s">
        <v>4755</v>
      </c>
      <c r="BR12" s="1329">
        <v>0</v>
      </c>
      <c r="BS12" s="3141" t="s">
        <v>9148</v>
      </c>
      <c r="BT12" s="3142" t="s">
        <v>9149</v>
      </c>
      <c r="BU12" s="3142" t="s">
        <v>9150</v>
      </c>
      <c r="BV12" s="3142" t="s">
        <v>9151</v>
      </c>
      <c r="BW12" s="3142" t="s">
        <v>9152</v>
      </c>
      <c r="BX12" s="3142" t="s">
        <v>9153</v>
      </c>
      <c r="BY12" s="3142" t="s">
        <v>9154</v>
      </c>
      <c r="BZ12" s="1327" t="s">
        <v>9155</v>
      </c>
      <c r="CA12" s="2705"/>
      <c r="CB12" s="3141" t="s">
        <v>9156</v>
      </c>
      <c r="CC12" s="3142" t="s">
        <v>9157</v>
      </c>
      <c r="CD12" s="3142" t="s">
        <v>9158</v>
      </c>
      <c r="CE12" s="3142" t="s">
        <v>9159</v>
      </c>
      <c r="CF12" s="1327" t="s">
        <v>9160</v>
      </c>
      <c r="CG12" s="3141" t="s">
        <v>9161</v>
      </c>
      <c r="CH12" s="3142" t="s">
        <v>9162</v>
      </c>
      <c r="CI12" s="3142" t="s">
        <v>9163</v>
      </c>
      <c r="CJ12" s="3142" t="s">
        <v>9164</v>
      </c>
      <c r="CK12" s="3142" t="s">
        <v>9165</v>
      </c>
      <c r="CL12" s="1327" t="s">
        <v>9166</v>
      </c>
      <c r="CM12" s="3141" t="s">
        <v>9167</v>
      </c>
      <c r="CN12" s="3142" t="s">
        <v>9168</v>
      </c>
      <c r="CO12" s="3142" t="s">
        <v>9169</v>
      </c>
      <c r="CP12" s="3142" t="s">
        <v>9170</v>
      </c>
      <c r="CQ12" s="3142" t="s">
        <v>9171</v>
      </c>
      <c r="CR12" s="1327" t="s">
        <v>9172</v>
      </c>
    </row>
    <row r="13" spans="1:96" ht="15.75">
      <c r="A13" s="1315"/>
      <c r="B13" s="99" t="s">
        <v>6301</v>
      </c>
      <c r="C13" s="92" t="s">
        <v>4760</v>
      </c>
      <c r="D13" s="100"/>
      <c r="E13" s="100" t="s">
        <v>4755</v>
      </c>
      <c r="F13" s="101">
        <v>0</v>
      </c>
      <c r="G13" s="1325"/>
      <c r="H13" s="1326"/>
      <c r="I13" s="1326"/>
      <c r="J13" s="1326"/>
      <c r="K13" s="1326"/>
      <c r="L13" s="1326"/>
      <c r="M13" s="1326"/>
      <c r="N13" s="1327">
        <f t="shared" si="0"/>
        <v>0</v>
      </c>
      <c r="O13" s="1250"/>
      <c r="P13" s="1325"/>
      <c r="Q13" s="1326"/>
      <c r="R13" s="1326"/>
      <c r="S13" s="1326"/>
      <c r="T13" s="1327">
        <f t="shared" si="1"/>
        <v>0</v>
      </c>
      <c r="U13" s="1325"/>
      <c r="V13" s="1326"/>
      <c r="W13" s="1326"/>
      <c r="X13" s="1326"/>
      <c r="Y13" s="1326"/>
      <c r="Z13" s="1327">
        <f t="shared" si="2"/>
        <v>0</v>
      </c>
      <c r="AA13" s="1325"/>
      <c r="AB13" s="1326"/>
      <c r="AC13" s="1326"/>
      <c r="AD13" s="1326"/>
      <c r="AE13" s="1326"/>
      <c r="AF13" s="1327">
        <f t="shared" si="3"/>
        <v>0</v>
      </c>
      <c r="AG13" s="1165"/>
      <c r="AH13" s="1250"/>
      <c r="AI13" s="945" t="str">
        <f t="shared" si="4"/>
        <v>Please complete all cells in row</v>
      </c>
      <c r="AJ13" s="200"/>
      <c r="AK13" s="72"/>
      <c r="AL13" s="98">
        <f>IF(Validation!$H$3=1,0,IF(ISNUMBER(G13),0,1))</f>
        <v>1</v>
      </c>
      <c r="AM13" s="98">
        <f>IF(Validation!$H$3=1,0,IF(ISNUMBER(H13),0,1))</f>
        <v>1</v>
      </c>
      <c r="AN13" s="98">
        <f>IF(Validation!$H$3=1,0,IF(ISNUMBER(I13),0,1))</f>
        <v>1</v>
      </c>
      <c r="AO13" s="98">
        <f>IF(Validation!$H$3=1,0,IF(ISNUMBER(J13),0,1))</f>
        <v>1</v>
      </c>
      <c r="AP13" s="98">
        <f>IF(Validation!$H$3=1,0,IF(ISNUMBER(K13),0,1))</f>
        <v>1</v>
      </c>
      <c r="AQ13" s="98">
        <f>IF(Validation!$H$3=1,0,IF(ISNUMBER(L13),0,1))</f>
        <v>1</v>
      </c>
      <c r="AR13" s="98">
        <f>IF(Validation!$H$3=1,0,IF(ISNUMBER(M13),0,1))</f>
        <v>1</v>
      </c>
      <c r="AS13" s="98"/>
      <c r="AT13" s="90"/>
      <c r="AU13" s="98">
        <f>IF(Validation!$H$3=1,0,IF(ISNUMBER(P13),0,1))</f>
        <v>1</v>
      </c>
      <c r="AV13" s="98">
        <f>IF(Validation!$H$3=1,0,IF(ISNUMBER(Q13),0,1))</f>
        <v>1</v>
      </c>
      <c r="AW13" s="98">
        <f>IF(Validation!$H$3=1,0,IF(ISNUMBER(R13),0,1))</f>
        <v>1</v>
      </c>
      <c r="AX13" s="98">
        <f>IF(Validation!$H$3=1,0,IF(ISNUMBER(S13),0,1))</f>
        <v>1</v>
      </c>
      <c r="AY13" s="98"/>
      <c r="AZ13" s="98">
        <f>IF(Validation!$H$3=1,0,IF(ISNUMBER(U13),0,1))</f>
        <v>1</v>
      </c>
      <c r="BA13" s="98">
        <f>IF(Validation!$H$3=1,0,IF(ISNUMBER(V13),0,1))</f>
        <v>1</v>
      </c>
      <c r="BB13" s="98">
        <f>IF(Validation!$H$3=1,0,IF(ISNUMBER(W13),0,1))</f>
        <v>1</v>
      </c>
      <c r="BC13" s="98">
        <f>IF(Validation!$H$3=1,0,IF(ISNUMBER(X13),0,1))</f>
        <v>1</v>
      </c>
      <c r="BD13" s="98">
        <f>IF(Validation!$H$3=1,0,IF(ISNUMBER(Y13),0,1))</f>
        <v>1</v>
      </c>
      <c r="BE13" s="98"/>
      <c r="BF13" s="98">
        <f>IF(Validation!$H$3=1,0,IF(ISNUMBER(AA13),0,1))</f>
        <v>1</v>
      </c>
      <c r="BG13" s="98">
        <f>IF(Validation!$H$3=1,0,IF(ISNUMBER(AB13),0,1))</f>
        <v>1</v>
      </c>
      <c r="BH13" s="98">
        <f>IF(Validation!$H$3=1,0,IF(ISNUMBER(AC13),0,1))</f>
        <v>1</v>
      </c>
      <c r="BI13" s="98">
        <f>IF(Validation!$H$3=1,0,IF(ISNUMBER(AD13),0,1))</f>
        <v>1</v>
      </c>
      <c r="BJ13" s="98">
        <f>IF(Validation!$H$3=1,0,IF(ISNUMBER(AE13),0,1))</f>
        <v>1</v>
      </c>
      <c r="BK13" s="98"/>
      <c r="BL13" s="72"/>
      <c r="BN13" s="99" t="s">
        <v>6301</v>
      </c>
      <c r="BO13" s="92" t="s">
        <v>4760</v>
      </c>
      <c r="BP13" s="100"/>
      <c r="BQ13" s="100" t="s">
        <v>4755</v>
      </c>
      <c r="BR13" s="101">
        <v>0</v>
      </c>
      <c r="BS13" s="3141" t="s">
        <v>9173</v>
      </c>
      <c r="BT13" s="3142" t="s">
        <v>9174</v>
      </c>
      <c r="BU13" s="3142" t="s">
        <v>9175</v>
      </c>
      <c r="BV13" s="3142" t="s">
        <v>9176</v>
      </c>
      <c r="BW13" s="3142" t="s">
        <v>9177</v>
      </c>
      <c r="BX13" s="3142" t="s">
        <v>9178</v>
      </c>
      <c r="BY13" s="3142" t="s">
        <v>9179</v>
      </c>
      <c r="BZ13" s="1327" t="s">
        <v>9180</v>
      </c>
      <c r="CA13" s="2705"/>
      <c r="CB13" s="3141" t="s">
        <v>9181</v>
      </c>
      <c r="CC13" s="3142" t="s">
        <v>9182</v>
      </c>
      <c r="CD13" s="3142" t="s">
        <v>9183</v>
      </c>
      <c r="CE13" s="3142" t="s">
        <v>9184</v>
      </c>
      <c r="CF13" s="1327" t="s">
        <v>9185</v>
      </c>
      <c r="CG13" s="3141" t="s">
        <v>9186</v>
      </c>
      <c r="CH13" s="3142" t="s">
        <v>9187</v>
      </c>
      <c r="CI13" s="3142" t="s">
        <v>9188</v>
      </c>
      <c r="CJ13" s="3142" t="s">
        <v>9189</v>
      </c>
      <c r="CK13" s="3142" t="s">
        <v>9190</v>
      </c>
      <c r="CL13" s="1327" t="s">
        <v>9191</v>
      </c>
      <c r="CM13" s="3141" t="s">
        <v>9192</v>
      </c>
      <c r="CN13" s="3142" t="s">
        <v>9193</v>
      </c>
      <c r="CO13" s="3142" t="s">
        <v>9194</v>
      </c>
      <c r="CP13" s="3142" t="s">
        <v>9195</v>
      </c>
      <c r="CQ13" s="3142" t="s">
        <v>9196</v>
      </c>
      <c r="CR13" s="1327" t="s">
        <v>9197</v>
      </c>
    </row>
    <row r="14" spans="1:96" ht="16.5" thickBot="1">
      <c r="A14" s="1315"/>
      <c r="B14" s="99" t="s">
        <v>6302</v>
      </c>
      <c r="C14" s="92" t="s">
        <v>4761</v>
      </c>
      <c r="D14" s="100"/>
      <c r="E14" s="100" t="s">
        <v>4755</v>
      </c>
      <c r="F14" s="101">
        <v>0</v>
      </c>
      <c r="G14" s="1330">
        <f t="shared" ref="G14:N14" si="5">+SUM(G8:G13)</f>
        <v>0</v>
      </c>
      <c r="H14" s="1331">
        <f t="shared" si="5"/>
        <v>0</v>
      </c>
      <c r="I14" s="1331">
        <f t="shared" si="5"/>
        <v>0</v>
      </c>
      <c r="J14" s="1331">
        <f t="shared" si="5"/>
        <v>0</v>
      </c>
      <c r="K14" s="1331">
        <f t="shared" si="5"/>
        <v>0</v>
      </c>
      <c r="L14" s="1331">
        <f t="shared" si="5"/>
        <v>0</v>
      </c>
      <c r="M14" s="1331">
        <f t="shared" si="5"/>
        <v>0</v>
      </c>
      <c r="N14" s="1327">
        <f t="shared" si="5"/>
        <v>0</v>
      </c>
      <c r="O14" s="1250"/>
      <c r="P14" s="1330">
        <f t="shared" ref="P14:AF14" si="6">+SUM(P8:P13)</f>
        <v>0</v>
      </c>
      <c r="Q14" s="1331">
        <f t="shared" si="6"/>
        <v>0</v>
      </c>
      <c r="R14" s="1331">
        <f t="shared" si="6"/>
        <v>0</v>
      </c>
      <c r="S14" s="1331">
        <f t="shared" si="6"/>
        <v>0</v>
      </c>
      <c r="T14" s="1332">
        <f t="shared" si="6"/>
        <v>0</v>
      </c>
      <c r="U14" s="1330">
        <f t="shared" si="6"/>
        <v>0</v>
      </c>
      <c r="V14" s="1331">
        <f t="shared" si="6"/>
        <v>0</v>
      </c>
      <c r="W14" s="1331">
        <f t="shared" si="6"/>
        <v>0</v>
      </c>
      <c r="X14" s="1331">
        <f t="shared" si="6"/>
        <v>0</v>
      </c>
      <c r="Y14" s="1331">
        <f t="shared" si="6"/>
        <v>0</v>
      </c>
      <c r="Z14" s="1332">
        <f t="shared" si="6"/>
        <v>0</v>
      </c>
      <c r="AA14" s="1330">
        <f t="shared" si="6"/>
        <v>0</v>
      </c>
      <c r="AB14" s="1331">
        <f t="shared" si="6"/>
        <v>0</v>
      </c>
      <c r="AC14" s="1331">
        <f t="shared" si="6"/>
        <v>0</v>
      </c>
      <c r="AD14" s="1331">
        <f t="shared" si="6"/>
        <v>0</v>
      </c>
      <c r="AE14" s="1331">
        <f t="shared" si="6"/>
        <v>0</v>
      </c>
      <c r="AF14" s="1332">
        <f t="shared" si="6"/>
        <v>0</v>
      </c>
      <c r="AG14" s="1173"/>
      <c r="AH14" s="1250"/>
      <c r="AT14" s="90"/>
      <c r="BN14" s="99" t="s">
        <v>6302</v>
      </c>
      <c r="BO14" s="92" t="s">
        <v>4761</v>
      </c>
      <c r="BP14" s="100"/>
      <c r="BQ14" s="100" t="s">
        <v>4755</v>
      </c>
      <c r="BR14" s="101">
        <v>0</v>
      </c>
      <c r="BS14" s="1330" t="s">
        <v>9198</v>
      </c>
      <c r="BT14" s="1331" t="s">
        <v>9199</v>
      </c>
      <c r="BU14" s="1331" t="s">
        <v>9200</v>
      </c>
      <c r="BV14" s="1331" t="s">
        <v>9201</v>
      </c>
      <c r="BW14" s="1331" t="s">
        <v>9202</v>
      </c>
      <c r="BX14" s="1331" t="s">
        <v>9203</v>
      </c>
      <c r="BY14" s="1331" t="s">
        <v>9204</v>
      </c>
      <c r="BZ14" s="1327" t="s">
        <v>9205</v>
      </c>
      <c r="CA14" s="2705"/>
      <c r="CB14" s="1330" t="s">
        <v>9206</v>
      </c>
      <c r="CC14" s="1331" t="s">
        <v>9207</v>
      </c>
      <c r="CD14" s="1331" t="s">
        <v>9208</v>
      </c>
      <c r="CE14" s="1331" t="s">
        <v>9209</v>
      </c>
      <c r="CF14" s="1332" t="s">
        <v>9210</v>
      </c>
      <c r="CG14" s="1330" t="s">
        <v>9211</v>
      </c>
      <c r="CH14" s="1331" t="s">
        <v>9212</v>
      </c>
      <c r="CI14" s="1331" t="s">
        <v>9213</v>
      </c>
      <c r="CJ14" s="1331" t="s">
        <v>9214</v>
      </c>
      <c r="CK14" s="1331" t="s">
        <v>9215</v>
      </c>
      <c r="CL14" s="1332" t="s">
        <v>9216</v>
      </c>
      <c r="CM14" s="1330" t="s">
        <v>9217</v>
      </c>
      <c r="CN14" s="1331" t="s">
        <v>9218</v>
      </c>
      <c r="CO14" s="1331" t="s">
        <v>9219</v>
      </c>
      <c r="CP14" s="1331" t="s">
        <v>9220</v>
      </c>
      <c r="CQ14" s="1331" t="s">
        <v>9221</v>
      </c>
      <c r="CR14" s="1332" t="s">
        <v>9222</v>
      </c>
    </row>
    <row r="15" spans="1:96" ht="16.5" thickBot="1">
      <c r="A15" s="1315"/>
      <c r="B15" s="106" t="s">
        <v>6303</v>
      </c>
      <c r="C15" s="107" t="s">
        <v>4762</v>
      </c>
      <c r="D15" s="108"/>
      <c r="E15" s="108" t="s">
        <v>4755</v>
      </c>
      <c r="F15" s="105">
        <v>0</v>
      </c>
      <c r="G15" s="1333"/>
      <c r="H15" s="1333"/>
      <c r="I15" s="1333"/>
      <c r="J15" s="1333"/>
      <c r="K15" s="1333"/>
      <c r="L15" s="1333"/>
      <c r="M15" s="1333"/>
      <c r="N15" s="1334"/>
      <c r="O15" s="1250"/>
      <c r="P15" s="1250"/>
      <c r="Q15" s="1250"/>
      <c r="R15" s="1250"/>
      <c r="S15" s="1250"/>
      <c r="T15" s="1250"/>
      <c r="U15" s="1250"/>
      <c r="V15" s="1250"/>
      <c r="W15" s="1250"/>
      <c r="X15" s="1250"/>
      <c r="Y15" s="1250"/>
      <c r="Z15" s="1250"/>
      <c r="AA15" s="1250"/>
      <c r="AB15" s="1250"/>
      <c r="AC15" s="1250"/>
      <c r="AD15" s="1250"/>
      <c r="AE15" s="1250"/>
      <c r="AF15" s="1250"/>
      <c r="AG15" s="1250"/>
      <c r="AH15" s="1250"/>
      <c r="AT15" s="90"/>
      <c r="BN15" s="106" t="s">
        <v>6303</v>
      </c>
      <c r="BO15" s="107" t="s">
        <v>4762</v>
      </c>
      <c r="BP15" s="108"/>
      <c r="BQ15" s="108" t="s">
        <v>4755</v>
      </c>
      <c r="BR15" s="105">
        <v>0</v>
      </c>
      <c r="BS15" s="3143"/>
      <c r="BT15" s="3143"/>
      <c r="BU15" s="3143"/>
      <c r="BV15" s="3143"/>
      <c r="BW15" s="3143"/>
      <c r="BX15" s="3143"/>
      <c r="BY15" s="3143"/>
      <c r="BZ15" s="3144" t="s">
        <v>9223</v>
      </c>
      <c r="CA15" s="2705"/>
      <c r="CB15" s="2705"/>
      <c r="CC15" s="2705"/>
      <c r="CD15" s="2705"/>
      <c r="CE15" s="2705"/>
      <c r="CF15" s="2705"/>
      <c r="CG15" s="2705"/>
      <c r="CH15" s="2705"/>
      <c r="CI15" s="2705"/>
      <c r="CJ15" s="2705"/>
      <c r="CK15" s="2705"/>
      <c r="CL15" s="2705"/>
      <c r="CM15" s="2705"/>
      <c r="CN15" s="2705"/>
      <c r="CO15" s="2705"/>
      <c r="CP15" s="2705"/>
      <c r="CQ15" s="2705"/>
      <c r="CR15" s="2705"/>
    </row>
    <row r="16" spans="1:96" ht="15" thickBot="1">
      <c r="A16" s="1250"/>
      <c r="B16" s="1315"/>
      <c r="C16" s="1181"/>
      <c r="D16" s="1181"/>
      <c r="E16" s="1319"/>
      <c r="F16" s="1250"/>
      <c r="G16" s="1250"/>
      <c r="H16" s="1250"/>
      <c r="I16" s="1250"/>
      <c r="J16" s="1250"/>
      <c r="K16" s="1250"/>
      <c r="L16" s="1250"/>
      <c r="M16" s="1250"/>
      <c r="N16" s="1250"/>
      <c r="O16" s="1250"/>
      <c r="P16" s="1250"/>
      <c r="Q16" s="1250"/>
      <c r="R16" s="1250"/>
      <c r="S16" s="1250"/>
      <c r="T16" s="1250"/>
      <c r="U16" s="1250"/>
      <c r="V16" s="1250"/>
      <c r="W16" s="1250"/>
      <c r="X16" s="1250"/>
      <c r="Y16" s="1250"/>
      <c r="Z16" s="1250"/>
      <c r="AA16" s="1250"/>
      <c r="AB16" s="1250"/>
      <c r="AC16" s="1250"/>
      <c r="AD16" s="1250"/>
      <c r="AE16" s="1250"/>
      <c r="AF16" s="1250"/>
      <c r="AG16" s="1250"/>
      <c r="AH16" s="1250"/>
      <c r="AT16" s="90"/>
      <c r="BN16" s="3137"/>
      <c r="BO16" s="3133"/>
      <c r="BP16" s="3133"/>
      <c r="BQ16" s="3134"/>
      <c r="BR16" s="2705"/>
      <c r="BS16" s="2705"/>
      <c r="BT16" s="2705"/>
      <c r="BU16" s="2705"/>
      <c r="BV16" s="2705"/>
      <c r="BW16" s="2705"/>
      <c r="BX16" s="2705"/>
      <c r="BY16" s="2705"/>
      <c r="BZ16" s="2705"/>
      <c r="CA16" s="2705"/>
      <c r="CB16" s="2705"/>
      <c r="CC16" s="2705"/>
      <c r="CD16" s="2705"/>
      <c r="CE16" s="2705"/>
      <c r="CF16" s="2705"/>
      <c r="CG16" s="2705"/>
      <c r="CH16" s="2705"/>
      <c r="CI16" s="2705"/>
      <c r="CJ16" s="2705"/>
      <c r="CK16" s="2705"/>
      <c r="CL16" s="2705"/>
      <c r="CM16" s="2705"/>
      <c r="CN16" s="2705"/>
      <c r="CO16" s="2705"/>
      <c r="CP16" s="2705"/>
      <c r="CQ16" s="2705"/>
      <c r="CR16" s="2705"/>
    </row>
    <row r="17" spans="1:96" ht="15" thickBot="1">
      <c r="A17" s="1250"/>
      <c r="B17" s="118" t="s">
        <v>2458</v>
      </c>
      <c r="C17" s="119" t="s">
        <v>12685</v>
      </c>
      <c r="D17" s="1181"/>
      <c r="E17" s="1319"/>
      <c r="F17" s="1250"/>
      <c r="G17" s="1250"/>
      <c r="H17" s="1250"/>
      <c r="I17" s="1250"/>
      <c r="J17" s="1250"/>
      <c r="K17" s="1250"/>
      <c r="L17" s="1250"/>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T17" s="90"/>
      <c r="BN17" s="118" t="s">
        <v>2458</v>
      </c>
      <c r="BO17" s="119" t="s">
        <v>4763</v>
      </c>
      <c r="BP17" s="3133"/>
      <c r="BQ17" s="3134"/>
      <c r="BR17" s="2705"/>
      <c r="BS17" s="2705"/>
      <c r="BT17" s="2705"/>
      <c r="BU17" s="2705"/>
      <c r="BV17" s="2705"/>
      <c r="BW17" s="2705"/>
      <c r="BX17" s="2705"/>
      <c r="BY17" s="2705"/>
      <c r="BZ17" s="2705"/>
      <c r="CA17" s="2705"/>
      <c r="CB17" s="2705"/>
      <c r="CC17" s="2705"/>
      <c r="CD17" s="2705"/>
      <c r="CE17" s="2705"/>
      <c r="CF17" s="2705"/>
      <c r="CG17" s="2705"/>
      <c r="CH17" s="2705"/>
      <c r="CI17" s="2705"/>
      <c r="CJ17" s="2705"/>
      <c r="CK17" s="2705"/>
      <c r="CL17" s="2705"/>
      <c r="CM17" s="2705"/>
      <c r="CN17" s="2705"/>
      <c r="CO17" s="2705"/>
      <c r="CP17" s="2705"/>
      <c r="CQ17" s="2705"/>
      <c r="CR17" s="2705"/>
    </row>
    <row r="18" spans="1:96">
      <c r="A18" s="1250"/>
      <c r="B18" s="91" t="s">
        <v>6304</v>
      </c>
      <c r="C18" s="122" t="s">
        <v>4764</v>
      </c>
      <c r="D18" s="93"/>
      <c r="E18" s="93" t="s">
        <v>48</v>
      </c>
      <c r="F18" s="94">
        <v>0</v>
      </c>
      <c r="G18" s="1322"/>
      <c r="H18" s="1323"/>
      <c r="I18" s="1323"/>
      <c r="J18" s="1323"/>
      <c r="K18" s="1323"/>
      <c r="L18" s="1323"/>
      <c r="M18" s="1323"/>
      <c r="N18" s="1324">
        <f t="shared" ref="N18:N23" si="7">+SUM(G18:M18)</f>
        <v>0</v>
      </c>
      <c r="O18" s="1250"/>
      <c r="P18" s="1322"/>
      <c r="Q18" s="1323"/>
      <c r="R18" s="1323"/>
      <c r="S18" s="1323"/>
      <c r="T18" s="1324">
        <f t="shared" ref="T18:T23" si="8">+SUM(P18:S18)</f>
        <v>0</v>
      </c>
      <c r="U18" s="1322"/>
      <c r="V18" s="1323"/>
      <c r="W18" s="1323"/>
      <c r="X18" s="1323"/>
      <c r="Y18" s="1323"/>
      <c r="Z18" s="1324">
        <f t="shared" ref="Z18:Z23" si="9">+SUM(U18:Y18)</f>
        <v>0</v>
      </c>
      <c r="AA18" s="1322"/>
      <c r="AB18" s="1323"/>
      <c r="AC18" s="1323"/>
      <c r="AD18" s="1323"/>
      <c r="AE18" s="1323"/>
      <c r="AF18" s="1324">
        <f t="shared" ref="AF18:AF23" si="10">+SUM(AA18:AE18)</f>
        <v>0</v>
      </c>
      <c r="AG18" s="1178"/>
      <c r="AH18" s="1250"/>
      <c r="AI18" s="945" t="str">
        <f t="shared" ref="AI18:AI23" si="11" xml:space="preserve"> IF( SUM( AK18:BL18 ) = 0, 0, $AL$5 )</f>
        <v>Please complete all cells in row</v>
      </c>
      <c r="AJ18" s="200"/>
      <c r="AK18" s="72"/>
      <c r="AL18" s="98">
        <f>IF(Validation!$H$3=1,0,IF(ISNUMBER(G18),0,1))</f>
        <v>1</v>
      </c>
      <c r="AM18" s="98">
        <f>IF(Validation!$H$3=1,0,IF(ISNUMBER(H18),0,1))</f>
        <v>1</v>
      </c>
      <c r="AN18" s="98">
        <f>IF(Validation!$H$3=1,0,IF(ISNUMBER(I18),0,1))</f>
        <v>1</v>
      </c>
      <c r="AO18" s="98">
        <f>IF(Validation!$H$3=1,0,IF(ISNUMBER(J18),0,1))</f>
        <v>1</v>
      </c>
      <c r="AP18" s="98">
        <f>IF(Validation!$H$3=1,0,IF(ISNUMBER(K18),0,1))</f>
        <v>1</v>
      </c>
      <c r="AQ18" s="98">
        <f>IF(Validation!$H$3=1,0,IF(ISNUMBER(L18),0,1))</f>
        <v>1</v>
      </c>
      <c r="AR18" s="98">
        <f>IF(Validation!$H$3=1,0,IF(ISNUMBER(M18),0,1))</f>
        <v>1</v>
      </c>
      <c r="AS18" s="98"/>
      <c r="AT18" s="90"/>
      <c r="AU18" s="98">
        <f>IF(Validation!$H$3=1,0,IF(ISNUMBER(P18),0,1))</f>
        <v>1</v>
      </c>
      <c r="AV18" s="98">
        <f>IF(Validation!$H$3=1,0,IF(ISNUMBER(Q18),0,1))</f>
        <v>1</v>
      </c>
      <c r="AW18" s="98">
        <f>IF(Validation!$H$3=1,0,IF(ISNUMBER(R18),0,1))</f>
        <v>1</v>
      </c>
      <c r="AX18" s="98">
        <f>IF(Validation!$H$3=1,0,IF(ISNUMBER(S18),0,1))</f>
        <v>1</v>
      </c>
      <c r="AY18" s="98"/>
      <c r="AZ18" s="98">
        <f>IF(Validation!$H$3=1,0,IF(ISNUMBER(U18),0,1))</f>
        <v>1</v>
      </c>
      <c r="BA18" s="98">
        <f>IF(Validation!$H$3=1,0,IF(ISNUMBER(V18),0,1))</f>
        <v>1</v>
      </c>
      <c r="BB18" s="98">
        <f>IF(Validation!$H$3=1,0,IF(ISNUMBER(W18),0,1))</f>
        <v>1</v>
      </c>
      <c r="BC18" s="98">
        <f>IF(Validation!$H$3=1,0,IF(ISNUMBER(X18),0,1))</f>
        <v>1</v>
      </c>
      <c r="BD18" s="98">
        <f>IF(Validation!$H$3=1,0,IF(ISNUMBER(Y18),0,1))</f>
        <v>1</v>
      </c>
      <c r="BE18" s="98"/>
      <c r="BF18" s="98">
        <f>IF(Validation!$H$3=1,0,IF(ISNUMBER(AA18),0,1))</f>
        <v>1</v>
      </c>
      <c r="BG18" s="98">
        <f>IF(Validation!$H$3=1,0,IF(ISNUMBER(AB18),0,1))</f>
        <v>1</v>
      </c>
      <c r="BH18" s="98">
        <f>IF(Validation!$H$3=1,0,IF(ISNUMBER(AC18),0,1))</f>
        <v>1</v>
      </c>
      <c r="BI18" s="98">
        <f>IF(Validation!$H$3=1,0,IF(ISNUMBER(AD18),0,1))</f>
        <v>1</v>
      </c>
      <c r="BJ18" s="98">
        <f>IF(Validation!$H$3=1,0,IF(ISNUMBER(AE18),0,1))</f>
        <v>1</v>
      </c>
      <c r="BK18" s="98"/>
      <c r="BL18" s="72"/>
      <c r="BN18" s="91" t="s">
        <v>6304</v>
      </c>
      <c r="BO18" s="122" t="s">
        <v>4764</v>
      </c>
      <c r="BP18" s="93"/>
      <c r="BQ18" s="93" t="s">
        <v>48</v>
      </c>
      <c r="BR18" s="94">
        <v>0</v>
      </c>
      <c r="BS18" s="3139" t="s">
        <v>9224</v>
      </c>
      <c r="BT18" s="3140" t="s">
        <v>9225</v>
      </c>
      <c r="BU18" s="3140" t="s">
        <v>9226</v>
      </c>
      <c r="BV18" s="3140" t="s">
        <v>9227</v>
      </c>
      <c r="BW18" s="3140" t="s">
        <v>9228</v>
      </c>
      <c r="BX18" s="3140" t="s">
        <v>9229</v>
      </c>
      <c r="BY18" s="3140" t="s">
        <v>9230</v>
      </c>
      <c r="BZ18" s="1324" t="s">
        <v>9231</v>
      </c>
      <c r="CA18" s="2705"/>
      <c r="CB18" s="3139" t="s">
        <v>9232</v>
      </c>
      <c r="CC18" s="3140" t="s">
        <v>9233</v>
      </c>
      <c r="CD18" s="3140" t="s">
        <v>9234</v>
      </c>
      <c r="CE18" s="3140" t="s">
        <v>9235</v>
      </c>
      <c r="CF18" s="1324" t="s">
        <v>9236</v>
      </c>
      <c r="CG18" s="3139" t="s">
        <v>9237</v>
      </c>
      <c r="CH18" s="3140" t="s">
        <v>9238</v>
      </c>
      <c r="CI18" s="3140" t="s">
        <v>9239</v>
      </c>
      <c r="CJ18" s="3140" t="s">
        <v>9240</v>
      </c>
      <c r="CK18" s="3140" t="s">
        <v>9241</v>
      </c>
      <c r="CL18" s="1324" t="s">
        <v>9242</v>
      </c>
      <c r="CM18" s="3139" t="s">
        <v>9243</v>
      </c>
      <c r="CN18" s="3140" t="s">
        <v>9244</v>
      </c>
      <c r="CO18" s="3140" t="s">
        <v>9245</v>
      </c>
      <c r="CP18" s="3140" t="s">
        <v>9246</v>
      </c>
      <c r="CQ18" s="3140" t="s">
        <v>9247</v>
      </c>
      <c r="CR18" s="1324" t="s">
        <v>9248</v>
      </c>
    </row>
    <row r="19" spans="1:96">
      <c r="A19" s="1250"/>
      <c r="B19" s="99" t="s">
        <v>6305</v>
      </c>
      <c r="C19" s="92" t="s">
        <v>4765</v>
      </c>
      <c r="D19" s="100"/>
      <c r="E19" s="100" t="s">
        <v>48</v>
      </c>
      <c r="F19" s="101">
        <v>0</v>
      </c>
      <c r="G19" s="1325"/>
      <c r="H19" s="1326"/>
      <c r="I19" s="1326"/>
      <c r="J19" s="1326"/>
      <c r="K19" s="1326"/>
      <c r="L19" s="1326"/>
      <c r="M19" s="1326"/>
      <c r="N19" s="1327">
        <f t="shared" si="7"/>
        <v>0</v>
      </c>
      <c r="O19" s="1250"/>
      <c r="P19" s="1325"/>
      <c r="Q19" s="1326"/>
      <c r="R19" s="1326"/>
      <c r="S19" s="1326"/>
      <c r="T19" s="1327">
        <f t="shared" si="8"/>
        <v>0</v>
      </c>
      <c r="U19" s="1325"/>
      <c r="V19" s="1326"/>
      <c r="W19" s="1326"/>
      <c r="X19" s="1326"/>
      <c r="Y19" s="1326"/>
      <c r="Z19" s="1327">
        <f t="shared" si="9"/>
        <v>0</v>
      </c>
      <c r="AA19" s="1325"/>
      <c r="AB19" s="1326"/>
      <c r="AC19" s="1326"/>
      <c r="AD19" s="1326"/>
      <c r="AE19" s="1326"/>
      <c r="AF19" s="1327">
        <f t="shared" si="10"/>
        <v>0</v>
      </c>
      <c r="AG19" s="1179"/>
      <c r="AH19" s="1250"/>
      <c r="AI19" s="945" t="str">
        <f t="shared" si="11"/>
        <v>Please complete all cells in row</v>
      </c>
      <c r="AJ19" s="200"/>
      <c r="AK19" s="72"/>
      <c r="AL19" s="98">
        <f>IF(Validation!$H$3=1,0,IF(ISNUMBER(G19),0,1))</f>
        <v>1</v>
      </c>
      <c r="AM19" s="98">
        <f>IF(Validation!$H$3=1,0,IF(ISNUMBER(H19),0,1))</f>
        <v>1</v>
      </c>
      <c r="AN19" s="98">
        <f>IF(Validation!$H$3=1,0,IF(ISNUMBER(I19),0,1))</f>
        <v>1</v>
      </c>
      <c r="AO19" s="98">
        <f>IF(Validation!$H$3=1,0,IF(ISNUMBER(J19),0,1))</f>
        <v>1</v>
      </c>
      <c r="AP19" s="98">
        <f>IF(Validation!$H$3=1,0,IF(ISNUMBER(K19),0,1))</f>
        <v>1</v>
      </c>
      <c r="AQ19" s="98">
        <f>IF(Validation!$H$3=1,0,IF(ISNUMBER(L19),0,1))</f>
        <v>1</v>
      </c>
      <c r="AR19" s="98">
        <f>IF(Validation!$H$3=1,0,IF(ISNUMBER(M19),0,1))</f>
        <v>1</v>
      </c>
      <c r="AS19" s="98"/>
      <c r="AT19" s="90"/>
      <c r="AU19" s="98">
        <f>IF(Validation!$H$3=1,0,IF(ISNUMBER(P19),0,1))</f>
        <v>1</v>
      </c>
      <c r="AV19" s="98">
        <f>IF(Validation!$H$3=1,0,IF(ISNUMBER(Q19),0,1))</f>
        <v>1</v>
      </c>
      <c r="AW19" s="98">
        <f>IF(Validation!$H$3=1,0,IF(ISNUMBER(R19),0,1))</f>
        <v>1</v>
      </c>
      <c r="AX19" s="98">
        <f>IF(Validation!$H$3=1,0,IF(ISNUMBER(S19),0,1))</f>
        <v>1</v>
      </c>
      <c r="AY19" s="98"/>
      <c r="AZ19" s="98">
        <f>IF(Validation!$H$3=1,0,IF(ISNUMBER(U19),0,1))</f>
        <v>1</v>
      </c>
      <c r="BA19" s="98">
        <f>IF(Validation!$H$3=1,0,IF(ISNUMBER(V19),0,1))</f>
        <v>1</v>
      </c>
      <c r="BB19" s="98">
        <f>IF(Validation!$H$3=1,0,IF(ISNUMBER(W19),0,1))</f>
        <v>1</v>
      </c>
      <c r="BC19" s="98">
        <f>IF(Validation!$H$3=1,0,IF(ISNUMBER(X19),0,1))</f>
        <v>1</v>
      </c>
      <c r="BD19" s="98">
        <f>IF(Validation!$H$3=1,0,IF(ISNUMBER(Y19),0,1))</f>
        <v>1</v>
      </c>
      <c r="BE19" s="98"/>
      <c r="BF19" s="98">
        <f>IF(Validation!$H$3=1,0,IF(ISNUMBER(AA19),0,1))</f>
        <v>1</v>
      </c>
      <c r="BG19" s="98">
        <f>IF(Validation!$H$3=1,0,IF(ISNUMBER(AB19),0,1))</f>
        <v>1</v>
      </c>
      <c r="BH19" s="98">
        <f>IF(Validation!$H$3=1,0,IF(ISNUMBER(AC19),0,1))</f>
        <v>1</v>
      </c>
      <c r="BI19" s="98">
        <f>IF(Validation!$H$3=1,0,IF(ISNUMBER(AD19),0,1))</f>
        <v>1</v>
      </c>
      <c r="BJ19" s="98">
        <f>IF(Validation!$H$3=1,0,IF(ISNUMBER(AE19),0,1))</f>
        <v>1</v>
      </c>
      <c r="BK19" s="98"/>
      <c r="BL19" s="72"/>
      <c r="BN19" s="99" t="s">
        <v>6305</v>
      </c>
      <c r="BO19" s="92" t="s">
        <v>4765</v>
      </c>
      <c r="BP19" s="100"/>
      <c r="BQ19" s="100" t="s">
        <v>48</v>
      </c>
      <c r="BR19" s="101">
        <v>0</v>
      </c>
      <c r="BS19" s="3141" t="s">
        <v>9249</v>
      </c>
      <c r="BT19" s="3142" t="s">
        <v>9250</v>
      </c>
      <c r="BU19" s="3142" t="s">
        <v>9251</v>
      </c>
      <c r="BV19" s="3142" t="s">
        <v>9252</v>
      </c>
      <c r="BW19" s="3142" t="s">
        <v>9253</v>
      </c>
      <c r="BX19" s="3142" t="s">
        <v>9254</v>
      </c>
      <c r="BY19" s="3142" t="s">
        <v>9255</v>
      </c>
      <c r="BZ19" s="1327" t="s">
        <v>9256</v>
      </c>
      <c r="CA19" s="2705"/>
      <c r="CB19" s="3141" t="s">
        <v>9257</v>
      </c>
      <c r="CC19" s="3142" t="s">
        <v>9258</v>
      </c>
      <c r="CD19" s="3142" t="s">
        <v>9259</v>
      </c>
      <c r="CE19" s="3142" t="s">
        <v>9260</v>
      </c>
      <c r="CF19" s="1327" t="s">
        <v>9261</v>
      </c>
      <c r="CG19" s="3141" t="s">
        <v>9262</v>
      </c>
      <c r="CH19" s="3142" t="s">
        <v>9263</v>
      </c>
      <c r="CI19" s="3142" t="s">
        <v>9264</v>
      </c>
      <c r="CJ19" s="3142" t="s">
        <v>9265</v>
      </c>
      <c r="CK19" s="3142" t="s">
        <v>9266</v>
      </c>
      <c r="CL19" s="1327" t="s">
        <v>9267</v>
      </c>
      <c r="CM19" s="3141" t="s">
        <v>9268</v>
      </c>
      <c r="CN19" s="3142" t="s">
        <v>9269</v>
      </c>
      <c r="CO19" s="3142" t="s">
        <v>9270</v>
      </c>
      <c r="CP19" s="3142" t="s">
        <v>9271</v>
      </c>
      <c r="CQ19" s="3142" t="s">
        <v>9272</v>
      </c>
      <c r="CR19" s="1327" t="s">
        <v>9273</v>
      </c>
    </row>
    <row r="20" spans="1:96">
      <c r="A20" s="1250"/>
      <c r="B20" s="99" t="s">
        <v>6306</v>
      </c>
      <c r="C20" s="92" t="s">
        <v>4766</v>
      </c>
      <c r="D20" s="100"/>
      <c r="E20" s="100" t="s">
        <v>48</v>
      </c>
      <c r="F20" s="101">
        <v>0</v>
      </c>
      <c r="G20" s="1325"/>
      <c r="H20" s="1326"/>
      <c r="I20" s="1326"/>
      <c r="J20" s="1326"/>
      <c r="K20" s="1326"/>
      <c r="L20" s="1326"/>
      <c r="M20" s="1326"/>
      <c r="N20" s="1327">
        <f t="shared" si="7"/>
        <v>0</v>
      </c>
      <c r="O20" s="1250"/>
      <c r="P20" s="1325"/>
      <c r="Q20" s="1326"/>
      <c r="R20" s="1326"/>
      <c r="S20" s="1326"/>
      <c r="T20" s="1327">
        <f t="shared" si="8"/>
        <v>0</v>
      </c>
      <c r="U20" s="1325"/>
      <c r="V20" s="1326"/>
      <c r="W20" s="1326"/>
      <c r="X20" s="1326"/>
      <c r="Y20" s="1326"/>
      <c r="Z20" s="1327">
        <f t="shared" si="9"/>
        <v>0</v>
      </c>
      <c r="AA20" s="1325"/>
      <c r="AB20" s="1326"/>
      <c r="AC20" s="1326"/>
      <c r="AD20" s="1326"/>
      <c r="AE20" s="1326"/>
      <c r="AF20" s="1327">
        <f t="shared" si="10"/>
        <v>0</v>
      </c>
      <c r="AG20" s="1179"/>
      <c r="AH20" s="1250"/>
      <c r="AI20" s="945" t="str">
        <f t="shared" si="11"/>
        <v>Please complete all cells in row</v>
      </c>
      <c r="AJ20" s="200"/>
      <c r="AK20" s="72"/>
      <c r="AL20" s="98">
        <f>IF(Validation!$H$3=1,0,IF(ISNUMBER(G20),0,1))</f>
        <v>1</v>
      </c>
      <c r="AM20" s="98">
        <f>IF(Validation!$H$3=1,0,IF(ISNUMBER(H20),0,1))</f>
        <v>1</v>
      </c>
      <c r="AN20" s="98">
        <f>IF(Validation!$H$3=1,0,IF(ISNUMBER(I20),0,1))</f>
        <v>1</v>
      </c>
      <c r="AO20" s="98">
        <f>IF(Validation!$H$3=1,0,IF(ISNUMBER(J20),0,1))</f>
        <v>1</v>
      </c>
      <c r="AP20" s="98">
        <f>IF(Validation!$H$3=1,0,IF(ISNUMBER(K20),0,1))</f>
        <v>1</v>
      </c>
      <c r="AQ20" s="98">
        <f>IF(Validation!$H$3=1,0,IF(ISNUMBER(L20),0,1))</f>
        <v>1</v>
      </c>
      <c r="AR20" s="98">
        <f>IF(Validation!$H$3=1,0,IF(ISNUMBER(M20),0,1))</f>
        <v>1</v>
      </c>
      <c r="AS20" s="98"/>
      <c r="AT20" s="90"/>
      <c r="AU20" s="98">
        <f>IF(Validation!$H$3=1,0,IF(ISNUMBER(P20),0,1))</f>
        <v>1</v>
      </c>
      <c r="AV20" s="98">
        <f>IF(Validation!$H$3=1,0,IF(ISNUMBER(Q20),0,1))</f>
        <v>1</v>
      </c>
      <c r="AW20" s="98">
        <f>IF(Validation!$H$3=1,0,IF(ISNUMBER(R20),0,1))</f>
        <v>1</v>
      </c>
      <c r="AX20" s="98">
        <f>IF(Validation!$H$3=1,0,IF(ISNUMBER(S20),0,1))</f>
        <v>1</v>
      </c>
      <c r="AY20" s="98"/>
      <c r="AZ20" s="98">
        <f>IF(Validation!$H$3=1,0,IF(ISNUMBER(U20),0,1))</f>
        <v>1</v>
      </c>
      <c r="BA20" s="98">
        <f>IF(Validation!$H$3=1,0,IF(ISNUMBER(V20),0,1))</f>
        <v>1</v>
      </c>
      <c r="BB20" s="98">
        <f>IF(Validation!$H$3=1,0,IF(ISNUMBER(W20),0,1))</f>
        <v>1</v>
      </c>
      <c r="BC20" s="98">
        <f>IF(Validation!$H$3=1,0,IF(ISNUMBER(X20),0,1))</f>
        <v>1</v>
      </c>
      <c r="BD20" s="98">
        <f>IF(Validation!$H$3=1,0,IF(ISNUMBER(Y20),0,1))</f>
        <v>1</v>
      </c>
      <c r="BE20" s="98"/>
      <c r="BF20" s="98">
        <f>IF(Validation!$H$3=1,0,IF(ISNUMBER(AA20),0,1))</f>
        <v>1</v>
      </c>
      <c r="BG20" s="98">
        <f>IF(Validation!$H$3=1,0,IF(ISNUMBER(AB20),0,1))</f>
        <v>1</v>
      </c>
      <c r="BH20" s="98">
        <f>IF(Validation!$H$3=1,0,IF(ISNUMBER(AC20),0,1))</f>
        <v>1</v>
      </c>
      <c r="BI20" s="98">
        <f>IF(Validation!$H$3=1,0,IF(ISNUMBER(AD20),0,1))</f>
        <v>1</v>
      </c>
      <c r="BJ20" s="98">
        <f>IF(Validation!$H$3=1,0,IF(ISNUMBER(AE20),0,1))</f>
        <v>1</v>
      </c>
      <c r="BK20" s="98"/>
      <c r="BL20" s="72"/>
      <c r="BN20" s="99" t="s">
        <v>6306</v>
      </c>
      <c r="BO20" s="92" t="s">
        <v>4766</v>
      </c>
      <c r="BP20" s="100"/>
      <c r="BQ20" s="100" t="s">
        <v>48</v>
      </c>
      <c r="BR20" s="101">
        <v>0</v>
      </c>
      <c r="BS20" s="3141" t="s">
        <v>9274</v>
      </c>
      <c r="BT20" s="3142" t="s">
        <v>9275</v>
      </c>
      <c r="BU20" s="3142" t="s">
        <v>9276</v>
      </c>
      <c r="BV20" s="3142" t="s">
        <v>9277</v>
      </c>
      <c r="BW20" s="3142" t="s">
        <v>9278</v>
      </c>
      <c r="BX20" s="3142" t="s">
        <v>9279</v>
      </c>
      <c r="BY20" s="3142" t="s">
        <v>9280</v>
      </c>
      <c r="BZ20" s="1327" t="s">
        <v>9281</v>
      </c>
      <c r="CA20" s="2705"/>
      <c r="CB20" s="3141" t="s">
        <v>9282</v>
      </c>
      <c r="CC20" s="3142" t="s">
        <v>9283</v>
      </c>
      <c r="CD20" s="3142" t="s">
        <v>9284</v>
      </c>
      <c r="CE20" s="3142" t="s">
        <v>9285</v>
      </c>
      <c r="CF20" s="1327" t="s">
        <v>9286</v>
      </c>
      <c r="CG20" s="3141" t="s">
        <v>9287</v>
      </c>
      <c r="CH20" s="3142" t="s">
        <v>9288</v>
      </c>
      <c r="CI20" s="3142" t="s">
        <v>9289</v>
      </c>
      <c r="CJ20" s="3142" t="s">
        <v>9290</v>
      </c>
      <c r="CK20" s="3142" t="s">
        <v>9291</v>
      </c>
      <c r="CL20" s="1327" t="s">
        <v>9292</v>
      </c>
      <c r="CM20" s="3141" t="s">
        <v>9293</v>
      </c>
      <c r="CN20" s="3142" t="s">
        <v>9294</v>
      </c>
      <c r="CO20" s="3142" t="s">
        <v>9295</v>
      </c>
      <c r="CP20" s="3142" t="s">
        <v>9296</v>
      </c>
      <c r="CQ20" s="3142" t="s">
        <v>9297</v>
      </c>
      <c r="CR20" s="1327" t="s">
        <v>9298</v>
      </c>
    </row>
    <row r="21" spans="1:96">
      <c r="A21" s="1250"/>
      <c r="B21" s="99" t="s">
        <v>6307</v>
      </c>
      <c r="C21" s="92" t="s">
        <v>4767</v>
      </c>
      <c r="D21" s="100"/>
      <c r="E21" s="100" t="s">
        <v>48</v>
      </c>
      <c r="F21" s="101">
        <v>0</v>
      </c>
      <c r="G21" s="1325"/>
      <c r="H21" s="1326"/>
      <c r="I21" s="1326"/>
      <c r="J21" s="1326"/>
      <c r="K21" s="1326"/>
      <c r="L21" s="1326"/>
      <c r="M21" s="1326"/>
      <c r="N21" s="1327">
        <f t="shared" si="7"/>
        <v>0</v>
      </c>
      <c r="O21" s="1250"/>
      <c r="P21" s="1325"/>
      <c r="Q21" s="1326"/>
      <c r="R21" s="1326"/>
      <c r="S21" s="1326"/>
      <c r="T21" s="1327">
        <f t="shared" si="8"/>
        <v>0</v>
      </c>
      <c r="U21" s="1325"/>
      <c r="V21" s="1326"/>
      <c r="W21" s="1326"/>
      <c r="X21" s="1326"/>
      <c r="Y21" s="1326"/>
      <c r="Z21" s="1327">
        <f t="shared" si="9"/>
        <v>0</v>
      </c>
      <c r="AA21" s="1325"/>
      <c r="AB21" s="1326"/>
      <c r="AC21" s="1326"/>
      <c r="AD21" s="1326"/>
      <c r="AE21" s="1326"/>
      <c r="AF21" s="1327">
        <f t="shared" si="10"/>
        <v>0</v>
      </c>
      <c r="AG21" s="1179"/>
      <c r="AH21" s="1250"/>
      <c r="AI21" s="945" t="str">
        <f t="shared" si="11"/>
        <v>Please complete all cells in row</v>
      </c>
      <c r="AJ21" s="200"/>
      <c r="AK21" s="72"/>
      <c r="AL21" s="98">
        <f>IF(Validation!$H$3=1,0,IF(ISNUMBER(G21),0,1))</f>
        <v>1</v>
      </c>
      <c r="AM21" s="98">
        <f>IF(Validation!$H$3=1,0,IF(ISNUMBER(H21),0,1))</f>
        <v>1</v>
      </c>
      <c r="AN21" s="98">
        <f>IF(Validation!$H$3=1,0,IF(ISNUMBER(I21),0,1))</f>
        <v>1</v>
      </c>
      <c r="AO21" s="98">
        <f>IF(Validation!$H$3=1,0,IF(ISNUMBER(J21),0,1))</f>
        <v>1</v>
      </c>
      <c r="AP21" s="98">
        <f>IF(Validation!$H$3=1,0,IF(ISNUMBER(K21),0,1))</f>
        <v>1</v>
      </c>
      <c r="AQ21" s="98">
        <f>IF(Validation!$H$3=1,0,IF(ISNUMBER(L21),0,1))</f>
        <v>1</v>
      </c>
      <c r="AR21" s="98">
        <f>IF(Validation!$H$3=1,0,IF(ISNUMBER(M21),0,1))</f>
        <v>1</v>
      </c>
      <c r="AS21" s="98"/>
      <c r="AT21" s="90"/>
      <c r="AU21" s="98">
        <f>IF(Validation!$H$3=1,0,IF(ISNUMBER(P21),0,1))</f>
        <v>1</v>
      </c>
      <c r="AV21" s="98">
        <f>IF(Validation!$H$3=1,0,IF(ISNUMBER(Q21),0,1))</f>
        <v>1</v>
      </c>
      <c r="AW21" s="98">
        <f>IF(Validation!$H$3=1,0,IF(ISNUMBER(R21),0,1))</f>
        <v>1</v>
      </c>
      <c r="AX21" s="98">
        <f>IF(Validation!$H$3=1,0,IF(ISNUMBER(S21),0,1))</f>
        <v>1</v>
      </c>
      <c r="AY21" s="98"/>
      <c r="AZ21" s="98">
        <f>IF(Validation!$H$3=1,0,IF(ISNUMBER(U21),0,1))</f>
        <v>1</v>
      </c>
      <c r="BA21" s="98">
        <f>IF(Validation!$H$3=1,0,IF(ISNUMBER(V21),0,1))</f>
        <v>1</v>
      </c>
      <c r="BB21" s="98">
        <f>IF(Validation!$H$3=1,0,IF(ISNUMBER(W21),0,1))</f>
        <v>1</v>
      </c>
      <c r="BC21" s="98">
        <f>IF(Validation!$H$3=1,0,IF(ISNUMBER(X21),0,1))</f>
        <v>1</v>
      </c>
      <c r="BD21" s="98">
        <f>IF(Validation!$H$3=1,0,IF(ISNUMBER(Y21),0,1))</f>
        <v>1</v>
      </c>
      <c r="BE21" s="98"/>
      <c r="BF21" s="98">
        <f>IF(Validation!$H$3=1,0,IF(ISNUMBER(AA21),0,1))</f>
        <v>1</v>
      </c>
      <c r="BG21" s="98">
        <f>IF(Validation!$H$3=1,0,IF(ISNUMBER(AB21),0,1))</f>
        <v>1</v>
      </c>
      <c r="BH21" s="98">
        <f>IF(Validation!$H$3=1,0,IF(ISNUMBER(AC21),0,1))</f>
        <v>1</v>
      </c>
      <c r="BI21" s="98">
        <f>IF(Validation!$H$3=1,0,IF(ISNUMBER(AD21),0,1))</f>
        <v>1</v>
      </c>
      <c r="BJ21" s="98">
        <f>IF(Validation!$H$3=1,0,IF(ISNUMBER(AE21),0,1))</f>
        <v>1</v>
      </c>
      <c r="BK21" s="98"/>
      <c r="BL21" s="72"/>
      <c r="BN21" s="99" t="s">
        <v>6307</v>
      </c>
      <c r="BO21" s="92" t="s">
        <v>4767</v>
      </c>
      <c r="BP21" s="100"/>
      <c r="BQ21" s="100" t="s">
        <v>48</v>
      </c>
      <c r="BR21" s="101">
        <v>0</v>
      </c>
      <c r="BS21" s="3141" t="s">
        <v>9299</v>
      </c>
      <c r="BT21" s="3142" t="s">
        <v>9300</v>
      </c>
      <c r="BU21" s="3142" t="s">
        <v>9301</v>
      </c>
      <c r="BV21" s="3142" t="s">
        <v>9302</v>
      </c>
      <c r="BW21" s="3142" t="s">
        <v>9303</v>
      </c>
      <c r="BX21" s="3142" t="s">
        <v>9304</v>
      </c>
      <c r="BY21" s="3142" t="s">
        <v>9305</v>
      </c>
      <c r="BZ21" s="1327" t="s">
        <v>9306</v>
      </c>
      <c r="CA21" s="2705"/>
      <c r="CB21" s="3141" t="s">
        <v>9307</v>
      </c>
      <c r="CC21" s="3142" t="s">
        <v>9308</v>
      </c>
      <c r="CD21" s="3142" t="s">
        <v>9309</v>
      </c>
      <c r="CE21" s="3142" t="s">
        <v>9310</v>
      </c>
      <c r="CF21" s="1327" t="s">
        <v>9311</v>
      </c>
      <c r="CG21" s="3141" t="s">
        <v>9312</v>
      </c>
      <c r="CH21" s="3142" t="s">
        <v>9313</v>
      </c>
      <c r="CI21" s="3142" t="s">
        <v>9314</v>
      </c>
      <c r="CJ21" s="3142" t="s">
        <v>9315</v>
      </c>
      <c r="CK21" s="3142" t="s">
        <v>9316</v>
      </c>
      <c r="CL21" s="1327" t="s">
        <v>9317</v>
      </c>
      <c r="CM21" s="3141" t="s">
        <v>9318</v>
      </c>
      <c r="CN21" s="3142" t="s">
        <v>9319</v>
      </c>
      <c r="CO21" s="3142" t="s">
        <v>9320</v>
      </c>
      <c r="CP21" s="3142" t="s">
        <v>9321</v>
      </c>
      <c r="CQ21" s="3142" t="s">
        <v>9322</v>
      </c>
      <c r="CR21" s="1327" t="s">
        <v>9323</v>
      </c>
    </row>
    <row r="22" spans="1:96">
      <c r="A22" s="1250"/>
      <c r="B22" s="99" t="s">
        <v>6308</v>
      </c>
      <c r="C22" s="961" t="s">
        <v>4768</v>
      </c>
      <c r="D22" s="1328"/>
      <c r="E22" s="1328" t="s">
        <v>48</v>
      </c>
      <c r="F22" s="1329">
        <v>0</v>
      </c>
      <c r="G22" s="1325"/>
      <c r="H22" s="1326"/>
      <c r="I22" s="1326"/>
      <c r="J22" s="1326"/>
      <c r="K22" s="1326"/>
      <c r="L22" s="1326"/>
      <c r="M22" s="1326"/>
      <c r="N22" s="1327">
        <f t="shared" si="7"/>
        <v>0</v>
      </c>
      <c r="O22" s="1250"/>
      <c r="P22" s="1325"/>
      <c r="Q22" s="1326"/>
      <c r="R22" s="1326"/>
      <c r="S22" s="1326"/>
      <c r="T22" s="1327">
        <f t="shared" si="8"/>
        <v>0</v>
      </c>
      <c r="U22" s="1325"/>
      <c r="V22" s="1326"/>
      <c r="W22" s="1326"/>
      <c r="X22" s="1326"/>
      <c r="Y22" s="1326"/>
      <c r="Z22" s="1327">
        <f t="shared" si="9"/>
        <v>0</v>
      </c>
      <c r="AA22" s="1325"/>
      <c r="AB22" s="1326"/>
      <c r="AC22" s="1326"/>
      <c r="AD22" s="1326"/>
      <c r="AE22" s="1326"/>
      <c r="AF22" s="1327">
        <f t="shared" si="10"/>
        <v>0</v>
      </c>
      <c r="AG22" s="1179"/>
      <c r="AH22" s="1250"/>
      <c r="AI22" s="945" t="str">
        <f t="shared" si="11"/>
        <v>Please complete all cells in row</v>
      </c>
      <c r="AJ22" s="200"/>
      <c r="AK22" s="72"/>
      <c r="AL22" s="98">
        <f>IF(Validation!$H$3=1,0,IF(ISNUMBER(G22),0,1))</f>
        <v>1</v>
      </c>
      <c r="AM22" s="98">
        <f>IF(Validation!$H$3=1,0,IF(ISNUMBER(H22),0,1))</f>
        <v>1</v>
      </c>
      <c r="AN22" s="98">
        <f>IF(Validation!$H$3=1,0,IF(ISNUMBER(I22),0,1))</f>
        <v>1</v>
      </c>
      <c r="AO22" s="98">
        <f>IF(Validation!$H$3=1,0,IF(ISNUMBER(J22),0,1))</f>
        <v>1</v>
      </c>
      <c r="AP22" s="98">
        <f>IF(Validation!$H$3=1,0,IF(ISNUMBER(K22),0,1))</f>
        <v>1</v>
      </c>
      <c r="AQ22" s="98">
        <f>IF(Validation!$H$3=1,0,IF(ISNUMBER(L22),0,1))</f>
        <v>1</v>
      </c>
      <c r="AR22" s="98">
        <f>IF(Validation!$H$3=1,0,IF(ISNUMBER(M22),0,1))</f>
        <v>1</v>
      </c>
      <c r="AS22" s="98"/>
      <c r="AT22" s="90"/>
      <c r="AU22" s="98">
        <f>IF(Validation!$H$3=1,0,IF(ISNUMBER(P22),0,1))</f>
        <v>1</v>
      </c>
      <c r="AV22" s="98">
        <f>IF(Validation!$H$3=1,0,IF(ISNUMBER(Q22),0,1))</f>
        <v>1</v>
      </c>
      <c r="AW22" s="98">
        <f>IF(Validation!$H$3=1,0,IF(ISNUMBER(R22),0,1))</f>
        <v>1</v>
      </c>
      <c r="AX22" s="98">
        <f>IF(Validation!$H$3=1,0,IF(ISNUMBER(S22),0,1))</f>
        <v>1</v>
      </c>
      <c r="AY22" s="98"/>
      <c r="AZ22" s="98">
        <f>IF(Validation!$H$3=1,0,IF(ISNUMBER(U22),0,1))</f>
        <v>1</v>
      </c>
      <c r="BA22" s="98">
        <f>IF(Validation!$H$3=1,0,IF(ISNUMBER(V22),0,1))</f>
        <v>1</v>
      </c>
      <c r="BB22" s="98">
        <f>IF(Validation!$H$3=1,0,IF(ISNUMBER(W22),0,1))</f>
        <v>1</v>
      </c>
      <c r="BC22" s="98">
        <f>IF(Validation!$H$3=1,0,IF(ISNUMBER(X22),0,1))</f>
        <v>1</v>
      </c>
      <c r="BD22" s="98">
        <f>IF(Validation!$H$3=1,0,IF(ISNUMBER(Y22),0,1))</f>
        <v>1</v>
      </c>
      <c r="BE22" s="98"/>
      <c r="BF22" s="98">
        <f>IF(Validation!$H$3=1,0,IF(ISNUMBER(AA22),0,1))</f>
        <v>1</v>
      </c>
      <c r="BG22" s="98">
        <f>IF(Validation!$H$3=1,0,IF(ISNUMBER(AB22),0,1))</f>
        <v>1</v>
      </c>
      <c r="BH22" s="98">
        <f>IF(Validation!$H$3=1,0,IF(ISNUMBER(AC22),0,1))</f>
        <v>1</v>
      </c>
      <c r="BI22" s="98">
        <f>IF(Validation!$H$3=1,0,IF(ISNUMBER(AD22),0,1))</f>
        <v>1</v>
      </c>
      <c r="BJ22" s="98">
        <f>IF(Validation!$H$3=1,0,IF(ISNUMBER(AE22),0,1))</f>
        <v>1</v>
      </c>
      <c r="BK22" s="98"/>
      <c r="BL22" s="72"/>
      <c r="BN22" s="99" t="s">
        <v>6308</v>
      </c>
      <c r="BO22" s="961" t="s">
        <v>4768</v>
      </c>
      <c r="BP22" s="1328"/>
      <c r="BQ22" s="1328" t="s">
        <v>48</v>
      </c>
      <c r="BR22" s="1329">
        <v>0</v>
      </c>
      <c r="BS22" s="3141" t="s">
        <v>9324</v>
      </c>
      <c r="BT22" s="3142" t="s">
        <v>9325</v>
      </c>
      <c r="BU22" s="3142" t="s">
        <v>9326</v>
      </c>
      <c r="BV22" s="3142" t="s">
        <v>9327</v>
      </c>
      <c r="BW22" s="3142" t="s">
        <v>9328</v>
      </c>
      <c r="BX22" s="3142" t="s">
        <v>9329</v>
      </c>
      <c r="BY22" s="3142" t="s">
        <v>9330</v>
      </c>
      <c r="BZ22" s="1327" t="s">
        <v>9331</v>
      </c>
      <c r="CA22" s="2705"/>
      <c r="CB22" s="3141" t="s">
        <v>9332</v>
      </c>
      <c r="CC22" s="3142" t="s">
        <v>9333</v>
      </c>
      <c r="CD22" s="3142" t="s">
        <v>9334</v>
      </c>
      <c r="CE22" s="3142" t="s">
        <v>9335</v>
      </c>
      <c r="CF22" s="1327" t="s">
        <v>9336</v>
      </c>
      <c r="CG22" s="3141" t="s">
        <v>9337</v>
      </c>
      <c r="CH22" s="3142" t="s">
        <v>9338</v>
      </c>
      <c r="CI22" s="3142" t="s">
        <v>9339</v>
      </c>
      <c r="CJ22" s="3142" t="s">
        <v>9340</v>
      </c>
      <c r="CK22" s="3142" t="s">
        <v>9341</v>
      </c>
      <c r="CL22" s="1327" t="s">
        <v>9342</v>
      </c>
      <c r="CM22" s="3141" t="s">
        <v>9343</v>
      </c>
      <c r="CN22" s="3142" t="s">
        <v>9344</v>
      </c>
      <c r="CO22" s="3142" t="s">
        <v>9345</v>
      </c>
      <c r="CP22" s="3142" t="s">
        <v>9346</v>
      </c>
      <c r="CQ22" s="3142" t="s">
        <v>9347</v>
      </c>
      <c r="CR22" s="1327" t="s">
        <v>9348</v>
      </c>
    </row>
    <row r="23" spans="1:96">
      <c r="A23" s="1250"/>
      <c r="B23" s="99" t="s">
        <v>6309</v>
      </c>
      <c r="C23" s="92" t="s">
        <v>4769</v>
      </c>
      <c r="D23" s="100"/>
      <c r="E23" s="100" t="s">
        <v>48</v>
      </c>
      <c r="F23" s="101">
        <v>0</v>
      </c>
      <c r="G23" s="1325"/>
      <c r="H23" s="1326"/>
      <c r="I23" s="1326"/>
      <c r="J23" s="1326"/>
      <c r="K23" s="1326"/>
      <c r="L23" s="1326"/>
      <c r="M23" s="1326"/>
      <c r="N23" s="1327">
        <f t="shared" si="7"/>
        <v>0</v>
      </c>
      <c r="O23" s="1250"/>
      <c r="P23" s="1325"/>
      <c r="Q23" s="1326"/>
      <c r="R23" s="1326"/>
      <c r="S23" s="1326"/>
      <c r="T23" s="1327">
        <f t="shared" si="8"/>
        <v>0</v>
      </c>
      <c r="U23" s="1325"/>
      <c r="V23" s="1326"/>
      <c r="W23" s="1326"/>
      <c r="X23" s="1326"/>
      <c r="Y23" s="1326"/>
      <c r="Z23" s="1327">
        <f t="shared" si="9"/>
        <v>0</v>
      </c>
      <c r="AA23" s="1325"/>
      <c r="AB23" s="1326"/>
      <c r="AC23" s="1326"/>
      <c r="AD23" s="1326"/>
      <c r="AE23" s="1326"/>
      <c r="AF23" s="1327">
        <f t="shared" si="10"/>
        <v>0</v>
      </c>
      <c r="AG23" s="1165"/>
      <c r="AH23" s="1250"/>
      <c r="AI23" s="945" t="str">
        <f t="shared" si="11"/>
        <v>Please complete all cells in row</v>
      </c>
      <c r="AJ23" s="200"/>
      <c r="AK23" s="72"/>
      <c r="AL23" s="98">
        <f>IF(Validation!$H$3=1,0,IF(ISNUMBER(G23),0,1))</f>
        <v>1</v>
      </c>
      <c r="AM23" s="98">
        <f>IF(Validation!$H$3=1,0,IF(ISNUMBER(H23),0,1))</f>
        <v>1</v>
      </c>
      <c r="AN23" s="98">
        <f>IF(Validation!$H$3=1,0,IF(ISNUMBER(I23),0,1))</f>
        <v>1</v>
      </c>
      <c r="AO23" s="98">
        <f>IF(Validation!$H$3=1,0,IF(ISNUMBER(J23),0,1))</f>
        <v>1</v>
      </c>
      <c r="AP23" s="98">
        <f>IF(Validation!$H$3=1,0,IF(ISNUMBER(K23),0,1))</f>
        <v>1</v>
      </c>
      <c r="AQ23" s="98">
        <f>IF(Validation!$H$3=1,0,IF(ISNUMBER(L23),0,1))</f>
        <v>1</v>
      </c>
      <c r="AR23" s="98">
        <f>IF(Validation!$H$3=1,0,IF(ISNUMBER(M23),0,1))</f>
        <v>1</v>
      </c>
      <c r="AS23" s="98"/>
      <c r="AT23" s="90"/>
      <c r="AU23" s="98">
        <f>IF(Validation!$H$3=1,0,IF(ISNUMBER(P23),0,1))</f>
        <v>1</v>
      </c>
      <c r="AV23" s="98">
        <f>IF(Validation!$H$3=1,0,IF(ISNUMBER(Q23),0,1))</f>
        <v>1</v>
      </c>
      <c r="AW23" s="98">
        <f>IF(Validation!$H$3=1,0,IF(ISNUMBER(R23),0,1))</f>
        <v>1</v>
      </c>
      <c r="AX23" s="98">
        <f>IF(Validation!$H$3=1,0,IF(ISNUMBER(S23),0,1))</f>
        <v>1</v>
      </c>
      <c r="AY23" s="98"/>
      <c r="AZ23" s="98">
        <f>IF(Validation!$H$3=1,0,IF(ISNUMBER(U23),0,1))</f>
        <v>1</v>
      </c>
      <c r="BA23" s="98">
        <f>IF(Validation!$H$3=1,0,IF(ISNUMBER(V23),0,1))</f>
        <v>1</v>
      </c>
      <c r="BB23" s="98">
        <f>IF(Validation!$H$3=1,0,IF(ISNUMBER(W23),0,1))</f>
        <v>1</v>
      </c>
      <c r="BC23" s="98">
        <f>IF(Validation!$H$3=1,0,IF(ISNUMBER(X23),0,1))</f>
        <v>1</v>
      </c>
      <c r="BD23" s="98">
        <f>IF(Validation!$H$3=1,0,IF(ISNUMBER(Y23),0,1))</f>
        <v>1</v>
      </c>
      <c r="BE23" s="98"/>
      <c r="BF23" s="98">
        <f>IF(Validation!$H$3=1,0,IF(ISNUMBER(AA23),0,1))</f>
        <v>1</v>
      </c>
      <c r="BG23" s="98">
        <f>IF(Validation!$H$3=1,0,IF(ISNUMBER(AB23),0,1))</f>
        <v>1</v>
      </c>
      <c r="BH23" s="98">
        <f>IF(Validation!$H$3=1,0,IF(ISNUMBER(AC23),0,1))</f>
        <v>1</v>
      </c>
      <c r="BI23" s="98">
        <f>IF(Validation!$H$3=1,0,IF(ISNUMBER(AD23),0,1))</f>
        <v>1</v>
      </c>
      <c r="BJ23" s="98">
        <f>IF(Validation!$H$3=1,0,IF(ISNUMBER(AE23),0,1))</f>
        <v>1</v>
      </c>
      <c r="BK23" s="98"/>
      <c r="BL23" s="72"/>
      <c r="BN23" s="99" t="s">
        <v>6309</v>
      </c>
      <c r="BO23" s="92" t="s">
        <v>4769</v>
      </c>
      <c r="BP23" s="100"/>
      <c r="BQ23" s="100" t="s">
        <v>48</v>
      </c>
      <c r="BR23" s="101">
        <v>0</v>
      </c>
      <c r="BS23" s="3141" t="s">
        <v>9349</v>
      </c>
      <c r="BT23" s="3142" t="s">
        <v>9350</v>
      </c>
      <c r="BU23" s="3142" t="s">
        <v>9351</v>
      </c>
      <c r="BV23" s="3142" t="s">
        <v>9352</v>
      </c>
      <c r="BW23" s="3142" t="s">
        <v>9353</v>
      </c>
      <c r="BX23" s="3142" t="s">
        <v>9354</v>
      </c>
      <c r="BY23" s="3142" t="s">
        <v>9355</v>
      </c>
      <c r="BZ23" s="1327" t="s">
        <v>9356</v>
      </c>
      <c r="CA23" s="2705"/>
      <c r="CB23" s="3141" t="s">
        <v>9357</v>
      </c>
      <c r="CC23" s="3142" t="s">
        <v>9358</v>
      </c>
      <c r="CD23" s="3142" t="s">
        <v>9359</v>
      </c>
      <c r="CE23" s="3142" t="s">
        <v>9360</v>
      </c>
      <c r="CF23" s="1327" t="s">
        <v>9361</v>
      </c>
      <c r="CG23" s="3141" t="s">
        <v>9362</v>
      </c>
      <c r="CH23" s="3142" t="s">
        <v>9363</v>
      </c>
      <c r="CI23" s="3142" t="s">
        <v>9364</v>
      </c>
      <c r="CJ23" s="3142" t="s">
        <v>9365</v>
      </c>
      <c r="CK23" s="3142" t="s">
        <v>9366</v>
      </c>
      <c r="CL23" s="1327" t="s">
        <v>9367</v>
      </c>
      <c r="CM23" s="3141" t="s">
        <v>9368</v>
      </c>
      <c r="CN23" s="3142" t="s">
        <v>9369</v>
      </c>
      <c r="CO23" s="3142" t="s">
        <v>9370</v>
      </c>
      <c r="CP23" s="3142" t="s">
        <v>9371</v>
      </c>
      <c r="CQ23" s="3142" t="s">
        <v>9372</v>
      </c>
      <c r="CR23" s="1327" t="s">
        <v>9373</v>
      </c>
    </row>
    <row r="24" spans="1:96" ht="15" thickBot="1">
      <c r="A24" s="1250"/>
      <c r="B24" s="106" t="s">
        <v>6310</v>
      </c>
      <c r="C24" s="107" t="s">
        <v>4770</v>
      </c>
      <c r="D24" s="108"/>
      <c r="E24" s="108" t="s">
        <v>48</v>
      </c>
      <c r="F24" s="105">
        <v>0</v>
      </c>
      <c r="G24" s="1330">
        <f t="shared" ref="G24:N24" si="12">+SUM(G18:G23)</f>
        <v>0</v>
      </c>
      <c r="H24" s="1331">
        <f t="shared" si="12"/>
        <v>0</v>
      </c>
      <c r="I24" s="1331">
        <f t="shared" si="12"/>
        <v>0</v>
      </c>
      <c r="J24" s="1331">
        <f t="shared" si="12"/>
        <v>0</v>
      </c>
      <c r="K24" s="1331">
        <f t="shared" si="12"/>
        <v>0</v>
      </c>
      <c r="L24" s="1331">
        <f t="shared" si="12"/>
        <v>0</v>
      </c>
      <c r="M24" s="1331">
        <f t="shared" si="12"/>
        <v>0</v>
      </c>
      <c r="N24" s="1335">
        <f t="shared" si="12"/>
        <v>0</v>
      </c>
      <c r="O24" s="1250"/>
      <c r="P24" s="1330">
        <f t="shared" ref="P24:AF24" si="13">+SUM(P18:P23)</f>
        <v>0</v>
      </c>
      <c r="Q24" s="1331">
        <f t="shared" si="13"/>
        <v>0</v>
      </c>
      <c r="R24" s="1331">
        <f t="shared" si="13"/>
        <v>0</v>
      </c>
      <c r="S24" s="1331">
        <f t="shared" si="13"/>
        <v>0</v>
      </c>
      <c r="T24" s="1332">
        <f t="shared" si="13"/>
        <v>0</v>
      </c>
      <c r="U24" s="1330">
        <f t="shared" si="13"/>
        <v>0</v>
      </c>
      <c r="V24" s="1331">
        <f t="shared" si="13"/>
        <v>0</v>
      </c>
      <c r="W24" s="1331">
        <f t="shared" si="13"/>
        <v>0</v>
      </c>
      <c r="X24" s="1331">
        <f t="shared" si="13"/>
        <v>0</v>
      </c>
      <c r="Y24" s="1331">
        <f t="shared" si="13"/>
        <v>0</v>
      </c>
      <c r="Z24" s="1332">
        <f t="shared" si="13"/>
        <v>0</v>
      </c>
      <c r="AA24" s="1330">
        <f t="shared" si="13"/>
        <v>0</v>
      </c>
      <c r="AB24" s="1331">
        <f t="shared" si="13"/>
        <v>0</v>
      </c>
      <c r="AC24" s="1331">
        <f t="shared" si="13"/>
        <v>0</v>
      </c>
      <c r="AD24" s="1331">
        <f t="shared" si="13"/>
        <v>0</v>
      </c>
      <c r="AE24" s="1331">
        <f t="shared" si="13"/>
        <v>0</v>
      </c>
      <c r="AF24" s="1332">
        <f t="shared" si="13"/>
        <v>0</v>
      </c>
      <c r="AG24" s="1173"/>
      <c r="AH24" s="1250"/>
      <c r="AT24" s="90"/>
      <c r="BN24" s="106" t="s">
        <v>6310</v>
      </c>
      <c r="BO24" s="107" t="s">
        <v>4770</v>
      </c>
      <c r="BP24" s="108"/>
      <c r="BQ24" s="108" t="s">
        <v>48</v>
      </c>
      <c r="BR24" s="105">
        <v>0</v>
      </c>
      <c r="BS24" s="1330" t="s">
        <v>9374</v>
      </c>
      <c r="BT24" s="1331" t="s">
        <v>9375</v>
      </c>
      <c r="BU24" s="1331" t="s">
        <v>9376</v>
      </c>
      <c r="BV24" s="1331" t="s">
        <v>9377</v>
      </c>
      <c r="BW24" s="1331" t="s">
        <v>9378</v>
      </c>
      <c r="BX24" s="1331" t="s">
        <v>9379</v>
      </c>
      <c r="BY24" s="1331" t="s">
        <v>9380</v>
      </c>
      <c r="BZ24" s="1335" t="s">
        <v>9381</v>
      </c>
      <c r="CA24" s="2705"/>
      <c r="CB24" s="1330" t="s">
        <v>9382</v>
      </c>
      <c r="CC24" s="1331" t="s">
        <v>9383</v>
      </c>
      <c r="CD24" s="1331" t="s">
        <v>9384</v>
      </c>
      <c r="CE24" s="1331" t="s">
        <v>9385</v>
      </c>
      <c r="CF24" s="1332" t="s">
        <v>9386</v>
      </c>
      <c r="CG24" s="1330" t="s">
        <v>9387</v>
      </c>
      <c r="CH24" s="1331" t="s">
        <v>9388</v>
      </c>
      <c r="CI24" s="1331" t="s">
        <v>9389</v>
      </c>
      <c r="CJ24" s="1331" t="s">
        <v>9390</v>
      </c>
      <c r="CK24" s="1331" t="s">
        <v>9391</v>
      </c>
      <c r="CL24" s="1332" t="s">
        <v>9392</v>
      </c>
      <c r="CM24" s="1330" t="s">
        <v>9393</v>
      </c>
      <c r="CN24" s="1331" t="s">
        <v>9394</v>
      </c>
      <c r="CO24" s="1331" t="s">
        <v>9395</v>
      </c>
      <c r="CP24" s="1331" t="s">
        <v>9396</v>
      </c>
      <c r="CQ24" s="1331" t="s">
        <v>9397</v>
      </c>
      <c r="CR24" s="1332" t="s">
        <v>9398</v>
      </c>
    </row>
    <row r="25" spans="1:96" ht="15" thickBot="1">
      <c r="A25" s="1250"/>
      <c r="B25" s="1317"/>
      <c r="C25" s="1181"/>
      <c r="D25" s="1181"/>
      <c r="E25" s="1319"/>
      <c r="F25" s="1250"/>
      <c r="G25" s="1250"/>
      <c r="H25" s="1250"/>
      <c r="I25" s="1250"/>
      <c r="J25" s="1250"/>
      <c r="K25" s="1250"/>
      <c r="L25" s="1250"/>
      <c r="M25" s="1250"/>
      <c r="N25" s="1250"/>
      <c r="O25" s="1250"/>
      <c r="P25" s="1250"/>
      <c r="Q25" s="1250"/>
      <c r="R25" s="1250"/>
      <c r="S25" s="1250"/>
      <c r="T25" s="1250"/>
      <c r="U25" s="1250"/>
      <c r="V25" s="1250"/>
      <c r="W25" s="1250"/>
      <c r="X25" s="1250"/>
      <c r="Y25" s="1250"/>
      <c r="Z25" s="1250"/>
      <c r="AA25" s="1250"/>
      <c r="AB25" s="1250"/>
      <c r="AC25" s="1250"/>
      <c r="AD25" s="1250"/>
      <c r="AE25" s="1250"/>
      <c r="AF25" s="1250"/>
      <c r="AG25" s="1250"/>
      <c r="AH25" s="1250"/>
      <c r="AT25" s="90"/>
      <c r="BN25" s="3129"/>
      <c r="BO25" s="3133"/>
      <c r="BP25" s="3133"/>
      <c r="BQ25" s="3134"/>
      <c r="BR25" s="2705"/>
      <c r="BS25" s="2705"/>
      <c r="BT25" s="2705"/>
      <c r="BU25" s="2705"/>
      <c r="BV25" s="2705"/>
      <c r="BW25" s="2705"/>
      <c r="BX25" s="2705"/>
      <c r="BY25" s="2705"/>
      <c r="BZ25" s="2705"/>
      <c r="CA25" s="2705"/>
      <c r="CB25" s="2705"/>
      <c r="CC25" s="2705"/>
      <c r="CD25" s="2705"/>
      <c r="CE25" s="2705"/>
      <c r="CF25" s="2705"/>
      <c r="CG25" s="2705"/>
      <c r="CH25" s="2705"/>
      <c r="CI25" s="2705"/>
      <c r="CJ25" s="2705"/>
      <c r="CK25" s="2705"/>
      <c r="CL25" s="2705"/>
      <c r="CM25" s="2705"/>
      <c r="CN25" s="2705"/>
      <c r="CO25" s="2705"/>
      <c r="CP25" s="2705"/>
      <c r="CQ25" s="2705"/>
      <c r="CR25" s="2705"/>
    </row>
    <row r="26" spans="1:96" ht="26.25" thickBot="1">
      <c r="A26" s="1250"/>
      <c r="B26" s="3312" t="s">
        <v>2395</v>
      </c>
      <c r="C26" s="3313"/>
      <c r="D26" s="191" t="s">
        <v>4730</v>
      </c>
      <c r="E26" s="191" t="s">
        <v>3346</v>
      </c>
      <c r="F26" s="192" t="s">
        <v>2397</v>
      </c>
      <c r="G26" s="1559" t="s">
        <v>2642</v>
      </c>
      <c r="H26" s="1250"/>
      <c r="I26" s="1250"/>
      <c r="J26" s="1250"/>
      <c r="K26" s="1250"/>
      <c r="L26" s="1250"/>
      <c r="M26" s="1250"/>
      <c r="N26" s="1250"/>
      <c r="O26" s="1250"/>
      <c r="P26" s="1250"/>
      <c r="Q26" s="1250"/>
      <c r="R26" s="1250"/>
      <c r="S26" s="1250"/>
      <c r="T26" s="1250"/>
      <c r="U26" s="1250"/>
      <c r="V26" s="1250"/>
      <c r="W26" s="1250"/>
      <c r="X26" s="1250"/>
      <c r="Y26" s="1250"/>
      <c r="Z26" s="1250"/>
      <c r="AA26" s="1250"/>
      <c r="AB26" s="1250"/>
      <c r="AC26" s="1250"/>
      <c r="AD26" s="1250"/>
      <c r="AE26" s="1250"/>
      <c r="AF26" s="1250"/>
      <c r="AG26" s="1250"/>
      <c r="AH26" s="1250"/>
      <c r="BN26" s="3312" t="s">
        <v>2395</v>
      </c>
      <c r="BO26" s="3313"/>
      <c r="BP26" s="191" t="s">
        <v>4730</v>
      </c>
      <c r="BQ26" s="191" t="s">
        <v>3346</v>
      </c>
      <c r="BR26" s="192" t="s">
        <v>2397</v>
      </c>
      <c r="BS26" s="1559" t="s">
        <v>2642</v>
      </c>
      <c r="BT26" s="2705"/>
      <c r="BU26" s="2705"/>
      <c r="BV26" s="2705"/>
      <c r="BW26" s="2705"/>
      <c r="BX26" s="2705"/>
      <c r="BY26" s="2705"/>
      <c r="BZ26" s="2705"/>
      <c r="CA26" s="2705"/>
      <c r="CB26" s="2705"/>
      <c r="CC26" s="2705"/>
      <c r="CD26" s="2705"/>
      <c r="CE26" s="2705"/>
      <c r="CF26" s="2705"/>
      <c r="CG26" s="2705"/>
      <c r="CH26" s="2705"/>
      <c r="CI26" s="2705"/>
      <c r="CJ26" s="2705"/>
      <c r="CK26" s="2705"/>
      <c r="CL26" s="2705"/>
      <c r="CM26" s="2705"/>
      <c r="CN26" s="2705"/>
      <c r="CO26" s="2705"/>
      <c r="CP26" s="2705"/>
      <c r="CQ26" s="2705"/>
      <c r="CR26" s="2705"/>
    </row>
    <row r="27" spans="1:96" ht="15" thickBot="1">
      <c r="A27" s="1250"/>
      <c r="B27" s="1317"/>
      <c r="C27" s="1181"/>
      <c r="D27" s="1181"/>
      <c r="E27" s="1319"/>
      <c r="F27" s="1250"/>
      <c r="G27" s="1336"/>
      <c r="H27" s="1250"/>
      <c r="I27" s="1250"/>
      <c r="J27" s="1250"/>
      <c r="K27" s="1250"/>
      <c r="L27" s="1250"/>
      <c r="M27" s="1250"/>
      <c r="N27" s="1250"/>
      <c r="O27" s="1250"/>
      <c r="P27" s="1250"/>
      <c r="Q27" s="1250"/>
      <c r="R27" s="1250"/>
      <c r="S27" s="1250"/>
      <c r="T27" s="1250"/>
      <c r="U27" s="1250"/>
      <c r="V27" s="1250"/>
      <c r="W27" s="1250"/>
      <c r="X27" s="1250"/>
      <c r="Y27" s="1250"/>
      <c r="Z27" s="1250"/>
      <c r="AA27" s="1250"/>
      <c r="AB27" s="1250"/>
      <c r="AC27" s="1250"/>
      <c r="AD27" s="1250"/>
      <c r="AE27" s="1250"/>
      <c r="AF27" s="1250"/>
      <c r="AG27" s="1250"/>
      <c r="AH27" s="1250"/>
      <c r="BN27" s="3129"/>
      <c r="BO27" s="3133"/>
      <c r="BP27" s="3133"/>
      <c r="BQ27" s="3134"/>
      <c r="BR27" s="2705"/>
      <c r="BS27" s="1336"/>
      <c r="BT27" s="2705"/>
      <c r="BU27" s="2705"/>
      <c r="BV27" s="2705"/>
      <c r="BW27" s="2705"/>
      <c r="BX27" s="2705"/>
      <c r="BY27" s="2705"/>
      <c r="BZ27" s="2705"/>
      <c r="CA27" s="2705"/>
      <c r="CB27" s="2705"/>
      <c r="CC27" s="2705"/>
      <c r="CD27" s="2705"/>
      <c r="CE27" s="2705"/>
      <c r="CF27" s="2705"/>
      <c r="CG27" s="2705"/>
      <c r="CH27" s="2705"/>
      <c r="CI27" s="2705"/>
      <c r="CJ27" s="2705"/>
      <c r="CK27" s="2705"/>
      <c r="CL27" s="2705"/>
      <c r="CM27" s="2705"/>
      <c r="CN27" s="2705"/>
      <c r="CO27" s="2705"/>
      <c r="CP27" s="2705"/>
      <c r="CQ27" s="2705"/>
      <c r="CR27" s="2705"/>
    </row>
    <row r="28" spans="1:96" ht="15" thickBot="1">
      <c r="A28" s="1250"/>
      <c r="B28" s="118" t="s">
        <v>2464</v>
      </c>
      <c r="C28" s="119" t="s">
        <v>4771</v>
      </c>
      <c r="D28" s="1181"/>
      <c r="E28" s="1319"/>
      <c r="F28" s="1250"/>
      <c r="G28" s="1336"/>
      <c r="H28" s="1250"/>
      <c r="I28" s="1250"/>
      <c r="J28" s="1250"/>
      <c r="K28" s="1250"/>
      <c r="L28" s="1250"/>
      <c r="M28" s="1250"/>
      <c r="N28" s="1250"/>
      <c r="O28" s="1250"/>
      <c r="P28" s="1250"/>
      <c r="Q28" s="1250"/>
      <c r="R28" s="1250"/>
      <c r="S28" s="1250"/>
      <c r="T28" s="1250"/>
      <c r="U28" s="1250"/>
      <c r="V28" s="1250"/>
      <c r="W28" s="1250"/>
      <c r="X28" s="1250"/>
      <c r="Y28" s="1250"/>
      <c r="Z28" s="1250"/>
      <c r="AA28" s="1250"/>
      <c r="AB28" s="1250"/>
      <c r="AC28" s="1250"/>
      <c r="AD28" s="1250"/>
      <c r="AE28" s="1250"/>
      <c r="AF28" s="1250"/>
      <c r="AG28" s="1250"/>
      <c r="AH28" s="1250"/>
      <c r="BN28" s="118" t="s">
        <v>2464</v>
      </c>
      <c r="BO28" s="119" t="s">
        <v>4771</v>
      </c>
      <c r="BP28" s="3133"/>
      <c r="BQ28" s="3134"/>
      <c r="BR28" s="2705"/>
      <c r="BS28" s="1336"/>
      <c r="BT28" s="2705"/>
      <c r="BU28" s="2705"/>
      <c r="BV28" s="2705"/>
      <c r="BW28" s="2705"/>
      <c r="BX28" s="2705"/>
      <c r="BY28" s="2705"/>
      <c r="BZ28" s="2705"/>
      <c r="CA28" s="2705"/>
      <c r="CB28" s="2705"/>
      <c r="CC28" s="2705"/>
      <c r="CD28" s="2705"/>
      <c r="CE28" s="2705"/>
      <c r="CF28" s="2705"/>
      <c r="CG28" s="2705"/>
      <c r="CH28" s="2705"/>
      <c r="CI28" s="2705"/>
      <c r="CJ28" s="2705"/>
      <c r="CK28" s="2705"/>
      <c r="CL28" s="2705"/>
      <c r="CM28" s="2705"/>
      <c r="CN28" s="2705"/>
      <c r="CO28" s="2705"/>
      <c r="CP28" s="2705"/>
      <c r="CQ28" s="2705"/>
      <c r="CR28" s="2705"/>
    </row>
    <row r="29" spans="1:96">
      <c r="A29" s="1315"/>
      <c r="B29" s="91" t="s">
        <v>6311</v>
      </c>
      <c r="C29" s="122" t="s">
        <v>4772</v>
      </c>
      <c r="D29" s="93"/>
      <c r="E29" s="2199" t="s">
        <v>4312</v>
      </c>
      <c r="F29" s="94">
        <v>3</v>
      </c>
      <c r="G29" s="1337"/>
      <c r="H29" s="1250"/>
      <c r="I29" s="1250"/>
      <c r="J29" s="1250"/>
      <c r="K29" s="1250"/>
      <c r="L29" s="1250"/>
      <c r="M29" s="1250"/>
      <c r="N29" s="1250"/>
      <c r="O29" s="1250"/>
      <c r="P29" s="1250"/>
      <c r="Q29" s="1250"/>
      <c r="R29" s="1250"/>
      <c r="S29" s="1250"/>
      <c r="T29" s="1250"/>
      <c r="U29" s="1250"/>
      <c r="V29" s="1250"/>
      <c r="W29" s="1250"/>
      <c r="X29" s="1250"/>
      <c r="Y29" s="1250"/>
      <c r="Z29" s="1250"/>
      <c r="AA29" s="1250"/>
      <c r="AB29" s="1250"/>
      <c r="AC29" s="1250"/>
      <c r="AD29" s="1250"/>
      <c r="AE29" s="1250"/>
      <c r="AF29" s="1250"/>
      <c r="AG29" s="1178"/>
      <c r="AH29" s="1250"/>
      <c r="AI29" s="945" t="str">
        <f t="shared" ref="AI29:AI38" si="14" xml:space="preserve"> IF( SUM( AK29:BL29 ) = 0, 0, $AL$5 )</f>
        <v>Please complete all cells in row</v>
      </c>
      <c r="AJ29" s="200"/>
      <c r="AK29" s="72"/>
      <c r="AL29" s="98">
        <f>IF(Validation!$H$3=1,0,IF(ISNUMBER(G29),0,1))</f>
        <v>1</v>
      </c>
      <c r="BL29" s="72"/>
      <c r="BN29" s="91" t="s">
        <v>6311</v>
      </c>
      <c r="BO29" s="122" t="s">
        <v>4772</v>
      </c>
      <c r="BP29" s="93" t="s">
        <v>9399</v>
      </c>
      <c r="BQ29" s="93" t="s">
        <v>4312</v>
      </c>
      <c r="BR29" s="94">
        <v>3</v>
      </c>
      <c r="BS29" s="3145"/>
      <c r="BT29" s="2705"/>
      <c r="BU29" s="2705"/>
      <c r="BV29" s="2705"/>
      <c r="BW29" s="2705"/>
      <c r="BX29" s="2705"/>
      <c r="BY29" s="2705"/>
      <c r="BZ29" s="2705"/>
      <c r="CA29" s="2705"/>
      <c r="CB29" s="2705"/>
      <c r="CC29" s="2705"/>
      <c r="CD29" s="2705"/>
      <c r="CE29" s="2705"/>
      <c r="CF29" s="2705"/>
      <c r="CG29" s="2705"/>
      <c r="CH29" s="2705"/>
      <c r="CI29" s="2705"/>
      <c r="CJ29" s="2705"/>
      <c r="CK29" s="2705"/>
      <c r="CL29" s="2705"/>
      <c r="CM29" s="2705"/>
      <c r="CN29" s="2705"/>
      <c r="CO29" s="2705"/>
      <c r="CP29" s="2705"/>
      <c r="CQ29" s="2705"/>
      <c r="CR29" s="2705"/>
    </row>
    <row r="30" spans="1:96">
      <c r="A30" s="1315"/>
      <c r="B30" s="99" t="s">
        <v>6312</v>
      </c>
      <c r="C30" s="92" t="s">
        <v>4773</v>
      </c>
      <c r="D30" s="100"/>
      <c r="E30" s="100" t="s">
        <v>3624</v>
      </c>
      <c r="F30" s="101">
        <v>3</v>
      </c>
      <c r="G30" s="1338"/>
      <c r="H30" s="1250"/>
      <c r="I30" s="1250"/>
      <c r="J30" s="1250"/>
      <c r="K30" s="1250"/>
      <c r="L30" s="1250"/>
      <c r="M30" s="1250"/>
      <c r="N30" s="1250"/>
      <c r="O30" s="1250"/>
      <c r="P30" s="1250"/>
      <c r="Q30" s="1250"/>
      <c r="R30" s="1250"/>
      <c r="S30" s="1250"/>
      <c r="T30" s="1250"/>
      <c r="U30" s="1250"/>
      <c r="V30" s="1250"/>
      <c r="W30" s="1250"/>
      <c r="X30" s="1250"/>
      <c r="Y30" s="1250"/>
      <c r="Z30" s="1250"/>
      <c r="AA30" s="1250"/>
      <c r="AB30" s="1250"/>
      <c r="AC30" s="1250"/>
      <c r="AD30" s="1250"/>
      <c r="AE30" s="1250"/>
      <c r="AF30" s="1250"/>
      <c r="AG30" s="1179"/>
      <c r="AH30" s="1250"/>
      <c r="AI30" s="945" t="str">
        <f t="shared" si="14"/>
        <v>Please complete all cells in row</v>
      </c>
      <c r="AJ30" s="200"/>
      <c r="AK30" s="72"/>
      <c r="AL30" s="98">
        <f>IF(Validation!$H$3=1,0,IF(ISNUMBER(G30),0,1))</f>
        <v>1</v>
      </c>
      <c r="BL30" s="72"/>
      <c r="BN30" s="99" t="s">
        <v>6312</v>
      </c>
      <c r="BO30" s="92" t="s">
        <v>4773</v>
      </c>
      <c r="BP30" s="100" t="s">
        <v>9400</v>
      </c>
      <c r="BQ30" s="100" t="s">
        <v>3624</v>
      </c>
      <c r="BR30" s="101">
        <v>3</v>
      </c>
      <c r="BS30" s="3146"/>
      <c r="BT30" s="2705"/>
      <c r="BU30" s="2705"/>
      <c r="BV30" s="2705"/>
      <c r="BW30" s="2705"/>
      <c r="BX30" s="2705"/>
      <c r="BY30" s="2705"/>
      <c r="BZ30" s="2705"/>
      <c r="CA30" s="2705"/>
      <c r="CB30" s="2705"/>
      <c r="CC30" s="2705"/>
      <c r="CD30" s="2705"/>
      <c r="CE30" s="2705"/>
      <c r="CF30" s="2705"/>
      <c r="CG30" s="2705"/>
      <c r="CH30" s="2705"/>
      <c r="CI30" s="2705"/>
      <c r="CJ30" s="2705"/>
      <c r="CK30" s="2705"/>
      <c r="CL30" s="2705"/>
      <c r="CM30" s="2705"/>
      <c r="CN30" s="2705"/>
      <c r="CO30" s="2705"/>
      <c r="CP30" s="2705"/>
      <c r="CQ30" s="2705"/>
      <c r="CR30" s="2705"/>
    </row>
    <row r="31" spans="1:96">
      <c r="A31" s="1315"/>
      <c r="B31" s="99" t="s">
        <v>6313</v>
      </c>
      <c r="C31" s="92" t="s">
        <v>4774</v>
      </c>
      <c r="D31" s="100"/>
      <c r="E31" s="100" t="s">
        <v>3624</v>
      </c>
      <c r="F31" s="101">
        <v>3</v>
      </c>
      <c r="G31" s="1338"/>
      <c r="H31" s="1250"/>
      <c r="I31" s="1250"/>
      <c r="J31" s="1250"/>
      <c r="K31" s="1250"/>
      <c r="L31" s="1250"/>
      <c r="M31" s="1250"/>
      <c r="N31" s="1250"/>
      <c r="O31" s="1250"/>
      <c r="P31" s="1250"/>
      <c r="Q31" s="1250"/>
      <c r="R31" s="1250"/>
      <c r="S31" s="1250"/>
      <c r="T31" s="1250"/>
      <c r="U31" s="1250"/>
      <c r="V31" s="1250"/>
      <c r="W31" s="1250"/>
      <c r="X31" s="1250"/>
      <c r="Y31" s="1250"/>
      <c r="Z31" s="1250"/>
      <c r="AA31" s="1250"/>
      <c r="AB31" s="1250"/>
      <c r="AC31" s="1250"/>
      <c r="AD31" s="1250"/>
      <c r="AE31" s="1250"/>
      <c r="AF31" s="1250"/>
      <c r="AG31" s="1179"/>
      <c r="AH31" s="1250"/>
      <c r="AI31" s="945" t="str">
        <f t="shared" si="14"/>
        <v>Please complete all cells in row</v>
      </c>
      <c r="AJ31" s="200"/>
      <c r="AK31" s="72"/>
      <c r="AL31" s="98">
        <f>IF(Validation!$H$3=1,0,IF(ISNUMBER(G31),0,1))</f>
        <v>1</v>
      </c>
      <c r="BL31" s="72"/>
      <c r="BN31" s="99" t="s">
        <v>6313</v>
      </c>
      <c r="BO31" s="92" t="s">
        <v>4774</v>
      </c>
      <c r="BP31" s="100" t="s">
        <v>9401</v>
      </c>
      <c r="BQ31" s="100" t="s">
        <v>3624</v>
      </c>
      <c r="BR31" s="101">
        <v>3</v>
      </c>
      <c r="BS31" s="3146"/>
      <c r="BT31" s="2705"/>
      <c r="BU31" s="2705"/>
      <c r="BV31" s="2705"/>
      <c r="BW31" s="2705"/>
      <c r="BX31" s="2705"/>
      <c r="BY31" s="2705"/>
      <c r="BZ31" s="2705"/>
      <c r="CA31" s="2705"/>
      <c r="CB31" s="2705"/>
      <c r="CC31" s="2705"/>
      <c r="CD31" s="2705"/>
      <c r="CE31" s="2705"/>
      <c r="CF31" s="2705"/>
      <c r="CG31" s="2705"/>
      <c r="CH31" s="2705"/>
      <c r="CI31" s="2705"/>
      <c r="CJ31" s="2705"/>
      <c r="CK31" s="2705"/>
      <c r="CL31" s="2705"/>
      <c r="CM31" s="2705"/>
      <c r="CN31" s="2705"/>
      <c r="CO31" s="2705"/>
      <c r="CP31" s="2705"/>
      <c r="CQ31" s="2705"/>
      <c r="CR31" s="2705"/>
    </row>
    <row r="32" spans="1:96">
      <c r="A32" s="1315"/>
      <c r="B32" s="99" t="s">
        <v>6314</v>
      </c>
      <c r="C32" s="92" t="s">
        <v>4775</v>
      </c>
      <c r="D32" s="100"/>
      <c r="E32" s="100" t="s">
        <v>3624</v>
      </c>
      <c r="F32" s="101">
        <v>3</v>
      </c>
      <c r="G32" s="1338"/>
      <c r="H32" s="1250"/>
      <c r="I32" s="1250"/>
      <c r="J32" s="1250"/>
      <c r="K32" s="1250"/>
      <c r="L32" s="1250"/>
      <c r="M32" s="1250"/>
      <c r="N32" s="1250"/>
      <c r="O32" s="1250"/>
      <c r="P32" s="1250"/>
      <c r="Q32" s="1250"/>
      <c r="R32" s="1250"/>
      <c r="S32" s="1250"/>
      <c r="T32" s="1250"/>
      <c r="U32" s="1250"/>
      <c r="V32" s="1250"/>
      <c r="W32" s="1250"/>
      <c r="X32" s="1250"/>
      <c r="Y32" s="1250"/>
      <c r="Z32" s="1250"/>
      <c r="AA32" s="1250"/>
      <c r="AB32" s="1250"/>
      <c r="AC32" s="1250"/>
      <c r="AD32" s="1250"/>
      <c r="AE32" s="1250"/>
      <c r="AF32" s="1250"/>
      <c r="AG32" s="1179"/>
      <c r="AH32" s="1250"/>
      <c r="AI32" s="945" t="str">
        <f t="shared" si="14"/>
        <v>Please complete all cells in row</v>
      </c>
      <c r="AJ32" s="200"/>
      <c r="AK32" s="72"/>
      <c r="AL32" s="98">
        <f>IF(Validation!$H$3=1,0,IF(ISNUMBER(G32),0,1))</f>
        <v>1</v>
      </c>
      <c r="BL32" s="72"/>
      <c r="BN32" s="99" t="s">
        <v>6314</v>
      </c>
      <c r="BO32" s="92" t="s">
        <v>4775</v>
      </c>
      <c r="BP32" s="100" t="s">
        <v>9402</v>
      </c>
      <c r="BQ32" s="100" t="s">
        <v>3624</v>
      </c>
      <c r="BR32" s="101">
        <v>3</v>
      </c>
      <c r="BS32" s="3146"/>
      <c r="BT32" s="2705"/>
      <c r="BU32" s="2705"/>
      <c r="BV32" s="2705"/>
      <c r="BW32" s="2705"/>
      <c r="BX32" s="2705"/>
      <c r="BY32" s="2705"/>
      <c r="BZ32" s="2705"/>
      <c r="CA32" s="2705"/>
      <c r="CB32" s="2705"/>
      <c r="CC32" s="2705"/>
      <c r="CD32" s="2705"/>
      <c r="CE32" s="2705"/>
      <c r="CF32" s="2705"/>
      <c r="CG32" s="2705"/>
      <c r="CH32" s="2705"/>
      <c r="CI32" s="2705"/>
      <c r="CJ32" s="2705"/>
      <c r="CK32" s="2705"/>
      <c r="CL32" s="2705"/>
      <c r="CM32" s="2705"/>
      <c r="CN32" s="2705"/>
      <c r="CO32" s="2705"/>
      <c r="CP32" s="2705"/>
      <c r="CQ32" s="2705"/>
      <c r="CR32" s="2705"/>
    </row>
    <row r="33" spans="1:96">
      <c r="A33" s="1315"/>
      <c r="B33" s="99" t="s">
        <v>6315</v>
      </c>
      <c r="C33" s="961" t="s">
        <v>4776</v>
      </c>
      <c r="D33" s="1328"/>
      <c r="E33" s="1328" t="s">
        <v>3624</v>
      </c>
      <c r="F33" s="1329">
        <v>3</v>
      </c>
      <c r="G33" s="1338"/>
      <c r="H33" s="1250"/>
      <c r="I33" s="1250"/>
      <c r="J33" s="1250"/>
      <c r="K33" s="1250"/>
      <c r="L33" s="1250"/>
      <c r="M33" s="1250"/>
      <c r="N33" s="1250"/>
      <c r="O33" s="1250"/>
      <c r="P33" s="1250"/>
      <c r="Q33" s="1250"/>
      <c r="R33" s="1250"/>
      <c r="S33" s="1250"/>
      <c r="T33" s="1250"/>
      <c r="U33" s="1250"/>
      <c r="V33" s="1250"/>
      <c r="W33" s="1250"/>
      <c r="X33" s="1250"/>
      <c r="Y33" s="1250"/>
      <c r="Z33" s="1250"/>
      <c r="AA33" s="1250"/>
      <c r="AB33" s="1250"/>
      <c r="AC33" s="1250"/>
      <c r="AD33" s="1250"/>
      <c r="AE33" s="1250"/>
      <c r="AF33" s="1250"/>
      <c r="AG33" s="1179"/>
      <c r="AH33" s="1250"/>
      <c r="AI33" s="945" t="str">
        <f t="shared" si="14"/>
        <v>Please complete all cells in row</v>
      </c>
      <c r="AJ33" s="200"/>
      <c r="AK33" s="72"/>
      <c r="AL33" s="98">
        <f>IF(Validation!$H$3=1,0,IF(ISNUMBER(G33),0,1))</f>
        <v>1</v>
      </c>
      <c r="BL33" s="72"/>
      <c r="BN33" s="99" t="s">
        <v>6315</v>
      </c>
      <c r="BO33" s="961" t="s">
        <v>4776</v>
      </c>
      <c r="BP33" s="1328" t="s">
        <v>9403</v>
      </c>
      <c r="BQ33" s="1328" t="s">
        <v>3624</v>
      </c>
      <c r="BR33" s="1329">
        <v>3</v>
      </c>
      <c r="BS33" s="3146"/>
      <c r="BT33" s="2705"/>
      <c r="BU33" s="2705"/>
      <c r="BV33" s="2705"/>
      <c r="BW33" s="2705"/>
      <c r="BX33" s="2705"/>
      <c r="BY33" s="2705"/>
      <c r="BZ33" s="2705"/>
      <c r="CA33" s="2705"/>
      <c r="CB33" s="2705"/>
      <c r="CC33" s="2705"/>
      <c r="CD33" s="2705"/>
      <c r="CE33" s="2705"/>
      <c r="CF33" s="2705"/>
      <c r="CG33" s="2705"/>
      <c r="CH33" s="2705"/>
      <c r="CI33" s="2705"/>
      <c r="CJ33" s="2705"/>
      <c r="CK33" s="2705"/>
      <c r="CL33" s="2705"/>
      <c r="CM33" s="2705"/>
      <c r="CN33" s="2705"/>
      <c r="CO33" s="2705"/>
      <c r="CP33" s="2705"/>
      <c r="CQ33" s="2705"/>
      <c r="CR33" s="2705"/>
    </row>
    <row r="34" spans="1:96">
      <c r="A34" s="1315"/>
      <c r="B34" s="99" t="s">
        <v>6316</v>
      </c>
      <c r="C34" s="92" t="s">
        <v>4777</v>
      </c>
      <c r="D34" s="100"/>
      <c r="E34" s="100" t="s">
        <v>3624</v>
      </c>
      <c r="F34" s="101">
        <v>3</v>
      </c>
      <c r="G34" s="1338"/>
      <c r="H34" s="1250"/>
      <c r="I34" s="1250"/>
      <c r="J34" s="1250"/>
      <c r="K34" s="1250"/>
      <c r="L34" s="1250"/>
      <c r="M34" s="1250"/>
      <c r="N34" s="1250"/>
      <c r="O34" s="1250"/>
      <c r="P34" s="1250"/>
      <c r="Q34" s="1250"/>
      <c r="R34" s="1250"/>
      <c r="S34" s="1250"/>
      <c r="T34" s="1250"/>
      <c r="U34" s="1250"/>
      <c r="V34" s="1250"/>
      <c r="W34" s="1250"/>
      <c r="X34" s="1250"/>
      <c r="Y34" s="1250"/>
      <c r="Z34" s="1250"/>
      <c r="AA34" s="1250"/>
      <c r="AB34" s="1250"/>
      <c r="AC34" s="1250"/>
      <c r="AD34" s="1250"/>
      <c r="AE34" s="1250"/>
      <c r="AF34" s="1250"/>
      <c r="AG34" s="1179"/>
      <c r="AH34" s="1250"/>
      <c r="AI34" s="945" t="str">
        <f t="shared" si="14"/>
        <v>Please complete all cells in row</v>
      </c>
      <c r="AJ34" s="200"/>
      <c r="AK34" s="72"/>
      <c r="AL34" s="98">
        <f>IF(Validation!$H$3=1,0,IF(ISNUMBER(G34),0,1))</f>
        <v>1</v>
      </c>
      <c r="BL34" s="72"/>
      <c r="BN34" s="99" t="s">
        <v>6316</v>
      </c>
      <c r="BO34" s="92" t="s">
        <v>4777</v>
      </c>
      <c r="BP34" s="100" t="s">
        <v>9404</v>
      </c>
      <c r="BQ34" s="100" t="s">
        <v>3624</v>
      </c>
      <c r="BR34" s="101">
        <v>3</v>
      </c>
      <c r="BS34" s="3146"/>
      <c r="BT34" s="2705"/>
      <c r="BU34" s="2705"/>
      <c r="BV34" s="2705"/>
      <c r="BW34" s="2705"/>
      <c r="BX34" s="2705"/>
      <c r="BY34" s="2705"/>
      <c r="BZ34" s="2705"/>
      <c r="CA34" s="2705"/>
      <c r="CB34" s="2705"/>
      <c r="CC34" s="2705"/>
      <c r="CD34" s="2705"/>
      <c r="CE34" s="2705"/>
      <c r="CF34" s="2705"/>
      <c r="CG34" s="2705"/>
      <c r="CH34" s="2705"/>
      <c r="CI34" s="2705"/>
      <c r="CJ34" s="2705"/>
      <c r="CK34" s="2705"/>
      <c r="CL34" s="2705"/>
      <c r="CM34" s="2705"/>
      <c r="CN34" s="2705"/>
      <c r="CO34" s="2705"/>
      <c r="CP34" s="2705"/>
      <c r="CQ34" s="2705"/>
      <c r="CR34" s="2705"/>
    </row>
    <row r="35" spans="1:96">
      <c r="A35" s="1315"/>
      <c r="B35" s="99" t="s">
        <v>6317</v>
      </c>
      <c r="C35" s="92" t="s">
        <v>4778</v>
      </c>
      <c r="D35" s="100"/>
      <c r="E35" s="100" t="s">
        <v>3624</v>
      </c>
      <c r="F35" s="101">
        <v>3</v>
      </c>
      <c r="G35" s="1338"/>
      <c r="H35" s="1250"/>
      <c r="I35" s="1250"/>
      <c r="J35" s="1250"/>
      <c r="K35" s="1250"/>
      <c r="L35" s="1250"/>
      <c r="M35" s="1250"/>
      <c r="N35" s="1250"/>
      <c r="O35" s="1250"/>
      <c r="P35" s="1250"/>
      <c r="Q35" s="1250"/>
      <c r="R35" s="1250"/>
      <c r="S35" s="1250"/>
      <c r="T35" s="1250"/>
      <c r="U35" s="1250"/>
      <c r="V35" s="1250"/>
      <c r="W35" s="1250"/>
      <c r="X35" s="1250"/>
      <c r="Y35" s="1250"/>
      <c r="Z35" s="1250"/>
      <c r="AA35" s="1250"/>
      <c r="AB35" s="1250"/>
      <c r="AC35" s="1250"/>
      <c r="AD35" s="1250"/>
      <c r="AE35" s="1250"/>
      <c r="AF35" s="1250"/>
      <c r="AG35" s="1179"/>
      <c r="AH35" s="1250"/>
      <c r="AI35" s="945" t="str">
        <f t="shared" si="14"/>
        <v>Please complete all cells in row</v>
      </c>
      <c r="AJ35" s="200"/>
      <c r="AK35" s="72"/>
      <c r="AL35" s="98">
        <f>IF(Validation!$H$3=1,0,IF(ISNUMBER(G35),0,1))</f>
        <v>1</v>
      </c>
      <c r="BL35" s="72"/>
      <c r="BN35" s="99" t="s">
        <v>6317</v>
      </c>
      <c r="BO35" s="92" t="s">
        <v>4778</v>
      </c>
      <c r="BP35" s="100" t="s">
        <v>9405</v>
      </c>
      <c r="BQ35" s="100" t="s">
        <v>3624</v>
      </c>
      <c r="BR35" s="101">
        <v>3</v>
      </c>
      <c r="BS35" s="3146"/>
      <c r="BT35" s="2705"/>
      <c r="BU35" s="2705"/>
      <c r="BV35" s="2705"/>
      <c r="BW35" s="2705"/>
      <c r="BX35" s="2705"/>
      <c r="BY35" s="2705"/>
      <c r="BZ35" s="2705"/>
      <c r="CA35" s="2705"/>
      <c r="CB35" s="2705"/>
      <c r="CC35" s="2705"/>
      <c r="CD35" s="2705"/>
      <c r="CE35" s="2705"/>
      <c r="CF35" s="2705"/>
      <c r="CG35" s="2705"/>
      <c r="CH35" s="2705"/>
      <c r="CI35" s="2705"/>
      <c r="CJ35" s="2705"/>
      <c r="CK35" s="2705"/>
      <c r="CL35" s="2705"/>
      <c r="CM35" s="2705"/>
      <c r="CN35" s="2705"/>
      <c r="CO35" s="2705"/>
      <c r="CP35" s="2705"/>
      <c r="CQ35" s="2705"/>
      <c r="CR35" s="2705"/>
    </row>
    <row r="36" spans="1:96">
      <c r="A36" s="1315"/>
      <c r="B36" s="99" t="s">
        <v>6318</v>
      </c>
      <c r="C36" s="92" t="s">
        <v>4779</v>
      </c>
      <c r="D36" s="100"/>
      <c r="E36" s="100" t="s">
        <v>3624</v>
      </c>
      <c r="F36" s="101">
        <v>3</v>
      </c>
      <c r="G36" s="1338"/>
      <c r="H36" s="1250"/>
      <c r="I36" s="1250"/>
      <c r="J36" s="1250"/>
      <c r="K36" s="1250"/>
      <c r="L36" s="1250"/>
      <c r="M36" s="1250"/>
      <c r="N36" s="1250"/>
      <c r="O36" s="1250"/>
      <c r="P36" s="1250"/>
      <c r="Q36" s="1250"/>
      <c r="R36" s="1250"/>
      <c r="S36" s="1250"/>
      <c r="T36" s="1250"/>
      <c r="U36" s="1250"/>
      <c r="V36" s="1250"/>
      <c r="W36" s="1250"/>
      <c r="X36" s="1250"/>
      <c r="Y36" s="1250"/>
      <c r="Z36" s="1250"/>
      <c r="AA36" s="1250"/>
      <c r="AB36" s="1250"/>
      <c r="AC36" s="1250"/>
      <c r="AD36" s="1250"/>
      <c r="AE36" s="1250"/>
      <c r="AF36" s="1250"/>
      <c r="AG36" s="1165"/>
      <c r="AH36" s="1250"/>
      <c r="AI36" s="945" t="str">
        <f t="shared" si="14"/>
        <v>Please complete all cells in row</v>
      </c>
      <c r="AJ36" s="200"/>
      <c r="AK36" s="72"/>
      <c r="AL36" s="98">
        <f>IF(Validation!$H$3=1,0,IF(ISNUMBER(G36),0,1))</f>
        <v>1</v>
      </c>
      <c r="BL36" s="72"/>
      <c r="BN36" s="99" t="s">
        <v>6318</v>
      </c>
      <c r="BO36" s="92" t="s">
        <v>4779</v>
      </c>
      <c r="BP36" s="100" t="s">
        <v>9406</v>
      </c>
      <c r="BQ36" s="100" t="s">
        <v>3624</v>
      </c>
      <c r="BR36" s="101">
        <v>3</v>
      </c>
      <c r="BS36" s="3146"/>
      <c r="BT36" s="2705"/>
      <c r="BU36" s="2705"/>
      <c r="BV36" s="2705"/>
      <c r="BW36" s="2705"/>
      <c r="BX36" s="2705"/>
      <c r="BY36" s="2705"/>
      <c r="BZ36" s="2705"/>
      <c r="CA36" s="2705"/>
      <c r="CB36" s="2705"/>
      <c r="CC36" s="2705"/>
      <c r="CD36" s="2705"/>
      <c r="CE36" s="2705"/>
      <c r="CF36" s="2705"/>
      <c r="CG36" s="2705"/>
      <c r="CH36" s="2705"/>
      <c r="CI36" s="2705"/>
      <c r="CJ36" s="2705"/>
      <c r="CK36" s="2705"/>
      <c r="CL36" s="2705"/>
      <c r="CM36" s="2705"/>
      <c r="CN36" s="2705"/>
      <c r="CO36" s="2705"/>
      <c r="CP36" s="2705"/>
      <c r="CQ36" s="2705"/>
      <c r="CR36" s="2705"/>
    </row>
    <row r="37" spans="1:96">
      <c r="A37" s="1315"/>
      <c r="B37" s="99" t="s">
        <v>6319</v>
      </c>
      <c r="C37" s="92" t="s">
        <v>4780</v>
      </c>
      <c r="D37" s="100"/>
      <c r="E37" s="100" t="s">
        <v>3624</v>
      </c>
      <c r="F37" s="101">
        <v>3</v>
      </c>
      <c r="G37" s="1338"/>
      <c r="H37" s="1250"/>
      <c r="I37" s="1250"/>
      <c r="J37" s="1250"/>
      <c r="K37" s="1250"/>
      <c r="L37" s="1250"/>
      <c r="M37" s="1250"/>
      <c r="N37" s="1250"/>
      <c r="O37" s="1250"/>
      <c r="P37" s="1250"/>
      <c r="Q37" s="1250"/>
      <c r="R37" s="1250"/>
      <c r="S37" s="1250"/>
      <c r="T37" s="1250"/>
      <c r="U37" s="1250"/>
      <c r="V37" s="1250"/>
      <c r="W37" s="1250"/>
      <c r="X37" s="1250"/>
      <c r="Y37" s="1250"/>
      <c r="Z37" s="1250"/>
      <c r="AA37" s="1250"/>
      <c r="AB37" s="1250"/>
      <c r="AC37" s="1250"/>
      <c r="AD37" s="1250"/>
      <c r="AE37" s="1250"/>
      <c r="AF37" s="1250"/>
      <c r="AG37" s="1165"/>
      <c r="AH37" s="1250"/>
      <c r="AI37" s="945" t="str">
        <f t="shared" si="14"/>
        <v>Please complete all cells in row</v>
      </c>
      <c r="AJ37" s="200"/>
      <c r="AK37" s="72"/>
      <c r="AL37" s="98">
        <f>IF(Validation!$H$3=1,0,IF(ISNUMBER(G37),0,1))</f>
        <v>1</v>
      </c>
      <c r="BL37" s="72"/>
      <c r="BN37" s="99" t="s">
        <v>6319</v>
      </c>
      <c r="BO37" s="92" t="s">
        <v>4780</v>
      </c>
      <c r="BP37" s="100" t="s">
        <v>9407</v>
      </c>
      <c r="BQ37" s="100" t="s">
        <v>3624</v>
      </c>
      <c r="BR37" s="101">
        <v>3</v>
      </c>
      <c r="BS37" s="3146"/>
      <c r="BT37" s="2705"/>
      <c r="BU37" s="2705"/>
      <c r="BV37" s="2705"/>
      <c r="BW37" s="2705"/>
      <c r="BX37" s="2705"/>
      <c r="BY37" s="2705"/>
      <c r="BZ37" s="2705"/>
      <c r="CA37" s="2705"/>
      <c r="CB37" s="2705"/>
      <c r="CC37" s="2705"/>
      <c r="CD37" s="2705"/>
      <c r="CE37" s="2705"/>
      <c r="CF37" s="2705"/>
      <c r="CG37" s="2705"/>
      <c r="CH37" s="2705"/>
      <c r="CI37" s="2705"/>
      <c r="CJ37" s="2705"/>
      <c r="CK37" s="2705"/>
      <c r="CL37" s="2705"/>
      <c r="CM37" s="2705"/>
      <c r="CN37" s="2705"/>
      <c r="CO37" s="2705"/>
      <c r="CP37" s="2705"/>
      <c r="CQ37" s="2705"/>
      <c r="CR37" s="2705"/>
    </row>
    <row r="38" spans="1:96" ht="15" thickBot="1">
      <c r="A38" s="1315"/>
      <c r="B38" s="106" t="s">
        <v>6320</v>
      </c>
      <c r="C38" s="107" t="s">
        <v>4781</v>
      </c>
      <c r="D38" s="108"/>
      <c r="E38" s="108" t="s">
        <v>3624</v>
      </c>
      <c r="F38" s="105">
        <v>3</v>
      </c>
      <c r="G38" s="1339"/>
      <c r="H38" s="1250"/>
      <c r="I38" s="1250"/>
      <c r="J38" s="1250"/>
      <c r="K38" s="1250"/>
      <c r="L38" s="1250"/>
      <c r="M38" s="1250"/>
      <c r="N38" s="1250"/>
      <c r="O38" s="1250"/>
      <c r="P38" s="1250"/>
      <c r="Q38" s="1250"/>
      <c r="R38" s="1250"/>
      <c r="S38" s="1250"/>
      <c r="T38" s="1250"/>
      <c r="U38" s="1250"/>
      <c r="V38" s="1250"/>
      <c r="W38" s="1250"/>
      <c r="X38" s="1250"/>
      <c r="Y38" s="1250"/>
      <c r="Z38" s="1250"/>
      <c r="AA38" s="1250"/>
      <c r="AB38" s="1250"/>
      <c r="AC38" s="1250"/>
      <c r="AD38" s="1250"/>
      <c r="AE38" s="1250"/>
      <c r="AF38" s="1250"/>
      <c r="AG38" s="1173"/>
      <c r="AH38" s="1250"/>
      <c r="AI38" s="945" t="str">
        <f t="shared" si="14"/>
        <v>Please complete all cells in row</v>
      </c>
      <c r="AJ38" s="200"/>
      <c r="AK38" s="72"/>
      <c r="AL38" s="98">
        <f>IF(Validation!$H$3=1,0,IF(ISNUMBER(G38),0,1))</f>
        <v>1</v>
      </c>
      <c r="BL38" s="72"/>
      <c r="BN38" s="106" t="s">
        <v>6320</v>
      </c>
      <c r="BO38" s="107" t="s">
        <v>4781</v>
      </c>
      <c r="BP38" s="108" t="s">
        <v>9408</v>
      </c>
      <c r="BQ38" s="108" t="s">
        <v>3624</v>
      </c>
      <c r="BR38" s="105">
        <v>3</v>
      </c>
      <c r="BS38" s="3147"/>
      <c r="BT38" s="2705"/>
      <c r="BU38" s="2705"/>
      <c r="BV38" s="2705"/>
      <c r="BW38" s="2705"/>
      <c r="BX38" s="2705"/>
      <c r="BY38" s="2705"/>
      <c r="BZ38" s="2705"/>
      <c r="CA38" s="2705"/>
      <c r="CB38" s="2705"/>
      <c r="CC38" s="2705"/>
      <c r="CD38" s="2705"/>
      <c r="CE38" s="2705"/>
      <c r="CF38" s="2705"/>
      <c r="CG38" s="2705"/>
      <c r="CH38" s="2705"/>
      <c r="CI38" s="2705"/>
      <c r="CJ38" s="2705"/>
      <c r="CK38" s="2705"/>
      <c r="CL38" s="2705"/>
      <c r="CM38" s="2705"/>
      <c r="CN38" s="2705"/>
      <c r="CO38" s="2705"/>
      <c r="CP38" s="2705"/>
      <c r="CQ38" s="2705"/>
      <c r="CR38" s="2705"/>
    </row>
    <row r="39" spans="1:96">
      <c r="A39" s="1315"/>
      <c r="B39" s="1250"/>
      <c r="C39" s="1250"/>
      <c r="D39" s="1257"/>
      <c r="E39" s="1250"/>
      <c r="F39" s="1312"/>
      <c r="G39" s="1312"/>
      <c r="H39" s="1250"/>
      <c r="I39" s="1250"/>
      <c r="J39" s="1250"/>
      <c r="K39" s="1250"/>
      <c r="L39" s="1250"/>
      <c r="M39" s="1250"/>
      <c r="N39" s="1250"/>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BN39" s="496"/>
      <c r="BO39" s="496"/>
      <c r="BP39" s="496"/>
      <c r="BQ39" s="496"/>
      <c r="BR39" s="496"/>
      <c r="BS39" s="496"/>
      <c r="BT39" s="496"/>
      <c r="BU39" s="496"/>
      <c r="BV39" s="496"/>
      <c r="BW39" s="496"/>
      <c r="BX39" s="496"/>
      <c r="BY39" s="496"/>
      <c r="BZ39" s="496"/>
      <c r="CA39" s="496"/>
      <c r="CB39" s="496"/>
      <c r="CC39" s="496"/>
      <c r="CD39" s="496"/>
      <c r="CE39" s="496"/>
      <c r="CF39" s="496"/>
      <c r="CG39" s="496"/>
      <c r="CH39" s="496"/>
      <c r="CI39" s="496"/>
      <c r="CJ39" s="496"/>
      <c r="CK39" s="496"/>
      <c r="CL39" s="496"/>
      <c r="CM39" s="496"/>
      <c r="CN39" s="496"/>
      <c r="CO39" s="496"/>
      <c r="CP39" s="496"/>
      <c r="CQ39" s="496"/>
      <c r="CR39" s="496"/>
    </row>
    <row r="40" spans="1:96">
      <c r="A40" s="1047"/>
      <c r="B40" s="1340" t="s">
        <v>2420</v>
      </c>
      <c r="C40" s="1005"/>
      <c r="D40" s="1047"/>
      <c r="E40" s="1047"/>
      <c r="F40" s="1047"/>
      <c r="G40" s="1047"/>
      <c r="H40" s="1047"/>
      <c r="I40" s="1047"/>
      <c r="J40" s="1047"/>
      <c r="K40" s="1047"/>
      <c r="L40" s="1047"/>
      <c r="M40" s="1047"/>
      <c r="N40" s="1047"/>
      <c r="BN40" s="496"/>
      <c r="BO40" s="496"/>
      <c r="BP40" s="496"/>
      <c r="BQ40" s="496"/>
      <c r="BR40" s="496"/>
      <c r="BS40" s="496"/>
      <c r="BT40" s="496"/>
      <c r="BU40" s="496"/>
      <c r="BV40" s="496"/>
      <c r="BW40" s="496"/>
      <c r="BX40" s="496"/>
      <c r="BY40" s="496"/>
      <c r="BZ40" s="496"/>
      <c r="CA40" s="496"/>
      <c r="CB40" s="496"/>
      <c r="CC40" s="496"/>
      <c r="CD40" s="496"/>
      <c r="CE40" s="496"/>
      <c r="CF40" s="496"/>
      <c r="CG40" s="496"/>
      <c r="CH40" s="496"/>
      <c r="CI40" s="496"/>
      <c r="CJ40" s="496"/>
      <c r="CK40" s="496"/>
      <c r="CL40" s="496"/>
      <c r="CM40" s="496"/>
      <c r="CN40" s="496"/>
      <c r="CO40" s="496"/>
      <c r="CP40" s="496"/>
      <c r="CQ40" s="496"/>
      <c r="CR40" s="496"/>
    </row>
    <row r="41" spans="1:96">
      <c r="A41" s="1047"/>
      <c r="B41" s="1078"/>
      <c r="C41" s="1085"/>
      <c r="D41" s="1047"/>
      <c r="E41" s="1047"/>
      <c r="F41" s="1047"/>
      <c r="G41" s="1047"/>
      <c r="H41" s="1047"/>
      <c r="I41" s="1047"/>
      <c r="J41" s="1047"/>
      <c r="K41" s="1047"/>
      <c r="L41" s="1047"/>
      <c r="M41" s="1047"/>
      <c r="N41" s="1047"/>
    </row>
    <row r="42" spans="1:96">
      <c r="A42" s="1047"/>
      <c r="B42" s="1008"/>
      <c r="C42" s="1341" t="s">
        <v>2421</v>
      </c>
      <c r="D42" s="1047"/>
      <c r="E42" s="1047"/>
      <c r="F42" s="1047"/>
      <c r="G42" s="3777"/>
      <c r="H42" s="3778"/>
      <c r="I42" s="3778"/>
      <c r="J42" s="3778"/>
      <c r="K42" s="3778"/>
      <c r="L42" s="3778"/>
      <c r="M42" s="3778"/>
      <c r="N42" s="3778"/>
    </row>
    <row r="43" spans="1:96">
      <c r="A43" s="1047"/>
      <c r="B43" s="1006"/>
      <c r="C43" s="1007"/>
      <c r="D43" s="1047"/>
      <c r="E43" s="1047"/>
      <c r="F43" s="1047"/>
      <c r="G43" s="3777"/>
      <c r="H43" s="3778"/>
      <c r="I43" s="3778"/>
      <c r="J43" s="3778"/>
      <c r="K43" s="3778"/>
      <c r="L43" s="3778"/>
      <c r="M43" s="3778"/>
      <c r="N43" s="3778"/>
    </row>
    <row r="44" spans="1:96">
      <c r="A44" s="1047"/>
      <c r="B44" s="1010"/>
      <c r="C44" s="1309" t="s">
        <v>4082</v>
      </c>
      <c r="D44" s="1047"/>
      <c r="E44" s="1047"/>
      <c r="F44" s="1047"/>
      <c r="G44" s="1047"/>
      <c r="H44" s="1047"/>
      <c r="I44" s="1047"/>
      <c r="J44" s="1047"/>
      <c r="K44" s="1047"/>
      <c r="L44" s="1047"/>
      <c r="M44" s="1047"/>
      <c r="N44" s="1047"/>
    </row>
    <row r="45" spans="1:96">
      <c r="A45" s="1315"/>
      <c r="B45" s="1250"/>
      <c r="C45" s="1250"/>
      <c r="D45" s="1257"/>
      <c r="E45" s="1250"/>
      <c r="F45" s="1250"/>
      <c r="G45" s="1250"/>
      <c r="H45" s="1250"/>
      <c r="I45" s="1250"/>
      <c r="J45" s="1250"/>
      <c r="K45" s="1250"/>
      <c r="L45" s="1250"/>
      <c r="M45" s="1250"/>
      <c r="N45" s="1250"/>
    </row>
    <row r="46" spans="1:96" ht="15" thickBot="1">
      <c r="A46" s="1315"/>
      <c r="B46" s="1250"/>
      <c r="C46" s="1250"/>
      <c r="D46" s="1257"/>
      <c r="E46" s="1250"/>
      <c r="F46" s="1250"/>
      <c r="G46" s="1250"/>
      <c r="H46" s="1250"/>
      <c r="I46" s="1250"/>
      <c r="J46" s="1250"/>
      <c r="K46" s="1250"/>
      <c r="L46" s="1250"/>
      <c r="M46" s="1250"/>
      <c r="N46" s="1250"/>
    </row>
    <row r="47" spans="1:96" ht="15" thickBot="1">
      <c r="A47" s="1315"/>
      <c r="B47" s="1435" t="s">
        <v>12572</v>
      </c>
      <c r="C47" s="1011"/>
      <c r="D47" s="1011"/>
      <c r="E47" s="1012"/>
      <c r="F47" s="1012"/>
      <c r="G47" s="1012"/>
      <c r="H47" s="1012"/>
      <c r="I47" s="1012"/>
      <c r="J47" s="1012"/>
      <c r="K47" s="1012"/>
      <c r="L47" s="1013"/>
      <c r="M47" s="1250"/>
      <c r="N47" s="1250"/>
    </row>
    <row r="48" spans="1:96" ht="15" thickBot="1">
      <c r="A48" s="1315"/>
      <c r="B48" s="1250"/>
      <c r="C48" s="1250"/>
      <c r="D48" s="1257"/>
      <c r="E48" s="1250"/>
      <c r="F48" s="1250"/>
      <c r="G48" s="1250"/>
      <c r="H48" s="1250"/>
      <c r="I48" s="1250"/>
      <c r="J48" s="1250"/>
      <c r="K48" s="1250"/>
      <c r="L48" s="1250"/>
      <c r="M48" s="1250"/>
      <c r="N48" s="1250"/>
    </row>
    <row r="49" spans="1:14" ht="15" hidden="1" thickBot="1">
      <c r="A49" s="1796"/>
      <c r="B49" s="34" t="str">
        <f ca="1" xml:space="preserve"> RIGHT(CELL("filename", $A$1), LEN(CELL("filename", $A$1)) - SEARCH("]", CELL("filename", $A$1)))&amp;" - Line definitions"</f>
        <v>4S - Line definitions</v>
      </c>
      <c r="C49" s="1011"/>
      <c r="D49" s="1011"/>
      <c r="E49" s="1012"/>
      <c r="F49" s="1012"/>
      <c r="G49" s="1012"/>
      <c r="H49" s="1012"/>
      <c r="I49" s="1012"/>
      <c r="J49" s="1012"/>
      <c r="K49" s="1012"/>
      <c r="L49" s="1013"/>
      <c r="M49" s="1250"/>
      <c r="N49" s="1250"/>
    </row>
    <row r="50" spans="1:14" ht="15" hidden="1" thickBot="1">
      <c r="A50" s="1796"/>
      <c r="B50" s="1250"/>
      <c r="C50" s="1250"/>
      <c r="D50" s="1257"/>
      <c r="E50" s="1250"/>
      <c r="F50" s="1250"/>
      <c r="G50" s="1312"/>
      <c r="H50" s="1250"/>
      <c r="I50" s="1250"/>
      <c r="J50" s="1250"/>
      <c r="K50" s="1250"/>
      <c r="L50" s="1250"/>
      <c r="M50" s="1250"/>
      <c r="N50" s="1250"/>
    </row>
    <row r="51" spans="1:14" ht="15" hidden="1" thickBot="1">
      <c r="A51" s="1796"/>
      <c r="B51" s="1126" t="s">
        <v>2423</v>
      </c>
      <c r="C51" s="3574" t="s">
        <v>4179</v>
      </c>
      <c r="D51" s="3575"/>
      <c r="E51" s="3575"/>
      <c r="F51" s="3575"/>
      <c r="G51" s="3575"/>
      <c r="H51" s="3575"/>
      <c r="I51" s="3575"/>
      <c r="J51" s="3575"/>
      <c r="K51" s="3575"/>
      <c r="L51" s="3576"/>
      <c r="M51" s="1250"/>
      <c r="N51" s="1250"/>
    </row>
    <row r="52" spans="1:14" hidden="1">
      <c r="A52" s="1796"/>
      <c r="B52" s="1127">
        <v>1</v>
      </c>
      <c r="C52" s="3779" t="s">
        <v>12855</v>
      </c>
      <c r="D52" s="3780"/>
      <c r="E52" s="3780"/>
      <c r="F52" s="3780"/>
      <c r="G52" s="3780"/>
      <c r="H52" s="3780"/>
      <c r="I52" s="3780"/>
      <c r="J52" s="3780"/>
      <c r="K52" s="3780"/>
      <c r="L52" s="3781"/>
      <c r="M52" s="1250"/>
      <c r="N52" s="1250"/>
    </row>
    <row r="53" spans="1:14" hidden="1">
      <c r="A53" s="1796"/>
      <c r="B53" s="1128">
        <f>B52+1</f>
        <v>2</v>
      </c>
      <c r="C53" s="3782" t="s">
        <v>12856</v>
      </c>
      <c r="D53" s="3783"/>
      <c r="E53" s="3783"/>
      <c r="F53" s="3783"/>
      <c r="G53" s="3783"/>
      <c r="H53" s="3783"/>
      <c r="I53" s="3783"/>
      <c r="J53" s="3783"/>
      <c r="K53" s="3783"/>
      <c r="L53" s="3784"/>
      <c r="M53" s="1250"/>
      <c r="N53" s="1250"/>
    </row>
    <row r="54" spans="1:14" hidden="1">
      <c r="A54" s="1796"/>
      <c r="B54" s="1128">
        <f t="shared" ref="B54:B76" si="15">B53+1</f>
        <v>3</v>
      </c>
      <c r="C54" s="3770" t="s">
        <v>12857</v>
      </c>
      <c r="D54" s="3771"/>
      <c r="E54" s="3771"/>
      <c r="F54" s="3771"/>
      <c r="G54" s="3771"/>
      <c r="H54" s="3771"/>
      <c r="I54" s="3771"/>
      <c r="J54" s="3771"/>
      <c r="K54" s="3771"/>
      <c r="L54" s="3772"/>
      <c r="M54" s="1250"/>
      <c r="N54" s="1250"/>
    </row>
    <row r="55" spans="1:14" hidden="1">
      <c r="A55" s="1796"/>
      <c r="B55" s="1128">
        <f t="shared" si="15"/>
        <v>4</v>
      </c>
      <c r="C55" s="3770" t="s">
        <v>12858</v>
      </c>
      <c r="D55" s="3771"/>
      <c r="E55" s="3771"/>
      <c r="F55" s="3771"/>
      <c r="G55" s="3771"/>
      <c r="H55" s="3771"/>
      <c r="I55" s="3771"/>
      <c r="J55" s="3771"/>
      <c r="K55" s="3771"/>
      <c r="L55" s="3772"/>
      <c r="M55" s="1250"/>
      <c r="N55" s="1250"/>
    </row>
    <row r="56" spans="1:14" hidden="1">
      <c r="A56" s="1796"/>
      <c r="B56" s="1128">
        <f t="shared" si="15"/>
        <v>5</v>
      </c>
      <c r="C56" s="3770" t="s">
        <v>12859</v>
      </c>
      <c r="D56" s="3771"/>
      <c r="E56" s="3771"/>
      <c r="F56" s="3771"/>
      <c r="G56" s="3771"/>
      <c r="H56" s="3771"/>
      <c r="I56" s="3771"/>
      <c r="J56" s="3771"/>
      <c r="K56" s="3771"/>
      <c r="L56" s="3772"/>
      <c r="M56" s="1250"/>
      <c r="N56" s="1250"/>
    </row>
    <row r="57" spans="1:14" hidden="1">
      <c r="A57" s="1796"/>
      <c r="B57" s="1128">
        <f t="shared" si="15"/>
        <v>6</v>
      </c>
      <c r="C57" s="3770" t="s">
        <v>12860</v>
      </c>
      <c r="D57" s="3771"/>
      <c r="E57" s="3771"/>
      <c r="F57" s="3771"/>
      <c r="G57" s="3771"/>
      <c r="H57" s="3771"/>
      <c r="I57" s="3771"/>
      <c r="J57" s="3771"/>
      <c r="K57" s="3771"/>
      <c r="L57" s="3772"/>
      <c r="M57" s="1250"/>
      <c r="N57" s="1250"/>
    </row>
    <row r="58" spans="1:14" hidden="1">
      <c r="A58" s="1796"/>
      <c r="B58" s="1128">
        <f t="shared" si="15"/>
        <v>7</v>
      </c>
      <c r="C58" s="3770" t="s">
        <v>12971</v>
      </c>
      <c r="D58" s="3771"/>
      <c r="E58" s="3771"/>
      <c r="F58" s="3771"/>
      <c r="G58" s="3771"/>
      <c r="H58" s="3771"/>
      <c r="I58" s="3771"/>
      <c r="J58" s="3771"/>
      <c r="K58" s="3771"/>
      <c r="L58" s="3772"/>
      <c r="M58" s="1250"/>
      <c r="N58" s="1250"/>
    </row>
    <row r="59" spans="1:14" hidden="1">
      <c r="A59" s="1796"/>
      <c r="B59" s="1128">
        <f t="shared" si="15"/>
        <v>8</v>
      </c>
      <c r="C59" s="3770" t="s">
        <v>12861</v>
      </c>
      <c r="D59" s="3771"/>
      <c r="E59" s="3771"/>
      <c r="F59" s="3771"/>
      <c r="G59" s="3771"/>
      <c r="H59" s="3771"/>
      <c r="I59" s="3771"/>
      <c r="J59" s="3771"/>
      <c r="K59" s="3771"/>
      <c r="L59" s="3772"/>
      <c r="M59" s="1250"/>
      <c r="N59" s="1250"/>
    </row>
    <row r="60" spans="1:14" hidden="1">
      <c r="A60" s="1796"/>
      <c r="B60" s="1128">
        <f t="shared" si="15"/>
        <v>9</v>
      </c>
      <c r="C60" s="3770" t="s">
        <v>4782</v>
      </c>
      <c r="D60" s="3771"/>
      <c r="E60" s="3771"/>
      <c r="F60" s="3771"/>
      <c r="G60" s="3771"/>
      <c r="H60" s="3771"/>
      <c r="I60" s="3771"/>
      <c r="J60" s="3771"/>
      <c r="K60" s="3771"/>
      <c r="L60" s="3772"/>
      <c r="M60" s="1250"/>
      <c r="N60" s="1250"/>
    </row>
    <row r="61" spans="1:14" hidden="1">
      <c r="A61" s="1796"/>
      <c r="B61" s="1128">
        <f t="shared" si="15"/>
        <v>10</v>
      </c>
      <c r="C61" s="3770" t="s">
        <v>4783</v>
      </c>
      <c r="D61" s="3771"/>
      <c r="E61" s="3771"/>
      <c r="F61" s="3771"/>
      <c r="G61" s="3771"/>
      <c r="H61" s="3771"/>
      <c r="I61" s="3771"/>
      <c r="J61" s="3771"/>
      <c r="K61" s="3771"/>
      <c r="L61" s="3772"/>
      <c r="M61" s="1250"/>
      <c r="N61" s="1250"/>
    </row>
    <row r="62" spans="1:14" hidden="1">
      <c r="A62" s="1796"/>
      <c r="B62" s="1128">
        <f t="shared" si="15"/>
        <v>11</v>
      </c>
      <c r="C62" s="3770" t="s">
        <v>4784</v>
      </c>
      <c r="D62" s="3771"/>
      <c r="E62" s="3771"/>
      <c r="F62" s="3771"/>
      <c r="G62" s="3771"/>
      <c r="H62" s="3771"/>
      <c r="I62" s="3771"/>
      <c r="J62" s="3771"/>
      <c r="K62" s="3771"/>
      <c r="L62" s="3772"/>
      <c r="M62" s="1250"/>
      <c r="N62" s="1250"/>
    </row>
    <row r="63" spans="1:14" hidden="1">
      <c r="A63" s="1796"/>
      <c r="B63" s="1128">
        <f t="shared" si="15"/>
        <v>12</v>
      </c>
      <c r="C63" s="3770" t="s">
        <v>4785</v>
      </c>
      <c r="D63" s="3771"/>
      <c r="E63" s="3771"/>
      <c r="F63" s="3771"/>
      <c r="G63" s="3771"/>
      <c r="H63" s="3771"/>
      <c r="I63" s="3771"/>
      <c r="J63" s="3771"/>
      <c r="K63" s="3771"/>
      <c r="L63" s="3772"/>
      <c r="M63" s="1250"/>
      <c r="N63" s="1250"/>
    </row>
    <row r="64" spans="1:14" hidden="1">
      <c r="A64" s="1796"/>
      <c r="B64" s="1128">
        <f t="shared" si="15"/>
        <v>13</v>
      </c>
      <c r="C64" s="3770" t="s">
        <v>4786</v>
      </c>
      <c r="D64" s="3771"/>
      <c r="E64" s="3771"/>
      <c r="F64" s="3771"/>
      <c r="G64" s="3771"/>
      <c r="H64" s="3771"/>
      <c r="I64" s="3771"/>
      <c r="J64" s="3771"/>
      <c r="K64" s="3771"/>
      <c r="L64" s="3772"/>
      <c r="M64" s="1250"/>
      <c r="N64" s="1250"/>
    </row>
    <row r="65" spans="1:14" hidden="1">
      <c r="A65" s="1796"/>
      <c r="B65" s="1128">
        <f t="shared" si="15"/>
        <v>14</v>
      </c>
      <c r="C65" s="3770" t="s">
        <v>4787</v>
      </c>
      <c r="D65" s="3771"/>
      <c r="E65" s="3771"/>
      <c r="F65" s="3771"/>
      <c r="G65" s="3771"/>
      <c r="H65" s="3771"/>
      <c r="I65" s="3771"/>
      <c r="J65" s="3771"/>
      <c r="K65" s="3771"/>
      <c r="L65" s="3772"/>
      <c r="M65" s="1250"/>
      <c r="N65" s="1250"/>
    </row>
    <row r="66" spans="1:14" hidden="1">
      <c r="A66" s="1796"/>
      <c r="B66" s="1128">
        <f t="shared" si="15"/>
        <v>15</v>
      </c>
      <c r="C66" s="3770" t="s">
        <v>12972</v>
      </c>
      <c r="D66" s="3771"/>
      <c r="E66" s="3771"/>
      <c r="F66" s="3771"/>
      <c r="G66" s="3771"/>
      <c r="H66" s="3771"/>
      <c r="I66" s="3771"/>
      <c r="J66" s="3771"/>
      <c r="K66" s="3771"/>
      <c r="L66" s="3772"/>
      <c r="M66" s="1250"/>
      <c r="N66" s="1250"/>
    </row>
    <row r="67" spans="1:14" ht="30" hidden="1" customHeight="1">
      <c r="A67" s="1796"/>
      <c r="B67" s="1128">
        <f t="shared" si="15"/>
        <v>16</v>
      </c>
      <c r="C67" s="3770" t="s">
        <v>12862</v>
      </c>
      <c r="D67" s="3771"/>
      <c r="E67" s="3771"/>
      <c r="F67" s="3771"/>
      <c r="G67" s="3771"/>
      <c r="H67" s="3771"/>
      <c r="I67" s="3771"/>
      <c r="J67" s="3771"/>
      <c r="K67" s="3771"/>
      <c r="L67" s="3772"/>
      <c r="M67" s="1250"/>
      <c r="N67" s="1250"/>
    </row>
    <row r="68" spans="1:14" ht="31.15" hidden="1" customHeight="1">
      <c r="A68" s="1796"/>
      <c r="B68" s="1128">
        <f t="shared" si="15"/>
        <v>17</v>
      </c>
      <c r="C68" s="3770" t="s">
        <v>12864</v>
      </c>
      <c r="D68" s="3771"/>
      <c r="E68" s="3771"/>
      <c r="F68" s="3771"/>
      <c r="G68" s="3771"/>
      <c r="H68" s="3771"/>
      <c r="I68" s="3771"/>
      <c r="J68" s="3771"/>
      <c r="K68" s="3771"/>
      <c r="L68" s="3772"/>
      <c r="M68" s="1250"/>
      <c r="N68" s="1250"/>
    </row>
    <row r="69" spans="1:14" ht="32.25" hidden="1" customHeight="1">
      <c r="A69" s="1796"/>
      <c r="B69" s="1128">
        <f t="shared" si="15"/>
        <v>18</v>
      </c>
      <c r="C69" s="3770" t="s">
        <v>12863</v>
      </c>
      <c r="D69" s="3771"/>
      <c r="E69" s="3771"/>
      <c r="F69" s="3771"/>
      <c r="G69" s="3771"/>
      <c r="H69" s="3771"/>
      <c r="I69" s="3771"/>
      <c r="J69" s="3771"/>
      <c r="K69" s="3771"/>
      <c r="L69" s="3772"/>
      <c r="M69" s="1250"/>
      <c r="N69" s="1250"/>
    </row>
    <row r="70" spans="1:14" ht="32.25" hidden="1" customHeight="1">
      <c r="A70" s="1796"/>
      <c r="B70" s="1128">
        <f t="shared" si="15"/>
        <v>19</v>
      </c>
      <c r="C70" s="3770" t="s">
        <v>13196</v>
      </c>
      <c r="D70" s="3771"/>
      <c r="E70" s="3771"/>
      <c r="F70" s="3771"/>
      <c r="G70" s="3771"/>
      <c r="H70" s="3771"/>
      <c r="I70" s="3771"/>
      <c r="J70" s="3771"/>
      <c r="K70" s="3771"/>
      <c r="L70" s="3772"/>
      <c r="M70" s="1250"/>
      <c r="N70" s="1250"/>
    </row>
    <row r="71" spans="1:14" ht="32.25" hidden="1" customHeight="1">
      <c r="A71" s="1796"/>
      <c r="B71" s="1128">
        <f t="shared" si="15"/>
        <v>20</v>
      </c>
      <c r="C71" s="3770" t="s">
        <v>4788</v>
      </c>
      <c r="D71" s="3771"/>
      <c r="E71" s="3771"/>
      <c r="F71" s="3771"/>
      <c r="G71" s="3771"/>
      <c r="H71" s="3771"/>
      <c r="I71" s="3771"/>
      <c r="J71" s="3771"/>
      <c r="K71" s="3771"/>
      <c r="L71" s="3772"/>
      <c r="M71" s="1250"/>
      <c r="N71" s="1250"/>
    </row>
    <row r="72" spans="1:14" ht="32.25" hidden="1" customHeight="1">
      <c r="A72" s="1796"/>
      <c r="B72" s="1128">
        <f t="shared" si="15"/>
        <v>21</v>
      </c>
      <c r="C72" s="3770" t="s">
        <v>12865</v>
      </c>
      <c r="D72" s="3771"/>
      <c r="E72" s="3771"/>
      <c r="F72" s="3771"/>
      <c r="G72" s="3771"/>
      <c r="H72" s="3771"/>
      <c r="I72" s="3771"/>
      <c r="J72" s="3771"/>
      <c r="K72" s="3771"/>
      <c r="L72" s="3772"/>
      <c r="M72" s="1250"/>
      <c r="N72" s="1250"/>
    </row>
    <row r="73" spans="1:14" ht="32.25" hidden="1" customHeight="1">
      <c r="A73" s="1796"/>
      <c r="B73" s="1128">
        <f t="shared" si="15"/>
        <v>22</v>
      </c>
      <c r="C73" s="3770" t="s">
        <v>12866</v>
      </c>
      <c r="D73" s="3771"/>
      <c r="E73" s="3771"/>
      <c r="F73" s="3771"/>
      <c r="G73" s="3771"/>
      <c r="H73" s="3771"/>
      <c r="I73" s="3771"/>
      <c r="J73" s="3771"/>
      <c r="K73" s="3771"/>
      <c r="L73" s="3772"/>
      <c r="M73" s="1250"/>
      <c r="N73" s="1250"/>
    </row>
    <row r="74" spans="1:14" ht="32.25" hidden="1" customHeight="1">
      <c r="A74" s="1796"/>
      <c r="B74" s="1128">
        <f t="shared" si="15"/>
        <v>23</v>
      </c>
      <c r="C74" s="3770" t="s">
        <v>12867</v>
      </c>
      <c r="D74" s="3771"/>
      <c r="E74" s="3771"/>
      <c r="F74" s="3771"/>
      <c r="G74" s="3771"/>
      <c r="H74" s="3771"/>
      <c r="I74" s="3771"/>
      <c r="J74" s="3771"/>
      <c r="K74" s="3771"/>
      <c r="L74" s="3772"/>
      <c r="M74" s="1250"/>
      <c r="N74" s="1250"/>
    </row>
    <row r="75" spans="1:14" ht="38.65" hidden="1" customHeight="1">
      <c r="A75" s="1796"/>
      <c r="B75" s="1128">
        <f t="shared" si="15"/>
        <v>24</v>
      </c>
      <c r="C75" s="3770" t="s">
        <v>12868</v>
      </c>
      <c r="D75" s="3771"/>
      <c r="E75" s="3771"/>
      <c r="F75" s="3771"/>
      <c r="G75" s="3771"/>
      <c r="H75" s="3771"/>
      <c r="I75" s="3771"/>
      <c r="J75" s="3771"/>
      <c r="K75" s="3771"/>
      <c r="L75" s="3772"/>
      <c r="M75" s="1250"/>
      <c r="N75" s="1250"/>
    </row>
    <row r="76" spans="1:14" ht="32.25" hidden="1" customHeight="1" thickBot="1">
      <c r="A76" s="1796"/>
      <c r="B76" s="1129">
        <f t="shared" si="15"/>
        <v>25</v>
      </c>
      <c r="C76" s="3561" t="s">
        <v>4789</v>
      </c>
      <c r="D76" s="3562"/>
      <c r="E76" s="3562"/>
      <c r="F76" s="3562"/>
      <c r="G76" s="3562"/>
      <c r="H76" s="3562"/>
      <c r="I76" s="3562"/>
      <c r="J76" s="3562"/>
      <c r="K76" s="3562"/>
      <c r="L76" s="3563"/>
      <c r="M76" s="1250"/>
      <c r="N76" s="1250"/>
    </row>
    <row r="77" spans="1:14" ht="15" hidden="1" thickBot="1">
      <c r="A77" s="1796"/>
      <c r="B77" s="1250"/>
      <c r="C77" s="1250"/>
      <c r="D77" s="1257"/>
      <c r="E77" s="1250"/>
      <c r="F77" s="1250"/>
      <c r="G77" s="1250"/>
      <c r="H77" s="1250"/>
      <c r="I77" s="1250"/>
      <c r="J77" s="1250"/>
      <c r="K77" s="1250"/>
      <c r="L77" s="1250"/>
      <c r="M77" s="1250"/>
      <c r="N77" s="1250"/>
    </row>
    <row r="78" spans="1:14" ht="15" thickBot="1">
      <c r="A78" s="1315"/>
      <c r="B78" s="3571" t="s">
        <v>4790</v>
      </c>
      <c r="C78" s="3773"/>
      <c r="D78" s="3773"/>
      <c r="E78" s="3773"/>
      <c r="F78" s="3773"/>
      <c r="G78" s="3773"/>
      <c r="H78" s="3773"/>
      <c r="I78" s="3773"/>
      <c r="J78" s="3773"/>
      <c r="K78" s="3773"/>
      <c r="L78" s="3774"/>
      <c r="M78" s="1250"/>
      <c r="N78" s="1250"/>
    </row>
    <row r="79" spans="1:14" ht="15" thickBot="1">
      <c r="A79" s="1315"/>
      <c r="B79" s="1316"/>
      <c r="C79" s="1250"/>
      <c r="D79" s="1257"/>
      <c r="E79" s="1250"/>
      <c r="F79" s="1250"/>
      <c r="G79" s="1250"/>
      <c r="H79" s="1250"/>
      <c r="I79" s="1250"/>
      <c r="J79" s="1250"/>
      <c r="K79" s="1250"/>
      <c r="L79" s="1250"/>
      <c r="M79" s="1250"/>
      <c r="N79" s="1250"/>
    </row>
    <row r="80" spans="1:14" ht="51">
      <c r="A80" s="1315"/>
      <c r="B80" s="2223" t="s">
        <v>4791</v>
      </c>
      <c r="C80" s="3764" t="s">
        <v>4792</v>
      </c>
      <c r="D80" s="3764"/>
      <c r="E80" s="3764"/>
      <c r="F80" s="3764"/>
      <c r="G80" s="3764"/>
      <c r="H80" s="3764"/>
      <c r="I80" s="3764"/>
      <c r="J80" s="3764"/>
      <c r="K80" s="3765"/>
      <c r="L80" s="2224"/>
      <c r="M80" s="1250"/>
      <c r="N80" s="1250"/>
    </row>
    <row r="81" spans="1:14" ht="38.25">
      <c r="A81" s="1315"/>
      <c r="B81" s="2225" t="s">
        <v>4793</v>
      </c>
      <c r="C81" s="3766" t="s">
        <v>4794</v>
      </c>
      <c r="D81" s="3766"/>
      <c r="E81" s="3766"/>
      <c r="F81" s="3766"/>
      <c r="G81" s="3766"/>
      <c r="H81" s="3766"/>
      <c r="I81" s="3766"/>
      <c r="J81" s="3766"/>
      <c r="K81" s="3767"/>
      <c r="L81" s="2224"/>
      <c r="M81" s="1250"/>
      <c r="N81" s="1250"/>
    </row>
    <row r="82" spans="1:14" ht="38.25">
      <c r="A82" s="1315"/>
      <c r="B82" s="2225" t="s">
        <v>4795</v>
      </c>
      <c r="C82" s="3766" t="s">
        <v>4796</v>
      </c>
      <c r="D82" s="3766"/>
      <c r="E82" s="3766"/>
      <c r="F82" s="3766"/>
      <c r="G82" s="3766"/>
      <c r="H82" s="3766"/>
      <c r="I82" s="3766"/>
      <c r="J82" s="3766"/>
      <c r="K82" s="3767"/>
      <c r="L82" s="2224"/>
      <c r="M82" s="1250"/>
      <c r="N82" s="1250"/>
    </row>
    <row r="83" spans="1:14" ht="67.5" customHeight="1">
      <c r="A83" s="1315"/>
      <c r="B83" s="2225" t="s">
        <v>4797</v>
      </c>
      <c r="C83" s="3766" t="s">
        <v>4798</v>
      </c>
      <c r="D83" s="3766"/>
      <c r="E83" s="3766"/>
      <c r="F83" s="3766"/>
      <c r="G83" s="3766"/>
      <c r="H83" s="3766"/>
      <c r="I83" s="3766"/>
      <c r="J83" s="3766"/>
      <c r="K83" s="3767"/>
      <c r="L83" s="2224"/>
      <c r="M83" s="1250"/>
      <c r="N83" s="1250"/>
    </row>
    <row r="84" spans="1:14" ht="70.150000000000006" customHeight="1" thickBot="1">
      <c r="A84" s="1315"/>
      <c r="B84" s="2226" t="s">
        <v>4799</v>
      </c>
      <c r="C84" s="3768" t="s">
        <v>4800</v>
      </c>
      <c r="D84" s="3768"/>
      <c r="E84" s="3768"/>
      <c r="F84" s="3768"/>
      <c r="G84" s="3768"/>
      <c r="H84" s="3768"/>
      <c r="I84" s="3768"/>
      <c r="J84" s="3768"/>
      <c r="K84" s="3769"/>
      <c r="L84" s="2224"/>
      <c r="M84" s="1250"/>
      <c r="N84" s="1250"/>
    </row>
    <row r="85" spans="1:14" ht="15" thickBot="1">
      <c r="A85" s="1315"/>
      <c r="B85" s="2224"/>
      <c r="C85" s="2227"/>
      <c r="D85" s="2224"/>
      <c r="E85" s="2224"/>
      <c r="F85" s="2224"/>
      <c r="G85" s="2224"/>
      <c r="H85" s="2224"/>
      <c r="I85" s="2224"/>
      <c r="J85" s="2224"/>
      <c r="K85" s="2224"/>
      <c r="L85" s="2224"/>
      <c r="M85" s="1250"/>
      <c r="N85" s="1250"/>
    </row>
    <row r="86" spans="1:14" ht="63.75">
      <c r="A86" s="1315"/>
      <c r="B86" s="2223" t="s">
        <v>4754</v>
      </c>
      <c r="C86" s="3764" t="s">
        <v>12869</v>
      </c>
      <c r="D86" s="3764"/>
      <c r="E86" s="3764"/>
      <c r="F86" s="3764"/>
      <c r="G86" s="3764"/>
      <c r="H86" s="3764"/>
      <c r="I86" s="3764"/>
      <c r="J86" s="3764"/>
      <c r="K86" s="3765"/>
      <c r="L86" s="2224"/>
      <c r="M86" s="1250"/>
      <c r="N86" s="1250"/>
    </row>
    <row r="87" spans="1:14" ht="63.75">
      <c r="A87" s="1315"/>
      <c r="B87" s="2225" t="s">
        <v>4756</v>
      </c>
      <c r="C87" s="3766" t="s">
        <v>12870</v>
      </c>
      <c r="D87" s="3766"/>
      <c r="E87" s="3766"/>
      <c r="F87" s="3766"/>
      <c r="G87" s="3766"/>
      <c r="H87" s="3766"/>
      <c r="I87" s="3766"/>
      <c r="J87" s="3766"/>
      <c r="K87" s="3767"/>
      <c r="L87" s="2224"/>
      <c r="M87" s="1250"/>
      <c r="N87" s="1250"/>
    </row>
    <row r="88" spans="1:14" ht="63.75">
      <c r="A88" s="1315"/>
      <c r="B88" s="2225" t="s">
        <v>4757</v>
      </c>
      <c r="C88" s="3766" t="s">
        <v>12871</v>
      </c>
      <c r="D88" s="3766"/>
      <c r="E88" s="3766"/>
      <c r="F88" s="3766"/>
      <c r="G88" s="3766"/>
      <c r="H88" s="3766"/>
      <c r="I88" s="3766"/>
      <c r="J88" s="3766"/>
      <c r="K88" s="3767"/>
      <c r="L88" s="2224"/>
      <c r="M88" s="1250"/>
      <c r="N88" s="1250"/>
    </row>
    <row r="89" spans="1:14" ht="63.75">
      <c r="A89" s="1315"/>
      <c r="B89" s="2225" t="s">
        <v>4758</v>
      </c>
      <c r="C89" s="3766" t="s">
        <v>12872</v>
      </c>
      <c r="D89" s="3766"/>
      <c r="E89" s="3766"/>
      <c r="F89" s="3766"/>
      <c r="G89" s="3766"/>
      <c r="H89" s="3766"/>
      <c r="I89" s="3766"/>
      <c r="J89" s="3766"/>
      <c r="K89" s="3767"/>
      <c r="L89" s="2224"/>
      <c r="M89" s="1250"/>
      <c r="N89" s="1250"/>
    </row>
    <row r="90" spans="1:14" ht="63.75">
      <c r="A90" s="1315"/>
      <c r="B90" s="2225" t="s">
        <v>4759</v>
      </c>
      <c r="C90" s="3766" t="s">
        <v>12873</v>
      </c>
      <c r="D90" s="3766"/>
      <c r="E90" s="3766"/>
      <c r="F90" s="3766"/>
      <c r="G90" s="3766"/>
      <c r="H90" s="3766"/>
      <c r="I90" s="3766"/>
      <c r="J90" s="3766"/>
      <c r="K90" s="3767"/>
      <c r="L90" s="2224"/>
      <c r="M90" s="1250"/>
      <c r="N90" s="1250"/>
    </row>
    <row r="91" spans="1:14" ht="64.5" thickBot="1">
      <c r="A91" s="1315"/>
      <c r="B91" s="2226" t="s">
        <v>4760</v>
      </c>
      <c r="C91" s="3768" t="s">
        <v>12874</v>
      </c>
      <c r="D91" s="3768"/>
      <c r="E91" s="3768"/>
      <c r="F91" s="3768"/>
      <c r="G91" s="3768"/>
      <c r="H91" s="3768"/>
      <c r="I91" s="3768"/>
      <c r="J91" s="3768"/>
      <c r="K91" s="3769"/>
      <c r="L91" s="2224"/>
      <c r="M91" s="1250"/>
      <c r="N91" s="1250"/>
    </row>
    <row r="92" spans="1:14">
      <c r="A92" s="1315"/>
      <c r="B92" s="2224"/>
      <c r="C92" s="2228"/>
      <c r="D92" s="2216"/>
      <c r="E92" s="2216"/>
      <c r="F92" s="2216"/>
      <c r="G92" s="2216"/>
      <c r="H92" s="2216"/>
      <c r="I92" s="2216"/>
      <c r="J92" s="2216"/>
      <c r="K92" s="2216"/>
      <c r="L92" s="2216"/>
      <c r="M92" s="1250"/>
      <c r="N92" s="1250"/>
    </row>
    <row r="93" spans="1:14" ht="15" thickBot="1">
      <c r="A93" s="1265"/>
      <c r="B93" s="2222" t="s">
        <v>4089</v>
      </c>
      <c r="C93" s="2219"/>
      <c r="D93" s="2219"/>
      <c r="E93" s="2219"/>
      <c r="F93" s="2220"/>
      <c r="G93" s="2219"/>
      <c r="H93" s="2219"/>
      <c r="I93" s="2219"/>
      <c r="J93" s="2219"/>
      <c r="K93" s="2219"/>
      <c r="L93" s="2219"/>
      <c r="M93" s="1265"/>
      <c r="N93" s="1265"/>
    </row>
    <row r="94" spans="1:14" ht="29.25" customHeight="1" thickBot="1">
      <c r="A94" s="1265"/>
      <c r="B94" s="3761" t="s">
        <v>4801</v>
      </c>
      <c r="C94" s="3762"/>
      <c r="D94" s="3762"/>
      <c r="E94" s="3762"/>
      <c r="F94" s="3762"/>
      <c r="G94" s="3762"/>
      <c r="H94" s="3762"/>
      <c r="I94" s="3762"/>
      <c r="J94" s="3762"/>
      <c r="K94" s="3763"/>
      <c r="L94" s="2219"/>
      <c r="M94" s="1265"/>
      <c r="N94" s="1265"/>
    </row>
    <row r="95" spans="1:14"/>
  </sheetData>
  <mergeCells count="67">
    <mergeCell ref="D3:D5"/>
    <mergeCell ref="P3:AF3"/>
    <mergeCell ref="AG3:AG5"/>
    <mergeCell ref="AI3:AI5"/>
    <mergeCell ref="G4:G5"/>
    <mergeCell ref="H4:I4"/>
    <mergeCell ref="J4:M4"/>
    <mergeCell ref="N4:N5"/>
    <mergeCell ref="P4:T4"/>
    <mergeCell ref="U4:Z4"/>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C70:L70"/>
    <mergeCell ref="C59:L59"/>
    <mergeCell ref="C60:L60"/>
    <mergeCell ref="C61:L61"/>
    <mergeCell ref="C62:L62"/>
    <mergeCell ref="C63:L63"/>
    <mergeCell ref="C64:L64"/>
    <mergeCell ref="C65:L65"/>
    <mergeCell ref="C66:L66"/>
    <mergeCell ref="C67:L67"/>
    <mergeCell ref="C68:L68"/>
    <mergeCell ref="C69:L69"/>
    <mergeCell ref="C84:K84"/>
    <mergeCell ref="C71:L71"/>
    <mergeCell ref="C72:L72"/>
    <mergeCell ref="C73:L73"/>
    <mergeCell ref="C74:L74"/>
    <mergeCell ref="C75:L75"/>
    <mergeCell ref="C76:L76"/>
    <mergeCell ref="B78:L78"/>
    <mergeCell ref="C80:K80"/>
    <mergeCell ref="C81:K81"/>
    <mergeCell ref="C82:K82"/>
    <mergeCell ref="C83:K83"/>
    <mergeCell ref="B94:K94"/>
    <mergeCell ref="C86:K86"/>
    <mergeCell ref="C87:K87"/>
    <mergeCell ref="C88:K88"/>
    <mergeCell ref="C89:K89"/>
    <mergeCell ref="C90:K90"/>
    <mergeCell ref="C91:K91"/>
    <mergeCell ref="BN26:BO26"/>
    <mergeCell ref="BS3:BZ3"/>
    <mergeCell ref="CB3:CR3"/>
    <mergeCell ref="BS4:BS5"/>
    <mergeCell ref="BT4:BU4"/>
    <mergeCell ref="BV4:BY4"/>
    <mergeCell ref="BZ4:BZ5"/>
    <mergeCell ref="CB4:CF4"/>
    <mergeCell ref="CG4:CL4"/>
    <mergeCell ref="CM4:CR4"/>
  </mergeCells>
  <conditionalFormatting sqref="AI8">
    <cfRule type="cellIs" dxfId="80" priority="5" operator="equal">
      <formula>0</formula>
    </cfRule>
  </conditionalFormatting>
  <conditionalFormatting sqref="AI29:AI38 AI18:AI23 AI9:AI13">
    <cfRule type="cellIs" dxfId="79"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5.xml><?xml version="1.0" encoding="utf-8"?>
<worksheet xmlns="http://schemas.openxmlformats.org/spreadsheetml/2006/main" xmlns:r="http://schemas.openxmlformats.org/officeDocument/2006/relationships">
  <sheetPr codeName="Sheet3">
    <tabColor rgb="FF003479"/>
    <pageSetUpPr fitToPage="1"/>
  </sheetPr>
  <dimension ref="H1:H35"/>
  <sheetViews>
    <sheetView topLeftCell="XFD1048576" workbookViewId="0"/>
  </sheetViews>
  <sheetFormatPr defaultColWidth="0" defaultRowHeight="14.25" customHeight="1" zeroHeight="1"/>
  <cols>
    <col min="1" max="8" width="8.625" style="8" hidden="1" customWidth="1"/>
    <col min="9" max="16384" width="8.625" style="8" hidden="1"/>
  </cols>
  <sheetData>
    <row r="1"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8" t="s">
        <v>2392</v>
      </c>
    </row>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0.xml><?xml version="1.0" encoding="utf-8"?>
<worksheet xmlns="http://schemas.openxmlformats.org/spreadsheetml/2006/main" xmlns:r="http://schemas.openxmlformats.org/officeDocument/2006/relationships">
  <sheetPr codeName="Sheet47">
    <pageSetUpPr fitToPage="1"/>
  </sheetPr>
  <dimension ref="A1:AE54"/>
  <sheetViews>
    <sheetView workbookViewId="0"/>
  </sheetViews>
  <sheetFormatPr defaultColWidth="0" defaultRowHeight="14.25" zeroHeight="1"/>
  <cols>
    <col min="1" max="1" width="0.625" customWidth="1"/>
    <col min="2" max="2" width="8.625" customWidth="1"/>
    <col min="3" max="3" width="55" customWidth="1"/>
    <col min="4" max="4" width="0.125" hidden="1" customWidth="1"/>
    <col min="5" max="6" width="6.125" customWidth="1"/>
    <col min="7" max="8" width="15.125" customWidth="1"/>
    <col min="9" max="9" width="28.625" customWidth="1"/>
    <col min="10" max="10" width="2.125" customWidth="1"/>
    <col min="11" max="11" width="24.625" customWidth="1"/>
    <col min="12" max="12" width="2.125" customWidth="1"/>
    <col min="13" max="13" width="1.625" style="1764" hidden="1" customWidth="1"/>
    <col min="14" max="14" width="18.625" hidden="1" customWidth="1"/>
    <col min="15" max="15" width="1.5" hidden="1" customWidth="1"/>
    <col min="16" max="16" width="1.625" style="1764" hidden="1" customWidth="1"/>
    <col min="17" max="17" width="8.125" hidden="1" customWidth="1"/>
    <col min="18" max="18" width="1.625" style="1764" hidden="1" customWidth="1"/>
    <col min="19" max="20" width="0" hidden="1" customWidth="1"/>
    <col min="21" max="21" width="27.125" hidden="1" customWidth="1"/>
    <col min="22" max="22" width="1.625" style="1764" hidden="1" customWidth="1"/>
    <col min="23" max="24" width="8.625" customWidth="1"/>
    <col min="25" max="25" width="46" bestFit="1" customWidth="1"/>
    <col min="26" max="28" width="8.625" customWidth="1"/>
    <col min="29" max="30" width="15.375" customWidth="1"/>
    <col min="31" max="31" width="1.75" customWidth="1"/>
    <col min="32" max="16384" width="8.625" hidden="1"/>
  </cols>
  <sheetData>
    <row r="1" spans="1:30" ht="18.75">
      <c r="A1" s="928"/>
      <c r="B1" s="67" t="s">
        <v>4802</v>
      </c>
      <c r="C1" s="67"/>
      <c r="D1" s="67"/>
      <c r="E1" s="67"/>
      <c r="F1" s="67"/>
      <c r="G1" s="67"/>
      <c r="H1" s="67"/>
      <c r="I1" s="69" t="str">
        <f>Validation!B3</f>
        <v>South West Water – South West area</v>
      </c>
      <c r="J1" s="67"/>
      <c r="K1" s="70" t="s">
        <v>2394</v>
      </c>
      <c r="L1" s="71"/>
      <c r="M1" s="72"/>
      <c r="N1" s="71"/>
      <c r="O1" s="71"/>
      <c r="P1" s="1772"/>
      <c r="X1" s="67" t="s">
        <v>4802</v>
      </c>
      <c r="Y1" s="67"/>
      <c r="Z1" s="67"/>
      <c r="AA1" s="67"/>
      <c r="AB1" s="67"/>
      <c r="AC1" s="67"/>
      <c r="AD1" s="67"/>
    </row>
    <row r="2" spans="1:30" ht="15" thickBot="1">
      <c r="A2" s="1278"/>
      <c r="B2" s="74" t="s">
        <v>12524</v>
      </c>
      <c r="C2" s="1278"/>
      <c r="D2" s="1278"/>
      <c r="E2" s="1278"/>
      <c r="F2" s="1278"/>
      <c r="G2" s="1278"/>
      <c r="H2" s="1278"/>
      <c r="I2" s="1250"/>
      <c r="J2" s="1250"/>
      <c r="K2" s="71"/>
      <c r="L2" s="71"/>
      <c r="M2" s="72"/>
      <c r="N2" s="71"/>
      <c r="O2" s="71"/>
      <c r="P2" s="1772"/>
      <c r="X2" s="74" t="str">
        <f>+B2</f>
        <v>For the 12 months ended 31 March 2019</v>
      </c>
      <c r="Y2" s="3148"/>
      <c r="Z2" s="3148"/>
      <c r="AA2" s="3148"/>
      <c r="AB2" s="3148"/>
      <c r="AC2" s="3148"/>
      <c r="AD2" s="3148"/>
    </row>
    <row r="3" spans="1:30" ht="33" customHeight="1" thickBot="1">
      <c r="A3" s="1265"/>
      <c r="B3" s="1560" t="s">
        <v>2423</v>
      </c>
      <c r="C3" s="1562" t="s">
        <v>4077</v>
      </c>
      <c r="D3" s="1561" t="s">
        <v>6495</v>
      </c>
      <c r="E3" s="1562" t="s">
        <v>3346</v>
      </c>
      <c r="F3" s="1563" t="s">
        <v>2397</v>
      </c>
      <c r="G3" s="1564" t="s">
        <v>4803</v>
      </c>
      <c r="H3" s="1565" t="s">
        <v>4804</v>
      </c>
      <c r="I3" s="1487" t="s">
        <v>4047</v>
      </c>
      <c r="J3" s="1317"/>
      <c r="K3" s="195" t="s">
        <v>1361</v>
      </c>
      <c r="L3" s="71"/>
      <c r="M3" s="72"/>
      <c r="N3" s="77" t="s">
        <v>2404</v>
      </c>
      <c r="O3" s="1699"/>
      <c r="P3" s="72"/>
      <c r="Q3" s="1655" t="s">
        <v>2390</v>
      </c>
      <c r="R3" s="72"/>
      <c r="S3" s="77" t="s">
        <v>2578</v>
      </c>
      <c r="T3" s="1655"/>
      <c r="U3" s="1655"/>
      <c r="V3" s="72"/>
      <c r="X3" s="1560" t="s">
        <v>2423</v>
      </c>
      <c r="Y3" s="1560" t="s">
        <v>4077</v>
      </c>
      <c r="Z3" s="1561" t="s">
        <v>6495</v>
      </c>
      <c r="AA3" s="1562" t="s">
        <v>3346</v>
      </c>
      <c r="AB3" s="1563" t="s">
        <v>2397</v>
      </c>
      <c r="AC3" s="1564" t="s">
        <v>4803</v>
      </c>
      <c r="AD3" s="1565" t="s">
        <v>4804</v>
      </c>
    </row>
    <row r="4" spans="1:30" ht="15" thickBot="1">
      <c r="A4" s="1265"/>
      <c r="B4" s="1265"/>
      <c r="C4" s="1265"/>
      <c r="D4" s="1265"/>
      <c r="E4" s="1265"/>
      <c r="F4" s="1265"/>
      <c r="G4" s="1265"/>
      <c r="H4" s="1265"/>
      <c r="M4" s="72"/>
      <c r="N4" s="90" t="s">
        <v>2405</v>
      </c>
      <c r="O4" s="90"/>
      <c r="P4" s="72"/>
      <c r="X4" s="3149"/>
      <c r="Y4" s="3149"/>
      <c r="Z4" s="3149"/>
      <c r="AA4" s="3149"/>
      <c r="AB4" s="3149"/>
      <c r="AC4" s="3150" t="s">
        <v>11080</v>
      </c>
      <c r="AD4" s="3150" t="s">
        <v>11081</v>
      </c>
    </row>
    <row r="5" spans="1:30" ht="15" thickBot="1">
      <c r="A5" s="1265"/>
      <c r="B5" s="1051" t="s">
        <v>2449</v>
      </c>
      <c r="C5" s="1114" t="s">
        <v>4805</v>
      </c>
      <c r="D5" s="1265"/>
      <c r="E5" s="1265"/>
      <c r="F5" s="1265"/>
      <c r="G5" s="1265"/>
      <c r="H5" s="1265"/>
      <c r="M5" s="72"/>
      <c r="N5" s="90"/>
      <c r="O5" s="90"/>
      <c r="P5" s="72"/>
      <c r="X5" s="2743" t="s">
        <v>2449</v>
      </c>
      <c r="Y5" s="3151" t="s">
        <v>4805</v>
      </c>
      <c r="Z5" s="3149"/>
      <c r="AA5" s="3149"/>
      <c r="AB5" s="3149"/>
      <c r="AC5" s="3149"/>
      <c r="AD5" s="3149"/>
    </row>
    <row r="6" spans="1:30">
      <c r="A6" s="1265"/>
      <c r="B6" s="91" t="s">
        <v>6281</v>
      </c>
      <c r="C6" s="122" t="s">
        <v>4806</v>
      </c>
      <c r="D6" s="1731" t="s">
        <v>9409</v>
      </c>
      <c r="E6" s="93" t="s">
        <v>76</v>
      </c>
      <c r="F6" s="94">
        <v>1</v>
      </c>
      <c r="G6" s="1342"/>
      <c r="H6" s="1671"/>
      <c r="I6" s="1884"/>
      <c r="K6" s="24" t="str">
        <f t="shared" ref="K6:K13" si="0" xml:space="preserve"> IF( SUM( M6:P6 ) = 0, 0, $N$4 )</f>
        <v>Please complete all cells in row</v>
      </c>
      <c r="L6" s="71"/>
      <c r="M6" s="72"/>
      <c r="N6" s="98">
        <f>IF(Validation!$H$3=1,0,IF(ISNUMBER(G6),0,1))</f>
        <v>1</v>
      </c>
      <c r="O6" s="98">
        <f>IF(Validation!$H$3=1,0,IF(ISNUMBER(H6),0,1))</f>
        <v>1</v>
      </c>
      <c r="P6" s="72"/>
      <c r="X6" s="91" t="s">
        <v>6281</v>
      </c>
      <c r="Y6" s="122" t="s">
        <v>4806</v>
      </c>
      <c r="Z6" s="2688" t="s">
        <v>9409</v>
      </c>
      <c r="AA6" s="93" t="s">
        <v>76</v>
      </c>
      <c r="AB6" s="94">
        <v>1</v>
      </c>
      <c r="AC6" s="3152" t="str">
        <f>$D6&amp;AC$4</f>
        <v>BN5611INC</v>
      </c>
      <c r="AD6" s="3153" t="str">
        <f t="shared" ref="AD6:AD14" si="1">$D6&amp;AD$4</f>
        <v>BN5611TPS</v>
      </c>
    </row>
    <row r="7" spans="1:30" ht="15.75" customHeight="1">
      <c r="A7" s="1265"/>
      <c r="B7" s="1063" t="s">
        <v>6282</v>
      </c>
      <c r="C7" s="1064" t="s">
        <v>4807</v>
      </c>
      <c r="D7" s="1732" t="s">
        <v>9410</v>
      </c>
      <c r="E7" s="1060" t="s">
        <v>76</v>
      </c>
      <c r="F7" s="1061">
        <v>1</v>
      </c>
      <c r="G7" s="1343"/>
      <c r="H7" s="1672"/>
      <c r="I7" s="1885"/>
      <c r="K7" s="24" t="str">
        <f t="shared" si="0"/>
        <v>Please complete all cells in row</v>
      </c>
      <c r="L7" s="71"/>
      <c r="M7" s="72"/>
      <c r="N7" s="98">
        <f>IF(Validation!$H$3=1,0,IF(ISNUMBER(G7),0,1))</f>
        <v>1</v>
      </c>
      <c r="O7" s="98">
        <f>IF(Validation!$H$3=1,0,IF(ISNUMBER(H7),0,1))</f>
        <v>1</v>
      </c>
      <c r="P7" s="72"/>
      <c r="X7" s="1063" t="s">
        <v>6282</v>
      </c>
      <c r="Y7" s="3154" t="s">
        <v>4807</v>
      </c>
      <c r="Z7" s="3155" t="s">
        <v>9410</v>
      </c>
      <c r="AA7" s="2145" t="s">
        <v>76</v>
      </c>
      <c r="AB7" s="1061">
        <v>1</v>
      </c>
      <c r="AC7" s="3156" t="str">
        <f t="shared" ref="AC7:AC14" si="2">$D7&amp;AC$4</f>
        <v>BN5612INC</v>
      </c>
      <c r="AD7" s="3157" t="str">
        <f t="shared" si="1"/>
        <v>BN5612TPS</v>
      </c>
    </row>
    <row r="8" spans="1:30" ht="15.75" customHeight="1">
      <c r="A8" s="1265"/>
      <c r="B8" s="1063" t="s">
        <v>6283</v>
      </c>
      <c r="C8" s="1064" t="s">
        <v>4808</v>
      </c>
      <c r="D8" s="1732" t="s">
        <v>9411</v>
      </c>
      <c r="E8" s="1060" t="s">
        <v>76</v>
      </c>
      <c r="F8" s="1061">
        <v>1</v>
      </c>
      <c r="G8" s="1343"/>
      <c r="H8" s="1672"/>
      <c r="I8" s="1885"/>
      <c r="K8" s="24" t="str">
        <f t="shared" si="0"/>
        <v>Please complete all cells in row</v>
      </c>
      <c r="L8" s="71"/>
      <c r="M8" s="72"/>
      <c r="N8" s="98">
        <f>IF(Validation!$H$3=1,0,IF(ISNUMBER(G8),0,1))</f>
        <v>1</v>
      </c>
      <c r="O8" s="98">
        <f>IF(Validation!$H$3=1,0,IF(ISNUMBER(H8),0,1))</f>
        <v>1</v>
      </c>
      <c r="P8" s="72"/>
      <c r="X8" s="1063" t="s">
        <v>6283</v>
      </c>
      <c r="Y8" s="3154" t="s">
        <v>4808</v>
      </c>
      <c r="Z8" s="3155" t="s">
        <v>9411</v>
      </c>
      <c r="AA8" s="2145" t="s">
        <v>76</v>
      </c>
      <c r="AB8" s="1061">
        <v>1</v>
      </c>
      <c r="AC8" s="3156" t="str">
        <f t="shared" si="2"/>
        <v>BN5613INC</v>
      </c>
      <c r="AD8" s="3157" t="str">
        <f t="shared" si="1"/>
        <v>BN5613TPS</v>
      </c>
    </row>
    <row r="9" spans="1:30" ht="15.75" customHeight="1">
      <c r="A9" s="1265"/>
      <c r="B9" s="1063" t="s">
        <v>6284</v>
      </c>
      <c r="C9" s="1064" t="s">
        <v>4809</v>
      </c>
      <c r="D9" s="1732" t="s">
        <v>9412</v>
      </c>
      <c r="E9" s="1060" t="s">
        <v>76</v>
      </c>
      <c r="F9" s="1061">
        <v>1</v>
      </c>
      <c r="G9" s="1343"/>
      <c r="H9" s="1672"/>
      <c r="I9" s="1885"/>
      <c r="K9" s="24" t="str">
        <f t="shared" si="0"/>
        <v>Please complete all cells in row</v>
      </c>
      <c r="L9" s="71"/>
      <c r="M9" s="72"/>
      <c r="N9" s="98">
        <f>IF(Validation!$H$3=1,0,IF(ISNUMBER(G9),0,1))</f>
        <v>1</v>
      </c>
      <c r="O9" s="98">
        <f>IF(Validation!$H$3=1,0,IF(ISNUMBER(H9),0,1))</f>
        <v>1</v>
      </c>
      <c r="P9" s="72"/>
      <c r="X9" s="1063" t="s">
        <v>6284</v>
      </c>
      <c r="Y9" s="3154" t="s">
        <v>4809</v>
      </c>
      <c r="Z9" s="3155" t="s">
        <v>9412</v>
      </c>
      <c r="AA9" s="2145" t="s">
        <v>76</v>
      </c>
      <c r="AB9" s="1061">
        <v>1</v>
      </c>
      <c r="AC9" s="3156" t="str">
        <f t="shared" si="2"/>
        <v>BN5614INC</v>
      </c>
      <c r="AD9" s="3157" t="str">
        <f t="shared" si="1"/>
        <v>BN5614TPS</v>
      </c>
    </row>
    <row r="10" spans="1:30" ht="15.75" customHeight="1">
      <c r="A10" s="1265"/>
      <c r="B10" s="1063" t="s">
        <v>6285</v>
      </c>
      <c r="C10" s="1064" t="s">
        <v>4810</v>
      </c>
      <c r="D10" s="1732" t="s">
        <v>9413</v>
      </c>
      <c r="E10" s="1060" t="s">
        <v>76</v>
      </c>
      <c r="F10" s="1061">
        <v>1</v>
      </c>
      <c r="G10" s="1344"/>
      <c r="H10" s="1673"/>
      <c r="I10" s="1886"/>
      <c r="K10" s="24" t="str">
        <f t="shared" si="0"/>
        <v>Please complete all cells in row</v>
      </c>
      <c r="L10" s="71"/>
      <c r="M10" s="72"/>
      <c r="N10" s="98">
        <f>IF(Validation!$H$3=1,0,IF(ISNUMBER(G10),0,1))</f>
        <v>1</v>
      </c>
      <c r="O10" s="98">
        <f>IF(Validation!$H$3=1,0,IF(ISNUMBER(H10),0,1))</f>
        <v>1</v>
      </c>
      <c r="P10" s="72"/>
      <c r="X10" s="1063" t="s">
        <v>6285</v>
      </c>
      <c r="Y10" s="3154" t="s">
        <v>4810</v>
      </c>
      <c r="Z10" s="3155" t="s">
        <v>9413</v>
      </c>
      <c r="AA10" s="2145" t="s">
        <v>76</v>
      </c>
      <c r="AB10" s="1061">
        <v>1</v>
      </c>
      <c r="AC10" s="3158" t="str">
        <f t="shared" si="2"/>
        <v>BN5615INC</v>
      </c>
      <c r="AD10" s="3159" t="str">
        <f t="shared" si="1"/>
        <v>BN5615TPS</v>
      </c>
    </row>
    <row r="11" spans="1:30" ht="15.75" customHeight="1">
      <c r="A11" s="1265"/>
      <c r="B11" s="1063" t="s">
        <v>6286</v>
      </c>
      <c r="C11" s="1064" t="s">
        <v>4811</v>
      </c>
      <c r="D11" s="1732" t="s">
        <v>9414</v>
      </c>
      <c r="E11" s="1060" t="s">
        <v>76</v>
      </c>
      <c r="F11" s="1061">
        <v>1</v>
      </c>
      <c r="G11" s="1343"/>
      <c r="H11" s="1672"/>
      <c r="I11" s="1885"/>
      <c r="K11" s="24" t="str">
        <f t="shared" si="0"/>
        <v>Please complete all cells in row</v>
      </c>
      <c r="L11" s="71"/>
      <c r="M11" s="72"/>
      <c r="N11" s="98">
        <f>IF(Validation!$H$3=1,0,IF(ISNUMBER(G11),0,1))</f>
        <v>1</v>
      </c>
      <c r="O11" s="98">
        <f>IF(Validation!$H$3=1,0,IF(ISNUMBER(H11),0,1))</f>
        <v>1</v>
      </c>
      <c r="P11" s="72"/>
      <c r="X11" s="1063" t="s">
        <v>6286</v>
      </c>
      <c r="Y11" s="3154" t="s">
        <v>4811</v>
      </c>
      <c r="Z11" s="3155" t="s">
        <v>9414</v>
      </c>
      <c r="AA11" s="2145" t="s">
        <v>76</v>
      </c>
      <c r="AB11" s="1061">
        <v>1</v>
      </c>
      <c r="AC11" s="3156" t="str">
        <f t="shared" si="2"/>
        <v>BN5616INC</v>
      </c>
      <c r="AD11" s="3157" t="str">
        <f t="shared" si="1"/>
        <v>BN5616TPS</v>
      </c>
    </row>
    <row r="12" spans="1:30" ht="15.75" customHeight="1">
      <c r="A12" s="1265"/>
      <c r="B12" s="1063" t="s">
        <v>6287</v>
      </c>
      <c r="C12" s="1064" t="s">
        <v>4812</v>
      </c>
      <c r="D12" s="1732" t="s">
        <v>9415</v>
      </c>
      <c r="E12" s="1060" t="s">
        <v>76</v>
      </c>
      <c r="F12" s="1061">
        <v>1</v>
      </c>
      <c r="G12" s="1343"/>
      <c r="H12" s="1672"/>
      <c r="I12" s="1885"/>
      <c r="K12" s="24" t="str">
        <f t="shared" si="0"/>
        <v>Please complete all cells in row</v>
      </c>
      <c r="L12" s="71"/>
      <c r="M12" s="72"/>
      <c r="N12" s="98">
        <f>IF(Validation!$H$3=1,0,IF(ISNUMBER(G12),0,1))</f>
        <v>1</v>
      </c>
      <c r="O12" s="98">
        <f>IF(Validation!$H$3=1,0,IF(ISNUMBER(H12),0,1))</f>
        <v>1</v>
      </c>
      <c r="P12" s="72"/>
      <c r="X12" s="1063" t="s">
        <v>6287</v>
      </c>
      <c r="Y12" s="3154" t="s">
        <v>4812</v>
      </c>
      <c r="Z12" s="3155" t="s">
        <v>9415</v>
      </c>
      <c r="AA12" s="2145" t="s">
        <v>76</v>
      </c>
      <c r="AB12" s="1061">
        <v>1</v>
      </c>
      <c r="AC12" s="3156" t="str">
        <f t="shared" si="2"/>
        <v>BN5617INC</v>
      </c>
      <c r="AD12" s="3157" t="str">
        <f t="shared" si="1"/>
        <v>BN5617TPS</v>
      </c>
    </row>
    <row r="13" spans="1:30" ht="15.75" customHeight="1">
      <c r="A13" s="1265"/>
      <c r="B13" s="1063" t="s">
        <v>6288</v>
      </c>
      <c r="C13" s="1064" t="s">
        <v>4813</v>
      </c>
      <c r="D13" s="1732" t="s">
        <v>9416</v>
      </c>
      <c r="E13" s="1060" t="s">
        <v>76</v>
      </c>
      <c r="F13" s="1061">
        <v>1</v>
      </c>
      <c r="G13" s="1343"/>
      <c r="H13" s="1672"/>
      <c r="I13" s="1885"/>
      <c r="K13" s="24" t="str">
        <f t="shared" si="0"/>
        <v>Please complete all cells in row</v>
      </c>
      <c r="L13" s="71"/>
      <c r="M13" s="72"/>
      <c r="N13" s="98">
        <f>IF(Validation!$H$3=1,0,IF(ISNUMBER(G13),0,1))</f>
        <v>1</v>
      </c>
      <c r="O13" s="98">
        <f>IF(Validation!$H$3=1,0,IF(ISNUMBER(H13),0,1))</f>
        <v>1</v>
      </c>
      <c r="P13" s="72"/>
      <c r="X13" s="1063" t="s">
        <v>6288</v>
      </c>
      <c r="Y13" s="3154" t="s">
        <v>4813</v>
      </c>
      <c r="Z13" s="3155" t="s">
        <v>9416</v>
      </c>
      <c r="AA13" s="2145" t="s">
        <v>76</v>
      </c>
      <c r="AB13" s="1061">
        <v>1</v>
      </c>
      <c r="AC13" s="3156" t="str">
        <f t="shared" si="2"/>
        <v>BN5618INC</v>
      </c>
      <c r="AD13" s="3157" t="str">
        <f t="shared" si="1"/>
        <v>BN5618TPS</v>
      </c>
    </row>
    <row r="14" spans="1:30" ht="21.75" customHeight="1" thickBot="1">
      <c r="A14" s="1278"/>
      <c r="B14" s="1068" t="s">
        <v>6289</v>
      </c>
      <c r="C14" s="1170" t="s">
        <v>4814</v>
      </c>
      <c r="D14" s="1733" t="s">
        <v>9417</v>
      </c>
      <c r="E14" s="1070" t="s">
        <v>76</v>
      </c>
      <c r="F14" s="1071">
        <v>1</v>
      </c>
      <c r="G14" s="1345">
        <f>+SUM(G6:G13)</f>
        <v>0</v>
      </c>
      <c r="H14" s="1845">
        <f>+SUM(H6:H13)</f>
        <v>0</v>
      </c>
      <c r="I14" s="1887"/>
      <c r="K14" s="1431" t="str">
        <f>IF(SUM(P14:R15) = 0, 0, $U$14)</f>
        <v>Total of lines 4T.1 to 4T.8 do not equal 100%.</v>
      </c>
      <c r="P14" s="72"/>
      <c r="Q14" s="98">
        <f xml:space="preserve"> IF( (S14 - T14) = 0, 0, 1 )</f>
        <v>1</v>
      </c>
      <c r="R14" s="124"/>
      <c r="S14" s="117">
        <f>SUM(G6:H13)</f>
        <v>0</v>
      </c>
      <c r="T14" s="117">
        <v>1</v>
      </c>
      <c r="U14" s="144" t="s">
        <v>12241</v>
      </c>
      <c r="V14" s="124"/>
      <c r="X14" s="1068" t="s">
        <v>6289</v>
      </c>
      <c r="Y14" s="3160" t="s">
        <v>4814</v>
      </c>
      <c r="Z14" s="3161" t="s">
        <v>9417</v>
      </c>
      <c r="AA14" s="1070" t="s">
        <v>76</v>
      </c>
      <c r="AB14" s="1071">
        <v>1</v>
      </c>
      <c r="AC14" s="1345" t="str">
        <f t="shared" si="2"/>
        <v>BN5619INC</v>
      </c>
      <c r="AD14" s="1345" t="str">
        <f t="shared" si="1"/>
        <v>BN5619TPS</v>
      </c>
    </row>
    <row r="15" spans="1:30" ht="15" thickBot="1">
      <c r="A15" s="1278"/>
      <c r="B15" s="1277"/>
      <c r="C15" s="1278"/>
      <c r="D15" s="1277"/>
      <c r="E15" s="1277"/>
      <c r="F15" s="1277"/>
      <c r="G15" s="1277"/>
      <c r="H15" s="1277"/>
      <c r="X15" s="3162"/>
      <c r="Y15" s="3148"/>
      <c r="Z15" s="3163"/>
      <c r="AA15" s="3162"/>
      <c r="AB15" s="3162"/>
      <c r="AC15" s="3162"/>
      <c r="AD15" s="3162"/>
    </row>
    <row r="16" spans="1:30" ht="15" thickBot="1">
      <c r="A16" s="1278"/>
      <c r="B16" s="1051" t="s">
        <v>2458</v>
      </c>
      <c r="C16" s="1114" t="s">
        <v>4815</v>
      </c>
      <c r="D16" s="1277"/>
      <c r="E16" s="1277"/>
      <c r="F16" s="1277"/>
      <c r="G16" s="1277"/>
      <c r="H16" s="1277"/>
      <c r="X16" s="2743" t="s">
        <v>2458</v>
      </c>
      <c r="Y16" s="3151" t="s">
        <v>4815</v>
      </c>
      <c r="Z16" s="3163"/>
      <c r="AA16" s="3162"/>
      <c r="AB16" s="3162"/>
      <c r="AC16" s="3162"/>
      <c r="AD16" s="3162"/>
    </row>
    <row r="17" spans="1:30" ht="15" customHeight="1">
      <c r="A17" s="1278"/>
      <c r="B17" s="91" t="s">
        <v>6290</v>
      </c>
      <c r="C17" s="122" t="s">
        <v>4816</v>
      </c>
      <c r="D17" s="1731" t="s">
        <v>9418</v>
      </c>
      <c r="E17" s="93" t="s">
        <v>76</v>
      </c>
      <c r="F17" s="94">
        <v>1</v>
      </c>
      <c r="G17" s="1342"/>
      <c r="H17" s="1671"/>
      <c r="I17" s="1884"/>
      <c r="K17" s="24" t="str">
        <f xml:space="preserve"> IF( SUM( M17:P17 ) = 0, 0, $N$4 )</f>
        <v>Please complete all cells in row</v>
      </c>
      <c r="L17" s="71"/>
      <c r="M17" s="72"/>
      <c r="N17" s="98">
        <f>IF(Validation!$H$3=1,0,IF(ISNUMBER(G17),0,1))</f>
        <v>1</v>
      </c>
      <c r="O17" s="98">
        <f>IF(Validation!$H$3=1,0,IF(ISNUMBER(H17),0,1))</f>
        <v>1</v>
      </c>
      <c r="P17" s="72"/>
      <c r="X17" s="91" t="s">
        <v>6290</v>
      </c>
      <c r="Y17" s="122" t="s">
        <v>4816</v>
      </c>
      <c r="Z17" s="2688" t="s">
        <v>9418</v>
      </c>
      <c r="AA17" s="93" t="s">
        <v>76</v>
      </c>
      <c r="AB17" s="94">
        <v>1</v>
      </c>
      <c r="AC17" s="3152" t="str">
        <f t="shared" ref="AC17:AD22" si="3">$D17&amp;AC$4</f>
        <v>BN5620INC</v>
      </c>
      <c r="AD17" s="3153" t="str">
        <f t="shared" si="3"/>
        <v>BN5620TPS</v>
      </c>
    </row>
    <row r="18" spans="1:30" ht="15" customHeight="1">
      <c r="A18" s="1278"/>
      <c r="B18" s="1063" t="s">
        <v>6291</v>
      </c>
      <c r="C18" s="1064" t="s">
        <v>4817</v>
      </c>
      <c r="D18" s="1732" t="s">
        <v>9419</v>
      </c>
      <c r="E18" s="1060" t="s">
        <v>76</v>
      </c>
      <c r="F18" s="1061">
        <v>1</v>
      </c>
      <c r="G18" s="1343"/>
      <c r="H18" s="1672"/>
      <c r="I18" s="1885"/>
      <c r="K18" s="24" t="str">
        <f xml:space="preserve"> IF( SUM( M18:P18 ) = 0, 0, $N$4 )</f>
        <v>Please complete all cells in row</v>
      </c>
      <c r="L18" s="71"/>
      <c r="M18" s="72"/>
      <c r="N18" s="98">
        <f>IF(Validation!$H$3=1,0,IF(ISNUMBER(G18),0,1))</f>
        <v>1</v>
      </c>
      <c r="O18" s="98">
        <f>IF(Validation!$H$3=1,0,IF(ISNUMBER(H18),0,1))</f>
        <v>1</v>
      </c>
      <c r="P18" s="72"/>
      <c r="X18" s="1063" t="s">
        <v>6291</v>
      </c>
      <c r="Y18" s="3154" t="s">
        <v>4817</v>
      </c>
      <c r="Z18" s="3155" t="s">
        <v>9419</v>
      </c>
      <c r="AA18" s="2145" t="s">
        <v>76</v>
      </c>
      <c r="AB18" s="1061">
        <v>1</v>
      </c>
      <c r="AC18" s="3156" t="str">
        <f t="shared" si="3"/>
        <v>BN5621INC</v>
      </c>
      <c r="AD18" s="3157" t="str">
        <f t="shared" si="3"/>
        <v>BN5621TPS</v>
      </c>
    </row>
    <row r="19" spans="1:30" ht="15" customHeight="1">
      <c r="A19" s="1278"/>
      <c r="B19" s="1063" t="s">
        <v>6292</v>
      </c>
      <c r="C19" s="1064" t="s">
        <v>4818</v>
      </c>
      <c r="D19" s="1732" t="s">
        <v>9420</v>
      </c>
      <c r="E19" s="1060" t="s">
        <v>76</v>
      </c>
      <c r="F19" s="1061">
        <v>1</v>
      </c>
      <c r="G19" s="1343"/>
      <c r="H19" s="1672"/>
      <c r="I19" s="1885"/>
      <c r="K19" s="24" t="str">
        <f xml:space="preserve"> IF( SUM( M19:P19 ) = 0, 0, $N$4 )</f>
        <v>Please complete all cells in row</v>
      </c>
      <c r="L19" s="71"/>
      <c r="M19" s="72"/>
      <c r="N19" s="98">
        <f>IF(Validation!$H$3=1,0,IF(ISNUMBER(G19),0,1))</f>
        <v>1</v>
      </c>
      <c r="O19" s="98">
        <f>IF(Validation!$H$3=1,0,IF(ISNUMBER(H19),0,1))</f>
        <v>1</v>
      </c>
      <c r="P19" s="72"/>
      <c r="X19" s="1063" t="s">
        <v>6292</v>
      </c>
      <c r="Y19" s="3154" t="s">
        <v>4818</v>
      </c>
      <c r="Z19" s="3155" t="s">
        <v>9420</v>
      </c>
      <c r="AA19" s="2145" t="s">
        <v>76</v>
      </c>
      <c r="AB19" s="1061">
        <v>1</v>
      </c>
      <c r="AC19" s="3156" t="str">
        <f t="shared" si="3"/>
        <v>BN5622INC</v>
      </c>
      <c r="AD19" s="3157" t="str">
        <f t="shared" si="3"/>
        <v>BN5622TPS</v>
      </c>
    </row>
    <row r="20" spans="1:30" ht="15" customHeight="1">
      <c r="A20" s="1278"/>
      <c r="B20" s="1063" t="s">
        <v>6293</v>
      </c>
      <c r="C20" s="1064" t="s">
        <v>4819</v>
      </c>
      <c r="D20" s="1732" t="s">
        <v>9421</v>
      </c>
      <c r="E20" s="1060" t="s">
        <v>76</v>
      </c>
      <c r="F20" s="1061">
        <v>1</v>
      </c>
      <c r="G20" s="1343"/>
      <c r="H20" s="1672"/>
      <c r="I20" s="1885"/>
      <c r="K20" s="24" t="str">
        <f xml:space="preserve"> IF( SUM( M20:P20 ) = 0, 0, $N$4 )</f>
        <v>Please complete all cells in row</v>
      </c>
      <c r="L20" s="71"/>
      <c r="M20" s="72"/>
      <c r="N20" s="98">
        <f>IF(Validation!$H$3=1,0,IF(ISNUMBER(G20),0,1))</f>
        <v>1</v>
      </c>
      <c r="O20" s="98">
        <f>IF(Validation!$H$3=1,0,IF(ISNUMBER(H20),0,1))</f>
        <v>1</v>
      </c>
      <c r="P20" s="72"/>
      <c r="X20" s="1063" t="s">
        <v>6293</v>
      </c>
      <c r="Y20" s="3154" t="s">
        <v>4819</v>
      </c>
      <c r="Z20" s="3155" t="s">
        <v>9421</v>
      </c>
      <c r="AA20" s="2145" t="s">
        <v>76</v>
      </c>
      <c r="AB20" s="1061">
        <v>1</v>
      </c>
      <c r="AC20" s="3156" t="str">
        <f t="shared" si="3"/>
        <v>BN5623INC</v>
      </c>
      <c r="AD20" s="3157" t="str">
        <f t="shared" si="3"/>
        <v>BN5623TPS</v>
      </c>
    </row>
    <row r="21" spans="1:30" ht="15" customHeight="1">
      <c r="A21" s="1278"/>
      <c r="B21" s="1063" t="s">
        <v>6294</v>
      </c>
      <c r="C21" s="1064" t="s">
        <v>4820</v>
      </c>
      <c r="D21" s="1732" t="s">
        <v>9422</v>
      </c>
      <c r="E21" s="1060" t="s">
        <v>76</v>
      </c>
      <c r="F21" s="1061">
        <v>1</v>
      </c>
      <c r="G21" s="1343"/>
      <c r="H21" s="1672"/>
      <c r="I21" s="1885"/>
      <c r="K21" s="24" t="str">
        <f xml:space="preserve"> IF( SUM( M21:P21 ) = 0, 0, $N$4 )</f>
        <v>Please complete all cells in row</v>
      </c>
      <c r="L21" s="71"/>
      <c r="M21" s="72"/>
      <c r="N21" s="98">
        <f>IF(Validation!$H$3=1,0,IF(ISNUMBER(G21),0,1))</f>
        <v>1</v>
      </c>
      <c r="O21" s="98">
        <f>IF(Validation!$H$3=1,0,IF(ISNUMBER(H21),0,1))</f>
        <v>1</v>
      </c>
      <c r="P21" s="72"/>
      <c r="X21" s="1063" t="s">
        <v>6294</v>
      </c>
      <c r="Y21" s="3154" t="s">
        <v>4820</v>
      </c>
      <c r="Z21" s="3155" t="s">
        <v>9422</v>
      </c>
      <c r="AA21" s="2145" t="s">
        <v>76</v>
      </c>
      <c r="AB21" s="1061">
        <v>1</v>
      </c>
      <c r="AC21" s="3156" t="str">
        <f t="shared" si="3"/>
        <v>BN5624INC</v>
      </c>
      <c r="AD21" s="3157" t="str">
        <f t="shared" si="3"/>
        <v>BN5624TPS</v>
      </c>
    </row>
    <row r="22" spans="1:30" ht="21.75" customHeight="1" thickBot="1">
      <c r="A22" s="1278"/>
      <c r="B22" s="1068" t="s">
        <v>6295</v>
      </c>
      <c r="C22" s="1170" t="s">
        <v>4821</v>
      </c>
      <c r="D22" s="1733" t="s">
        <v>9423</v>
      </c>
      <c r="E22" s="1070" t="s">
        <v>76</v>
      </c>
      <c r="F22" s="1071">
        <v>1</v>
      </c>
      <c r="G22" s="1345">
        <f>+SUM(G17:G21)</f>
        <v>0</v>
      </c>
      <c r="H22" s="1845">
        <f>+SUM(H17:H21)</f>
        <v>0</v>
      </c>
      <c r="I22" s="1887"/>
      <c r="K22" s="1431" t="str">
        <f>IF(SUM(P22:R23) = 0, 0, $U$22)</f>
        <v>Total of lines 4T.10 to 4T.14 do not equal 100%.</v>
      </c>
      <c r="P22" s="72"/>
      <c r="Q22" s="98">
        <f xml:space="preserve"> IF( (S22 - T22) = 0, 0, 1 )</f>
        <v>1</v>
      </c>
      <c r="R22" s="124"/>
      <c r="S22" s="117">
        <f>SUM(G17:H21)</f>
        <v>0</v>
      </c>
      <c r="T22" s="117">
        <v>1</v>
      </c>
      <c r="U22" s="144" t="s">
        <v>12242</v>
      </c>
      <c r="V22" s="124"/>
      <c r="X22" s="1068" t="s">
        <v>6295</v>
      </c>
      <c r="Y22" s="3160" t="s">
        <v>4821</v>
      </c>
      <c r="Z22" s="3161" t="s">
        <v>9423</v>
      </c>
      <c r="AA22" s="1070" t="s">
        <v>76</v>
      </c>
      <c r="AB22" s="1071">
        <v>1</v>
      </c>
      <c r="AC22" s="1345" t="str">
        <f t="shared" si="3"/>
        <v>BN5625INC</v>
      </c>
      <c r="AD22" s="1346" t="str">
        <f t="shared" si="3"/>
        <v>BN5625TPS</v>
      </c>
    </row>
    <row r="23" spans="1:30">
      <c r="V23" s="124"/>
      <c r="X23" s="496"/>
      <c r="Y23" s="496"/>
      <c r="Z23" s="2686"/>
      <c r="AA23" s="496"/>
      <c r="AB23" s="496"/>
      <c r="AC23" s="496"/>
      <c r="AD23" s="496"/>
    </row>
    <row r="24" spans="1:30">
      <c r="B24" s="3802" t="s">
        <v>2420</v>
      </c>
      <c r="C24" s="3803"/>
      <c r="X24" s="496"/>
      <c r="Y24" s="496"/>
      <c r="Z24" s="2686"/>
      <c r="AA24" s="496"/>
      <c r="AB24" s="496"/>
      <c r="AC24" s="496"/>
      <c r="AD24" s="496"/>
    </row>
    <row r="25" spans="1:30">
      <c r="B25" s="1182"/>
      <c r="C25" s="1182"/>
    </row>
    <row r="26" spans="1:30">
      <c r="B26" s="1008"/>
      <c r="C26" s="1309" t="s">
        <v>2421</v>
      </c>
    </row>
    <row r="27" spans="1:30">
      <c r="B27" s="1182"/>
      <c r="C27" s="1182"/>
    </row>
    <row r="28" spans="1:30">
      <c r="B28" s="1010"/>
      <c r="C28" s="1309" t="s">
        <v>4082</v>
      </c>
    </row>
    <row r="29" spans="1:30"/>
    <row r="30" spans="1:30" ht="15" thickBot="1"/>
    <row r="31" spans="1:30" ht="15" thickBot="1">
      <c r="B31" s="1435" t="s">
        <v>12572</v>
      </c>
      <c r="C31" s="1011"/>
      <c r="D31" s="1011"/>
      <c r="E31" s="1011"/>
      <c r="F31" s="1012"/>
      <c r="G31" s="1012"/>
      <c r="H31" s="1012"/>
      <c r="I31" s="1013"/>
    </row>
    <row r="32" spans="1:30" ht="15" thickBot="1"/>
    <row r="33" spans="1:9" ht="15" hidden="1" thickBot="1">
      <c r="A33" s="1696"/>
      <c r="B33" s="34" t="str">
        <f ca="1" xml:space="preserve"> RIGHT(CELL("filename", $A$1), LEN(CELL("filename", $A$1)) - SEARCH("]", CELL("filename", $A$1)))&amp;" - Line definitions"</f>
        <v>4T - Line definitions</v>
      </c>
      <c r="C33" s="1011"/>
      <c r="D33" s="1011"/>
      <c r="E33" s="1011"/>
      <c r="F33" s="1012"/>
      <c r="G33" s="1012"/>
      <c r="H33" s="1012"/>
      <c r="I33" s="1013"/>
    </row>
    <row r="34" spans="1:9" ht="15" hidden="1" thickBot="1">
      <c r="A34" s="1696"/>
      <c r="B34" s="928"/>
      <c r="C34" s="1088"/>
      <c r="D34" s="1088"/>
      <c r="E34" s="1088"/>
      <c r="F34" s="928"/>
      <c r="G34" s="928"/>
      <c r="H34" s="928"/>
      <c r="I34" s="1347"/>
    </row>
    <row r="35" spans="1:9" ht="15" hidden="1" thickBot="1">
      <c r="A35" s="1696"/>
      <c r="B35" s="1348" t="s">
        <v>2423</v>
      </c>
      <c r="C35" s="3804" t="s">
        <v>2424</v>
      </c>
      <c r="D35" s="3804"/>
      <c r="E35" s="3805"/>
      <c r="F35" s="3805"/>
      <c r="G35" s="3805"/>
      <c r="H35" s="3805"/>
      <c r="I35" s="3806"/>
    </row>
    <row r="36" spans="1:9" hidden="1">
      <c r="A36" s="1696"/>
      <c r="B36" s="1349">
        <v>1</v>
      </c>
      <c r="C36" s="3807" t="s">
        <v>4822</v>
      </c>
      <c r="D36" s="3808"/>
      <c r="E36" s="3808"/>
      <c r="F36" s="3808"/>
      <c r="G36" s="3808"/>
      <c r="H36" s="3808"/>
      <c r="I36" s="3809"/>
    </row>
    <row r="37" spans="1:9" hidden="1">
      <c r="A37" s="1696"/>
      <c r="B37" s="1350">
        <f t="shared" ref="B37:B50" si="4">+B36+1</f>
        <v>2</v>
      </c>
      <c r="C37" s="3796" t="s">
        <v>4823</v>
      </c>
      <c r="D37" s="3797"/>
      <c r="E37" s="3797"/>
      <c r="F37" s="3797"/>
      <c r="G37" s="3797"/>
      <c r="H37" s="3797"/>
      <c r="I37" s="3798"/>
    </row>
    <row r="38" spans="1:9" hidden="1">
      <c r="A38" s="1696"/>
      <c r="B38" s="1350">
        <f t="shared" si="4"/>
        <v>3</v>
      </c>
      <c r="C38" s="3796" t="s">
        <v>4824</v>
      </c>
      <c r="D38" s="3797"/>
      <c r="E38" s="3797"/>
      <c r="F38" s="3797"/>
      <c r="G38" s="3797"/>
      <c r="H38" s="3797"/>
      <c r="I38" s="3798"/>
    </row>
    <row r="39" spans="1:9" hidden="1">
      <c r="A39" s="1696"/>
      <c r="B39" s="1350">
        <f t="shared" si="4"/>
        <v>4</v>
      </c>
      <c r="C39" s="3796" t="s">
        <v>4825</v>
      </c>
      <c r="D39" s="3797"/>
      <c r="E39" s="3797"/>
      <c r="F39" s="3797"/>
      <c r="G39" s="3797"/>
      <c r="H39" s="3797"/>
      <c r="I39" s="3798"/>
    </row>
    <row r="40" spans="1:9" hidden="1">
      <c r="A40" s="1696"/>
      <c r="B40" s="1350">
        <f t="shared" si="4"/>
        <v>5</v>
      </c>
      <c r="C40" s="3796" t="s">
        <v>4826</v>
      </c>
      <c r="D40" s="3797"/>
      <c r="E40" s="3797"/>
      <c r="F40" s="3797"/>
      <c r="G40" s="3797"/>
      <c r="H40" s="3797"/>
      <c r="I40" s="3798"/>
    </row>
    <row r="41" spans="1:9" hidden="1">
      <c r="A41" s="1696"/>
      <c r="B41" s="1350">
        <f t="shared" si="4"/>
        <v>6</v>
      </c>
      <c r="C41" s="3796" t="s">
        <v>4827</v>
      </c>
      <c r="D41" s="3797"/>
      <c r="E41" s="3797"/>
      <c r="F41" s="3797"/>
      <c r="G41" s="3797"/>
      <c r="H41" s="3797"/>
      <c r="I41" s="3798"/>
    </row>
    <row r="42" spans="1:9" hidden="1">
      <c r="A42" s="1696"/>
      <c r="B42" s="1350">
        <f t="shared" si="4"/>
        <v>7</v>
      </c>
      <c r="C42" s="3796" t="s">
        <v>4828</v>
      </c>
      <c r="D42" s="3797"/>
      <c r="E42" s="3797"/>
      <c r="F42" s="3797"/>
      <c r="G42" s="3797"/>
      <c r="H42" s="3797"/>
      <c r="I42" s="3798"/>
    </row>
    <row r="43" spans="1:9" hidden="1">
      <c r="A43" s="1696"/>
      <c r="B43" s="1350">
        <f t="shared" si="4"/>
        <v>8</v>
      </c>
      <c r="C43" s="3796" t="s">
        <v>4829</v>
      </c>
      <c r="D43" s="3797"/>
      <c r="E43" s="3797"/>
      <c r="F43" s="3797"/>
      <c r="G43" s="3797"/>
      <c r="H43" s="3797"/>
      <c r="I43" s="3798"/>
    </row>
    <row r="44" spans="1:9" hidden="1">
      <c r="A44" s="1696"/>
      <c r="B44" s="1350">
        <f t="shared" si="4"/>
        <v>9</v>
      </c>
      <c r="C44" s="3796" t="s">
        <v>4830</v>
      </c>
      <c r="D44" s="3797"/>
      <c r="E44" s="3797"/>
      <c r="F44" s="3797"/>
      <c r="G44" s="3797"/>
      <c r="H44" s="3797"/>
      <c r="I44" s="3798"/>
    </row>
    <row r="45" spans="1:9" hidden="1">
      <c r="A45" s="1696"/>
      <c r="B45" s="1350">
        <f t="shared" si="4"/>
        <v>10</v>
      </c>
      <c r="C45" s="3796" t="s">
        <v>4831</v>
      </c>
      <c r="D45" s="3797"/>
      <c r="E45" s="3797"/>
      <c r="F45" s="3797"/>
      <c r="G45" s="3797"/>
      <c r="H45" s="3797"/>
      <c r="I45" s="3798"/>
    </row>
    <row r="46" spans="1:9" hidden="1">
      <c r="A46" s="1696"/>
      <c r="B46" s="1350">
        <f t="shared" si="4"/>
        <v>11</v>
      </c>
      <c r="C46" s="3796" t="s">
        <v>4832</v>
      </c>
      <c r="D46" s="3797"/>
      <c r="E46" s="3797"/>
      <c r="F46" s="3797"/>
      <c r="G46" s="3797"/>
      <c r="H46" s="3797"/>
      <c r="I46" s="3798"/>
    </row>
    <row r="47" spans="1:9" hidden="1">
      <c r="A47" s="1696"/>
      <c r="B47" s="1350">
        <f t="shared" si="4"/>
        <v>12</v>
      </c>
      <c r="C47" s="3796" t="s">
        <v>4833</v>
      </c>
      <c r="D47" s="3797"/>
      <c r="E47" s="3797"/>
      <c r="F47" s="3797"/>
      <c r="G47" s="3797"/>
      <c r="H47" s="3797"/>
      <c r="I47" s="3798"/>
    </row>
    <row r="48" spans="1:9" hidden="1">
      <c r="A48" s="1696"/>
      <c r="B48" s="1350">
        <f t="shared" si="4"/>
        <v>13</v>
      </c>
      <c r="C48" s="3796" t="s">
        <v>4834</v>
      </c>
      <c r="D48" s="3797"/>
      <c r="E48" s="3797"/>
      <c r="F48" s="3797"/>
      <c r="G48" s="3797"/>
      <c r="H48" s="3797"/>
      <c r="I48" s="3798"/>
    </row>
    <row r="49" spans="1:9" hidden="1">
      <c r="A49" s="1696"/>
      <c r="B49" s="1350">
        <f t="shared" si="4"/>
        <v>14</v>
      </c>
      <c r="C49" s="3796" t="s">
        <v>4835</v>
      </c>
      <c r="D49" s="3797"/>
      <c r="E49" s="3797"/>
      <c r="F49" s="3797"/>
      <c r="G49" s="3797"/>
      <c r="H49" s="3797"/>
      <c r="I49" s="3798"/>
    </row>
    <row r="50" spans="1:9" ht="15" hidden="1" thickBot="1">
      <c r="A50" s="1696"/>
      <c r="B50" s="1351">
        <f t="shared" si="4"/>
        <v>15</v>
      </c>
      <c r="C50" s="3796" t="s">
        <v>4836</v>
      </c>
      <c r="D50" s="3797"/>
      <c r="E50" s="3797"/>
      <c r="F50" s="3797"/>
      <c r="G50" s="3797"/>
      <c r="H50" s="3797"/>
      <c r="I50" s="3798"/>
    </row>
    <row r="51" spans="1:9" ht="15" hidden="1" thickBot="1">
      <c r="A51" s="1696"/>
      <c r="B51" s="1278"/>
      <c r="C51" s="1278"/>
      <c r="D51" s="1278"/>
      <c r="E51" s="1278"/>
      <c r="F51" s="1278"/>
      <c r="G51" s="1278"/>
      <c r="H51" s="1278"/>
      <c r="I51" s="1278"/>
    </row>
    <row r="52" spans="1:9" ht="15" thickBot="1">
      <c r="B52" s="2018" t="s">
        <v>4089</v>
      </c>
      <c r="C52" s="2019"/>
      <c r="D52" s="2019"/>
      <c r="E52" s="2019"/>
      <c r="F52" s="2019"/>
      <c r="G52" s="2020"/>
      <c r="H52" s="2020"/>
      <c r="I52" s="2021"/>
    </row>
    <row r="53" spans="1:9" ht="15" thickBot="1">
      <c r="B53" s="3799" t="s">
        <v>12875</v>
      </c>
      <c r="C53" s="3800"/>
      <c r="D53" s="3800"/>
      <c r="E53" s="3800"/>
      <c r="F53" s="3800"/>
      <c r="G53" s="3800"/>
      <c r="H53" s="3800"/>
      <c r="I53" s="3801"/>
    </row>
    <row r="54" spans="1:9"/>
  </sheetData>
  <mergeCells count="18">
    <mergeCell ref="C40:I40"/>
    <mergeCell ref="C41:I41"/>
    <mergeCell ref="C38:I38"/>
    <mergeCell ref="B24:C24"/>
    <mergeCell ref="C35:I35"/>
    <mergeCell ref="C36:I36"/>
    <mergeCell ref="C37:I37"/>
    <mergeCell ref="C39:I39"/>
    <mergeCell ref="C42:I42"/>
    <mergeCell ref="C43:I43"/>
    <mergeCell ref="B53:I53"/>
    <mergeCell ref="C45:I45"/>
    <mergeCell ref="C46:I46"/>
    <mergeCell ref="C47:I47"/>
    <mergeCell ref="C48:I48"/>
    <mergeCell ref="C49:I49"/>
    <mergeCell ref="C50:I50"/>
    <mergeCell ref="C44:I44"/>
  </mergeCells>
  <conditionalFormatting sqref="K17:K21">
    <cfRule type="cellIs" dxfId="78" priority="5" operator="equal">
      <formula>0</formula>
    </cfRule>
  </conditionalFormatting>
  <conditionalFormatting sqref="K6:K13">
    <cfRule type="cellIs" dxfId="77" priority="6" operator="equal">
      <formula>0</formula>
    </cfRule>
  </conditionalFormatting>
  <conditionalFormatting sqref="K14">
    <cfRule type="cellIs" dxfId="76" priority="3" operator="equal">
      <formula>0</formula>
    </cfRule>
  </conditionalFormatting>
  <conditionalFormatting sqref="K22">
    <cfRule type="cellIs" dxfId="75"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51.xml><?xml version="1.0" encoding="utf-8"?>
<worksheet xmlns="http://schemas.openxmlformats.org/spreadsheetml/2006/main" xmlns:r="http://schemas.openxmlformats.org/officeDocument/2006/relationships">
  <sheetPr codeName="Sheet48">
    <pageSetUpPr fitToPage="1"/>
  </sheetPr>
  <dimension ref="A1:N81"/>
  <sheetViews>
    <sheetView workbookViewId="0"/>
  </sheetViews>
  <sheetFormatPr defaultColWidth="0" defaultRowHeight="14.25" zeroHeight="1"/>
  <cols>
    <col min="1" max="1" width="0.625" customWidth="1"/>
    <col min="2" max="2" width="8.625" customWidth="1"/>
    <col min="3" max="3" width="93.125" customWidth="1"/>
    <col min="4" max="4" width="13.75" customWidth="1"/>
    <col min="5" max="6" width="8.625" customWidth="1"/>
    <col min="7" max="7" width="12.625" customWidth="1"/>
    <col min="8" max="8" width="26.125" bestFit="1" customWidth="1"/>
    <col min="9" max="9" width="1.625" customWidth="1"/>
    <col min="10" max="10" width="21.625" customWidth="1"/>
    <col min="11" max="11" width="2.125" customWidth="1"/>
    <col min="12" max="12" width="1.125" style="1764" hidden="1" customWidth="1"/>
    <col min="13" max="13" width="19.125" hidden="1" customWidth="1"/>
    <col min="14" max="14" width="1.125" style="1764" hidden="1" customWidth="1"/>
    <col min="15" max="16384" width="8.625" hidden="1"/>
  </cols>
  <sheetData>
    <row r="1" spans="1:14" ht="18.75">
      <c r="A1" s="928"/>
      <c r="B1" s="67" t="s">
        <v>12686</v>
      </c>
      <c r="C1" s="67"/>
      <c r="D1" s="67"/>
      <c r="E1" s="67"/>
      <c r="F1" s="67"/>
      <c r="G1" s="67"/>
      <c r="H1" s="69" t="str">
        <f>Validation!B3</f>
        <v>South West Water – South West area</v>
      </c>
      <c r="I1" s="67"/>
      <c r="J1" s="70" t="s">
        <v>2394</v>
      </c>
      <c r="K1" s="71"/>
      <c r="L1" s="72"/>
      <c r="M1" s="928"/>
      <c r="N1" s="72"/>
    </row>
    <row r="2" spans="1:14" ht="15" thickBot="1">
      <c r="A2" s="1250"/>
      <c r="B2" s="74" t="s">
        <v>12524</v>
      </c>
      <c r="C2" s="1250"/>
      <c r="D2" s="1250"/>
      <c r="E2" s="1250"/>
      <c r="F2" s="1250"/>
      <c r="G2" s="1250"/>
      <c r="H2" s="928"/>
      <c r="I2" s="71"/>
      <c r="J2" s="71"/>
      <c r="K2" s="71"/>
      <c r="L2" s="72"/>
      <c r="M2" s="928"/>
      <c r="N2" s="72"/>
    </row>
    <row r="3" spans="1:14" ht="15" thickBot="1">
      <c r="A3" s="1130"/>
      <c r="B3" s="1048" t="s">
        <v>2423</v>
      </c>
      <c r="C3" s="1049" t="s">
        <v>4077</v>
      </c>
      <c r="D3" s="1050" t="s">
        <v>6495</v>
      </c>
      <c r="E3" s="1050" t="s">
        <v>3346</v>
      </c>
      <c r="F3" s="1050" t="s">
        <v>2397</v>
      </c>
      <c r="G3" s="1190" t="s">
        <v>2642</v>
      </c>
      <c r="H3" s="1352" t="s">
        <v>4047</v>
      </c>
      <c r="I3" s="71"/>
      <c r="J3" s="195" t="s">
        <v>1361</v>
      </c>
      <c r="K3" s="71"/>
      <c r="L3" s="72"/>
      <c r="M3" s="77" t="s">
        <v>2404</v>
      </c>
      <c r="N3" s="72"/>
    </row>
    <row r="4" spans="1:14" ht="15.75" thickBot="1">
      <c r="A4" s="1255"/>
      <c r="B4" s="1256"/>
      <c r="C4" s="1256"/>
      <c r="D4" s="585"/>
      <c r="E4" s="1255"/>
      <c r="F4" s="1255"/>
      <c r="G4" s="1255"/>
      <c r="H4" s="928"/>
      <c r="I4" s="71"/>
      <c r="J4" s="1146"/>
      <c r="K4" s="71"/>
      <c r="L4" s="72"/>
      <c r="M4" s="90" t="s">
        <v>2405</v>
      </c>
      <c r="N4" s="72"/>
    </row>
    <row r="5" spans="1:14" ht="15.75" thickBot="1">
      <c r="A5" s="1255"/>
      <c r="B5" s="1051" t="s">
        <v>2449</v>
      </c>
      <c r="C5" s="1114" t="s">
        <v>4583</v>
      </c>
      <c r="D5" s="585"/>
      <c r="E5" s="1255"/>
      <c r="F5" s="1255"/>
      <c r="G5" s="1255"/>
      <c r="H5" s="928"/>
      <c r="I5" s="71"/>
      <c r="J5" s="1146"/>
      <c r="K5" s="71"/>
      <c r="L5" s="72"/>
      <c r="M5" s="90"/>
      <c r="N5" s="72"/>
    </row>
    <row r="6" spans="1:14" ht="18" customHeight="1">
      <c r="A6" s="1252"/>
      <c r="B6" s="1353" t="s">
        <v>6258</v>
      </c>
      <c r="C6" s="1354" t="s">
        <v>4837</v>
      </c>
      <c r="D6" s="1706" t="s">
        <v>4838</v>
      </c>
      <c r="E6" s="1355" t="s">
        <v>4312</v>
      </c>
      <c r="F6" s="1356">
        <v>3</v>
      </c>
      <c r="G6" s="1357"/>
      <c r="H6" s="1888"/>
      <c r="I6" s="71"/>
      <c r="J6" s="24" t="str">
        <f xml:space="preserve"> IF( SUM( L6:N6 ) = 0, 0, $M$4 )</f>
        <v>Please complete all cells in row</v>
      </c>
      <c r="K6" s="71"/>
      <c r="L6" s="72"/>
      <c r="M6" s="98">
        <f>IF(Validation!$H$3=1,0,IF(ISNUMBER(G6),0,1))</f>
        <v>1</v>
      </c>
      <c r="N6" s="72"/>
    </row>
    <row r="7" spans="1:14" ht="18" customHeight="1">
      <c r="A7" s="1252"/>
      <c r="B7" s="1140" t="s">
        <v>6259</v>
      </c>
      <c r="C7" s="1358" t="s">
        <v>4839</v>
      </c>
      <c r="D7" s="1707" t="s">
        <v>4840</v>
      </c>
      <c r="E7" s="1359" t="s">
        <v>4312</v>
      </c>
      <c r="F7" s="1143">
        <v>3</v>
      </c>
      <c r="G7" s="1360"/>
      <c r="H7" s="1870"/>
      <c r="I7" s="71"/>
      <c r="J7" s="24" t="str">
        <f t="shared" ref="J7:J14" si="0" xml:space="preserve"> IF( SUM( L7:N7 ) = 0, 0, $M$4 )</f>
        <v>Please complete all cells in row</v>
      </c>
      <c r="K7" s="71"/>
      <c r="L7" s="72"/>
      <c r="M7" s="98">
        <f>IF(Validation!$H$3=1,0,IF(ISNUMBER(G7),0,1))</f>
        <v>1</v>
      </c>
      <c r="N7" s="72"/>
    </row>
    <row r="8" spans="1:14" ht="18" customHeight="1">
      <c r="A8" s="1252"/>
      <c r="B8" s="1140" t="s">
        <v>6260</v>
      </c>
      <c r="C8" s="1358" t="s">
        <v>4841</v>
      </c>
      <c r="D8" s="1707" t="s">
        <v>9424</v>
      </c>
      <c r="E8" s="1359" t="s">
        <v>4312</v>
      </c>
      <c r="F8" s="1143">
        <v>3</v>
      </c>
      <c r="G8" s="1360"/>
      <c r="H8" s="1870"/>
      <c r="I8" s="71"/>
      <c r="J8" s="24" t="str">
        <f t="shared" si="0"/>
        <v>Please complete all cells in row</v>
      </c>
      <c r="K8" s="71"/>
      <c r="L8" s="72"/>
      <c r="M8" s="98">
        <f>IF(Validation!$H$3=1,0,IF(ISNUMBER(G8),0,1))</f>
        <v>1</v>
      </c>
      <c r="N8" s="72"/>
    </row>
    <row r="9" spans="1:14" ht="18" customHeight="1">
      <c r="A9" s="1252"/>
      <c r="B9" s="1140" t="s">
        <v>6261</v>
      </c>
      <c r="C9" s="1358" t="s">
        <v>4842</v>
      </c>
      <c r="D9" s="1707" t="s">
        <v>4843</v>
      </c>
      <c r="E9" s="1359" t="s">
        <v>4312</v>
      </c>
      <c r="F9" s="1143">
        <v>3</v>
      </c>
      <c r="G9" s="1360"/>
      <c r="H9" s="1870"/>
      <c r="I9" s="71"/>
      <c r="J9" s="24" t="str">
        <f t="shared" si="0"/>
        <v>Please complete all cells in row</v>
      </c>
      <c r="K9" s="71"/>
      <c r="L9" s="72"/>
      <c r="M9" s="98">
        <f>IF(Validation!$H$3=1,0,IF(ISNUMBER(G9),0,1))</f>
        <v>1</v>
      </c>
      <c r="N9" s="72"/>
    </row>
    <row r="10" spans="1:14" ht="18" customHeight="1">
      <c r="A10" s="1252"/>
      <c r="B10" s="1140" t="s">
        <v>6262</v>
      </c>
      <c r="C10" s="1358" t="s">
        <v>4844</v>
      </c>
      <c r="D10" s="1707" t="s">
        <v>4845</v>
      </c>
      <c r="E10" s="1359" t="s">
        <v>4312</v>
      </c>
      <c r="F10" s="1143">
        <v>3</v>
      </c>
      <c r="G10" s="2714">
        <f>+G8+G9</f>
        <v>0</v>
      </c>
      <c r="H10" s="1870"/>
      <c r="I10" s="71"/>
      <c r="J10" s="1276"/>
    </row>
    <row r="11" spans="1:14" ht="18" customHeight="1">
      <c r="A11" s="1252"/>
      <c r="B11" s="1140" t="s">
        <v>6263</v>
      </c>
      <c r="C11" s="1358" t="s">
        <v>4846</v>
      </c>
      <c r="D11" s="1707" t="s">
        <v>9425</v>
      </c>
      <c r="E11" s="1359" t="s">
        <v>4312</v>
      </c>
      <c r="F11" s="1143">
        <v>3</v>
      </c>
      <c r="G11" s="1360"/>
      <c r="H11" s="1870"/>
      <c r="I11" s="71"/>
      <c r="J11" s="24" t="str">
        <f t="shared" si="0"/>
        <v>Please complete all cells in row</v>
      </c>
      <c r="K11" s="71"/>
      <c r="L11" s="72"/>
      <c r="M11" s="98">
        <f>IF(Validation!$H$3=1,0,IF(ISNUMBER(G11),0,1))</f>
        <v>1</v>
      </c>
      <c r="N11" s="72"/>
    </row>
    <row r="12" spans="1:14" ht="18" customHeight="1">
      <c r="A12" s="1252"/>
      <c r="B12" s="1140" t="s">
        <v>6264</v>
      </c>
      <c r="C12" s="1358" t="s">
        <v>4847</v>
      </c>
      <c r="D12" s="1707" t="s">
        <v>4848</v>
      </c>
      <c r="E12" s="1359" t="s">
        <v>4312</v>
      </c>
      <c r="F12" s="1143">
        <v>3</v>
      </c>
      <c r="G12" s="1360"/>
      <c r="H12" s="1870"/>
      <c r="I12" s="71"/>
      <c r="J12" s="24" t="str">
        <f t="shared" si="0"/>
        <v>Please complete all cells in row</v>
      </c>
      <c r="K12" s="71"/>
      <c r="L12" s="72"/>
      <c r="M12" s="98">
        <f>IF(Validation!$H$3=1,0,IF(ISNUMBER(G12),0,1))</f>
        <v>1</v>
      </c>
      <c r="N12" s="72"/>
    </row>
    <row r="13" spans="1:14" ht="18" customHeight="1">
      <c r="A13" s="1252"/>
      <c r="B13" s="1140" t="s">
        <v>6265</v>
      </c>
      <c r="C13" s="1358" t="s">
        <v>4849</v>
      </c>
      <c r="D13" s="1707" t="s">
        <v>9426</v>
      </c>
      <c r="E13" s="1359" t="s">
        <v>4312</v>
      </c>
      <c r="F13" s="1143">
        <v>3</v>
      </c>
      <c r="G13" s="2714">
        <f>+G11+G12</f>
        <v>0</v>
      </c>
      <c r="H13" s="1870"/>
      <c r="I13" s="71"/>
      <c r="J13" s="1276"/>
    </row>
    <row r="14" spans="1:14" ht="18" customHeight="1">
      <c r="A14" s="1252"/>
      <c r="B14" s="1140" t="s">
        <v>6266</v>
      </c>
      <c r="C14" s="1358" t="s">
        <v>4850</v>
      </c>
      <c r="D14" s="1707" t="s">
        <v>4851</v>
      </c>
      <c r="E14" s="1359" t="s">
        <v>4312</v>
      </c>
      <c r="F14" s="1143">
        <v>3</v>
      </c>
      <c r="G14" s="1360"/>
      <c r="H14" s="1870"/>
      <c r="I14" s="71"/>
      <c r="J14" s="24" t="str">
        <f t="shared" si="0"/>
        <v>Please complete all cells in row</v>
      </c>
      <c r="K14" s="71"/>
      <c r="L14" s="72"/>
      <c r="M14" s="98">
        <f>IF(Validation!$H$3=1,0,IF(ISNUMBER(G14),0,1))</f>
        <v>1</v>
      </c>
      <c r="N14" s="72"/>
    </row>
    <row r="15" spans="1:14" ht="17.25" customHeight="1" thickBot="1">
      <c r="A15" s="1252"/>
      <c r="B15" s="1361" t="s">
        <v>6267</v>
      </c>
      <c r="C15" s="1362" t="s">
        <v>4852</v>
      </c>
      <c r="D15" s="1708" t="s">
        <v>9427</v>
      </c>
      <c r="E15" s="1363" t="s">
        <v>3624</v>
      </c>
      <c r="F15" s="1364">
        <v>3</v>
      </c>
      <c r="G15" s="2715">
        <f>+G10+G13+G14</f>
        <v>0</v>
      </c>
      <c r="H15" s="1871"/>
      <c r="I15" s="71"/>
      <c r="J15" s="1276"/>
    </row>
    <row r="16" spans="1:14" ht="15" thickBot="1">
      <c r="A16" s="1252"/>
      <c r="B16" s="1365"/>
      <c r="C16" s="1252"/>
      <c r="D16" s="1365"/>
      <c r="E16" s="1365"/>
      <c r="F16" s="1365"/>
      <c r="G16" s="1810"/>
      <c r="H16" s="26"/>
      <c r="J16" s="1276"/>
    </row>
    <row r="17" spans="1:14" ht="19.5" customHeight="1">
      <c r="A17" s="1252"/>
      <c r="B17" s="1353" t="s">
        <v>6268</v>
      </c>
      <c r="C17" s="1354" t="s">
        <v>4853</v>
      </c>
      <c r="D17" s="1706" t="s">
        <v>4854</v>
      </c>
      <c r="E17" s="1355" t="s">
        <v>4312</v>
      </c>
      <c r="F17" s="1356">
        <v>3</v>
      </c>
      <c r="G17" s="1357"/>
      <c r="H17" s="1888"/>
      <c r="I17" s="71"/>
      <c r="J17" s="24" t="str">
        <f xml:space="preserve"> IF( SUM( L17:N17 ) = 0, 0, $M$4 )</f>
        <v>Please complete all cells in row</v>
      </c>
      <c r="K17" s="71"/>
      <c r="L17" s="72"/>
      <c r="M17" s="98">
        <f>IF(Validation!$H$3=1,0,IF(ISNUMBER(G17),0,1))</f>
        <v>1</v>
      </c>
      <c r="N17" s="72"/>
    </row>
    <row r="18" spans="1:14" ht="19.5" customHeight="1" thickBot="1">
      <c r="A18" s="1252"/>
      <c r="B18" s="1361" t="s">
        <v>6269</v>
      </c>
      <c r="C18" s="1362" t="s">
        <v>4855</v>
      </c>
      <c r="D18" s="1708" t="s">
        <v>9428</v>
      </c>
      <c r="E18" s="1363" t="s">
        <v>4312</v>
      </c>
      <c r="F18" s="1364">
        <v>3</v>
      </c>
      <c r="G18" s="1366"/>
      <c r="H18" s="1871"/>
      <c r="I18" s="71"/>
      <c r="J18" s="24" t="str">
        <f t="shared" ref="J18" si="1" xml:space="preserve"> IF( SUM( L18:N18 ) = 0, 0, $M$4 )</f>
        <v>Please complete all cells in row</v>
      </c>
      <c r="K18" s="71"/>
      <c r="L18" s="72"/>
      <c r="M18" s="98">
        <f>IF(Validation!$H$3=1,0,IF(ISNUMBER(G18),0,1))</f>
        <v>1</v>
      </c>
      <c r="N18" s="72"/>
    </row>
    <row r="19" spans="1:14" ht="15" thickBot="1">
      <c r="D19" s="585"/>
      <c r="G19" s="26"/>
      <c r="H19" s="26"/>
    </row>
    <row r="20" spans="1:14" ht="15" thickBot="1">
      <c r="B20" s="1051" t="s">
        <v>2458</v>
      </c>
      <c r="C20" s="1114" t="s">
        <v>2525</v>
      </c>
      <c r="D20" s="585"/>
      <c r="G20" s="26"/>
      <c r="H20" s="26"/>
    </row>
    <row r="21" spans="1:14" ht="20.25" customHeight="1">
      <c r="A21" s="1250"/>
      <c r="B21" s="1053" t="s">
        <v>6270</v>
      </c>
      <c r="C21" s="1199" t="s">
        <v>4622</v>
      </c>
      <c r="D21" s="1206" t="s">
        <v>9429</v>
      </c>
      <c r="E21" s="1206" t="s">
        <v>4623</v>
      </c>
      <c r="F21" s="1056">
        <v>3</v>
      </c>
      <c r="G21" s="1847"/>
      <c r="H21" s="1889"/>
      <c r="I21" s="71"/>
      <c r="J21" s="24" t="str">
        <f xml:space="preserve"> IF( SUM( L21:N21 ) = 0, 0, $M$4 )</f>
        <v>Please complete all cells in row</v>
      </c>
      <c r="K21" s="71"/>
      <c r="L21" s="72"/>
      <c r="M21" s="98">
        <f>IF(Validation!$H$3=1,0,IF(ISNUMBER(G21),0,1))</f>
        <v>1</v>
      </c>
      <c r="N21" s="72"/>
    </row>
    <row r="22" spans="1:14" ht="20.25" customHeight="1">
      <c r="A22" s="1250"/>
      <c r="B22" s="1063" t="s">
        <v>6271</v>
      </c>
      <c r="C22" s="1202" t="s">
        <v>4856</v>
      </c>
      <c r="D22" s="1208" t="s">
        <v>9430</v>
      </c>
      <c r="E22" s="1208" t="s">
        <v>4623</v>
      </c>
      <c r="F22" s="1061">
        <v>3</v>
      </c>
      <c r="G22" s="1848"/>
      <c r="H22" s="1890"/>
      <c r="I22" s="71"/>
      <c r="J22" s="24" t="str">
        <f t="shared" ref="J22:J30" si="2" xml:space="preserve"> IF( SUM( L22:N22 ) = 0, 0, $M$4 )</f>
        <v>Please complete all cells in row</v>
      </c>
      <c r="K22" s="71"/>
      <c r="L22" s="72"/>
      <c r="M22" s="98">
        <f>IF(Validation!$H$3=1,0,IF(ISNUMBER(G22),0,1))</f>
        <v>1</v>
      </c>
      <c r="N22" s="72"/>
    </row>
    <row r="23" spans="1:14" ht="20.25" customHeight="1">
      <c r="A23" s="1250"/>
      <c r="B23" s="1063" t="s">
        <v>6272</v>
      </c>
      <c r="C23" s="1202" t="s">
        <v>4625</v>
      </c>
      <c r="D23" s="1208" t="s">
        <v>9431</v>
      </c>
      <c r="E23" s="1208" t="s">
        <v>4623</v>
      </c>
      <c r="F23" s="1061">
        <v>3</v>
      </c>
      <c r="G23" s="2716">
        <f>+G21+G22</f>
        <v>0</v>
      </c>
      <c r="H23" s="1890"/>
      <c r="I23" s="71"/>
      <c r="J23" s="1276"/>
    </row>
    <row r="24" spans="1:14" ht="20.25" customHeight="1">
      <c r="A24" s="1250"/>
      <c r="B24" s="1063" t="s">
        <v>6273</v>
      </c>
      <c r="C24" s="1202" t="s">
        <v>4857</v>
      </c>
      <c r="D24" s="1208" t="s">
        <v>9432</v>
      </c>
      <c r="E24" s="1208" t="s">
        <v>3624</v>
      </c>
      <c r="F24" s="1061">
        <v>3</v>
      </c>
      <c r="G24" s="1669"/>
      <c r="H24" s="1890"/>
      <c r="I24" s="71"/>
      <c r="J24" s="24" t="str">
        <f t="shared" si="2"/>
        <v>Please complete all cells in row</v>
      </c>
      <c r="K24" s="71"/>
      <c r="L24" s="72"/>
      <c r="M24" s="98">
        <f>IF(Validation!$H$3=1,0,IF(ISNUMBER(G24),0,1))</f>
        <v>1</v>
      </c>
      <c r="N24" s="72"/>
    </row>
    <row r="25" spans="1:14" ht="20.25" customHeight="1">
      <c r="A25" s="1250"/>
      <c r="B25" s="1063" t="s">
        <v>6274</v>
      </c>
      <c r="C25" s="1202" t="s">
        <v>4858</v>
      </c>
      <c r="D25" s="1208" t="s">
        <v>9433</v>
      </c>
      <c r="E25" s="1208" t="s">
        <v>4615</v>
      </c>
      <c r="F25" s="1061">
        <v>0</v>
      </c>
      <c r="G25" s="1145"/>
      <c r="H25" s="1890"/>
      <c r="I25" s="71"/>
      <c r="J25" s="24" t="str">
        <f t="shared" si="2"/>
        <v>Please complete all cells in row</v>
      </c>
      <c r="K25" s="71"/>
      <c r="L25" s="72"/>
      <c r="M25" s="98">
        <f>IF(Validation!$H$3=1,0,IF(ISNUMBER(G25),0,1))</f>
        <v>1</v>
      </c>
      <c r="N25" s="72"/>
    </row>
    <row r="26" spans="1:14" ht="20.25" customHeight="1">
      <c r="A26" s="1250"/>
      <c r="B26" s="1063" t="s">
        <v>6275</v>
      </c>
      <c r="C26" s="1202" t="s">
        <v>4859</v>
      </c>
      <c r="D26" s="1208" t="s">
        <v>9434</v>
      </c>
      <c r="E26" s="1208" t="s">
        <v>48</v>
      </c>
      <c r="F26" s="1061">
        <v>0</v>
      </c>
      <c r="G26" s="1849"/>
      <c r="H26" s="1890"/>
      <c r="I26" s="71"/>
      <c r="J26" s="24" t="str">
        <f t="shared" si="2"/>
        <v>Please complete all cells in row</v>
      </c>
      <c r="K26" s="71"/>
      <c r="L26" s="72"/>
      <c r="M26" s="98">
        <f>IF(Validation!$H$3=1,0,IF(ISNUMBER(G26),0,1))</f>
        <v>1</v>
      </c>
      <c r="N26" s="72"/>
    </row>
    <row r="27" spans="1:14" ht="20.25" customHeight="1">
      <c r="A27" s="1250"/>
      <c r="B27" s="1063" t="s">
        <v>6276</v>
      </c>
      <c r="C27" s="1202" t="s">
        <v>4860</v>
      </c>
      <c r="D27" s="1208" t="s">
        <v>4861</v>
      </c>
      <c r="E27" s="1208" t="s">
        <v>48</v>
      </c>
      <c r="F27" s="1061">
        <v>0</v>
      </c>
      <c r="G27" s="1849"/>
      <c r="H27" s="1890"/>
      <c r="I27" s="71"/>
      <c r="J27" s="24" t="str">
        <f t="shared" si="2"/>
        <v>Please complete all cells in row</v>
      </c>
      <c r="K27" s="71"/>
      <c r="L27" s="72"/>
      <c r="M27" s="98">
        <f>IF(Validation!$H$3=1,0,IF(ISNUMBER(G27),0,1))</f>
        <v>1</v>
      </c>
      <c r="N27" s="72"/>
    </row>
    <row r="28" spans="1:14" ht="20.25" customHeight="1">
      <c r="A28" s="1250"/>
      <c r="B28" s="1063" t="s">
        <v>6277</v>
      </c>
      <c r="C28" s="1202" t="s">
        <v>4862</v>
      </c>
      <c r="D28" s="1208" t="s">
        <v>9435</v>
      </c>
      <c r="E28" s="1208" t="s">
        <v>12209</v>
      </c>
      <c r="F28" s="1061">
        <v>0</v>
      </c>
      <c r="G28" s="1145"/>
      <c r="H28" s="1890"/>
      <c r="I28" s="71"/>
      <c r="J28" s="24" t="str">
        <f t="shared" si="2"/>
        <v>Please complete all cells in row</v>
      </c>
      <c r="K28" s="71"/>
      <c r="L28" s="72"/>
      <c r="M28" s="98">
        <f>IF(Validation!$H$3=1,0,IF(ISNUMBER(G28),0,1))</f>
        <v>1</v>
      </c>
      <c r="N28" s="72"/>
    </row>
    <row r="29" spans="1:14" ht="20.25" customHeight="1">
      <c r="A29" s="1250"/>
      <c r="B29" s="1063" t="s">
        <v>6278</v>
      </c>
      <c r="C29" s="1202" t="s">
        <v>4863</v>
      </c>
      <c r="D29" s="1208" t="s">
        <v>9436</v>
      </c>
      <c r="E29" s="1208" t="s">
        <v>48</v>
      </c>
      <c r="F29" s="1061">
        <v>0</v>
      </c>
      <c r="G29" s="1145"/>
      <c r="H29" s="1890"/>
      <c r="I29" s="71"/>
      <c r="J29" s="24" t="str">
        <f t="shared" si="2"/>
        <v>Please complete all cells in row</v>
      </c>
      <c r="K29" s="71"/>
      <c r="L29" s="72"/>
      <c r="M29" s="98">
        <f>IF(Validation!$H$3=1,0,IF(ISNUMBER(G29),0,1))</f>
        <v>1</v>
      </c>
      <c r="N29" s="72"/>
    </row>
    <row r="30" spans="1:14" ht="20.25" customHeight="1">
      <c r="A30" s="1250"/>
      <c r="B30" s="1063" t="s">
        <v>6279</v>
      </c>
      <c r="C30" s="1202" t="s">
        <v>4864</v>
      </c>
      <c r="D30" s="1208" t="s">
        <v>4866</v>
      </c>
      <c r="E30" s="1208" t="s">
        <v>2757</v>
      </c>
      <c r="F30" s="1061">
        <v>0</v>
      </c>
      <c r="G30" s="1849"/>
      <c r="H30" s="1890"/>
      <c r="I30" s="71"/>
      <c r="J30" s="24" t="str">
        <f t="shared" si="2"/>
        <v>Please complete all cells in row</v>
      </c>
      <c r="K30" s="71"/>
      <c r="L30" s="72"/>
      <c r="M30" s="98">
        <f>IF(Validation!$H$3=1,0,IF(ISNUMBER(G30),0,1))</f>
        <v>1</v>
      </c>
      <c r="N30" s="72"/>
    </row>
    <row r="31" spans="1:14" ht="20.25" customHeight="1" thickBot="1">
      <c r="A31" s="1250"/>
      <c r="B31" s="1068" t="s">
        <v>6280</v>
      </c>
      <c r="C31" s="1204" t="s">
        <v>4865</v>
      </c>
      <c r="D31" s="1212" t="s">
        <v>9437</v>
      </c>
      <c r="E31" s="1212" t="s">
        <v>2757</v>
      </c>
      <c r="F31" s="1071">
        <v>0</v>
      </c>
      <c r="G31" s="1850"/>
      <c r="H31" s="1891"/>
      <c r="I31" s="71"/>
      <c r="J31" s="24" t="str">
        <f t="shared" ref="J31" si="3" xml:space="preserve"> IF( SUM( L31:N31 ) = 0, 0, $M$4 )</f>
        <v>Please complete all cells in row</v>
      </c>
      <c r="K31" s="71"/>
      <c r="L31" s="72"/>
      <c r="M31" s="98">
        <f>IF(Validation!$H$3=1,0,IF(ISNUMBER(G31),0,1))</f>
        <v>1</v>
      </c>
      <c r="N31" s="72"/>
    </row>
    <row r="32" spans="1:14"/>
    <row r="33" spans="1:14">
      <c r="B33" s="1367" t="s">
        <v>2420</v>
      </c>
    </row>
    <row r="34" spans="1:14">
      <c r="B34" s="1078"/>
      <c r="C34" s="1085"/>
    </row>
    <row r="35" spans="1:14">
      <c r="B35" s="1307"/>
      <c r="C35" s="1181" t="s">
        <v>2421</v>
      </c>
    </row>
    <row r="36" spans="1:14">
      <c r="B36" s="1006"/>
      <c r="C36" s="1007"/>
      <c r="D36" s="1009"/>
      <c r="E36" s="1276"/>
      <c r="F36" s="1276"/>
      <c r="G36" s="1276"/>
      <c r="H36" s="1276"/>
      <c r="I36" s="1276"/>
      <c r="J36" s="1276"/>
      <c r="K36" s="1276"/>
      <c r="L36" s="1771"/>
      <c r="M36" s="1276"/>
      <c r="N36" s="1771"/>
    </row>
    <row r="37" spans="1:14">
      <c r="B37" s="1010"/>
      <c r="C37" s="1181" t="s">
        <v>4082</v>
      </c>
      <c r="D37" s="1009"/>
      <c r="E37" s="1276"/>
      <c r="F37" s="1276"/>
      <c r="G37" s="1276"/>
      <c r="H37" s="1276"/>
      <c r="I37" s="1276"/>
      <c r="J37" s="1276"/>
      <c r="K37" s="1276"/>
      <c r="L37" s="1771"/>
      <c r="M37" s="1276"/>
      <c r="N37" s="1771"/>
    </row>
    <row r="38" spans="1:14">
      <c r="B38" s="1250"/>
      <c r="C38" s="1250"/>
      <c r="D38" s="1009"/>
      <c r="E38" s="1276"/>
      <c r="F38" s="1276"/>
      <c r="G38" s="1276"/>
      <c r="H38" s="1276"/>
      <c r="I38" s="1276"/>
      <c r="J38" s="1276"/>
      <c r="K38" s="1276"/>
      <c r="L38" s="1771"/>
      <c r="M38" s="1276"/>
      <c r="N38" s="1771"/>
    </row>
    <row r="39" spans="1:14" ht="15" thickBot="1">
      <c r="B39" s="1250"/>
      <c r="C39" s="1250"/>
      <c r="D39" s="1009"/>
      <c r="E39" s="1276"/>
      <c r="F39" s="1276"/>
      <c r="G39" s="1276"/>
      <c r="H39" s="1276"/>
      <c r="I39" s="1276"/>
      <c r="J39" s="1276"/>
      <c r="K39" s="1276"/>
      <c r="L39" s="1771"/>
      <c r="M39" s="1276"/>
      <c r="N39" s="1771"/>
    </row>
    <row r="40" spans="1:14" ht="19.5" thickBot="1">
      <c r="B40" s="1433" t="s">
        <v>12572</v>
      </c>
      <c r="C40" s="152"/>
      <c r="D40" s="153"/>
      <c r="E40" s="153"/>
      <c r="F40" s="153"/>
      <c r="G40" s="153"/>
      <c r="H40" s="153"/>
      <c r="I40" s="159"/>
      <c r="J40" s="1276"/>
      <c r="K40" s="1276"/>
      <c r="L40" s="1771"/>
      <c r="M40" s="1276"/>
      <c r="N40" s="1771"/>
    </row>
    <row r="41" spans="1:14" ht="15" thickBot="1">
      <c r="B41" s="1250"/>
      <c r="C41" s="1250"/>
      <c r="D41" s="1009"/>
      <c r="E41" s="1276"/>
      <c r="F41" s="1276"/>
      <c r="G41" s="1276"/>
      <c r="H41" s="1276"/>
      <c r="I41" s="1276"/>
      <c r="J41" s="1276"/>
      <c r="K41" s="1276"/>
      <c r="L41" s="1771"/>
      <c r="M41" s="1276"/>
      <c r="N41" s="1771"/>
    </row>
    <row r="42" spans="1:14" ht="15" hidden="1" thickBot="1">
      <c r="A42" s="1696"/>
      <c r="B42" s="2210" t="str">
        <f ca="1" xml:space="preserve"> RIGHT(CELL("filename", $A$1), LEN(CELL("filename", $A$1)) - SEARCH("]", CELL("filename", $A$1)))&amp;" - Line definitions"</f>
        <v>4U - Line definitions</v>
      </c>
      <c r="C42" s="2229"/>
      <c r="D42" s="1009"/>
      <c r="E42" s="1276"/>
      <c r="F42" s="1276"/>
      <c r="G42" s="1276"/>
      <c r="H42" s="1276"/>
      <c r="I42" s="1276"/>
      <c r="J42" s="1276"/>
      <c r="K42" s="1276"/>
      <c r="L42" s="1771"/>
      <c r="M42" s="1276"/>
      <c r="N42" s="1771"/>
    </row>
    <row r="43" spans="1:14" ht="15" hidden="1" thickBot="1">
      <c r="A43" s="1696"/>
      <c r="B43" s="1250"/>
      <c r="C43" s="1250"/>
      <c r="D43" s="1009"/>
      <c r="E43" s="1276"/>
      <c r="F43" s="1276"/>
      <c r="G43" s="1276"/>
      <c r="H43" s="1276"/>
      <c r="I43" s="1276"/>
      <c r="J43" s="1276"/>
      <c r="K43" s="1276"/>
      <c r="L43" s="1771"/>
      <c r="M43" s="1276"/>
      <c r="N43" s="1771"/>
    </row>
    <row r="44" spans="1:14" ht="15" hidden="1" thickBot="1">
      <c r="A44" s="1696"/>
      <c r="B44" s="1369" t="s">
        <v>2423</v>
      </c>
      <c r="C44" s="1370" t="s">
        <v>4179</v>
      </c>
      <c r="D44" s="1009"/>
      <c r="E44" s="1276"/>
      <c r="F44" s="1276"/>
      <c r="G44" s="1276"/>
      <c r="H44" s="1276"/>
      <c r="I44" s="1276"/>
      <c r="J44" s="1276"/>
      <c r="K44" s="1276"/>
      <c r="L44" s="1771"/>
      <c r="M44" s="1276"/>
      <c r="N44" s="1771"/>
    </row>
    <row r="45" spans="1:14" hidden="1">
      <c r="A45" s="1696"/>
      <c r="B45" s="1183">
        <v>1</v>
      </c>
      <c r="C45" s="1371" t="s">
        <v>4867</v>
      </c>
      <c r="D45" s="1009"/>
      <c r="E45" s="1276"/>
      <c r="F45" s="1276"/>
      <c r="G45" s="1276"/>
      <c r="H45" s="1276"/>
      <c r="I45" s="1276"/>
      <c r="J45" s="1276"/>
      <c r="K45" s="1276"/>
      <c r="L45" s="1771"/>
      <c r="M45" s="1276"/>
      <c r="N45" s="1771"/>
    </row>
    <row r="46" spans="1:14" ht="14.25" hidden="1" customHeight="1">
      <c r="A46" s="1696"/>
      <c r="B46" s="1310">
        <f>+B45+1</f>
        <v>2</v>
      </c>
      <c r="C46" s="1372" t="s">
        <v>12876</v>
      </c>
      <c r="D46" s="1009"/>
      <c r="E46" s="1276"/>
      <c r="F46" s="1276"/>
      <c r="G46" s="1276"/>
      <c r="H46" s="1276"/>
      <c r="I46" s="1276"/>
      <c r="J46" s="1276"/>
      <c r="K46" s="1276"/>
      <c r="L46" s="1771"/>
      <c r="M46" s="1276"/>
      <c r="N46" s="1771"/>
    </row>
    <row r="47" spans="1:14" hidden="1">
      <c r="A47" s="1696"/>
      <c r="B47" s="1310">
        <f t="shared" ref="B47:B56" si="4">+B46+1</f>
        <v>3</v>
      </c>
      <c r="C47" s="1372" t="s">
        <v>4868</v>
      </c>
      <c r="D47" s="1009"/>
      <c r="E47" s="1276"/>
      <c r="F47" s="1276"/>
      <c r="G47" s="1276"/>
      <c r="H47" s="1276"/>
      <c r="I47" s="1276"/>
      <c r="J47" s="1276"/>
      <c r="K47" s="1276"/>
      <c r="L47" s="1771"/>
      <c r="M47" s="1276"/>
      <c r="N47" s="1771"/>
    </row>
    <row r="48" spans="1:14" ht="25.15" hidden="1" customHeight="1">
      <c r="A48" s="1696"/>
      <c r="B48" s="1310">
        <f t="shared" si="4"/>
        <v>4</v>
      </c>
      <c r="C48" s="1372" t="s">
        <v>4869</v>
      </c>
      <c r="D48" s="1009"/>
      <c r="E48" s="1276"/>
      <c r="F48" s="1276"/>
      <c r="G48" s="1276"/>
      <c r="H48" s="1276"/>
      <c r="I48" s="1276"/>
      <c r="J48" s="1276"/>
      <c r="K48" s="1276"/>
      <c r="L48" s="1771"/>
      <c r="M48" s="1276"/>
      <c r="N48" s="1771"/>
    </row>
    <row r="49" spans="1:14" hidden="1">
      <c r="A49" s="1696"/>
      <c r="B49" s="1310">
        <f t="shared" si="4"/>
        <v>5</v>
      </c>
      <c r="C49" s="1372" t="s">
        <v>12973</v>
      </c>
      <c r="D49" s="1009"/>
      <c r="E49" s="1276"/>
      <c r="F49" s="1276"/>
      <c r="G49" s="1276"/>
      <c r="H49" s="1276"/>
      <c r="I49" s="1276"/>
      <c r="J49" s="1276"/>
      <c r="K49" s="1276"/>
      <c r="L49" s="1771"/>
      <c r="M49" s="1276"/>
      <c r="N49" s="1771"/>
    </row>
    <row r="50" spans="1:14" hidden="1">
      <c r="A50" s="1696"/>
      <c r="B50" s="1310">
        <f t="shared" si="4"/>
        <v>6</v>
      </c>
      <c r="C50" s="1372" t="s">
        <v>4870</v>
      </c>
      <c r="D50" s="1009"/>
      <c r="E50" s="1276"/>
      <c r="F50" s="1276"/>
      <c r="G50" s="1276"/>
      <c r="H50" s="1276"/>
      <c r="I50" s="1276"/>
      <c r="J50" s="1276"/>
      <c r="K50" s="1276"/>
      <c r="L50" s="1771"/>
      <c r="M50" s="1276"/>
      <c r="N50" s="1771"/>
    </row>
    <row r="51" spans="1:14" hidden="1">
      <c r="A51" s="1696"/>
      <c r="B51" s="1310">
        <f t="shared" si="4"/>
        <v>7</v>
      </c>
      <c r="C51" s="1372" t="s">
        <v>4871</v>
      </c>
      <c r="D51" s="1009"/>
      <c r="E51" s="1276"/>
      <c r="F51" s="1276"/>
      <c r="G51" s="1276"/>
      <c r="H51" s="1276"/>
      <c r="I51" s="1276"/>
      <c r="J51" s="1276"/>
      <c r="K51" s="1276"/>
      <c r="L51" s="1771"/>
      <c r="M51" s="1276"/>
      <c r="N51" s="1771"/>
    </row>
    <row r="52" spans="1:14" hidden="1">
      <c r="A52" s="1696"/>
      <c r="B52" s="1310">
        <f t="shared" si="4"/>
        <v>8</v>
      </c>
      <c r="C52" s="1372" t="s">
        <v>12974</v>
      </c>
      <c r="D52" s="1009"/>
      <c r="E52" s="1276"/>
      <c r="F52" s="1276"/>
      <c r="G52" s="1276"/>
      <c r="H52" s="1276"/>
      <c r="I52" s="1276"/>
      <c r="J52" s="1276"/>
      <c r="K52" s="1276"/>
      <c r="L52" s="1771"/>
      <c r="M52" s="1276"/>
      <c r="N52" s="1771"/>
    </row>
    <row r="53" spans="1:14" ht="36" hidden="1" customHeight="1">
      <c r="A53" s="1696"/>
      <c r="B53" s="1310">
        <f t="shared" si="4"/>
        <v>9</v>
      </c>
      <c r="C53" s="1372" t="s">
        <v>4872</v>
      </c>
      <c r="D53" s="1009"/>
      <c r="E53" s="1276"/>
      <c r="F53" s="1276"/>
      <c r="G53" s="1276"/>
      <c r="H53" s="1276"/>
      <c r="I53" s="1276"/>
      <c r="J53" s="1276"/>
      <c r="K53" s="1276"/>
      <c r="L53" s="1771"/>
      <c r="M53" s="1276"/>
      <c r="N53" s="1771"/>
    </row>
    <row r="54" spans="1:14" hidden="1">
      <c r="A54" s="1696"/>
      <c r="B54" s="1310">
        <f t="shared" si="4"/>
        <v>10</v>
      </c>
      <c r="C54" s="1372" t="s">
        <v>12975</v>
      </c>
      <c r="D54" s="1009"/>
      <c r="E54" s="1276"/>
      <c r="F54" s="1276"/>
      <c r="G54" s="1276"/>
      <c r="H54" s="1276"/>
      <c r="I54" s="1276"/>
      <c r="J54" s="1276"/>
      <c r="K54" s="1276"/>
      <c r="L54" s="1771"/>
      <c r="M54" s="1276"/>
      <c r="N54" s="1771"/>
    </row>
    <row r="55" spans="1:14" hidden="1">
      <c r="A55" s="1696"/>
      <c r="B55" s="1310">
        <f t="shared" si="4"/>
        <v>11</v>
      </c>
      <c r="C55" s="1372" t="s">
        <v>4873</v>
      </c>
      <c r="D55" s="1009"/>
      <c r="E55" s="1276"/>
      <c r="F55" s="1276"/>
      <c r="G55" s="1276"/>
      <c r="H55" s="1276"/>
      <c r="I55" s="1276"/>
      <c r="J55" s="1276"/>
      <c r="K55" s="1276"/>
      <c r="L55" s="1771"/>
      <c r="M55" s="1276"/>
      <c r="N55" s="1771"/>
    </row>
    <row r="56" spans="1:14" ht="24.75" hidden="1" thickBot="1">
      <c r="A56" s="1696"/>
      <c r="B56" s="1311">
        <f t="shared" si="4"/>
        <v>12</v>
      </c>
      <c r="C56" s="1373" t="s">
        <v>4874</v>
      </c>
      <c r="D56" s="1009"/>
      <c r="E56" s="1276"/>
      <c r="F56" s="1276"/>
      <c r="G56" s="1276"/>
      <c r="H56" s="1276"/>
      <c r="I56" s="1276"/>
      <c r="J56" s="1276"/>
      <c r="K56" s="1276"/>
      <c r="L56" s="1771"/>
      <c r="M56" s="1276"/>
      <c r="N56" s="1771"/>
    </row>
    <row r="57" spans="1:14" hidden="1">
      <c r="A57" s="1696"/>
      <c r="B57" s="1250"/>
      <c r="C57" s="1250"/>
      <c r="D57" s="1009"/>
      <c r="E57" s="1276"/>
      <c r="F57" s="1276"/>
      <c r="G57" s="1276"/>
      <c r="H57" s="1276"/>
      <c r="I57" s="1276"/>
      <c r="J57" s="1276"/>
      <c r="K57" s="1276"/>
      <c r="L57" s="1771"/>
      <c r="M57" s="1276"/>
      <c r="N57" s="1771"/>
    </row>
    <row r="58" spans="1:14" hidden="1">
      <c r="A58" s="1696"/>
      <c r="B58" s="1148" t="s">
        <v>4089</v>
      </c>
      <c r="C58" s="1265"/>
      <c r="D58" s="1009"/>
      <c r="E58" s="1276"/>
      <c r="F58" s="1276"/>
      <c r="G58" s="1276"/>
      <c r="H58" s="1276"/>
      <c r="I58" s="1276"/>
      <c r="J58" s="1276"/>
      <c r="K58" s="1276"/>
      <c r="L58" s="1771"/>
      <c r="M58" s="1276"/>
      <c r="N58" s="1771"/>
    </row>
    <row r="59" spans="1:14" hidden="1">
      <c r="A59" s="1696"/>
      <c r="B59" s="1250"/>
      <c r="C59" s="1250"/>
      <c r="D59" s="1009"/>
      <c r="E59" s="1276"/>
      <c r="F59" s="1276"/>
      <c r="G59" s="1276"/>
      <c r="H59" s="1276"/>
      <c r="I59" s="1276"/>
      <c r="J59" s="1276"/>
      <c r="K59" s="1276"/>
      <c r="L59" s="1771"/>
      <c r="M59" s="1276"/>
      <c r="N59" s="1771"/>
    </row>
    <row r="60" spans="1:14" ht="16.5" hidden="1" customHeight="1">
      <c r="A60" s="1696"/>
      <c r="B60" s="3812" t="s">
        <v>4875</v>
      </c>
      <c r="C60" s="3813"/>
      <c r="D60" s="1009"/>
      <c r="E60" s="1276"/>
      <c r="F60" s="1276"/>
      <c r="G60" s="1276"/>
      <c r="H60" s="1276"/>
      <c r="I60" s="1276"/>
      <c r="J60" s="1276"/>
      <c r="K60" s="1276"/>
      <c r="L60" s="1771"/>
      <c r="M60" s="1276"/>
      <c r="N60" s="1771"/>
    </row>
    <row r="61" spans="1:14" ht="16.149999999999999" hidden="1" customHeight="1">
      <c r="A61" s="1696"/>
      <c r="B61" s="3814"/>
      <c r="C61" s="3815"/>
      <c r="D61" s="1009"/>
      <c r="E61" s="1276"/>
      <c r="F61" s="1276"/>
      <c r="G61" s="1276"/>
      <c r="H61" s="1276"/>
      <c r="I61" s="1276"/>
      <c r="J61" s="1276"/>
      <c r="K61" s="1276"/>
      <c r="L61" s="1771"/>
      <c r="M61" s="1276"/>
      <c r="N61" s="1771"/>
    </row>
    <row r="62" spans="1:14" ht="15" hidden="1" thickBot="1">
      <c r="A62" s="1696"/>
      <c r="D62" s="1009"/>
      <c r="E62" s="1276"/>
      <c r="F62" s="1276"/>
      <c r="G62" s="1276"/>
      <c r="H62" s="1276"/>
      <c r="I62" s="1276"/>
      <c r="J62" s="1276"/>
      <c r="K62" s="1276"/>
      <c r="L62" s="1771"/>
      <c r="M62" s="1276"/>
      <c r="N62" s="1771"/>
    </row>
    <row r="63" spans="1:14" ht="15" hidden="1" thickBot="1">
      <c r="A63" s="1696"/>
      <c r="B63" s="1348" t="s">
        <v>2423</v>
      </c>
      <c r="C63" s="1374" t="s">
        <v>2424</v>
      </c>
      <c r="D63" s="1009"/>
      <c r="E63" s="1276"/>
      <c r="F63" s="1276"/>
      <c r="G63" s="1276"/>
      <c r="H63" s="1276"/>
      <c r="I63" s="1276"/>
      <c r="J63" s="1276"/>
      <c r="K63" s="1276"/>
      <c r="L63" s="1771"/>
      <c r="M63" s="1276"/>
      <c r="N63" s="1771"/>
    </row>
    <row r="64" spans="1:14" ht="57.75" hidden="1" customHeight="1">
      <c r="A64" s="1696"/>
      <c r="B64" s="1127">
        <f>+B56+1</f>
        <v>13</v>
      </c>
      <c r="C64" s="1375" t="s">
        <v>4876</v>
      </c>
      <c r="D64" s="1009"/>
      <c r="E64" s="1276"/>
      <c r="F64" s="1276"/>
      <c r="G64" s="1276"/>
      <c r="H64" s="1276"/>
      <c r="I64" s="1276"/>
      <c r="J64" s="1276"/>
      <c r="K64" s="1276"/>
      <c r="L64" s="1771"/>
      <c r="M64" s="1276"/>
      <c r="N64" s="1771"/>
    </row>
    <row r="65" spans="1:14" ht="57.75" hidden="1" customHeight="1">
      <c r="A65" s="1696"/>
      <c r="B65" s="1376">
        <f t="shared" ref="B65:B74" si="5">+B64+1</f>
        <v>14</v>
      </c>
      <c r="C65" s="1377" t="s">
        <v>4877</v>
      </c>
      <c r="D65" s="1009"/>
      <c r="E65" s="1276"/>
      <c r="F65" s="1276"/>
      <c r="G65" s="1276"/>
      <c r="H65" s="1276"/>
      <c r="I65" s="1276"/>
      <c r="J65" s="1276"/>
      <c r="K65" s="1276"/>
      <c r="L65" s="1771"/>
      <c r="M65" s="1276"/>
      <c r="N65" s="1771"/>
    </row>
    <row r="66" spans="1:14" ht="18.75" hidden="1" customHeight="1">
      <c r="A66" s="1696"/>
      <c r="B66" s="1128">
        <f t="shared" si="5"/>
        <v>15</v>
      </c>
      <c r="C66" s="1377" t="s">
        <v>12976</v>
      </c>
      <c r="D66" s="1009"/>
      <c r="E66" s="1276"/>
      <c r="F66" s="1276"/>
      <c r="G66" s="1276"/>
      <c r="H66" s="1276"/>
      <c r="I66" s="1276"/>
      <c r="J66" s="1276"/>
      <c r="K66" s="1276"/>
      <c r="L66" s="1771"/>
      <c r="M66" s="1276"/>
      <c r="N66" s="1771"/>
    </row>
    <row r="67" spans="1:14" ht="57.75" hidden="1" customHeight="1">
      <c r="A67" s="1696"/>
      <c r="B67" s="1128">
        <f t="shared" si="5"/>
        <v>16</v>
      </c>
      <c r="C67" s="1378" t="s">
        <v>11712</v>
      </c>
      <c r="D67" s="1009"/>
      <c r="E67" s="1276"/>
      <c r="F67" s="1276"/>
      <c r="G67" s="1276"/>
      <c r="H67" s="1276"/>
      <c r="I67" s="1276"/>
      <c r="J67" s="1276"/>
      <c r="K67" s="1276"/>
      <c r="L67" s="1771"/>
      <c r="M67" s="1276"/>
      <c r="N67" s="1771"/>
    </row>
    <row r="68" spans="1:14" ht="57.75" hidden="1" customHeight="1">
      <c r="A68" s="1696"/>
      <c r="B68" s="1128">
        <f t="shared" si="5"/>
        <v>17</v>
      </c>
      <c r="C68" s="1378" t="s">
        <v>4878</v>
      </c>
      <c r="D68" s="1009"/>
      <c r="E68" s="1276"/>
      <c r="F68" s="1276"/>
      <c r="G68" s="1276"/>
      <c r="H68" s="1276"/>
      <c r="I68" s="1276"/>
      <c r="J68" s="1276"/>
      <c r="K68" s="1276"/>
      <c r="L68" s="1771"/>
      <c r="M68" s="1276"/>
      <c r="N68" s="1771"/>
    </row>
    <row r="69" spans="1:14" ht="57.75" hidden="1" customHeight="1">
      <c r="A69" s="1696"/>
      <c r="B69" s="1128">
        <f t="shared" si="5"/>
        <v>18</v>
      </c>
      <c r="C69" s="1378" t="s">
        <v>4879</v>
      </c>
      <c r="D69" s="1009"/>
      <c r="E69" s="1276"/>
      <c r="F69" s="1276"/>
      <c r="G69" s="1276"/>
      <c r="H69" s="1276"/>
      <c r="I69" s="1276"/>
      <c r="J69" s="1276"/>
      <c r="K69" s="1276"/>
      <c r="L69" s="1771"/>
      <c r="M69" s="1276"/>
      <c r="N69" s="1771"/>
    </row>
    <row r="70" spans="1:14" ht="67.5" hidden="1" customHeight="1">
      <c r="A70" s="1696"/>
      <c r="B70" s="1128">
        <f t="shared" si="5"/>
        <v>19</v>
      </c>
      <c r="C70" s="1378" t="s">
        <v>4880</v>
      </c>
      <c r="D70" s="1009"/>
      <c r="E70" s="1276"/>
      <c r="F70" s="1276"/>
      <c r="G70" s="1276"/>
      <c r="H70" s="1276"/>
      <c r="I70" s="1276"/>
      <c r="J70" s="1276"/>
      <c r="K70" s="1276"/>
      <c r="L70" s="1771"/>
      <c r="M70" s="1276"/>
      <c r="N70" s="1771"/>
    </row>
    <row r="71" spans="1:14" ht="33.75" hidden="1" customHeight="1">
      <c r="A71" s="1696"/>
      <c r="B71" s="1379">
        <f t="shared" si="5"/>
        <v>20</v>
      </c>
      <c r="C71" s="1378" t="s">
        <v>4881</v>
      </c>
      <c r="D71" s="1009"/>
      <c r="E71" s="1276"/>
      <c r="F71" s="1276"/>
      <c r="G71" s="1276"/>
      <c r="H71" s="1276"/>
      <c r="I71" s="1276"/>
      <c r="J71" s="1276"/>
      <c r="K71" s="1276"/>
      <c r="L71" s="1771"/>
      <c r="M71" s="1276"/>
      <c r="N71" s="1771"/>
    </row>
    <row r="72" spans="1:14" ht="17.25" hidden="1" customHeight="1">
      <c r="A72" s="1696"/>
      <c r="B72" s="1379">
        <f t="shared" si="5"/>
        <v>21</v>
      </c>
      <c r="C72" s="1378" t="s">
        <v>4882</v>
      </c>
      <c r="D72" s="1009"/>
      <c r="E72" s="1276"/>
      <c r="F72" s="1276"/>
      <c r="G72" s="1276"/>
      <c r="H72" s="1276"/>
      <c r="I72" s="1276"/>
      <c r="J72" s="1276"/>
      <c r="K72" s="1276"/>
      <c r="L72" s="1771"/>
      <c r="M72" s="1276"/>
      <c r="N72" s="1771"/>
    </row>
    <row r="73" spans="1:14" ht="98.25" hidden="1" customHeight="1">
      <c r="A73" s="1696"/>
      <c r="B73" s="1379">
        <f t="shared" si="5"/>
        <v>22</v>
      </c>
      <c r="C73" s="1378" t="s">
        <v>4883</v>
      </c>
      <c r="D73" s="1009"/>
      <c r="E73" s="1276"/>
      <c r="F73" s="1276"/>
      <c r="G73" s="1276"/>
      <c r="H73" s="1276"/>
      <c r="I73" s="1276"/>
      <c r="J73" s="1276"/>
      <c r="K73" s="1276"/>
      <c r="L73" s="1771"/>
      <c r="M73" s="1276"/>
      <c r="N73" s="1771"/>
    </row>
    <row r="74" spans="1:14" ht="57.75" hidden="1" customHeight="1" thickBot="1">
      <c r="A74" s="1696"/>
      <c r="B74" s="1129">
        <f t="shared" si="5"/>
        <v>23</v>
      </c>
      <c r="C74" s="1380" t="s">
        <v>12877</v>
      </c>
      <c r="D74" s="1009"/>
      <c r="E74" s="1276"/>
      <c r="F74" s="1276"/>
      <c r="G74" s="1276"/>
      <c r="H74" s="1276"/>
      <c r="I74" s="1276"/>
      <c r="J74" s="1276"/>
      <c r="K74" s="1276"/>
      <c r="L74" s="1771"/>
      <c r="M74" s="1276"/>
      <c r="N74" s="1771"/>
    </row>
    <row r="75" spans="1:14" ht="15" hidden="1" thickBot="1">
      <c r="A75" s="1696"/>
      <c r="D75" s="1009"/>
      <c r="E75" s="1276"/>
      <c r="F75" s="1276"/>
      <c r="G75" s="1276"/>
      <c r="H75" s="1276"/>
      <c r="I75" s="1276"/>
      <c r="J75" s="1276"/>
      <c r="K75" s="1276"/>
      <c r="L75" s="1771"/>
      <c r="M75" s="1276"/>
      <c r="N75" s="1771"/>
    </row>
    <row r="76" spans="1:14">
      <c r="B76" s="2022" t="s">
        <v>4089</v>
      </c>
      <c r="C76" s="2023"/>
      <c r="D76" s="1009"/>
      <c r="E76" s="1276"/>
      <c r="F76" s="1276"/>
      <c r="G76" s="1276"/>
      <c r="H76" s="1276"/>
      <c r="I76" s="1276"/>
      <c r="J76" s="1276"/>
      <c r="K76" s="1276"/>
      <c r="L76" s="1771"/>
      <c r="M76" s="1276"/>
      <c r="N76" s="1771"/>
    </row>
    <row r="77" spans="1:14" ht="86.25" customHeight="1">
      <c r="B77" s="3816" t="s">
        <v>12977</v>
      </c>
      <c r="C77" s="3817"/>
      <c r="D77" s="1009"/>
      <c r="E77" s="1276"/>
      <c r="F77" s="1276"/>
      <c r="G77" s="1276"/>
      <c r="H77" s="1276"/>
      <c r="I77" s="1276"/>
      <c r="J77" s="1276"/>
      <c r="K77" s="1276"/>
      <c r="L77" s="1771"/>
      <c r="M77" s="1276"/>
      <c r="N77" s="1771"/>
    </row>
    <row r="78" spans="1:14" ht="25.5" customHeight="1" thickBot="1">
      <c r="B78" s="3810" t="s">
        <v>4884</v>
      </c>
      <c r="C78" s="3811"/>
      <c r="D78" s="1009"/>
      <c r="E78" s="1276"/>
      <c r="F78" s="1276"/>
      <c r="G78" s="1276"/>
      <c r="H78" s="1276"/>
      <c r="I78" s="1276"/>
      <c r="J78" s="1276"/>
      <c r="K78" s="1276"/>
      <c r="L78" s="1771"/>
      <c r="M78" s="1276"/>
      <c r="N78" s="1771"/>
    </row>
    <row r="79" spans="1:14">
      <c r="D79" s="1009"/>
      <c r="E79" s="1276"/>
      <c r="F79" s="1276"/>
      <c r="G79" s="1276"/>
      <c r="H79" s="1276"/>
      <c r="I79" s="1276"/>
      <c r="J79" s="1276"/>
      <c r="K79" s="1276"/>
      <c r="L79" s="1771"/>
      <c r="M79" s="1276"/>
      <c r="N79" s="1771"/>
    </row>
    <row r="80" spans="1:14" hidden="1">
      <c r="D80" s="1009"/>
      <c r="E80" s="1276"/>
      <c r="F80" s="1276"/>
      <c r="G80" s="1276"/>
      <c r="H80" s="1276"/>
      <c r="I80" s="1276"/>
      <c r="J80" s="1276"/>
      <c r="K80" s="1276"/>
      <c r="L80" s="1771"/>
      <c r="M80" s="1276"/>
      <c r="N80" s="1771"/>
    </row>
    <row r="81" spans="4:14" hidden="1">
      <c r="D81" s="1009"/>
      <c r="E81" s="1276"/>
      <c r="F81" s="1276"/>
      <c r="G81" s="1276"/>
      <c r="H81" s="1276"/>
      <c r="I81" s="1276"/>
      <c r="J81" s="1276"/>
      <c r="K81" s="1276"/>
      <c r="L81" s="1771"/>
      <c r="M81" s="1276"/>
      <c r="N81" s="1771"/>
    </row>
  </sheetData>
  <mergeCells count="3">
    <mergeCell ref="B78:C78"/>
    <mergeCell ref="B60:C61"/>
    <mergeCell ref="B77:C77"/>
  </mergeCells>
  <conditionalFormatting sqref="J6:J9 J14 J11:J12">
    <cfRule type="cellIs" dxfId="74" priority="7" operator="equal">
      <formula>0</formula>
    </cfRule>
  </conditionalFormatting>
  <conditionalFormatting sqref="J17">
    <cfRule type="cellIs" dxfId="73" priority="6" operator="equal">
      <formula>0</formula>
    </cfRule>
  </conditionalFormatting>
  <conditionalFormatting sqref="J18">
    <cfRule type="cellIs" dxfId="72" priority="5" operator="equal">
      <formula>0</formula>
    </cfRule>
  </conditionalFormatting>
  <conditionalFormatting sqref="J21">
    <cfRule type="cellIs" dxfId="71" priority="4" operator="equal">
      <formula>0</formula>
    </cfRule>
  </conditionalFormatting>
  <conditionalFormatting sqref="J31">
    <cfRule type="cellIs" dxfId="70" priority="3" operator="equal">
      <formula>0</formula>
    </cfRule>
  </conditionalFormatting>
  <conditionalFormatting sqref="J22 J24:J30">
    <cfRule type="cellIs" dxfId="69"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52.xml><?xml version="1.0" encoding="utf-8"?>
<worksheet xmlns="http://schemas.openxmlformats.org/spreadsheetml/2006/main" xmlns:r="http://schemas.openxmlformats.org/officeDocument/2006/relationships">
  <sheetPr codeName="Sheet49">
    <pageSetUpPr fitToPage="1"/>
  </sheetPr>
  <dimension ref="A1:WXQ116"/>
  <sheetViews>
    <sheetView zoomScale="70" zoomScaleNormal="70" workbookViewId="0"/>
  </sheetViews>
  <sheetFormatPr defaultColWidth="0" defaultRowHeight="0" customHeight="1" zeroHeight="1"/>
  <cols>
    <col min="1" max="1" width="0.625" customWidth="1"/>
    <col min="2" max="2" width="6.625" customWidth="1"/>
    <col min="3" max="3" width="50.125" customWidth="1"/>
    <col min="4" max="4" width="9.5" customWidth="1"/>
    <col min="5" max="6" width="8.625" customWidth="1"/>
    <col min="7" max="12" width="12.625" customWidth="1"/>
    <col min="13" max="13" width="12.625" style="2146" customWidth="1"/>
    <col min="14" max="14" width="9.125" customWidth="1"/>
    <col min="15" max="15" width="30.125" customWidth="1"/>
    <col min="16" max="16" width="2.625" customWidth="1"/>
    <col min="17" max="17" width="40.625" customWidth="1"/>
    <col min="18" max="18" width="1.625" hidden="1" customWidth="1"/>
    <col min="19" max="19" width="1.625" style="1764" hidden="1" customWidth="1"/>
    <col min="20" max="24" width="3.625" hidden="1" customWidth="1"/>
    <col min="25" max="25" width="3.625" style="2146" hidden="1" customWidth="1"/>
    <col min="26" max="26" width="3.625" hidden="1" customWidth="1"/>
    <col min="27" max="27" width="1.625" style="1764" hidden="1" customWidth="1"/>
    <col min="28" max="28" width="7.625" hidden="1" customWidth="1"/>
    <col min="29" max="29" width="1.125" style="1764" hidden="1" customWidth="1"/>
    <col min="30" max="31" width="8.625" hidden="1" customWidth="1"/>
    <col min="32" max="32" width="68.625" hidden="1" customWidth="1"/>
    <col min="33" max="33" width="1.125" style="1764" hidden="1" customWidth="1"/>
    <col min="34" max="35" width="8.625" customWidth="1"/>
    <col min="36" max="36" width="49.625" bestFit="1" customWidth="1"/>
    <col min="37" max="37" width="11.625" customWidth="1"/>
    <col min="38" max="39" width="8.625" customWidth="1"/>
    <col min="40" max="45" width="13.625" customWidth="1"/>
    <col min="46" max="46" width="15" style="2146" bestFit="1" customWidth="1"/>
    <col min="47" max="47" width="14.75" bestFit="1" customWidth="1"/>
    <col min="48" max="48" width="8.625" customWidth="1"/>
    <col min="49" max="182" width="8.625" hidden="1" customWidth="1"/>
    <col min="183" max="183" width="0.625" hidden="1" customWidth="1"/>
    <col min="184" max="184" width="6.625" hidden="1" customWidth="1"/>
    <col min="185" max="185" width="50.125" hidden="1" customWidth="1"/>
    <col min="186" max="186" width="0.125" hidden="1" customWidth="1"/>
    <col min="187" max="188" width="8.625" hidden="1" customWidth="1"/>
    <col min="189" max="189" width="10.625" hidden="1" customWidth="1"/>
    <col min="190" max="190" width="10" hidden="1" customWidth="1"/>
    <col min="191" max="191" width="11.625" hidden="1" customWidth="1"/>
    <col min="192" max="194" width="10.625" hidden="1" customWidth="1"/>
    <col min="195" max="195" width="9.125" hidden="1" customWidth="1"/>
    <col min="196" max="197" width="9.625" hidden="1" customWidth="1"/>
    <col min="198" max="198" width="9.5" hidden="1" customWidth="1"/>
    <col min="199" max="199" width="9.625" hidden="1" customWidth="1"/>
    <col min="200" max="200" width="9.5" hidden="1" customWidth="1"/>
    <col min="201" max="201" width="8.625" hidden="1" customWidth="1"/>
    <col min="202" max="202" width="10.625" hidden="1" customWidth="1"/>
    <col min="203" max="204" width="8.625" hidden="1" customWidth="1"/>
    <col min="205" max="208" width="10.125" hidden="1" customWidth="1"/>
    <col min="209" max="209" width="8.625" hidden="1" customWidth="1"/>
    <col min="210" max="210" width="10.125" hidden="1" customWidth="1"/>
    <col min="211" max="212" width="8.625" hidden="1" customWidth="1"/>
    <col min="213" max="214" width="9.625" hidden="1" customWidth="1"/>
    <col min="215" max="215" width="10" hidden="1" customWidth="1"/>
    <col min="216" max="216" width="9.625" hidden="1" customWidth="1"/>
    <col min="217" max="217" width="8.625" hidden="1" customWidth="1"/>
    <col min="218" max="218" width="9.625" hidden="1" customWidth="1"/>
    <col min="219" max="220" width="8.625" hidden="1" customWidth="1"/>
    <col min="221" max="221" width="9.125" hidden="1" customWidth="1"/>
    <col min="222" max="222" width="9.5" hidden="1" customWidth="1"/>
    <col min="223" max="223" width="10.5" hidden="1" customWidth="1"/>
    <col min="224" max="224" width="9.5" hidden="1" customWidth="1"/>
    <col min="225" max="225" width="8.625" hidden="1" customWidth="1"/>
    <col min="226" max="226" width="11.125" hidden="1" customWidth="1"/>
    <col min="227" max="228" width="8.625" hidden="1" customWidth="1"/>
    <col min="229" max="229" width="9.125" hidden="1" customWidth="1"/>
    <col min="230" max="232" width="9.625" hidden="1" customWidth="1"/>
    <col min="233" max="233" width="8.625" hidden="1" customWidth="1"/>
    <col min="234" max="234" width="10.125" hidden="1" customWidth="1"/>
    <col min="235" max="236" width="8.625" hidden="1" customWidth="1"/>
    <col min="237" max="237" width="30.125" hidden="1" customWidth="1"/>
    <col min="238" max="238" width="2.625" hidden="1" customWidth="1"/>
    <col min="239" max="239" width="18.625" hidden="1" customWidth="1"/>
    <col min="240" max="240" width="1.625" hidden="1" customWidth="1"/>
    <col min="241" max="289" width="8.625" hidden="1" customWidth="1"/>
    <col min="290" max="438" width="8.625" hidden="1"/>
    <col min="439" max="439" width="0.625" hidden="1" customWidth="1"/>
    <col min="440" max="440" width="6.625" hidden="1" customWidth="1"/>
    <col min="441" max="441" width="50.125" hidden="1" customWidth="1"/>
    <col min="442" max="442" width="0.125" hidden="1" customWidth="1"/>
    <col min="443" max="444" width="8.625" hidden="1" customWidth="1"/>
    <col min="445" max="445" width="10.625" hidden="1" customWidth="1"/>
    <col min="446" max="446" width="10" hidden="1" customWidth="1"/>
    <col min="447" max="447" width="11.625" hidden="1" customWidth="1"/>
    <col min="448" max="450" width="10.625" hidden="1" customWidth="1"/>
    <col min="451" max="451" width="9.125" hidden="1" customWidth="1"/>
    <col min="452" max="453" width="9.625" hidden="1" customWidth="1"/>
    <col min="454" max="454" width="9.5" hidden="1" customWidth="1"/>
    <col min="455" max="455" width="9.625" hidden="1" customWidth="1"/>
    <col min="456" max="456" width="9.5" hidden="1" customWidth="1"/>
    <col min="457" max="457" width="8.625" hidden="1" customWidth="1"/>
    <col min="458" max="458" width="10.625" hidden="1" customWidth="1"/>
    <col min="459" max="460" width="8.625" hidden="1" customWidth="1"/>
    <col min="461" max="464" width="10.125" hidden="1" customWidth="1"/>
    <col min="465" max="465" width="8.625" hidden="1" customWidth="1"/>
    <col min="466" max="466" width="10.125" hidden="1" customWidth="1"/>
    <col min="467" max="468" width="8.625" hidden="1" customWidth="1"/>
    <col min="469" max="470" width="9.625" hidden="1" customWidth="1"/>
    <col min="471" max="471" width="10" hidden="1" customWidth="1"/>
    <col min="472" max="472" width="9.625" hidden="1" customWidth="1"/>
    <col min="473" max="473" width="8.625" hidden="1" customWidth="1"/>
    <col min="474" max="474" width="9.625" hidden="1" customWidth="1"/>
    <col min="475" max="476" width="8.625" hidden="1" customWidth="1"/>
    <col min="477" max="477" width="9.125" hidden="1" customWidth="1"/>
    <col min="478" max="478" width="9.5" hidden="1" customWidth="1"/>
    <col min="479" max="479" width="10.5" hidden="1" customWidth="1"/>
    <col min="480" max="480" width="9.5" hidden="1" customWidth="1"/>
    <col min="481" max="481" width="8.625" hidden="1" customWidth="1"/>
    <col min="482" max="482" width="11.125" hidden="1" customWidth="1"/>
    <col min="483" max="484" width="8.625" hidden="1" customWidth="1"/>
    <col min="485" max="485" width="9.125" hidden="1" customWidth="1"/>
    <col min="486" max="488" width="9.625" hidden="1" customWidth="1"/>
    <col min="489" max="489" width="8.625" hidden="1" customWidth="1"/>
    <col min="490" max="490" width="10.125" hidden="1" customWidth="1"/>
    <col min="491" max="492" width="8.625" hidden="1" customWidth="1"/>
    <col min="493" max="493" width="30.125" hidden="1" customWidth="1"/>
    <col min="494" max="494" width="2.625" hidden="1" customWidth="1"/>
    <col min="495" max="495" width="18.625" hidden="1" customWidth="1"/>
    <col min="496" max="496" width="1.625" hidden="1" customWidth="1"/>
    <col min="497" max="545" width="8.625" hidden="1" customWidth="1"/>
    <col min="546" max="694" width="8.625" hidden="1"/>
    <col min="695" max="695" width="0.625" hidden="1" customWidth="1"/>
    <col min="696" max="696" width="6.625" hidden="1" customWidth="1"/>
    <col min="697" max="697" width="50.125" hidden="1" customWidth="1"/>
    <col min="698" max="698" width="0.125" hidden="1" customWidth="1"/>
    <col min="699" max="700" width="8.625" hidden="1" customWidth="1"/>
    <col min="701" max="701" width="10.625" hidden="1" customWidth="1"/>
    <col min="702" max="702" width="10" hidden="1" customWidth="1"/>
    <col min="703" max="703" width="11.625" hidden="1" customWidth="1"/>
    <col min="704" max="706" width="10.625" hidden="1" customWidth="1"/>
    <col min="707" max="707" width="9.125" hidden="1" customWidth="1"/>
    <col min="708" max="709" width="9.625" hidden="1" customWidth="1"/>
    <col min="710" max="710" width="9.5" hidden="1" customWidth="1"/>
    <col min="711" max="711" width="9.625" hidden="1" customWidth="1"/>
    <col min="712" max="712" width="9.5" hidden="1" customWidth="1"/>
    <col min="713" max="713" width="8.625" hidden="1" customWidth="1"/>
    <col min="714" max="714" width="10.625" hidden="1" customWidth="1"/>
    <col min="715" max="716" width="8.625" hidden="1" customWidth="1"/>
    <col min="717" max="720" width="10.125" hidden="1" customWidth="1"/>
    <col min="721" max="721" width="8.625" hidden="1" customWidth="1"/>
    <col min="722" max="722" width="10.125" hidden="1" customWidth="1"/>
    <col min="723" max="724" width="8.625" hidden="1" customWidth="1"/>
    <col min="725" max="726" width="9.625" hidden="1" customWidth="1"/>
    <col min="727" max="727" width="10" hidden="1" customWidth="1"/>
    <col min="728" max="728" width="9.625" hidden="1" customWidth="1"/>
    <col min="729" max="729" width="8.625" hidden="1" customWidth="1"/>
    <col min="730" max="730" width="9.625" hidden="1" customWidth="1"/>
    <col min="731" max="732" width="8.625" hidden="1" customWidth="1"/>
    <col min="733" max="733" width="9.125" hidden="1" customWidth="1"/>
    <col min="734" max="734" width="9.5" hidden="1" customWidth="1"/>
    <col min="735" max="735" width="10.5" hidden="1" customWidth="1"/>
    <col min="736" max="736" width="9.5" hidden="1" customWidth="1"/>
    <col min="737" max="737" width="8.625" hidden="1" customWidth="1"/>
    <col min="738" max="738" width="11.125" hidden="1" customWidth="1"/>
    <col min="739" max="740" width="8.625" hidden="1" customWidth="1"/>
    <col min="741" max="741" width="9.125" hidden="1" customWidth="1"/>
    <col min="742" max="744" width="9.625" hidden="1" customWidth="1"/>
    <col min="745" max="745" width="8.625" hidden="1" customWidth="1"/>
    <col min="746" max="746" width="10.125" hidden="1" customWidth="1"/>
    <col min="747" max="748" width="8.625" hidden="1" customWidth="1"/>
    <col min="749" max="749" width="30.125" hidden="1" customWidth="1"/>
    <col min="750" max="750" width="2.625" hidden="1" customWidth="1"/>
    <col min="751" max="751" width="18.625" hidden="1" customWidth="1"/>
    <col min="752" max="752" width="1.625" hidden="1" customWidth="1"/>
    <col min="753" max="801" width="8.625" hidden="1" customWidth="1"/>
    <col min="802" max="950" width="8.625" hidden="1"/>
    <col min="951" max="951" width="0.625" hidden="1" customWidth="1"/>
    <col min="952" max="952" width="6.625" hidden="1" customWidth="1"/>
    <col min="953" max="953" width="50.125" hidden="1" customWidth="1"/>
    <col min="954" max="954" width="0.125" hidden="1" customWidth="1"/>
    <col min="955" max="956" width="8.625" hidden="1" customWidth="1"/>
    <col min="957" max="957" width="10.625" hidden="1" customWidth="1"/>
    <col min="958" max="958" width="10" hidden="1" customWidth="1"/>
    <col min="959" max="959" width="11.625" hidden="1" customWidth="1"/>
    <col min="960" max="962" width="10.625" hidden="1" customWidth="1"/>
    <col min="963" max="963" width="9.125" hidden="1" customWidth="1"/>
    <col min="964" max="965" width="9.625" hidden="1" customWidth="1"/>
    <col min="966" max="966" width="9.5" hidden="1" customWidth="1"/>
    <col min="967" max="967" width="9.625" hidden="1" customWidth="1"/>
    <col min="968" max="968" width="9.5" hidden="1" customWidth="1"/>
    <col min="969" max="969" width="8.625" hidden="1" customWidth="1"/>
    <col min="970" max="970" width="10.625" hidden="1" customWidth="1"/>
    <col min="971" max="972" width="8.625" hidden="1" customWidth="1"/>
    <col min="973" max="976" width="10.125" hidden="1" customWidth="1"/>
    <col min="977" max="977" width="8.625" hidden="1" customWidth="1"/>
    <col min="978" max="978" width="10.125" hidden="1" customWidth="1"/>
    <col min="979" max="980" width="8.625" hidden="1" customWidth="1"/>
    <col min="981" max="982" width="9.625" hidden="1" customWidth="1"/>
    <col min="983" max="983" width="10" hidden="1" customWidth="1"/>
    <col min="984" max="984" width="9.625" hidden="1" customWidth="1"/>
    <col min="985" max="985" width="8.625" hidden="1" customWidth="1"/>
    <col min="986" max="986" width="9.625" hidden="1" customWidth="1"/>
    <col min="987" max="988" width="8.625" hidden="1" customWidth="1"/>
    <col min="989" max="989" width="9.125" hidden="1" customWidth="1"/>
    <col min="990" max="990" width="9.5" hidden="1" customWidth="1"/>
    <col min="991" max="991" width="10.5" hidden="1" customWidth="1"/>
    <col min="992" max="992" width="9.5" hidden="1" customWidth="1"/>
    <col min="993" max="993" width="8.625" hidden="1" customWidth="1"/>
    <col min="994" max="994" width="11.125" hidden="1" customWidth="1"/>
    <col min="995" max="996" width="8.625" hidden="1" customWidth="1"/>
    <col min="997" max="997" width="9.125" hidden="1" customWidth="1"/>
    <col min="998" max="1000" width="9.625" hidden="1" customWidth="1"/>
    <col min="1001" max="1001" width="8.625" hidden="1" customWidth="1"/>
    <col min="1002" max="1002" width="10.125" hidden="1" customWidth="1"/>
    <col min="1003" max="1004" width="8.625" hidden="1" customWidth="1"/>
    <col min="1005" max="1005" width="30.125" hidden="1" customWidth="1"/>
    <col min="1006" max="1006" width="2.625" hidden="1" customWidth="1"/>
    <col min="1007" max="1007" width="18.625" hidden="1" customWidth="1"/>
    <col min="1008" max="1008" width="1.625" hidden="1" customWidth="1"/>
    <col min="1009" max="1057" width="8.625" hidden="1" customWidth="1"/>
    <col min="1058" max="1206" width="8.625" hidden="1"/>
    <col min="1207" max="1207" width="0.625" hidden="1" customWidth="1"/>
    <col min="1208" max="1208" width="6.625" hidden="1" customWidth="1"/>
    <col min="1209" max="1209" width="50.125" hidden="1" customWidth="1"/>
    <col min="1210" max="1210" width="0.125" hidden="1" customWidth="1"/>
    <col min="1211" max="1212" width="8.625" hidden="1" customWidth="1"/>
    <col min="1213" max="1213" width="10.625" hidden="1" customWidth="1"/>
    <col min="1214" max="1214" width="10" hidden="1" customWidth="1"/>
    <col min="1215" max="1215" width="11.625" hidden="1" customWidth="1"/>
    <col min="1216" max="1218" width="10.625" hidden="1" customWidth="1"/>
    <col min="1219" max="1219" width="9.125" hidden="1" customWidth="1"/>
    <col min="1220" max="1221" width="9.625" hidden="1" customWidth="1"/>
    <col min="1222" max="1222" width="9.5" hidden="1" customWidth="1"/>
    <col min="1223" max="1223" width="9.625" hidden="1" customWidth="1"/>
    <col min="1224" max="1224" width="9.5" hidden="1" customWidth="1"/>
    <col min="1225" max="1225" width="8.625" hidden="1" customWidth="1"/>
    <col min="1226" max="1226" width="10.625" hidden="1" customWidth="1"/>
    <col min="1227" max="1228" width="8.625" hidden="1" customWidth="1"/>
    <col min="1229" max="1232" width="10.125" hidden="1" customWidth="1"/>
    <col min="1233" max="1233" width="8.625" hidden="1" customWidth="1"/>
    <col min="1234" max="1234" width="10.125" hidden="1" customWidth="1"/>
    <col min="1235" max="1236" width="8.625" hidden="1" customWidth="1"/>
    <col min="1237" max="1238" width="9.625" hidden="1" customWidth="1"/>
    <col min="1239" max="1239" width="10" hidden="1" customWidth="1"/>
    <col min="1240" max="1240" width="9.625" hidden="1" customWidth="1"/>
    <col min="1241" max="1241" width="8.625" hidden="1" customWidth="1"/>
    <col min="1242" max="1242" width="9.625" hidden="1" customWidth="1"/>
    <col min="1243" max="1244" width="8.625" hidden="1" customWidth="1"/>
    <col min="1245" max="1245" width="9.125" hidden="1" customWidth="1"/>
    <col min="1246" max="1246" width="9.5" hidden="1" customWidth="1"/>
    <col min="1247" max="1247" width="10.5" hidden="1" customWidth="1"/>
    <col min="1248" max="1248" width="9.5" hidden="1" customWidth="1"/>
    <col min="1249" max="1249" width="8.625" hidden="1" customWidth="1"/>
    <col min="1250" max="1250" width="11.125" hidden="1" customWidth="1"/>
    <col min="1251" max="1252" width="8.625" hidden="1" customWidth="1"/>
    <col min="1253" max="1253" width="9.125" hidden="1" customWidth="1"/>
    <col min="1254" max="1256" width="9.625" hidden="1" customWidth="1"/>
    <col min="1257" max="1257" width="8.625" hidden="1" customWidth="1"/>
    <col min="1258" max="1258" width="10.125" hidden="1" customWidth="1"/>
    <col min="1259" max="1260" width="8.625" hidden="1" customWidth="1"/>
    <col min="1261" max="1261" width="30.125" hidden="1" customWidth="1"/>
    <col min="1262" max="1262" width="2.625" hidden="1" customWidth="1"/>
    <col min="1263" max="1263" width="18.625" hidden="1" customWidth="1"/>
    <col min="1264" max="1264" width="1.625" hidden="1" customWidth="1"/>
    <col min="1265" max="1313" width="8.625" hidden="1" customWidth="1"/>
    <col min="1314" max="1462" width="8.625" hidden="1"/>
    <col min="1463" max="1463" width="0.625" hidden="1" customWidth="1"/>
    <col min="1464" max="1464" width="6.625" hidden="1" customWidth="1"/>
    <col min="1465" max="1465" width="50.125" hidden="1" customWidth="1"/>
    <col min="1466" max="1466" width="0.125" hidden="1" customWidth="1"/>
    <col min="1467" max="1468" width="8.625" hidden="1" customWidth="1"/>
    <col min="1469" max="1469" width="10.625" hidden="1" customWidth="1"/>
    <col min="1470" max="1470" width="10" hidden="1" customWidth="1"/>
    <col min="1471" max="1471" width="11.625" hidden="1" customWidth="1"/>
    <col min="1472" max="1474" width="10.625" hidden="1" customWidth="1"/>
    <col min="1475" max="1475" width="9.125" hidden="1" customWidth="1"/>
    <col min="1476" max="1477" width="9.625" hidden="1" customWidth="1"/>
    <col min="1478" max="1478" width="9.5" hidden="1" customWidth="1"/>
    <col min="1479" max="1479" width="9.625" hidden="1" customWidth="1"/>
    <col min="1480" max="1480" width="9.5" hidden="1" customWidth="1"/>
    <col min="1481" max="1481" width="8.625" hidden="1" customWidth="1"/>
    <col min="1482" max="1482" width="10.625" hidden="1" customWidth="1"/>
    <col min="1483" max="1484" width="8.625" hidden="1" customWidth="1"/>
    <col min="1485" max="1488" width="10.125" hidden="1" customWidth="1"/>
    <col min="1489" max="1489" width="8.625" hidden="1" customWidth="1"/>
    <col min="1490" max="1490" width="10.125" hidden="1" customWidth="1"/>
    <col min="1491" max="1492" width="8.625" hidden="1" customWidth="1"/>
    <col min="1493" max="1494" width="9.625" hidden="1" customWidth="1"/>
    <col min="1495" max="1495" width="10" hidden="1" customWidth="1"/>
    <col min="1496" max="1496" width="9.625" hidden="1" customWidth="1"/>
    <col min="1497" max="1497" width="8.625" hidden="1" customWidth="1"/>
    <col min="1498" max="1498" width="9.625" hidden="1" customWidth="1"/>
    <col min="1499" max="1500" width="8.625" hidden="1" customWidth="1"/>
    <col min="1501" max="1501" width="9.125" hidden="1" customWidth="1"/>
    <col min="1502" max="1502" width="9.5" hidden="1" customWidth="1"/>
    <col min="1503" max="1503" width="10.5" hidden="1" customWidth="1"/>
    <col min="1504" max="1504" width="9.5" hidden="1" customWidth="1"/>
    <col min="1505" max="1505" width="8.625" hidden="1" customWidth="1"/>
    <col min="1506" max="1506" width="11.125" hidden="1" customWidth="1"/>
    <col min="1507" max="1508" width="8.625" hidden="1" customWidth="1"/>
    <col min="1509" max="1509" width="9.125" hidden="1" customWidth="1"/>
    <col min="1510" max="1512" width="9.625" hidden="1" customWidth="1"/>
    <col min="1513" max="1513" width="8.625" hidden="1" customWidth="1"/>
    <col min="1514" max="1514" width="10.125" hidden="1" customWidth="1"/>
    <col min="1515" max="1516" width="8.625" hidden="1" customWidth="1"/>
    <col min="1517" max="1517" width="30.125" hidden="1" customWidth="1"/>
    <col min="1518" max="1518" width="2.625" hidden="1" customWidth="1"/>
    <col min="1519" max="1519" width="18.625" hidden="1" customWidth="1"/>
    <col min="1520" max="1520" width="1.625" hidden="1" customWidth="1"/>
    <col min="1521" max="1569" width="8.625" hidden="1" customWidth="1"/>
    <col min="1570" max="1718" width="8.625" hidden="1"/>
    <col min="1719" max="1719" width="0.625" hidden="1" customWidth="1"/>
    <col min="1720" max="1720" width="6.625" hidden="1" customWidth="1"/>
    <col min="1721" max="1721" width="50.125" hidden="1" customWidth="1"/>
    <col min="1722" max="1722" width="0.125" hidden="1" customWidth="1"/>
    <col min="1723" max="1724" width="8.625" hidden="1" customWidth="1"/>
    <col min="1725" max="1725" width="10.625" hidden="1" customWidth="1"/>
    <col min="1726" max="1726" width="10" hidden="1" customWidth="1"/>
    <col min="1727" max="1727" width="11.625" hidden="1" customWidth="1"/>
    <col min="1728" max="1730" width="10.625" hidden="1" customWidth="1"/>
    <col min="1731" max="1731" width="9.125" hidden="1" customWidth="1"/>
    <col min="1732" max="1733" width="9.625" hidden="1" customWidth="1"/>
    <col min="1734" max="1734" width="9.5" hidden="1" customWidth="1"/>
    <col min="1735" max="1735" width="9.625" hidden="1" customWidth="1"/>
    <col min="1736" max="1736" width="9.5" hidden="1" customWidth="1"/>
    <col min="1737" max="1737" width="8.625" hidden="1" customWidth="1"/>
    <col min="1738" max="1738" width="10.625" hidden="1" customWidth="1"/>
    <col min="1739" max="1740" width="8.625" hidden="1" customWidth="1"/>
    <col min="1741" max="1744" width="10.125" hidden="1" customWidth="1"/>
    <col min="1745" max="1745" width="8.625" hidden="1" customWidth="1"/>
    <col min="1746" max="1746" width="10.125" hidden="1" customWidth="1"/>
    <col min="1747" max="1748" width="8.625" hidden="1" customWidth="1"/>
    <col min="1749" max="1750" width="9.625" hidden="1" customWidth="1"/>
    <col min="1751" max="1751" width="10" hidden="1" customWidth="1"/>
    <col min="1752" max="1752" width="9.625" hidden="1" customWidth="1"/>
    <col min="1753" max="1753" width="8.625" hidden="1" customWidth="1"/>
    <col min="1754" max="1754" width="9.625" hidden="1" customWidth="1"/>
    <col min="1755" max="1756" width="8.625" hidden="1" customWidth="1"/>
    <col min="1757" max="1757" width="9.125" hidden="1" customWidth="1"/>
    <col min="1758" max="1758" width="9.5" hidden="1" customWidth="1"/>
    <col min="1759" max="1759" width="10.5" hidden="1" customWidth="1"/>
    <col min="1760" max="1760" width="9.5" hidden="1" customWidth="1"/>
    <col min="1761" max="1761" width="8.625" hidden="1" customWidth="1"/>
    <col min="1762" max="1762" width="11.125" hidden="1" customWidth="1"/>
    <col min="1763" max="1764" width="8.625" hidden="1" customWidth="1"/>
    <col min="1765" max="1765" width="9.125" hidden="1" customWidth="1"/>
    <col min="1766" max="1768" width="9.625" hidden="1" customWidth="1"/>
    <col min="1769" max="1769" width="8.625" hidden="1" customWidth="1"/>
    <col min="1770" max="1770" width="10.125" hidden="1" customWidth="1"/>
    <col min="1771" max="1772" width="8.625" hidden="1" customWidth="1"/>
    <col min="1773" max="1773" width="30.125" hidden="1" customWidth="1"/>
    <col min="1774" max="1774" width="2.625" hidden="1" customWidth="1"/>
    <col min="1775" max="1775" width="18.625" hidden="1" customWidth="1"/>
    <col min="1776" max="1776" width="1.625" hidden="1" customWidth="1"/>
    <col min="1777" max="1825" width="8.625" hidden="1" customWidth="1"/>
    <col min="1826" max="1974" width="8.625" hidden="1"/>
    <col min="1975" max="1975" width="0.625" hidden="1" customWidth="1"/>
    <col min="1976" max="1976" width="6.625" hidden="1" customWidth="1"/>
    <col min="1977" max="1977" width="50.125" hidden="1" customWidth="1"/>
    <col min="1978" max="1978" width="0.125" hidden="1" customWidth="1"/>
    <col min="1979" max="1980" width="8.625" hidden="1" customWidth="1"/>
    <col min="1981" max="1981" width="10.625" hidden="1" customWidth="1"/>
    <col min="1982" max="1982" width="10" hidden="1" customWidth="1"/>
    <col min="1983" max="1983" width="11.625" hidden="1" customWidth="1"/>
    <col min="1984" max="1986" width="10.625" hidden="1" customWidth="1"/>
    <col min="1987" max="1987" width="9.125" hidden="1" customWidth="1"/>
    <col min="1988" max="1989" width="9.625" hidden="1" customWidth="1"/>
    <col min="1990" max="1990" width="9.5" hidden="1" customWidth="1"/>
    <col min="1991" max="1991" width="9.625" hidden="1" customWidth="1"/>
    <col min="1992" max="1992" width="9.5" hidden="1" customWidth="1"/>
    <col min="1993" max="1993" width="8.625" hidden="1" customWidth="1"/>
    <col min="1994" max="1994" width="10.625" hidden="1" customWidth="1"/>
    <col min="1995" max="1996" width="8.625" hidden="1" customWidth="1"/>
    <col min="1997" max="2000" width="10.125" hidden="1" customWidth="1"/>
    <col min="2001" max="2001" width="8.625" hidden="1" customWidth="1"/>
    <col min="2002" max="2002" width="10.125" hidden="1" customWidth="1"/>
    <col min="2003" max="2004" width="8.625" hidden="1" customWidth="1"/>
    <col min="2005" max="2006" width="9.625" hidden="1" customWidth="1"/>
    <col min="2007" max="2007" width="10" hidden="1" customWidth="1"/>
    <col min="2008" max="2008" width="9.625" hidden="1" customWidth="1"/>
    <col min="2009" max="2009" width="8.625" hidden="1" customWidth="1"/>
    <col min="2010" max="2010" width="9.625" hidden="1" customWidth="1"/>
    <col min="2011" max="2012" width="8.625" hidden="1" customWidth="1"/>
    <col min="2013" max="2013" width="9.125" hidden="1" customWidth="1"/>
    <col min="2014" max="2014" width="9.5" hidden="1" customWidth="1"/>
    <col min="2015" max="2015" width="10.5" hidden="1" customWidth="1"/>
    <col min="2016" max="2016" width="9.5" hidden="1" customWidth="1"/>
    <col min="2017" max="2017" width="8.625" hidden="1" customWidth="1"/>
    <col min="2018" max="2018" width="11.125" hidden="1" customWidth="1"/>
    <col min="2019" max="2020" width="8.625" hidden="1" customWidth="1"/>
    <col min="2021" max="2021" width="9.125" hidden="1" customWidth="1"/>
    <col min="2022" max="2024" width="9.625" hidden="1" customWidth="1"/>
    <col min="2025" max="2025" width="8.625" hidden="1" customWidth="1"/>
    <col min="2026" max="2026" width="10.125" hidden="1" customWidth="1"/>
    <col min="2027" max="2028" width="8.625" hidden="1" customWidth="1"/>
    <col min="2029" max="2029" width="30.125" hidden="1" customWidth="1"/>
    <col min="2030" max="2030" width="2.625" hidden="1" customWidth="1"/>
    <col min="2031" max="2031" width="18.625" hidden="1" customWidth="1"/>
    <col min="2032" max="2032" width="1.625" hidden="1" customWidth="1"/>
    <col min="2033" max="2081" width="8.625" hidden="1" customWidth="1"/>
    <col min="2082" max="2230" width="8.625" hidden="1"/>
    <col min="2231" max="2231" width="0.625" hidden="1" customWidth="1"/>
    <col min="2232" max="2232" width="6.625" hidden="1" customWidth="1"/>
    <col min="2233" max="2233" width="50.125" hidden="1" customWidth="1"/>
    <col min="2234" max="2234" width="0.125" hidden="1" customWidth="1"/>
    <col min="2235" max="2236" width="8.625" hidden="1" customWidth="1"/>
    <col min="2237" max="2237" width="10.625" hidden="1" customWidth="1"/>
    <col min="2238" max="2238" width="10" hidden="1" customWidth="1"/>
    <col min="2239" max="2239" width="11.625" hidden="1" customWidth="1"/>
    <col min="2240" max="2242" width="10.625" hidden="1" customWidth="1"/>
    <col min="2243" max="2243" width="9.125" hidden="1" customWidth="1"/>
    <col min="2244" max="2245" width="9.625" hidden="1" customWidth="1"/>
    <col min="2246" max="2246" width="9.5" hidden="1" customWidth="1"/>
    <col min="2247" max="2247" width="9.625" hidden="1" customWidth="1"/>
    <col min="2248" max="2248" width="9.5" hidden="1" customWidth="1"/>
    <col min="2249" max="2249" width="8.625" hidden="1" customWidth="1"/>
    <col min="2250" max="2250" width="10.625" hidden="1" customWidth="1"/>
    <col min="2251" max="2252" width="8.625" hidden="1" customWidth="1"/>
    <col min="2253" max="2256" width="10.125" hidden="1" customWidth="1"/>
    <col min="2257" max="2257" width="8.625" hidden="1" customWidth="1"/>
    <col min="2258" max="2258" width="10.125" hidden="1" customWidth="1"/>
    <col min="2259" max="2260" width="8.625" hidden="1" customWidth="1"/>
    <col min="2261" max="2262" width="9.625" hidden="1" customWidth="1"/>
    <col min="2263" max="2263" width="10" hidden="1" customWidth="1"/>
    <col min="2264" max="2264" width="9.625" hidden="1" customWidth="1"/>
    <col min="2265" max="2265" width="8.625" hidden="1" customWidth="1"/>
    <col min="2266" max="2266" width="9.625" hidden="1" customWidth="1"/>
    <col min="2267" max="2268" width="8.625" hidden="1" customWidth="1"/>
    <col min="2269" max="2269" width="9.125" hidden="1" customWidth="1"/>
    <col min="2270" max="2270" width="9.5" hidden="1" customWidth="1"/>
    <col min="2271" max="2271" width="10.5" hidden="1" customWidth="1"/>
    <col min="2272" max="2272" width="9.5" hidden="1" customWidth="1"/>
    <col min="2273" max="2273" width="8.625" hidden="1" customWidth="1"/>
    <col min="2274" max="2274" width="11.125" hidden="1" customWidth="1"/>
    <col min="2275" max="2276" width="8.625" hidden="1" customWidth="1"/>
    <col min="2277" max="2277" width="9.125" hidden="1" customWidth="1"/>
    <col min="2278" max="2280" width="9.625" hidden="1" customWidth="1"/>
    <col min="2281" max="2281" width="8.625" hidden="1" customWidth="1"/>
    <col min="2282" max="2282" width="10.125" hidden="1" customWidth="1"/>
    <col min="2283" max="2284" width="8.625" hidden="1" customWidth="1"/>
    <col min="2285" max="2285" width="30.125" hidden="1" customWidth="1"/>
    <col min="2286" max="2286" width="2.625" hidden="1" customWidth="1"/>
    <col min="2287" max="2287" width="18.625" hidden="1" customWidth="1"/>
    <col min="2288" max="2288" width="1.625" hidden="1" customWidth="1"/>
    <col min="2289" max="2337" width="8.625" hidden="1" customWidth="1"/>
    <col min="2338" max="2486" width="8.625" hidden="1"/>
    <col min="2487" max="2487" width="0.625" hidden="1" customWidth="1"/>
    <col min="2488" max="2488" width="6.625" hidden="1" customWidth="1"/>
    <col min="2489" max="2489" width="50.125" hidden="1" customWidth="1"/>
    <col min="2490" max="2490" width="0.125" hidden="1" customWidth="1"/>
    <col min="2491" max="2492" width="8.625" hidden="1" customWidth="1"/>
    <col min="2493" max="2493" width="10.625" hidden="1" customWidth="1"/>
    <col min="2494" max="2494" width="10" hidden="1" customWidth="1"/>
    <col min="2495" max="2495" width="11.625" hidden="1" customWidth="1"/>
    <col min="2496" max="2498" width="10.625" hidden="1" customWidth="1"/>
    <col min="2499" max="2499" width="9.125" hidden="1" customWidth="1"/>
    <col min="2500" max="2501" width="9.625" hidden="1" customWidth="1"/>
    <col min="2502" max="2502" width="9.5" hidden="1" customWidth="1"/>
    <col min="2503" max="2503" width="9.625" hidden="1" customWidth="1"/>
    <col min="2504" max="2504" width="9.5" hidden="1" customWidth="1"/>
    <col min="2505" max="2505" width="8.625" hidden="1" customWidth="1"/>
    <col min="2506" max="2506" width="10.625" hidden="1" customWidth="1"/>
    <col min="2507" max="2508" width="8.625" hidden="1" customWidth="1"/>
    <col min="2509" max="2512" width="10.125" hidden="1" customWidth="1"/>
    <col min="2513" max="2513" width="8.625" hidden="1" customWidth="1"/>
    <col min="2514" max="2514" width="10.125" hidden="1" customWidth="1"/>
    <col min="2515" max="2516" width="8.625" hidden="1" customWidth="1"/>
    <col min="2517" max="2518" width="9.625" hidden="1" customWidth="1"/>
    <col min="2519" max="2519" width="10" hidden="1" customWidth="1"/>
    <col min="2520" max="2520" width="9.625" hidden="1" customWidth="1"/>
    <col min="2521" max="2521" width="8.625" hidden="1" customWidth="1"/>
    <col min="2522" max="2522" width="9.625" hidden="1" customWidth="1"/>
    <col min="2523" max="2524" width="8.625" hidden="1" customWidth="1"/>
    <col min="2525" max="2525" width="9.125" hidden="1" customWidth="1"/>
    <col min="2526" max="2526" width="9.5" hidden="1" customWidth="1"/>
    <col min="2527" max="2527" width="10.5" hidden="1" customWidth="1"/>
    <col min="2528" max="2528" width="9.5" hidden="1" customWidth="1"/>
    <col min="2529" max="2529" width="8.625" hidden="1" customWidth="1"/>
    <col min="2530" max="2530" width="11.125" hidden="1" customWidth="1"/>
    <col min="2531" max="2532" width="8.625" hidden="1" customWidth="1"/>
    <col min="2533" max="2533" width="9.125" hidden="1" customWidth="1"/>
    <col min="2534" max="2536" width="9.625" hidden="1" customWidth="1"/>
    <col min="2537" max="2537" width="8.625" hidden="1" customWidth="1"/>
    <col min="2538" max="2538" width="10.125" hidden="1" customWidth="1"/>
    <col min="2539" max="2540" width="8.625" hidden="1" customWidth="1"/>
    <col min="2541" max="2541" width="30.125" hidden="1" customWidth="1"/>
    <col min="2542" max="2542" width="2.625" hidden="1" customWidth="1"/>
    <col min="2543" max="2543" width="18.625" hidden="1" customWidth="1"/>
    <col min="2544" max="2544" width="1.625" hidden="1" customWidth="1"/>
    <col min="2545" max="2593" width="8.625" hidden="1" customWidth="1"/>
    <col min="2594" max="2742" width="8.625" hidden="1"/>
    <col min="2743" max="2743" width="0.625" hidden="1" customWidth="1"/>
    <col min="2744" max="2744" width="6.625" hidden="1" customWidth="1"/>
    <col min="2745" max="2745" width="50.125" hidden="1" customWidth="1"/>
    <col min="2746" max="2746" width="0.125" hidden="1" customWidth="1"/>
    <col min="2747" max="2748" width="8.625" hidden="1" customWidth="1"/>
    <col min="2749" max="2749" width="10.625" hidden="1" customWidth="1"/>
    <col min="2750" max="2750" width="10" hidden="1" customWidth="1"/>
    <col min="2751" max="2751" width="11.625" hidden="1" customWidth="1"/>
    <col min="2752" max="2754" width="10.625" hidden="1" customWidth="1"/>
    <col min="2755" max="2755" width="9.125" hidden="1" customWidth="1"/>
    <col min="2756" max="2757" width="9.625" hidden="1" customWidth="1"/>
    <col min="2758" max="2758" width="9.5" hidden="1" customWidth="1"/>
    <col min="2759" max="2759" width="9.625" hidden="1" customWidth="1"/>
    <col min="2760" max="2760" width="9.5" hidden="1" customWidth="1"/>
    <col min="2761" max="2761" width="8.625" hidden="1" customWidth="1"/>
    <col min="2762" max="2762" width="10.625" hidden="1" customWidth="1"/>
    <col min="2763" max="2764" width="8.625" hidden="1" customWidth="1"/>
    <col min="2765" max="2768" width="10.125" hidden="1" customWidth="1"/>
    <col min="2769" max="2769" width="8.625" hidden="1" customWidth="1"/>
    <col min="2770" max="2770" width="10.125" hidden="1" customWidth="1"/>
    <col min="2771" max="2772" width="8.625" hidden="1" customWidth="1"/>
    <col min="2773" max="2774" width="9.625" hidden="1" customWidth="1"/>
    <col min="2775" max="2775" width="10" hidden="1" customWidth="1"/>
    <col min="2776" max="2776" width="9.625" hidden="1" customWidth="1"/>
    <col min="2777" max="2777" width="8.625" hidden="1" customWidth="1"/>
    <col min="2778" max="2778" width="9.625" hidden="1" customWidth="1"/>
    <col min="2779" max="2780" width="8.625" hidden="1" customWidth="1"/>
    <col min="2781" max="2781" width="9.125" hidden="1" customWidth="1"/>
    <col min="2782" max="2782" width="9.5" hidden="1" customWidth="1"/>
    <col min="2783" max="2783" width="10.5" hidden="1" customWidth="1"/>
    <col min="2784" max="2784" width="9.5" hidden="1" customWidth="1"/>
    <col min="2785" max="2785" width="8.625" hidden="1" customWidth="1"/>
    <col min="2786" max="2786" width="11.125" hidden="1" customWidth="1"/>
    <col min="2787" max="2788" width="8.625" hidden="1" customWidth="1"/>
    <col min="2789" max="2789" width="9.125" hidden="1" customWidth="1"/>
    <col min="2790" max="2792" width="9.625" hidden="1" customWidth="1"/>
    <col min="2793" max="2793" width="8.625" hidden="1" customWidth="1"/>
    <col min="2794" max="2794" width="10.125" hidden="1" customWidth="1"/>
    <col min="2795" max="2796" width="8.625" hidden="1" customWidth="1"/>
    <col min="2797" max="2797" width="30.125" hidden="1" customWidth="1"/>
    <col min="2798" max="2798" width="2.625" hidden="1" customWidth="1"/>
    <col min="2799" max="2799" width="18.625" hidden="1" customWidth="1"/>
    <col min="2800" max="2800" width="1.625" hidden="1" customWidth="1"/>
    <col min="2801" max="2849" width="8.625" hidden="1" customWidth="1"/>
    <col min="2850" max="2998" width="8.625" hidden="1"/>
    <col min="2999" max="2999" width="0.625" hidden="1" customWidth="1"/>
    <col min="3000" max="3000" width="6.625" hidden="1" customWidth="1"/>
    <col min="3001" max="3001" width="50.125" hidden="1" customWidth="1"/>
    <col min="3002" max="3002" width="0.125" hidden="1" customWidth="1"/>
    <col min="3003" max="3004" width="8.625" hidden="1" customWidth="1"/>
    <col min="3005" max="3005" width="10.625" hidden="1" customWidth="1"/>
    <col min="3006" max="3006" width="10" hidden="1" customWidth="1"/>
    <col min="3007" max="3007" width="11.625" hidden="1" customWidth="1"/>
    <col min="3008" max="3010" width="10.625" hidden="1" customWidth="1"/>
    <col min="3011" max="3011" width="9.125" hidden="1" customWidth="1"/>
    <col min="3012" max="3013" width="9.625" hidden="1" customWidth="1"/>
    <col min="3014" max="3014" width="9.5" hidden="1" customWidth="1"/>
    <col min="3015" max="3015" width="9.625" hidden="1" customWidth="1"/>
    <col min="3016" max="3016" width="9.5" hidden="1" customWidth="1"/>
    <col min="3017" max="3017" width="8.625" hidden="1" customWidth="1"/>
    <col min="3018" max="3018" width="10.625" hidden="1" customWidth="1"/>
    <col min="3019" max="3020" width="8.625" hidden="1" customWidth="1"/>
    <col min="3021" max="3024" width="10.125" hidden="1" customWidth="1"/>
    <col min="3025" max="3025" width="8.625" hidden="1" customWidth="1"/>
    <col min="3026" max="3026" width="10.125" hidden="1" customWidth="1"/>
    <col min="3027" max="3028" width="8.625" hidden="1" customWidth="1"/>
    <col min="3029" max="3030" width="9.625" hidden="1" customWidth="1"/>
    <col min="3031" max="3031" width="10" hidden="1" customWidth="1"/>
    <col min="3032" max="3032" width="9.625" hidden="1" customWidth="1"/>
    <col min="3033" max="3033" width="8.625" hidden="1" customWidth="1"/>
    <col min="3034" max="3034" width="9.625" hidden="1" customWidth="1"/>
    <col min="3035" max="3036" width="8.625" hidden="1" customWidth="1"/>
    <col min="3037" max="3037" width="9.125" hidden="1" customWidth="1"/>
    <col min="3038" max="3038" width="9.5" hidden="1" customWidth="1"/>
    <col min="3039" max="3039" width="10.5" hidden="1" customWidth="1"/>
    <col min="3040" max="3040" width="9.5" hidden="1" customWidth="1"/>
    <col min="3041" max="3041" width="8.625" hidden="1" customWidth="1"/>
    <col min="3042" max="3042" width="11.125" hidden="1" customWidth="1"/>
    <col min="3043" max="3044" width="8.625" hidden="1" customWidth="1"/>
    <col min="3045" max="3045" width="9.125" hidden="1" customWidth="1"/>
    <col min="3046" max="3048" width="9.625" hidden="1" customWidth="1"/>
    <col min="3049" max="3049" width="8.625" hidden="1" customWidth="1"/>
    <col min="3050" max="3050" width="10.125" hidden="1" customWidth="1"/>
    <col min="3051" max="3052" width="8.625" hidden="1" customWidth="1"/>
    <col min="3053" max="3053" width="30.125" hidden="1" customWidth="1"/>
    <col min="3054" max="3054" width="2.625" hidden="1" customWidth="1"/>
    <col min="3055" max="3055" width="18.625" hidden="1" customWidth="1"/>
    <col min="3056" max="3056" width="1.625" hidden="1" customWidth="1"/>
    <col min="3057" max="3105" width="8.625" hidden="1" customWidth="1"/>
    <col min="3106" max="3254" width="8.625" hidden="1"/>
    <col min="3255" max="3255" width="0.625" hidden="1" customWidth="1"/>
    <col min="3256" max="3256" width="6.625" hidden="1" customWidth="1"/>
    <col min="3257" max="3257" width="50.125" hidden="1" customWidth="1"/>
    <col min="3258" max="3258" width="0.125" hidden="1" customWidth="1"/>
    <col min="3259" max="3260" width="8.625" hidden="1" customWidth="1"/>
    <col min="3261" max="3261" width="10.625" hidden="1" customWidth="1"/>
    <col min="3262" max="3262" width="10" hidden="1" customWidth="1"/>
    <col min="3263" max="3263" width="11.625" hidden="1" customWidth="1"/>
    <col min="3264" max="3266" width="10.625" hidden="1" customWidth="1"/>
    <col min="3267" max="3267" width="9.125" hidden="1" customWidth="1"/>
    <col min="3268" max="3269" width="9.625" hidden="1" customWidth="1"/>
    <col min="3270" max="3270" width="9.5" hidden="1" customWidth="1"/>
    <col min="3271" max="3271" width="9.625" hidden="1" customWidth="1"/>
    <col min="3272" max="3272" width="9.5" hidden="1" customWidth="1"/>
    <col min="3273" max="3273" width="8.625" hidden="1" customWidth="1"/>
    <col min="3274" max="3274" width="10.625" hidden="1" customWidth="1"/>
    <col min="3275" max="3276" width="8.625" hidden="1" customWidth="1"/>
    <col min="3277" max="3280" width="10.125" hidden="1" customWidth="1"/>
    <col min="3281" max="3281" width="8.625" hidden="1" customWidth="1"/>
    <col min="3282" max="3282" width="10.125" hidden="1" customWidth="1"/>
    <col min="3283" max="3284" width="8.625" hidden="1" customWidth="1"/>
    <col min="3285" max="3286" width="9.625" hidden="1" customWidth="1"/>
    <col min="3287" max="3287" width="10" hidden="1" customWidth="1"/>
    <col min="3288" max="3288" width="9.625" hidden="1" customWidth="1"/>
    <col min="3289" max="3289" width="8.625" hidden="1" customWidth="1"/>
    <col min="3290" max="3290" width="9.625" hidden="1" customWidth="1"/>
    <col min="3291" max="3292" width="8.625" hidden="1" customWidth="1"/>
    <col min="3293" max="3293" width="9.125" hidden="1" customWidth="1"/>
    <col min="3294" max="3294" width="9.5" hidden="1" customWidth="1"/>
    <col min="3295" max="3295" width="10.5" hidden="1" customWidth="1"/>
    <col min="3296" max="3296" width="9.5" hidden="1" customWidth="1"/>
    <col min="3297" max="3297" width="8.625" hidden="1" customWidth="1"/>
    <col min="3298" max="3298" width="11.125" hidden="1" customWidth="1"/>
    <col min="3299" max="3300" width="8.625" hidden="1" customWidth="1"/>
    <col min="3301" max="3301" width="9.125" hidden="1" customWidth="1"/>
    <col min="3302" max="3304" width="9.625" hidden="1" customWidth="1"/>
    <col min="3305" max="3305" width="8.625" hidden="1" customWidth="1"/>
    <col min="3306" max="3306" width="10.125" hidden="1" customWidth="1"/>
    <col min="3307" max="3308" width="8.625" hidden="1" customWidth="1"/>
    <col min="3309" max="3309" width="30.125" hidden="1" customWidth="1"/>
    <col min="3310" max="3310" width="2.625" hidden="1" customWidth="1"/>
    <col min="3311" max="3311" width="18.625" hidden="1" customWidth="1"/>
    <col min="3312" max="3312" width="1.625" hidden="1" customWidth="1"/>
    <col min="3313" max="3361" width="8.625" hidden="1" customWidth="1"/>
    <col min="3362" max="3510" width="8.625" hidden="1"/>
    <col min="3511" max="3511" width="0.625" hidden="1" customWidth="1"/>
    <col min="3512" max="3512" width="6.625" hidden="1" customWidth="1"/>
    <col min="3513" max="3513" width="50.125" hidden="1" customWidth="1"/>
    <col min="3514" max="3514" width="0.125" hidden="1" customWidth="1"/>
    <col min="3515" max="3516" width="8.625" hidden="1" customWidth="1"/>
    <col min="3517" max="3517" width="10.625" hidden="1" customWidth="1"/>
    <col min="3518" max="3518" width="10" hidden="1" customWidth="1"/>
    <col min="3519" max="3519" width="11.625" hidden="1" customWidth="1"/>
    <col min="3520" max="3522" width="10.625" hidden="1" customWidth="1"/>
    <col min="3523" max="3523" width="9.125" hidden="1" customWidth="1"/>
    <col min="3524" max="3525" width="9.625" hidden="1" customWidth="1"/>
    <col min="3526" max="3526" width="9.5" hidden="1" customWidth="1"/>
    <col min="3527" max="3527" width="9.625" hidden="1" customWidth="1"/>
    <col min="3528" max="3528" width="9.5" hidden="1" customWidth="1"/>
    <col min="3529" max="3529" width="8.625" hidden="1" customWidth="1"/>
    <col min="3530" max="3530" width="10.625" hidden="1" customWidth="1"/>
    <col min="3531" max="3532" width="8.625" hidden="1" customWidth="1"/>
    <col min="3533" max="3536" width="10.125" hidden="1" customWidth="1"/>
    <col min="3537" max="3537" width="8.625" hidden="1" customWidth="1"/>
    <col min="3538" max="3538" width="10.125" hidden="1" customWidth="1"/>
    <col min="3539" max="3540" width="8.625" hidden="1" customWidth="1"/>
    <col min="3541" max="3542" width="9.625" hidden="1" customWidth="1"/>
    <col min="3543" max="3543" width="10" hidden="1" customWidth="1"/>
    <col min="3544" max="3544" width="9.625" hidden="1" customWidth="1"/>
    <col min="3545" max="3545" width="8.625" hidden="1" customWidth="1"/>
    <col min="3546" max="3546" width="9.625" hidden="1" customWidth="1"/>
    <col min="3547" max="3548" width="8.625" hidden="1" customWidth="1"/>
    <col min="3549" max="3549" width="9.125" hidden="1" customWidth="1"/>
    <col min="3550" max="3550" width="9.5" hidden="1" customWidth="1"/>
    <col min="3551" max="3551" width="10.5" hidden="1" customWidth="1"/>
    <col min="3552" max="3552" width="9.5" hidden="1" customWidth="1"/>
    <col min="3553" max="3553" width="8.625" hidden="1" customWidth="1"/>
    <col min="3554" max="3554" width="11.125" hidden="1" customWidth="1"/>
    <col min="3555" max="3556" width="8.625" hidden="1" customWidth="1"/>
    <col min="3557" max="3557" width="9.125" hidden="1" customWidth="1"/>
    <col min="3558" max="3560" width="9.625" hidden="1" customWidth="1"/>
    <col min="3561" max="3561" width="8.625" hidden="1" customWidth="1"/>
    <col min="3562" max="3562" width="10.125" hidden="1" customWidth="1"/>
    <col min="3563" max="3564" width="8.625" hidden="1" customWidth="1"/>
    <col min="3565" max="3565" width="30.125" hidden="1" customWidth="1"/>
    <col min="3566" max="3566" width="2.625" hidden="1" customWidth="1"/>
    <col min="3567" max="3567" width="18.625" hidden="1" customWidth="1"/>
    <col min="3568" max="3568" width="1.625" hidden="1" customWidth="1"/>
    <col min="3569" max="3617" width="8.625" hidden="1" customWidth="1"/>
    <col min="3618" max="3766" width="8.625" hidden="1"/>
    <col min="3767" max="3767" width="0.625" hidden="1" customWidth="1"/>
    <col min="3768" max="3768" width="6.625" hidden="1" customWidth="1"/>
    <col min="3769" max="3769" width="50.125" hidden="1" customWidth="1"/>
    <col min="3770" max="3770" width="0.125" hidden="1" customWidth="1"/>
    <col min="3771" max="3772" width="8.625" hidden="1" customWidth="1"/>
    <col min="3773" max="3773" width="10.625" hidden="1" customWidth="1"/>
    <col min="3774" max="3774" width="10" hidden="1" customWidth="1"/>
    <col min="3775" max="3775" width="11.625" hidden="1" customWidth="1"/>
    <col min="3776" max="3778" width="10.625" hidden="1" customWidth="1"/>
    <col min="3779" max="3779" width="9.125" hidden="1" customWidth="1"/>
    <col min="3780" max="3781" width="9.625" hidden="1" customWidth="1"/>
    <col min="3782" max="3782" width="9.5" hidden="1" customWidth="1"/>
    <col min="3783" max="3783" width="9.625" hidden="1" customWidth="1"/>
    <col min="3784" max="3784" width="9.5" hidden="1" customWidth="1"/>
    <col min="3785" max="3785" width="8.625" hidden="1" customWidth="1"/>
    <col min="3786" max="3786" width="10.625" hidden="1" customWidth="1"/>
    <col min="3787" max="3788" width="8.625" hidden="1" customWidth="1"/>
    <col min="3789" max="3792" width="10.125" hidden="1" customWidth="1"/>
    <col min="3793" max="3793" width="8.625" hidden="1" customWidth="1"/>
    <col min="3794" max="3794" width="10.125" hidden="1" customWidth="1"/>
    <col min="3795" max="3796" width="8.625" hidden="1" customWidth="1"/>
    <col min="3797" max="3798" width="9.625" hidden="1" customWidth="1"/>
    <col min="3799" max="3799" width="10" hidden="1" customWidth="1"/>
    <col min="3800" max="3800" width="9.625" hidden="1" customWidth="1"/>
    <col min="3801" max="3801" width="8.625" hidden="1" customWidth="1"/>
    <col min="3802" max="3802" width="9.625" hidden="1" customWidth="1"/>
    <col min="3803" max="3804" width="8.625" hidden="1" customWidth="1"/>
    <col min="3805" max="3805" width="9.125" hidden="1" customWidth="1"/>
    <col min="3806" max="3806" width="9.5" hidden="1" customWidth="1"/>
    <col min="3807" max="3807" width="10.5" hidden="1" customWidth="1"/>
    <col min="3808" max="3808" width="9.5" hidden="1" customWidth="1"/>
    <col min="3809" max="3809" width="8.625" hidden="1" customWidth="1"/>
    <col min="3810" max="3810" width="11.125" hidden="1" customWidth="1"/>
    <col min="3811" max="3812" width="8.625" hidden="1" customWidth="1"/>
    <col min="3813" max="3813" width="9.125" hidden="1" customWidth="1"/>
    <col min="3814" max="3816" width="9.625" hidden="1" customWidth="1"/>
    <col min="3817" max="3817" width="8.625" hidden="1" customWidth="1"/>
    <col min="3818" max="3818" width="10.125" hidden="1" customWidth="1"/>
    <col min="3819" max="3820" width="8.625" hidden="1" customWidth="1"/>
    <col min="3821" max="3821" width="30.125" hidden="1" customWidth="1"/>
    <col min="3822" max="3822" width="2.625" hidden="1" customWidth="1"/>
    <col min="3823" max="3823" width="18.625" hidden="1" customWidth="1"/>
    <col min="3824" max="3824" width="1.625" hidden="1" customWidth="1"/>
    <col min="3825" max="3873" width="8.625" hidden="1" customWidth="1"/>
    <col min="3874" max="4022" width="8.625" hidden="1"/>
    <col min="4023" max="4023" width="0.625" hidden="1" customWidth="1"/>
    <col min="4024" max="4024" width="6.625" hidden="1" customWidth="1"/>
    <col min="4025" max="4025" width="50.125" hidden="1" customWidth="1"/>
    <col min="4026" max="4026" width="0.125" hidden="1" customWidth="1"/>
    <col min="4027" max="4028" width="8.625" hidden="1" customWidth="1"/>
    <col min="4029" max="4029" width="10.625" hidden="1" customWidth="1"/>
    <col min="4030" max="4030" width="10" hidden="1" customWidth="1"/>
    <col min="4031" max="4031" width="11.625" hidden="1" customWidth="1"/>
    <col min="4032" max="4034" width="10.625" hidden="1" customWidth="1"/>
    <col min="4035" max="4035" width="9.125" hidden="1" customWidth="1"/>
    <col min="4036" max="4037" width="9.625" hidden="1" customWidth="1"/>
    <col min="4038" max="4038" width="9.5" hidden="1" customWidth="1"/>
    <col min="4039" max="4039" width="9.625" hidden="1" customWidth="1"/>
    <col min="4040" max="4040" width="9.5" hidden="1" customWidth="1"/>
    <col min="4041" max="4041" width="8.625" hidden="1" customWidth="1"/>
    <col min="4042" max="4042" width="10.625" hidden="1" customWidth="1"/>
    <col min="4043" max="4044" width="8.625" hidden="1" customWidth="1"/>
    <col min="4045" max="4048" width="10.125" hidden="1" customWidth="1"/>
    <col min="4049" max="4049" width="8.625" hidden="1" customWidth="1"/>
    <col min="4050" max="4050" width="10.125" hidden="1" customWidth="1"/>
    <col min="4051" max="4052" width="8.625" hidden="1" customWidth="1"/>
    <col min="4053" max="4054" width="9.625" hidden="1" customWidth="1"/>
    <col min="4055" max="4055" width="10" hidden="1" customWidth="1"/>
    <col min="4056" max="4056" width="9.625" hidden="1" customWidth="1"/>
    <col min="4057" max="4057" width="8.625" hidden="1" customWidth="1"/>
    <col min="4058" max="4058" width="9.625" hidden="1" customWidth="1"/>
    <col min="4059" max="4060" width="8.625" hidden="1" customWidth="1"/>
    <col min="4061" max="4061" width="9.125" hidden="1" customWidth="1"/>
    <col min="4062" max="4062" width="9.5" hidden="1" customWidth="1"/>
    <col min="4063" max="4063" width="10.5" hidden="1" customWidth="1"/>
    <col min="4064" max="4064" width="9.5" hidden="1" customWidth="1"/>
    <col min="4065" max="4065" width="8.625" hidden="1" customWidth="1"/>
    <col min="4066" max="4066" width="11.125" hidden="1" customWidth="1"/>
    <col min="4067" max="4068" width="8.625" hidden="1" customWidth="1"/>
    <col min="4069" max="4069" width="9.125" hidden="1" customWidth="1"/>
    <col min="4070" max="4072" width="9.625" hidden="1" customWidth="1"/>
    <col min="4073" max="4073" width="8.625" hidden="1" customWidth="1"/>
    <col min="4074" max="4074" width="10.125" hidden="1" customWidth="1"/>
    <col min="4075" max="4076" width="8.625" hidden="1" customWidth="1"/>
    <col min="4077" max="4077" width="30.125" hidden="1" customWidth="1"/>
    <col min="4078" max="4078" width="2.625" hidden="1" customWidth="1"/>
    <col min="4079" max="4079" width="18.625" hidden="1" customWidth="1"/>
    <col min="4080" max="4080" width="1.625" hidden="1" customWidth="1"/>
    <col min="4081" max="4129" width="8.625" hidden="1" customWidth="1"/>
    <col min="4130" max="4278" width="8.625" hidden="1"/>
    <col min="4279" max="4279" width="0.625" hidden="1" customWidth="1"/>
    <col min="4280" max="4280" width="6.625" hidden="1" customWidth="1"/>
    <col min="4281" max="4281" width="50.125" hidden="1" customWidth="1"/>
    <col min="4282" max="4282" width="0.125" hidden="1" customWidth="1"/>
    <col min="4283" max="4284" width="8.625" hidden="1" customWidth="1"/>
    <col min="4285" max="4285" width="10.625" hidden="1" customWidth="1"/>
    <col min="4286" max="4286" width="10" hidden="1" customWidth="1"/>
    <col min="4287" max="4287" width="11.625" hidden="1" customWidth="1"/>
    <col min="4288" max="4290" width="10.625" hidden="1" customWidth="1"/>
    <col min="4291" max="4291" width="9.125" hidden="1" customWidth="1"/>
    <col min="4292" max="4293" width="9.625" hidden="1" customWidth="1"/>
    <col min="4294" max="4294" width="9.5" hidden="1" customWidth="1"/>
    <col min="4295" max="4295" width="9.625" hidden="1" customWidth="1"/>
    <col min="4296" max="4296" width="9.5" hidden="1" customWidth="1"/>
    <col min="4297" max="4297" width="8.625" hidden="1" customWidth="1"/>
    <col min="4298" max="4298" width="10.625" hidden="1" customWidth="1"/>
    <col min="4299" max="4300" width="8.625" hidden="1" customWidth="1"/>
    <col min="4301" max="4304" width="10.125" hidden="1" customWidth="1"/>
    <col min="4305" max="4305" width="8.625" hidden="1" customWidth="1"/>
    <col min="4306" max="4306" width="10.125" hidden="1" customWidth="1"/>
    <col min="4307" max="4308" width="8.625" hidden="1" customWidth="1"/>
    <col min="4309" max="4310" width="9.625" hidden="1" customWidth="1"/>
    <col min="4311" max="4311" width="10" hidden="1" customWidth="1"/>
    <col min="4312" max="4312" width="9.625" hidden="1" customWidth="1"/>
    <col min="4313" max="4313" width="8.625" hidden="1" customWidth="1"/>
    <col min="4314" max="4314" width="9.625" hidden="1" customWidth="1"/>
    <col min="4315" max="4316" width="8.625" hidden="1" customWidth="1"/>
    <col min="4317" max="4317" width="9.125" hidden="1" customWidth="1"/>
    <col min="4318" max="4318" width="9.5" hidden="1" customWidth="1"/>
    <col min="4319" max="4319" width="10.5" hidden="1" customWidth="1"/>
    <col min="4320" max="4320" width="9.5" hidden="1" customWidth="1"/>
    <col min="4321" max="4321" width="8.625" hidden="1" customWidth="1"/>
    <col min="4322" max="4322" width="11.125" hidden="1" customWidth="1"/>
    <col min="4323" max="4324" width="8.625" hidden="1" customWidth="1"/>
    <col min="4325" max="4325" width="9.125" hidden="1" customWidth="1"/>
    <col min="4326" max="4328" width="9.625" hidden="1" customWidth="1"/>
    <col min="4329" max="4329" width="8.625" hidden="1" customWidth="1"/>
    <col min="4330" max="4330" width="10.125" hidden="1" customWidth="1"/>
    <col min="4331" max="4332" width="8.625" hidden="1" customWidth="1"/>
    <col min="4333" max="4333" width="30.125" hidden="1" customWidth="1"/>
    <col min="4334" max="4334" width="2.625" hidden="1" customWidth="1"/>
    <col min="4335" max="4335" width="18.625" hidden="1" customWidth="1"/>
    <col min="4336" max="4336" width="1.625" hidden="1" customWidth="1"/>
    <col min="4337" max="4385" width="8.625" hidden="1" customWidth="1"/>
    <col min="4386" max="4534" width="8.625" hidden="1"/>
    <col min="4535" max="4535" width="0.625" hidden="1" customWidth="1"/>
    <col min="4536" max="4536" width="6.625" hidden="1" customWidth="1"/>
    <col min="4537" max="4537" width="50.125" hidden="1" customWidth="1"/>
    <col min="4538" max="4538" width="0.125" hidden="1" customWidth="1"/>
    <col min="4539" max="4540" width="8.625" hidden="1" customWidth="1"/>
    <col min="4541" max="4541" width="10.625" hidden="1" customWidth="1"/>
    <col min="4542" max="4542" width="10" hidden="1" customWidth="1"/>
    <col min="4543" max="4543" width="11.625" hidden="1" customWidth="1"/>
    <col min="4544" max="4546" width="10.625" hidden="1" customWidth="1"/>
    <col min="4547" max="4547" width="9.125" hidden="1" customWidth="1"/>
    <col min="4548" max="4549" width="9.625" hidden="1" customWidth="1"/>
    <col min="4550" max="4550" width="9.5" hidden="1" customWidth="1"/>
    <col min="4551" max="4551" width="9.625" hidden="1" customWidth="1"/>
    <col min="4552" max="4552" width="9.5" hidden="1" customWidth="1"/>
    <col min="4553" max="4553" width="8.625" hidden="1" customWidth="1"/>
    <col min="4554" max="4554" width="10.625" hidden="1" customWidth="1"/>
    <col min="4555" max="4556" width="8.625" hidden="1" customWidth="1"/>
    <col min="4557" max="4560" width="10.125" hidden="1" customWidth="1"/>
    <col min="4561" max="4561" width="8.625" hidden="1" customWidth="1"/>
    <col min="4562" max="4562" width="10.125" hidden="1" customWidth="1"/>
    <col min="4563" max="4564" width="8.625" hidden="1" customWidth="1"/>
    <col min="4565" max="4566" width="9.625" hidden="1" customWidth="1"/>
    <col min="4567" max="4567" width="10" hidden="1" customWidth="1"/>
    <col min="4568" max="4568" width="9.625" hidden="1" customWidth="1"/>
    <col min="4569" max="4569" width="8.625" hidden="1" customWidth="1"/>
    <col min="4570" max="4570" width="9.625" hidden="1" customWidth="1"/>
    <col min="4571" max="4572" width="8.625" hidden="1" customWidth="1"/>
    <col min="4573" max="4573" width="9.125" hidden="1" customWidth="1"/>
    <col min="4574" max="4574" width="9.5" hidden="1" customWidth="1"/>
    <col min="4575" max="4575" width="10.5" hidden="1" customWidth="1"/>
    <col min="4576" max="4576" width="9.5" hidden="1" customWidth="1"/>
    <col min="4577" max="4577" width="8.625" hidden="1" customWidth="1"/>
    <col min="4578" max="4578" width="11.125" hidden="1" customWidth="1"/>
    <col min="4579" max="4580" width="8.625" hidden="1" customWidth="1"/>
    <col min="4581" max="4581" width="9.125" hidden="1" customWidth="1"/>
    <col min="4582" max="4584" width="9.625" hidden="1" customWidth="1"/>
    <col min="4585" max="4585" width="8.625" hidden="1" customWidth="1"/>
    <col min="4586" max="4586" width="10.125" hidden="1" customWidth="1"/>
    <col min="4587" max="4588" width="8.625" hidden="1" customWidth="1"/>
    <col min="4589" max="4589" width="30.125" hidden="1" customWidth="1"/>
    <col min="4590" max="4590" width="2.625" hidden="1" customWidth="1"/>
    <col min="4591" max="4591" width="18.625" hidden="1" customWidth="1"/>
    <col min="4592" max="4592" width="1.625" hidden="1" customWidth="1"/>
    <col min="4593" max="4641" width="8.625" hidden="1" customWidth="1"/>
    <col min="4642" max="4790" width="8.625" hidden="1"/>
    <col min="4791" max="4791" width="0.625" hidden="1" customWidth="1"/>
    <col min="4792" max="4792" width="6.625" hidden="1" customWidth="1"/>
    <col min="4793" max="4793" width="50.125" hidden="1" customWidth="1"/>
    <col min="4794" max="4794" width="0.125" hidden="1" customWidth="1"/>
    <col min="4795" max="4796" width="8.625" hidden="1" customWidth="1"/>
    <col min="4797" max="4797" width="10.625" hidden="1" customWidth="1"/>
    <col min="4798" max="4798" width="10" hidden="1" customWidth="1"/>
    <col min="4799" max="4799" width="11.625" hidden="1" customWidth="1"/>
    <col min="4800" max="4802" width="10.625" hidden="1" customWidth="1"/>
    <col min="4803" max="4803" width="9.125" hidden="1" customWidth="1"/>
    <col min="4804" max="4805" width="9.625" hidden="1" customWidth="1"/>
    <col min="4806" max="4806" width="9.5" hidden="1" customWidth="1"/>
    <col min="4807" max="4807" width="9.625" hidden="1" customWidth="1"/>
    <col min="4808" max="4808" width="9.5" hidden="1" customWidth="1"/>
    <col min="4809" max="4809" width="8.625" hidden="1" customWidth="1"/>
    <col min="4810" max="4810" width="10.625" hidden="1" customWidth="1"/>
    <col min="4811" max="4812" width="8.625" hidden="1" customWidth="1"/>
    <col min="4813" max="4816" width="10.125" hidden="1" customWidth="1"/>
    <col min="4817" max="4817" width="8.625" hidden="1" customWidth="1"/>
    <col min="4818" max="4818" width="10.125" hidden="1" customWidth="1"/>
    <col min="4819" max="4820" width="8.625" hidden="1" customWidth="1"/>
    <col min="4821" max="4822" width="9.625" hidden="1" customWidth="1"/>
    <col min="4823" max="4823" width="10" hidden="1" customWidth="1"/>
    <col min="4824" max="4824" width="9.625" hidden="1" customWidth="1"/>
    <col min="4825" max="4825" width="8.625" hidden="1" customWidth="1"/>
    <col min="4826" max="4826" width="9.625" hidden="1" customWidth="1"/>
    <col min="4827" max="4828" width="8.625" hidden="1" customWidth="1"/>
    <col min="4829" max="4829" width="9.125" hidden="1" customWidth="1"/>
    <col min="4830" max="4830" width="9.5" hidden="1" customWidth="1"/>
    <col min="4831" max="4831" width="10.5" hidden="1" customWidth="1"/>
    <col min="4832" max="4832" width="9.5" hidden="1" customWidth="1"/>
    <col min="4833" max="4833" width="8.625" hidden="1" customWidth="1"/>
    <col min="4834" max="4834" width="11.125" hidden="1" customWidth="1"/>
    <col min="4835" max="4836" width="8.625" hidden="1" customWidth="1"/>
    <col min="4837" max="4837" width="9.125" hidden="1" customWidth="1"/>
    <col min="4838" max="4840" width="9.625" hidden="1" customWidth="1"/>
    <col min="4841" max="4841" width="8.625" hidden="1" customWidth="1"/>
    <col min="4842" max="4842" width="10.125" hidden="1" customWidth="1"/>
    <col min="4843" max="4844" width="8.625" hidden="1" customWidth="1"/>
    <col min="4845" max="4845" width="30.125" hidden="1" customWidth="1"/>
    <col min="4846" max="4846" width="2.625" hidden="1" customWidth="1"/>
    <col min="4847" max="4847" width="18.625" hidden="1" customWidth="1"/>
    <col min="4848" max="4848" width="1.625" hidden="1" customWidth="1"/>
    <col min="4849" max="4897" width="8.625" hidden="1" customWidth="1"/>
    <col min="4898" max="5046" width="8.625" hidden="1"/>
    <col min="5047" max="5047" width="0.625" hidden="1" customWidth="1"/>
    <col min="5048" max="5048" width="6.625" hidden="1" customWidth="1"/>
    <col min="5049" max="5049" width="50.125" hidden="1" customWidth="1"/>
    <col min="5050" max="5050" width="0.125" hidden="1" customWidth="1"/>
    <col min="5051" max="5052" width="8.625" hidden="1" customWidth="1"/>
    <col min="5053" max="5053" width="10.625" hidden="1" customWidth="1"/>
    <col min="5054" max="5054" width="10" hidden="1" customWidth="1"/>
    <col min="5055" max="5055" width="11.625" hidden="1" customWidth="1"/>
    <col min="5056" max="5058" width="10.625" hidden="1" customWidth="1"/>
    <col min="5059" max="5059" width="9.125" hidden="1" customWidth="1"/>
    <col min="5060" max="5061" width="9.625" hidden="1" customWidth="1"/>
    <col min="5062" max="5062" width="9.5" hidden="1" customWidth="1"/>
    <col min="5063" max="5063" width="9.625" hidden="1" customWidth="1"/>
    <col min="5064" max="5064" width="9.5" hidden="1" customWidth="1"/>
    <col min="5065" max="5065" width="8.625" hidden="1" customWidth="1"/>
    <col min="5066" max="5066" width="10.625" hidden="1" customWidth="1"/>
    <col min="5067" max="5068" width="8.625" hidden="1" customWidth="1"/>
    <col min="5069" max="5072" width="10.125" hidden="1" customWidth="1"/>
    <col min="5073" max="5073" width="8.625" hidden="1" customWidth="1"/>
    <col min="5074" max="5074" width="10.125" hidden="1" customWidth="1"/>
    <col min="5075" max="5076" width="8.625" hidden="1" customWidth="1"/>
    <col min="5077" max="5078" width="9.625" hidden="1" customWidth="1"/>
    <col min="5079" max="5079" width="10" hidden="1" customWidth="1"/>
    <col min="5080" max="5080" width="9.625" hidden="1" customWidth="1"/>
    <col min="5081" max="5081" width="8.625" hidden="1" customWidth="1"/>
    <col min="5082" max="5082" width="9.625" hidden="1" customWidth="1"/>
    <col min="5083" max="5084" width="8.625" hidden="1" customWidth="1"/>
    <col min="5085" max="5085" width="9.125" hidden="1" customWidth="1"/>
    <col min="5086" max="5086" width="9.5" hidden="1" customWidth="1"/>
    <col min="5087" max="5087" width="10.5" hidden="1" customWidth="1"/>
    <col min="5088" max="5088" width="9.5" hidden="1" customWidth="1"/>
    <col min="5089" max="5089" width="8.625" hidden="1" customWidth="1"/>
    <col min="5090" max="5090" width="11.125" hidden="1" customWidth="1"/>
    <col min="5091" max="5092" width="8.625" hidden="1" customWidth="1"/>
    <col min="5093" max="5093" width="9.125" hidden="1" customWidth="1"/>
    <col min="5094" max="5096" width="9.625" hidden="1" customWidth="1"/>
    <col min="5097" max="5097" width="8.625" hidden="1" customWidth="1"/>
    <col min="5098" max="5098" width="10.125" hidden="1" customWidth="1"/>
    <col min="5099" max="5100" width="8.625" hidden="1" customWidth="1"/>
    <col min="5101" max="5101" width="30.125" hidden="1" customWidth="1"/>
    <col min="5102" max="5102" width="2.625" hidden="1" customWidth="1"/>
    <col min="5103" max="5103" width="18.625" hidden="1" customWidth="1"/>
    <col min="5104" max="5104" width="1.625" hidden="1" customWidth="1"/>
    <col min="5105" max="5153" width="8.625" hidden="1" customWidth="1"/>
    <col min="5154" max="5302" width="8.625" hidden="1"/>
    <col min="5303" max="5303" width="0.625" hidden="1" customWidth="1"/>
    <col min="5304" max="5304" width="6.625" hidden="1" customWidth="1"/>
    <col min="5305" max="5305" width="50.125" hidden="1" customWidth="1"/>
    <col min="5306" max="5306" width="0.125" hidden="1" customWidth="1"/>
    <col min="5307" max="5308" width="8.625" hidden="1" customWidth="1"/>
    <col min="5309" max="5309" width="10.625" hidden="1" customWidth="1"/>
    <col min="5310" max="5310" width="10" hidden="1" customWidth="1"/>
    <col min="5311" max="5311" width="11.625" hidden="1" customWidth="1"/>
    <col min="5312" max="5314" width="10.625" hidden="1" customWidth="1"/>
    <col min="5315" max="5315" width="9.125" hidden="1" customWidth="1"/>
    <col min="5316" max="5317" width="9.625" hidden="1" customWidth="1"/>
    <col min="5318" max="5318" width="9.5" hidden="1" customWidth="1"/>
    <col min="5319" max="5319" width="9.625" hidden="1" customWidth="1"/>
    <col min="5320" max="5320" width="9.5" hidden="1" customWidth="1"/>
    <col min="5321" max="5321" width="8.625" hidden="1" customWidth="1"/>
    <col min="5322" max="5322" width="10.625" hidden="1" customWidth="1"/>
    <col min="5323" max="5324" width="8.625" hidden="1" customWidth="1"/>
    <col min="5325" max="5328" width="10.125" hidden="1" customWidth="1"/>
    <col min="5329" max="5329" width="8.625" hidden="1" customWidth="1"/>
    <col min="5330" max="5330" width="10.125" hidden="1" customWidth="1"/>
    <col min="5331" max="5332" width="8.625" hidden="1" customWidth="1"/>
    <col min="5333" max="5334" width="9.625" hidden="1" customWidth="1"/>
    <col min="5335" max="5335" width="10" hidden="1" customWidth="1"/>
    <col min="5336" max="5336" width="9.625" hidden="1" customWidth="1"/>
    <col min="5337" max="5337" width="8.625" hidden="1" customWidth="1"/>
    <col min="5338" max="5338" width="9.625" hidden="1" customWidth="1"/>
    <col min="5339" max="5340" width="8.625" hidden="1" customWidth="1"/>
    <col min="5341" max="5341" width="9.125" hidden="1" customWidth="1"/>
    <col min="5342" max="5342" width="9.5" hidden="1" customWidth="1"/>
    <col min="5343" max="5343" width="10.5" hidden="1" customWidth="1"/>
    <col min="5344" max="5344" width="9.5" hidden="1" customWidth="1"/>
    <col min="5345" max="5345" width="8.625" hidden="1" customWidth="1"/>
    <col min="5346" max="5346" width="11.125" hidden="1" customWidth="1"/>
    <col min="5347" max="5348" width="8.625" hidden="1" customWidth="1"/>
    <col min="5349" max="5349" width="9.125" hidden="1" customWidth="1"/>
    <col min="5350" max="5352" width="9.625" hidden="1" customWidth="1"/>
    <col min="5353" max="5353" width="8.625" hidden="1" customWidth="1"/>
    <col min="5354" max="5354" width="10.125" hidden="1" customWidth="1"/>
    <col min="5355" max="5356" width="8.625" hidden="1" customWidth="1"/>
    <col min="5357" max="5357" width="30.125" hidden="1" customWidth="1"/>
    <col min="5358" max="5358" width="2.625" hidden="1" customWidth="1"/>
    <col min="5359" max="5359" width="18.625" hidden="1" customWidth="1"/>
    <col min="5360" max="5360" width="1.625" hidden="1" customWidth="1"/>
    <col min="5361" max="5409" width="8.625" hidden="1" customWidth="1"/>
    <col min="5410" max="5558" width="8.625" hidden="1"/>
    <col min="5559" max="5559" width="0.625" hidden="1" customWidth="1"/>
    <col min="5560" max="5560" width="6.625" hidden="1" customWidth="1"/>
    <col min="5561" max="5561" width="50.125" hidden="1" customWidth="1"/>
    <col min="5562" max="5562" width="0.125" hidden="1" customWidth="1"/>
    <col min="5563" max="5564" width="8.625" hidden="1" customWidth="1"/>
    <col min="5565" max="5565" width="10.625" hidden="1" customWidth="1"/>
    <col min="5566" max="5566" width="10" hidden="1" customWidth="1"/>
    <col min="5567" max="5567" width="11.625" hidden="1" customWidth="1"/>
    <col min="5568" max="5570" width="10.625" hidden="1" customWidth="1"/>
    <col min="5571" max="5571" width="9.125" hidden="1" customWidth="1"/>
    <col min="5572" max="5573" width="9.625" hidden="1" customWidth="1"/>
    <col min="5574" max="5574" width="9.5" hidden="1" customWidth="1"/>
    <col min="5575" max="5575" width="9.625" hidden="1" customWidth="1"/>
    <col min="5576" max="5576" width="9.5" hidden="1" customWidth="1"/>
    <col min="5577" max="5577" width="8.625" hidden="1" customWidth="1"/>
    <col min="5578" max="5578" width="10.625" hidden="1" customWidth="1"/>
    <col min="5579" max="5580" width="8.625" hidden="1" customWidth="1"/>
    <col min="5581" max="5584" width="10.125" hidden="1" customWidth="1"/>
    <col min="5585" max="5585" width="8.625" hidden="1" customWidth="1"/>
    <col min="5586" max="5586" width="10.125" hidden="1" customWidth="1"/>
    <col min="5587" max="5588" width="8.625" hidden="1" customWidth="1"/>
    <col min="5589" max="5590" width="9.625" hidden="1" customWidth="1"/>
    <col min="5591" max="5591" width="10" hidden="1" customWidth="1"/>
    <col min="5592" max="5592" width="9.625" hidden="1" customWidth="1"/>
    <col min="5593" max="5593" width="8.625" hidden="1" customWidth="1"/>
    <col min="5594" max="5594" width="9.625" hidden="1" customWidth="1"/>
    <col min="5595" max="5596" width="8.625" hidden="1" customWidth="1"/>
    <col min="5597" max="5597" width="9.125" hidden="1" customWidth="1"/>
    <col min="5598" max="5598" width="9.5" hidden="1" customWidth="1"/>
    <col min="5599" max="5599" width="10.5" hidden="1" customWidth="1"/>
    <col min="5600" max="5600" width="9.5" hidden="1" customWidth="1"/>
    <col min="5601" max="5601" width="8.625" hidden="1" customWidth="1"/>
    <col min="5602" max="5602" width="11.125" hidden="1" customWidth="1"/>
    <col min="5603" max="5604" width="8.625" hidden="1" customWidth="1"/>
    <col min="5605" max="5605" width="9.125" hidden="1" customWidth="1"/>
    <col min="5606" max="5608" width="9.625" hidden="1" customWidth="1"/>
    <col min="5609" max="5609" width="8.625" hidden="1" customWidth="1"/>
    <col min="5610" max="5610" width="10.125" hidden="1" customWidth="1"/>
    <col min="5611" max="5612" width="8.625" hidden="1" customWidth="1"/>
    <col min="5613" max="5613" width="30.125" hidden="1" customWidth="1"/>
    <col min="5614" max="5614" width="2.625" hidden="1" customWidth="1"/>
    <col min="5615" max="5615" width="18.625" hidden="1" customWidth="1"/>
    <col min="5616" max="5616" width="1.625" hidden="1" customWidth="1"/>
    <col min="5617" max="5665" width="8.625" hidden="1" customWidth="1"/>
    <col min="5666" max="5814" width="8.625" hidden="1"/>
    <col min="5815" max="5815" width="0.625" hidden="1" customWidth="1"/>
    <col min="5816" max="5816" width="6.625" hidden="1" customWidth="1"/>
    <col min="5817" max="5817" width="50.125" hidden="1" customWidth="1"/>
    <col min="5818" max="5818" width="0.125" hidden="1" customWidth="1"/>
    <col min="5819" max="5820" width="8.625" hidden="1" customWidth="1"/>
    <col min="5821" max="5821" width="10.625" hidden="1" customWidth="1"/>
    <col min="5822" max="5822" width="10" hidden="1" customWidth="1"/>
    <col min="5823" max="5823" width="11.625" hidden="1" customWidth="1"/>
    <col min="5824" max="5826" width="10.625" hidden="1" customWidth="1"/>
    <col min="5827" max="5827" width="9.125" hidden="1" customWidth="1"/>
    <col min="5828" max="5829" width="9.625" hidden="1" customWidth="1"/>
    <col min="5830" max="5830" width="9.5" hidden="1" customWidth="1"/>
    <col min="5831" max="5831" width="9.625" hidden="1" customWidth="1"/>
    <col min="5832" max="5832" width="9.5" hidden="1" customWidth="1"/>
    <col min="5833" max="5833" width="8.625" hidden="1" customWidth="1"/>
    <col min="5834" max="5834" width="10.625" hidden="1" customWidth="1"/>
    <col min="5835" max="5836" width="8.625" hidden="1" customWidth="1"/>
    <col min="5837" max="5840" width="10.125" hidden="1" customWidth="1"/>
    <col min="5841" max="5841" width="8.625" hidden="1" customWidth="1"/>
    <col min="5842" max="5842" width="10.125" hidden="1" customWidth="1"/>
    <col min="5843" max="5844" width="8.625" hidden="1" customWidth="1"/>
    <col min="5845" max="5846" width="9.625" hidden="1" customWidth="1"/>
    <col min="5847" max="5847" width="10" hidden="1" customWidth="1"/>
    <col min="5848" max="5848" width="9.625" hidden="1" customWidth="1"/>
    <col min="5849" max="5849" width="8.625" hidden="1" customWidth="1"/>
    <col min="5850" max="5850" width="9.625" hidden="1" customWidth="1"/>
    <col min="5851" max="5852" width="8.625" hidden="1" customWidth="1"/>
    <col min="5853" max="5853" width="9.125" hidden="1" customWidth="1"/>
    <col min="5854" max="5854" width="9.5" hidden="1" customWidth="1"/>
    <col min="5855" max="5855" width="10.5" hidden="1" customWidth="1"/>
    <col min="5856" max="5856" width="9.5" hidden="1" customWidth="1"/>
    <col min="5857" max="5857" width="8.625" hidden="1" customWidth="1"/>
    <col min="5858" max="5858" width="11.125" hidden="1" customWidth="1"/>
    <col min="5859" max="5860" width="8.625" hidden="1" customWidth="1"/>
    <col min="5861" max="5861" width="9.125" hidden="1" customWidth="1"/>
    <col min="5862" max="5864" width="9.625" hidden="1" customWidth="1"/>
    <col min="5865" max="5865" width="8.625" hidden="1" customWidth="1"/>
    <col min="5866" max="5866" width="10.125" hidden="1" customWidth="1"/>
    <col min="5867" max="5868" width="8.625" hidden="1" customWidth="1"/>
    <col min="5869" max="5869" width="30.125" hidden="1" customWidth="1"/>
    <col min="5870" max="5870" width="2.625" hidden="1" customWidth="1"/>
    <col min="5871" max="5871" width="18.625" hidden="1" customWidth="1"/>
    <col min="5872" max="5872" width="1.625" hidden="1" customWidth="1"/>
    <col min="5873" max="5921" width="8.625" hidden="1" customWidth="1"/>
    <col min="5922" max="6070" width="8.625" hidden="1"/>
    <col min="6071" max="6071" width="0.625" hidden="1" customWidth="1"/>
    <col min="6072" max="6072" width="6.625" hidden="1" customWidth="1"/>
    <col min="6073" max="6073" width="50.125" hidden="1" customWidth="1"/>
    <col min="6074" max="6074" width="0.125" hidden="1" customWidth="1"/>
    <col min="6075" max="6076" width="8.625" hidden="1" customWidth="1"/>
    <col min="6077" max="6077" width="10.625" hidden="1" customWidth="1"/>
    <col min="6078" max="6078" width="10" hidden="1" customWidth="1"/>
    <col min="6079" max="6079" width="11.625" hidden="1" customWidth="1"/>
    <col min="6080" max="6082" width="10.625" hidden="1" customWidth="1"/>
    <col min="6083" max="6083" width="9.125" hidden="1" customWidth="1"/>
    <col min="6084" max="6085" width="9.625" hidden="1" customWidth="1"/>
    <col min="6086" max="6086" width="9.5" hidden="1" customWidth="1"/>
    <col min="6087" max="6087" width="9.625" hidden="1" customWidth="1"/>
    <col min="6088" max="6088" width="9.5" hidden="1" customWidth="1"/>
    <col min="6089" max="6089" width="8.625" hidden="1" customWidth="1"/>
    <col min="6090" max="6090" width="10.625" hidden="1" customWidth="1"/>
    <col min="6091" max="6092" width="8.625" hidden="1" customWidth="1"/>
    <col min="6093" max="6096" width="10.125" hidden="1" customWidth="1"/>
    <col min="6097" max="6097" width="8.625" hidden="1" customWidth="1"/>
    <col min="6098" max="6098" width="10.125" hidden="1" customWidth="1"/>
    <col min="6099" max="6100" width="8.625" hidden="1" customWidth="1"/>
    <col min="6101" max="6102" width="9.625" hidden="1" customWidth="1"/>
    <col min="6103" max="6103" width="10" hidden="1" customWidth="1"/>
    <col min="6104" max="6104" width="9.625" hidden="1" customWidth="1"/>
    <col min="6105" max="6105" width="8.625" hidden="1" customWidth="1"/>
    <col min="6106" max="6106" width="9.625" hidden="1" customWidth="1"/>
    <col min="6107" max="6108" width="8.625" hidden="1" customWidth="1"/>
    <col min="6109" max="6109" width="9.125" hidden="1" customWidth="1"/>
    <col min="6110" max="6110" width="9.5" hidden="1" customWidth="1"/>
    <col min="6111" max="6111" width="10.5" hidden="1" customWidth="1"/>
    <col min="6112" max="6112" width="9.5" hidden="1" customWidth="1"/>
    <col min="6113" max="6113" width="8.625" hidden="1" customWidth="1"/>
    <col min="6114" max="6114" width="11.125" hidden="1" customWidth="1"/>
    <col min="6115" max="6116" width="8.625" hidden="1" customWidth="1"/>
    <col min="6117" max="6117" width="9.125" hidden="1" customWidth="1"/>
    <col min="6118" max="6120" width="9.625" hidden="1" customWidth="1"/>
    <col min="6121" max="6121" width="8.625" hidden="1" customWidth="1"/>
    <col min="6122" max="6122" width="10.125" hidden="1" customWidth="1"/>
    <col min="6123" max="6124" width="8.625" hidden="1" customWidth="1"/>
    <col min="6125" max="6125" width="30.125" hidden="1" customWidth="1"/>
    <col min="6126" max="6126" width="2.625" hidden="1" customWidth="1"/>
    <col min="6127" max="6127" width="18.625" hidden="1" customWidth="1"/>
    <col min="6128" max="6128" width="1.625" hidden="1" customWidth="1"/>
    <col min="6129" max="6177" width="8.625" hidden="1" customWidth="1"/>
    <col min="6178" max="6326" width="8.625" hidden="1"/>
    <col min="6327" max="6327" width="0.625" hidden="1" customWidth="1"/>
    <col min="6328" max="6328" width="6.625" hidden="1" customWidth="1"/>
    <col min="6329" max="6329" width="50.125" hidden="1" customWidth="1"/>
    <col min="6330" max="6330" width="0.125" hidden="1" customWidth="1"/>
    <col min="6331" max="6332" width="8.625" hidden="1" customWidth="1"/>
    <col min="6333" max="6333" width="10.625" hidden="1" customWidth="1"/>
    <col min="6334" max="6334" width="10" hidden="1" customWidth="1"/>
    <col min="6335" max="6335" width="11.625" hidden="1" customWidth="1"/>
    <col min="6336" max="6338" width="10.625" hidden="1" customWidth="1"/>
    <col min="6339" max="6339" width="9.125" hidden="1" customWidth="1"/>
    <col min="6340" max="6341" width="9.625" hidden="1" customWidth="1"/>
    <col min="6342" max="6342" width="9.5" hidden="1" customWidth="1"/>
    <col min="6343" max="6343" width="9.625" hidden="1" customWidth="1"/>
    <col min="6344" max="6344" width="9.5" hidden="1" customWidth="1"/>
    <col min="6345" max="6345" width="8.625" hidden="1" customWidth="1"/>
    <col min="6346" max="6346" width="10.625" hidden="1" customWidth="1"/>
    <col min="6347" max="6348" width="8.625" hidden="1" customWidth="1"/>
    <col min="6349" max="6352" width="10.125" hidden="1" customWidth="1"/>
    <col min="6353" max="6353" width="8.625" hidden="1" customWidth="1"/>
    <col min="6354" max="6354" width="10.125" hidden="1" customWidth="1"/>
    <col min="6355" max="6356" width="8.625" hidden="1" customWidth="1"/>
    <col min="6357" max="6358" width="9.625" hidden="1" customWidth="1"/>
    <col min="6359" max="6359" width="10" hidden="1" customWidth="1"/>
    <col min="6360" max="6360" width="9.625" hidden="1" customWidth="1"/>
    <col min="6361" max="6361" width="8.625" hidden="1" customWidth="1"/>
    <col min="6362" max="6362" width="9.625" hidden="1" customWidth="1"/>
    <col min="6363" max="6364" width="8.625" hidden="1" customWidth="1"/>
    <col min="6365" max="6365" width="9.125" hidden="1" customWidth="1"/>
    <col min="6366" max="6366" width="9.5" hidden="1" customWidth="1"/>
    <col min="6367" max="6367" width="10.5" hidden="1" customWidth="1"/>
    <col min="6368" max="6368" width="9.5" hidden="1" customWidth="1"/>
    <col min="6369" max="6369" width="8.625" hidden="1" customWidth="1"/>
    <col min="6370" max="6370" width="11.125" hidden="1" customWidth="1"/>
    <col min="6371" max="6372" width="8.625" hidden="1" customWidth="1"/>
    <col min="6373" max="6373" width="9.125" hidden="1" customWidth="1"/>
    <col min="6374" max="6376" width="9.625" hidden="1" customWidth="1"/>
    <col min="6377" max="6377" width="8.625" hidden="1" customWidth="1"/>
    <col min="6378" max="6378" width="10.125" hidden="1" customWidth="1"/>
    <col min="6379" max="6380" width="8.625" hidden="1" customWidth="1"/>
    <col min="6381" max="6381" width="30.125" hidden="1" customWidth="1"/>
    <col min="6382" max="6382" width="2.625" hidden="1" customWidth="1"/>
    <col min="6383" max="6383" width="18.625" hidden="1" customWidth="1"/>
    <col min="6384" max="6384" width="1.625" hidden="1" customWidth="1"/>
    <col min="6385" max="6433" width="8.625" hidden="1" customWidth="1"/>
    <col min="6434" max="6582" width="8.625" hidden="1"/>
    <col min="6583" max="6583" width="0.625" hidden="1" customWidth="1"/>
    <col min="6584" max="6584" width="6.625" hidden="1" customWidth="1"/>
    <col min="6585" max="6585" width="50.125" hidden="1" customWidth="1"/>
    <col min="6586" max="6586" width="0.125" hidden="1" customWidth="1"/>
    <col min="6587" max="6588" width="8.625" hidden="1" customWidth="1"/>
    <col min="6589" max="6589" width="10.625" hidden="1" customWidth="1"/>
    <col min="6590" max="6590" width="10" hidden="1" customWidth="1"/>
    <col min="6591" max="6591" width="11.625" hidden="1" customWidth="1"/>
    <col min="6592" max="6594" width="10.625" hidden="1" customWidth="1"/>
    <col min="6595" max="6595" width="9.125" hidden="1" customWidth="1"/>
    <col min="6596" max="6597" width="9.625" hidden="1" customWidth="1"/>
    <col min="6598" max="6598" width="9.5" hidden="1" customWidth="1"/>
    <col min="6599" max="6599" width="9.625" hidden="1" customWidth="1"/>
    <col min="6600" max="6600" width="9.5" hidden="1" customWidth="1"/>
    <col min="6601" max="6601" width="8.625" hidden="1" customWidth="1"/>
    <col min="6602" max="6602" width="10.625" hidden="1" customWidth="1"/>
    <col min="6603" max="6604" width="8.625" hidden="1" customWidth="1"/>
    <col min="6605" max="6608" width="10.125" hidden="1" customWidth="1"/>
    <col min="6609" max="6609" width="8.625" hidden="1" customWidth="1"/>
    <col min="6610" max="6610" width="10.125" hidden="1" customWidth="1"/>
    <col min="6611" max="6612" width="8.625" hidden="1" customWidth="1"/>
    <col min="6613" max="6614" width="9.625" hidden="1" customWidth="1"/>
    <col min="6615" max="6615" width="10" hidden="1" customWidth="1"/>
    <col min="6616" max="6616" width="9.625" hidden="1" customWidth="1"/>
    <col min="6617" max="6617" width="8.625" hidden="1" customWidth="1"/>
    <col min="6618" max="6618" width="9.625" hidden="1" customWidth="1"/>
    <col min="6619" max="6620" width="8.625" hidden="1" customWidth="1"/>
    <col min="6621" max="6621" width="9.125" hidden="1" customWidth="1"/>
    <col min="6622" max="6622" width="9.5" hidden="1" customWidth="1"/>
    <col min="6623" max="6623" width="10.5" hidden="1" customWidth="1"/>
    <col min="6624" max="6624" width="9.5" hidden="1" customWidth="1"/>
    <col min="6625" max="6625" width="8.625" hidden="1" customWidth="1"/>
    <col min="6626" max="6626" width="11.125" hidden="1" customWidth="1"/>
    <col min="6627" max="6628" width="8.625" hidden="1" customWidth="1"/>
    <col min="6629" max="6629" width="9.125" hidden="1" customWidth="1"/>
    <col min="6630" max="6632" width="9.625" hidden="1" customWidth="1"/>
    <col min="6633" max="6633" width="8.625" hidden="1" customWidth="1"/>
    <col min="6634" max="6634" width="10.125" hidden="1" customWidth="1"/>
    <col min="6635" max="6636" width="8.625" hidden="1" customWidth="1"/>
    <col min="6637" max="6637" width="30.125" hidden="1" customWidth="1"/>
    <col min="6638" max="6638" width="2.625" hidden="1" customWidth="1"/>
    <col min="6639" max="6639" width="18.625" hidden="1" customWidth="1"/>
    <col min="6640" max="6640" width="1.625" hidden="1" customWidth="1"/>
    <col min="6641" max="6689" width="8.625" hidden="1" customWidth="1"/>
    <col min="6690" max="6838" width="8.625" hidden="1"/>
    <col min="6839" max="6839" width="0.625" hidden="1" customWidth="1"/>
    <col min="6840" max="6840" width="6.625" hidden="1" customWidth="1"/>
    <col min="6841" max="6841" width="50.125" hidden="1" customWidth="1"/>
    <col min="6842" max="6842" width="0.125" hidden="1" customWidth="1"/>
    <col min="6843" max="6844" width="8.625" hidden="1" customWidth="1"/>
    <col min="6845" max="6845" width="10.625" hidden="1" customWidth="1"/>
    <col min="6846" max="6846" width="10" hidden="1" customWidth="1"/>
    <col min="6847" max="6847" width="11.625" hidden="1" customWidth="1"/>
    <col min="6848" max="6850" width="10.625" hidden="1" customWidth="1"/>
    <col min="6851" max="6851" width="9.125" hidden="1" customWidth="1"/>
    <col min="6852" max="6853" width="9.625" hidden="1" customWidth="1"/>
    <col min="6854" max="6854" width="9.5" hidden="1" customWidth="1"/>
    <col min="6855" max="6855" width="9.625" hidden="1" customWidth="1"/>
    <col min="6856" max="6856" width="9.5" hidden="1" customWidth="1"/>
    <col min="6857" max="6857" width="8.625" hidden="1" customWidth="1"/>
    <col min="6858" max="6858" width="10.625" hidden="1" customWidth="1"/>
    <col min="6859" max="6860" width="8.625" hidden="1" customWidth="1"/>
    <col min="6861" max="6864" width="10.125" hidden="1" customWidth="1"/>
    <col min="6865" max="6865" width="8.625" hidden="1" customWidth="1"/>
    <col min="6866" max="6866" width="10.125" hidden="1" customWidth="1"/>
    <col min="6867" max="6868" width="8.625" hidden="1" customWidth="1"/>
    <col min="6869" max="6870" width="9.625" hidden="1" customWidth="1"/>
    <col min="6871" max="6871" width="10" hidden="1" customWidth="1"/>
    <col min="6872" max="6872" width="9.625" hidden="1" customWidth="1"/>
    <col min="6873" max="6873" width="8.625" hidden="1" customWidth="1"/>
    <col min="6874" max="6874" width="9.625" hidden="1" customWidth="1"/>
    <col min="6875" max="6876" width="8.625" hidden="1" customWidth="1"/>
    <col min="6877" max="6877" width="9.125" hidden="1" customWidth="1"/>
    <col min="6878" max="6878" width="9.5" hidden="1" customWidth="1"/>
    <col min="6879" max="6879" width="10.5" hidden="1" customWidth="1"/>
    <col min="6880" max="6880" width="9.5" hidden="1" customWidth="1"/>
    <col min="6881" max="6881" width="8.625" hidden="1" customWidth="1"/>
    <col min="6882" max="6882" width="11.125" hidden="1" customWidth="1"/>
    <col min="6883" max="6884" width="8.625" hidden="1" customWidth="1"/>
    <col min="6885" max="6885" width="9.125" hidden="1" customWidth="1"/>
    <col min="6886" max="6888" width="9.625" hidden="1" customWidth="1"/>
    <col min="6889" max="6889" width="8.625" hidden="1" customWidth="1"/>
    <col min="6890" max="6890" width="10.125" hidden="1" customWidth="1"/>
    <col min="6891" max="6892" width="8.625" hidden="1" customWidth="1"/>
    <col min="6893" max="6893" width="30.125" hidden="1" customWidth="1"/>
    <col min="6894" max="6894" width="2.625" hidden="1" customWidth="1"/>
    <col min="6895" max="6895" width="18.625" hidden="1" customWidth="1"/>
    <col min="6896" max="6896" width="1.625" hidden="1" customWidth="1"/>
    <col min="6897" max="6945" width="8.625" hidden="1" customWidth="1"/>
    <col min="6946" max="7094" width="8.625" hidden="1"/>
    <col min="7095" max="7095" width="0.625" hidden="1" customWidth="1"/>
    <col min="7096" max="7096" width="6.625" hidden="1" customWidth="1"/>
    <col min="7097" max="7097" width="50.125" hidden="1" customWidth="1"/>
    <col min="7098" max="7098" width="0.125" hidden="1" customWidth="1"/>
    <col min="7099" max="7100" width="8.625" hidden="1" customWidth="1"/>
    <col min="7101" max="7101" width="10.625" hidden="1" customWidth="1"/>
    <col min="7102" max="7102" width="10" hidden="1" customWidth="1"/>
    <col min="7103" max="7103" width="11.625" hidden="1" customWidth="1"/>
    <col min="7104" max="7106" width="10.625" hidden="1" customWidth="1"/>
    <col min="7107" max="7107" width="9.125" hidden="1" customWidth="1"/>
    <col min="7108" max="7109" width="9.625" hidden="1" customWidth="1"/>
    <col min="7110" max="7110" width="9.5" hidden="1" customWidth="1"/>
    <col min="7111" max="7111" width="9.625" hidden="1" customWidth="1"/>
    <col min="7112" max="7112" width="9.5" hidden="1" customWidth="1"/>
    <col min="7113" max="7113" width="8.625" hidden="1" customWidth="1"/>
    <col min="7114" max="7114" width="10.625" hidden="1" customWidth="1"/>
    <col min="7115" max="7116" width="8.625" hidden="1" customWidth="1"/>
    <col min="7117" max="7120" width="10.125" hidden="1" customWidth="1"/>
    <col min="7121" max="7121" width="8.625" hidden="1" customWidth="1"/>
    <col min="7122" max="7122" width="10.125" hidden="1" customWidth="1"/>
    <col min="7123" max="7124" width="8.625" hidden="1" customWidth="1"/>
    <col min="7125" max="7126" width="9.625" hidden="1" customWidth="1"/>
    <col min="7127" max="7127" width="10" hidden="1" customWidth="1"/>
    <col min="7128" max="7128" width="9.625" hidden="1" customWidth="1"/>
    <col min="7129" max="7129" width="8.625" hidden="1" customWidth="1"/>
    <col min="7130" max="7130" width="9.625" hidden="1" customWidth="1"/>
    <col min="7131" max="7132" width="8.625" hidden="1" customWidth="1"/>
    <col min="7133" max="7133" width="9.125" hidden="1" customWidth="1"/>
    <col min="7134" max="7134" width="9.5" hidden="1" customWidth="1"/>
    <col min="7135" max="7135" width="10.5" hidden="1" customWidth="1"/>
    <col min="7136" max="7136" width="9.5" hidden="1" customWidth="1"/>
    <col min="7137" max="7137" width="8.625" hidden="1" customWidth="1"/>
    <col min="7138" max="7138" width="11.125" hidden="1" customWidth="1"/>
    <col min="7139" max="7140" width="8.625" hidden="1" customWidth="1"/>
    <col min="7141" max="7141" width="9.125" hidden="1" customWidth="1"/>
    <col min="7142" max="7144" width="9.625" hidden="1" customWidth="1"/>
    <col min="7145" max="7145" width="8.625" hidden="1" customWidth="1"/>
    <col min="7146" max="7146" width="10.125" hidden="1" customWidth="1"/>
    <col min="7147" max="7148" width="8.625" hidden="1" customWidth="1"/>
    <col min="7149" max="7149" width="30.125" hidden="1" customWidth="1"/>
    <col min="7150" max="7150" width="2.625" hidden="1" customWidth="1"/>
    <col min="7151" max="7151" width="18.625" hidden="1" customWidth="1"/>
    <col min="7152" max="7152" width="1.625" hidden="1" customWidth="1"/>
    <col min="7153" max="7201" width="8.625" hidden="1" customWidth="1"/>
    <col min="7202" max="7350" width="8.625" hidden="1"/>
    <col min="7351" max="7351" width="0.625" hidden="1" customWidth="1"/>
    <col min="7352" max="7352" width="6.625" hidden="1" customWidth="1"/>
    <col min="7353" max="7353" width="50.125" hidden="1" customWidth="1"/>
    <col min="7354" max="7354" width="0.125" hidden="1" customWidth="1"/>
    <col min="7355" max="7356" width="8.625" hidden="1" customWidth="1"/>
    <col min="7357" max="7357" width="10.625" hidden="1" customWidth="1"/>
    <col min="7358" max="7358" width="10" hidden="1" customWidth="1"/>
    <col min="7359" max="7359" width="11.625" hidden="1" customWidth="1"/>
    <col min="7360" max="7362" width="10.625" hidden="1" customWidth="1"/>
    <col min="7363" max="7363" width="9.125" hidden="1" customWidth="1"/>
    <col min="7364" max="7365" width="9.625" hidden="1" customWidth="1"/>
    <col min="7366" max="7366" width="9.5" hidden="1" customWidth="1"/>
    <col min="7367" max="7367" width="9.625" hidden="1" customWidth="1"/>
    <col min="7368" max="7368" width="9.5" hidden="1" customWidth="1"/>
    <col min="7369" max="7369" width="8.625" hidden="1" customWidth="1"/>
    <col min="7370" max="7370" width="10.625" hidden="1" customWidth="1"/>
    <col min="7371" max="7372" width="8.625" hidden="1" customWidth="1"/>
    <col min="7373" max="7376" width="10.125" hidden="1" customWidth="1"/>
    <col min="7377" max="7377" width="8.625" hidden="1" customWidth="1"/>
    <col min="7378" max="7378" width="10.125" hidden="1" customWidth="1"/>
    <col min="7379" max="7380" width="8.625" hidden="1" customWidth="1"/>
    <col min="7381" max="7382" width="9.625" hidden="1" customWidth="1"/>
    <col min="7383" max="7383" width="10" hidden="1" customWidth="1"/>
    <col min="7384" max="7384" width="9.625" hidden="1" customWidth="1"/>
    <col min="7385" max="7385" width="8.625" hidden="1" customWidth="1"/>
    <col min="7386" max="7386" width="9.625" hidden="1" customWidth="1"/>
    <col min="7387" max="7388" width="8.625" hidden="1" customWidth="1"/>
    <col min="7389" max="7389" width="9.125" hidden="1" customWidth="1"/>
    <col min="7390" max="7390" width="9.5" hidden="1" customWidth="1"/>
    <col min="7391" max="7391" width="10.5" hidden="1" customWidth="1"/>
    <col min="7392" max="7392" width="9.5" hidden="1" customWidth="1"/>
    <col min="7393" max="7393" width="8.625" hidden="1" customWidth="1"/>
    <col min="7394" max="7394" width="11.125" hidden="1" customWidth="1"/>
    <col min="7395" max="7396" width="8.625" hidden="1" customWidth="1"/>
    <col min="7397" max="7397" width="9.125" hidden="1" customWidth="1"/>
    <col min="7398" max="7400" width="9.625" hidden="1" customWidth="1"/>
    <col min="7401" max="7401" width="8.625" hidden="1" customWidth="1"/>
    <col min="7402" max="7402" width="10.125" hidden="1" customWidth="1"/>
    <col min="7403" max="7404" width="8.625" hidden="1" customWidth="1"/>
    <col min="7405" max="7405" width="30.125" hidden="1" customWidth="1"/>
    <col min="7406" max="7406" width="2.625" hidden="1" customWidth="1"/>
    <col min="7407" max="7407" width="18.625" hidden="1" customWidth="1"/>
    <col min="7408" max="7408" width="1.625" hidden="1" customWidth="1"/>
    <col min="7409" max="7457" width="8.625" hidden="1" customWidth="1"/>
    <col min="7458" max="7606" width="8.625" hidden="1"/>
    <col min="7607" max="7607" width="0.625" hidden="1" customWidth="1"/>
    <col min="7608" max="7608" width="6.625" hidden="1" customWidth="1"/>
    <col min="7609" max="7609" width="50.125" hidden="1" customWidth="1"/>
    <col min="7610" max="7610" width="0.125" hidden="1" customWidth="1"/>
    <col min="7611" max="7612" width="8.625" hidden="1" customWidth="1"/>
    <col min="7613" max="7613" width="10.625" hidden="1" customWidth="1"/>
    <col min="7614" max="7614" width="10" hidden="1" customWidth="1"/>
    <col min="7615" max="7615" width="11.625" hidden="1" customWidth="1"/>
    <col min="7616" max="7618" width="10.625" hidden="1" customWidth="1"/>
    <col min="7619" max="7619" width="9.125" hidden="1" customWidth="1"/>
    <col min="7620" max="7621" width="9.625" hidden="1" customWidth="1"/>
    <col min="7622" max="7622" width="9.5" hidden="1" customWidth="1"/>
    <col min="7623" max="7623" width="9.625" hidden="1" customWidth="1"/>
    <col min="7624" max="7624" width="9.5" hidden="1" customWidth="1"/>
    <col min="7625" max="7625" width="8.625" hidden="1" customWidth="1"/>
    <col min="7626" max="7626" width="10.625" hidden="1" customWidth="1"/>
    <col min="7627" max="7628" width="8.625" hidden="1" customWidth="1"/>
    <col min="7629" max="7632" width="10.125" hidden="1" customWidth="1"/>
    <col min="7633" max="7633" width="8.625" hidden="1" customWidth="1"/>
    <col min="7634" max="7634" width="10.125" hidden="1" customWidth="1"/>
    <col min="7635" max="7636" width="8.625" hidden="1" customWidth="1"/>
    <col min="7637" max="7638" width="9.625" hidden="1" customWidth="1"/>
    <col min="7639" max="7639" width="10" hidden="1" customWidth="1"/>
    <col min="7640" max="7640" width="9.625" hidden="1" customWidth="1"/>
    <col min="7641" max="7641" width="8.625" hidden="1" customWidth="1"/>
    <col min="7642" max="7642" width="9.625" hidden="1" customWidth="1"/>
    <col min="7643" max="7644" width="8.625" hidden="1" customWidth="1"/>
    <col min="7645" max="7645" width="9.125" hidden="1" customWidth="1"/>
    <col min="7646" max="7646" width="9.5" hidden="1" customWidth="1"/>
    <col min="7647" max="7647" width="10.5" hidden="1" customWidth="1"/>
    <col min="7648" max="7648" width="9.5" hidden="1" customWidth="1"/>
    <col min="7649" max="7649" width="8.625" hidden="1" customWidth="1"/>
    <col min="7650" max="7650" width="11.125" hidden="1" customWidth="1"/>
    <col min="7651" max="7652" width="8.625" hidden="1" customWidth="1"/>
    <col min="7653" max="7653" width="9.125" hidden="1" customWidth="1"/>
    <col min="7654" max="7656" width="9.625" hidden="1" customWidth="1"/>
    <col min="7657" max="7657" width="8.625" hidden="1" customWidth="1"/>
    <col min="7658" max="7658" width="10.125" hidden="1" customWidth="1"/>
    <col min="7659" max="7660" width="8.625" hidden="1" customWidth="1"/>
    <col min="7661" max="7661" width="30.125" hidden="1" customWidth="1"/>
    <col min="7662" max="7662" width="2.625" hidden="1" customWidth="1"/>
    <col min="7663" max="7663" width="18.625" hidden="1" customWidth="1"/>
    <col min="7664" max="7664" width="1.625" hidden="1" customWidth="1"/>
    <col min="7665" max="7713" width="8.625" hidden="1" customWidth="1"/>
    <col min="7714" max="7862" width="8.625" hidden="1"/>
    <col min="7863" max="7863" width="0.625" hidden="1" customWidth="1"/>
    <col min="7864" max="7864" width="6.625" hidden="1" customWidth="1"/>
    <col min="7865" max="7865" width="50.125" hidden="1" customWidth="1"/>
    <col min="7866" max="7866" width="0.125" hidden="1" customWidth="1"/>
    <col min="7867" max="7868" width="8.625" hidden="1" customWidth="1"/>
    <col min="7869" max="7869" width="10.625" hidden="1" customWidth="1"/>
    <col min="7870" max="7870" width="10" hidden="1" customWidth="1"/>
    <col min="7871" max="7871" width="11.625" hidden="1" customWidth="1"/>
    <col min="7872" max="7874" width="10.625" hidden="1" customWidth="1"/>
    <col min="7875" max="7875" width="9.125" hidden="1" customWidth="1"/>
    <col min="7876" max="7877" width="9.625" hidden="1" customWidth="1"/>
    <col min="7878" max="7878" width="9.5" hidden="1" customWidth="1"/>
    <col min="7879" max="7879" width="9.625" hidden="1" customWidth="1"/>
    <col min="7880" max="7880" width="9.5" hidden="1" customWidth="1"/>
    <col min="7881" max="7881" width="8.625" hidden="1" customWidth="1"/>
    <col min="7882" max="7882" width="10.625" hidden="1" customWidth="1"/>
    <col min="7883" max="7884" width="8.625" hidden="1" customWidth="1"/>
    <col min="7885" max="7888" width="10.125" hidden="1" customWidth="1"/>
    <col min="7889" max="7889" width="8.625" hidden="1" customWidth="1"/>
    <col min="7890" max="7890" width="10.125" hidden="1" customWidth="1"/>
    <col min="7891" max="7892" width="8.625" hidden="1" customWidth="1"/>
    <col min="7893" max="7894" width="9.625" hidden="1" customWidth="1"/>
    <col min="7895" max="7895" width="10" hidden="1" customWidth="1"/>
    <col min="7896" max="7896" width="9.625" hidden="1" customWidth="1"/>
    <col min="7897" max="7897" width="8.625" hidden="1" customWidth="1"/>
    <col min="7898" max="7898" width="9.625" hidden="1" customWidth="1"/>
    <col min="7899" max="7900" width="8.625" hidden="1" customWidth="1"/>
    <col min="7901" max="7901" width="9.125" hidden="1" customWidth="1"/>
    <col min="7902" max="7902" width="9.5" hidden="1" customWidth="1"/>
    <col min="7903" max="7903" width="10.5" hidden="1" customWidth="1"/>
    <col min="7904" max="7904" width="9.5" hidden="1" customWidth="1"/>
    <col min="7905" max="7905" width="8.625" hidden="1" customWidth="1"/>
    <col min="7906" max="7906" width="11.125" hidden="1" customWidth="1"/>
    <col min="7907" max="7908" width="8.625" hidden="1" customWidth="1"/>
    <col min="7909" max="7909" width="9.125" hidden="1" customWidth="1"/>
    <col min="7910" max="7912" width="9.625" hidden="1" customWidth="1"/>
    <col min="7913" max="7913" width="8.625" hidden="1" customWidth="1"/>
    <col min="7914" max="7914" width="10.125" hidden="1" customWidth="1"/>
    <col min="7915" max="7916" width="8.625" hidden="1" customWidth="1"/>
    <col min="7917" max="7917" width="30.125" hidden="1" customWidth="1"/>
    <col min="7918" max="7918" width="2.625" hidden="1" customWidth="1"/>
    <col min="7919" max="7919" width="18.625" hidden="1" customWidth="1"/>
    <col min="7920" max="7920" width="1.625" hidden="1" customWidth="1"/>
    <col min="7921" max="7969" width="8.625" hidden="1" customWidth="1"/>
    <col min="7970" max="8118" width="8.625" hidden="1"/>
    <col min="8119" max="8119" width="0.625" hidden="1" customWidth="1"/>
    <col min="8120" max="8120" width="6.625" hidden="1" customWidth="1"/>
    <col min="8121" max="8121" width="50.125" hidden="1" customWidth="1"/>
    <col min="8122" max="8122" width="0.125" hidden="1" customWidth="1"/>
    <col min="8123" max="8124" width="8.625" hidden="1" customWidth="1"/>
    <col min="8125" max="8125" width="10.625" hidden="1" customWidth="1"/>
    <col min="8126" max="8126" width="10" hidden="1" customWidth="1"/>
    <col min="8127" max="8127" width="11.625" hidden="1" customWidth="1"/>
    <col min="8128" max="8130" width="10.625" hidden="1" customWidth="1"/>
    <col min="8131" max="8131" width="9.125" hidden="1" customWidth="1"/>
    <col min="8132" max="8133" width="9.625" hidden="1" customWidth="1"/>
    <col min="8134" max="8134" width="9.5" hidden="1" customWidth="1"/>
    <col min="8135" max="8135" width="9.625" hidden="1" customWidth="1"/>
    <col min="8136" max="8136" width="9.5" hidden="1" customWidth="1"/>
    <col min="8137" max="8137" width="8.625" hidden="1" customWidth="1"/>
    <col min="8138" max="8138" width="10.625" hidden="1" customWidth="1"/>
    <col min="8139" max="8140" width="8.625" hidden="1" customWidth="1"/>
    <col min="8141" max="8144" width="10.125" hidden="1" customWidth="1"/>
    <col min="8145" max="8145" width="8.625" hidden="1" customWidth="1"/>
    <col min="8146" max="8146" width="10.125" hidden="1" customWidth="1"/>
    <col min="8147" max="8148" width="8.625" hidden="1" customWidth="1"/>
    <col min="8149" max="8150" width="9.625" hidden="1" customWidth="1"/>
    <col min="8151" max="8151" width="10" hidden="1" customWidth="1"/>
    <col min="8152" max="8152" width="9.625" hidden="1" customWidth="1"/>
    <col min="8153" max="8153" width="8.625" hidden="1" customWidth="1"/>
    <col min="8154" max="8154" width="9.625" hidden="1" customWidth="1"/>
    <col min="8155" max="8156" width="8.625" hidden="1" customWidth="1"/>
    <col min="8157" max="8157" width="9.125" hidden="1" customWidth="1"/>
    <col min="8158" max="8158" width="9.5" hidden="1" customWidth="1"/>
    <col min="8159" max="8159" width="10.5" hidden="1" customWidth="1"/>
    <col min="8160" max="8160" width="9.5" hidden="1" customWidth="1"/>
    <col min="8161" max="8161" width="8.625" hidden="1" customWidth="1"/>
    <col min="8162" max="8162" width="11.125" hidden="1" customWidth="1"/>
    <col min="8163" max="8164" width="8.625" hidden="1" customWidth="1"/>
    <col min="8165" max="8165" width="9.125" hidden="1" customWidth="1"/>
    <col min="8166" max="8168" width="9.625" hidden="1" customWidth="1"/>
    <col min="8169" max="8169" width="8.625" hidden="1" customWidth="1"/>
    <col min="8170" max="8170" width="10.125" hidden="1" customWidth="1"/>
    <col min="8171" max="8172" width="8.625" hidden="1" customWidth="1"/>
    <col min="8173" max="8173" width="30.125" hidden="1" customWidth="1"/>
    <col min="8174" max="8174" width="2.625" hidden="1" customWidth="1"/>
    <col min="8175" max="8175" width="18.625" hidden="1" customWidth="1"/>
    <col min="8176" max="8176" width="1.625" hidden="1" customWidth="1"/>
    <col min="8177" max="8225" width="8.625" hidden="1" customWidth="1"/>
    <col min="8226" max="8374" width="8.625" hidden="1"/>
    <col min="8375" max="8375" width="0.625" hidden="1" customWidth="1"/>
    <col min="8376" max="8376" width="6.625" hidden="1" customWidth="1"/>
    <col min="8377" max="8377" width="50.125" hidden="1" customWidth="1"/>
    <col min="8378" max="8378" width="0.125" hidden="1" customWidth="1"/>
    <col min="8379" max="8380" width="8.625" hidden="1" customWidth="1"/>
    <col min="8381" max="8381" width="10.625" hidden="1" customWidth="1"/>
    <col min="8382" max="8382" width="10" hidden="1" customWidth="1"/>
    <col min="8383" max="8383" width="11.625" hidden="1" customWidth="1"/>
    <col min="8384" max="8386" width="10.625" hidden="1" customWidth="1"/>
    <col min="8387" max="8387" width="9.125" hidden="1" customWidth="1"/>
    <col min="8388" max="8389" width="9.625" hidden="1" customWidth="1"/>
    <col min="8390" max="8390" width="9.5" hidden="1" customWidth="1"/>
    <col min="8391" max="8391" width="9.625" hidden="1" customWidth="1"/>
    <col min="8392" max="8392" width="9.5" hidden="1" customWidth="1"/>
    <col min="8393" max="8393" width="8.625" hidden="1" customWidth="1"/>
    <col min="8394" max="8394" width="10.625" hidden="1" customWidth="1"/>
    <col min="8395" max="8396" width="8.625" hidden="1" customWidth="1"/>
    <col min="8397" max="8400" width="10.125" hidden="1" customWidth="1"/>
    <col min="8401" max="8401" width="8.625" hidden="1" customWidth="1"/>
    <col min="8402" max="8402" width="10.125" hidden="1" customWidth="1"/>
    <col min="8403" max="8404" width="8.625" hidden="1" customWidth="1"/>
    <col min="8405" max="8406" width="9.625" hidden="1" customWidth="1"/>
    <col min="8407" max="8407" width="10" hidden="1" customWidth="1"/>
    <col min="8408" max="8408" width="9.625" hidden="1" customWidth="1"/>
    <col min="8409" max="8409" width="8.625" hidden="1" customWidth="1"/>
    <col min="8410" max="8410" width="9.625" hidden="1" customWidth="1"/>
    <col min="8411" max="8412" width="8.625" hidden="1" customWidth="1"/>
    <col min="8413" max="8413" width="9.125" hidden="1" customWidth="1"/>
    <col min="8414" max="8414" width="9.5" hidden="1" customWidth="1"/>
    <col min="8415" max="8415" width="10.5" hidden="1" customWidth="1"/>
    <col min="8416" max="8416" width="9.5" hidden="1" customWidth="1"/>
    <col min="8417" max="8417" width="8.625" hidden="1" customWidth="1"/>
    <col min="8418" max="8418" width="11.125" hidden="1" customWidth="1"/>
    <col min="8419" max="8420" width="8.625" hidden="1" customWidth="1"/>
    <col min="8421" max="8421" width="9.125" hidden="1" customWidth="1"/>
    <col min="8422" max="8424" width="9.625" hidden="1" customWidth="1"/>
    <col min="8425" max="8425" width="8.625" hidden="1" customWidth="1"/>
    <col min="8426" max="8426" width="10.125" hidden="1" customWidth="1"/>
    <col min="8427" max="8428" width="8.625" hidden="1" customWidth="1"/>
    <col min="8429" max="8429" width="30.125" hidden="1" customWidth="1"/>
    <col min="8430" max="8430" width="2.625" hidden="1" customWidth="1"/>
    <col min="8431" max="8431" width="18.625" hidden="1" customWidth="1"/>
    <col min="8432" max="8432" width="1.625" hidden="1" customWidth="1"/>
    <col min="8433" max="8481" width="8.625" hidden="1" customWidth="1"/>
    <col min="8482" max="8630" width="8.625" hidden="1"/>
    <col min="8631" max="8631" width="0.625" hidden="1" customWidth="1"/>
    <col min="8632" max="8632" width="6.625" hidden="1" customWidth="1"/>
    <col min="8633" max="8633" width="50.125" hidden="1" customWidth="1"/>
    <col min="8634" max="8634" width="0.125" hidden="1" customWidth="1"/>
    <col min="8635" max="8636" width="8.625" hidden="1" customWidth="1"/>
    <col min="8637" max="8637" width="10.625" hidden="1" customWidth="1"/>
    <col min="8638" max="8638" width="10" hidden="1" customWidth="1"/>
    <col min="8639" max="8639" width="11.625" hidden="1" customWidth="1"/>
    <col min="8640" max="8642" width="10.625" hidden="1" customWidth="1"/>
    <col min="8643" max="8643" width="9.125" hidden="1" customWidth="1"/>
    <col min="8644" max="8645" width="9.625" hidden="1" customWidth="1"/>
    <col min="8646" max="8646" width="9.5" hidden="1" customWidth="1"/>
    <col min="8647" max="8647" width="9.625" hidden="1" customWidth="1"/>
    <col min="8648" max="8648" width="9.5" hidden="1" customWidth="1"/>
    <col min="8649" max="8649" width="8.625" hidden="1" customWidth="1"/>
    <col min="8650" max="8650" width="10.625" hidden="1" customWidth="1"/>
    <col min="8651" max="8652" width="8.625" hidden="1" customWidth="1"/>
    <col min="8653" max="8656" width="10.125" hidden="1" customWidth="1"/>
    <col min="8657" max="8657" width="8.625" hidden="1" customWidth="1"/>
    <col min="8658" max="8658" width="10.125" hidden="1" customWidth="1"/>
    <col min="8659" max="8660" width="8.625" hidden="1" customWidth="1"/>
    <col min="8661" max="8662" width="9.625" hidden="1" customWidth="1"/>
    <col min="8663" max="8663" width="10" hidden="1" customWidth="1"/>
    <col min="8664" max="8664" width="9.625" hidden="1" customWidth="1"/>
    <col min="8665" max="8665" width="8.625" hidden="1" customWidth="1"/>
    <col min="8666" max="8666" width="9.625" hidden="1" customWidth="1"/>
    <col min="8667" max="8668" width="8.625" hidden="1" customWidth="1"/>
    <col min="8669" max="8669" width="9.125" hidden="1" customWidth="1"/>
    <col min="8670" max="8670" width="9.5" hidden="1" customWidth="1"/>
    <col min="8671" max="8671" width="10.5" hidden="1" customWidth="1"/>
    <col min="8672" max="8672" width="9.5" hidden="1" customWidth="1"/>
    <col min="8673" max="8673" width="8.625" hidden="1" customWidth="1"/>
    <col min="8674" max="8674" width="11.125" hidden="1" customWidth="1"/>
    <col min="8675" max="8676" width="8.625" hidden="1" customWidth="1"/>
    <col min="8677" max="8677" width="9.125" hidden="1" customWidth="1"/>
    <col min="8678" max="8680" width="9.625" hidden="1" customWidth="1"/>
    <col min="8681" max="8681" width="8.625" hidden="1" customWidth="1"/>
    <col min="8682" max="8682" width="10.125" hidden="1" customWidth="1"/>
    <col min="8683" max="8684" width="8.625" hidden="1" customWidth="1"/>
    <col min="8685" max="8685" width="30.125" hidden="1" customWidth="1"/>
    <col min="8686" max="8686" width="2.625" hidden="1" customWidth="1"/>
    <col min="8687" max="8687" width="18.625" hidden="1" customWidth="1"/>
    <col min="8688" max="8688" width="1.625" hidden="1" customWidth="1"/>
    <col min="8689" max="8737" width="8.625" hidden="1" customWidth="1"/>
    <col min="8738" max="8886" width="8.625" hidden="1"/>
    <col min="8887" max="8887" width="0.625" hidden="1" customWidth="1"/>
    <col min="8888" max="8888" width="6.625" hidden="1" customWidth="1"/>
    <col min="8889" max="8889" width="50.125" hidden="1" customWidth="1"/>
    <col min="8890" max="8890" width="0.125" hidden="1" customWidth="1"/>
    <col min="8891" max="8892" width="8.625" hidden="1" customWidth="1"/>
    <col min="8893" max="8893" width="10.625" hidden="1" customWidth="1"/>
    <col min="8894" max="8894" width="10" hidden="1" customWidth="1"/>
    <col min="8895" max="8895" width="11.625" hidden="1" customWidth="1"/>
    <col min="8896" max="8898" width="10.625" hidden="1" customWidth="1"/>
    <col min="8899" max="8899" width="9.125" hidden="1" customWidth="1"/>
    <col min="8900" max="8901" width="9.625" hidden="1" customWidth="1"/>
    <col min="8902" max="8902" width="9.5" hidden="1" customWidth="1"/>
    <col min="8903" max="8903" width="9.625" hidden="1" customWidth="1"/>
    <col min="8904" max="8904" width="9.5" hidden="1" customWidth="1"/>
    <col min="8905" max="8905" width="8.625" hidden="1" customWidth="1"/>
    <col min="8906" max="8906" width="10.625" hidden="1" customWidth="1"/>
    <col min="8907" max="8908" width="8.625" hidden="1" customWidth="1"/>
    <col min="8909" max="8912" width="10.125" hidden="1" customWidth="1"/>
    <col min="8913" max="8913" width="8.625" hidden="1" customWidth="1"/>
    <col min="8914" max="8914" width="10.125" hidden="1" customWidth="1"/>
    <col min="8915" max="8916" width="8.625" hidden="1" customWidth="1"/>
    <col min="8917" max="8918" width="9.625" hidden="1" customWidth="1"/>
    <col min="8919" max="8919" width="10" hidden="1" customWidth="1"/>
    <col min="8920" max="8920" width="9.625" hidden="1" customWidth="1"/>
    <col min="8921" max="8921" width="8.625" hidden="1" customWidth="1"/>
    <col min="8922" max="8922" width="9.625" hidden="1" customWidth="1"/>
    <col min="8923" max="8924" width="8.625" hidden="1" customWidth="1"/>
    <col min="8925" max="8925" width="9.125" hidden="1" customWidth="1"/>
    <col min="8926" max="8926" width="9.5" hidden="1" customWidth="1"/>
    <col min="8927" max="8927" width="10.5" hidden="1" customWidth="1"/>
    <col min="8928" max="8928" width="9.5" hidden="1" customWidth="1"/>
    <col min="8929" max="8929" width="8.625" hidden="1" customWidth="1"/>
    <col min="8930" max="8930" width="11.125" hidden="1" customWidth="1"/>
    <col min="8931" max="8932" width="8.625" hidden="1" customWidth="1"/>
    <col min="8933" max="8933" width="9.125" hidden="1" customWidth="1"/>
    <col min="8934" max="8936" width="9.625" hidden="1" customWidth="1"/>
    <col min="8937" max="8937" width="8.625" hidden="1" customWidth="1"/>
    <col min="8938" max="8938" width="10.125" hidden="1" customWidth="1"/>
    <col min="8939" max="8940" width="8.625" hidden="1" customWidth="1"/>
    <col min="8941" max="8941" width="30.125" hidden="1" customWidth="1"/>
    <col min="8942" max="8942" width="2.625" hidden="1" customWidth="1"/>
    <col min="8943" max="8943" width="18.625" hidden="1" customWidth="1"/>
    <col min="8944" max="8944" width="1.625" hidden="1" customWidth="1"/>
    <col min="8945" max="8993" width="8.625" hidden="1" customWidth="1"/>
    <col min="8994" max="9142" width="8.625" hidden="1"/>
    <col min="9143" max="9143" width="0.625" hidden="1" customWidth="1"/>
    <col min="9144" max="9144" width="6.625" hidden="1" customWidth="1"/>
    <col min="9145" max="9145" width="50.125" hidden="1" customWidth="1"/>
    <col min="9146" max="9146" width="0.125" hidden="1" customWidth="1"/>
    <col min="9147" max="9148" width="8.625" hidden="1" customWidth="1"/>
    <col min="9149" max="9149" width="10.625" hidden="1" customWidth="1"/>
    <col min="9150" max="9150" width="10" hidden="1" customWidth="1"/>
    <col min="9151" max="9151" width="11.625" hidden="1" customWidth="1"/>
    <col min="9152" max="9154" width="10.625" hidden="1" customWidth="1"/>
    <col min="9155" max="9155" width="9.125" hidden="1" customWidth="1"/>
    <col min="9156" max="9157" width="9.625" hidden="1" customWidth="1"/>
    <col min="9158" max="9158" width="9.5" hidden="1" customWidth="1"/>
    <col min="9159" max="9159" width="9.625" hidden="1" customWidth="1"/>
    <col min="9160" max="9160" width="9.5" hidden="1" customWidth="1"/>
    <col min="9161" max="9161" width="8.625" hidden="1" customWidth="1"/>
    <col min="9162" max="9162" width="10.625" hidden="1" customWidth="1"/>
    <col min="9163" max="9164" width="8.625" hidden="1" customWidth="1"/>
    <col min="9165" max="9168" width="10.125" hidden="1" customWidth="1"/>
    <col min="9169" max="9169" width="8.625" hidden="1" customWidth="1"/>
    <col min="9170" max="9170" width="10.125" hidden="1" customWidth="1"/>
    <col min="9171" max="9172" width="8.625" hidden="1" customWidth="1"/>
    <col min="9173" max="9174" width="9.625" hidden="1" customWidth="1"/>
    <col min="9175" max="9175" width="10" hidden="1" customWidth="1"/>
    <col min="9176" max="9176" width="9.625" hidden="1" customWidth="1"/>
    <col min="9177" max="9177" width="8.625" hidden="1" customWidth="1"/>
    <col min="9178" max="9178" width="9.625" hidden="1" customWidth="1"/>
    <col min="9179" max="9180" width="8.625" hidden="1" customWidth="1"/>
    <col min="9181" max="9181" width="9.125" hidden="1" customWidth="1"/>
    <col min="9182" max="9182" width="9.5" hidden="1" customWidth="1"/>
    <col min="9183" max="9183" width="10.5" hidden="1" customWidth="1"/>
    <col min="9184" max="9184" width="9.5" hidden="1" customWidth="1"/>
    <col min="9185" max="9185" width="8.625" hidden="1" customWidth="1"/>
    <col min="9186" max="9186" width="11.125" hidden="1" customWidth="1"/>
    <col min="9187" max="9188" width="8.625" hidden="1" customWidth="1"/>
    <col min="9189" max="9189" width="9.125" hidden="1" customWidth="1"/>
    <col min="9190" max="9192" width="9.625" hidden="1" customWidth="1"/>
    <col min="9193" max="9193" width="8.625" hidden="1" customWidth="1"/>
    <col min="9194" max="9194" width="10.125" hidden="1" customWidth="1"/>
    <col min="9195" max="9196" width="8.625" hidden="1" customWidth="1"/>
    <col min="9197" max="9197" width="30.125" hidden="1" customWidth="1"/>
    <col min="9198" max="9198" width="2.625" hidden="1" customWidth="1"/>
    <col min="9199" max="9199" width="18.625" hidden="1" customWidth="1"/>
    <col min="9200" max="9200" width="1.625" hidden="1" customWidth="1"/>
    <col min="9201" max="9249" width="8.625" hidden="1" customWidth="1"/>
    <col min="9250" max="9398" width="8.625" hidden="1"/>
    <col min="9399" max="9399" width="0.625" hidden="1" customWidth="1"/>
    <col min="9400" max="9400" width="6.625" hidden="1" customWidth="1"/>
    <col min="9401" max="9401" width="50.125" hidden="1" customWidth="1"/>
    <col min="9402" max="9402" width="0.125" hidden="1" customWidth="1"/>
    <col min="9403" max="9404" width="8.625" hidden="1" customWidth="1"/>
    <col min="9405" max="9405" width="10.625" hidden="1" customWidth="1"/>
    <col min="9406" max="9406" width="10" hidden="1" customWidth="1"/>
    <col min="9407" max="9407" width="11.625" hidden="1" customWidth="1"/>
    <col min="9408" max="9410" width="10.625" hidden="1" customWidth="1"/>
    <col min="9411" max="9411" width="9.125" hidden="1" customWidth="1"/>
    <col min="9412" max="9413" width="9.625" hidden="1" customWidth="1"/>
    <col min="9414" max="9414" width="9.5" hidden="1" customWidth="1"/>
    <col min="9415" max="9415" width="9.625" hidden="1" customWidth="1"/>
    <col min="9416" max="9416" width="9.5" hidden="1" customWidth="1"/>
    <col min="9417" max="9417" width="8.625" hidden="1" customWidth="1"/>
    <col min="9418" max="9418" width="10.625" hidden="1" customWidth="1"/>
    <col min="9419" max="9420" width="8.625" hidden="1" customWidth="1"/>
    <col min="9421" max="9424" width="10.125" hidden="1" customWidth="1"/>
    <col min="9425" max="9425" width="8.625" hidden="1" customWidth="1"/>
    <col min="9426" max="9426" width="10.125" hidden="1" customWidth="1"/>
    <col min="9427" max="9428" width="8.625" hidden="1" customWidth="1"/>
    <col min="9429" max="9430" width="9.625" hidden="1" customWidth="1"/>
    <col min="9431" max="9431" width="10" hidden="1" customWidth="1"/>
    <col min="9432" max="9432" width="9.625" hidden="1" customWidth="1"/>
    <col min="9433" max="9433" width="8.625" hidden="1" customWidth="1"/>
    <col min="9434" max="9434" width="9.625" hidden="1" customWidth="1"/>
    <col min="9435" max="9436" width="8.625" hidden="1" customWidth="1"/>
    <col min="9437" max="9437" width="9.125" hidden="1" customWidth="1"/>
    <col min="9438" max="9438" width="9.5" hidden="1" customWidth="1"/>
    <col min="9439" max="9439" width="10.5" hidden="1" customWidth="1"/>
    <col min="9440" max="9440" width="9.5" hidden="1" customWidth="1"/>
    <col min="9441" max="9441" width="8.625" hidden="1" customWidth="1"/>
    <col min="9442" max="9442" width="11.125" hidden="1" customWidth="1"/>
    <col min="9443" max="9444" width="8.625" hidden="1" customWidth="1"/>
    <col min="9445" max="9445" width="9.125" hidden="1" customWidth="1"/>
    <col min="9446" max="9448" width="9.625" hidden="1" customWidth="1"/>
    <col min="9449" max="9449" width="8.625" hidden="1" customWidth="1"/>
    <col min="9450" max="9450" width="10.125" hidden="1" customWidth="1"/>
    <col min="9451" max="9452" width="8.625" hidden="1" customWidth="1"/>
    <col min="9453" max="9453" width="30.125" hidden="1" customWidth="1"/>
    <col min="9454" max="9454" width="2.625" hidden="1" customWidth="1"/>
    <col min="9455" max="9455" width="18.625" hidden="1" customWidth="1"/>
    <col min="9456" max="9456" width="1.625" hidden="1" customWidth="1"/>
    <col min="9457" max="9505" width="8.625" hidden="1" customWidth="1"/>
    <col min="9506" max="9654" width="8.625" hidden="1"/>
    <col min="9655" max="9655" width="0.625" hidden="1" customWidth="1"/>
    <col min="9656" max="9656" width="6.625" hidden="1" customWidth="1"/>
    <col min="9657" max="9657" width="50.125" hidden="1" customWidth="1"/>
    <col min="9658" max="9658" width="0.125" hidden="1" customWidth="1"/>
    <col min="9659" max="9660" width="8.625" hidden="1" customWidth="1"/>
    <col min="9661" max="9661" width="10.625" hidden="1" customWidth="1"/>
    <col min="9662" max="9662" width="10" hidden="1" customWidth="1"/>
    <col min="9663" max="9663" width="11.625" hidden="1" customWidth="1"/>
    <col min="9664" max="9666" width="10.625" hidden="1" customWidth="1"/>
    <col min="9667" max="9667" width="9.125" hidden="1" customWidth="1"/>
    <col min="9668" max="9669" width="9.625" hidden="1" customWidth="1"/>
    <col min="9670" max="9670" width="9.5" hidden="1" customWidth="1"/>
    <col min="9671" max="9671" width="9.625" hidden="1" customWidth="1"/>
    <col min="9672" max="9672" width="9.5" hidden="1" customWidth="1"/>
    <col min="9673" max="9673" width="8.625" hidden="1" customWidth="1"/>
    <col min="9674" max="9674" width="10.625" hidden="1" customWidth="1"/>
    <col min="9675" max="9676" width="8.625" hidden="1" customWidth="1"/>
    <col min="9677" max="9680" width="10.125" hidden="1" customWidth="1"/>
    <col min="9681" max="9681" width="8.625" hidden="1" customWidth="1"/>
    <col min="9682" max="9682" width="10.125" hidden="1" customWidth="1"/>
    <col min="9683" max="9684" width="8.625" hidden="1" customWidth="1"/>
    <col min="9685" max="9686" width="9.625" hidden="1" customWidth="1"/>
    <col min="9687" max="9687" width="10" hidden="1" customWidth="1"/>
    <col min="9688" max="9688" width="9.625" hidden="1" customWidth="1"/>
    <col min="9689" max="9689" width="8.625" hidden="1" customWidth="1"/>
    <col min="9690" max="9690" width="9.625" hidden="1" customWidth="1"/>
    <col min="9691" max="9692" width="8.625" hidden="1" customWidth="1"/>
    <col min="9693" max="9693" width="9.125" hidden="1" customWidth="1"/>
    <col min="9694" max="9694" width="9.5" hidden="1" customWidth="1"/>
    <col min="9695" max="9695" width="10.5" hidden="1" customWidth="1"/>
    <col min="9696" max="9696" width="9.5" hidden="1" customWidth="1"/>
    <col min="9697" max="9697" width="8.625" hidden="1" customWidth="1"/>
    <col min="9698" max="9698" width="11.125" hidden="1" customWidth="1"/>
    <col min="9699" max="9700" width="8.625" hidden="1" customWidth="1"/>
    <col min="9701" max="9701" width="9.125" hidden="1" customWidth="1"/>
    <col min="9702" max="9704" width="9.625" hidden="1" customWidth="1"/>
    <col min="9705" max="9705" width="8.625" hidden="1" customWidth="1"/>
    <col min="9706" max="9706" width="10.125" hidden="1" customWidth="1"/>
    <col min="9707" max="9708" width="8.625" hidden="1" customWidth="1"/>
    <col min="9709" max="9709" width="30.125" hidden="1" customWidth="1"/>
    <col min="9710" max="9710" width="2.625" hidden="1" customWidth="1"/>
    <col min="9711" max="9711" width="18.625" hidden="1" customWidth="1"/>
    <col min="9712" max="9712" width="1.625" hidden="1" customWidth="1"/>
    <col min="9713" max="9761" width="8.625" hidden="1" customWidth="1"/>
    <col min="9762" max="9910" width="8.625" hidden="1"/>
    <col min="9911" max="9911" width="0.625" hidden="1" customWidth="1"/>
    <col min="9912" max="9912" width="6.625" hidden="1" customWidth="1"/>
    <col min="9913" max="9913" width="50.125" hidden="1" customWidth="1"/>
    <col min="9914" max="9914" width="0.125" hidden="1" customWidth="1"/>
    <col min="9915" max="9916" width="8.625" hidden="1" customWidth="1"/>
    <col min="9917" max="9917" width="10.625" hidden="1" customWidth="1"/>
    <col min="9918" max="9918" width="10" hidden="1" customWidth="1"/>
    <col min="9919" max="9919" width="11.625" hidden="1" customWidth="1"/>
    <col min="9920" max="9922" width="10.625" hidden="1" customWidth="1"/>
    <col min="9923" max="9923" width="9.125" hidden="1" customWidth="1"/>
    <col min="9924" max="9925" width="9.625" hidden="1" customWidth="1"/>
    <col min="9926" max="9926" width="9.5" hidden="1" customWidth="1"/>
    <col min="9927" max="9927" width="9.625" hidden="1" customWidth="1"/>
    <col min="9928" max="9928" width="9.5" hidden="1" customWidth="1"/>
    <col min="9929" max="9929" width="8.625" hidden="1" customWidth="1"/>
    <col min="9930" max="9930" width="10.625" hidden="1" customWidth="1"/>
    <col min="9931" max="9932" width="8.625" hidden="1" customWidth="1"/>
    <col min="9933" max="9936" width="10.125" hidden="1" customWidth="1"/>
    <col min="9937" max="9937" width="8.625" hidden="1" customWidth="1"/>
    <col min="9938" max="9938" width="10.125" hidden="1" customWidth="1"/>
    <col min="9939" max="9940" width="8.625" hidden="1" customWidth="1"/>
    <col min="9941" max="9942" width="9.625" hidden="1" customWidth="1"/>
    <col min="9943" max="9943" width="10" hidden="1" customWidth="1"/>
    <col min="9944" max="9944" width="9.625" hidden="1" customWidth="1"/>
    <col min="9945" max="9945" width="8.625" hidden="1" customWidth="1"/>
    <col min="9946" max="9946" width="9.625" hidden="1" customWidth="1"/>
    <col min="9947" max="9948" width="8.625" hidden="1" customWidth="1"/>
    <col min="9949" max="9949" width="9.125" hidden="1" customWidth="1"/>
    <col min="9950" max="9950" width="9.5" hidden="1" customWidth="1"/>
    <col min="9951" max="9951" width="10.5" hidden="1" customWidth="1"/>
    <col min="9952" max="9952" width="9.5" hidden="1" customWidth="1"/>
    <col min="9953" max="9953" width="8.625" hidden="1" customWidth="1"/>
    <col min="9954" max="9954" width="11.125" hidden="1" customWidth="1"/>
    <col min="9955" max="9956" width="8.625" hidden="1" customWidth="1"/>
    <col min="9957" max="9957" width="9.125" hidden="1" customWidth="1"/>
    <col min="9958" max="9960" width="9.625" hidden="1" customWidth="1"/>
    <col min="9961" max="9961" width="8.625" hidden="1" customWidth="1"/>
    <col min="9962" max="9962" width="10.125" hidden="1" customWidth="1"/>
    <col min="9963" max="9964" width="8.625" hidden="1" customWidth="1"/>
    <col min="9965" max="9965" width="30.125" hidden="1" customWidth="1"/>
    <col min="9966" max="9966" width="2.625" hidden="1" customWidth="1"/>
    <col min="9967" max="9967" width="18.625" hidden="1" customWidth="1"/>
    <col min="9968" max="9968" width="1.625" hidden="1" customWidth="1"/>
    <col min="9969" max="10017" width="8.625" hidden="1" customWidth="1"/>
    <col min="10018" max="10166" width="8.625" hidden="1"/>
    <col min="10167" max="10167" width="0.625" hidden="1" customWidth="1"/>
    <col min="10168" max="10168" width="6.625" hidden="1" customWidth="1"/>
    <col min="10169" max="10169" width="50.125" hidden="1" customWidth="1"/>
    <col min="10170" max="10170" width="0.125" hidden="1" customWidth="1"/>
    <col min="10171" max="10172" width="8.625" hidden="1" customWidth="1"/>
    <col min="10173" max="10173" width="10.625" hidden="1" customWidth="1"/>
    <col min="10174" max="10174" width="10" hidden="1" customWidth="1"/>
    <col min="10175" max="10175" width="11.625" hidden="1" customWidth="1"/>
    <col min="10176" max="10178" width="10.625" hidden="1" customWidth="1"/>
    <col min="10179" max="10179" width="9.125" hidden="1" customWidth="1"/>
    <col min="10180" max="10181" width="9.625" hidden="1" customWidth="1"/>
    <col min="10182" max="10182" width="9.5" hidden="1" customWidth="1"/>
    <col min="10183" max="10183" width="9.625" hidden="1" customWidth="1"/>
    <col min="10184" max="10184" width="9.5" hidden="1" customWidth="1"/>
    <col min="10185" max="10185" width="8.625" hidden="1" customWidth="1"/>
    <col min="10186" max="10186" width="10.625" hidden="1" customWidth="1"/>
    <col min="10187" max="10188" width="8.625" hidden="1" customWidth="1"/>
    <col min="10189" max="10192" width="10.125" hidden="1" customWidth="1"/>
    <col min="10193" max="10193" width="8.625" hidden="1" customWidth="1"/>
    <col min="10194" max="10194" width="10.125" hidden="1" customWidth="1"/>
    <col min="10195" max="10196" width="8.625" hidden="1" customWidth="1"/>
    <col min="10197" max="10198" width="9.625" hidden="1" customWidth="1"/>
    <col min="10199" max="10199" width="10" hidden="1" customWidth="1"/>
    <col min="10200" max="10200" width="9.625" hidden="1" customWidth="1"/>
    <col min="10201" max="10201" width="8.625" hidden="1" customWidth="1"/>
    <col min="10202" max="10202" width="9.625" hidden="1" customWidth="1"/>
    <col min="10203" max="10204" width="8.625" hidden="1" customWidth="1"/>
    <col min="10205" max="10205" width="9.125" hidden="1" customWidth="1"/>
    <col min="10206" max="10206" width="9.5" hidden="1" customWidth="1"/>
    <col min="10207" max="10207" width="10.5" hidden="1" customWidth="1"/>
    <col min="10208" max="10208" width="9.5" hidden="1" customWidth="1"/>
    <col min="10209" max="10209" width="8.625" hidden="1" customWidth="1"/>
    <col min="10210" max="10210" width="11.125" hidden="1" customWidth="1"/>
    <col min="10211" max="10212" width="8.625" hidden="1" customWidth="1"/>
    <col min="10213" max="10213" width="9.125" hidden="1" customWidth="1"/>
    <col min="10214" max="10216" width="9.625" hidden="1" customWidth="1"/>
    <col min="10217" max="10217" width="8.625" hidden="1" customWidth="1"/>
    <col min="10218" max="10218" width="10.125" hidden="1" customWidth="1"/>
    <col min="10219" max="10220" width="8.625" hidden="1" customWidth="1"/>
    <col min="10221" max="10221" width="30.125" hidden="1" customWidth="1"/>
    <col min="10222" max="10222" width="2.625" hidden="1" customWidth="1"/>
    <col min="10223" max="10223" width="18.625" hidden="1" customWidth="1"/>
    <col min="10224" max="10224" width="1.625" hidden="1" customWidth="1"/>
    <col min="10225" max="10273" width="8.625" hidden="1" customWidth="1"/>
    <col min="10274" max="10422" width="8.625" hidden="1"/>
    <col min="10423" max="10423" width="0.625" hidden="1" customWidth="1"/>
    <col min="10424" max="10424" width="6.625" hidden="1" customWidth="1"/>
    <col min="10425" max="10425" width="50.125" hidden="1" customWidth="1"/>
    <col min="10426" max="10426" width="0.125" hidden="1" customWidth="1"/>
    <col min="10427" max="10428" width="8.625" hidden="1" customWidth="1"/>
    <col min="10429" max="10429" width="10.625" hidden="1" customWidth="1"/>
    <col min="10430" max="10430" width="10" hidden="1" customWidth="1"/>
    <col min="10431" max="10431" width="11.625" hidden="1" customWidth="1"/>
    <col min="10432" max="10434" width="10.625" hidden="1" customWidth="1"/>
    <col min="10435" max="10435" width="9.125" hidden="1" customWidth="1"/>
    <col min="10436" max="10437" width="9.625" hidden="1" customWidth="1"/>
    <col min="10438" max="10438" width="9.5" hidden="1" customWidth="1"/>
    <col min="10439" max="10439" width="9.625" hidden="1" customWidth="1"/>
    <col min="10440" max="10440" width="9.5" hidden="1" customWidth="1"/>
    <col min="10441" max="10441" width="8.625" hidden="1" customWidth="1"/>
    <col min="10442" max="10442" width="10.625" hidden="1" customWidth="1"/>
    <col min="10443" max="10444" width="8.625" hidden="1" customWidth="1"/>
    <col min="10445" max="10448" width="10.125" hidden="1" customWidth="1"/>
    <col min="10449" max="10449" width="8.625" hidden="1" customWidth="1"/>
    <col min="10450" max="10450" width="10.125" hidden="1" customWidth="1"/>
    <col min="10451" max="10452" width="8.625" hidden="1" customWidth="1"/>
    <col min="10453" max="10454" width="9.625" hidden="1" customWidth="1"/>
    <col min="10455" max="10455" width="10" hidden="1" customWidth="1"/>
    <col min="10456" max="10456" width="9.625" hidden="1" customWidth="1"/>
    <col min="10457" max="10457" width="8.625" hidden="1" customWidth="1"/>
    <col min="10458" max="10458" width="9.625" hidden="1" customWidth="1"/>
    <col min="10459" max="10460" width="8.625" hidden="1" customWidth="1"/>
    <col min="10461" max="10461" width="9.125" hidden="1" customWidth="1"/>
    <col min="10462" max="10462" width="9.5" hidden="1" customWidth="1"/>
    <col min="10463" max="10463" width="10.5" hidden="1" customWidth="1"/>
    <col min="10464" max="10464" width="9.5" hidden="1" customWidth="1"/>
    <col min="10465" max="10465" width="8.625" hidden="1" customWidth="1"/>
    <col min="10466" max="10466" width="11.125" hidden="1" customWidth="1"/>
    <col min="10467" max="10468" width="8.625" hidden="1" customWidth="1"/>
    <col min="10469" max="10469" width="9.125" hidden="1" customWidth="1"/>
    <col min="10470" max="10472" width="9.625" hidden="1" customWidth="1"/>
    <col min="10473" max="10473" width="8.625" hidden="1" customWidth="1"/>
    <col min="10474" max="10474" width="10.125" hidden="1" customWidth="1"/>
    <col min="10475" max="10476" width="8.625" hidden="1" customWidth="1"/>
    <col min="10477" max="10477" width="30.125" hidden="1" customWidth="1"/>
    <col min="10478" max="10478" width="2.625" hidden="1" customWidth="1"/>
    <col min="10479" max="10479" width="18.625" hidden="1" customWidth="1"/>
    <col min="10480" max="10480" width="1.625" hidden="1" customWidth="1"/>
    <col min="10481" max="10529" width="8.625" hidden="1" customWidth="1"/>
    <col min="10530" max="10678" width="8.625" hidden="1"/>
    <col min="10679" max="10679" width="0.625" hidden="1" customWidth="1"/>
    <col min="10680" max="10680" width="6.625" hidden="1" customWidth="1"/>
    <col min="10681" max="10681" width="50.125" hidden="1" customWidth="1"/>
    <col min="10682" max="10682" width="0.125" hidden="1" customWidth="1"/>
    <col min="10683" max="10684" width="8.625" hidden="1" customWidth="1"/>
    <col min="10685" max="10685" width="10.625" hidden="1" customWidth="1"/>
    <col min="10686" max="10686" width="10" hidden="1" customWidth="1"/>
    <col min="10687" max="10687" width="11.625" hidden="1" customWidth="1"/>
    <col min="10688" max="10690" width="10.625" hidden="1" customWidth="1"/>
    <col min="10691" max="10691" width="9.125" hidden="1" customWidth="1"/>
    <col min="10692" max="10693" width="9.625" hidden="1" customWidth="1"/>
    <col min="10694" max="10694" width="9.5" hidden="1" customWidth="1"/>
    <col min="10695" max="10695" width="9.625" hidden="1" customWidth="1"/>
    <col min="10696" max="10696" width="9.5" hidden="1" customWidth="1"/>
    <col min="10697" max="10697" width="8.625" hidden="1" customWidth="1"/>
    <col min="10698" max="10698" width="10.625" hidden="1" customWidth="1"/>
    <col min="10699" max="10700" width="8.625" hidden="1" customWidth="1"/>
    <col min="10701" max="10704" width="10.125" hidden="1" customWidth="1"/>
    <col min="10705" max="10705" width="8.625" hidden="1" customWidth="1"/>
    <col min="10706" max="10706" width="10.125" hidden="1" customWidth="1"/>
    <col min="10707" max="10708" width="8.625" hidden="1" customWidth="1"/>
    <col min="10709" max="10710" width="9.625" hidden="1" customWidth="1"/>
    <col min="10711" max="10711" width="10" hidden="1" customWidth="1"/>
    <col min="10712" max="10712" width="9.625" hidden="1" customWidth="1"/>
    <col min="10713" max="10713" width="8.625" hidden="1" customWidth="1"/>
    <col min="10714" max="10714" width="9.625" hidden="1" customWidth="1"/>
    <col min="10715" max="10716" width="8.625" hidden="1" customWidth="1"/>
    <col min="10717" max="10717" width="9.125" hidden="1" customWidth="1"/>
    <col min="10718" max="10718" width="9.5" hidden="1" customWidth="1"/>
    <col min="10719" max="10719" width="10.5" hidden="1" customWidth="1"/>
    <col min="10720" max="10720" width="9.5" hidden="1" customWidth="1"/>
    <col min="10721" max="10721" width="8.625" hidden="1" customWidth="1"/>
    <col min="10722" max="10722" width="11.125" hidden="1" customWidth="1"/>
    <col min="10723" max="10724" width="8.625" hidden="1" customWidth="1"/>
    <col min="10725" max="10725" width="9.125" hidden="1" customWidth="1"/>
    <col min="10726" max="10728" width="9.625" hidden="1" customWidth="1"/>
    <col min="10729" max="10729" width="8.625" hidden="1" customWidth="1"/>
    <col min="10730" max="10730" width="10.125" hidden="1" customWidth="1"/>
    <col min="10731" max="10732" width="8.625" hidden="1" customWidth="1"/>
    <col min="10733" max="10733" width="30.125" hidden="1" customWidth="1"/>
    <col min="10734" max="10734" width="2.625" hidden="1" customWidth="1"/>
    <col min="10735" max="10735" width="18.625" hidden="1" customWidth="1"/>
    <col min="10736" max="10736" width="1.625" hidden="1" customWidth="1"/>
    <col min="10737" max="10785" width="8.625" hidden="1" customWidth="1"/>
    <col min="10786" max="10934" width="8.625" hidden="1"/>
    <col min="10935" max="10935" width="0.625" hidden="1" customWidth="1"/>
    <col min="10936" max="10936" width="6.625" hidden="1" customWidth="1"/>
    <col min="10937" max="10937" width="50.125" hidden="1" customWidth="1"/>
    <col min="10938" max="10938" width="0.125" hidden="1" customWidth="1"/>
    <col min="10939" max="10940" width="8.625" hidden="1" customWidth="1"/>
    <col min="10941" max="10941" width="10.625" hidden="1" customWidth="1"/>
    <col min="10942" max="10942" width="10" hidden="1" customWidth="1"/>
    <col min="10943" max="10943" width="11.625" hidden="1" customWidth="1"/>
    <col min="10944" max="10946" width="10.625" hidden="1" customWidth="1"/>
    <col min="10947" max="10947" width="9.125" hidden="1" customWidth="1"/>
    <col min="10948" max="10949" width="9.625" hidden="1" customWidth="1"/>
    <col min="10950" max="10950" width="9.5" hidden="1" customWidth="1"/>
    <col min="10951" max="10951" width="9.625" hidden="1" customWidth="1"/>
    <col min="10952" max="10952" width="9.5" hidden="1" customWidth="1"/>
    <col min="10953" max="10953" width="8.625" hidden="1" customWidth="1"/>
    <col min="10954" max="10954" width="10.625" hidden="1" customWidth="1"/>
    <col min="10955" max="10956" width="8.625" hidden="1" customWidth="1"/>
    <col min="10957" max="10960" width="10.125" hidden="1" customWidth="1"/>
    <col min="10961" max="10961" width="8.625" hidden="1" customWidth="1"/>
    <col min="10962" max="10962" width="10.125" hidden="1" customWidth="1"/>
    <col min="10963" max="10964" width="8.625" hidden="1" customWidth="1"/>
    <col min="10965" max="10966" width="9.625" hidden="1" customWidth="1"/>
    <col min="10967" max="10967" width="10" hidden="1" customWidth="1"/>
    <col min="10968" max="10968" width="9.625" hidden="1" customWidth="1"/>
    <col min="10969" max="10969" width="8.625" hidden="1" customWidth="1"/>
    <col min="10970" max="10970" width="9.625" hidden="1" customWidth="1"/>
    <col min="10971" max="10972" width="8.625" hidden="1" customWidth="1"/>
    <col min="10973" max="10973" width="9.125" hidden="1" customWidth="1"/>
    <col min="10974" max="10974" width="9.5" hidden="1" customWidth="1"/>
    <col min="10975" max="10975" width="10.5" hidden="1" customWidth="1"/>
    <col min="10976" max="10976" width="9.5" hidden="1" customWidth="1"/>
    <col min="10977" max="10977" width="8.625" hidden="1" customWidth="1"/>
    <col min="10978" max="10978" width="11.125" hidden="1" customWidth="1"/>
    <col min="10979" max="10980" width="8.625" hidden="1" customWidth="1"/>
    <col min="10981" max="10981" width="9.125" hidden="1" customWidth="1"/>
    <col min="10982" max="10984" width="9.625" hidden="1" customWidth="1"/>
    <col min="10985" max="10985" width="8.625" hidden="1" customWidth="1"/>
    <col min="10986" max="10986" width="10.125" hidden="1" customWidth="1"/>
    <col min="10987" max="10988" width="8.625" hidden="1" customWidth="1"/>
    <col min="10989" max="10989" width="30.125" hidden="1" customWidth="1"/>
    <col min="10990" max="10990" width="2.625" hidden="1" customWidth="1"/>
    <col min="10991" max="10991" width="18.625" hidden="1" customWidth="1"/>
    <col min="10992" max="10992" width="1.625" hidden="1" customWidth="1"/>
    <col min="10993" max="11041" width="8.625" hidden="1" customWidth="1"/>
    <col min="11042" max="11190" width="8.625" hidden="1"/>
    <col min="11191" max="11191" width="0.625" hidden="1" customWidth="1"/>
    <col min="11192" max="11192" width="6.625" hidden="1" customWidth="1"/>
    <col min="11193" max="11193" width="50.125" hidden="1" customWidth="1"/>
    <col min="11194" max="11194" width="0.125" hidden="1" customWidth="1"/>
    <col min="11195" max="11196" width="8.625" hidden="1" customWidth="1"/>
    <col min="11197" max="11197" width="10.625" hidden="1" customWidth="1"/>
    <col min="11198" max="11198" width="10" hidden="1" customWidth="1"/>
    <col min="11199" max="11199" width="11.625" hidden="1" customWidth="1"/>
    <col min="11200" max="11202" width="10.625" hidden="1" customWidth="1"/>
    <col min="11203" max="11203" width="9.125" hidden="1" customWidth="1"/>
    <col min="11204" max="11205" width="9.625" hidden="1" customWidth="1"/>
    <col min="11206" max="11206" width="9.5" hidden="1" customWidth="1"/>
    <col min="11207" max="11207" width="9.625" hidden="1" customWidth="1"/>
    <col min="11208" max="11208" width="9.5" hidden="1" customWidth="1"/>
    <col min="11209" max="11209" width="8.625" hidden="1" customWidth="1"/>
    <col min="11210" max="11210" width="10.625" hidden="1" customWidth="1"/>
    <col min="11211" max="11212" width="8.625" hidden="1" customWidth="1"/>
    <col min="11213" max="11216" width="10.125" hidden="1" customWidth="1"/>
    <col min="11217" max="11217" width="8.625" hidden="1" customWidth="1"/>
    <col min="11218" max="11218" width="10.125" hidden="1" customWidth="1"/>
    <col min="11219" max="11220" width="8.625" hidden="1" customWidth="1"/>
    <col min="11221" max="11222" width="9.625" hidden="1" customWidth="1"/>
    <col min="11223" max="11223" width="10" hidden="1" customWidth="1"/>
    <col min="11224" max="11224" width="9.625" hidden="1" customWidth="1"/>
    <col min="11225" max="11225" width="8.625" hidden="1" customWidth="1"/>
    <col min="11226" max="11226" width="9.625" hidden="1" customWidth="1"/>
    <col min="11227" max="11228" width="8.625" hidden="1" customWidth="1"/>
    <col min="11229" max="11229" width="9.125" hidden="1" customWidth="1"/>
    <col min="11230" max="11230" width="9.5" hidden="1" customWidth="1"/>
    <col min="11231" max="11231" width="10.5" hidden="1" customWidth="1"/>
    <col min="11232" max="11232" width="9.5" hidden="1" customWidth="1"/>
    <col min="11233" max="11233" width="8.625" hidden="1" customWidth="1"/>
    <col min="11234" max="11234" width="11.125" hidden="1" customWidth="1"/>
    <col min="11235" max="11236" width="8.625" hidden="1" customWidth="1"/>
    <col min="11237" max="11237" width="9.125" hidden="1" customWidth="1"/>
    <col min="11238" max="11240" width="9.625" hidden="1" customWidth="1"/>
    <col min="11241" max="11241" width="8.625" hidden="1" customWidth="1"/>
    <col min="11242" max="11242" width="10.125" hidden="1" customWidth="1"/>
    <col min="11243" max="11244" width="8.625" hidden="1" customWidth="1"/>
    <col min="11245" max="11245" width="30.125" hidden="1" customWidth="1"/>
    <col min="11246" max="11246" width="2.625" hidden="1" customWidth="1"/>
    <col min="11247" max="11247" width="18.625" hidden="1" customWidth="1"/>
    <col min="11248" max="11248" width="1.625" hidden="1" customWidth="1"/>
    <col min="11249" max="11297" width="8.625" hidden="1" customWidth="1"/>
    <col min="11298" max="11446" width="8.625" hidden="1"/>
    <col min="11447" max="11447" width="0.625" hidden="1" customWidth="1"/>
    <col min="11448" max="11448" width="6.625" hidden="1" customWidth="1"/>
    <col min="11449" max="11449" width="50.125" hidden="1" customWidth="1"/>
    <col min="11450" max="11450" width="0.125" hidden="1" customWidth="1"/>
    <col min="11451" max="11452" width="8.625" hidden="1" customWidth="1"/>
    <col min="11453" max="11453" width="10.625" hidden="1" customWidth="1"/>
    <col min="11454" max="11454" width="10" hidden="1" customWidth="1"/>
    <col min="11455" max="11455" width="11.625" hidden="1" customWidth="1"/>
    <col min="11456" max="11458" width="10.625" hidden="1" customWidth="1"/>
    <col min="11459" max="11459" width="9.125" hidden="1" customWidth="1"/>
    <col min="11460" max="11461" width="9.625" hidden="1" customWidth="1"/>
    <col min="11462" max="11462" width="9.5" hidden="1" customWidth="1"/>
    <col min="11463" max="11463" width="9.625" hidden="1" customWidth="1"/>
    <col min="11464" max="11464" width="9.5" hidden="1" customWidth="1"/>
    <col min="11465" max="11465" width="8.625" hidden="1" customWidth="1"/>
    <col min="11466" max="11466" width="10.625" hidden="1" customWidth="1"/>
    <col min="11467" max="11468" width="8.625" hidden="1" customWidth="1"/>
    <col min="11469" max="11472" width="10.125" hidden="1" customWidth="1"/>
    <col min="11473" max="11473" width="8.625" hidden="1" customWidth="1"/>
    <col min="11474" max="11474" width="10.125" hidden="1" customWidth="1"/>
    <col min="11475" max="11476" width="8.625" hidden="1" customWidth="1"/>
    <col min="11477" max="11478" width="9.625" hidden="1" customWidth="1"/>
    <col min="11479" max="11479" width="10" hidden="1" customWidth="1"/>
    <col min="11480" max="11480" width="9.625" hidden="1" customWidth="1"/>
    <col min="11481" max="11481" width="8.625" hidden="1" customWidth="1"/>
    <col min="11482" max="11482" width="9.625" hidden="1" customWidth="1"/>
    <col min="11483" max="11484" width="8.625" hidden="1" customWidth="1"/>
    <col min="11485" max="11485" width="9.125" hidden="1" customWidth="1"/>
    <col min="11486" max="11486" width="9.5" hidden="1" customWidth="1"/>
    <col min="11487" max="11487" width="10.5" hidden="1" customWidth="1"/>
    <col min="11488" max="11488" width="9.5" hidden="1" customWidth="1"/>
    <col min="11489" max="11489" width="8.625" hidden="1" customWidth="1"/>
    <col min="11490" max="11490" width="11.125" hidden="1" customWidth="1"/>
    <col min="11491" max="11492" width="8.625" hidden="1" customWidth="1"/>
    <col min="11493" max="11493" width="9.125" hidden="1" customWidth="1"/>
    <col min="11494" max="11496" width="9.625" hidden="1" customWidth="1"/>
    <col min="11497" max="11497" width="8.625" hidden="1" customWidth="1"/>
    <col min="11498" max="11498" width="10.125" hidden="1" customWidth="1"/>
    <col min="11499" max="11500" width="8.625" hidden="1" customWidth="1"/>
    <col min="11501" max="11501" width="30.125" hidden="1" customWidth="1"/>
    <col min="11502" max="11502" width="2.625" hidden="1" customWidth="1"/>
    <col min="11503" max="11503" width="18.625" hidden="1" customWidth="1"/>
    <col min="11504" max="11504" width="1.625" hidden="1" customWidth="1"/>
    <col min="11505" max="11553" width="8.625" hidden="1" customWidth="1"/>
    <col min="11554" max="11702" width="8.625" hidden="1"/>
    <col min="11703" max="11703" width="0.625" hidden="1" customWidth="1"/>
    <col min="11704" max="11704" width="6.625" hidden="1" customWidth="1"/>
    <col min="11705" max="11705" width="50.125" hidden="1" customWidth="1"/>
    <col min="11706" max="11706" width="0.125" hidden="1" customWidth="1"/>
    <col min="11707" max="11708" width="8.625" hidden="1" customWidth="1"/>
    <col min="11709" max="11709" width="10.625" hidden="1" customWidth="1"/>
    <col min="11710" max="11710" width="10" hidden="1" customWidth="1"/>
    <col min="11711" max="11711" width="11.625" hidden="1" customWidth="1"/>
    <col min="11712" max="11714" width="10.625" hidden="1" customWidth="1"/>
    <col min="11715" max="11715" width="9.125" hidden="1" customWidth="1"/>
    <col min="11716" max="11717" width="9.625" hidden="1" customWidth="1"/>
    <col min="11718" max="11718" width="9.5" hidden="1" customWidth="1"/>
    <col min="11719" max="11719" width="9.625" hidden="1" customWidth="1"/>
    <col min="11720" max="11720" width="9.5" hidden="1" customWidth="1"/>
    <col min="11721" max="11721" width="8.625" hidden="1" customWidth="1"/>
    <col min="11722" max="11722" width="10.625" hidden="1" customWidth="1"/>
    <col min="11723" max="11724" width="8.625" hidden="1" customWidth="1"/>
    <col min="11725" max="11728" width="10.125" hidden="1" customWidth="1"/>
    <col min="11729" max="11729" width="8.625" hidden="1" customWidth="1"/>
    <col min="11730" max="11730" width="10.125" hidden="1" customWidth="1"/>
    <col min="11731" max="11732" width="8.625" hidden="1" customWidth="1"/>
    <col min="11733" max="11734" width="9.625" hidden="1" customWidth="1"/>
    <col min="11735" max="11735" width="10" hidden="1" customWidth="1"/>
    <col min="11736" max="11736" width="9.625" hidden="1" customWidth="1"/>
    <col min="11737" max="11737" width="8.625" hidden="1" customWidth="1"/>
    <col min="11738" max="11738" width="9.625" hidden="1" customWidth="1"/>
    <col min="11739" max="11740" width="8.625" hidden="1" customWidth="1"/>
    <col min="11741" max="11741" width="9.125" hidden="1" customWidth="1"/>
    <col min="11742" max="11742" width="9.5" hidden="1" customWidth="1"/>
    <col min="11743" max="11743" width="10.5" hidden="1" customWidth="1"/>
    <col min="11744" max="11744" width="9.5" hidden="1" customWidth="1"/>
    <col min="11745" max="11745" width="8.625" hidden="1" customWidth="1"/>
    <col min="11746" max="11746" width="11.125" hidden="1" customWidth="1"/>
    <col min="11747" max="11748" width="8.625" hidden="1" customWidth="1"/>
    <col min="11749" max="11749" width="9.125" hidden="1" customWidth="1"/>
    <col min="11750" max="11752" width="9.625" hidden="1" customWidth="1"/>
    <col min="11753" max="11753" width="8.625" hidden="1" customWidth="1"/>
    <col min="11754" max="11754" width="10.125" hidden="1" customWidth="1"/>
    <col min="11755" max="11756" width="8.625" hidden="1" customWidth="1"/>
    <col min="11757" max="11757" width="30.125" hidden="1" customWidth="1"/>
    <col min="11758" max="11758" width="2.625" hidden="1" customWidth="1"/>
    <col min="11759" max="11759" width="18.625" hidden="1" customWidth="1"/>
    <col min="11760" max="11760" width="1.625" hidden="1" customWidth="1"/>
    <col min="11761" max="11809" width="8.625" hidden="1" customWidth="1"/>
    <col min="11810" max="11958" width="8.625" hidden="1"/>
    <col min="11959" max="11959" width="0.625" hidden="1" customWidth="1"/>
    <col min="11960" max="11960" width="6.625" hidden="1" customWidth="1"/>
    <col min="11961" max="11961" width="50.125" hidden="1" customWidth="1"/>
    <col min="11962" max="11962" width="0.125" hidden="1" customWidth="1"/>
    <col min="11963" max="11964" width="8.625" hidden="1" customWidth="1"/>
    <col min="11965" max="11965" width="10.625" hidden="1" customWidth="1"/>
    <col min="11966" max="11966" width="10" hidden="1" customWidth="1"/>
    <col min="11967" max="11967" width="11.625" hidden="1" customWidth="1"/>
    <col min="11968" max="11970" width="10.625" hidden="1" customWidth="1"/>
    <col min="11971" max="11971" width="9.125" hidden="1" customWidth="1"/>
    <col min="11972" max="11973" width="9.625" hidden="1" customWidth="1"/>
    <col min="11974" max="11974" width="9.5" hidden="1" customWidth="1"/>
    <col min="11975" max="11975" width="9.625" hidden="1" customWidth="1"/>
    <col min="11976" max="11976" width="9.5" hidden="1" customWidth="1"/>
    <col min="11977" max="11977" width="8.625" hidden="1" customWidth="1"/>
    <col min="11978" max="11978" width="10.625" hidden="1" customWidth="1"/>
    <col min="11979" max="11980" width="8.625" hidden="1" customWidth="1"/>
    <col min="11981" max="11984" width="10.125" hidden="1" customWidth="1"/>
    <col min="11985" max="11985" width="8.625" hidden="1" customWidth="1"/>
    <col min="11986" max="11986" width="10.125" hidden="1" customWidth="1"/>
    <col min="11987" max="11988" width="8.625" hidden="1" customWidth="1"/>
    <col min="11989" max="11990" width="9.625" hidden="1" customWidth="1"/>
    <col min="11991" max="11991" width="10" hidden="1" customWidth="1"/>
    <col min="11992" max="11992" width="9.625" hidden="1" customWidth="1"/>
    <col min="11993" max="11993" width="8.625" hidden="1" customWidth="1"/>
    <col min="11994" max="11994" width="9.625" hidden="1" customWidth="1"/>
    <col min="11995" max="11996" width="8.625" hidden="1" customWidth="1"/>
    <col min="11997" max="11997" width="9.125" hidden="1" customWidth="1"/>
    <col min="11998" max="11998" width="9.5" hidden="1" customWidth="1"/>
    <col min="11999" max="11999" width="10.5" hidden="1" customWidth="1"/>
    <col min="12000" max="12000" width="9.5" hidden="1" customWidth="1"/>
    <col min="12001" max="12001" width="8.625" hidden="1" customWidth="1"/>
    <col min="12002" max="12002" width="11.125" hidden="1" customWidth="1"/>
    <col min="12003" max="12004" width="8.625" hidden="1" customWidth="1"/>
    <col min="12005" max="12005" width="9.125" hidden="1" customWidth="1"/>
    <col min="12006" max="12008" width="9.625" hidden="1" customWidth="1"/>
    <col min="12009" max="12009" width="8.625" hidden="1" customWidth="1"/>
    <col min="12010" max="12010" width="10.125" hidden="1" customWidth="1"/>
    <col min="12011" max="12012" width="8.625" hidden="1" customWidth="1"/>
    <col min="12013" max="12013" width="30.125" hidden="1" customWidth="1"/>
    <col min="12014" max="12014" width="2.625" hidden="1" customWidth="1"/>
    <col min="12015" max="12015" width="18.625" hidden="1" customWidth="1"/>
    <col min="12016" max="12016" width="1.625" hidden="1" customWidth="1"/>
    <col min="12017" max="12065" width="8.625" hidden="1" customWidth="1"/>
    <col min="12066" max="12214" width="8.625" hidden="1"/>
    <col min="12215" max="12215" width="0.625" hidden="1" customWidth="1"/>
    <col min="12216" max="12216" width="6.625" hidden="1" customWidth="1"/>
    <col min="12217" max="12217" width="50.125" hidden="1" customWidth="1"/>
    <col min="12218" max="12218" width="0.125" hidden="1" customWidth="1"/>
    <col min="12219" max="12220" width="8.625" hidden="1" customWidth="1"/>
    <col min="12221" max="12221" width="10.625" hidden="1" customWidth="1"/>
    <col min="12222" max="12222" width="10" hidden="1" customWidth="1"/>
    <col min="12223" max="12223" width="11.625" hidden="1" customWidth="1"/>
    <col min="12224" max="12226" width="10.625" hidden="1" customWidth="1"/>
    <col min="12227" max="12227" width="9.125" hidden="1" customWidth="1"/>
    <col min="12228" max="12229" width="9.625" hidden="1" customWidth="1"/>
    <col min="12230" max="12230" width="9.5" hidden="1" customWidth="1"/>
    <col min="12231" max="12231" width="9.625" hidden="1" customWidth="1"/>
    <col min="12232" max="12232" width="9.5" hidden="1" customWidth="1"/>
    <col min="12233" max="12233" width="8.625" hidden="1" customWidth="1"/>
    <col min="12234" max="12234" width="10.625" hidden="1" customWidth="1"/>
    <col min="12235" max="12236" width="8.625" hidden="1" customWidth="1"/>
    <col min="12237" max="12240" width="10.125" hidden="1" customWidth="1"/>
    <col min="12241" max="12241" width="8.625" hidden="1" customWidth="1"/>
    <col min="12242" max="12242" width="10.125" hidden="1" customWidth="1"/>
    <col min="12243" max="12244" width="8.625" hidden="1" customWidth="1"/>
    <col min="12245" max="12246" width="9.625" hidden="1" customWidth="1"/>
    <col min="12247" max="12247" width="10" hidden="1" customWidth="1"/>
    <col min="12248" max="12248" width="9.625" hidden="1" customWidth="1"/>
    <col min="12249" max="12249" width="8.625" hidden="1" customWidth="1"/>
    <col min="12250" max="12250" width="9.625" hidden="1" customWidth="1"/>
    <col min="12251" max="12252" width="8.625" hidden="1" customWidth="1"/>
    <col min="12253" max="12253" width="9.125" hidden="1" customWidth="1"/>
    <col min="12254" max="12254" width="9.5" hidden="1" customWidth="1"/>
    <col min="12255" max="12255" width="10.5" hidden="1" customWidth="1"/>
    <col min="12256" max="12256" width="9.5" hidden="1" customWidth="1"/>
    <col min="12257" max="12257" width="8.625" hidden="1" customWidth="1"/>
    <col min="12258" max="12258" width="11.125" hidden="1" customWidth="1"/>
    <col min="12259" max="12260" width="8.625" hidden="1" customWidth="1"/>
    <col min="12261" max="12261" width="9.125" hidden="1" customWidth="1"/>
    <col min="12262" max="12264" width="9.625" hidden="1" customWidth="1"/>
    <col min="12265" max="12265" width="8.625" hidden="1" customWidth="1"/>
    <col min="12266" max="12266" width="10.125" hidden="1" customWidth="1"/>
    <col min="12267" max="12268" width="8.625" hidden="1" customWidth="1"/>
    <col min="12269" max="12269" width="30.125" hidden="1" customWidth="1"/>
    <col min="12270" max="12270" width="2.625" hidden="1" customWidth="1"/>
    <col min="12271" max="12271" width="18.625" hidden="1" customWidth="1"/>
    <col min="12272" max="12272" width="1.625" hidden="1" customWidth="1"/>
    <col min="12273" max="12321" width="8.625" hidden="1" customWidth="1"/>
    <col min="12322" max="12470" width="8.625" hidden="1"/>
    <col min="12471" max="12471" width="0.625" hidden="1" customWidth="1"/>
    <col min="12472" max="12472" width="6.625" hidden="1" customWidth="1"/>
    <col min="12473" max="12473" width="50.125" hidden="1" customWidth="1"/>
    <col min="12474" max="12474" width="0.125" hidden="1" customWidth="1"/>
    <col min="12475" max="12476" width="8.625" hidden="1" customWidth="1"/>
    <col min="12477" max="12477" width="10.625" hidden="1" customWidth="1"/>
    <col min="12478" max="12478" width="10" hidden="1" customWidth="1"/>
    <col min="12479" max="12479" width="11.625" hidden="1" customWidth="1"/>
    <col min="12480" max="12482" width="10.625" hidden="1" customWidth="1"/>
    <col min="12483" max="12483" width="9.125" hidden="1" customWidth="1"/>
    <col min="12484" max="12485" width="9.625" hidden="1" customWidth="1"/>
    <col min="12486" max="12486" width="9.5" hidden="1" customWidth="1"/>
    <col min="12487" max="12487" width="9.625" hidden="1" customWidth="1"/>
    <col min="12488" max="12488" width="9.5" hidden="1" customWidth="1"/>
    <col min="12489" max="12489" width="8.625" hidden="1" customWidth="1"/>
    <col min="12490" max="12490" width="10.625" hidden="1" customWidth="1"/>
    <col min="12491" max="12492" width="8.625" hidden="1" customWidth="1"/>
    <col min="12493" max="12496" width="10.125" hidden="1" customWidth="1"/>
    <col min="12497" max="12497" width="8.625" hidden="1" customWidth="1"/>
    <col min="12498" max="12498" width="10.125" hidden="1" customWidth="1"/>
    <col min="12499" max="12500" width="8.625" hidden="1" customWidth="1"/>
    <col min="12501" max="12502" width="9.625" hidden="1" customWidth="1"/>
    <col min="12503" max="12503" width="10" hidden="1" customWidth="1"/>
    <col min="12504" max="12504" width="9.625" hidden="1" customWidth="1"/>
    <col min="12505" max="12505" width="8.625" hidden="1" customWidth="1"/>
    <col min="12506" max="12506" width="9.625" hidden="1" customWidth="1"/>
    <col min="12507" max="12508" width="8.625" hidden="1" customWidth="1"/>
    <col min="12509" max="12509" width="9.125" hidden="1" customWidth="1"/>
    <col min="12510" max="12510" width="9.5" hidden="1" customWidth="1"/>
    <col min="12511" max="12511" width="10.5" hidden="1" customWidth="1"/>
    <col min="12512" max="12512" width="9.5" hidden="1" customWidth="1"/>
    <col min="12513" max="12513" width="8.625" hidden="1" customWidth="1"/>
    <col min="12514" max="12514" width="11.125" hidden="1" customWidth="1"/>
    <col min="12515" max="12516" width="8.625" hidden="1" customWidth="1"/>
    <col min="12517" max="12517" width="9.125" hidden="1" customWidth="1"/>
    <col min="12518" max="12520" width="9.625" hidden="1" customWidth="1"/>
    <col min="12521" max="12521" width="8.625" hidden="1" customWidth="1"/>
    <col min="12522" max="12522" width="10.125" hidden="1" customWidth="1"/>
    <col min="12523" max="12524" width="8.625" hidden="1" customWidth="1"/>
    <col min="12525" max="12525" width="30.125" hidden="1" customWidth="1"/>
    <col min="12526" max="12526" width="2.625" hidden="1" customWidth="1"/>
    <col min="12527" max="12527" width="18.625" hidden="1" customWidth="1"/>
    <col min="12528" max="12528" width="1.625" hidden="1" customWidth="1"/>
    <col min="12529" max="12577" width="8.625" hidden="1" customWidth="1"/>
    <col min="12578" max="12726" width="8.625" hidden="1"/>
    <col min="12727" max="12727" width="0.625" hidden="1" customWidth="1"/>
    <col min="12728" max="12728" width="6.625" hidden="1" customWidth="1"/>
    <col min="12729" max="12729" width="50.125" hidden="1" customWidth="1"/>
    <col min="12730" max="12730" width="0.125" hidden="1" customWidth="1"/>
    <col min="12731" max="12732" width="8.625" hidden="1" customWidth="1"/>
    <col min="12733" max="12733" width="10.625" hidden="1" customWidth="1"/>
    <col min="12734" max="12734" width="10" hidden="1" customWidth="1"/>
    <col min="12735" max="12735" width="11.625" hidden="1" customWidth="1"/>
    <col min="12736" max="12738" width="10.625" hidden="1" customWidth="1"/>
    <col min="12739" max="12739" width="9.125" hidden="1" customWidth="1"/>
    <col min="12740" max="12741" width="9.625" hidden="1" customWidth="1"/>
    <col min="12742" max="12742" width="9.5" hidden="1" customWidth="1"/>
    <col min="12743" max="12743" width="9.625" hidden="1" customWidth="1"/>
    <col min="12744" max="12744" width="9.5" hidden="1" customWidth="1"/>
    <col min="12745" max="12745" width="8.625" hidden="1" customWidth="1"/>
    <col min="12746" max="12746" width="10.625" hidden="1" customWidth="1"/>
    <col min="12747" max="12748" width="8.625" hidden="1" customWidth="1"/>
    <col min="12749" max="12752" width="10.125" hidden="1" customWidth="1"/>
    <col min="12753" max="12753" width="8.625" hidden="1" customWidth="1"/>
    <col min="12754" max="12754" width="10.125" hidden="1" customWidth="1"/>
    <col min="12755" max="12756" width="8.625" hidden="1" customWidth="1"/>
    <col min="12757" max="12758" width="9.625" hidden="1" customWidth="1"/>
    <col min="12759" max="12759" width="10" hidden="1" customWidth="1"/>
    <col min="12760" max="12760" width="9.625" hidden="1" customWidth="1"/>
    <col min="12761" max="12761" width="8.625" hidden="1" customWidth="1"/>
    <col min="12762" max="12762" width="9.625" hidden="1" customWidth="1"/>
    <col min="12763" max="12764" width="8.625" hidden="1" customWidth="1"/>
    <col min="12765" max="12765" width="9.125" hidden="1" customWidth="1"/>
    <col min="12766" max="12766" width="9.5" hidden="1" customWidth="1"/>
    <col min="12767" max="12767" width="10.5" hidden="1" customWidth="1"/>
    <col min="12768" max="12768" width="9.5" hidden="1" customWidth="1"/>
    <col min="12769" max="12769" width="8.625" hidden="1" customWidth="1"/>
    <col min="12770" max="12770" width="11.125" hidden="1" customWidth="1"/>
    <col min="12771" max="12772" width="8.625" hidden="1" customWidth="1"/>
    <col min="12773" max="12773" width="9.125" hidden="1" customWidth="1"/>
    <col min="12774" max="12776" width="9.625" hidden="1" customWidth="1"/>
    <col min="12777" max="12777" width="8.625" hidden="1" customWidth="1"/>
    <col min="12778" max="12778" width="10.125" hidden="1" customWidth="1"/>
    <col min="12779" max="12780" width="8.625" hidden="1" customWidth="1"/>
    <col min="12781" max="12781" width="30.125" hidden="1" customWidth="1"/>
    <col min="12782" max="12782" width="2.625" hidden="1" customWidth="1"/>
    <col min="12783" max="12783" width="18.625" hidden="1" customWidth="1"/>
    <col min="12784" max="12784" width="1.625" hidden="1" customWidth="1"/>
    <col min="12785" max="12833" width="8.625" hidden="1" customWidth="1"/>
    <col min="12834" max="12982" width="8.625" hidden="1"/>
    <col min="12983" max="12983" width="0.625" hidden="1" customWidth="1"/>
    <col min="12984" max="12984" width="6.625" hidden="1" customWidth="1"/>
    <col min="12985" max="12985" width="50.125" hidden="1" customWidth="1"/>
    <col min="12986" max="12986" width="0.125" hidden="1" customWidth="1"/>
    <col min="12987" max="12988" width="8.625" hidden="1" customWidth="1"/>
    <col min="12989" max="12989" width="10.625" hidden="1" customWidth="1"/>
    <col min="12990" max="12990" width="10" hidden="1" customWidth="1"/>
    <col min="12991" max="12991" width="11.625" hidden="1" customWidth="1"/>
    <col min="12992" max="12994" width="10.625" hidden="1" customWidth="1"/>
    <col min="12995" max="12995" width="9.125" hidden="1" customWidth="1"/>
    <col min="12996" max="12997" width="9.625" hidden="1" customWidth="1"/>
    <col min="12998" max="12998" width="9.5" hidden="1" customWidth="1"/>
    <col min="12999" max="12999" width="9.625" hidden="1" customWidth="1"/>
    <col min="13000" max="13000" width="9.5" hidden="1" customWidth="1"/>
    <col min="13001" max="13001" width="8.625" hidden="1" customWidth="1"/>
    <col min="13002" max="13002" width="10.625" hidden="1" customWidth="1"/>
    <col min="13003" max="13004" width="8.625" hidden="1" customWidth="1"/>
    <col min="13005" max="13008" width="10.125" hidden="1" customWidth="1"/>
    <col min="13009" max="13009" width="8.625" hidden="1" customWidth="1"/>
    <col min="13010" max="13010" width="10.125" hidden="1" customWidth="1"/>
    <col min="13011" max="13012" width="8.625" hidden="1" customWidth="1"/>
    <col min="13013" max="13014" width="9.625" hidden="1" customWidth="1"/>
    <col min="13015" max="13015" width="10" hidden="1" customWidth="1"/>
    <col min="13016" max="13016" width="9.625" hidden="1" customWidth="1"/>
    <col min="13017" max="13017" width="8.625" hidden="1" customWidth="1"/>
    <col min="13018" max="13018" width="9.625" hidden="1" customWidth="1"/>
    <col min="13019" max="13020" width="8.625" hidden="1" customWidth="1"/>
    <col min="13021" max="13021" width="9.125" hidden="1" customWidth="1"/>
    <col min="13022" max="13022" width="9.5" hidden="1" customWidth="1"/>
    <col min="13023" max="13023" width="10.5" hidden="1" customWidth="1"/>
    <col min="13024" max="13024" width="9.5" hidden="1" customWidth="1"/>
    <col min="13025" max="13025" width="8.625" hidden="1" customWidth="1"/>
    <col min="13026" max="13026" width="11.125" hidden="1" customWidth="1"/>
    <col min="13027" max="13028" width="8.625" hidden="1" customWidth="1"/>
    <col min="13029" max="13029" width="9.125" hidden="1" customWidth="1"/>
    <col min="13030" max="13032" width="9.625" hidden="1" customWidth="1"/>
    <col min="13033" max="13033" width="8.625" hidden="1" customWidth="1"/>
    <col min="13034" max="13034" width="10.125" hidden="1" customWidth="1"/>
    <col min="13035" max="13036" width="8.625" hidden="1" customWidth="1"/>
    <col min="13037" max="13037" width="30.125" hidden="1" customWidth="1"/>
    <col min="13038" max="13038" width="2.625" hidden="1" customWidth="1"/>
    <col min="13039" max="13039" width="18.625" hidden="1" customWidth="1"/>
    <col min="13040" max="13040" width="1.625" hidden="1" customWidth="1"/>
    <col min="13041" max="13089" width="8.625" hidden="1" customWidth="1"/>
    <col min="13090" max="13238" width="8.625" hidden="1"/>
    <col min="13239" max="13239" width="0.625" hidden="1" customWidth="1"/>
    <col min="13240" max="13240" width="6.625" hidden="1" customWidth="1"/>
    <col min="13241" max="13241" width="50.125" hidden="1" customWidth="1"/>
    <col min="13242" max="13242" width="0.125" hidden="1" customWidth="1"/>
    <col min="13243" max="13244" width="8.625" hidden="1" customWidth="1"/>
    <col min="13245" max="13245" width="10.625" hidden="1" customWidth="1"/>
    <col min="13246" max="13246" width="10" hidden="1" customWidth="1"/>
    <col min="13247" max="13247" width="11.625" hidden="1" customWidth="1"/>
    <col min="13248" max="13250" width="10.625" hidden="1" customWidth="1"/>
    <col min="13251" max="13251" width="9.125" hidden="1" customWidth="1"/>
    <col min="13252" max="13253" width="9.625" hidden="1" customWidth="1"/>
    <col min="13254" max="13254" width="9.5" hidden="1" customWidth="1"/>
    <col min="13255" max="13255" width="9.625" hidden="1" customWidth="1"/>
    <col min="13256" max="13256" width="9.5" hidden="1" customWidth="1"/>
    <col min="13257" max="13257" width="8.625" hidden="1" customWidth="1"/>
    <col min="13258" max="13258" width="10.625" hidden="1" customWidth="1"/>
    <col min="13259" max="13260" width="8.625" hidden="1" customWidth="1"/>
    <col min="13261" max="13264" width="10.125" hidden="1" customWidth="1"/>
    <col min="13265" max="13265" width="8.625" hidden="1" customWidth="1"/>
    <col min="13266" max="13266" width="10.125" hidden="1" customWidth="1"/>
    <col min="13267" max="13268" width="8.625" hidden="1" customWidth="1"/>
    <col min="13269" max="13270" width="9.625" hidden="1" customWidth="1"/>
    <col min="13271" max="13271" width="10" hidden="1" customWidth="1"/>
    <col min="13272" max="13272" width="9.625" hidden="1" customWidth="1"/>
    <col min="13273" max="13273" width="8.625" hidden="1" customWidth="1"/>
    <col min="13274" max="13274" width="9.625" hidden="1" customWidth="1"/>
    <col min="13275" max="13276" width="8.625" hidden="1" customWidth="1"/>
    <col min="13277" max="13277" width="9.125" hidden="1" customWidth="1"/>
    <col min="13278" max="13278" width="9.5" hidden="1" customWidth="1"/>
    <col min="13279" max="13279" width="10.5" hidden="1" customWidth="1"/>
    <col min="13280" max="13280" width="9.5" hidden="1" customWidth="1"/>
    <col min="13281" max="13281" width="8.625" hidden="1" customWidth="1"/>
    <col min="13282" max="13282" width="11.125" hidden="1" customWidth="1"/>
    <col min="13283" max="13284" width="8.625" hidden="1" customWidth="1"/>
    <col min="13285" max="13285" width="9.125" hidden="1" customWidth="1"/>
    <col min="13286" max="13288" width="9.625" hidden="1" customWidth="1"/>
    <col min="13289" max="13289" width="8.625" hidden="1" customWidth="1"/>
    <col min="13290" max="13290" width="10.125" hidden="1" customWidth="1"/>
    <col min="13291" max="13292" width="8.625" hidden="1" customWidth="1"/>
    <col min="13293" max="13293" width="30.125" hidden="1" customWidth="1"/>
    <col min="13294" max="13294" width="2.625" hidden="1" customWidth="1"/>
    <col min="13295" max="13295" width="18.625" hidden="1" customWidth="1"/>
    <col min="13296" max="13296" width="1.625" hidden="1" customWidth="1"/>
    <col min="13297" max="13345" width="8.625" hidden="1" customWidth="1"/>
    <col min="13346" max="13494" width="8.625" hidden="1"/>
    <col min="13495" max="13495" width="0.625" hidden="1" customWidth="1"/>
    <col min="13496" max="13496" width="6.625" hidden="1" customWidth="1"/>
    <col min="13497" max="13497" width="50.125" hidden="1" customWidth="1"/>
    <col min="13498" max="13498" width="0.125" hidden="1" customWidth="1"/>
    <col min="13499" max="13500" width="8.625" hidden="1" customWidth="1"/>
    <col min="13501" max="13501" width="10.625" hidden="1" customWidth="1"/>
    <col min="13502" max="13502" width="10" hidden="1" customWidth="1"/>
    <col min="13503" max="13503" width="11.625" hidden="1" customWidth="1"/>
    <col min="13504" max="13506" width="10.625" hidden="1" customWidth="1"/>
    <col min="13507" max="13507" width="9.125" hidden="1" customWidth="1"/>
    <col min="13508" max="13509" width="9.625" hidden="1" customWidth="1"/>
    <col min="13510" max="13510" width="9.5" hidden="1" customWidth="1"/>
    <col min="13511" max="13511" width="9.625" hidden="1" customWidth="1"/>
    <col min="13512" max="13512" width="9.5" hidden="1" customWidth="1"/>
    <col min="13513" max="13513" width="8.625" hidden="1" customWidth="1"/>
    <col min="13514" max="13514" width="10.625" hidden="1" customWidth="1"/>
    <col min="13515" max="13516" width="8.625" hidden="1" customWidth="1"/>
    <col min="13517" max="13520" width="10.125" hidden="1" customWidth="1"/>
    <col min="13521" max="13521" width="8.625" hidden="1" customWidth="1"/>
    <col min="13522" max="13522" width="10.125" hidden="1" customWidth="1"/>
    <col min="13523" max="13524" width="8.625" hidden="1" customWidth="1"/>
    <col min="13525" max="13526" width="9.625" hidden="1" customWidth="1"/>
    <col min="13527" max="13527" width="10" hidden="1" customWidth="1"/>
    <col min="13528" max="13528" width="9.625" hidden="1" customWidth="1"/>
    <col min="13529" max="13529" width="8.625" hidden="1" customWidth="1"/>
    <col min="13530" max="13530" width="9.625" hidden="1" customWidth="1"/>
    <col min="13531" max="13532" width="8.625" hidden="1" customWidth="1"/>
    <col min="13533" max="13533" width="9.125" hidden="1" customWidth="1"/>
    <col min="13534" max="13534" width="9.5" hidden="1" customWidth="1"/>
    <col min="13535" max="13535" width="10.5" hidden="1" customWidth="1"/>
    <col min="13536" max="13536" width="9.5" hidden="1" customWidth="1"/>
    <col min="13537" max="13537" width="8.625" hidden="1" customWidth="1"/>
    <col min="13538" max="13538" width="11.125" hidden="1" customWidth="1"/>
    <col min="13539" max="13540" width="8.625" hidden="1" customWidth="1"/>
    <col min="13541" max="13541" width="9.125" hidden="1" customWidth="1"/>
    <col min="13542" max="13544" width="9.625" hidden="1" customWidth="1"/>
    <col min="13545" max="13545" width="8.625" hidden="1" customWidth="1"/>
    <col min="13546" max="13546" width="10.125" hidden="1" customWidth="1"/>
    <col min="13547" max="13548" width="8.625" hidden="1" customWidth="1"/>
    <col min="13549" max="13549" width="30.125" hidden="1" customWidth="1"/>
    <col min="13550" max="13550" width="2.625" hidden="1" customWidth="1"/>
    <col min="13551" max="13551" width="18.625" hidden="1" customWidth="1"/>
    <col min="13552" max="13552" width="1.625" hidden="1" customWidth="1"/>
    <col min="13553" max="13601" width="8.625" hidden="1" customWidth="1"/>
    <col min="13602" max="13750" width="8.625" hidden="1"/>
    <col min="13751" max="13751" width="0.625" hidden="1" customWidth="1"/>
    <col min="13752" max="13752" width="6.625" hidden="1" customWidth="1"/>
    <col min="13753" max="13753" width="50.125" hidden="1" customWidth="1"/>
    <col min="13754" max="13754" width="0.125" hidden="1" customWidth="1"/>
    <col min="13755" max="13756" width="8.625" hidden="1" customWidth="1"/>
    <col min="13757" max="13757" width="10.625" hidden="1" customWidth="1"/>
    <col min="13758" max="13758" width="10" hidden="1" customWidth="1"/>
    <col min="13759" max="13759" width="11.625" hidden="1" customWidth="1"/>
    <col min="13760" max="13762" width="10.625" hidden="1" customWidth="1"/>
    <col min="13763" max="13763" width="9.125" hidden="1" customWidth="1"/>
    <col min="13764" max="13765" width="9.625" hidden="1" customWidth="1"/>
    <col min="13766" max="13766" width="9.5" hidden="1" customWidth="1"/>
    <col min="13767" max="13767" width="9.625" hidden="1" customWidth="1"/>
    <col min="13768" max="13768" width="9.5" hidden="1" customWidth="1"/>
    <col min="13769" max="13769" width="8.625" hidden="1" customWidth="1"/>
    <col min="13770" max="13770" width="10.625" hidden="1" customWidth="1"/>
    <col min="13771" max="13772" width="8.625" hidden="1" customWidth="1"/>
    <col min="13773" max="13776" width="10.125" hidden="1" customWidth="1"/>
    <col min="13777" max="13777" width="8.625" hidden="1" customWidth="1"/>
    <col min="13778" max="13778" width="10.125" hidden="1" customWidth="1"/>
    <col min="13779" max="13780" width="8.625" hidden="1" customWidth="1"/>
    <col min="13781" max="13782" width="9.625" hidden="1" customWidth="1"/>
    <col min="13783" max="13783" width="10" hidden="1" customWidth="1"/>
    <col min="13784" max="13784" width="9.625" hidden="1" customWidth="1"/>
    <col min="13785" max="13785" width="8.625" hidden="1" customWidth="1"/>
    <col min="13786" max="13786" width="9.625" hidden="1" customWidth="1"/>
    <col min="13787" max="13788" width="8.625" hidden="1" customWidth="1"/>
    <col min="13789" max="13789" width="9.125" hidden="1" customWidth="1"/>
    <col min="13790" max="13790" width="9.5" hidden="1" customWidth="1"/>
    <col min="13791" max="13791" width="10.5" hidden="1" customWidth="1"/>
    <col min="13792" max="13792" width="9.5" hidden="1" customWidth="1"/>
    <col min="13793" max="13793" width="8.625" hidden="1" customWidth="1"/>
    <col min="13794" max="13794" width="11.125" hidden="1" customWidth="1"/>
    <col min="13795" max="13796" width="8.625" hidden="1" customWidth="1"/>
    <col min="13797" max="13797" width="9.125" hidden="1" customWidth="1"/>
    <col min="13798" max="13800" width="9.625" hidden="1" customWidth="1"/>
    <col min="13801" max="13801" width="8.625" hidden="1" customWidth="1"/>
    <col min="13802" max="13802" width="10.125" hidden="1" customWidth="1"/>
    <col min="13803" max="13804" width="8.625" hidden="1" customWidth="1"/>
    <col min="13805" max="13805" width="30.125" hidden="1" customWidth="1"/>
    <col min="13806" max="13806" width="2.625" hidden="1" customWidth="1"/>
    <col min="13807" max="13807" width="18.625" hidden="1" customWidth="1"/>
    <col min="13808" max="13808" width="1.625" hidden="1" customWidth="1"/>
    <col min="13809" max="13857" width="8.625" hidden="1" customWidth="1"/>
    <col min="13858" max="14006" width="8.625" hidden="1"/>
    <col min="14007" max="14007" width="0.625" hidden="1" customWidth="1"/>
    <col min="14008" max="14008" width="6.625" hidden="1" customWidth="1"/>
    <col min="14009" max="14009" width="50.125" hidden="1" customWidth="1"/>
    <col min="14010" max="14010" width="0.125" hidden="1" customWidth="1"/>
    <col min="14011" max="14012" width="8.625" hidden="1" customWidth="1"/>
    <col min="14013" max="14013" width="10.625" hidden="1" customWidth="1"/>
    <col min="14014" max="14014" width="10" hidden="1" customWidth="1"/>
    <col min="14015" max="14015" width="11.625" hidden="1" customWidth="1"/>
    <col min="14016" max="14018" width="10.625" hidden="1" customWidth="1"/>
    <col min="14019" max="14019" width="9.125" hidden="1" customWidth="1"/>
    <col min="14020" max="14021" width="9.625" hidden="1" customWidth="1"/>
    <col min="14022" max="14022" width="9.5" hidden="1" customWidth="1"/>
    <col min="14023" max="14023" width="9.625" hidden="1" customWidth="1"/>
    <col min="14024" max="14024" width="9.5" hidden="1" customWidth="1"/>
    <col min="14025" max="14025" width="8.625" hidden="1" customWidth="1"/>
    <col min="14026" max="14026" width="10.625" hidden="1" customWidth="1"/>
    <col min="14027" max="14028" width="8.625" hidden="1" customWidth="1"/>
    <col min="14029" max="14032" width="10.125" hidden="1" customWidth="1"/>
    <col min="14033" max="14033" width="8.625" hidden="1" customWidth="1"/>
    <col min="14034" max="14034" width="10.125" hidden="1" customWidth="1"/>
    <col min="14035" max="14036" width="8.625" hidden="1" customWidth="1"/>
    <col min="14037" max="14038" width="9.625" hidden="1" customWidth="1"/>
    <col min="14039" max="14039" width="10" hidden="1" customWidth="1"/>
    <col min="14040" max="14040" width="9.625" hidden="1" customWidth="1"/>
    <col min="14041" max="14041" width="8.625" hidden="1" customWidth="1"/>
    <col min="14042" max="14042" width="9.625" hidden="1" customWidth="1"/>
    <col min="14043" max="14044" width="8.625" hidden="1" customWidth="1"/>
    <col min="14045" max="14045" width="9.125" hidden="1" customWidth="1"/>
    <col min="14046" max="14046" width="9.5" hidden="1" customWidth="1"/>
    <col min="14047" max="14047" width="10.5" hidden="1" customWidth="1"/>
    <col min="14048" max="14048" width="9.5" hidden="1" customWidth="1"/>
    <col min="14049" max="14049" width="8.625" hidden="1" customWidth="1"/>
    <col min="14050" max="14050" width="11.125" hidden="1" customWidth="1"/>
    <col min="14051" max="14052" width="8.625" hidden="1" customWidth="1"/>
    <col min="14053" max="14053" width="9.125" hidden="1" customWidth="1"/>
    <col min="14054" max="14056" width="9.625" hidden="1" customWidth="1"/>
    <col min="14057" max="14057" width="8.625" hidden="1" customWidth="1"/>
    <col min="14058" max="14058" width="10.125" hidden="1" customWidth="1"/>
    <col min="14059" max="14060" width="8.625" hidden="1" customWidth="1"/>
    <col min="14061" max="14061" width="30.125" hidden="1" customWidth="1"/>
    <col min="14062" max="14062" width="2.625" hidden="1" customWidth="1"/>
    <col min="14063" max="14063" width="18.625" hidden="1" customWidth="1"/>
    <col min="14064" max="14064" width="1.625" hidden="1" customWidth="1"/>
    <col min="14065" max="14113" width="8.625" hidden="1" customWidth="1"/>
    <col min="14114" max="14262" width="8.625" hidden="1"/>
    <col min="14263" max="14263" width="0.625" hidden="1" customWidth="1"/>
    <col min="14264" max="14264" width="6.625" hidden="1" customWidth="1"/>
    <col min="14265" max="14265" width="50.125" hidden="1" customWidth="1"/>
    <col min="14266" max="14266" width="0.125" hidden="1" customWidth="1"/>
    <col min="14267" max="14268" width="8.625" hidden="1" customWidth="1"/>
    <col min="14269" max="14269" width="10.625" hidden="1" customWidth="1"/>
    <col min="14270" max="14270" width="10" hidden="1" customWidth="1"/>
    <col min="14271" max="14271" width="11.625" hidden="1" customWidth="1"/>
    <col min="14272" max="14274" width="10.625" hidden="1" customWidth="1"/>
    <col min="14275" max="14275" width="9.125" hidden="1" customWidth="1"/>
    <col min="14276" max="14277" width="9.625" hidden="1" customWidth="1"/>
    <col min="14278" max="14278" width="9.5" hidden="1" customWidth="1"/>
    <col min="14279" max="14279" width="9.625" hidden="1" customWidth="1"/>
    <col min="14280" max="14280" width="9.5" hidden="1" customWidth="1"/>
    <col min="14281" max="14281" width="8.625" hidden="1" customWidth="1"/>
    <col min="14282" max="14282" width="10.625" hidden="1" customWidth="1"/>
    <col min="14283" max="14284" width="8.625" hidden="1" customWidth="1"/>
    <col min="14285" max="14288" width="10.125" hidden="1" customWidth="1"/>
    <col min="14289" max="14289" width="8.625" hidden="1" customWidth="1"/>
    <col min="14290" max="14290" width="10.125" hidden="1" customWidth="1"/>
    <col min="14291" max="14292" width="8.625" hidden="1" customWidth="1"/>
    <col min="14293" max="14294" width="9.625" hidden="1" customWidth="1"/>
    <col min="14295" max="14295" width="10" hidden="1" customWidth="1"/>
    <col min="14296" max="14296" width="9.625" hidden="1" customWidth="1"/>
    <col min="14297" max="14297" width="8.625" hidden="1" customWidth="1"/>
    <col min="14298" max="14298" width="9.625" hidden="1" customWidth="1"/>
    <col min="14299" max="14300" width="8.625" hidden="1" customWidth="1"/>
    <col min="14301" max="14301" width="9.125" hidden="1" customWidth="1"/>
    <col min="14302" max="14302" width="9.5" hidden="1" customWidth="1"/>
    <col min="14303" max="14303" width="10.5" hidden="1" customWidth="1"/>
    <col min="14304" max="14304" width="9.5" hidden="1" customWidth="1"/>
    <col min="14305" max="14305" width="8.625" hidden="1" customWidth="1"/>
    <col min="14306" max="14306" width="11.125" hidden="1" customWidth="1"/>
    <col min="14307" max="14308" width="8.625" hidden="1" customWidth="1"/>
    <col min="14309" max="14309" width="9.125" hidden="1" customWidth="1"/>
    <col min="14310" max="14312" width="9.625" hidden="1" customWidth="1"/>
    <col min="14313" max="14313" width="8.625" hidden="1" customWidth="1"/>
    <col min="14314" max="14314" width="10.125" hidden="1" customWidth="1"/>
    <col min="14315" max="14316" width="8.625" hidden="1" customWidth="1"/>
    <col min="14317" max="14317" width="30.125" hidden="1" customWidth="1"/>
    <col min="14318" max="14318" width="2.625" hidden="1" customWidth="1"/>
    <col min="14319" max="14319" width="18.625" hidden="1" customWidth="1"/>
    <col min="14320" max="14320" width="1.625" hidden="1" customWidth="1"/>
    <col min="14321" max="14369" width="8.625" hidden="1" customWidth="1"/>
    <col min="14370" max="14518" width="8.625" hidden="1"/>
    <col min="14519" max="14519" width="0.625" hidden="1" customWidth="1"/>
    <col min="14520" max="14520" width="6.625" hidden="1" customWidth="1"/>
    <col min="14521" max="14521" width="50.125" hidden="1" customWidth="1"/>
    <col min="14522" max="14522" width="0.125" hidden="1" customWidth="1"/>
    <col min="14523" max="14524" width="8.625" hidden="1" customWidth="1"/>
    <col min="14525" max="14525" width="10.625" hidden="1" customWidth="1"/>
    <col min="14526" max="14526" width="10" hidden="1" customWidth="1"/>
    <col min="14527" max="14527" width="11.625" hidden="1" customWidth="1"/>
    <col min="14528" max="14530" width="10.625" hidden="1" customWidth="1"/>
    <col min="14531" max="14531" width="9.125" hidden="1" customWidth="1"/>
    <col min="14532" max="14533" width="9.625" hidden="1" customWidth="1"/>
    <col min="14534" max="14534" width="9.5" hidden="1" customWidth="1"/>
    <col min="14535" max="14535" width="9.625" hidden="1" customWidth="1"/>
    <col min="14536" max="14536" width="9.5" hidden="1" customWidth="1"/>
    <col min="14537" max="14537" width="8.625" hidden="1" customWidth="1"/>
    <col min="14538" max="14538" width="10.625" hidden="1" customWidth="1"/>
    <col min="14539" max="14540" width="8.625" hidden="1" customWidth="1"/>
    <col min="14541" max="14544" width="10.125" hidden="1" customWidth="1"/>
    <col min="14545" max="14545" width="8.625" hidden="1" customWidth="1"/>
    <col min="14546" max="14546" width="10.125" hidden="1" customWidth="1"/>
    <col min="14547" max="14548" width="8.625" hidden="1" customWidth="1"/>
    <col min="14549" max="14550" width="9.625" hidden="1" customWidth="1"/>
    <col min="14551" max="14551" width="10" hidden="1" customWidth="1"/>
    <col min="14552" max="14552" width="9.625" hidden="1" customWidth="1"/>
    <col min="14553" max="14553" width="8.625" hidden="1" customWidth="1"/>
    <col min="14554" max="14554" width="9.625" hidden="1" customWidth="1"/>
    <col min="14555" max="14556" width="8.625" hidden="1" customWidth="1"/>
    <col min="14557" max="14557" width="9.125" hidden="1" customWidth="1"/>
    <col min="14558" max="14558" width="9.5" hidden="1" customWidth="1"/>
    <col min="14559" max="14559" width="10.5" hidden="1" customWidth="1"/>
    <col min="14560" max="14560" width="9.5" hidden="1" customWidth="1"/>
    <col min="14561" max="14561" width="8.625" hidden="1" customWidth="1"/>
    <col min="14562" max="14562" width="11.125" hidden="1" customWidth="1"/>
    <col min="14563" max="14564" width="8.625" hidden="1" customWidth="1"/>
    <col min="14565" max="14565" width="9.125" hidden="1" customWidth="1"/>
    <col min="14566" max="14568" width="9.625" hidden="1" customWidth="1"/>
    <col min="14569" max="14569" width="8.625" hidden="1" customWidth="1"/>
    <col min="14570" max="14570" width="10.125" hidden="1" customWidth="1"/>
    <col min="14571" max="14572" width="8.625" hidden="1" customWidth="1"/>
    <col min="14573" max="14573" width="30.125" hidden="1" customWidth="1"/>
    <col min="14574" max="14574" width="2.625" hidden="1" customWidth="1"/>
    <col min="14575" max="14575" width="18.625" hidden="1" customWidth="1"/>
    <col min="14576" max="14576" width="1.625" hidden="1" customWidth="1"/>
    <col min="14577" max="14625" width="8.625" hidden="1" customWidth="1"/>
    <col min="14626" max="14774" width="8.625" hidden="1"/>
    <col min="14775" max="14775" width="0.625" hidden="1" customWidth="1"/>
    <col min="14776" max="14776" width="6.625" hidden="1" customWidth="1"/>
    <col min="14777" max="14777" width="50.125" hidden="1" customWidth="1"/>
    <col min="14778" max="14778" width="0.125" hidden="1" customWidth="1"/>
    <col min="14779" max="14780" width="8.625" hidden="1" customWidth="1"/>
    <col min="14781" max="14781" width="10.625" hidden="1" customWidth="1"/>
    <col min="14782" max="14782" width="10" hidden="1" customWidth="1"/>
    <col min="14783" max="14783" width="11.625" hidden="1" customWidth="1"/>
    <col min="14784" max="14786" width="10.625" hidden="1" customWidth="1"/>
    <col min="14787" max="14787" width="9.125" hidden="1" customWidth="1"/>
    <col min="14788" max="14789" width="9.625" hidden="1" customWidth="1"/>
    <col min="14790" max="14790" width="9.5" hidden="1" customWidth="1"/>
    <col min="14791" max="14791" width="9.625" hidden="1" customWidth="1"/>
    <col min="14792" max="14792" width="9.5" hidden="1" customWidth="1"/>
    <col min="14793" max="14793" width="8.625" hidden="1" customWidth="1"/>
    <col min="14794" max="14794" width="10.625" hidden="1" customWidth="1"/>
    <col min="14795" max="14796" width="8.625" hidden="1" customWidth="1"/>
    <col min="14797" max="14800" width="10.125" hidden="1" customWidth="1"/>
    <col min="14801" max="14801" width="8.625" hidden="1" customWidth="1"/>
    <col min="14802" max="14802" width="10.125" hidden="1" customWidth="1"/>
    <col min="14803" max="14804" width="8.625" hidden="1" customWidth="1"/>
    <col min="14805" max="14806" width="9.625" hidden="1" customWidth="1"/>
    <col min="14807" max="14807" width="10" hidden="1" customWidth="1"/>
    <col min="14808" max="14808" width="9.625" hidden="1" customWidth="1"/>
    <col min="14809" max="14809" width="8.625" hidden="1" customWidth="1"/>
    <col min="14810" max="14810" width="9.625" hidden="1" customWidth="1"/>
    <col min="14811" max="14812" width="8.625" hidden="1" customWidth="1"/>
    <col min="14813" max="14813" width="9.125" hidden="1" customWidth="1"/>
    <col min="14814" max="14814" width="9.5" hidden="1" customWidth="1"/>
    <col min="14815" max="14815" width="10.5" hidden="1" customWidth="1"/>
    <col min="14816" max="14816" width="9.5" hidden="1" customWidth="1"/>
    <col min="14817" max="14817" width="8.625" hidden="1" customWidth="1"/>
    <col min="14818" max="14818" width="11.125" hidden="1" customWidth="1"/>
    <col min="14819" max="14820" width="8.625" hidden="1" customWidth="1"/>
    <col min="14821" max="14821" width="9.125" hidden="1" customWidth="1"/>
    <col min="14822" max="14824" width="9.625" hidden="1" customWidth="1"/>
    <col min="14825" max="14825" width="8.625" hidden="1" customWidth="1"/>
    <col min="14826" max="14826" width="10.125" hidden="1" customWidth="1"/>
    <col min="14827" max="14828" width="8.625" hidden="1" customWidth="1"/>
    <col min="14829" max="14829" width="30.125" hidden="1" customWidth="1"/>
    <col min="14830" max="14830" width="2.625" hidden="1" customWidth="1"/>
    <col min="14831" max="14831" width="18.625" hidden="1" customWidth="1"/>
    <col min="14832" max="14832" width="1.625" hidden="1" customWidth="1"/>
    <col min="14833" max="14881" width="8.625" hidden="1" customWidth="1"/>
    <col min="14882" max="15030" width="8.625" hidden="1"/>
    <col min="15031" max="15031" width="0.625" hidden="1" customWidth="1"/>
    <col min="15032" max="15032" width="6.625" hidden="1" customWidth="1"/>
    <col min="15033" max="15033" width="50.125" hidden="1" customWidth="1"/>
    <col min="15034" max="15034" width="0.125" hidden="1" customWidth="1"/>
    <col min="15035" max="15036" width="8.625" hidden="1" customWidth="1"/>
    <col min="15037" max="15037" width="10.625" hidden="1" customWidth="1"/>
    <col min="15038" max="15038" width="10" hidden="1" customWidth="1"/>
    <col min="15039" max="15039" width="11.625" hidden="1" customWidth="1"/>
    <col min="15040" max="15042" width="10.625" hidden="1" customWidth="1"/>
    <col min="15043" max="15043" width="9.125" hidden="1" customWidth="1"/>
    <col min="15044" max="15045" width="9.625" hidden="1" customWidth="1"/>
    <col min="15046" max="15046" width="9.5" hidden="1" customWidth="1"/>
    <col min="15047" max="15047" width="9.625" hidden="1" customWidth="1"/>
    <col min="15048" max="15048" width="9.5" hidden="1" customWidth="1"/>
    <col min="15049" max="15049" width="8.625" hidden="1" customWidth="1"/>
    <col min="15050" max="15050" width="10.625" hidden="1" customWidth="1"/>
    <col min="15051" max="15052" width="8.625" hidden="1" customWidth="1"/>
    <col min="15053" max="15056" width="10.125" hidden="1" customWidth="1"/>
    <col min="15057" max="15057" width="8.625" hidden="1" customWidth="1"/>
    <col min="15058" max="15058" width="10.125" hidden="1" customWidth="1"/>
    <col min="15059" max="15060" width="8.625" hidden="1" customWidth="1"/>
    <col min="15061" max="15062" width="9.625" hidden="1" customWidth="1"/>
    <col min="15063" max="15063" width="10" hidden="1" customWidth="1"/>
    <col min="15064" max="15064" width="9.625" hidden="1" customWidth="1"/>
    <col min="15065" max="15065" width="8.625" hidden="1" customWidth="1"/>
    <col min="15066" max="15066" width="9.625" hidden="1" customWidth="1"/>
    <col min="15067" max="15068" width="8.625" hidden="1" customWidth="1"/>
    <col min="15069" max="15069" width="9.125" hidden="1" customWidth="1"/>
    <col min="15070" max="15070" width="9.5" hidden="1" customWidth="1"/>
    <col min="15071" max="15071" width="10.5" hidden="1" customWidth="1"/>
    <col min="15072" max="15072" width="9.5" hidden="1" customWidth="1"/>
    <col min="15073" max="15073" width="8.625" hidden="1" customWidth="1"/>
    <col min="15074" max="15074" width="11.125" hidden="1" customWidth="1"/>
    <col min="15075" max="15076" width="8.625" hidden="1" customWidth="1"/>
    <col min="15077" max="15077" width="9.125" hidden="1" customWidth="1"/>
    <col min="15078" max="15080" width="9.625" hidden="1" customWidth="1"/>
    <col min="15081" max="15081" width="8.625" hidden="1" customWidth="1"/>
    <col min="15082" max="15082" width="10.125" hidden="1" customWidth="1"/>
    <col min="15083" max="15084" width="8.625" hidden="1" customWidth="1"/>
    <col min="15085" max="15085" width="30.125" hidden="1" customWidth="1"/>
    <col min="15086" max="15086" width="2.625" hidden="1" customWidth="1"/>
    <col min="15087" max="15087" width="18.625" hidden="1" customWidth="1"/>
    <col min="15088" max="15088" width="1.625" hidden="1" customWidth="1"/>
    <col min="15089" max="15137" width="8.625" hidden="1" customWidth="1"/>
    <col min="15138" max="15286" width="8.625" hidden="1"/>
    <col min="15287" max="15287" width="0.625" hidden="1" customWidth="1"/>
    <col min="15288" max="15288" width="6.625" hidden="1" customWidth="1"/>
    <col min="15289" max="15289" width="50.125" hidden="1" customWidth="1"/>
    <col min="15290" max="15290" width="0.125" hidden="1" customWidth="1"/>
    <col min="15291" max="15292" width="8.625" hidden="1" customWidth="1"/>
    <col min="15293" max="15293" width="10.625" hidden="1" customWidth="1"/>
    <col min="15294" max="15294" width="10" hidden="1" customWidth="1"/>
    <col min="15295" max="15295" width="11.625" hidden="1" customWidth="1"/>
    <col min="15296" max="15298" width="10.625" hidden="1" customWidth="1"/>
    <col min="15299" max="15299" width="9.125" hidden="1" customWidth="1"/>
    <col min="15300" max="15301" width="9.625" hidden="1" customWidth="1"/>
    <col min="15302" max="15302" width="9.5" hidden="1" customWidth="1"/>
    <col min="15303" max="15303" width="9.625" hidden="1" customWidth="1"/>
    <col min="15304" max="15304" width="9.5" hidden="1" customWidth="1"/>
    <col min="15305" max="15305" width="8.625" hidden="1" customWidth="1"/>
    <col min="15306" max="15306" width="10.625" hidden="1" customWidth="1"/>
    <col min="15307" max="15308" width="8.625" hidden="1" customWidth="1"/>
    <col min="15309" max="15312" width="10.125" hidden="1" customWidth="1"/>
    <col min="15313" max="15313" width="8.625" hidden="1" customWidth="1"/>
    <col min="15314" max="15314" width="10.125" hidden="1" customWidth="1"/>
    <col min="15315" max="15316" width="8.625" hidden="1" customWidth="1"/>
    <col min="15317" max="15318" width="9.625" hidden="1" customWidth="1"/>
    <col min="15319" max="15319" width="10" hidden="1" customWidth="1"/>
    <col min="15320" max="15320" width="9.625" hidden="1" customWidth="1"/>
    <col min="15321" max="15321" width="8.625" hidden="1" customWidth="1"/>
    <col min="15322" max="15322" width="9.625" hidden="1" customWidth="1"/>
    <col min="15323" max="15324" width="8.625" hidden="1" customWidth="1"/>
    <col min="15325" max="15325" width="9.125" hidden="1" customWidth="1"/>
    <col min="15326" max="15326" width="9.5" hidden="1" customWidth="1"/>
    <col min="15327" max="15327" width="10.5" hidden="1" customWidth="1"/>
    <col min="15328" max="15328" width="9.5" hidden="1" customWidth="1"/>
    <col min="15329" max="15329" width="8.625" hidden="1" customWidth="1"/>
    <col min="15330" max="15330" width="11.125" hidden="1" customWidth="1"/>
    <col min="15331" max="15332" width="8.625" hidden="1" customWidth="1"/>
    <col min="15333" max="15333" width="9.125" hidden="1" customWidth="1"/>
    <col min="15334" max="15336" width="9.625" hidden="1" customWidth="1"/>
    <col min="15337" max="15337" width="8.625" hidden="1" customWidth="1"/>
    <col min="15338" max="15338" width="10.125" hidden="1" customWidth="1"/>
    <col min="15339" max="15340" width="8.625" hidden="1" customWidth="1"/>
    <col min="15341" max="15341" width="30.125" hidden="1" customWidth="1"/>
    <col min="15342" max="15342" width="2.625" hidden="1" customWidth="1"/>
    <col min="15343" max="15343" width="18.625" hidden="1" customWidth="1"/>
    <col min="15344" max="15344" width="1.625" hidden="1" customWidth="1"/>
    <col min="15345" max="15393" width="8.625" hidden="1" customWidth="1"/>
    <col min="15394" max="15542" width="8.625" hidden="1"/>
    <col min="15543" max="15543" width="0.625" hidden="1" customWidth="1"/>
    <col min="15544" max="15544" width="6.625" hidden="1" customWidth="1"/>
    <col min="15545" max="15545" width="50.125" hidden="1" customWidth="1"/>
    <col min="15546" max="15546" width="0.125" hidden="1" customWidth="1"/>
    <col min="15547" max="15548" width="8.625" hidden="1" customWidth="1"/>
    <col min="15549" max="15549" width="10.625" hidden="1" customWidth="1"/>
    <col min="15550" max="15550" width="10" hidden="1" customWidth="1"/>
    <col min="15551" max="15551" width="11.625" hidden="1" customWidth="1"/>
    <col min="15552" max="15554" width="10.625" hidden="1" customWidth="1"/>
    <col min="15555" max="15555" width="9.125" hidden="1" customWidth="1"/>
    <col min="15556" max="15557" width="9.625" hidden="1" customWidth="1"/>
    <col min="15558" max="15558" width="9.5" hidden="1" customWidth="1"/>
    <col min="15559" max="15559" width="9.625" hidden="1" customWidth="1"/>
    <col min="15560" max="15560" width="9.5" hidden="1" customWidth="1"/>
    <col min="15561" max="15561" width="8.625" hidden="1" customWidth="1"/>
    <col min="15562" max="15562" width="10.625" hidden="1" customWidth="1"/>
    <col min="15563" max="15564" width="8.625" hidden="1" customWidth="1"/>
    <col min="15565" max="15568" width="10.125" hidden="1" customWidth="1"/>
    <col min="15569" max="15569" width="8.625" hidden="1" customWidth="1"/>
    <col min="15570" max="15570" width="10.125" hidden="1" customWidth="1"/>
    <col min="15571" max="15572" width="8.625" hidden="1" customWidth="1"/>
    <col min="15573" max="15574" width="9.625" hidden="1" customWidth="1"/>
    <col min="15575" max="15575" width="10" hidden="1" customWidth="1"/>
    <col min="15576" max="15576" width="9.625" hidden="1" customWidth="1"/>
    <col min="15577" max="15577" width="8.625" hidden="1" customWidth="1"/>
    <col min="15578" max="15578" width="9.625" hidden="1" customWidth="1"/>
    <col min="15579" max="15580" width="8.625" hidden="1" customWidth="1"/>
    <col min="15581" max="15581" width="9.125" hidden="1" customWidth="1"/>
    <col min="15582" max="15582" width="9.5" hidden="1" customWidth="1"/>
    <col min="15583" max="15583" width="10.5" hidden="1" customWidth="1"/>
    <col min="15584" max="15584" width="9.5" hidden="1" customWidth="1"/>
    <col min="15585" max="15585" width="8.625" hidden="1" customWidth="1"/>
    <col min="15586" max="15586" width="11.125" hidden="1" customWidth="1"/>
    <col min="15587" max="15588" width="8.625" hidden="1" customWidth="1"/>
    <col min="15589" max="15589" width="9.125" hidden="1" customWidth="1"/>
    <col min="15590" max="15592" width="9.625" hidden="1" customWidth="1"/>
    <col min="15593" max="15593" width="8.625" hidden="1" customWidth="1"/>
    <col min="15594" max="15594" width="10.125" hidden="1" customWidth="1"/>
    <col min="15595" max="15596" width="8.625" hidden="1" customWidth="1"/>
    <col min="15597" max="15597" width="30.125" hidden="1" customWidth="1"/>
    <col min="15598" max="15598" width="2.625" hidden="1" customWidth="1"/>
    <col min="15599" max="15599" width="18.625" hidden="1" customWidth="1"/>
    <col min="15600" max="15600" width="1.625" hidden="1" customWidth="1"/>
    <col min="15601" max="15649" width="8.625" hidden="1" customWidth="1"/>
    <col min="15650" max="15798" width="8.625" hidden="1"/>
    <col min="15799" max="15799" width="0.625" hidden="1" customWidth="1"/>
    <col min="15800" max="15800" width="6.625" hidden="1" customWidth="1"/>
    <col min="15801" max="15801" width="50.125" hidden="1" customWidth="1"/>
    <col min="15802" max="15802" width="0.125" hidden="1" customWidth="1"/>
    <col min="15803" max="15804" width="8.625" hidden="1" customWidth="1"/>
    <col min="15805" max="15805" width="10.625" hidden="1" customWidth="1"/>
    <col min="15806" max="15806" width="10" hidden="1" customWidth="1"/>
    <col min="15807" max="15807" width="11.625" hidden="1" customWidth="1"/>
    <col min="15808" max="15810" width="10.625" hidden="1" customWidth="1"/>
    <col min="15811" max="15811" width="9.125" hidden="1" customWidth="1"/>
    <col min="15812" max="15813" width="9.625" hidden="1" customWidth="1"/>
    <col min="15814" max="15814" width="9.5" hidden="1" customWidth="1"/>
    <col min="15815" max="15815" width="9.625" hidden="1" customWidth="1"/>
    <col min="15816" max="15816" width="9.5" hidden="1" customWidth="1"/>
    <col min="15817" max="15817" width="8.625" hidden="1" customWidth="1"/>
    <col min="15818" max="15818" width="10.625" hidden="1" customWidth="1"/>
    <col min="15819" max="15820" width="8.625" hidden="1" customWidth="1"/>
    <col min="15821" max="15824" width="10.125" hidden="1" customWidth="1"/>
    <col min="15825" max="15825" width="8.625" hidden="1" customWidth="1"/>
    <col min="15826" max="15826" width="10.125" hidden="1" customWidth="1"/>
    <col min="15827" max="15828" width="8.625" hidden="1" customWidth="1"/>
    <col min="15829" max="15830" width="9.625" hidden="1" customWidth="1"/>
    <col min="15831" max="15831" width="10" hidden="1" customWidth="1"/>
    <col min="15832" max="15832" width="9.625" hidden="1" customWidth="1"/>
    <col min="15833" max="15833" width="8.625" hidden="1" customWidth="1"/>
    <col min="15834" max="15834" width="9.625" hidden="1" customWidth="1"/>
    <col min="15835" max="15836" width="8.625" hidden="1" customWidth="1"/>
    <col min="15837" max="15837" width="9.125" hidden="1" customWidth="1"/>
    <col min="15838" max="15838" width="9.5" hidden="1" customWidth="1"/>
    <col min="15839" max="15839" width="10.5" hidden="1" customWidth="1"/>
    <col min="15840" max="15840" width="9.5" hidden="1" customWidth="1"/>
    <col min="15841" max="15841" width="8.625" hidden="1" customWidth="1"/>
    <col min="15842" max="15842" width="11.125" hidden="1" customWidth="1"/>
    <col min="15843" max="15844" width="8.625" hidden="1" customWidth="1"/>
    <col min="15845" max="15845" width="9.125" hidden="1" customWidth="1"/>
    <col min="15846" max="15848" width="9.625" hidden="1" customWidth="1"/>
    <col min="15849" max="15849" width="8.625" hidden="1" customWidth="1"/>
    <col min="15850" max="15850" width="10.125" hidden="1" customWidth="1"/>
    <col min="15851" max="15852" width="8.625" hidden="1" customWidth="1"/>
    <col min="15853" max="15853" width="30.125" hidden="1" customWidth="1"/>
    <col min="15854" max="15854" width="2.625" hidden="1" customWidth="1"/>
    <col min="15855" max="15855" width="18.625" hidden="1" customWidth="1"/>
    <col min="15856" max="15856" width="1.625" hidden="1" customWidth="1"/>
    <col min="15857" max="15905" width="8.625" hidden="1" customWidth="1"/>
    <col min="15906" max="16054" width="8.625" hidden="1"/>
    <col min="16055" max="16055" width="0.625" hidden="1" customWidth="1"/>
    <col min="16056" max="16056" width="6.625" hidden="1" customWidth="1"/>
    <col min="16057" max="16057" width="50.125" hidden="1" customWidth="1"/>
    <col min="16058" max="16058" width="0.125" hidden="1" customWidth="1"/>
    <col min="16059" max="16060" width="8.625" hidden="1" customWidth="1"/>
    <col min="16061" max="16061" width="10.625" hidden="1" customWidth="1"/>
    <col min="16062" max="16062" width="10" hidden="1" customWidth="1"/>
    <col min="16063" max="16063" width="11.625" hidden="1" customWidth="1"/>
    <col min="16064" max="16066" width="10.625" hidden="1" customWidth="1"/>
    <col min="16067" max="16067" width="9.125" hidden="1" customWidth="1"/>
    <col min="16068" max="16069" width="9.625" hidden="1" customWidth="1"/>
    <col min="16070" max="16070" width="9.5" hidden="1" customWidth="1"/>
    <col min="16071" max="16071" width="9.625" hidden="1" customWidth="1"/>
    <col min="16072" max="16072" width="9.5" hidden="1" customWidth="1"/>
    <col min="16073" max="16073" width="8.625" hidden="1" customWidth="1"/>
    <col min="16074" max="16074" width="10.625" hidden="1" customWidth="1"/>
    <col min="16075" max="16076" width="8.625" hidden="1" customWidth="1"/>
    <col min="16077" max="16080" width="10.125" hidden="1" customWidth="1"/>
    <col min="16081" max="16081" width="8.625" hidden="1" customWidth="1"/>
    <col min="16082" max="16082" width="10.125" hidden="1" customWidth="1"/>
    <col min="16083" max="16084" width="8.625" hidden="1" customWidth="1"/>
    <col min="16085" max="16086" width="9.625" hidden="1" customWidth="1"/>
    <col min="16087" max="16087" width="10" hidden="1" customWidth="1"/>
    <col min="16088" max="16088" width="9.625" hidden="1" customWidth="1"/>
    <col min="16089" max="16089" width="8.625" hidden="1" customWidth="1"/>
    <col min="16090" max="16090" width="9.625" hidden="1" customWidth="1"/>
    <col min="16091" max="16092" width="8.625" hidden="1" customWidth="1"/>
    <col min="16093" max="16093" width="9.125" hidden="1" customWidth="1"/>
    <col min="16094" max="16094" width="9.5" hidden="1" customWidth="1"/>
    <col min="16095" max="16095" width="10.5" hidden="1" customWidth="1"/>
    <col min="16096" max="16096" width="9.5" hidden="1" customWidth="1"/>
    <col min="16097" max="16097" width="8.625" hidden="1" customWidth="1"/>
    <col min="16098" max="16098" width="11.125" hidden="1" customWidth="1"/>
    <col min="16099" max="16100" width="8.625" hidden="1" customWidth="1"/>
    <col min="16101" max="16101" width="9.125" hidden="1" customWidth="1"/>
    <col min="16102" max="16104" width="9.625" hidden="1" customWidth="1"/>
    <col min="16105" max="16105" width="8.625" hidden="1" customWidth="1"/>
    <col min="16106" max="16106" width="10.125" hidden="1" customWidth="1"/>
    <col min="16107" max="16108" width="8.625" hidden="1" customWidth="1"/>
    <col min="16109" max="16109" width="30.125" hidden="1" customWidth="1"/>
    <col min="16110" max="16110" width="2.625" hidden="1" customWidth="1"/>
    <col min="16111" max="16111" width="18.625" hidden="1" customWidth="1"/>
    <col min="16112" max="16112" width="1.625" hidden="1" customWidth="1"/>
    <col min="16113" max="16161" width="0" hidden="1" customWidth="1"/>
    <col min="16190" max="16384" width="8.625" hidden="1"/>
  </cols>
  <sheetData>
    <row r="1" spans="1:48" ht="18.75">
      <c r="B1" s="68" t="s">
        <v>4885</v>
      </c>
      <c r="C1" s="67"/>
      <c r="D1" s="67"/>
      <c r="E1" s="67"/>
      <c r="F1" s="67"/>
      <c r="G1" s="67"/>
      <c r="H1" s="67"/>
      <c r="I1" s="67"/>
      <c r="J1" s="67"/>
      <c r="K1" s="67"/>
      <c r="L1" s="67"/>
      <c r="M1" s="67"/>
      <c r="N1" s="67"/>
      <c r="O1" s="67" t="str">
        <f>Validation!B3</f>
        <v>South West Water – South West area</v>
      </c>
      <c r="P1" s="67"/>
      <c r="Q1" s="68" t="s">
        <v>2394</v>
      </c>
      <c r="AI1" s="68" t="s">
        <v>4885</v>
      </c>
      <c r="AJ1" s="67"/>
      <c r="AK1" s="67"/>
      <c r="AL1" s="67"/>
      <c r="AM1" s="67"/>
      <c r="AN1" s="67"/>
      <c r="AO1" s="67"/>
      <c r="AP1" s="67"/>
      <c r="AQ1" s="67"/>
      <c r="AR1" s="67"/>
      <c r="AS1" s="67"/>
      <c r="AT1" s="67"/>
      <c r="AU1" s="67"/>
    </row>
    <row r="2" spans="1:48" ht="15" thickBot="1">
      <c r="B2" s="74" t="s">
        <v>12524</v>
      </c>
      <c r="AI2" s="74" t="str">
        <f>+B2</f>
        <v>For the 12 months ended 31 March 2019</v>
      </c>
    </row>
    <row r="3" spans="1:48" ht="70.5" customHeight="1" thickBot="1">
      <c r="A3" s="1382"/>
      <c r="B3" s="1104" t="s">
        <v>2423</v>
      </c>
      <c r="C3" s="1049" t="s">
        <v>4077</v>
      </c>
      <c r="D3" s="1050" t="s">
        <v>6495</v>
      </c>
      <c r="E3" s="1050" t="s">
        <v>3346</v>
      </c>
      <c r="F3" s="1381" t="s">
        <v>2397</v>
      </c>
      <c r="G3" s="193" t="s">
        <v>4886</v>
      </c>
      <c r="H3" s="375" t="s">
        <v>4887</v>
      </c>
      <c r="I3" s="1566" t="s">
        <v>4888</v>
      </c>
      <c r="J3" s="375" t="s">
        <v>4889</v>
      </c>
      <c r="K3" s="375" t="s">
        <v>4890</v>
      </c>
      <c r="L3" s="375" t="s">
        <v>4891</v>
      </c>
      <c r="M3" s="375" t="s">
        <v>2525</v>
      </c>
      <c r="N3" s="194" t="s">
        <v>2554</v>
      </c>
      <c r="O3" s="195" t="s">
        <v>4047</v>
      </c>
      <c r="P3" s="71"/>
      <c r="Q3" s="195" t="s">
        <v>1361</v>
      </c>
      <c r="R3" s="1382"/>
      <c r="T3" s="77" t="s">
        <v>2404</v>
      </c>
      <c r="U3" s="1817"/>
      <c r="V3" s="1817"/>
      <c r="W3" s="1817"/>
      <c r="X3" s="714"/>
      <c r="Y3" s="714"/>
      <c r="Z3" s="714"/>
      <c r="AB3" s="1655" t="s">
        <v>2390</v>
      </c>
      <c r="AC3" s="72"/>
      <c r="AD3" s="77" t="s">
        <v>2578</v>
      </c>
      <c r="AE3" s="1655"/>
      <c r="AF3" s="1655"/>
      <c r="AG3" s="72"/>
      <c r="AI3" s="1791" t="s">
        <v>2423</v>
      </c>
      <c r="AJ3" s="1048" t="s">
        <v>4077</v>
      </c>
      <c r="AK3" s="1050" t="s">
        <v>6495</v>
      </c>
      <c r="AL3" s="1050" t="s">
        <v>3346</v>
      </c>
      <c r="AM3" s="1381" t="s">
        <v>2397</v>
      </c>
      <c r="AN3" s="193" t="s">
        <v>4886</v>
      </c>
      <c r="AO3" s="375" t="s">
        <v>4887</v>
      </c>
      <c r="AP3" s="1566" t="s">
        <v>4888</v>
      </c>
      <c r="AQ3" s="375" t="s">
        <v>4889</v>
      </c>
      <c r="AR3" s="375" t="s">
        <v>4890</v>
      </c>
      <c r="AS3" s="375" t="s">
        <v>4891</v>
      </c>
      <c r="AT3" s="375" t="s">
        <v>2525</v>
      </c>
      <c r="AU3" s="194" t="s">
        <v>2554</v>
      </c>
    </row>
    <row r="4" spans="1:48" ht="15" thickBot="1">
      <c r="A4" s="1382"/>
      <c r="B4" s="1383"/>
      <c r="C4" s="1382"/>
      <c r="D4" s="1382"/>
      <c r="E4" s="1382"/>
      <c r="F4" s="1382"/>
      <c r="G4" s="1382"/>
      <c r="H4" s="1382"/>
      <c r="I4" s="1382"/>
      <c r="J4" s="1382"/>
      <c r="K4" s="1382"/>
      <c r="L4" s="674"/>
      <c r="M4" s="674"/>
      <c r="N4" s="1382"/>
      <c r="O4" s="1384"/>
      <c r="P4" s="625"/>
      <c r="R4" s="1382"/>
      <c r="S4" s="1765"/>
      <c r="T4" s="171" t="s">
        <v>2405</v>
      </c>
      <c r="U4" s="1382"/>
      <c r="V4" s="1382"/>
      <c r="W4" s="1382"/>
      <c r="AI4" s="1383"/>
      <c r="AJ4" s="1382"/>
      <c r="AK4" s="1382"/>
      <c r="AL4" s="1382"/>
      <c r="AM4" s="1382"/>
      <c r="AN4" s="2645" t="s">
        <v>11082</v>
      </c>
      <c r="AO4" s="2645" t="s">
        <v>11083</v>
      </c>
      <c r="AP4" s="2645" t="s">
        <v>11084</v>
      </c>
      <c r="AQ4" s="2645" t="s">
        <v>4014</v>
      </c>
      <c r="AR4" s="2645" t="s">
        <v>3991</v>
      </c>
      <c r="AS4" s="2646" t="s">
        <v>11085</v>
      </c>
      <c r="AT4" s="2646" t="s">
        <v>13140</v>
      </c>
      <c r="AU4" s="2645" t="s">
        <v>11086</v>
      </c>
    </row>
    <row r="5" spans="1:48" ht="15" thickBot="1">
      <c r="A5" s="1382"/>
      <c r="B5" s="3825" t="s">
        <v>2746</v>
      </c>
      <c r="C5" s="3826"/>
      <c r="D5" s="1382"/>
      <c r="E5" s="1382"/>
      <c r="F5" s="1382"/>
      <c r="G5" s="1382"/>
      <c r="H5" s="1382"/>
      <c r="I5" s="1382"/>
      <c r="J5" s="1382"/>
      <c r="K5" s="1382"/>
      <c r="L5" s="674"/>
      <c r="M5" s="674"/>
      <c r="N5" s="1382"/>
      <c r="O5" s="1384"/>
      <c r="P5" s="625"/>
      <c r="R5" s="1382"/>
      <c r="S5" s="1765"/>
      <c r="T5" s="1382"/>
      <c r="U5" s="1382"/>
      <c r="V5" s="1382"/>
      <c r="W5" s="1382"/>
      <c r="AI5" s="3595" t="s">
        <v>2746</v>
      </c>
      <c r="AJ5" s="3824"/>
      <c r="AK5" s="1382"/>
      <c r="AL5" s="1382"/>
      <c r="AM5" s="1382"/>
      <c r="AN5" s="1382"/>
      <c r="AO5" s="1382"/>
      <c r="AP5" s="1382"/>
      <c r="AQ5" s="1382"/>
      <c r="AR5" s="1382"/>
      <c r="AS5" s="674"/>
      <c r="AT5" s="674"/>
      <c r="AU5" s="1382"/>
    </row>
    <row r="6" spans="1:48" ht="15" thickBot="1">
      <c r="B6" s="1811" t="s">
        <v>2449</v>
      </c>
      <c r="C6" s="1812" t="s">
        <v>4892</v>
      </c>
      <c r="AI6" s="1791" t="s">
        <v>2449</v>
      </c>
      <c r="AJ6" s="1114" t="s">
        <v>4892</v>
      </c>
    </row>
    <row r="7" spans="1:48" ht="14.25">
      <c r="B7" s="1818" t="s">
        <v>6241</v>
      </c>
      <c r="C7" s="1821" t="s">
        <v>2588</v>
      </c>
      <c r="D7" s="2535" t="s">
        <v>9438</v>
      </c>
      <c r="E7" s="1826" t="s">
        <v>750</v>
      </c>
      <c r="F7" s="1827">
        <v>3</v>
      </c>
      <c r="G7" s="1390"/>
      <c r="H7" s="1391"/>
      <c r="I7" s="1391"/>
      <c r="J7" s="1391"/>
      <c r="K7" s="1392"/>
      <c r="L7" s="1392"/>
      <c r="M7" s="1392"/>
      <c r="N7" s="2465">
        <f>SUM(G7:M7)</f>
        <v>0</v>
      </c>
      <c r="O7" s="1892"/>
      <c r="Q7" s="24" t="str">
        <f xml:space="preserve"> IF( SUM( S7:AA7 ) = 0, 0, $T$4 )</f>
        <v>Please complete all cells in row</v>
      </c>
      <c r="R7" s="1250"/>
      <c r="S7" s="72"/>
      <c r="T7" s="98">
        <f t="shared" ref="T7:X8" si="0" xml:space="preserve"> IF( ISNUMBER( G7 ), 0, 1 )</f>
        <v>1</v>
      </c>
      <c r="U7" s="98">
        <f t="shared" si="0"/>
        <v>1</v>
      </c>
      <c r="V7" s="98">
        <f t="shared" si="0"/>
        <v>1</v>
      </c>
      <c r="W7" s="98">
        <f t="shared" si="0"/>
        <v>1</v>
      </c>
      <c r="X7" s="98">
        <f t="shared" si="0"/>
        <v>1</v>
      </c>
      <c r="Y7" s="98">
        <f t="shared" ref="Y7:Y10" si="1" xml:space="preserve"> IF( ISNUMBER( L7 ), 0, 1 )</f>
        <v>1</v>
      </c>
      <c r="Z7" s="98">
        <f t="shared" ref="Z7:Z10" si="2" xml:space="preserve"> IF( ISNUMBER( M7 ), 0, 1 )</f>
        <v>1</v>
      </c>
      <c r="AA7" s="72"/>
      <c r="AI7" s="1385" t="s">
        <v>6241</v>
      </c>
      <c r="AJ7" s="1386" t="s">
        <v>2588</v>
      </c>
      <c r="AK7" s="2541" t="s">
        <v>9438</v>
      </c>
      <c r="AL7" s="1388" t="s">
        <v>750</v>
      </c>
      <c r="AM7" s="1389">
        <v>3</v>
      </c>
      <c r="AN7" s="1390" t="str">
        <f>$D7&amp;AN$4</f>
        <v>BM102IR</v>
      </c>
      <c r="AO7" s="1391" t="str">
        <f t="shared" ref="AO7:AU20" si="3">$D7&amp;AO$4</f>
        <v>BM102PS</v>
      </c>
      <c r="AP7" s="1391" t="str">
        <f t="shared" si="3"/>
        <v>BM102RS</v>
      </c>
      <c r="AQ7" s="1391" t="str">
        <f t="shared" si="3"/>
        <v>BM102BO</v>
      </c>
      <c r="AR7" s="1392" t="str">
        <f t="shared" si="3"/>
        <v>BM102AR</v>
      </c>
      <c r="AS7" s="1392" t="str">
        <f t="shared" si="3"/>
        <v>BM102ASR</v>
      </c>
      <c r="AT7" s="1392" t="str">
        <f t="shared" si="3"/>
        <v>BM102WROT</v>
      </c>
      <c r="AU7" s="1393" t="str">
        <f t="shared" si="3"/>
        <v>BM102WRTOT</v>
      </c>
    </row>
    <row r="8" spans="1:48" ht="14.25">
      <c r="B8" s="1819" t="s">
        <v>6242</v>
      </c>
      <c r="C8" s="1822" t="s">
        <v>4893</v>
      </c>
      <c r="D8" s="2536" t="s">
        <v>9439</v>
      </c>
      <c r="E8" s="1828" t="s">
        <v>750</v>
      </c>
      <c r="F8" s="1829">
        <v>3</v>
      </c>
      <c r="G8" s="1399"/>
      <c r="H8" s="1400"/>
      <c r="I8" s="1400"/>
      <c r="J8" s="1400"/>
      <c r="K8" s="1401"/>
      <c r="L8" s="1401"/>
      <c r="M8" s="1401"/>
      <c r="N8" s="2467">
        <f t="shared" ref="N8:N16" si="4">SUM(G8:M8)</f>
        <v>0</v>
      </c>
      <c r="O8" s="1893"/>
      <c r="Q8" s="24" t="str">
        <f xml:space="preserve"> IF( SUM( S8:AA8 ) = 0, 0, $T$4 )</f>
        <v>Please complete all cells in row</v>
      </c>
      <c r="R8" s="1250"/>
      <c r="S8" s="72"/>
      <c r="T8" s="98">
        <f t="shared" si="0"/>
        <v>1</v>
      </c>
      <c r="U8" s="98">
        <f t="shared" si="0"/>
        <v>1</v>
      </c>
      <c r="V8" s="98">
        <f t="shared" si="0"/>
        <v>1</v>
      </c>
      <c r="W8" s="98">
        <f t="shared" si="0"/>
        <v>1</v>
      </c>
      <c r="X8" s="98">
        <f t="shared" si="0"/>
        <v>1</v>
      </c>
      <c r="Y8" s="98">
        <f t="shared" si="1"/>
        <v>1</v>
      </c>
      <c r="Z8" s="98">
        <f t="shared" si="2"/>
        <v>1</v>
      </c>
      <c r="AA8" s="72"/>
      <c r="AI8" s="1394" t="s">
        <v>6242</v>
      </c>
      <c r="AJ8" s="1395" t="s">
        <v>4893</v>
      </c>
      <c r="AK8" s="2542" t="s">
        <v>9439</v>
      </c>
      <c r="AL8" s="1397" t="s">
        <v>750</v>
      </c>
      <c r="AM8" s="1398">
        <v>3</v>
      </c>
      <c r="AN8" s="1399" t="str">
        <f t="shared" ref="AN8:AN20" si="5">$D8&amp;AN$4</f>
        <v>BM836IR</v>
      </c>
      <c r="AO8" s="1400" t="str">
        <f t="shared" si="3"/>
        <v>BM836PS</v>
      </c>
      <c r="AP8" s="1400" t="str">
        <f t="shared" si="3"/>
        <v>BM836RS</v>
      </c>
      <c r="AQ8" s="1400" t="str">
        <f t="shared" si="3"/>
        <v>BM836BO</v>
      </c>
      <c r="AR8" s="1401" t="str">
        <f t="shared" si="3"/>
        <v>BM836AR</v>
      </c>
      <c r="AS8" s="1401" t="str">
        <f t="shared" si="3"/>
        <v>BM836ASR</v>
      </c>
      <c r="AT8" s="1401" t="str">
        <f t="shared" si="3"/>
        <v>BM836WROT</v>
      </c>
      <c r="AU8" s="1402" t="str">
        <f t="shared" si="3"/>
        <v>BM836WRTOT</v>
      </c>
    </row>
    <row r="9" spans="1:48" s="2146" customFormat="1" ht="14.25">
      <c r="B9" s="1819" t="s">
        <v>6243</v>
      </c>
      <c r="C9" s="1823" t="s">
        <v>3790</v>
      </c>
      <c r="D9" s="2634" t="s">
        <v>13143</v>
      </c>
      <c r="E9" s="1830" t="s">
        <v>750</v>
      </c>
      <c r="F9" s="1829">
        <v>3</v>
      </c>
      <c r="G9" s="1399"/>
      <c r="H9" s="1400"/>
      <c r="I9" s="1400"/>
      <c r="J9" s="1400"/>
      <c r="K9" s="1401"/>
      <c r="L9" s="1401"/>
      <c r="M9" s="1401"/>
      <c r="N9" s="2466">
        <f t="shared" si="4"/>
        <v>0</v>
      </c>
      <c r="O9" s="1893"/>
      <c r="Q9" s="24" t="str">
        <f t="shared" ref="Q9:Q10" si="6" xml:space="preserve"> IF( SUM( S9:AA9 ) = 0, 0, $T$4 )</f>
        <v>Please complete all cells in row</v>
      </c>
      <c r="R9" s="1250"/>
      <c r="S9" s="72"/>
      <c r="T9" s="98">
        <f t="shared" ref="T9:T10" si="7" xml:space="preserve"> IF( ISNUMBER( G9 ), 0, 1 )</f>
        <v>1</v>
      </c>
      <c r="U9" s="98">
        <f t="shared" ref="U9:U10" si="8" xml:space="preserve"> IF( ISNUMBER( H9 ), 0, 1 )</f>
        <v>1</v>
      </c>
      <c r="V9" s="98">
        <f t="shared" ref="V9:V10" si="9" xml:space="preserve"> IF( ISNUMBER( I9 ), 0, 1 )</f>
        <v>1</v>
      </c>
      <c r="W9" s="98">
        <f t="shared" ref="W9:W10" si="10" xml:space="preserve"> IF( ISNUMBER( J9 ), 0, 1 )</f>
        <v>1</v>
      </c>
      <c r="X9" s="98">
        <f t="shared" ref="X9:X10" si="11" xml:space="preserve"> IF( ISNUMBER( K9 ), 0, 1 )</f>
        <v>1</v>
      </c>
      <c r="Y9" s="98">
        <f t="shared" si="1"/>
        <v>1</v>
      </c>
      <c r="Z9" s="98">
        <f t="shared" si="2"/>
        <v>1</v>
      </c>
      <c r="AA9" s="72"/>
      <c r="AC9" s="1764"/>
      <c r="AG9" s="1764"/>
      <c r="AI9" s="1819" t="s">
        <v>6243</v>
      </c>
      <c r="AJ9" s="1823" t="s">
        <v>3790</v>
      </c>
      <c r="AK9" s="2634" t="s">
        <v>13143</v>
      </c>
      <c r="AL9" s="1830" t="s">
        <v>750</v>
      </c>
      <c r="AM9" s="1829">
        <v>3</v>
      </c>
      <c r="AN9" s="1399" t="str">
        <f t="shared" si="5"/>
        <v>WS1003IR</v>
      </c>
      <c r="AO9" s="1400" t="str">
        <f t="shared" si="3"/>
        <v>WS1003PS</v>
      </c>
      <c r="AP9" s="1400" t="str">
        <f t="shared" si="3"/>
        <v>WS1003RS</v>
      </c>
      <c r="AQ9" s="1400" t="str">
        <f t="shared" si="3"/>
        <v>WS1003BO</v>
      </c>
      <c r="AR9" s="1401" t="str">
        <f t="shared" si="3"/>
        <v>WS1003AR</v>
      </c>
      <c r="AS9" s="1401" t="str">
        <f t="shared" si="3"/>
        <v>WS1003ASR</v>
      </c>
      <c r="AT9" s="1401" t="str">
        <f t="shared" si="3"/>
        <v>WS1003WROT</v>
      </c>
      <c r="AU9" s="1402" t="str">
        <f t="shared" si="3"/>
        <v>WS1003WRTOT</v>
      </c>
      <c r="AV9" s="1754"/>
    </row>
    <row r="10" spans="1:48" s="2146" customFormat="1" ht="14.25">
      <c r="B10" s="1819" t="s">
        <v>6244</v>
      </c>
      <c r="C10" s="1823" t="s">
        <v>3663</v>
      </c>
      <c r="D10" s="2634" t="s">
        <v>13111</v>
      </c>
      <c r="E10" s="1830" t="s">
        <v>750</v>
      </c>
      <c r="F10" s="1829">
        <v>3</v>
      </c>
      <c r="G10" s="1399"/>
      <c r="H10" s="1400"/>
      <c r="I10" s="1400"/>
      <c r="J10" s="1400"/>
      <c r="K10" s="1401"/>
      <c r="L10" s="1401"/>
      <c r="M10" s="1401"/>
      <c r="N10" s="2469">
        <f t="shared" si="4"/>
        <v>0</v>
      </c>
      <c r="O10" s="1893"/>
      <c r="Q10" s="24" t="str">
        <f t="shared" si="6"/>
        <v>Please complete all cells in row</v>
      </c>
      <c r="R10" s="1250"/>
      <c r="S10" s="72"/>
      <c r="T10" s="98">
        <f t="shared" si="7"/>
        <v>1</v>
      </c>
      <c r="U10" s="98">
        <f t="shared" si="8"/>
        <v>1</v>
      </c>
      <c r="V10" s="98">
        <f t="shared" si="9"/>
        <v>1</v>
      </c>
      <c r="W10" s="98">
        <f t="shared" si="10"/>
        <v>1</v>
      </c>
      <c r="X10" s="98">
        <f t="shared" si="11"/>
        <v>1</v>
      </c>
      <c r="Y10" s="98">
        <f t="shared" si="1"/>
        <v>1</v>
      </c>
      <c r="Z10" s="98">
        <f t="shared" si="2"/>
        <v>1</v>
      </c>
      <c r="AA10" s="72"/>
      <c r="AC10" s="1764"/>
      <c r="AG10" s="1764"/>
      <c r="AI10" s="1819" t="s">
        <v>6244</v>
      </c>
      <c r="AJ10" s="1823" t="s">
        <v>3663</v>
      </c>
      <c r="AK10" s="2634" t="s">
        <v>13152</v>
      </c>
      <c r="AL10" s="1830" t="s">
        <v>750</v>
      </c>
      <c r="AM10" s="1829">
        <v>3</v>
      </c>
      <c r="AN10" s="1399" t="str">
        <f t="shared" si="5"/>
        <v>BM240IR</v>
      </c>
      <c r="AO10" s="1400" t="str">
        <f t="shared" si="3"/>
        <v>BM240PS</v>
      </c>
      <c r="AP10" s="1400" t="str">
        <f t="shared" si="3"/>
        <v>BM240RS</v>
      </c>
      <c r="AQ10" s="1400" t="str">
        <f t="shared" si="3"/>
        <v>BM240BO</v>
      </c>
      <c r="AR10" s="1401" t="str">
        <f t="shared" si="3"/>
        <v>BM240AR</v>
      </c>
      <c r="AS10" s="1401" t="str">
        <f t="shared" si="3"/>
        <v>BM240ASR</v>
      </c>
      <c r="AT10" s="1401" t="str">
        <f t="shared" si="3"/>
        <v>BM240WROT</v>
      </c>
      <c r="AU10" s="1402" t="str">
        <f t="shared" si="3"/>
        <v>BM240WRTOT</v>
      </c>
      <c r="AV10" s="1754"/>
    </row>
    <row r="11" spans="1:48" s="2146" customFormat="1" ht="14.25">
      <c r="B11" s="2697"/>
      <c r="C11" s="2635" t="s">
        <v>2591</v>
      </c>
      <c r="D11" s="2698"/>
      <c r="E11" s="2699"/>
      <c r="F11" s="2700"/>
      <c r="G11" s="2701"/>
      <c r="H11" s="2702"/>
      <c r="I11" s="2702"/>
      <c r="J11" s="2702"/>
      <c r="K11" s="2703"/>
      <c r="L11" s="2703"/>
      <c r="M11" s="2703"/>
      <c r="N11" s="2470"/>
      <c r="O11" s="2704"/>
      <c r="P11" s="86"/>
      <c r="Q11" s="24"/>
      <c r="R11" s="2705"/>
      <c r="S11" s="72"/>
      <c r="T11" s="98"/>
      <c r="U11" s="98"/>
      <c r="V11" s="98"/>
      <c r="W11" s="98"/>
      <c r="X11" s="98"/>
      <c r="Y11" s="98"/>
      <c r="Z11" s="98"/>
      <c r="AA11" s="72"/>
      <c r="AB11" s="496"/>
      <c r="AC11" s="2706"/>
      <c r="AD11" s="496"/>
      <c r="AE11" s="496"/>
      <c r="AF11" s="496"/>
      <c r="AG11" s="2706"/>
      <c r="AH11" s="496"/>
      <c r="AI11" s="2697"/>
      <c r="AJ11" s="2635" t="s">
        <v>2591</v>
      </c>
      <c r="AK11" s="2698"/>
      <c r="AL11" s="2699"/>
      <c r="AM11" s="2700"/>
      <c r="AN11" s="2707"/>
      <c r="AO11" s="2707"/>
      <c r="AP11" s="2707"/>
      <c r="AQ11" s="2707"/>
      <c r="AR11" s="2707"/>
      <c r="AS11" s="2707"/>
      <c r="AT11" s="2707"/>
      <c r="AU11" s="2707"/>
      <c r="AV11" s="2274"/>
    </row>
    <row r="12" spans="1:48" s="2146" customFormat="1" ht="14.25">
      <c r="B12" s="1819" t="s">
        <v>6245</v>
      </c>
      <c r="C12" s="961" t="s">
        <v>4049</v>
      </c>
      <c r="D12" s="2634" t="s">
        <v>13121</v>
      </c>
      <c r="E12" s="1830" t="s">
        <v>750</v>
      </c>
      <c r="F12" s="1829">
        <v>3</v>
      </c>
      <c r="G12" s="1399"/>
      <c r="H12" s="1400"/>
      <c r="I12" s="1400"/>
      <c r="J12" s="1400"/>
      <c r="K12" s="1401"/>
      <c r="L12" s="1401"/>
      <c r="M12" s="1401"/>
      <c r="N12" s="2469">
        <f t="shared" si="4"/>
        <v>0</v>
      </c>
      <c r="O12" s="1893"/>
      <c r="Q12" s="24" t="str">
        <f t="shared" ref="Q12:Q15" si="12" xml:space="preserve"> IF( SUM( S12:AA12 ) = 0, 0, $T$4 )</f>
        <v>Please complete all cells in row</v>
      </c>
      <c r="R12" s="1250"/>
      <c r="S12" s="72"/>
      <c r="T12" s="98">
        <f t="shared" ref="T12:T15" si="13" xml:space="preserve"> IF( ISNUMBER( G12 ), 0, 1 )</f>
        <v>1</v>
      </c>
      <c r="U12" s="98">
        <f t="shared" ref="U12:U15" si="14" xml:space="preserve"> IF( ISNUMBER( H12 ), 0, 1 )</f>
        <v>1</v>
      </c>
      <c r="V12" s="98">
        <f t="shared" ref="V12:V15" si="15" xml:space="preserve"> IF( ISNUMBER( I12 ), 0, 1 )</f>
        <v>1</v>
      </c>
      <c r="W12" s="98">
        <f t="shared" ref="W12:W15" si="16" xml:space="preserve"> IF( ISNUMBER( J12 ), 0, 1 )</f>
        <v>1</v>
      </c>
      <c r="X12" s="98">
        <f t="shared" ref="X12:X15" si="17" xml:space="preserve"> IF( ISNUMBER( K12 ), 0, 1 )</f>
        <v>1</v>
      </c>
      <c r="Y12" s="98">
        <f t="shared" ref="Y12:Y15" si="18" xml:space="preserve"> IF( ISNUMBER( L12 ), 0, 1 )</f>
        <v>1</v>
      </c>
      <c r="Z12" s="98">
        <f t="shared" ref="Z12:Z15" si="19" xml:space="preserve"> IF( ISNUMBER( M12 ), 0, 1 )</f>
        <v>1</v>
      </c>
      <c r="AA12" s="72"/>
      <c r="AC12" s="1764"/>
      <c r="AG12" s="1764"/>
      <c r="AI12" s="1819" t="s">
        <v>6245</v>
      </c>
      <c r="AJ12" s="961" t="s">
        <v>4049</v>
      </c>
      <c r="AK12" s="2634" t="s">
        <v>13121</v>
      </c>
      <c r="AL12" s="1830" t="s">
        <v>750</v>
      </c>
      <c r="AM12" s="1829">
        <v>3</v>
      </c>
      <c r="AN12" s="1399" t="str">
        <f t="shared" si="5"/>
        <v>WS1005IR</v>
      </c>
      <c r="AO12" s="1400" t="str">
        <f t="shared" si="3"/>
        <v>WS1005PS</v>
      </c>
      <c r="AP12" s="1400" t="str">
        <f t="shared" si="3"/>
        <v>WS1005RS</v>
      </c>
      <c r="AQ12" s="1400" t="str">
        <f t="shared" si="3"/>
        <v>WS1005BO</v>
      </c>
      <c r="AR12" s="1401" t="str">
        <f t="shared" si="3"/>
        <v>WS1005AR</v>
      </c>
      <c r="AS12" s="1401" t="str">
        <f t="shared" si="3"/>
        <v>WS1005ASR</v>
      </c>
      <c r="AT12" s="1401" t="str">
        <f t="shared" si="3"/>
        <v>WS1005WROT</v>
      </c>
      <c r="AU12" s="1402" t="str">
        <f t="shared" si="3"/>
        <v>WS1005WRTOT</v>
      </c>
      <c r="AV12" s="1754"/>
    </row>
    <row r="13" spans="1:48" s="2146" customFormat="1" ht="14.25">
      <c r="B13" s="1819" t="s">
        <v>6246</v>
      </c>
      <c r="C13" s="961" t="s">
        <v>4050</v>
      </c>
      <c r="D13" s="2634" t="s">
        <v>13122</v>
      </c>
      <c r="E13" s="1830" t="s">
        <v>750</v>
      </c>
      <c r="F13" s="1829">
        <v>3</v>
      </c>
      <c r="G13" s="1399"/>
      <c r="H13" s="1400"/>
      <c r="I13" s="1400"/>
      <c r="J13" s="1400"/>
      <c r="K13" s="1401"/>
      <c r="L13" s="1401"/>
      <c r="M13" s="1401"/>
      <c r="N13" s="2466">
        <f t="shared" si="4"/>
        <v>0</v>
      </c>
      <c r="O13" s="1893"/>
      <c r="Q13" s="24" t="str">
        <f t="shared" si="12"/>
        <v>Please complete all cells in row</v>
      </c>
      <c r="R13" s="1250"/>
      <c r="S13" s="72"/>
      <c r="T13" s="98">
        <f t="shared" si="13"/>
        <v>1</v>
      </c>
      <c r="U13" s="98">
        <f t="shared" si="14"/>
        <v>1</v>
      </c>
      <c r="V13" s="98">
        <f t="shared" si="15"/>
        <v>1</v>
      </c>
      <c r="W13" s="98">
        <f t="shared" si="16"/>
        <v>1</v>
      </c>
      <c r="X13" s="98">
        <f t="shared" si="17"/>
        <v>1</v>
      </c>
      <c r="Y13" s="98">
        <f t="shared" si="18"/>
        <v>1</v>
      </c>
      <c r="Z13" s="98">
        <f t="shared" si="19"/>
        <v>1</v>
      </c>
      <c r="AA13" s="72"/>
      <c r="AC13" s="1764"/>
      <c r="AG13" s="1764"/>
      <c r="AI13" s="1819" t="s">
        <v>6246</v>
      </c>
      <c r="AJ13" s="961" t="s">
        <v>4050</v>
      </c>
      <c r="AK13" s="2634" t="s">
        <v>13122</v>
      </c>
      <c r="AL13" s="1830" t="s">
        <v>750</v>
      </c>
      <c r="AM13" s="1829">
        <v>3</v>
      </c>
      <c r="AN13" s="1399" t="str">
        <f t="shared" si="5"/>
        <v>WS1006IR</v>
      </c>
      <c r="AO13" s="1400" t="str">
        <f t="shared" si="3"/>
        <v>WS1006PS</v>
      </c>
      <c r="AP13" s="1400" t="str">
        <f t="shared" si="3"/>
        <v>WS1006RS</v>
      </c>
      <c r="AQ13" s="1400" t="str">
        <f t="shared" si="3"/>
        <v>WS1006BO</v>
      </c>
      <c r="AR13" s="1401" t="str">
        <f t="shared" si="3"/>
        <v>WS1006AR</v>
      </c>
      <c r="AS13" s="1401" t="str">
        <f t="shared" si="3"/>
        <v>WS1006ASR</v>
      </c>
      <c r="AT13" s="1401" t="str">
        <f t="shared" si="3"/>
        <v>WS1006WROT</v>
      </c>
      <c r="AU13" s="1402" t="str">
        <f t="shared" si="3"/>
        <v>WS1006WRTOT</v>
      </c>
      <c r="AV13" s="1754"/>
    </row>
    <row r="14" spans="1:48" s="2146" customFormat="1" ht="14.25">
      <c r="B14" s="1819" t="s">
        <v>6247</v>
      </c>
      <c r="C14" s="2636" t="s">
        <v>12987</v>
      </c>
      <c r="D14" s="2634" t="s">
        <v>13141</v>
      </c>
      <c r="E14" s="1830" t="s">
        <v>750</v>
      </c>
      <c r="F14" s="1829">
        <v>3</v>
      </c>
      <c r="G14" s="1399"/>
      <c r="H14" s="1400"/>
      <c r="I14" s="1400"/>
      <c r="J14" s="1400"/>
      <c r="K14" s="1401"/>
      <c r="L14" s="1401"/>
      <c r="M14" s="1401"/>
      <c r="N14" s="2469">
        <f t="shared" si="4"/>
        <v>0</v>
      </c>
      <c r="O14" s="1893"/>
      <c r="Q14" s="24" t="str">
        <f t="shared" si="12"/>
        <v>Please complete all cells in row</v>
      </c>
      <c r="R14" s="1250"/>
      <c r="S14" s="72"/>
      <c r="T14" s="98">
        <f t="shared" si="13"/>
        <v>1</v>
      </c>
      <c r="U14" s="98">
        <f t="shared" si="14"/>
        <v>1</v>
      </c>
      <c r="V14" s="98">
        <f t="shared" si="15"/>
        <v>1</v>
      </c>
      <c r="W14" s="98">
        <f t="shared" si="16"/>
        <v>1</v>
      </c>
      <c r="X14" s="98">
        <f t="shared" si="17"/>
        <v>1</v>
      </c>
      <c r="Y14" s="98">
        <f t="shared" si="18"/>
        <v>1</v>
      </c>
      <c r="Z14" s="98">
        <f t="shared" si="19"/>
        <v>1</v>
      </c>
      <c r="AA14" s="72"/>
      <c r="AC14" s="1764"/>
      <c r="AG14" s="1764"/>
      <c r="AI14" s="1819" t="s">
        <v>6247</v>
      </c>
      <c r="AJ14" s="2636" t="s">
        <v>12987</v>
      </c>
      <c r="AK14" s="2634" t="s">
        <v>13141</v>
      </c>
      <c r="AL14" s="1830" t="s">
        <v>750</v>
      </c>
      <c r="AM14" s="1829">
        <v>3</v>
      </c>
      <c r="AN14" s="1399" t="str">
        <f t="shared" si="5"/>
        <v>BM108IR</v>
      </c>
      <c r="AO14" s="1400" t="str">
        <f t="shared" si="3"/>
        <v>BM108PS</v>
      </c>
      <c r="AP14" s="1400" t="str">
        <f t="shared" si="3"/>
        <v>BM108RS</v>
      </c>
      <c r="AQ14" s="1400" t="str">
        <f t="shared" si="3"/>
        <v>BM108BO</v>
      </c>
      <c r="AR14" s="1401" t="str">
        <f t="shared" si="3"/>
        <v>BM108AR</v>
      </c>
      <c r="AS14" s="1401" t="str">
        <f t="shared" si="3"/>
        <v>BM108ASR</v>
      </c>
      <c r="AT14" s="1401" t="str">
        <f t="shared" si="3"/>
        <v>BM108WROT</v>
      </c>
      <c r="AU14" s="1402" t="str">
        <f t="shared" si="3"/>
        <v>BM108WRTOT</v>
      </c>
      <c r="AV14" s="1754"/>
    </row>
    <row r="15" spans="1:48" s="2146" customFormat="1" ht="14.25">
      <c r="B15" s="1819" t="s">
        <v>6248</v>
      </c>
      <c r="C15" s="2636" t="s">
        <v>12988</v>
      </c>
      <c r="D15" s="2634" t="s">
        <v>13142</v>
      </c>
      <c r="E15" s="1830" t="s">
        <v>750</v>
      </c>
      <c r="F15" s="1829">
        <v>3</v>
      </c>
      <c r="G15" s="1399"/>
      <c r="H15" s="1400"/>
      <c r="I15" s="1400"/>
      <c r="J15" s="1400"/>
      <c r="K15" s="1401"/>
      <c r="L15" s="1401"/>
      <c r="M15" s="1401"/>
      <c r="N15" s="2466">
        <f t="shared" si="4"/>
        <v>0</v>
      </c>
      <c r="O15" s="1893"/>
      <c r="Q15" s="24" t="str">
        <f t="shared" si="12"/>
        <v>Please complete all cells in row</v>
      </c>
      <c r="R15" s="1250"/>
      <c r="S15" s="72"/>
      <c r="T15" s="98">
        <f t="shared" si="13"/>
        <v>1</v>
      </c>
      <c r="U15" s="98">
        <f t="shared" si="14"/>
        <v>1</v>
      </c>
      <c r="V15" s="98">
        <f t="shared" si="15"/>
        <v>1</v>
      </c>
      <c r="W15" s="98">
        <f t="shared" si="16"/>
        <v>1</v>
      </c>
      <c r="X15" s="98">
        <f t="shared" si="17"/>
        <v>1</v>
      </c>
      <c r="Y15" s="98">
        <f t="shared" si="18"/>
        <v>1</v>
      </c>
      <c r="Z15" s="98">
        <f t="shared" si="19"/>
        <v>1</v>
      </c>
      <c r="AA15" s="72"/>
      <c r="AC15" s="1764"/>
      <c r="AG15" s="1764"/>
      <c r="AI15" s="1819" t="s">
        <v>6248</v>
      </c>
      <c r="AJ15" s="2636" t="s">
        <v>12988</v>
      </c>
      <c r="AK15" s="2634" t="s">
        <v>13142</v>
      </c>
      <c r="AL15" s="1830" t="s">
        <v>750</v>
      </c>
      <c r="AM15" s="1829">
        <v>3</v>
      </c>
      <c r="AN15" s="1399" t="str">
        <f t="shared" si="5"/>
        <v>BM110IR</v>
      </c>
      <c r="AO15" s="1400" t="str">
        <f t="shared" si="3"/>
        <v>BM110PS</v>
      </c>
      <c r="AP15" s="1400" t="str">
        <f t="shared" si="3"/>
        <v>BM110RS</v>
      </c>
      <c r="AQ15" s="1400" t="str">
        <f t="shared" si="3"/>
        <v>BM110BO</v>
      </c>
      <c r="AR15" s="1401" t="str">
        <f t="shared" si="3"/>
        <v>BM110AR</v>
      </c>
      <c r="AS15" s="1401" t="str">
        <f t="shared" si="3"/>
        <v>BM110ASR</v>
      </c>
      <c r="AT15" s="1401" t="str">
        <f t="shared" si="3"/>
        <v>BM110WROT</v>
      </c>
      <c r="AU15" s="1402" t="str">
        <f t="shared" si="3"/>
        <v>BM110WRTOT</v>
      </c>
      <c r="AV15" s="1754"/>
    </row>
    <row r="16" spans="1:48" s="2146" customFormat="1" ht="14.25">
      <c r="B16" s="1819" t="s">
        <v>6249</v>
      </c>
      <c r="C16" s="2637" t="s">
        <v>12689</v>
      </c>
      <c r="D16" s="2634" t="s">
        <v>13123</v>
      </c>
      <c r="E16" s="1830" t="s">
        <v>750</v>
      </c>
      <c r="F16" s="1829">
        <v>3</v>
      </c>
      <c r="G16" s="1814">
        <f>SUM(G7:G15)</f>
        <v>0</v>
      </c>
      <c r="H16" s="1814">
        <f t="shared" ref="H16:M16" si="20">SUM(H7:H15)</f>
        <v>0</v>
      </c>
      <c r="I16" s="1814">
        <f t="shared" si="20"/>
        <v>0</v>
      </c>
      <c r="J16" s="1814">
        <f t="shared" si="20"/>
        <v>0</v>
      </c>
      <c r="K16" s="1814">
        <f t="shared" si="20"/>
        <v>0</v>
      </c>
      <c r="L16" s="1814">
        <f t="shared" si="20"/>
        <v>0</v>
      </c>
      <c r="M16" s="1814">
        <f t="shared" si="20"/>
        <v>0</v>
      </c>
      <c r="N16" s="2468">
        <f t="shared" si="4"/>
        <v>0</v>
      </c>
      <c r="O16" s="1893"/>
      <c r="Q16" s="24"/>
      <c r="R16" s="1250"/>
      <c r="S16" s="72"/>
      <c r="T16" s="1250"/>
      <c r="U16" s="1250"/>
      <c r="V16" s="1250"/>
      <c r="W16" s="1250"/>
      <c r="X16" s="1250"/>
      <c r="Y16" s="1250"/>
      <c r="Z16" s="1250"/>
      <c r="AA16" s="72"/>
      <c r="AC16" s="1764"/>
      <c r="AG16" s="1764"/>
      <c r="AI16" s="1819" t="s">
        <v>6249</v>
      </c>
      <c r="AJ16" s="2637" t="s">
        <v>12689</v>
      </c>
      <c r="AK16" s="2634" t="s">
        <v>13123</v>
      </c>
      <c r="AL16" s="1830" t="s">
        <v>750</v>
      </c>
      <c r="AM16" s="1829">
        <v>3</v>
      </c>
      <c r="AN16" s="1399" t="str">
        <f t="shared" si="5"/>
        <v>BM816IR</v>
      </c>
      <c r="AO16" s="1400" t="str">
        <f t="shared" si="3"/>
        <v>BM816PS</v>
      </c>
      <c r="AP16" s="1400" t="str">
        <f t="shared" si="3"/>
        <v>BM816RS</v>
      </c>
      <c r="AQ16" s="1400" t="str">
        <f t="shared" si="3"/>
        <v>BM816BO</v>
      </c>
      <c r="AR16" s="1401" t="str">
        <f t="shared" si="3"/>
        <v>BM816AR</v>
      </c>
      <c r="AS16" s="1401" t="str">
        <f t="shared" si="3"/>
        <v>BM816ASR</v>
      </c>
      <c r="AT16" s="1401" t="str">
        <f t="shared" si="3"/>
        <v>BM816WROT</v>
      </c>
      <c r="AU16" s="1402" t="str">
        <f t="shared" si="3"/>
        <v>BM816WRTOT</v>
      </c>
      <c r="AV16" s="1754"/>
    </row>
    <row r="17" spans="1:48" ht="14.25">
      <c r="B17" s="1819" t="s">
        <v>6250</v>
      </c>
      <c r="C17" s="1823" t="s">
        <v>3611</v>
      </c>
      <c r="D17" s="2634" t="s">
        <v>9440</v>
      </c>
      <c r="E17" s="1828" t="s">
        <v>750</v>
      </c>
      <c r="F17" s="1829">
        <v>3</v>
      </c>
      <c r="G17" s="1399"/>
      <c r="H17" s="1400"/>
      <c r="I17" s="1400"/>
      <c r="J17" s="1400"/>
      <c r="K17" s="1401"/>
      <c r="L17" s="1401"/>
      <c r="M17" s="1401"/>
      <c r="N17" s="1402">
        <f t="shared" ref="N17:N20" si="21">SUM(G17:M17)</f>
        <v>0</v>
      </c>
      <c r="O17" s="1893"/>
      <c r="Q17" s="24" t="str">
        <f xml:space="preserve"> IF( SUM( S17:AA17 ) = 0, 0, $T$4 )</f>
        <v>Please complete all cells in row</v>
      </c>
      <c r="R17" s="1250"/>
      <c r="S17" s="72"/>
      <c r="T17" s="98">
        <f t="shared" ref="T17" si="22" xml:space="preserve"> IF( ISNUMBER( G17 ), 0, 1 )</f>
        <v>1</v>
      </c>
      <c r="U17" s="98">
        <f t="shared" ref="U17" si="23" xml:space="preserve"> IF( ISNUMBER( H17 ), 0, 1 )</f>
        <v>1</v>
      </c>
      <c r="V17" s="98">
        <f t="shared" ref="V17" si="24" xml:space="preserve"> IF( ISNUMBER( I17 ), 0, 1 )</f>
        <v>1</v>
      </c>
      <c r="W17" s="98">
        <f t="shared" ref="W17" si="25" xml:space="preserve"> IF( ISNUMBER( J17 ), 0, 1 )</f>
        <v>1</v>
      </c>
      <c r="X17" s="98">
        <f t="shared" ref="X17" si="26" xml:space="preserve"> IF( ISNUMBER( K17 ), 0, 1 )</f>
        <v>1</v>
      </c>
      <c r="Y17" s="98">
        <f t="shared" ref="Y17" si="27" xml:space="preserve"> IF( ISNUMBER( L17 ), 0, 1 )</f>
        <v>1</v>
      </c>
      <c r="Z17" s="98">
        <f t="shared" ref="Z17" si="28" xml:space="preserve"> IF( ISNUMBER( M17 ), 0, 1 )</f>
        <v>1</v>
      </c>
      <c r="AA17" s="72"/>
      <c r="AI17" s="1819" t="s">
        <v>6250</v>
      </c>
      <c r="AJ17" s="1822" t="s">
        <v>3611</v>
      </c>
      <c r="AK17" s="2536" t="s">
        <v>9440</v>
      </c>
      <c r="AL17" s="1828" t="s">
        <v>750</v>
      </c>
      <c r="AM17" s="1829">
        <v>3</v>
      </c>
      <c r="AN17" s="1399" t="str">
        <f t="shared" si="5"/>
        <v>BM817IR</v>
      </c>
      <c r="AO17" s="1400" t="str">
        <f t="shared" si="3"/>
        <v>BM817PS</v>
      </c>
      <c r="AP17" s="1400" t="str">
        <f t="shared" si="3"/>
        <v>BM817RS</v>
      </c>
      <c r="AQ17" s="1400" t="str">
        <f t="shared" si="3"/>
        <v>BM817BO</v>
      </c>
      <c r="AR17" s="1401" t="str">
        <f t="shared" si="3"/>
        <v>BM817AR</v>
      </c>
      <c r="AS17" s="1401" t="str">
        <f t="shared" si="3"/>
        <v>BM817ASR</v>
      </c>
      <c r="AT17" s="1401" t="str">
        <f t="shared" si="3"/>
        <v>BM817WROT</v>
      </c>
      <c r="AU17" s="1402" t="str">
        <f t="shared" si="3"/>
        <v>BM817WRTOT</v>
      </c>
      <c r="AV17" s="1754"/>
    </row>
    <row r="18" spans="1:48" ht="24">
      <c r="B18" s="1819" t="s">
        <v>6251</v>
      </c>
      <c r="C18" s="2638" t="s">
        <v>4933</v>
      </c>
      <c r="D18" s="2639" t="s">
        <v>9441</v>
      </c>
      <c r="E18" s="1831" t="s">
        <v>750</v>
      </c>
      <c r="F18" s="1832">
        <v>3</v>
      </c>
      <c r="G18" s="1814">
        <f>+G16+G17</f>
        <v>0</v>
      </c>
      <c r="H18" s="1814">
        <f t="shared" ref="H18:M18" si="29">+H16+H17</f>
        <v>0</v>
      </c>
      <c r="I18" s="1814">
        <f t="shared" si="29"/>
        <v>0</v>
      </c>
      <c r="J18" s="1814">
        <f t="shared" si="29"/>
        <v>0</v>
      </c>
      <c r="K18" s="1814">
        <f t="shared" si="29"/>
        <v>0</v>
      </c>
      <c r="L18" s="1814">
        <f t="shared" si="29"/>
        <v>0</v>
      </c>
      <c r="M18" s="1814">
        <f t="shared" si="29"/>
        <v>0</v>
      </c>
      <c r="N18" s="1402">
        <f t="shared" si="21"/>
        <v>0</v>
      </c>
      <c r="O18" s="1894"/>
      <c r="Q18" s="1431">
        <f>IF(SUM(AA18:AC18)=0,0,$AF$18)</f>
        <v>0</v>
      </c>
      <c r="R18" s="1250"/>
      <c r="S18" s="72"/>
      <c r="Z18" s="2146"/>
      <c r="AA18" s="72"/>
      <c r="AB18" s="98">
        <f xml:space="preserve"> IF( (AD18 - AE18) = 0, 0, 1 )</f>
        <v>0</v>
      </c>
      <c r="AD18" s="117">
        <f>ROUND(N18,3)</f>
        <v>0</v>
      </c>
      <c r="AE18" s="1418">
        <f>ROUND('4D'!G15+'4D'!H15,3)</f>
        <v>0</v>
      </c>
      <c r="AF18" s="2230" t="s">
        <v>13490</v>
      </c>
      <c r="AI18" s="1819" t="s">
        <v>6251</v>
      </c>
      <c r="AJ18" s="1824" t="s">
        <v>4933</v>
      </c>
      <c r="AK18" s="2537" t="s">
        <v>9441</v>
      </c>
      <c r="AL18" s="1831" t="s">
        <v>750</v>
      </c>
      <c r="AM18" s="1832">
        <v>3</v>
      </c>
      <c r="AN18" s="1402" t="str">
        <f t="shared" si="5"/>
        <v>BM316IR</v>
      </c>
      <c r="AO18" s="1402" t="str">
        <f t="shared" si="3"/>
        <v>BM316PS</v>
      </c>
      <c r="AP18" s="1402" t="str">
        <f t="shared" si="3"/>
        <v>BM316RS</v>
      </c>
      <c r="AQ18" s="1402" t="str">
        <f t="shared" si="3"/>
        <v>BM316BO</v>
      </c>
      <c r="AR18" s="1402" t="str">
        <f t="shared" si="3"/>
        <v>BM316AR</v>
      </c>
      <c r="AS18" s="1402" t="str">
        <f t="shared" si="3"/>
        <v>BM316ASR</v>
      </c>
      <c r="AT18" s="1402" t="str">
        <f t="shared" si="3"/>
        <v>BM316WROT</v>
      </c>
      <c r="AU18" s="1402" t="str">
        <f t="shared" si="3"/>
        <v>BM316WRTOT</v>
      </c>
      <c r="AV18" s="1754"/>
    </row>
    <row r="19" spans="1:48" ht="14.25">
      <c r="B19" s="1819" t="s">
        <v>6252</v>
      </c>
      <c r="C19" s="1823" t="s">
        <v>2511</v>
      </c>
      <c r="D19" s="2634" t="s">
        <v>9442</v>
      </c>
      <c r="E19" s="1831" t="s">
        <v>750</v>
      </c>
      <c r="F19" s="1832">
        <v>3</v>
      </c>
      <c r="G19" s="1405"/>
      <c r="H19" s="1400"/>
      <c r="I19" s="1406"/>
      <c r="J19" s="1400"/>
      <c r="K19" s="1400"/>
      <c r="L19" s="1815"/>
      <c r="M19" s="2200"/>
      <c r="N19" s="1402">
        <f t="shared" si="21"/>
        <v>0</v>
      </c>
      <c r="O19" s="1894"/>
      <c r="Q19" s="24" t="str">
        <f xml:space="preserve"> IF( SUM( S19:AA19 ) = 0, 0, $T$4 )</f>
        <v>Please complete all cells in row</v>
      </c>
      <c r="R19" s="1250"/>
      <c r="S19" s="72"/>
      <c r="T19" s="98">
        <f t="shared" ref="T19" si="30" xml:space="preserve"> IF( ISNUMBER( G19 ), 0, 1 )</f>
        <v>1</v>
      </c>
      <c r="U19" s="98">
        <f t="shared" ref="U19" si="31" xml:space="preserve"> IF( ISNUMBER( H19 ), 0, 1 )</f>
        <v>1</v>
      </c>
      <c r="V19" s="98">
        <f t="shared" ref="V19" si="32" xml:space="preserve"> IF( ISNUMBER( I19 ), 0, 1 )</f>
        <v>1</v>
      </c>
      <c r="W19" s="98">
        <f t="shared" ref="W19" si="33" xml:space="preserve"> IF( ISNUMBER( J19 ), 0, 1 )</f>
        <v>1</v>
      </c>
      <c r="X19" s="98">
        <f t="shared" ref="X19" si="34" xml:space="preserve"> IF( ISNUMBER( K19 ), 0, 1 )</f>
        <v>1</v>
      </c>
      <c r="Y19" s="98">
        <f t="shared" ref="Y19" si="35" xml:space="preserve"> IF( ISNUMBER( L19 ), 0, 1 )</f>
        <v>1</v>
      </c>
      <c r="Z19" s="98">
        <f t="shared" ref="Z19" si="36" xml:space="preserve"> IF( ISNUMBER( M19 ), 0, 1 )</f>
        <v>1</v>
      </c>
      <c r="AA19" s="72"/>
      <c r="AI19" s="1819" t="s">
        <v>6252</v>
      </c>
      <c r="AJ19" s="1822" t="s">
        <v>2511</v>
      </c>
      <c r="AK19" s="2536" t="s">
        <v>9442</v>
      </c>
      <c r="AL19" s="1831" t="s">
        <v>750</v>
      </c>
      <c r="AM19" s="1832">
        <v>3</v>
      </c>
      <c r="AN19" s="1405" t="str">
        <f t="shared" si="5"/>
        <v>FT00865IR</v>
      </c>
      <c r="AO19" s="1400" t="str">
        <f t="shared" si="3"/>
        <v>FT00865PS</v>
      </c>
      <c r="AP19" s="1406" t="str">
        <f t="shared" si="3"/>
        <v>FT00865RS</v>
      </c>
      <c r="AQ19" s="1400" t="str">
        <f t="shared" si="3"/>
        <v>FT00865BO</v>
      </c>
      <c r="AR19" s="1401" t="str">
        <f t="shared" si="3"/>
        <v>FT00865AR</v>
      </c>
      <c r="AS19" s="1401" t="str">
        <f t="shared" si="3"/>
        <v>FT00865ASR</v>
      </c>
      <c r="AT19" s="1401" t="str">
        <f t="shared" si="3"/>
        <v>FT00865WROT</v>
      </c>
      <c r="AU19" s="1402" t="str">
        <f t="shared" si="3"/>
        <v>FT00865WRTOT</v>
      </c>
    </row>
    <row r="20" spans="1:48" ht="15" thickBot="1">
      <c r="B20" s="1820" t="s">
        <v>6253</v>
      </c>
      <c r="C20" s="1835" t="s">
        <v>4894</v>
      </c>
      <c r="D20" s="2640" t="s">
        <v>9443</v>
      </c>
      <c r="E20" s="1833" t="s">
        <v>750</v>
      </c>
      <c r="F20" s="1834">
        <v>3</v>
      </c>
      <c r="G20" s="1816">
        <f>+G18+G19</f>
        <v>0</v>
      </c>
      <c r="H20" s="1816">
        <f t="shared" ref="H20:M20" si="37">+H18+H19</f>
        <v>0</v>
      </c>
      <c r="I20" s="1816">
        <f t="shared" si="37"/>
        <v>0</v>
      </c>
      <c r="J20" s="1816">
        <f t="shared" si="37"/>
        <v>0</v>
      </c>
      <c r="K20" s="1816">
        <f t="shared" si="37"/>
        <v>0</v>
      </c>
      <c r="L20" s="1816">
        <f t="shared" si="37"/>
        <v>0</v>
      </c>
      <c r="M20" s="1816">
        <f t="shared" si="37"/>
        <v>0</v>
      </c>
      <c r="N20" s="1412">
        <f t="shared" si="21"/>
        <v>0</v>
      </c>
      <c r="O20" s="1895"/>
      <c r="Q20" s="2146"/>
      <c r="R20" s="1250"/>
      <c r="S20" s="72"/>
      <c r="AA20" s="72"/>
      <c r="AB20" s="2146"/>
      <c r="AD20" s="2146"/>
      <c r="AE20" s="2146"/>
      <c r="AF20" s="2146"/>
      <c r="AG20" s="129"/>
      <c r="AI20" s="1820" t="s">
        <v>6253</v>
      </c>
      <c r="AJ20" s="1825" t="s">
        <v>4894</v>
      </c>
      <c r="AK20" s="2538" t="s">
        <v>9443</v>
      </c>
      <c r="AL20" s="1833" t="s">
        <v>750</v>
      </c>
      <c r="AM20" s="1834">
        <v>3</v>
      </c>
      <c r="AN20" s="1412" t="str">
        <f t="shared" si="5"/>
        <v>BM319IR</v>
      </c>
      <c r="AO20" s="1412" t="str">
        <f t="shared" si="3"/>
        <v>BM319PS</v>
      </c>
      <c r="AP20" s="1412" t="str">
        <f t="shared" si="3"/>
        <v>BM319RS</v>
      </c>
      <c r="AQ20" s="1412" t="str">
        <f t="shared" si="3"/>
        <v>BM319BO</v>
      </c>
      <c r="AR20" s="1412" t="str">
        <f t="shared" si="3"/>
        <v>BM319AR</v>
      </c>
      <c r="AS20" s="1412" t="str">
        <f t="shared" si="3"/>
        <v>BM319ASR</v>
      </c>
      <c r="AT20" s="1412" t="str">
        <f t="shared" si="3"/>
        <v>BM319WROT</v>
      </c>
      <c r="AU20" s="1412" t="str">
        <f t="shared" si="3"/>
        <v>BM319WRTOT</v>
      </c>
    </row>
    <row r="21" spans="1:48" ht="15" thickBot="1">
      <c r="B21" s="585"/>
      <c r="C21" s="1754"/>
      <c r="D21" s="2641"/>
      <c r="R21" s="1250"/>
      <c r="AI21" s="585"/>
      <c r="AK21" s="2539"/>
    </row>
    <row r="22" spans="1:48" ht="26.25" thickBot="1">
      <c r="A22" s="1382"/>
      <c r="B22" s="1104" t="s">
        <v>2423</v>
      </c>
      <c r="C22" s="1049" t="s">
        <v>4077</v>
      </c>
      <c r="D22" s="1050" t="s">
        <v>4201</v>
      </c>
      <c r="E22" s="1050" t="s">
        <v>3346</v>
      </c>
      <c r="F22" s="1050" t="s">
        <v>2397</v>
      </c>
      <c r="G22" s="193" t="s">
        <v>2746</v>
      </c>
      <c r="H22" s="375" t="s">
        <v>4895</v>
      </c>
      <c r="I22" s="375" t="s">
        <v>2747</v>
      </c>
      <c r="J22" s="1566" t="s">
        <v>2748</v>
      </c>
      <c r="K22" s="195" t="s">
        <v>2554</v>
      </c>
      <c r="AI22" s="1104" t="s">
        <v>2423</v>
      </c>
      <c r="AJ22" s="1049" t="s">
        <v>4077</v>
      </c>
      <c r="AK22" s="1050" t="s">
        <v>4201</v>
      </c>
      <c r="AL22" s="1050" t="s">
        <v>3346</v>
      </c>
      <c r="AM22" s="1050" t="s">
        <v>2397</v>
      </c>
      <c r="AN22" s="193" t="s">
        <v>2746</v>
      </c>
      <c r="AO22" s="375" t="s">
        <v>4895</v>
      </c>
      <c r="AP22" s="375" t="s">
        <v>2747</v>
      </c>
      <c r="AQ22" s="1566" t="s">
        <v>2748</v>
      </c>
      <c r="AR22" s="195" t="s">
        <v>2554</v>
      </c>
    </row>
    <row r="23" spans="1:48" ht="15" thickBot="1">
      <c r="A23" s="1382"/>
      <c r="B23" s="1383"/>
      <c r="C23" s="2323"/>
      <c r="D23" s="2642"/>
      <c r="E23" s="1382"/>
      <c r="F23" s="1382"/>
      <c r="G23" s="1382"/>
      <c r="H23" s="1382"/>
      <c r="I23" s="1382"/>
      <c r="J23" s="1382"/>
      <c r="K23" s="1382"/>
      <c r="AI23" s="1383"/>
      <c r="AJ23" s="1382"/>
      <c r="AK23" s="2540"/>
      <c r="AL23" s="1382"/>
      <c r="AM23" s="1382"/>
      <c r="AN23" s="2645" t="s">
        <v>11087</v>
      </c>
      <c r="AO23" s="2645" t="s">
        <v>11088</v>
      </c>
      <c r="AP23" s="2645" t="s">
        <v>11089</v>
      </c>
      <c r="AQ23" s="2645" t="s">
        <v>11090</v>
      </c>
      <c r="AR23" s="2645" t="s">
        <v>11091</v>
      </c>
    </row>
    <row r="24" spans="1:48" ht="15" thickBot="1">
      <c r="B24" s="1051" t="s">
        <v>2458</v>
      </c>
      <c r="C24" s="1114" t="s">
        <v>4896</v>
      </c>
      <c r="D24" s="2641"/>
      <c r="AI24" s="1791" t="s">
        <v>2458</v>
      </c>
      <c r="AJ24" s="1114" t="s">
        <v>4896</v>
      </c>
      <c r="AK24" s="2539"/>
    </row>
    <row r="25" spans="1:48" ht="14.25">
      <c r="B25" s="1818" t="s">
        <v>6254</v>
      </c>
      <c r="C25" s="2643" t="s">
        <v>4934</v>
      </c>
      <c r="D25" s="2644" t="s">
        <v>9444</v>
      </c>
      <c r="E25" s="1826" t="s">
        <v>750</v>
      </c>
      <c r="F25" s="1827">
        <v>3</v>
      </c>
      <c r="G25" s="1390"/>
      <c r="H25" s="1391"/>
      <c r="I25" s="1391"/>
      <c r="J25" s="1391"/>
      <c r="K25" s="1579">
        <f>SUM(G25:J25)</f>
        <v>0</v>
      </c>
      <c r="Q25" s="24" t="str">
        <f xml:space="preserve"> IF( SUM( S25:AA25 ) = 0, 0, $T$4 )</f>
        <v>Please complete all cells in row</v>
      </c>
      <c r="R25" s="1250"/>
      <c r="S25" s="72"/>
      <c r="T25" s="98">
        <f t="shared" ref="T25:W29" si="38" xml:space="preserve"> IF( ISNUMBER( G25 ), 0, 1 )</f>
        <v>1</v>
      </c>
      <c r="U25" s="98">
        <f t="shared" si="38"/>
        <v>1</v>
      </c>
      <c r="V25" s="98">
        <f t="shared" si="38"/>
        <v>1</v>
      </c>
      <c r="W25" s="98">
        <f t="shared" si="38"/>
        <v>1</v>
      </c>
      <c r="AA25" s="72"/>
      <c r="AI25" s="1385" t="s">
        <v>6249</v>
      </c>
      <c r="AJ25" s="1386" t="s">
        <v>4934</v>
      </c>
      <c r="AK25" s="2541" t="s">
        <v>9444</v>
      </c>
      <c r="AL25" s="1388" t="s">
        <v>750</v>
      </c>
      <c r="AM25" s="1389">
        <v>3</v>
      </c>
      <c r="AN25" s="1390" t="str">
        <f>$D25&amp;AN$23</f>
        <v>BM3010WR</v>
      </c>
      <c r="AO25" s="1391" t="str">
        <f t="shared" ref="AO25:AR29" si="39">$D25&amp;AO$23</f>
        <v>BM3010RWD</v>
      </c>
      <c r="AP25" s="1391" t="str">
        <f t="shared" si="39"/>
        <v>BM3010WT</v>
      </c>
      <c r="AQ25" s="1391" t="str">
        <f t="shared" si="39"/>
        <v>BM3010TWD</v>
      </c>
      <c r="AR25" s="1579" t="str">
        <f t="shared" si="39"/>
        <v>BM3010CAW</v>
      </c>
    </row>
    <row r="26" spans="1:48" ht="14.25">
      <c r="B26" s="1819" t="s">
        <v>6255</v>
      </c>
      <c r="C26" s="1823" t="s">
        <v>4935</v>
      </c>
      <c r="D26" s="2634" t="s">
        <v>9445</v>
      </c>
      <c r="E26" s="1828" t="s">
        <v>750</v>
      </c>
      <c r="F26" s="1829">
        <v>3</v>
      </c>
      <c r="G26" s="1399"/>
      <c r="H26" s="1400"/>
      <c r="I26" s="1400"/>
      <c r="J26" s="1400"/>
      <c r="K26" s="1580">
        <f>SUM(G26:J26)</f>
        <v>0</v>
      </c>
      <c r="Q26" s="24" t="str">
        <f xml:space="preserve"> IF( SUM( S26:AA26 ) = 0, 0, $T$4 )</f>
        <v>Please complete all cells in row</v>
      </c>
      <c r="R26" s="1250"/>
      <c r="S26" s="72"/>
      <c r="T26" s="98">
        <f t="shared" si="38"/>
        <v>1</v>
      </c>
      <c r="U26" s="98">
        <f t="shared" si="38"/>
        <v>1</v>
      </c>
      <c r="V26" s="98">
        <f t="shared" si="38"/>
        <v>1</v>
      </c>
      <c r="W26" s="98">
        <f t="shared" si="38"/>
        <v>1</v>
      </c>
      <c r="AA26" s="72"/>
      <c r="AI26" s="1394" t="s">
        <v>6250</v>
      </c>
      <c r="AJ26" s="1395" t="s">
        <v>4935</v>
      </c>
      <c r="AK26" s="2542" t="s">
        <v>9445</v>
      </c>
      <c r="AL26" s="1397" t="s">
        <v>750</v>
      </c>
      <c r="AM26" s="1398">
        <v>3</v>
      </c>
      <c r="AN26" s="1399" t="str">
        <f t="shared" ref="AN26:AN29" si="40">$D26&amp;AN$23</f>
        <v>BM3011WR</v>
      </c>
      <c r="AO26" s="1400" t="str">
        <f t="shared" si="39"/>
        <v>BM3011RWD</v>
      </c>
      <c r="AP26" s="1400" t="str">
        <f t="shared" si="39"/>
        <v>BM3011WT</v>
      </c>
      <c r="AQ26" s="1400" t="str">
        <f t="shared" si="39"/>
        <v>BM3011TWD</v>
      </c>
      <c r="AR26" s="1580" t="str">
        <f t="shared" si="39"/>
        <v>BM3011CAW</v>
      </c>
    </row>
    <row r="27" spans="1:48" ht="14.25">
      <c r="B27" s="1819" t="s">
        <v>6256</v>
      </c>
      <c r="C27" s="1823" t="s">
        <v>12690</v>
      </c>
      <c r="D27" s="2634" t="s">
        <v>9446</v>
      </c>
      <c r="E27" s="1828" t="s">
        <v>12209</v>
      </c>
      <c r="F27" s="1829">
        <v>0</v>
      </c>
      <c r="G27" s="1413"/>
      <c r="H27" s="1414"/>
      <c r="I27" s="1414"/>
      <c r="J27" s="1414"/>
      <c r="K27" s="1580">
        <f>SUM(G27:J27)</f>
        <v>0</v>
      </c>
      <c r="Q27" s="24" t="str">
        <f xml:space="preserve"> IF( SUM( S27:AA27 ) = 0, 0, $T$4 )</f>
        <v>Please complete all cells in row</v>
      </c>
      <c r="R27" s="1250"/>
      <c r="S27" s="72"/>
      <c r="T27" s="98">
        <f t="shared" si="38"/>
        <v>1</v>
      </c>
      <c r="U27" s="98">
        <f t="shared" si="38"/>
        <v>1</v>
      </c>
      <c r="V27" s="98">
        <f t="shared" si="38"/>
        <v>1</v>
      </c>
      <c r="W27" s="98">
        <f t="shared" si="38"/>
        <v>1</v>
      </c>
      <c r="AA27" s="72"/>
      <c r="AI27" s="1394" t="s">
        <v>6251</v>
      </c>
      <c r="AJ27" s="1395" t="s">
        <v>4937</v>
      </c>
      <c r="AK27" s="2542" t="s">
        <v>9446</v>
      </c>
      <c r="AL27" s="1828" t="s">
        <v>12209</v>
      </c>
      <c r="AM27" s="1398">
        <v>0</v>
      </c>
      <c r="AN27" s="1413" t="str">
        <f t="shared" si="40"/>
        <v>W3030WR</v>
      </c>
      <c r="AO27" s="1414" t="str">
        <f t="shared" si="39"/>
        <v>W3030RWD</v>
      </c>
      <c r="AP27" s="1414" t="str">
        <f t="shared" si="39"/>
        <v>W3030WT</v>
      </c>
      <c r="AQ27" s="1414" t="str">
        <f t="shared" si="39"/>
        <v>W3030TWD</v>
      </c>
      <c r="AR27" s="1580" t="str">
        <f t="shared" si="39"/>
        <v>W3030CAW</v>
      </c>
    </row>
    <row r="28" spans="1:48" ht="14.25">
      <c r="B28" s="1819" t="s">
        <v>6257</v>
      </c>
      <c r="C28" s="1823" t="s">
        <v>12691</v>
      </c>
      <c r="D28" s="2634" t="s">
        <v>9447</v>
      </c>
      <c r="E28" s="1828" t="s">
        <v>12209</v>
      </c>
      <c r="F28" s="1829">
        <v>0</v>
      </c>
      <c r="G28" s="1413"/>
      <c r="H28" s="1414"/>
      <c r="I28" s="1414"/>
      <c r="J28" s="1414"/>
      <c r="K28" s="1580">
        <f>SUM(G28:J28)</f>
        <v>0</v>
      </c>
      <c r="Q28" s="24" t="str">
        <f xml:space="preserve"> IF( SUM( S28:AA28 ) = 0, 0, $T$4 )</f>
        <v>Please complete all cells in row</v>
      </c>
      <c r="R28" s="1250"/>
      <c r="S28" s="72"/>
      <c r="T28" s="98">
        <f t="shared" si="38"/>
        <v>1</v>
      </c>
      <c r="U28" s="98">
        <f t="shared" si="38"/>
        <v>1</v>
      </c>
      <c r="V28" s="98">
        <f t="shared" si="38"/>
        <v>1</v>
      </c>
      <c r="W28" s="98">
        <f t="shared" si="38"/>
        <v>1</v>
      </c>
      <c r="AA28" s="72"/>
      <c r="AI28" s="1394" t="s">
        <v>6252</v>
      </c>
      <c r="AJ28" s="1395" t="s">
        <v>4936</v>
      </c>
      <c r="AK28" s="2542" t="s">
        <v>9447</v>
      </c>
      <c r="AL28" s="1828" t="s">
        <v>12209</v>
      </c>
      <c r="AM28" s="1398">
        <v>0</v>
      </c>
      <c r="AN28" s="1413" t="str">
        <f t="shared" si="40"/>
        <v>W3031WR</v>
      </c>
      <c r="AO28" s="1414" t="str">
        <f t="shared" si="39"/>
        <v>W3031RWD</v>
      </c>
      <c r="AP28" s="1414" t="str">
        <f t="shared" si="39"/>
        <v>W3031WT</v>
      </c>
      <c r="AQ28" s="1414" t="str">
        <f t="shared" si="39"/>
        <v>W3031TWD</v>
      </c>
      <c r="AR28" s="1580" t="str">
        <f t="shared" si="39"/>
        <v>W3031CAW</v>
      </c>
    </row>
    <row r="29" spans="1:48" ht="15" thickBot="1">
      <c r="B29" s="1820" t="s">
        <v>12693</v>
      </c>
      <c r="C29" s="1835" t="s">
        <v>4938</v>
      </c>
      <c r="D29" s="2538" t="s">
        <v>9448</v>
      </c>
      <c r="E29" s="1833" t="s">
        <v>750</v>
      </c>
      <c r="F29" s="1834">
        <v>3</v>
      </c>
      <c r="G29" s="1415"/>
      <c r="H29" s="1416"/>
      <c r="I29" s="1416"/>
      <c r="J29" s="1416"/>
      <c r="K29" s="1581">
        <f>SUM(G29:J29)</f>
        <v>0</v>
      </c>
      <c r="Q29" s="24" t="str">
        <f xml:space="preserve"> IF( SUM( S29:AA29 ) = 0, 0, $T$4 )</f>
        <v>Please complete all cells in row</v>
      </c>
      <c r="R29" s="1250"/>
      <c r="S29" s="72"/>
      <c r="T29" s="98">
        <f t="shared" si="38"/>
        <v>1</v>
      </c>
      <c r="U29" s="98">
        <f t="shared" si="38"/>
        <v>1</v>
      </c>
      <c r="V29" s="98">
        <f t="shared" si="38"/>
        <v>1</v>
      </c>
      <c r="W29" s="98">
        <f t="shared" si="38"/>
        <v>1</v>
      </c>
      <c r="AA29" s="72"/>
      <c r="AI29" s="1407" t="s">
        <v>6253</v>
      </c>
      <c r="AJ29" s="1568" t="s">
        <v>4938</v>
      </c>
      <c r="AK29" s="2543" t="s">
        <v>9448</v>
      </c>
      <c r="AL29" s="1410" t="s">
        <v>750</v>
      </c>
      <c r="AM29" s="1567">
        <v>3</v>
      </c>
      <c r="AN29" s="1415" t="str">
        <f t="shared" si="40"/>
        <v>W3032WR</v>
      </c>
      <c r="AO29" s="1416" t="str">
        <f t="shared" si="39"/>
        <v>W3032RWD</v>
      </c>
      <c r="AP29" s="1416" t="str">
        <f t="shared" si="39"/>
        <v>W3032WT</v>
      </c>
      <c r="AQ29" s="1416" t="str">
        <f t="shared" si="39"/>
        <v>W3032TWD</v>
      </c>
      <c r="AR29" s="1581" t="str">
        <f t="shared" si="39"/>
        <v>W3032CAW</v>
      </c>
    </row>
    <row r="30" spans="1:48" ht="15" thickBot="1">
      <c r="A30" s="1382"/>
      <c r="B30" s="1383"/>
      <c r="C30" s="1382"/>
      <c r="D30" s="2540"/>
      <c r="E30" s="1382"/>
      <c r="F30" s="1231"/>
      <c r="G30" s="1417"/>
      <c r="H30" s="1417"/>
      <c r="I30" s="1417"/>
      <c r="J30" s="1417"/>
      <c r="K30" s="1382"/>
      <c r="AI30" s="1383"/>
      <c r="AJ30" s="1382"/>
      <c r="AK30" s="2540"/>
      <c r="AL30" s="1382"/>
      <c r="AM30" s="1382"/>
      <c r="AN30" s="1417"/>
      <c r="AO30" s="1417"/>
      <c r="AP30" s="1417"/>
      <c r="AQ30" s="1417"/>
      <c r="AR30" s="1382"/>
    </row>
    <row r="31" spans="1:48" ht="15" thickBot="1">
      <c r="B31" s="1051" t="s">
        <v>2464</v>
      </c>
      <c r="C31" s="1114" t="s">
        <v>4332</v>
      </c>
      <c r="D31" s="2539"/>
      <c r="F31" s="26"/>
      <c r="G31" s="1418"/>
      <c r="H31" s="1418"/>
      <c r="I31" s="1418"/>
      <c r="J31" s="1418"/>
      <c r="AI31" s="1791" t="s">
        <v>2464</v>
      </c>
      <c r="AJ31" s="1114" t="s">
        <v>4332</v>
      </c>
      <c r="AK31" s="2539"/>
      <c r="AN31" s="1418"/>
      <c r="AO31" s="1418"/>
      <c r="AP31" s="1418"/>
      <c r="AQ31" s="1418"/>
    </row>
    <row r="32" spans="1:48" ht="14.25">
      <c r="B32" s="1819" t="s">
        <v>12694</v>
      </c>
      <c r="C32" s="1822" t="s">
        <v>4898</v>
      </c>
      <c r="D32" s="2535" t="s">
        <v>9449</v>
      </c>
      <c r="E32" s="1836" t="s">
        <v>750</v>
      </c>
      <c r="F32" s="1827">
        <v>3</v>
      </c>
      <c r="G32" s="1569"/>
      <c r="H32" s="1392"/>
      <c r="I32" s="1391"/>
      <c r="J32" s="1391"/>
      <c r="K32" s="1769">
        <f>SUM(G32:J32)</f>
        <v>0</v>
      </c>
      <c r="Q32" s="24" t="str">
        <f xml:space="preserve"> IF( SUM( S32:AA32 ) = 0, 0, $T$4 )</f>
        <v>Please complete all cells in row</v>
      </c>
      <c r="R32" s="1250"/>
      <c r="S32" s="72"/>
      <c r="T32" s="98">
        <f t="shared" ref="T32:T34" si="41" xml:space="preserve"> IF( ISNUMBER( G32 ), 0, 1 )</f>
        <v>1</v>
      </c>
      <c r="U32" s="98">
        <f t="shared" ref="U32:U34" si="42" xml:space="preserve"> IF( ISNUMBER( H32 ), 0, 1 )</f>
        <v>1</v>
      </c>
      <c r="V32" s="98">
        <f t="shared" ref="V32:W34" si="43" xml:space="preserve"> IF( ISNUMBER( I32 ), 0, 1 )</f>
        <v>1</v>
      </c>
      <c r="W32" s="98">
        <f t="shared" si="43"/>
        <v>1</v>
      </c>
      <c r="AA32" s="72"/>
      <c r="AI32" s="1394" t="s">
        <v>6254</v>
      </c>
      <c r="AJ32" s="1395" t="s">
        <v>4898</v>
      </c>
      <c r="AK32" s="2544" t="s">
        <v>9449</v>
      </c>
      <c r="AL32" s="1573" t="s">
        <v>750</v>
      </c>
      <c r="AM32" s="1389">
        <v>3</v>
      </c>
      <c r="AN32" s="1569" t="str">
        <f t="shared" ref="AN32:AR34" si="44">$D32&amp;AN$23</f>
        <v>W3033WR</v>
      </c>
      <c r="AO32" s="1569" t="str">
        <f t="shared" si="44"/>
        <v>W3033RWD</v>
      </c>
      <c r="AP32" s="1569" t="str">
        <f t="shared" si="44"/>
        <v>W3033WT</v>
      </c>
      <c r="AQ32" s="1569" t="str">
        <f t="shared" si="44"/>
        <v>W3033TWD</v>
      </c>
      <c r="AR32" s="1769" t="str">
        <f t="shared" si="44"/>
        <v>W3033CAW</v>
      </c>
    </row>
    <row r="33" spans="1:44" ht="14.25">
      <c r="B33" s="1819" t="s">
        <v>12695</v>
      </c>
      <c r="C33" s="1822" t="s">
        <v>4899</v>
      </c>
      <c r="D33" s="2536" t="s">
        <v>9450</v>
      </c>
      <c r="E33" s="1830" t="s">
        <v>750</v>
      </c>
      <c r="F33" s="1829">
        <v>3</v>
      </c>
      <c r="G33" s="1405"/>
      <c r="H33" s="1401"/>
      <c r="I33" s="1400"/>
      <c r="J33" s="1400"/>
      <c r="K33" s="1580">
        <f>SUM(G33:J33)</f>
        <v>0</v>
      </c>
      <c r="Q33" s="24" t="str">
        <f xml:space="preserve"> IF( SUM( S33:AA33 ) = 0, 0, $T$4 )</f>
        <v>Please complete all cells in row</v>
      </c>
      <c r="R33" s="1250"/>
      <c r="S33" s="72"/>
      <c r="T33" s="98">
        <f t="shared" si="41"/>
        <v>1</v>
      </c>
      <c r="U33" s="98">
        <f t="shared" si="42"/>
        <v>1</v>
      </c>
      <c r="V33" s="98">
        <f t="shared" si="43"/>
        <v>1</v>
      </c>
      <c r="W33" s="98">
        <f t="shared" si="43"/>
        <v>1</v>
      </c>
      <c r="AA33" s="72"/>
      <c r="AI33" s="1394" t="s">
        <v>6255</v>
      </c>
      <c r="AJ33" s="1395" t="s">
        <v>4899</v>
      </c>
      <c r="AK33" s="2545" t="s">
        <v>9450</v>
      </c>
      <c r="AL33" s="1404" t="s">
        <v>750</v>
      </c>
      <c r="AM33" s="1398">
        <v>3</v>
      </c>
      <c r="AN33" s="1405" t="str">
        <f t="shared" si="44"/>
        <v>W3034WR</v>
      </c>
      <c r="AO33" s="1405" t="str">
        <f t="shared" si="44"/>
        <v>W3034RWD</v>
      </c>
      <c r="AP33" s="1405" t="str">
        <f t="shared" si="44"/>
        <v>W3034WT</v>
      </c>
      <c r="AQ33" s="1405" t="str">
        <f t="shared" si="44"/>
        <v>W3034TWD</v>
      </c>
      <c r="AR33" s="1580" t="str">
        <f t="shared" si="44"/>
        <v>W3034CAW</v>
      </c>
    </row>
    <row r="34" spans="1:44" ht="18" customHeight="1" thickBot="1">
      <c r="B34" s="1820" t="s">
        <v>12696</v>
      </c>
      <c r="C34" s="1825" t="s">
        <v>12692</v>
      </c>
      <c r="D34" s="2538" t="s">
        <v>9451</v>
      </c>
      <c r="E34" s="1833" t="s">
        <v>750</v>
      </c>
      <c r="F34" s="1834">
        <v>3</v>
      </c>
      <c r="G34" s="1415"/>
      <c r="H34" s="1416"/>
      <c r="I34" s="1416"/>
      <c r="J34" s="3169"/>
      <c r="K34" s="1581">
        <f>SUM(G34:J34)</f>
        <v>0</v>
      </c>
      <c r="Q34" s="1431" t="str">
        <f>IF(SUM(S34:AA34)&lt;&gt;0,T4,IF(SUM(AA34:AC34)=0,0,$AF$34))</f>
        <v>Please complete all cells in row</v>
      </c>
      <c r="R34" s="1250"/>
      <c r="S34" s="72"/>
      <c r="T34" s="98">
        <f t="shared" si="41"/>
        <v>1</v>
      </c>
      <c r="U34" s="98">
        <f t="shared" si="42"/>
        <v>1</v>
      </c>
      <c r="V34" s="98">
        <f t="shared" si="43"/>
        <v>1</v>
      </c>
      <c r="W34" s="98">
        <f t="shared" si="43"/>
        <v>1</v>
      </c>
      <c r="AA34" s="72"/>
      <c r="AB34" s="98">
        <f xml:space="preserve"> IF( (AD34 - AE34) = 0, 0, 1 )</f>
        <v>0</v>
      </c>
      <c r="AC34" s="129"/>
      <c r="AD34" s="117">
        <f>ROUND(+K34+K33+K32,3)</f>
        <v>0</v>
      </c>
      <c r="AE34" s="117">
        <f>ROUND(+'4D'!M9,3)</f>
        <v>0</v>
      </c>
      <c r="AF34" s="2230" t="s">
        <v>13580</v>
      </c>
      <c r="AG34" s="129"/>
      <c r="AI34" s="1407" t="s">
        <v>6256</v>
      </c>
      <c r="AJ34" s="1408" t="s">
        <v>4900</v>
      </c>
      <c r="AK34" s="2543" t="s">
        <v>9451</v>
      </c>
      <c r="AL34" s="1410" t="s">
        <v>750</v>
      </c>
      <c r="AM34" s="1567">
        <v>3</v>
      </c>
      <c r="AN34" s="1415" t="str">
        <f t="shared" si="44"/>
        <v>W3035WR</v>
      </c>
      <c r="AO34" s="1415" t="str">
        <f t="shared" si="44"/>
        <v>W3035RWD</v>
      </c>
      <c r="AP34" s="1415" t="str">
        <f t="shared" si="44"/>
        <v>W3035WT</v>
      </c>
      <c r="AQ34" s="1415" t="str">
        <f t="shared" si="44"/>
        <v>W3035TWD</v>
      </c>
      <c r="AR34" s="1581" t="str">
        <f t="shared" si="44"/>
        <v>W3035CAW</v>
      </c>
    </row>
    <row r="35" spans="1:44" ht="15" thickBot="1">
      <c r="A35" s="1382"/>
      <c r="B35" s="1383"/>
      <c r="C35" s="1382"/>
      <c r="D35" s="2540"/>
      <c r="E35" s="1231"/>
      <c r="F35" s="1231"/>
      <c r="G35" s="1417"/>
      <c r="H35" s="1417"/>
      <c r="I35" s="1417"/>
      <c r="J35" s="1417"/>
      <c r="K35" s="1382"/>
      <c r="AI35" s="1383"/>
      <c r="AJ35" s="1382"/>
      <c r="AK35" s="2540"/>
      <c r="AL35" s="1382"/>
      <c r="AM35" s="1382"/>
      <c r="AN35" s="1417"/>
      <c r="AO35" s="1417"/>
      <c r="AP35" s="1417"/>
      <c r="AQ35" s="1417"/>
      <c r="AR35" s="1382"/>
    </row>
    <row r="36" spans="1:44" ht="15" thickBot="1">
      <c r="B36" s="1820" t="s">
        <v>12697</v>
      </c>
      <c r="C36" s="1825" t="s">
        <v>4901</v>
      </c>
      <c r="D36" s="1813" t="s">
        <v>9452</v>
      </c>
      <c r="E36" s="1837" t="s">
        <v>750</v>
      </c>
      <c r="F36" s="1838">
        <v>3</v>
      </c>
      <c r="G36" s="1571"/>
      <c r="H36" s="1572"/>
      <c r="I36" s="1572"/>
      <c r="J36" s="1572"/>
      <c r="K36" s="1770">
        <f>SUM(G36:J36)</f>
        <v>0</v>
      </c>
      <c r="Q36" s="24" t="str">
        <f xml:space="preserve"> IF( SUM( S36:AA36 ) = 0, 0, $T$4 )</f>
        <v>Please complete all cells in row</v>
      </c>
      <c r="R36" s="1250"/>
      <c r="S36" s="72"/>
      <c r="T36" s="98">
        <f xml:space="preserve"> IF( ISNUMBER( G36 ), 0, 1 )</f>
        <v>1</v>
      </c>
      <c r="U36" s="98">
        <f xml:space="preserve"> IF( ISNUMBER( H36 ), 0, 1 )</f>
        <v>1</v>
      </c>
      <c r="V36" s="98">
        <f xml:space="preserve"> IF( ISNUMBER( I36 ), 0, 1 )</f>
        <v>1</v>
      </c>
      <c r="W36" s="98">
        <f xml:space="preserve"> IF( ISNUMBER( J36 ), 0, 1 )</f>
        <v>1</v>
      </c>
      <c r="AA36" s="72"/>
      <c r="AI36" s="1407" t="s">
        <v>6257</v>
      </c>
      <c r="AJ36" s="1408" t="s">
        <v>4901</v>
      </c>
      <c r="AK36" s="2546" t="s">
        <v>9452</v>
      </c>
      <c r="AL36" s="1574" t="s">
        <v>750</v>
      </c>
      <c r="AM36" s="1575">
        <v>3</v>
      </c>
      <c r="AN36" s="1571" t="str">
        <f t="shared" ref="AN36:AR36" si="45">$D36&amp;AN$23</f>
        <v>W3036WR</v>
      </c>
      <c r="AO36" s="1572" t="str">
        <f t="shared" si="45"/>
        <v>W3036RWD</v>
      </c>
      <c r="AP36" s="1572" t="str">
        <f t="shared" si="45"/>
        <v>W3036WT</v>
      </c>
      <c r="AQ36" s="1572" t="str">
        <f t="shared" si="45"/>
        <v>W3036TWD</v>
      </c>
      <c r="AR36" s="1770" t="str">
        <f t="shared" si="45"/>
        <v>W3036CAW</v>
      </c>
    </row>
    <row r="37" spans="1:44" ht="14.25">
      <c r="A37" s="1382"/>
      <c r="B37" s="1383"/>
      <c r="C37" s="1382"/>
      <c r="D37" s="1382"/>
      <c r="E37" s="1382"/>
      <c r="F37" s="1382"/>
      <c r="G37" s="1417"/>
      <c r="H37" s="1417"/>
      <c r="I37" s="1417"/>
      <c r="J37" s="1417"/>
      <c r="K37" s="1382"/>
      <c r="AK37" s="49"/>
    </row>
    <row r="38" spans="1:44" ht="14.25">
      <c r="A38" s="1084"/>
      <c r="B38" s="3742" t="s">
        <v>2420</v>
      </c>
      <c r="C38" s="3742"/>
      <c r="D38" s="1079"/>
      <c r="E38" s="1080"/>
      <c r="F38" s="1081"/>
      <c r="O38" s="1087"/>
      <c r="P38" s="1087"/>
      <c r="Q38" s="1087"/>
      <c r="R38" s="1250"/>
      <c r="V38" s="1087"/>
      <c r="W38" s="1087"/>
      <c r="AK38" s="49"/>
    </row>
    <row r="39" spans="1:44" ht="14.25">
      <c r="A39" s="1084"/>
      <c r="B39" s="1078"/>
      <c r="C39" s="1085"/>
      <c r="D39" s="1079"/>
      <c r="E39" s="1080"/>
      <c r="F39" s="1081"/>
      <c r="G39" s="2143"/>
      <c r="H39" s="2143"/>
      <c r="I39" s="2143"/>
      <c r="J39" s="2143"/>
      <c r="K39" s="2143"/>
      <c r="L39" s="2143"/>
      <c r="M39" s="2143"/>
      <c r="N39" s="2143"/>
      <c r="O39" s="1087"/>
      <c r="P39" s="1087"/>
      <c r="Q39" s="1087"/>
      <c r="R39" s="1250"/>
      <c r="V39" s="1087"/>
      <c r="W39" s="1087"/>
      <c r="AK39" s="49"/>
    </row>
    <row r="40" spans="1:44" ht="14.25">
      <c r="A40" s="1276"/>
      <c r="B40" s="1307"/>
      <c r="C40" s="1181" t="s">
        <v>2421</v>
      </c>
      <c r="D40" s="1009"/>
      <c r="E40" s="1276"/>
      <c r="F40" s="1276"/>
      <c r="G40" s="1276"/>
      <c r="H40" s="1276"/>
      <c r="I40" s="1276"/>
      <c r="J40" s="1276"/>
      <c r="K40" s="1276"/>
      <c r="L40" s="1276"/>
      <c r="M40" s="1276"/>
      <c r="N40" s="1276"/>
      <c r="O40" s="1276"/>
      <c r="P40" s="1276"/>
      <c r="Q40" s="1276"/>
      <c r="R40" s="1276"/>
      <c r="S40" s="1771"/>
      <c r="T40" s="1368"/>
      <c r="U40" s="1368"/>
      <c r="V40" s="1368"/>
      <c r="W40" s="1368"/>
      <c r="X40" s="1419"/>
      <c r="Y40" s="1419"/>
      <c r="AK40" s="49"/>
    </row>
    <row r="41" spans="1:44" ht="14.25">
      <c r="A41" s="1250"/>
      <c r="B41" s="1250"/>
      <c r="C41" s="1250"/>
      <c r="D41" s="1250"/>
      <c r="E41" s="1250"/>
      <c r="F41" s="1250"/>
      <c r="G41" s="1250"/>
      <c r="H41" s="1250"/>
      <c r="I41" s="1250"/>
      <c r="J41" s="1250"/>
      <c r="K41" s="1250"/>
      <c r="L41" s="1250"/>
      <c r="M41" s="1250"/>
      <c r="N41" s="1250"/>
      <c r="O41" s="1250"/>
      <c r="P41" s="1250"/>
      <c r="Q41" s="1250"/>
      <c r="R41" s="1250"/>
      <c r="S41" s="1767"/>
      <c r="T41" s="1250"/>
      <c r="U41" s="1250"/>
      <c r="V41" s="1250"/>
      <c r="W41" s="1250"/>
      <c r="X41" s="1250"/>
      <c r="Y41" s="1250"/>
      <c r="AK41" s="49"/>
    </row>
    <row r="42" spans="1:44" ht="14.25" customHeight="1">
      <c r="A42" s="1278"/>
      <c r="B42" s="1010"/>
      <c r="C42" s="1309" t="s">
        <v>4082</v>
      </c>
      <c r="D42" s="1278"/>
      <c r="E42" s="1278"/>
      <c r="F42" s="1278"/>
      <c r="G42" s="1278"/>
      <c r="H42" s="1278"/>
      <c r="I42" s="1278"/>
      <c r="J42" s="1278"/>
      <c r="K42" s="1278"/>
      <c r="L42" s="1278"/>
      <c r="M42" s="1278"/>
      <c r="N42" s="1278"/>
      <c r="O42" s="1278"/>
      <c r="P42" s="1278"/>
      <c r="Q42" s="1278"/>
      <c r="R42" s="1278"/>
      <c r="S42" s="1768"/>
      <c r="T42" s="1278"/>
      <c r="U42" s="1278"/>
      <c r="V42" s="1278"/>
      <c r="W42" s="1278"/>
      <c r="X42" s="1278"/>
      <c r="Y42" s="1278"/>
    </row>
    <row r="43" spans="1:44" ht="14.25" customHeight="1">
      <c r="B43" s="585"/>
    </row>
    <row r="44" spans="1:44" ht="14.25" customHeight="1" thickBot="1">
      <c r="B44" s="585"/>
    </row>
    <row r="45" spans="1:44" ht="14.25" customHeight="1" thickBot="1">
      <c r="B45" s="3836" t="s">
        <v>12572</v>
      </c>
      <c r="C45" s="3639"/>
      <c r="D45" s="3639"/>
      <c r="E45" s="3639"/>
      <c r="F45" s="3639"/>
      <c r="G45" s="3639"/>
      <c r="H45" s="3639"/>
      <c r="I45" s="3639"/>
      <c r="J45" s="3639"/>
      <c r="K45" s="3640"/>
    </row>
    <row r="46" spans="1:44" s="2146" customFormat="1" ht="14.25" customHeight="1" thickBot="1">
      <c r="S46" s="1764"/>
      <c r="AA46" s="1764"/>
      <c r="AC46" s="1764"/>
      <c r="AG46" s="1764"/>
    </row>
    <row r="47" spans="1:44" s="2146" customFormat="1" ht="99" customHeight="1" thickBot="1">
      <c r="B47" s="3837" t="s">
        <v>12882</v>
      </c>
      <c r="C47" s="3838"/>
      <c r="D47" s="3838"/>
      <c r="E47" s="3838"/>
      <c r="F47" s="3838"/>
      <c r="G47" s="3838"/>
      <c r="H47" s="3838"/>
      <c r="I47" s="3838"/>
      <c r="J47" s="3838"/>
      <c r="K47" s="3839"/>
      <c r="S47" s="1764"/>
      <c r="AA47" s="1764"/>
      <c r="AC47" s="1764"/>
      <c r="AG47" s="1764"/>
    </row>
    <row r="48" spans="1:44" ht="14.25" customHeight="1">
      <c r="B48" s="585"/>
    </row>
    <row r="49" spans="1:33" ht="14.25" hidden="1" customHeight="1" thickBot="1">
      <c r="A49" s="1696"/>
      <c r="B49" s="3518" t="str">
        <f ca="1" xml:space="preserve"> RIGHT(CELL("filename", $A$1), LEN(CELL("filename", $A$1)) - SEARCH("]", CELL("filename", $A$1)))&amp;" - Line definitions"</f>
        <v>4V - Line definitions</v>
      </c>
      <c r="C49" s="3674"/>
      <c r="D49" s="3674"/>
      <c r="E49" s="3674"/>
      <c r="F49" s="3674"/>
      <c r="G49" s="3674"/>
      <c r="H49" s="3674"/>
      <c r="I49" s="3674"/>
      <c r="J49" s="3674"/>
      <c r="K49" s="3675"/>
    </row>
    <row r="50" spans="1:33" ht="14.25" hidden="1" customHeight="1" thickBot="1">
      <c r="A50" s="1696"/>
      <c r="B50" s="585"/>
    </row>
    <row r="51" spans="1:33" ht="14.25" hidden="1" customHeight="1" thickBot="1">
      <c r="A51" s="1696"/>
      <c r="B51" s="2252" t="s">
        <v>2423</v>
      </c>
      <c r="C51" s="3830" t="s">
        <v>2424</v>
      </c>
      <c r="D51" s="3831"/>
      <c r="E51" s="3831"/>
      <c r="F51" s="3831"/>
      <c r="G51" s="3831"/>
      <c r="H51" s="3831"/>
      <c r="I51" s="3831"/>
      <c r="J51" s="3831"/>
      <c r="K51" s="3832"/>
    </row>
    <row r="52" spans="1:33" ht="14.25" hidden="1" customHeight="1">
      <c r="A52" s="1696"/>
      <c r="B52" s="2253">
        <v>1</v>
      </c>
      <c r="C52" s="3818" t="s">
        <v>3613</v>
      </c>
      <c r="D52" s="3819"/>
      <c r="E52" s="3819"/>
      <c r="F52" s="3819"/>
      <c r="G52" s="3819"/>
      <c r="H52" s="3819"/>
      <c r="I52" s="3819"/>
      <c r="J52" s="3819"/>
      <c r="K52" s="3820"/>
    </row>
    <row r="53" spans="1:33" ht="57" hidden="1" customHeight="1">
      <c r="A53" s="1696"/>
      <c r="B53" s="2253">
        <f t="shared" ref="B53:B58" si="46">+B52+1</f>
        <v>2</v>
      </c>
      <c r="C53" s="3818" t="s">
        <v>3810</v>
      </c>
      <c r="D53" s="3819"/>
      <c r="E53" s="3819"/>
      <c r="F53" s="3819"/>
      <c r="G53" s="3819"/>
      <c r="H53" s="3819"/>
      <c r="I53" s="3819"/>
      <c r="J53" s="3819"/>
      <c r="K53" s="3820"/>
    </row>
    <row r="54" spans="1:33" s="2146" customFormat="1" ht="14.25" hidden="1">
      <c r="A54" s="1696"/>
      <c r="B54" s="2253">
        <f t="shared" si="46"/>
        <v>3</v>
      </c>
      <c r="C54" s="3818" t="s">
        <v>3811</v>
      </c>
      <c r="D54" s="3819"/>
      <c r="E54" s="3819"/>
      <c r="F54" s="3819"/>
      <c r="G54" s="3819"/>
      <c r="H54" s="3819"/>
      <c r="I54" s="3819"/>
      <c r="J54" s="3819"/>
      <c r="K54" s="3820"/>
      <c r="S54" s="1764"/>
      <c r="AA54" s="1764"/>
      <c r="AC54" s="1764"/>
      <c r="AG54" s="1764"/>
    </row>
    <row r="55" spans="1:33" s="2146" customFormat="1" ht="14.25" hidden="1">
      <c r="A55" s="1696"/>
      <c r="B55" s="2253">
        <f t="shared" si="46"/>
        <v>4</v>
      </c>
      <c r="C55" s="3818" t="s">
        <v>3667</v>
      </c>
      <c r="D55" s="3819"/>
      <c r="E55" s="3819"/>
      <c r="F55" s="3819"/>
      <c r="G55" s="3819"/>
      <c r="H55" s="3819"/>
      <c r="I55" s="3819"/>
      <c r="J55" s="3819"/>
      <c r="K55" s="3820"/>
      <c r="S55" s="1764"/>
      <c r="AA55" s="1764"/>
      <c r="AC55" s="1764"/>
      <c r="AG55" s="1764"/>
    </row>
    <row r="56" spans="1:33" s="2146" customFormat="1" ht="33" hidden="1" customHeight="1">
      <c r="A56" s="1696"/>
      <c r="B56" s="2253">
        <f t="shared" si="46"/>
        <v>5</v>
      </c>
      <c r="C56" s="3818" t="s">
        <v>3795</v>
      </c>
      <c r="D56" s="3819"/>
      <c r="E56" s="3819"/>
      <c r="F56" s="3819"/>
      <c r="G56" s="3819"/>
      <c r="H56" s="3819"/>
      <c r="I56" s="3819"/>
      <c r="J56" s="3819"/>
      <c r="K56" s="3820"/>
      <c r="S56" s="1764"/>
      <c r="AA56" s="1764"/>
      <c r="AC56" s="1764"/>
      <c r="AG56" s="1764"/>
    </row>
    <row r="57" spans="1:33" s="2146" customFormat="1" ht="14.25" hidden="1">
      <c r="A57" s="1696"/>
      <c r="B57" s="2253">
        <f t="shared" si="46"/>
        <v>6</v>
      </c>
      <c r="C57" s="3818" t="s">
        <v>3796</v>
      </c>
      <c r="D57" s="3819"/>
      <c r="E57" s="3819"/>
      <c r="F57" s="3819"/>
      <c r="G57" s="3819"/>
      <c r="H57" s="3819"/>
      <c r="I57" s="3819"/>
      <c r="J57" s="3819"/>
      <c r="K57" s="3820"/>
      <c r="S57" s="1764"/>
      <c r="AA57" s="1764"/>
      <c r="AC57" s="1764"/>
      <c r="AG57" s="1764"/>
    </row>
    <row r="58" spans="1:33" ht="14.25" hidden="1" customHeight="1">
      <c r="A58" s="1696"/>
      <c r="B58" s="2253">
        <f t="shared" si="46"/>
        <v>7</v>
      </c>
      <c r="C58" s="3818" t="s">
        <v>12878</v>
      </c>
      <c r="D58" s="3819"/>
      <c r="E58" s="3819"/>
      <c r="F58" s="3819"/>
      <c r="G58" s="3819"/>
      <c r="H58" s="3819"/>
      <c r="I58" s="3819"/>
      <c r="J58" s="3819"/>
      <c r="K58" s="3820"/>
    </row>
    <row r="59" spans="1:33" ht="14.25" hidden="1" customHeight="1">
      <c r="A59" s="1696"/>
      <c r="B59" s="2253">
        <f t="shared" ref="B59:B64" si="47">+B58+1</f>
        <v>8</v>
      </c>
      <c r="C59" s="3818" t="s">
        <v>12879</v>
      </c>
      <c r="D59" s="3819"/>
      <c r="E59" s="3819"/>
      <c r="F59" s="3819"/>
      <c r="G59" s="3819"/>
      <c r="H59" s="3819"/>
      <c r="I59" s="3819"/>
      <c r="J59" s="3819"/>
      <c r="K59" s="3820"/>
    </row>
    <row r="60" spans="1:33" ht="14.25" hidden="1" customHeight="1">
      <c r="A60" s="1696"/>
      <c r="B60" s="2253">
        <f t="shared" si="47"/>
        <v>9</v>
      </c>
      <c r="C60" s="3818" t="s">
        <v>12880</v>
      </c>
      <c r="D60" s="3819"/>
      <c r="E60" s="3819"/>
      <c r="F60" s="3819"/>
      <c r="G60" s="3819"/>
      <c r="H60" s="3819"/>
      <c r="I60" s="3819"/>
      <c r="J60" s="3819"/>
      <c r="K60" s="3820"/>
    </row>
    <row r="61" spans="1:33" ht="14.25" hidden="1" customHeight="1">
      <c r="A61" s="1696"/>
      <c r="B61" s="2253">
        <f t="shared" si="47"/>
        <v>10</v>
      </c>
      <c r="C61" s="3818" t="s">
        <v>3668</v>
      </c>
      <c r="D61" s="3819"/>
      <c r="E61" s="3819"/>
      <c r="F61" s="3819"/>
      <c r="G61" s="3819"/>
      <c r="H61" s="3819"/>
      <c r="I61" s="3819"/>
      <c r="J61" s="3819"/>
      <c r="K61" s="3820"/>
    </row>
    <row r="62" spans="1:33" s="2146" customFormat="1" ht="14.25" hidden="1" customHeight="1">
      <c r="A62" s="1696"/>
      <c r="B62" s="2253">
        <f t="shared" si="47"/>
        <v>11</v>
      </c>
      <c r="C62" s="3818" t="s">
        <v>12881</v>
      </c>
      <c r="D62" s="3819"/>
      <c r="E62" s="3819"/>
      <c r="F62" s="3819"/>
      <c r="G62" s="3819"/>
      <c r="H62" s="3819"/>
      <c r="I62" s="3819"/>
      <c r="J62" s="3819"/>
      <c r="K62" s="3820"/>
      <c r="S62" s="1764"/>
      <c r="AA62" s="1764"/>
      <c r="AC62" s="1764"/>
      <c r="AG62" s="1764"/>
    </row>
    <row r="63" spans="1:33" ht="14.25" hidden="1" customHeight="1">
      <c r="A63" s="1696"/>
      <c r="B63" s="2253">
        <f t="shared" si="47"/>
        <v>12</v>
      </c>
      <c r="C63" s="3818" t="s">
        <v>4902</v>
      </c>
      <c r="D63" s="3819"/>
      <c r="E63" s="3819"/>
      <c r="F63" s="3819"/>
      <c r="G63" s="3819"/>
      <c r="H63" s="3819"/>
      <c r="I63" s="3819"/>
      <c r="J63" s="3819"/>
      <c r="K63" s="3820"/>
    </row>
    <row r="64" spans="1:33" ht="14.25" hidden="1" customHeight="1" thickBot="1">
      <c r="A64" s="1696"/>
      <c r="B64" s="1420">
        <f t="shared" si="47"/>
        <v>13</v>
      </c>
      <c r="C64" s="3821" t="s">
        <v>12978</v>
      </c>
      <c r="D64" s="3822"/>
      <c r="E64" s="3822"/>
      <c r="F64" s="3822"/>
      <c r="G64" s="3822"/>
      <c r="H64" s="3822"/>
      <c r="I64" s="3822"/>
      <c r="J64" s="3822"/>
      <c r="K64" s="3823"/>
    </row>
    <row r="65" spans="1:11" ht="14.25" hidden="1" customHeight="1" thickBot="1">
      <c r="A65" s="1696"/>
      <c r="B65" s="585"/>
    </row>
    <row r="66" spans="1:11" ht="14.25" hidden="1" customHeight="1" thickBot="1">
      <c r="A66" s="1696"/>
      <c r="B66" s="1348" t="s">
        <v>2423</v>
      </c>
      <c r="C66" s="3833" t="s">
        <v>2424</v>
      </c>
      <c r="D66" s="3834"/>
      <c r="E66" s="3834"/>
      <c r="F66" s="3834"/>
      <c r="G66" s="3834"/>
      <c r="H66" s="3834"/>
      <c r="I66" s="3834"/>
      <c r="J66" s="3834"/>
      <c r="K66" s="3835"/>
    </row>
    <row r="67" spans="1:11" ht="54.75" hidden="1" customHeight="1">
      <c r="A67" s="1696"/>
      <c r="B67" s="1421">
        <f>+B64+1</f>
        <v>14</v>
      </c>
      <c r="C67" s="3827" t="s">
        <v>4903</v>
      </c>
      <c r="D67" s="3828"/>
      <c r="E67" s="3828"/>
      <c r="F67" s="3828"/>
      <c r="G67" s="3828"/>
      <c r="H67" s="3828"/>
      <c r="I67" s="3828"/>
      <c r="J67" s="3828"/>
      <c r="K67" s="3829"/>
    </row>
    <row r="68" spans="1:11" ht="67.5" hidden="1" customHeight="1">
      <c r="A68" s="1696"/>
      <c r="B68" s="2253">
        <f t="shared" ref="B68:B75" si="48">+B67+1</f>
        <v>15</v>
      </c>
      <c r="C68" s="3818" t="s">
        <v>4904</v>
      </c>
      <c r="D68" s="3819"/>
      <c r="E68" s="3819"/>
      <c r="F68" s="3819"/>
      <c r="G68" s="3819"/>
      <c r="H68" s="3819"/>
      <c r="I68" s="3819"/>
      <c r="J68" s="3819"/>
      <c r="K68" s="3820"/>
    </row>
    <row r="69" spans="1:11" ht="14.25" hidden="1" customHeight="1">
      <c r="A69" s="1696"/>
      <c r="B69" s="2253">
        <f t="shared" si="48"/>
        <v>16</v>
      </c>
      <c r="C69" s="3818" t="s">
        <v>12979</v>
      </c>
      <c r="D69" s="3819"/>
      <c r="E69" s="3819"/>
      <c r="F69" s="3819"/>
      <c r="G69" s="3819"/>
      <c r="H69" s="3819"/>
      <c r="I69" s="3819"/>
      <c r="J69" s="3819"/>
      <c r="K69" s="3820"/>
    </row>
    <row r="70" spans="1:11" ht="14.25" hidden="1" customHeight="1">
      <c r="A70" s="1696"/>
      <c r="B70" s="2253">
        <f t="shared" si="48"/>
        <v>17</v>
      </c>
      <c r="C70" s="3818" t="s">
        <v>12980</v>
      </c>
      <c r="D70" s="3819"/>
      <c r="E70" s="3819"/>
      <c r="F70" s="3819"/>
      <c r="G70" s="3819"/>
      <c r="H70" s="3819"/>
      <c r="I70" s="3819"/>
      <c r="J70" s="3819"/>
      <c r="K70" s="3820"/>
    </row>
    <row r="71" spans="1:11" ht="27" hidden="1" customHeight="1">
      <c r="A71" s="1696"/>
      <c r="B71" s="2253">
        <f t="shared" si="48"/>
        <v>18</v>
      </c>
      <c r="C71" s="3818" t="s">
        <v>4905</v>
      </c>
      <c r="D71" s="3819"/>
      <c r="E71" s="3819"/>
      <c r="F71" s="3819"/>
      <c r="G71" s="3819"/>
      <c r="H71" s="3819"/>
      <c r="I71" s="3819"/>
      <c r="J71" s="3819"/>
      <c r="K71" s="3820"/>
    </row>
    <row r="72" spans="1:11" ht="14.25" hidden="1" customHeight="1">
      <c r="A72" s="1696"/>
      <c r="B72" s="2253">
        <f t="shared" si="48"/>
        <v>19</v>
      </c>
      <c r="C72" s="3818" t="s">
        <v>4906</v>
      </c>
      <c r="D72" s="3819"/>
      <c r="E72" s="3819"/>
      <c r="F72" s="3819"/>
      <c r="G72" s="3819"/>
      <c r="H72" s="3819"/>
      <c r="I72" s="3819"/>
      <c r="J72" s="3819"/>
      <c r="K72" s="3820"/>
    </row>
    <row r="73" spans="1:11" ht="14.25" hidden="1" customHeight="1">
      <c r="A73" s="1696"/>
      <c r="B73" s="2253">
        <f t="shared" si="48"/>
        <v>20</v>
      </c>
      <c r="C73" s="3818" t="s">
        <v>4907</v>
      </c>
      <c r="D73" s="3819"/>
      <c r="E73" s="3819"/>
      <c r="F73" s="3819"/>
      <c r="G73" s="3819"/>
      <c r="H73" s="3819"/>
      <c r="I73" s="3819"/>
      <c r="J73" s="3819"/>
      <c r="K73" s="3820"/>
    </row>
    <row r="74" spans="1:11" ht="14.25" hidden="1">
      <c r="A74" s="1696"/>
      <c r="B74" s="2253">
        <f t="shared" si="48"/>
        <v>21</v>
      </c>
      <c r="C74" s="3818" t="s">
        <v>4908</v>
      </c>
      <c r="D74" s="3819"/>
      <c r="E74" s="3819"/>
      <c r="F74" s="3819"/>
      <c r="G74" s="3819"/>
      <c r="H74" s="3819"/>
      <c r="I74" s="3819"/>
      <c r="J74" s="3819"/>
      <c r="K74" s="3820"/>
    </row>
    <row r="75" spans="1:11" ht="15" hidden="1" customHeight="1" thickBot="1">
      <c r="A75" s="1696"/>
      <c r="B75" s="1420">
        <f t="shared" si="48"/>
        <v>22</v>
      </c>
      <c r="C75" s="3821" t="s">
        <v>4909</v>
      </c>
      <c r="D75" s="3822"/>
      <c r="E75" s="3822"/>
      <c r="F75" s="3822"/>
      <c r="G75" s="3822"/>
      <c r="H75" s="3822"/>
      <c r="I75" s="3822"/>
      <c r="J75" s="3822"/>
      <c r="K75" s="3823"/>
    </row>
    <row r="76" spans="1:11" ht="14.25" hidden="1"/>
    <row r="77" spans="1:11" ht="14.25" hidden="1"/>
    <row r="78" spans="1:11" ht="14.25" hidden="1"/>
    <row r="79" spans="1:11" ht="14.25" hidden="1"/>
    <row r="80" spans="1:11"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sheetData>
  <mergeCells count="30">
    <mergeCell ref="B45:K45"/>
    <mergeCell ref="C55:K55"/>
    <mergeCell ref="C56:K56"/>
    <mergeCell ref="C57:K57"/>
    <mergeCell ref="C62:K62"/>
    <mergeCell ref="B47:K47"/>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C74:K74"/>
    <mergeCell ref="C75:K75"/>
    <mergeCell ref="C68:K68"/>
    <mergeCell ref="C69:K69"/>
    <mergeCell ref="C70:K70"/>
    <mergeCell ref="C71:K71"/>
    <mergeCell ref="C72:K72"/>
    <mergeCell ref="C73:K73"/>
  </mergeCells>
  <conditionalFormatting sqref="Q7:Q8 Q11 Q16">
    <cfRule type="cellIs" dxfId="68" priority="9" operator="equal">
      <formula>0</formula>
    </cfRule>
  </conditionalFormatting>
  <conditionalFormatting sqref="Q25:Q29">
    <cfRule type="cellIs" dxfId="67" priority="8" operator="equal">
      <formula>0</formula>
    </cfRule>
  </conditionalFormatting>
  <conditionalFormatting sqref="Q32:Q34 Q36">
    <cfRule type="cellIs" dxfId="66" priority="7" operator="equal">
      <formula>0</formula>
    </cfRule>
  </conditionalFormatting>
  <conditionalFormatting sqref="Q9:Q10">
    <cfRule type="cellIs" dxfId="65" priority="5" operator="equal">
      <formula>0</formula>
    </cfRule>
  </conditionalFormatting>
  <conditionalFormatting sqref="Q12:Q15">
    <cfRule type="cellIs" dxfId="64" priority="4" operator="equal">
      <formula>0</formula>
    </cfRule>
  </conditionalFormatting>
  <conditionalFormatting sqref="Q17">
    <cfRule type="cellIs" dxfId="63" priority="3" operator="equal">
      <formula>0</formula>
    </cfRule>
  </conditionalFormatting>
  <conditionalFormatting sqref="Q19">
    <cfRule type="cellIs" dxfId="62" priority="2" operator="equal">
      <formula>0</formula>
    </cfRule>
  </conditionalFormatting>
  <conditionalFormatting sqref="Q18">
    <cfRule type="cellIs" dxfId="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3.xml><?xml version="1.0" encoding="utf-8"?>
<worksheet xmlns="http://schemas.openxmlformats.org/spreadsheetml/2006/main" xmlns:r="http://schemas.openxmlformats.org/officeDocument/2006/relationships">
  <sheetPr codeName="Sheet57">
    <pageSetUpPr fitToPage="1"/>
  </sheetPr>
  <dimension ref="A1:AY107"/>
  <sheetViews>
    <sheetView topLeftCell="S1" workbookViewId="0">
      <selection activeCell="AV1" sqref="AV1"/>
    </sheetView>
  </sheetViews>
  <sheetFormatPr defaultColWidth="0" defaultRowHeight="14.25" zeroHeight="1"/>
  <cols>
    <col min="1" max="1" width="0.625" customWidth="1"/>
    <col min="2" max="2" width="8.625" customWidth="1"/>
    <col min="3" max="3" width="49.125" customWidth="1"/>
    <col min="4" max="4" width="0.625" hidden="1" customWidth="1"/>
    <col min="5" max="6" width="8.625" customWidth="1"/>
    <col min="7" max="9" width="10.625" customWidth="1"/>
    <col min="10" max="10" width="10" customWidth="1"/>
    <col min="11" max="15" width="10.625" customWidth="1"/>
    <col min="16" max="16" width="26.125" bestFit="1" customWidth="1"/>
    <col min="17" max="17" width="2.125" customWidth="1"/>
    <col min="18" max="18" width="41.625" customWidth="1"/>
    <col min="19" max="19" width="4.125" customWidth="1"/>
    <col min="20" max="20" width="1.625" style="1764" hidden="1" customWidth="1"/>
    <col min="21" max="28" width="4.125" hidden="1" customWidth="1"/>
    <col min="29" max="29" width="1.625" style="1764" hidden="1" customWidth="1"/>
    <col min="30" max="30" width="8.125" hidden="1" customWidth="1"/>
    <col min="31" max="31" width="1.625" style="1764" hidden="1" customWidth="1"/>
    <col min="32" max="32" width="12.875" hidden="1" customWidth="1"/>
    <col min="33" max="33" width="0" hidden="1" customWidth="1"/>
    <col min="34" max="34" width="68.625" hidden="1" customWidth="1"/>
    <col min="35" max="35" width="1.5" style="1764" hidden="1" customWidth="1"/>
    <col min="36" max="37" width="8.625" customWidth="1"/>
    <col min="38" max="38" width="51.125" bestFit="1" customWidth="1"/>
    <col min="39" max="39" width="0.625" customWidth="1"/>
    <col min="40" max="41" width="8.625" customWidth="1"/>
    <col min="42" max="42" width="15.75" bestFit="1" customWidth="1"/>
    <col min="43" max="43" width="15.625" bestFit="1" customWidth="1"/>
    <col min="44" max="44" width="15.75" bestFit="1" customWidth="1"/>
    <col min="45" max="45" width="17" bestFit="1" customWidth="1"/>
    <col min="46" max="47" width="13.625" bestFit="1" customWidth="1"/>
    <col min="48" max="48" width="14.25" bestFit="1" customWidth="1"/>
    <col min="49" max="49" width="15.125" bestFit="1" customWidth="1"/>
    <col min="50" max="50" width="14.125" bestFit="1" customWidth="1"/>
    <col min="51" max="51" width="1.625" customWidth="1"/>
    <col min="52" max="16384" width="8.625" hidden="1"/>
  </cols>
  <sheetData>
    <row r="1" spans="2:50" ht="18.75">
      <c r="B1" s="68" t="s">
        <v>12698</v>
      </c>
      <c r="C1" s="67"/>
      <c r="D1" s="67"/>
      <c r="E1" s="67"/>
      <c r="F1" s="67"/>
      <c r="G1" s="67"/>
      <c r="H1" s="67"/>
      <c r="I1" s="67"/>
      <c r="J1" s="67"/>
      <c r="K1" s="67"/>
      <c r="L1" s="67"/>
      <c r="M1" s="67"/>
      <c r="N1" s="67"/>
      <c r="O1" s="67"/>
      <c r="P1" s="67" t="str">
        <f>Validation!B3</f>
        <v>South West Water – South West area</v>
      </c>
      <c r="Q1" s="67"/>
      <c r="R1" s="68" t="s">
        <v>2394</v>
      </c>
      <c r="AK1" s="68" t="s">
        <v>4910</v>
      </c>
      <c r="AL1" s="67"/>
      <c r="AM1" s="67"/>
      <c r="AN1" s="67"/>
      <c r="AO1" s="67"/>
      <c r="AP1" s="67"/>
      <c r="AQ1" s="67"/>
      <c r="AR1" s="67"/>
      <c r="AS1" s="67"/>
      <c r="AT1" s="67"/>
      <c r="AU1" s="67"/>
      <c r="AV1" s="67"/>
      <c r="AW1" s="67"/>
      <c r="AX1" s="67"/>
    </row>
    <row r="2" spans="2:50" ht="15" thickBot="1">
      <c r="B2" s="74" t="s">
        <v>12524</v>
      </c>
      <c r="R2" s="26"/>
      <c r="AK2" s="74" t="str">
        <f>+B2</f>
        <v>For the 12 months ended 31 March 2019</v>
      </c>
    </row>
    <row r="3" spans="2:50" ht="36.75" thickBot="1">
      <c r="B3" s="1104" t="s">
        <v>2423</v>
      </c>
      <c r="C3" s="1049" t="s">
        <v>4077</v>
      </c>
      <c r="D3" s="1050" t="s">
        <v>6495</v>
      </c>
      <c r="E3" s="1050" t="s">
        <v>3346</v>
      </c>
      <c r="F3" s="1050" t="s">
        <v>2397</v>
      </c>
      <c r="G3" s="193" t="s">
        <v>12700</v>
      </c>
      <c r="H3" s="375" t="s">
        <v>12701</v>
      </c>
      <c r="I3" s="375" t="s">
        <v>12702</v>
      </c>
      <c r="J3" s="194" t="s">
        <v>2554</v>
      </c>
      <c r="K3" s="2146"/>
      <c r="L3" s="2146"/>
      <c r="M3" s="2146"/>
      <c r="N3" s="2146"/>
      <c r="O3" s="2146"/>
      <c r="P3" s="1487" t="s">
        <v>4047</v>
      </c>
      <c r="Q3" s="71"/>
      <c r="R3" s="2430" t="s">
        <v>1361</v>
      </c>
      <c r="S3" s="1382"/>
      <c r="U3" s="77" t="s">
        <v>2404</v>
      </c>
      <c r="V3" s="714"/>
      <c r="W3" s="714"/>
      <c r="X3" s="714"/>
      <c r="Y3" s="714"/>
      <c r="Z3" s="714"/>
      <c r="AA3" s="714"/>
      <c r="AB3" s="714"/>
      <c r="AD3" s="1655" t="s">
        <v>2390</v>
      </c>
      <c r="AE3" s="72"/>
      <c r="AF3" s="77" t="s">
        <v>2578</v>
      </c>
      <c r="AG3" s="1655"/>
      <c r="AH3" s="1655"/>
      <c r="AI3" s="72"/>
      <c r="AK3" s="1104" t="s">
        <v>2423</v>
      </c>
      <c r="AL3" s="1049" t="s">
        <v>4077</v>
      </c>
      <c r="AM3" s="1050" t="s">
        <v>6495</v>
      </c>
      <c r="AN3" s="1050" t="s">
        <v>3346</v>
      </c>
      <c r="AO3" s="1050" t="s">
        <v>2397</v>
      </c>
      <c r="AP3" s="193" t="s">
        <v>12700</v>
      </c>
      <c r="AQ3" s="375" t="s">
        <v>12701</v>
      </c>
      <c r="AR3" s="375" t="s">
        <v>12702</v>
      </c>
      <c r="AS3" s="194" t="s">
        <v>2554</v>
      </c>
      <c r="AT3" s="2146"/>
      <c r="AU3" s="2146"/>
      <c r="AV3" s="2146"/>
      <c r="AW3" s="2146"/>
      <c r="AX3" s="2146"/>
    </row>
    <row r="4" spans="2:50" ht="15" thickBot="1">
      <c r="B4" s="585"/>
      <c r="K4" s="2146"/>
      <c r="L4" s="2146"/>
      <c r="M4" s="2146"/>
      <c r="N4" s="2146"/>
      <c r="O4" s="2146"/>
      <c r="P4" s="1384"/>
      <c r="Q4" s="625"/>
      <c r="S4" s="1382"/>
      <c r="T4" s="1765"/>
      <c r="U4" s="171" t="s">
        <v>2405</v>
      </c>
      <c r="V4" s="1382"/>
      <c r="W4" s="1382"/>
      <c r="X4" s="1382"/>
      <c r="Y4" s="1382"/>
      <c r="AK4" s="585"/>
      <c r="AP4" s="2681" t="s">
        <v>13127</v>
      </c>
      <c r="AQ4" s="2681" t="s">
        <v>13126</v>
      </c>
      <c r="AR4" s="2681" t="s">
        <v>13128</v>
      </c>
      <c r="AS4" s="2681" t="s">
        <v>13129</v>
      </c>
      <c r="AU4" s="674"/>
      <c r="AV4" s="674"/>
    </row>
    <row r="5" spans="2:50" s="2146" customFormat="1" ht="15" thickBot="1">
      <c r="B5" s="2201" t="s">
        <v>2449</v>
      </c>
      <c r="C5" s="2202" t="s">
        <v>12699</v>
      </c>
      <c r="Q5" s="625"/>
      <c r="S5" s="1382"/>
      <c r="T5" s="1765"/>
      <c r="U5" s="171"/>
      <c r="V5" s="1382"/>
      <c r="W5" s="1382"/>
      <c r="X5" s="1382"/>
      <c r="Y5" s="1382"/>
      <c r="AC5" s="1764"/>
      <c r="AE5" s="1764"/>
      <c r="AI5" s="1764"/>
      <c r="AK5" s="2201" t="s">
        <v>2449</v>
      </c>
      <c r="AL5" s="2202" t="s">
        <v>12699</v>
      </c>
      <c r="AU5" s="674"/>
      <c r="AV5" s="674"/>
    </row>
    <row r="6" spans="2:50" s="2146" customFormat="1">
      <c r="B6" s="2649" t="s">
        <v>6216</v>
      </c>
      <c r="C6" s="2643" t="s">
        <v>2588</v>
      </c>
      <c r="D6" s="2319" t="s">
        <v>9438</v>
      </c>
      <c r="E6" s="2650" t="s">
        <v>750</v>
      </c>
      <c r="F6" s="2651">
        <v>3</v>
      </c>
      <c r="G6" s="1390"/>
      <c r="H6" s="1391"/>
      <c r="I6" s="1391"/>
      <c r="J6" s="2058">
        <f>SUM(G6:I6)</f>
        <v>0</v>
      </c>
      <c r="P6" s="1896"/>
      <c r="Q6" s="625"/>
      <c r="R6" s="24" t="str">
        <f xml:space="preserve"> IF( SUM( T6:AB6 ) = 0, 0, $U$4 )</f>
        <v>Please complete all cells in row</v>
      </c>
      <c r="S6" s="1250"/>
      <c r="T6" s="72"/>
      <c r="U6" s="98">
        <f>IF(Validation!$H$3=1,0,IF(ISNUMBER(G6),0,1))</f>
        <v>1</v>
      </c>
      <c r="V6" s="98">
        <f>IF(Validation!$H$3=1,0,IF(ISNUMBER(H6),0,1))</f>
        <v>1</v>
      </c>
      <c r="W6" s="98">
        <f>IF(Validation!$H$3=1,0,IF(ISNUMBER(I6),0,1))</f>
        <v>1</v>
      </c>
      <c r="X6" s="1382"/>
      <c r="Y6" s="1382"/>
      <c r="AC6" s="1764"/>
      <c r="AE6" s="1764"/>
      <c r="AI6" s="1764"/>
      <c r="AK6" s="1818" t="s">
        <v>6216</v>
      </c>
      <c r="AL6" s="2643" t="s">
        <v>2588</v>
      </c>
      <c r="AM6" s="2682" t="s">
        <v>13136</v>
      </c>
      <c r="AN6" s="2650" t="s">
        <v>750</v>
      </c>
      <c r="AO6" s="2651">
        <v>3</v>
      </c>
      <c r="AP6" s="1390" t="str">
        <f t="shared" ref="AP6:AS7" si="0">+$AM6&amp;AP$4</f>
        <v>WWS1001STPPP</v>
      </c>
      <c r="AQ6" s="1391" t="str">
        <f t="shared" si="0"/>
        <v>WWS1001STPTK</v>
      </c>
      <c r="AR6" s="1391" t="str">
        <f t="shared" si="0"/>
        <v>WWS1001STPTR</v>
      </c>
      <c r="AS6" s="2058" t="str">
        <f t="shared" si="0"/>
        <v>WWS1001STPTOT</v>
      </c>
      <c r="AT6" s="1754"/>
      <c r="AU6" s="2341"/>
      <c r="AV6" s="2341"/>
      <c r="AW6" s="1754"/>
      <c r="AX6" s="1754"/>
    </row>
    <row r="7" spans="2:50" s="2146" customFormat="1">
      <c r="B7" s="2652" t="s">
        <v>6217</v>
      </c>
      <c r="C7" s="1823" t="s">
        <v>4893</v>
      </c>
      <c r="D7" s="2320" t="s">
        <v>9439</v>
      </c>
      <c r="E7" s="2653" t="s">
        <v>750</v>
      </c>
      <c r="F7" s="2647">
        <v>3</v>
      </c>
      <c r="G7" s="1399"/>
      <c r="H7" s="1400"/>
      <c r="I7" s="1400"/>
      <c r="J7" s="2059">
        <f t="shared" ref="J7:J9" si="1">SUM(G7:I7)</f>
        <v>0</v>
      </c>
      <c r="P7" s="1897"/>
      <c r="Q7" s="625"/>
      <c r="R7" s="24" t="str">
        <f t="shared" ref="R7:R18" si="2" xml:space="preserve"> IF( SUM( T7:AB7 ) = 0, 0, $U$4 )</f>
        <v>Please complete all cells in row</v>
      </c>
      <c r="S7" s="1250"/>
      <c r="T7" s="72"/>
      <c r="U7" s="98">
        <f>IF(Validation!$H$3=1,0,IF(ISNUMBER(G7),0,1))</f>
        <v>1</v>
      </c>
      <c r="V7" s="98">
        <f>IF(Validation!$H$3=1,0,IF(ISNUMBER(H7),0,1))</f>
        <v>1</v>
      </c>
      <c r="W7" s="98">
        <f>IF(Validation!$H$3=1,0,IF(ISNUMBER(I7),0,1))</f>
        <v>1</v>
      </c>
      <c r="X7" s="1382"/>
      <c r="Y7" s="1382"/>
      <c r="AC7" s="1764"/>
      <c r="AE7" s="1764"/>
      <c r="AI7" s="1764"/>
      <c r="AK7" s="1819" t="s">
        <v>6217</v>
      </c>
      <c r="AL7" s="1823" t="s">
        <v>4893</v>
      </c>
      <c r="AM7" s="2683" t="s">
        <v>13137</v>
      </c>
      <c r="AN7" s="2653" t="s">
        <v>750</v>
      </c>
      <c r="AO7" s="2647">
        <v>3</v>
      </c>
      <c r="AP7" s="1399" t="str">
        <f t="shared" si="0"/>
        <v>WWS1002STPPP</v>
      </c>
      <c r="AQ7" s="1400" t="str">
        <f t="shared" si="0"/>
        <v>WWS1002STPTK</v>
      </c>
      <c r="AR7" s="1400" t="str">
        <f t="shared" si="0"/>
        <v>WWS1002STPTR</v>
      </c>
      <c r="AS7" s="2059" t="str">
        <f t="shared" si="0"/>
        <v>WWS1002STPTOT</v>
      </c>
      <c r="AT7" s="1754"/>
      <c r="AU7" s="2341"/>
      <c r="AV7" s="2341"/>
      <c r="AW7" s="1754"/>
      <c r="AX7" s="1754"/>
    </row>
    <row r="8" spans="2:50" s="2146" customFormat="1">
      <c r="B8" s="2652" t="s">
        <v>6218</v>
      </c>
      <c r="C8" s="1823" t="s">
        <v>3677</v>
      </c>
      <c r="D8" s="2320"/>
      <c r="E8" s="2654" t="s">
        <v>750</v>
      </c>
      <c r="F8" s="2647">
        <v>3</v>
      </c>
      <c r="G8" s="1399"/>
      <c r="H8" s="1400"/>
      <c r="I8" s="1400"/>
      <c r="J8" s="2059">
        <f t="shared" si="1"/>
        <v>0</v>
      </c>
      <c r="P8" s="1897"/>
      <c r="Q8" s="625"/>
      <c r="R8" s="24" t="str">
        <f t="shared" si="2"/>
        <v>Please complete all cells in row</v>
      </c>
      <c r="S8" s="1250"/>
      <c r="T8" s="72"/>
      <c r="U8" s="98">
        <f>IF(Validation!$H$3=1,0,IF(ISNUMBER(G8),0,1))</f>
        <v>1</v>
      </c>
      <c r="V8" s="98">
        <f>IF(Validation!$H$3=1,0,IF(ISNUMBER(H8),0,1))</f>
        <v>1</v>
      </c>
      <c r="W8" s="98">
        <f>IF(Validation!$H$3=1,0,IF(ISNUMBER(I8),0,1))</f>
        <v>1</v>
      </c>
      <c r="X8" s="1382"/>
      <c r="Y8" s="1382"/>
      <c r="AC8" s="1764"/>
      <c r="AE8" s="1764"/>
      <c r="AI8" s="1764"/>
      <c r="AK8" s="1819" t="s">
        <v>6218</v>
      </c>
      <c r="AL8" s="1823" t="s">
        <v>3677</v>
      </c>
      <c r="AM8" s="2683" t="s">
        <v>13134</v>
      </c>
      <c r="AN8" s="2654" t="s">
        <v>750</v>
      </c>
      <c r="AO8" s="2647">
        <v>3</v>
      </c>
      <c r="AP8" s="1399" t="str">
        <f>+$AM8&amp;AP$4</f>
        <v>WWS1003STPPP</v>
      </c>
      <c r="AQ8" s="1400" t="str">
        <f t="shared" ref="AQ8:AR9" si="3">+$AM8&amp;AQ$4</f>
        <v>WWS1003STPTK</v>
      </c>
      <c r="AR8" s="1400" t="str">
        <f t="shared" si="3"/>
        <v>WWS1003STPTR</v>
      </c>
      <c r="AS8" s="2059" t="str">
        <f>+$AM8&amp;AS$4</f>
        <v>WWS1003STPTOT</v>
      </c>
      <c r="AT8" s="1754"/>
      <c r="AU8" s="2341"/>
      <c r="AV8" s="2341"/>
      <c r="AW8" s="1754"/>
      <c r="AX8" s="1754"/>
    </row>
    <row r="9" spans="2:50" s="2146" customFormat="1">
      <c r="B9" s="2652" t="s">
        <v>6219</v>
      </c>
      <c r="C9" s="1823" t="s">
        <v>3663</v>
      </c>
      <c r="D9" s="2320"/>
      <c r="E9" s="2654" t="s">
        <v>750</v>
      </c>
      <c r="F9" s="2647">
        <v>3</v>
      </c>
      <c r="G9" s="1399"/>
      <c r="H9" s="1400"/>
      <c r="I9" s="1400"/>
      <c r="J9" s="2059">
        <f t="shared" si="1"/>
        <v>0</v>
      </c>
      <c r="P9" s="1897"/>
      <c r="Q9" s="625"/>
      <c r="R9" s="24" t="str">
        <f t="shared" si="2"/>
        <v>Please complete all cells in row</v>
      </c>
      <c r="S9" s="1250"/>
      <c r="T9" s="72"/>
      <c r="U9" s="98">
        <f>IF(Validation!$H$3=1,0,IF(ISNUMBER(G9),0,1))</f>
        <v>1</v>
      </c>
      <c r="V9" s="98">
        <f>IF(Validation!$H$3=1,0,IF(ISNUMBER(H9),0,1))</f>
        <v>1</v>
      </c>
      <c r="W9" s="98">
        <f>IF(Validation!$H$3=1,0,IF(ISNUMBER(I9),0,1))</f>
        <v>1</v>
      </c>
      <c r="X9" s="1382"/>
      <c r="Y9" s="1382"/>
      <c r="AC9" s="1764"/>
      <c r="AE9" s="1764"/>
      <c r="AI9" s="1764"/>
      <c r="AK9" s="1819" t="s">
        <v>6219</v>
      </c>
      <c r="AL9" s="1823" t="s">
        <v>3663</v>
      </c>
      <c r="AM9" s="2683" t="s">
        <v>13135</v>
      </c>
      <c r="AN9" s="2654" t="s">
        <v>750</v>
      </c>
      <c r="AO9" s="2647">
        <v>3</v>
      </c>
      <c r="AP9" s="1399" t="str">
        <f t="shared" ref="AP9" si="4">+$AM9&amp;AP$4</f>
        <v>WWS1004STPPP</v>
      </c>
      <c r="AQ9" s="1400" t="str">
        <f t="shared" si="3"/>
        <v>WWS1004STPTK</v>
      </c>
      <c r="AR9" s="1400" t="str">
        <f t="shared" si="3"/>
        <v>WWS1004STPTR</v>
      </c>
      <c r="AS9" s="2059" t="str">
        <f>+$AM9&amp;AS$4</f>
        <v>WWS1004STPTOT</v>
      </c>
      <c r="AT9" s="1754"/>
      <c r="AU9" s="2341"/>
      <c r="AV9" s="2341"/>
      <c r="AW9" s="1754"/>
      <c r="AX9" s="1754"/>
    </row>
    <row r="10" spans="2:50" s="496" customFormat="1">
      <c r="B10" s="2708"/>
      <c r="C10" s="2635" t="s">
        <v>2591</v>
      </c>
      <c r="D10" s="2709"/>
      <c r="E10" s="2710"/>
      <c r="F10" s="2707"/>
      <c r="G10" s="2701"/>
      <c r="H10" s="2702"/>
      <c r="I10" s="2702"/>
      <c r="J10" s="2702"/>
      <c r="P10" s="2711"/>
      <c r="Q10" s="625"/>
      <c r="R10" s="751"/>
      <c r="S10" s="2705"/>
      <c r="T10" s="72"/>
      <c r="U10" s="751"/>
      <c r="V10" s="751"/>
      <c r="W10" s="751"/>
      <c r="X10" s="751"/>
      <c r="Y10" s="751"/>
      <c r="AC10" s="2706"/>
      <c r="AE10" s="2706"/>
      <c r="AI10" s="2706"/>
      <c r="AK10" s="2697"/>
      <c r="AL10" s="2635" t="s">
        <v>2591</v>
      </c>
      <c r="AM10" s="2712"/>
      <c r="AN10" s="2710"/>
      <c r="AO10" s="2707"/>
      <c r="AP10" s="2701"/>
      <c r="AQ10" s="2702"/>
      <c r="AR10" s="2702"/>
      <c r="AS10" s="2702"/>
      <c r="AT10" s="2274"/>
      <c r="AU10" s="2713"/>
      <c r="AV10" s="2713"/>
      <c r="AW10" s="2274"/>
      <c r="AX10" s="2274"/>
    </row>
    <row r="11" spans="2:50" s="2146" customFormat="1">
      <c r="B11" s="2652" t="s">
        <v>6220</v>
      </c>
      <c r="C11" s="961" t="s">
        <v>4049</v>
      </c>
      <c r="D11" s="2320"/>
      <c r="E11" s="2654" t="s">
        <v>750</v>
      </c>
      <c r="F11" s="2647">
        <v>3</v>
      </c>
      <c r="G11" s="1399"/>
      <c r="H11" s="1400"/>
      <c r="I11" s="1400"/>
      <c r="J11" s="2059">
        <f t="shared" ref="J11:J19" si="5">SUM(G11:I11)</f>
        <v>0</v>
      </c>
      <c r="P11" s="1897"/>
      <c r="Q11" s="625"/>
      <c r="R11" s="24" t="str">
        <f t="shared" si="2"/>
        <v>Please complete all cells in row</v>
      </c>
      <c r="S11" s="1250"/>
      <c r="T11" s="72"/>
      <c r="U11" s="98">
        <f>IF(Validation!$H$3=1,0,IF(ISNUMBER(G11),0,1))</f>
        <v>1</v>
      </c>
      <c r="V11" s="98">
        <f>IF(Validation!$H$3=1,0,IF(ISNUMBER(H11),0,1))</f>
        <v>1</v>
      </c>
      <c r="W11" s="98">
        <f>IF(Validation!$H$3=1,0,IF(ISNUMBER(I11),0,1))</f>
        <v>1</v>
      </c>
      <c r="X11" s="1382"/>
      <c r="Y11" s="1382"/>
      <c r="AC11" s="1764"/>
      <c r="AE11" s="1764"/>
      <c r="AI11" s="1764"/>
      <c r="AK11" s="1819" t="s">
        <v>6220</v>
      </c>
      <c r="AL11" s="961" t="s">
        <v>4049</v>
      </c>
      <c r="AM11" s="2683" t="s">
        <v>13130</v>
      </c>
      <c r="AN11" s="2654" t="s">
        <v>750</v>
      </c>
      <c r="AO11" s="2647">
        <v>3</v>
      </c>
      <c r="AP11" s="1399" t="str">
        <f t="shared" ref="AP11:AS19" si="6">+$AM11&amp;AP$4</f>
        <v>WWS1005STPPP</v>
      </c>
      <c r="AQ11" s="1400" t="str">
        <f t="shared" si="6"/>
        <v>WWS1005STPTK</v>
      </c>
      <c r="AR11" s="1400" t="str">
        <f t="shared" si="6"/>
        <v>WWS1005STPTR</v>
      </c>
      <c r="AS11" s="2059" t="str">
        <f t="shared" si="6"/>
        <v>WWS1005STPTOT</v>
      </c>
      <c r="AT11" s="1754"/>
      <c r="AU11" s="2341"/>
      <c r="AV11" s="2341"/>
      <c r="AW11" s="1754"/>
      <c r="AX11" s="1754"/>
    </row>
    <row r="12" spans="2:50" s="2146" customFormat="1">
      <c r="B12" s="2652" t="s">
        <v>6221</v>
      </c>
      <c r="C12" s="961" t="s">
        <v>4050</v>
      </c>
      <c r="D12" s="2320"/>
      <c r="E12" s="2654" t="s">
        <v>750</v>
      </c>
      <c r="F12" s="2647">
        <v>3</v>
      </c>
      <c r="G12" s="1399"/>
      <c r="H12" s="1400"/>
      <c r="I12" s="1400"/>
      <c r="J12" s="2059">
        <f t="shared" si="5"/>
        <v>0</v>
      </c>
      <c r="P12" s="1898"/>
      <c r="Q12" s="625"/>
      <c r="R12" s="24" t="str">
        <f t="shared" si="2"/>
        <v>Please complete all cells in row</v>
      </c>
      <c r="S12" s="1250"/>
      <c r="T12" s="72"/>
      <c r="U12" s="98">
        <f>IF(Validation!$H$3=1,0,IF(ISNUMBER(G12),0,1))</f>
        <v>1</v>
      </c>
      <c r="V12" s="98">
        <f>IF(Validation!$H$3=1,0,IF(ISNUMBER(H12),0,1))</f>
        <v>1</v>
      </c>
      <c r="W12" s="98">
        <f>IF(Validation!$H$3=1,0,IF(ISNUMBER(I12),0,1))</f>
        <v>1</v>
      </c>
      <c r="X12" s="1382"/>
      <c r="Y12" s="1382"/>
      <c r="AC12" s="1764"/>
      <c r="AE12" s="1764"/>
      <c r="AI12" s="1764"/>
      <c r="AK12" s="1819" t="s">
        <v>6221</v>
      </c>
      <c r="AL12" s="961" t="s">
        <v>4050</v>
      </c>
      <c r="AM12" s="2683" t="s">
        <v>13131</v>
      </c>
      <c r="AN12" s="2654" t="s">
        <v>750</v>
      </c>
      <c r="AO12" s="2647">
        <v>3</v>
      </c>
      <c r="AP12" s="1399" t="str">
        <f t="shared" si="6"/>
        <v>WWS1006STPPP</v>
      </c>
      <c r="AQ12" s="1400" t="str">
        <f t="shared" si="6"/>
        <v>WWS1006STPTK</v>
      </c>
      <c r="AR12" s="1400" t="str">
        <f t="shared" si="6"/>
        <v>WWS1006STPTR</v>
      </c>
      <c r="AS12" s="2059" t="str">
        <f t="shared" si="6"/>
        <v>WWS1006STPTOT</v>
      </c>
      <c r="AT12" s="1754"/>
      <c r="AU12" s="2341"/>
      <c r="AV12" s="2341"/>
      <c r="AW12" s="1754"/>
      <c r="AX12" s="1754"/>
    </row>
    <row r="13" spans="2:50" s="2146" customFormat="1">
      <c r="B13" s="2652" t="s">
        <v>6222</v>
      </c>
      <c r="C13" s="961" t="s">
        <v>12687</v>
      </c>
      <c r="D13" s="2320"/>
      <c r="E13" s="2654" t="s">
        <v>750</v>
      </c>
      <c r="F13" s="2647">
        <v>3</v>
      </c>
      <c r="G13" s="1399"/>
      <c r="H13" s="1400"/>
      <c r="I13" s="1400"/>
      <c r="J13" s="2059">
        <f t="shared" si="5"/>
        <v>0</v>
      </c>
      <c r="P13" s="1897"/>
      <c r="Q13" s="625"/>
      <c r="R13" s="24" t="str">
        <f t="shared" si="2"/>
        <v>Please complete all cells in row</v>
      </c>
      <c r="S13" s="1250"/>
      <c r="T13" s="72"/>
      <c r="U13" s="98">
        <f>IF(Validation!$H$3=1,0,IF(ISNUMBER(G13),0,1))</f>
        <v>1</v>
      </c>
      <c r="V13" s="98">
        <f>IF(Validation!$H$3=1,0,IF(ISNUMBER(H13),0,1))</f>
        <v>1</v>
      </c>
      <c r="W13" s="98">
        <f>IF(Validation!$H$3=1,0,IF(ISNUMBER(I13),0,1))</f>
        <v>1</v>
      </c>
      <c r="X13" s="1382"/>
      <c r="Y13" s="1382"/>
      <c r="AC13" s="1764"/>
      <c r="AE13" s="1764"/>
      <c r="AI13" s="1764"/>
      <c r="AK13" s="1819" t="s">
        <v>6222</v>
      </c>
      <c r="AL13" s="961" t="s">
        <v>12687</v>
      </c>
      <c r="AM13" s="2683" t="s">
        <v>13132</v>
      </c>
      <c r="AN13" s="2654" t="s">
        <v>750</v>
      </c>
      <c r="AO13" s="2647">
        <v>3</v>
      </c>
      <c r="AP13" s="1399" t="str">
        <f t="shared" si="6"/>
        <v>WWS1007DISTPPP</v>
      </c>
      <c r="AQ13" s="1400" t="str">
        <f t="shared" si="6"/>
        <v>WWS1007DISTPTK</v>
      </c>
      <c r="AR13" s="1400" t="str">
        <f t="shared" si="6"/>
        <v>WWS1007DISTPTR</v>
      </c>
      <c r="AS13" s="2059" t="str">
        <f t="shared" si="6"/>
        <v>WWS1007DISTPTOT</v>
      </c>
      <c r="AT13" s="1754"/>
      <c r="AU13" s="2341"/>
      <c r="AV13" s="2341"/>
      <c r="AW13" s="1754"/>
      <c r="AX13" s="1754"/>
    </row>
    <row r="14" spans="2:50" s="2146" customFormat="1">
      <c r="B14" s="2652" t="s">
        <v>6223</v>
      </c>
      <c r="C14" s="961" t="s">
        <v>12688</v>
      </c>
      <c r="D14" s="2320"/>
      <c r="E14" s="2654" t="s">
        <v>750</v>
      </c>
      <c r="F14" s="2647">
        <v>3</v>
      </c>
      <c r="G14" s="1399"/>
      <c r="H14" s="1400"/>
      <c r="I14" s="1400"/>
      <c r="J14" s="2059">
        <f t="shared" si="5"/>
        <v>0</v>
      </c>
      <c r="P14" s="1897"/>
      <c r="Q14" s="625"/>
      <c r="R14" s="24" t="str">
        <f t="shared" si="2"/>
        <v>Please complete all cells in row</v>
      </c>
      <c r="S14" s="1250"/>
      <c r="T14" s="72"/>
      <c r="U14" s="98">
        <f>IF(Validation!$H$3=1,0,IF(ISNUMBER(G14),0,1))</f>
        <v>1</v>
      </c>
      <c r="V14" s="98">
        <f>IF(Validation!$H$3=1,0,IF(ISNUMBER(H14),0,1))</f>
        <v>1</v>
      </c>
      <c r="W14" s="98">
        <f>IF(Validation!$H$3=1,0,IF(ISNUMBER(I14),0,1))</f>
        <v>1</v>
      </c>
      <c r="X14" s="1382"/>
      <c r="Y14" s="1382"/>
      <c r="AC14" s="1764"/>
      <c r="AE14" s="1764"/>
      <c r="AI14" s="1764"/>
      <c r="AK14" s="1819" t="s">
        <v>6223</v>
      </c>
      <c r="AL14" s="961" t="s">
        <v>12688</v>
      </c>
      <c r="AM14" s="2683" t="s">
        <v>13133</v>
      </c>
      <c r="AN14" s="2654" t="s">
        <v>750</v>
      </c>
      <c r="AO14" s="2647">
        <v>3</v>
      </c>
      <c r="AP14" s="1399" t="str">
        <f t="shared" si="6"/>
        <v>WWS1007INSTPPP</v>
      </c>
      <c r="AQ14" s="1400" t="str">
        <f t="shared" si="6"/>
        <v>WWS1007INSTPTK</v>
      </c>
      <c r="AR14" s="1400" t="str">
        <f t="shared" si="6"/>
        <v>WWS1007INSTPTR</v>
      </c>
      <c r="AS14" s="2059" t="str">
        <f t="shared" si="6"/>
        <v>WWS1007INSTPTOT</v>
      </c>
      <c r="AT14" s="1754"/>
      <c r="AU14" s="2341"/>
      <c r="AV14" s="2341"/>
      <c r="AW14" s="1754"/>
      <c r="AX14" s="1754"/>
    </row>
    <row r="15" spans="2:50" s="2146" customFormat="1">
      <c r="B15" s="2652" t="s">
        <v>6224</v>
      </c>
      <c r="C15" s="2637" t="s">
        <v>12689</v>
      </c>
      <c r="D15" s="2320"/>
      <c r="E15" s="2654" t="s">
        <v>750</v>
      </c>
      <c r="F15" s="2647">
        <v>3</v>
      </c>
      <c r="G15" s="1814">
        <f>SUM(G6:G14)</f>
        <v>0</v>
      </c>
      <c r="H15" s="1814">
        <f t="shared" ref="H15:I15" si="7">SUM(H6:H14)</f>
        <v>0</v>
      </c>
      <c r="I15" s="1814">
        <f t="shared" si="7"/>
        <v>0</v>
      </c>
      <c r="J15" s="2059">
        <f t="shared" si="5"/>
        <v>0</v>
      </c>
      <c r="L15" s="674"/>
      <c r="M15" s="674"/>
      <c r="P15" s="1897"/>
      <c r="Q15" s="625"/>
      <c r="R15" s="1382"/>
      <c r="S15" s="1250"/>
      <c r="T15" s="72"/>
      <c r="U15" s="1382"/>
      <c r="V15" s="1382"/>
      <c r="W15" s="1382"/>
      <c r="X15" s="1382"/>
      <c r="Y15" s="1382"/>
      <c r="AC15" s="1764"/>
      <c r="AE15" s="1764"/>
      <c r="AI15" s="1764"/>
      <c r="AK15" s="1819" t="s">
        <v>6224</v>
      </c>
      <c r="AL15" s="2637" t="s">
        <v>12689</v>
      </c>
      <c r="AM15" s="2683" t="s">
        <v>13123</v>
      </c>
      <c r="AN15" s="2654" t="s">
        <v>750</v>
      </c>
      <c r="AO15" s="2647">
        <v>3</v>
      </c>
      <c r="AP15" s="1814" t="str">
        <f t="shared" si="6"/>
        <v>BM816STPPP</v>
      </c>
      <c r="AQ15" s="1814" t="str">
        <f t="shared" si="6"/>
        <v>BM816STPTK</v>
      </c>
      <c r="AR15" s="1814" t="str">
        <f t="shared" si="6"/>
        <v>BM816STPTR</v>
      </c>
      <c r="AS15" s="2059" t="str">
        <f t="shared" si="6"/>
        <v>BM816STPTOT</v>
      </c>
      <c r="AT15" s="1754"/>
      <c r="AU15" s="2341"/>
      <c r="AV15" s="2341"/>
      <c r="AW15" s="1754"/>
      <c r="AX15" s="1754"/>
    </row>
    <row r="16" spans="2:50" s="2146" customFormat="1">
      <c r="B16" s="2652" t="s">
        <v>6225</v>
      </c>
      <c r="C16" s="1823" t="s">
        <v>3611</v>
      </c>
      <c r="D16" s="2320" t="s">
        <v>9440</v>
      </c>
      <c r="E16" s="2653" t="s">
        <v>750</v>
      </c>
      <c r="F16" s="2647">
        <v>3</v>
      </c>
      <c r="G16" s="1399"/>
      <c r="H16" s="1400"/>
      <c r="I16" s="1400"/>
      <c r="J16" s="2059">
        <f t="shared" si="5"/>
        <v>0</v>
      </c>
      <c r="L16" s="674"/>
      <c r="M16" s="674"/>
      <c r="P16" s="1897"/>
      <c r="Q16" s="625"/>
      <c r="R16" s="24" t="str">
        <f t="shared" si="2"/>
        <v>Please complete all cells in row</v>
      </c>
      <c r="S16" s="1250"/>
      <c r="T16" s="72"/>
      <c r="U16" s="98">
        <f>IF(Validation!$H$3=1,0,IF(ISNUMBER(G16),0,1))</f>
        <v>1</v>
      </c>
      <c r="V16" s="98">
        <f>IF(Validation!$H$3=1,0,IF(ISNUMBER(H16),0,1))</f>
        <v>1</v>
      </c>
      <c r="W16" s="98">
        <f>IF(Validation!$H$3=1,0,IF(ISNUMBER(I16),0,1))</f>
        <v>1</v>
      </c>
      <c r="X16" s="1382"/>
      <c r="Y16" s="1382"/>
      <c r="AC16" s="1764"/>
      <c r="AE16" s="1764"/>
      <c r="AI16" s="1764"/>
      <c r="AK16" s="1819" t="s">
        <v>6225</v>
      </c>
      <c r="AL16" s="1823" t="s">
        <v>3611</v>
      </c>
      <c r="AM16" s="2683" t="s">
        <v>13138</v>
      </c>
      <c r="AN16" s="2653" t="s">
        <v>750</v>
      </c>
      <c r="AO16" s="2647">
        <v>3</v>
      </c>
      <c r="AP16" s="1399" t="str">
        <f t="shared" si="6"/>
        <v>WWS1008STPPP</v>
      </c>
      <c r="AQ16" s="1400" t="str">
        <f t="shared" si="6"/>
        <v>WWS1008STPTK</v>
      </c>
      <c r="AR16" s="1400" t="str">
        <f t="shared" si="6"/>
        <v>WWS1008STPTR</v>
      </c>
      <c r="AS16" s="2059" t="str">
        <f t="shared" si="6"/>
        <v>WWS1008STPTOT</v>
      </c>
      <c r="AT16" s="1754"/>
      <c r="AU16" s="2341"/>
      <c r="AV16" s="2341"/>
      <c r="AW16" s="1754"/>
      <c r="AX16" s="1754"/>
    </row>
    <row r="17" spans="2:50" s="2146" customFormat="1" ht="24">
      <c r="B17" s="2652" t="s">
        <v>6226</v>
      </c>
      <c r="C17" s="2638" t="s">
        <v>4933</v>
      </c>
      <c r="D17" s="2321" t="s">
        <v>9441</v>
      </c>
      <c r="E17" s="2655" t="s">
        <v>750</v>
      </c>
      <c r="F17" s="2656">
        <v>3</v>
      </c>
      <c r="G17" s="1814">
        <f>+G15+G16</f>
        <v>0</v>
      </c>
      <c r="H17" s="1814">
        <f t="shared" ref="H17:I17" si="8">+H15+H16</f>
        <v>0</v>
      </c>
      <c r="I17" s="1814">
        <f t="shared" si="8"/>
        <v>0</v>
      </c>
      <c r="J17" s="2059">
        <f t="shared" si="5"/>
        <v>0</v>
      </c>
      <c r="L17" s="674"/>
      <c r="M17" s="674"/>
      <c r="P17" s="1897"/>
      <c r="Q17" s="625"/>
      <c r="R17" s="1431">
        <f xml:space="preserve"> IF( SUM( AC17:AE17 ) = 0, 0, AH17 )</f>
        <v>0</v>
      </c>
      <c r="S17" s="1250"/>
      <c r="T17" s="72"/>
      <c r="U17" s="1382"/>
      <c r="V17" s="1382"/>
      <c r="W17" s="1382"/>
      <c r="X17" s="1382"/>
      <c r="Y17" s="1382"/>
      <c r="AC17" s="1764"/>
      <c r="AD17" s="2232">
        <f xml:space="preserve"> IF( (AF17 - AG17) = 0, 0, 1 )</f>
        <v>0</v>
      </c>
      <c r="AE17" s="2233"/>
      <c r="AF17" s="2234">
        <f>ROUND(J17,3)</f>
        <v>0</v>
      </c>
      <c r="AG17" s="2433">
        <f>ROUND('4E'!L15,3)</f>
        <v>0</v>
      </c>
      <c r="AH17" s="2432" t="s">
        <v>13491</v>
      </c>
      <c r="AI17" s="1764"/>
      <c r="AK17" s="1819" t="s">
        <v>6226</v>
      </c>
      <c r="AL17" s="2638" t="s">
        <v>4933</v>
      </c>
      <c r="AM17" s="2684" t="s">
        <v>13139</v>
      </c>
      <c r="AN17" s="2655" t="s">
        <v>750</v>
      </c>
      <c r="AO17" s="2656">
        <v>3</v>
      </c>
      <c r="AP17" s="1814" t="str">
        <f t="shared" si="6"/>
        <v>WWS1009STPPP</v>
      </c>
      <c r="AQ17" s="1814" t="str">
        <f t="shared" si="6"/>
        <v>WWS1009STPTK</v>
      </c>
      <c r="AR17" s="1814" t="str">
        <f t="shared" si="6"/>
        <v>WWS1009STPTR</v>
      </c>
      <c r="AS17" s="2059" t="str">
        <f t="shared" si="6"/>
        <v>WWS1009STPTOT</v>
      </c>
      <c r="AT17" s="1754"/>
      <c r="AU17" s="2341"/>
      <c r="AV17" s="2341"/>
      <c r="AW17" s="1754"/>
      <c r="AX17" s="1754"/>
    </row>
    <row r="18" spans="2:50" s="2146" customFormat="1">
      <c r="B18" s="2652" t="s">
        <v>6227</v>
      </c>
      <c r="C18" s="1823" t="s">
        <v>2511</v>
      </c>
      <c r="D18" s="2320" t="s">
        <v>9442</v>
      </c>
      <c r="E18" s="2655" t="s">
        <v>750</v>
      </c>
      <c r="F18" s="2656">
        <v>3</v>
      </c>
      <c r="G18" s="1405"/>
      <c r="H18" s="1400"/>
      <c r="I18" s="1406"/>
      <c r="J18" s="2059">
        <f t="shared" si="5"/>
        <v>0</v>
      </c>
      <c r="L18" s="674"/>
      <c r="M18" s="674"/>
      <c r="P18" s="1898"/>
      <c r="Q18" s="625"/>
      <c r="R18" s="24" t="str">
        <f t="shared" si="2"/>
        <v>Please complete all cells in row</v>
      </c>
      <c r="S18" s="1250"/>
      <c r="T18" s="72"/>
      <c r="U18" s="98">
        <f>IF(Validation!$H$3=1,0,IF(ISNUMBER(G18),0,1))</f>
        <v>1</v>
      </c>
      <c r="V18" s="98">
        <f>IF(Validation!$H$3=1,0,IF(ISNUMBER(H18),0,1))</f>
        <v>1</v>
      </c>
      <c r="W18" s="98">
        <f>IF(Validation!$H$3=1,0,IF(ISNUMBER(I18),0,1))</f>
        <v>1</v>
      </c>
      <c r="X18" s="1382"/>
      <c r="Y18" s="1382"/>
      <c r="AC18" s="1764"/>
      <c r="AE18" s="1764"/>
      <c r="AI18" s="1764"/>
      <c r="AK18" s="1819" t="s">
        <v>6227</v>
      </c>
      <c r="AL18" s="1823" t="s">
        <v>2511</v>
      </c>
      <c r="AM18" s="2683" t="s">
        <v>9442</v>
      </c>
      <c r="AN18" s="2655" t="s">
        <v>750</v>
      </c>
      <c r="AO18" s="2656">
        <v>3</v>
      </c>
      <c r="AP18" s="1405" t="str">
        <f t="shared" si="6"/>
        <v>FT00865STPPP</v>
      </c>
      <c r="AQ18" s="1400" t="str">
        <f t="shared" si="6"/>
        <v>FT00865STPTK</v>
      </c>
      <c r="AR18" s="1406" t="str">
        <f t="shared" si="6"/>
        <v>FT00865STPTR</v>
      </c>
      <c r="AS18" s="2059" t="str">
        <f t="shared" si="6"/>
        <v>FT00865STPTOT</v>
      </c>
      <c r="AT18" s="1754"/>
      <c r="AU18" s="2341"/>
      <c r="AV18" s="2341"/>
      <c r="AW18" s="1754"/>
      <c r="AX18" s="1754"/>
    </row>
    <row r="19" spans="2:50" s="2146" customFormat="1" ht="15" thickBot="1">
      <c r="B19" s="2657" t="s">
        <v>6228</v>
      </c>
      <c r="C19" s="1835" t="s">
        <v>4894</v>
      </c>
      <c r="D19" s="2322" t="s">
        <v>9443</v>
      </c>
      <c r="E19" s="2658" t="s">
        <v>750</v>
      </c>
      <c r="F19" s="2659">
        <v>3</v>
      </c>
      <c r="G19" s="1816">
        <f>+G17+G18</f>
        <v>0</v>
      </c>
      <c r="H19" s="1816">
        <f t="shared" ref="H19:I19" si="9">+H17+H18</f>
        <v>0</v>
      </c>
      <c r="I19" s="1816">
        <f t="shared" si="9"/>
        <v>0</v>
      </c>
      <c r="J19" s="2060">
        <f t="shared" si="5"/>
        <v>0</v>
      </c>
      <c r="L19" s="674"/>
      <c r="M19" s="674"/>
      <c r="P19" s="1899"/>
      <c r="Q19" s="625"/>
      <c r="R19" s="1382"/>
      <c r="S19" s="1250"/>
      <c r="T19" s="72"/>
      <c r="U19" s="1382"/>
      <c r="V19" s="1382"/>
      <c r="W19" s="1382"/>
      <c r="X19" s="1382"/>
      <c r="Y19" s="1382"/>
      <c r="AC19" s="1764"/>
      <c r="AE19" s="1764"/>
      <c r="AI19" s="1764"/>
      <c r="AK19" s="1820" t="s">
        <v>6228</v>
      </c>
      <c r="AL19" s="1835" t="s">
        <v>4894</v>
      </c>
      <c r="AM19" s="2685" t="s">
        <v>9443</v>
      </c>
      <c r="AN19" s="2658" t="s">
        <v>750</v>
      </c>
      <c r="AO19" s="2659">
        <v>3</v>
      </c>
      <c r="AP19" s="1816" t="str">
        <f t="shared" si="6"/>
        <v>BM319STPPP</v>
      </c>
      <c r="AQ19" s="1816" t="str">
        <f t="shared" si="6"/>
        <v>BM319STPTK</v>
      </c>
      <c r="AR19" s="1816" t="str">
        <f t="shared" si="6"/>
        <v>BM319STPTR</v>
      </c>
      <c r="AS19" s="2060" t="str">
        <f t="shared" si="6"/>
        <v>BM319STPTOT</v>
      </c>
      <c r="AT19" s="1754"/>
      <c r="AU19" s="2341"/>
      <c r="AV19" s="2341"/>
      <c r="AW19" s="1754"/>
      <c r="AX19" s="1754"/>
    </row>
    <row r="20" spans="2:50" s="2146" customFormat="1" ht="15" thickBot="1">
      <c r="B20" s="2660"/>
      <c r="C20" s="1754"/>
      <c r="D20" s="1754"/>
      <c r="E20" s="1754"/>
      <c r="F20" s="1754"/>
      <c r="L20" s="674"/>
      <c r="M20" s="674"/>
      <c r="P20" s="1384"/>
      <c r="Q20" s="625"/>
      <c r="S20" s="1382"/>
      <c r="T20" s="1765"/>
      <c r="U20" s="171"/>
      <c r="V20" s="1382"/>
      <c r="W20" s="1382"/>
      <c r="X20" s="1382"/>
      <c r="Y20" s="1382"/>
      <c r="AC20" s="1764"/>
      <c r="AE20" s="1764"/>
      <c r="AI20" s="1764"/>
      <c r="AK20" s="585"/>
      <c r="AL20" s="1754"/>
      <c r="AM20" s="2681"/>
      <c r="AN20" s="1754"/>
      <c r="AO20" s="1754"/>
      <c r="AP20" s="2681" t="s">
        <v>13112</v>
      </c>
      <c r="AQ20" s="2681" t="s">
        <v>13113</v>
      </c>
      <c r="AR20" s="2681" t="s">
        <v>13114</v>
      </c>
      <c r="AS20" s="2681" t="s">
        <v>13115</v>
      </c>
      <c r="AT20" s="2681" t="s">
        <v>13116</v>
      </c>
      <c r="AU20" s="2646" t="s">
        <v>13117</v>
      </c>
      <c r="AV20" s="2646" t="s">
        <v>13118</v>
      </c>
      <c r="AW20" s="2681" t="s">
        <v>13119</v>
      </c>
      <c r="AX20" s="2681" t="s">
        <v>13120</v>
      </c>
    </row>
    <row r="21" spans="2:50" ht="39" thickBot="1">
      <c r="B21" s="2201" t="s">
        <v>2458</v>
      </c>
      <c r="C21" s="2689" t="s">
        <v>4917</v>
      </c>
      <c r="D21" s="1754"/>
      <c r="E21" s="1754"/>
      <c r="F21" s="1754"/>
      <c r="G21" s="193" t="s">
        <v>4911</v>
      </c>
      <c r="H21" s="375" t="s">
        <v>4912</v>
      </c>
      <c r="I21" s="375" t="s">
        <v>4913</v>
      </c>
      <c r="J21" s="375" t="s">
        <v>6499</v>
      </c>
      <c r="K21" s="375" t="s">
        <v>4914</v>
      </c>
      <c r="L21" s="1566" t="s">
        <v>4915</v>
      </c>
      <c r="M21" s="1566" t="s">
        <v>4916</v>
      </c>
      <c r="N21" s="375" t="s">
        <v>2525</v>
      </c>
      <c r="O21" s="194" t="s">
        <v>2554</v>
      </c>
      <c r="P21" s="1487" t="s">
        <v>4047</v>
      </c>
      <c r="AK21" s="1464" t="s">
        <v>2449</v>
      </c>
      <c r="AL21" s="2690" t="s">
        <v>4917</v>
      </c>
      <c r="AM21" s="2692"/>
      <c r="AN21" s="2692"/>
      <c r="AO21" s="2692"/>
      <c r="AP21" s="193" t="s">
        <v>4911</v>
      </c>
      <c r="AQ21" s="375" t="s">
        <v>4912</v>
      </c>
      <c r="AR21" s="375" t="s">
        <v>4913</v>
      </c>
      <c r="AS21" s="375" t="s">
        <v>6499</v>
      </c>
      <c r="AT21" s="375" t="s">
        <v>4914</v>
      </c>
      <c r="AU21" s="1566" t="s">
        <v>4915</v>
      </c>
      <c r="AV21" s="1566" t="s">
        <v>4916</v>
      </c>
      <c r="AW21" s="375" t="s">
        <v>2525</v>
      </c>
      <c r="AX21" s="194" t="s">
        <v>2554</v>
      </c>
    </row>
    <row r="22" spans="2:50">
      <c r="B22" s="2649" t="s">
        <v>6229</v>
      </c>
      <c r="C22" s="2643" t="s">
        <v>2588</v>
      </c>
      <c r="D22" s="2661"/>
      <c r="E22" s="2650" t="s">
        <v>750</v>
      </c>
      <c r="F22" s="2651">
        <v>3</v>
      </c>
      <c r="G22" s="1390"/>
      <c r="H22" s="1391"/>
      <c r="I22" s="1391"/>
      <c r="J22" s="1391"/>
      <c r="K22" s="1391"/>
      <c r="L22" s="1391"/>
      <c r="M22" s="1391"/>
      <c r="N22" s="1391"/>
      <c r="O22" s="2058">
        <f t="shared" ref="O22:O35" si="10">SUM(G22:N22)</f>
        <v>0</v>
      </c>
      <c r="P22" s="1896"/>
      <c r="R22" s="24" t="str">
        <f xml:space="preserve"> IF( SUM( T22:AB22 ) = 0, 0, $U$4 )</f>
        <v>Please complete all cells in row</v>
      </c>
      <c r="S22" s="1250"/>
      <c r="T22" s="72"/>
      <c r="U22" s="98">
        <f>IF(Validation!$H$3=1,0,IF(ISNUMBER(G22),0,1))</f>
        <v>1</v>
      </c>
      <c r="V22" s="98">
        <f>IF(Validation!$H$3=1,0,IF(ISNUMBER(H22),0,1))</f>
        <v>1</v>
      </c>
      <c r="W22" s="98">
        <f>IF(Validation!$H$3=1,0,IF(ISNUMBER(I22),0,1))</f>
        <v>1</v>
      </c>
      <c r="X22" s="98">
        <f>IF(Validation!$H$3=1,0,IF(ISNUMBER(J22),0,1))</f>
        <v>1</v>
      </c>
      <c r="Y22" s="98">
        <f>IF(Validation!$H$3=1,0,IF(ISNUMBER(K22),0,1))</f>
        <v>1</v>
      </c>
      <c r="Z22" s="98">
        <f>IF(Validation!$H$3=1,0,IF(ISNUMBER(L22),0,1))</f>
        <v>1</v>
      </c>
      <c r="AA22" s="98">
        <f>IF(Validation!$H$3=1,0,IF(ISNUMBER(M22),0,1))</f>
        <v>1</v>
      </c>
      <c r="AB22" s="98">
        <f>IF(Validation!$H$3=1,0,IF(ISNUMBER(N22),0,1))</f>
        <v>1</v>
      </c>
      <c r="AC22" s="72"/>
      <c r="AK22" s="1818" t="s">
        <v>6229</v>
      </c>
      <c r="AL22" s="2643" t="s">
        <v>2588</v>
      </c>
      <c r="AM22" s="2682" t="s">
        <v>13124</v>
      </c>
      <c r="AN22" s="2650" t="s">
        <v>750</v>
      </c>
      <c r="AO22" s="2651">
        <v>3</v>
      </c>
      <c r="AP22" s="1390" t="s">
        <v>9453</v>
      </c>
      <c r="AQ22" s="1391" t="s">
        <v>9454</v>
      </c>
      <c r="AR22" s="1391" t="s">
        <v>9455</v>
      </c>
      <c r="AS22" s="1422" t="s">
        <v>9456</v>
      </c>
      <c r="AT22" s="1422" t="s">
        <v>9457</v>
      </c>
      <c r="AU22" s="1391" t="s">
        <v>9458</v>
      </c>
      <c r="AV22" s="1391" t="s">
        <v>9459</v>
      </c>
      <c r="AW22" s="1391" t="s">
        <v>9460</v>
      </c>
      <c r="AX22" s="1734" t="s">
        <v>9461</v>
      </c>
    </row>
    <row r="23" spans="2:50">
      <c r="B23" s="2652" t="s">
        <v>6230</v>
      </c>
      <c r="C23" s="1823" t="s">
        <v>2589</v>
      </c>
      <c r="D23" s="2662"/>
      <c r="E23" s="2653" t="s">
        <v>750</v>
      </c>
      <c r="F23" s="2647">
        <v>3</v>
      </c>
      <c r="G23" s="1399"/>
      <c r="H23" s="1400"/>
      <c r="I23" s="1400"/>
      <c r="J23" s="1400"/>
      <c r="K23" s="1400"/>
      <c r="L23" s="1400"/>
      <c r="M23" s="1400"/>
      <c r="N23" s="1400"/>
      <c r="O23" s="2059">
        <f t="shared" si="10"/>
        <v>0</v>
      </c>
      <c r="P23" s="1897"/>
      <c r="R23" s="24" t="str">
        <f xml:space="preserve"> IF( SUM( T23:AB23 ) = 0, 0, $U$4 )</f>
        <v>Please complete all cells in row</v>
      </c>
      <c r="S23" s="1250"/>
      <c r="T23" s="72"/>
      <c r="U23" s="98">
        <f>IF(Validation!$H$3=1,0,IF(ISNUMBER(G23),0,1))</f>
        <v>1</v>
      </c>
      <c r="V23" s="98">
        <f>IF(Validation!$H$3=1,0,IF(ISNUMBER(H23),0,1))</f>
        <v>1</v>
      </c>
      <c r="W23" s="98">
        <f>IF(Validation!$H$3=1,0,IF(ISNUMBER(I23),0,1))</f>
        <v>1</v>
      </c>
      <c r="X23" s="98">
        <f>IF(Validation!$H$3=1,0,IF(ISNUMBER(J23),0,1))</f>
        <v>1</v>
      </c>
      <c r="Y23" s="98">
        <f>IF(Validation!$H$3=1,0,IF(ISNUMBER(K23),0,1))</f>
        <v>1</v>
      </c>
      <c r="Z23" s="98">
        <f>IF(Validation!$H$3=1,0,IF(ISNUMBER(L23),0,1))</f>
        <v>1</v>
      </c>
      <c r="AA23" s="98">
        <f>IF(Validation!$H$3=1,0,IF(ISNUMBER(M23),0,1))</f>
        <v>1</v>
      </c>
      <c r="AB23" s="98">
        <f>IF(Validation!$H$3=1,0,IF(ISNUMBER(N23),0,1))</f>
        <v>1</v>
      </c>
      <c r="AC23" s="72"/>
      <c r="AK23" s="1819" t="s">
        <v>6230</v>
      </c>
      <c r="AL23" s="1823" t="s">
        <v>2589</v>
      </c>
      <c r="AM23" s="2683" t="s">
        <v>9439</v>
      </c>
      <c r="AN23" s="2653" t="s">
        <v>750</v>
      </c>
      <c r="AO23" s="2647">
        <v>3</v>
      </c>
      <c r="AP23" s="1399" t="s">
        <v>9462</v>
      </c>
      <c r="AQ23" s="1400" t="s">
        <v>9463</v>
      </c>
      <c r="AR23" s="1400" t="s">
        <v>9464</v>
      </c>
      <c r="AS23" s="1423" t="s">
        <v>9465</v>
      </c>
      <c r="AT23" s="1423" t="s">
        <v>9466</v>
      </c>
      <c r="AU23" s="1400" t="s">
        <v>9467</v>
      </c>
      <c r="AV23" s="1400" t="s">
        <v>9468</v>
      </c>
      <c r="AW23" s="1400" t="s">
        <v>9469</v>
      </c>
      <c r="AX23" s="1735" t="s">
        <v>9470</v>
      </c>
    </row>
    <row r="24" spans="2:50" s="2146" customFormat="1">
      <c r="B24" s="2652" t="s">
        <v>6231</v>
      </c>
      <c r="C24" s="1823" t="s">
        <v>3677</v>
      </c>
      <c r="D24" s="2320"/>
      <c r="E24" s="2654" t="s">
        <v>750</v>
      </c>
      <c r="F24" s="2647">
        <v>3</v>
      </c>
      <c r="G24" s="1399"/>
      <c r="H24" s="1400"/>
      <c r="I24" s="1400"/>
      <c r="J24" s="1400"/>
      <c r="K24" s="1400"/>
      <c r="L24" s="1400"/>
      <c r="M24" s="1400"/>
      <c r="N24" s="1400"/>
      <c r="O24" s="2059">
        <f t="shared" si="10"/>
        <v>0</v>
      </c>
      <c r="P24" s="1897"/>
      <c r="R24" s="24" t="str">
        <f t="shared" ref="R24:R25" si="11" xml:space="preserve"> IF( SUM( T24:AB24 ) = 0, 0, $U$4 )</f>
        <v>Please complete all cells in row</v>
      </c>
      <c r="S24" s="1250"/>
      <c r="T24" s="72"/>
      <c r="U24" s="98">
        <f>IF(Validation!$H$3=1,0,IF(ISNUMBER(G24),0,1))</f>
        <v>1</v>
      </c>
      <c r="V24" s="98">
        <f>IF(Validation!$H$3=1,0,IF(ISNUMBER(H24),0,1))</f>
        <v>1</v>
      </c>
      <c r="W24" s="98">
        <f>IF(Validation!$H$3=1,0,IF(ISNUMBER(I24),0,1))</f>
        <v>1</v>
      </c>
      <c r="X24" s="98">
        <f>IF(Validation!$H$3=1,0,IF(ISNUMBER(J24),0,1))</f>
        <v>1</v>
      </c>
      <c r="Y24" s="98">
        <f>IF(Validation!$H$3=1,0,IF(ISNUMBER(K24),0,1))</f>
        <v>1</v>
      </c>
      <c r="Z24" s="98">
        <f>IF(Validation!$H$3=1,0,IF(ISNUMBER(L24),0,1))</f>
        <v>1</v>
      </c>
      <c r="AA24" s="98">
        <f>IF(Validation!$H$3=1,0,IF(ISNUMBER(M24),0,1))</f>
        <v>1</v>
      </c>
      <c r="AB24" s="98">
        <f>IF(Validation!$H$3=1,0,IF(ISNUMBER(N24),0,1))</f>
        <v>1</v>
      </c>
      <c r="AC24" s="72"/>
      <c r="AE24" s="1764"/>
      <c r="AI24" s="1764"/>
      <c r="AK24" s="1819" t="s">
        <v>6231</v>
      </c>
      <c r="AL24" s="1823" t="s">
        <v>3677</v>
      </c>
      <c r="AM24" s="2683" t="s">
        <v>13134</v>
      </c>
      <c r="AN24" s="2654" t="s">
        <v>750</v>
      </c>
      <c r="AO24" s="2647">
        <v>3</v>
      </c>
      <c r="AP24" s="1399" t="str">
        <f>+$AM24&amp;AP$20</f>
        <v>WWS1003STUTS</v>
      </c>
      <c r="AQ24" s="1400" t="str">
        <f t="shared" ref="AQ24:AX25" si="12">+$AM24&amp;AQ$20</f>
        <v>WWS1003STRSL</v>
      </c>
      <c r="AR24" s="1400" t="str">
        <f t="shared" si="12"/>
        <v>WWS1003STCAD</v>
      </c>
      <c r="AS24" s="1423" t="str">
        <f t="shared" si="12"/>
        <v>WWS1003STAD</v>
      </c>
      <c r="AT24" s="1423" t="str">
        <f t="shared" si="12"/>
        <v>WWS1003STIRS</v>
      </c>
      <c r="AU24" s="1400" t="str">
        <f t="shared" si="12"/>
        <v>WWS1003STIDS</v>
      </c>
      <c r="AV24" s="1400" t="str">
        <f t="shared" si="12"/>
        <v>WWS1003STPCC</v>
      </c>
      <c r="AW24" s="1400" t="str">
        <f t="shared" si="12"/>
        <v>WWS1003STSLOT</v>
      </c>
      <c r="AX24" s="1735" t="str">
        <f t="shared" si="12"/>
        <v>WWS1003STTOT</v>
      </c>
    </row>
    <row r="25" spans="2:50" s="2146" customFormat="1">
      <c r="B25" s="2652" t="s">
        <v>6232</v>
      </c>
      <c r="C25" s="1823" t="s">
        <v>3663</v>
      </c>
      <c r="D25" s="2320"/>
      <c r="E25" s="2654" t="s">
        <v>750</v>
      </c>
      <c r="F25" s="2647">
        <v>3</v>
      </c>
      <c r="G25" s="1399"/>
      <c r="H25" s="1400"/>
      <c r="I25" s="1400"/>
      <c r="J25" s="1400"/>
      <c r="K25" s="1400"/>
      <c r="L25" s="1400"/>
      <c r="M25" s="1400"/>
      <c r="N25" s="1400"/>
      <c r="O25" s="2059">
        <f t="shared" si="10"/>
        <v>0</v>
      </c>
      <c r="P25" s="1897"/>
      <c r="R25" s="24" t="str">
        <f t="shared" si="11"/>
        <v>Please complete all cells in row</v>
      </c>
      <c r="S25" s="1250"/>
      <c r="T25" s="72"/>
      <c r="U25" s="98">
        <f>IF(Validation!$H$3=1,0,IF(ISNUMBER(G25),0,1))</f>
        <v>1</v>
      </c>
      <c r="V25" s="98">
        <f>IF(Validation!$H$3=1,0,IF(ISNUMBER(H25),0,1))</f>
        <v>1</v>
      </c>
      <c r="W25" s="98">
        <f>IF(Validation!$H$3=1,0,IF(ISNUMBER(I25),0,1))</f>
        <v>1</v>
      </c>
      <c r="X25" s="98">
        <f>IF(Validation!$H$3=1,0,IF(ISNUMBER(J25),0,1))</f>
        <v>1</v>
      </c>
      <c r="Y25" s="98">
        <f>IF(Validation!$H$3=1,0,IF(ISNUMBER(K25),0,1))</f>
        <v>1</v>
      </c>
      <c r="Z25" s="98">
        <f>IF(Validation!$H$3=1,0,IF(ISNUMBER(L25),0,1))</f>
        <v>1</v>
      </c>
      <c r="AA25" s="98">
        <f>IF(Validation!$H$3=1,0,IF(ISNUMBER(M25),0,1))</f>
        <v>1</v>
      </c>
      <c r="AB25" s="98">
        <f>IF(Validation!$H$3=1,0,IF(ISNUMBER(N25),0,1))</f>
        <v>1</v>
      </c>
      <c r="AC25" s="72"/>
      <c r="AE25" s="1764"/>
      <c r="AI25" s="1764"/>
      <c r="AK25" s="1819" t="s">
        <v>6232</v>
      </c>
      <c r="AL25" s="1823" t="s">
        <v>3663</v>
      </c>
      <c r="AM25" s="2683" t="s">
        <v>13111</v>
      </c>
      <c r="AN25" s="2654" t="s">
        <v>750</v>
      </c>
      <c r="AO25" s="2647">
        <v>3</v>
      </c>
      <c r="AP25" s="1399" t="str">
        <f t="shared" ref="AP25" si="13">+$AM25&amp;AP$20</f>
        <v>BM240STUTS</v>
      </c>
      <c r="AQ25" s="1400" t="str">
        <f t="shared" si="12"/>
        <v>BM240STRSL</v>
      </c>
      <c r="AR25" s="1400" t="str">
        <f t="shared" si="12"/>
        <v>BM240STCAD</v>
      </c>
      <c r="AS25" s="1423" t="str">
        <f t="shared" si="12"/>
        <v>BM240STAD</v>
      </c>
      <c r="AT25" s="1423" t="str">
        <f t="shared" si="12"/>
        <v>BM240STIRS</v>
      </c>
      <c r="AU25" s="1400" t="str">
        <f t="shared" si="12"/>
        <v>BM240STIDS</v>
      </c>
      <c r="AV25" s="1400" t="str">
        <f t="shared" si="12"/>
        <v>BM240STPCC</v>
      </c>
      <c r="AW25" s="1400" t="str">
        <f t="shared" si="12"/>
        <v>BM240STSLOT</v>
      </c>
      <c r="AX25" s="1735" t="str">
        <f t="shared" si="12"/>
        <v>BM240STTOT</v>
      </c>
    </row>
    <row r="26" spans="2:50" s="496" customFormat="1">
      <c r="B26" s="2708"/>
      <c r="C26" s="2635" t="s">
        <v>2591</v>
      </c>
      <c r="D26" s="2709"/>
      <c r="E26" s="2710"/>
      <c r="F26" s="2707"/>
      <c r="G26" s="2701"/>
      <c r="H26" s="2702"/>
      <c r="I26" s="2702"/>
      <c r="J26" s="2702"/>
      <c r="K26" s="2702"/>
      <c r="L26" s="2702"/>
      <c r="M26" s="2702"/>
      <c r="N26" s="2702"/>
      <c r="O26" s="2471"/>
      <c r="P26" s="2711"/>
      <c r="R26" s="24"/>
      <c r="S26" s="2705"/>
      <c r="T26" s="72"/>
      <c r="U26" s="98"/>
      <c r="V26" s="98"/>
      <c r="W26" s="98"/>
      <c r="X26" s="98"/>
      <c r="Y26" s="98"/>
      <c r="Z26" s="98"/>
      <c r="AA26" s="98"/>
      <c r="AB26" s="98"/>
      <c r="AC26" s="72"/>
      <c r="AE26" s="2706"/>
      <c r="AI26" s="2706"/>
      <c r="AK26" s="2697"/>
      <c r="AL26" s="2635" t="s">
        <v>2591</v>
      </c>
      <c r="AM26" s="2712"/>
      <c r="AN26" s="2710"/>
      <c r="AO26" s="2707"/>
      <c r="AP26" s="2701"/>
      <c r="AQ26" s="2701"/>
      <c r="AR26" s="2701"/>
      <c r="AS26" s="2701"/>
      <c r="AT26" s="2701"/>
      <c r="AU26" s="2701"/>
      <c r="AV26" s="2701"/>
      <c r="AW26" s="2701"/>
      <c r="AX26" s="2701"/>
    </row>
    <row r="27" spans="2:50" s="2146" customFormat="1">
      <c r="B27" s="2652" t="s">
        <v>6233</v>
      </c>
      <c r="C27" s="961" t="s">
        <v>4049</v>
      </c>
      <c r="D27" s="2320"/>
      <c r="E27" s="2654" t="s">
        <v>750</v>
      </c>
      <c r="F27" s="2647">
        <v>3</v>
      </c>
      <c r="G27" s="1399"/>
      <c r="H27" s="1400"/>
      <c r="I27" s="1400"/>
      <c r="J27" s="1400"/>
      <c r="K27" s="1400"/>
      <c r="L27" s="1400"/>
      <c r="M27" s="1400"/>
      <c r="N27" s="1400"/>
      <c r="O27" s="2059">
        <f t="shared" si="10"/>
        <v>0</v>
      </c>
      <c r="P27" s="1897"/>
      <c r="R27" s="24" t="str">
        <f t="shared" ref="R27:R28" si="14" xml:space="preserve"> IF( SUM( T27:AB27 ) = 0, 0, $U$4 )</f>
        <v>Please complete all cells in row</v>
      </c>
      <c r="S27" s="1250"/>
      <c r="T27" s="72"/>
      <c r="U27" s="98">
        <f>IF(Validation!$H$3=1,0,IF(ISNUMBER(G27),0,1))</f>
        <v>1</v>
      </c>
      <c r="V27" s="98">
        <f>IF(Validation!$H$3=1,0,IF(ISNUMBER(H27),0,1))</f>
        <v>1</v>
      </c>
      <c r="W27" s="98">
        <f>IF(Validation!$H$3=1,0,IF(ISNUMBER(I27),0,1))</f>
        <v>1</v>
      </c>
      <c r="X27" s="98">
        <f>IF(Validation!$H$3=1,0,IF(ISNUMBER(J27),0,1))</f>
        <v>1</v>
      </c>
      <c r="Y27" s="98">
        <f>IF(Validation!$H$3=1,0,IF(ISNUMBER(K27),0,1))</f>
        <v>1</v>
      </c>
      <c r="Z27" s="98">
        <f>IF(Validation!$H$3=1,0,IF(ISNUMBER(L27),0,1))</f>
        <v>1</v>
      </c>
      <c r="AA27" s="98">
        <f>IF(Validation!$H$3=1,0,IF(ISNUMBER(M27),0,1))</f>
        <v>1</v>
      </c>
      <c r="AB27" s="98">
        <f>IF(Validation!$H$3=1,0,IF(ISNUMBER(N27),0,1))</f>
        <v>1</v>
      </c>
      <c r="AC27" s="72"/>
      <c r="AE27" s="1764"/>
      <c r="AI27" s="1764"/>
      <c r="AK27" s="1819" t="s">
        <v>6233</v>
      </c>
      <c r="AL27" s="961" t="s">
        <v>4049</v>
      </c>
      <c r="AM27" s="2683" t="s">
        <v>13130</v>
      </c>
      <c r="AN27" s="2654" t="s">
        <v>750</v>
      </c>
      <c r="AO27" s="2647">
        <v>3</v>
      </c>
      <c r="AP27" s="1399" t="str">
        <f t="shared" ref="AP27:AX28" si="15">+$AM27&amp;AP$20</f>
        <v>WWS1005STUTS</v>
      </c>
      <c r="AQ27" s="1400" t="str">
        <f t="shared" si="15"/>
        <v>WWS1005STRSL</v>
      </c>
      <c r="AR27" s="1400" t="str">
        <f t="shared" si="15"/>
        <v>WWS1005STCAD</v>
      </c>
      <c r="AS27" s="1423" t="str">
        <f t="shared" si="15"/>
        <v>WWS1005STAD</v>
      </c>
      <c r="AT27" s="1423" t="str">
        <f t="shared" si="15"/>
        <v>WWS1005STIRS</v>
      </c>
      <c r="AU27" s="1400" t="str">
        <f t="shared" si="15"/>
        <v>WWS1005STIDS</v>
      </c>
      <c r="AV27" s="1400" t="str">
        <f t="shared" si="15"/>
        <v>WWS1005STPCC</v>
      </c>
      <c r="AW27" s="1400" t="str">
        <f t="shared" si="15"/>
        <v>WWS1005STSLOT</v>
      </c>
      <c r="AX27" s="1735" t="str">
        <f t="shared" si="15"/>
        <v>WWS1005STTOT</v>
      </c>
    </row>
    <row r="28" spans="2:50" s="2146" customFormat="1">
      <c r="B28" s="2652" t="s">
        <v>6234</v>
      </c>
      <c r="C28" s="961" t="s">
        <v>4050</v>
      </c>
      <c r="D28" s="2320"/>
      <c r="E28" s="2654" t="s">
        <v>750</v>
      </c>
      <c r="F28" s="2647">
        <v>3</v>
      </c>
      <c r="G28" s="1399"/>
      <c r="H28" s="1400"/>
      <c r="I28" s="1400"/>
      <c r="J28" s="1400"/>
      <c r="K28" s="1400"/>
      <c r="L28" s="1400"/>
      <c r="M28" s="1400"/>
      <c r="N28" s="1400"/>
      <c r="O28" s="2059">
        <f t="shared" si="10"/>
        <v>0</v>
      </c>
      <c r="P28" s="1897"/>
      <c r="R28" s="24" t="str">
        <f t="shared" si="14"/>
        <v>Please complete all cells in row</v>
      </c>
      <c r="S28" s="1250"/>
      <c r="T28" s="72"/>
      <c r="U28" s="98">
        <f>IF(Validation!$H$3=1,0,IF(ISNUMBER(G28),0,1))</f>
        <v>1</v>
      </c>
      <c r="V28" s="98">
        <f>IF(Validation!$H$3=1,0,IF(ISNUMBER(H28),0,1))</f>
        <v>1</v>
      </c>
      <c r="W28" s="98">
        <f>IF(Validation!$H$3=1,0,IF(ISNUMBER(I28),0,1))</f>
        <v>1</v>
      </c>
      <c r="X28" s="98">
        <f>IF(Validation!$H$3=1,0,IF(ISNUMBER(J28),0,1))</f>
        <v>1</v>
      </c>
      <c r="Y28" s="98">
        <f>IF(Validation!$H$3=1,0,IF(ISNUMBER(K28),0,1))</f>
        <v>1</v>
      </c>
      <c r="Z28" s="98">
        <f>IF(Validation!$H$3=1,0,IF(ISNUMBER(L28),0,1))</f>
        <v>1</v>
      </c>
      <c r="AA28" s="98">
        <f>IF(Validation!$H$3=1,0,IF(ISNUMBER(M28),0,1))</f>
        <v>1</v>
      </c>
      <c r="AB28" s="98">
        <f>IF(Validation!$H$3=1,0,IF(ISNUMBER(N28),0,1))</f>
        <v>1</v>
      </c>
      <c r="AC28" s="72"/>
      <c r="AE28" s="1764"/>
      <c r="AI28" s="1764"/>
      <c r="AK28" s="1819" t="s">
        <v>6234</v>
      </c>
      <c r="AL28" s="961" t="s">
        <v>4050</v>
      </c>
      <c r="AM28" s="2683" t="s">
        <v>13131</v>
      </c>
      <c r="AN28" s="2654" t="s">
        <v>750</v>
      </c>
      <c r="AO28" s="2647">
        <v>3</v>
      </c>
      <c r="AP28" s="1399" t="str">
        <f t="shared" si="15"/>
        <v>WWS1006STUTS</v>
      </c>
      <c r="AQ28" s="1400" t="str">
        <f t="shared" si="15"/>
        <v>WWS1006STRSL</v>
      </c>
      <c r="AR28" s="1400" t="str">
        <f t="shared" si="15"/>
        <v>WWS1006STCAD</v>
      </c>
      <c r="AS28" s="1423" t="str">
        <f t="shared" si="15"/>
        <v>WWS1006STAD</v>
      </c>
      <c r="AT28" s="1423" t="str">
        <f t="shared" si="15"/>
        <v>WWS1006STIRS</v>
      </c>
      <c r="AU28" s="1400" t="str">
        <f t="shared" si="15"/>
        <v>WWS1006STIDS</v>
      </c>
      <c r="AV28" s="1400" t="str">
        <f t="shared" si="15"/>
        <v>WWS1006STPCC</v>
      </c>
      <c r="AW28" s="1400" t="str">
        <f t="shared" si="15"/>
        <v>WWS1006STSLOT</v>
      </c>
      <c r="AX28" s="1735" t="str">
        <f t="shared" si="15"/>
        <v>WWS1006STTOT</v>
      </c>
    </row>
    <row r="29" spans="2:50">
      <c r="B29" s="2652" t="s">
        <v>6235</v>
      </c>
      <c r="C29" s="1823" t="s">
        <v>12703</v>
      </c>
      <c r="D29" s="2662"/>
      <c r="E29" s="2653" t="s">
        <v>750</v>
      </c>
      <c r="F29" s="2647">
        <v>3</v>
      </c>
      <c r="G29" s="1399"/>
      <c r="H29" s="1400"/>
      <c r="I29" s="1400"/>
      <c r="J29" s="1400"/>
      <c r="K29" s="1400"/>
      <c r="L29" s="1400"/>
      <c r="M29" s="1400"/>
      <c r="N29" s="1400"/>
      <c r="O29" s="2059">
        <f t="shared" si="10"/>
        <v>0</v>
      </c>
      <c r="P29" s="1897"/>
      <c r="R29" s="24" t="str">
        <f xml:space="preserve"> IF( SUM( T29:AB29 ) = 0, 0, $U$4 )</f>
        <v>Please complete all cells in row</v>
      </c>
      <c r="S29" s="1250"/>
      <c r="T29" s="72"/>
      <c r="U29" s="98">
        <f>IF(Validation!$H$3=1,0,IF(ISNUMBER(G29),0,1))</f>
        <v>1</v>
      </c>
      <c r="V29" s="98">
        <f>IF(Validation!$H$3=1,0,IF(ISNUMBER(H29),0,1))</f>
        <v>1</v>
      </c>
      <c r="W29" s="98">
        <f>IF(Validation!$H$3=1,0,IF(ISNUMBER(I29),0,1))</f>
        <v>1</v>
      </c>
      <c r="X29" s="98">
        <f>IF(Validation!$H$3=1,0,IF(ISNUMBER(J29),0,1))</f>
        <v>1</v>
      </c>
      <c r="Y29" s="98">
        <f>IF(Validation!$H$3=1,0,IF(ISNUMBER(K29),0,1))</f>
        <v>1</v>
      </c>
      <c r="Z29" s="98">
        <f>IF(Validation!$H$3=1,0,IF(ISNUMBER(L29),0,1))</f>
        <v>1</v>
      </c>
      <c r="AA29" s="98">
        <f>IF(Validation!$H$3=1,0,IF(ISNUMBER(M29),0,1))</f>
        <v>1</v>
      </c>
      <c r="AB29" s="98">
        <f>IF(Validation!$H$3=1,0,IF(ISNUMBER(N29),0,1))</f>
        <v>1</v>
      </c>
      <c r="AC29" s="72"/>
      <c r="AK29" s="1819" t="s">
        <v>6235</v>
      </c>
      <c r="AL29" s="1823" t="s">
        <v>4931</v>
      </c>
      <c r="AM29" s="2683" t="s">
        <v>13144</v>
      </c>
      <c r="AN29" s="2653" t="s">
        <v>750</v>
      </c>
      <c r="AO29" s="2647">
        <v>3</v>
      </c>
      <c r="AP29" s="1399" t="s">
        <v>9480</v>
      </c>
      <c r="AQ29" s="1400" t="s">
        <v>9481</v>
      </c>
      <c r="AR29" s="1400" t="s">
        <v>9482</v>
      </c>
      <c r="AS29" s="1423" t="s">
        <v>9483</v>
      </c>
      <c r="AT29" s="1423" t="s">
        <v>9484</v>
      </c>
      <c r="AU29" s="1400" t="s">
        <v>9485</v>
      </c>
      <c r="AV29" s="1400" t="s">
        <v>9486</v>
      </c>
      <c r="AW29" s="1400" t="s">
        <v>9487</v>
      </c>
      <c r="AX29" s="1735" t="s">
        <v>9488</v>
      </c>
    </row>
    <row r="30" spans="2:50">
      <c r="B30" s="2652" t="s">
        <v>6236</v>
      </c>
      <c r="C30" s="1823" t="s">
        <v>12704</v>
      </c>
      <c r="D30" s="2662"/>
      <c r="E30" s="2654" t="s">
        <v>750</v>
      </c>
      <c r="F30" s="2647">
        <v>3</v>
      </c>
      <c r="G30" s="1399"/>
      <c r="H30" s="1400"/>
      <c r="I30" s="1400"/>
      <c r="J30" s="1400"/>
      <c r="K30" s="1400"/>
      <c r="L30" s="1400"/>
      <c r="M30" s="1400"/>
      <c r="N30" s="1400"/>
      <c r="O30" s="2059">
        <f t="shared" si="10"/>
        <v>0</v>
      </c>
      <c r="P30" s="1897"/>
      <c r="R30" s="24" t="str">
        <f xml:space="preserve"> IF( SUM( T30:AB30 ) = 0, 0, $U$4 )</f>
        <v>Please complete all cells in row</v>
      </c>
      <c r="S30" s="1250"/>
      <c r="T30" s="72"/>
      <c r="U30" s="98">
        <f>IF(Validation!$H$3=1,0,IF(ISNUMBER(G30),0,1))</f>
        <v>1</v>
      </c>
      <c r="V30" s="98">
        <f>IF(Validation!$H$3=1,0,IF(ISNUMBER(H30),0,1))</f>
        <v>1</v>
      </c>
      <c r="W30" s="98">
        <f>IF(Validation!$H$3=1,0,IF(ISNUMBER(I30),0,1))</f>
        <v>1</v>
      </c>
      <c r="X30" s="98">
        <f>IF(Validation!$H$3=1,0,IF(ISNUMBER(J30),0,1))</f>
        <v>1</v>
      </c>
      <c r="Y30" s="98">
        <f>IF(Validation!$H$3=1,0,IF(ISNUMBER(K30),0,1))</f>
        <v>1</v>
      </c>
      <c r="Z30" s="98">
        <f>IF(Validation!$H$3=1,0,IF(ISNUMBER(L30),0,1))</f>
        <v>1</v>
      </c>
      <c r="AA30" s="98">
        <f>IF(Validation!$H$3=1,0,IF(ISNUMBER(M30),0,1))</f>
        <v>1</v>
      </c>
      <c r="AB30" s="98">
        <f>IF(Validation!$H$3=1,0,IF(ISNUMBER(N30),0,1))</f>
        <v>1</v>
      </c>
      <c r="AC30" s="72"/>
      <c r="AK30" s="1819" t="s">
        <v>6236</v>
      </c>
      <c r="AL30" s="1823" t="s">
        <v>4932</v>
      </c>
      <c r="AM30" s="2683" t="s">
        <v>13145</v>
      </c>
      <c r="AN30" s="2654" t="s">
        <v>750</v>
      </c>
      <c r="AO30" s="2647">
        <v>3</v>
      </c>
      <c r="AP30" s="1399" t="s">
        <v>9489</v>
      </c>
      <c r="AQ30" s="1400" t="s">
        <v>9490</v>
      </c>
      <c r="AR30" s="1400" t="s">
        <v>9491</v>
      </c>
      <c r="AS30" s="1423" t="s">
        <v>9492</v>
      </c>
      <c r="AT30" s="1423" t="s">
        <v>9493</v>
      </c>
      <c r="AU30" s="1400" t="s">
        <v>9494</v>
      </c>
      <c r="AV30" s="1400" t="s">
        <v>9495</v>
      </c>
      <c r="AW30" s="1400" t="s">
        <v>9496</v>
      </c>
      <c r="AX30" s="1735" t="s">
        <v>9497</v>
      </c>
    </row>
    <row r="31" spans="2:50" s="2146" customFormat="1">
      <c r="B31" s="2652" t="s">
        <v>6237</v>
      </c>
      <c r="C31" s="2637" t="s">
        <v>12689</v>
      </c>
      <c r="D31" s="2320"/>
      <c r="E31" s="2654" t="s">
        <v>750</v>
      </c>
      <c r="F31" s="2647">
        <v>3</v>
      </c>
      <c r="G31" s="1814">
        <f>SUM(G22:G30)</f>
        <v>0</v>
      </c>
      <c r="H31" s="1814">
        <f t="shared" ref="H31:N31" si="16">SUM(H22:H30)</f>
        <v>0</v>
      </c>
      <c r="I31" s="1814">
        <f t="shared" si="16"/>
        <v>0</v>
      </c>
      <c r="J31" s="1814">
        <f t="shared" si="16"/>
        <v>0</v>
      </c>
      <c r="K31" s="1814">
        <f t="shared" si="16"/>
        <v>0</v>
      </c>
      <c r="L31" s="1814">
        <f t="shared" si="16"/>
        <v>0</v>
      </c>
      <c r="M31" s="1814">
        <f t="shared" si="16"/>
        <v>0</v>
      </c>
      <c r="N31" s="1814">
        <f t="shared" si="16"/>
        <v>0</v>
      </c>
      <c r="O31" s="2059">
        <f t="shared" si="10"/>
        <v>0</v>
      </c>
      <c r="P31" s="1897"/>
      <c r="Q31" s="625"/>
      <c r="S31" s="1382"/>
      <c r="T31" s="1765"/>
      <c r="U31" s="171"/>
      <c r="V31" s="1382"/>
      <c r="W31" s="1382"/>
      <c r="X31" s="1382"/>
      <c r="Y31" s="1382"/>
      <c r="AC31" s="1764"/>
      <c r="AE31" s="1764"/>
      <c r="AI31" s="1764"/>
      <c r="AK31" s="1819" t="s">
        <v>6237</v>
      </c>
      <c r="AL31" s="2637" t="s">
        <v>12689</v>
      </c>
      <c r="AM31" s="2683" t="s">
        <v>13123</v>
      </c>
      <c r="AN31" s="2654" t="s">
        <v>750</v>
      </c>
      <c r="AO31" s="2647">
        <v>3</v>
      </c>
      <c r="AP31" s="1402" t="str">
        <f t="shared" ref="AP31:AX31" si="17">+$AM31&amp;AP$20</f>
        <v>BM816STUTS</v>
      </c>
      <c r="AQ31" s="1402" t="str">
        <f t="shared" si="17"/>
        <v>BM816STRSL</v>
      </c>
      <c r="AR31" s="1402" t="str">
        <f t="shared" si="17"/>
        <v>BM816STCAD</v>
      </c>
      <c r="AS31" s="1402" t="str">
        <f t="shared" si="17"/>
        <v>BM816STAD</v>
      </c>
      <c r="AT31" s="1402" t="str">
        <f t="shared" si="17"/>
        <v>BM816STIRS</v>
      </c>
      <c r="AU31" s="1402" t="str">
        <f t="shared" si="17"/>
        <v>BM816STIDS</v>
      </c>
      <c r="AV31" s="1402" t="str">
        <f t="shared" si="17"/>
        <v>BM816STPCC</v>
      </c>
      <c r="AW31" s="1402" t="str">
        <f t="shared" si="17"/>
        <v>BM816STSLOT</v>
      </c>
      <c r="AX31" s="1735" t="str">
        <f t="shared" si="17"/>
        <v>BM816STTOT</v>
      </c>
    </row>
    <row r="32" spans="2:50">
      <c r="B32" s="2652" t="s">
        <v>6238</v>
      </c>
      <c r="C32" s="1823" t="s">
        <v>3611</v>
      </c>
      <c r="D32" s="2662"/>
      <c r="E32" s="2653" t="s">
        <v>750</v>
      </c>
      <c r="F32" s="2647">
        <v>3</v>
      </c>
      <c r="G32" s="1399"/>
      <c r="H32" s="1400"/>
      <c r="I32" s="1400"/>
      <c r="J32" s="1400"/>
      <c r="K32" s="1400"/>
      <c r="L32" s="1400"/>
      <c r="M32" s="1400"/>
      <c r="N32" s="1400"/>
      <c r="O32" s="2059">
        <f t="shared" si="10"/>
        <v>0</v>
      </c>
      <c r="P32" s="1897"/>
      <c r="R32" s="24" t="str">
        <f xml:space="preserve"> IF( SUM( T32:AB32 ) = 0, 0, $U$4 )</f>
        <v>Please complete all cells in row</v>
      </c>
      <c r="S32" s="1250"/>
      <c r="T32" s="72"/>
      <c r="U32" s="98">
        <f>IF(Validation!$H$3=1,0,IF(ISNUMBER(G32),0,1))</f>
        <v>1</v>
      </c>
      <c r="V32" s="98">
        <f>IF(Validation!$H$3=1,0,IF(ISNUMBER(H32),0,1))</f>
        <v>1</v>
      </c>
      <c r="W32" s="98">
        <f>IF(Validation!$H$3=1,0,IF(ISNUMBER(I32),0,1))</f>
        <v>1</v>
      </c>
      <c r="X32" s="98">
        <f>IF(Validation!$H$3=1,0,IF(ISNUMBER(J32),0,1))</f>
        <v>1</v>
      </c>
      <c r="Y32" s="98">
        <f>IF(Validation!$H$3=1,0,IF(ISNUMBER(K32),0,1))</f>
        <v>1</v>
      </c>
      <c r="Z32" s="98">
        <f>IF(Validation!$H$3=1,0,IF(ISNUMBER(L32),0,1))</f>
        <v>1</v>
      </c>
      <c r="AA32" s="98">
        <f>IF(Validation!$H$3=1,0,IF(ISNUMBER(M32),0,1))</f>
        <v>1</v>
      </c>
      <c r="AB32" s="98">
        <f>IF(Validation!$H$3=1,0,IF(ISNUMBER(N32),0,1))</f>
        <v>1</v>
      </c>
      <c r="AC32" s="72"/>
      <c r="AK32" s="1819" t="s">
        <v>6238</v>
      </c>
      <c r="AL32" s="1823" t="s">
        <v>3611</v>
      </c>
      <c r="AM32" s="2683" t="s">
        <v>9440</v>
      </c>
      <c r="AN32" s="2653" t="s">
        <v>750</v>
      </c>
      <c r="AO32" s="2647">
        <v>3</v>
      </c>
      <c r="AP32" s="1399" t="s">
        <v>9471</v>
      </c>
      <c r="AQ32" s="1400" t="s">
        <v>9472</v>
      </c>
      <c r="AR32" s="1400" t="s">
        <v>9473</v>
      </c>
      <c r="AS32" s="1423" t="s">
        <v>9474</v>
      </c>
      <c r="AT32" s="1423" t="s">
        <v>9475</v>
      </c>
      <c r="AU32" s="1400" t="s">
        <v>9476</v>
      </c>
      <c r="AV32" s="1400" t="s">
        <v>9477</v>
      </c>
      <c r="AW32" s="1400" t="s">
        <v>9478</v>
      </c>
      <c r="AX32" s="1735" t="s">
        <v>9479</v>
      </c>
    </row>
    <row r="33" spans="2:50" ht="24">
      <c r="B33" s="2652" t="s">
        <v>6239</v>
      </c>
      <c r="C33" s="2638" t="s">
        <v>4933</v>
      </c>
      <c r="D33" s="2663"/>
      <c r="E33" s="2655" t="s">
        <v>750</v>
      </c>
      <c r="F33" s="2656">
        <v>3</v>
      </c>
      <c r="G33" s="1814">
        <f>SUM(G31:G32)</f>
        <v>0</v>
      </c>
      <c r="H33" s="1814">
        <f t="shared" ref="H33:N33" si="18">SUM(H31:H32)</f>
        <v>0</v>
      </c>
      <c r="I33" s="1814">
        <f t="shared" si="18"/>
        <v>0</v>
      </c>
      <c r="J33" s="1814">
        <f t="shared" si="18"/>
        <v>0</v>
      </c>
      <c r="K33" s="1814">
        <f t="shared" si="18"/>
        <v>0</v>
      </c>
      <c r="L33" s="1814">
        <f t="shared" si="18"/>
        <v>0</v>
      </c>
      <c r="M33" s="1814">
        <f t="shared" si="18"/>
        <v>0</v>
      </c>
      <c r="N33" s="1814">
        <f t="shared" si="18"/>
        <v>0</v>
      </c>
      <c r="O33" s="2059">
        <f t="shared" si="10"/>
        <v>0</v>
      </c>
      <c r="P33" s="1897"/>
      <c r="R33" s="1431">
        <f xml:space="preserve"> IF( SUM( AC33:AE33 ) = 0, 0, AH33 )</f>
        <v>0</v>
      </c>
      <c r="S33" s="1250"/>
      <c r="T33" s="72"/>
      <c r="U33" s="132"/>
      <c r="V33" s="132"/>
      <c r="W33" s="132"/>
      <c r="X33" s="132"/>
      <c r="Y33" s="132"/>
      <c r="Z33" s="132"/>
      <c r="AA33" s="132"/>
      <c r="AB33" s="132"/>
      <c r="AC33" s="72"/>
      <c r="AD33" s="2232">
        <f xml:space="preserve"> IF( (AF33 - AG33) = 0, 0, 1 )</f>
        <v>0</v>
      </c>
      <c r="AE33" s="2233"/>
      <c r="AF33" s="2234">
        <f>ROUND(O33,3)</f>
        <v>0</v>
      </c>
      <c r="AG33" s="2433">
        <f>ROUND('4E'!M15,3)</f>
        <v>0</v>
      </c>
      <c r="AH33" s="2432" t="s">
        <v>13492</v>
      </c>
      <c r="AK33" s="1819" t="s">
        <v>6239</v>
      </c>
      <c r="AL33" s="2638" t="s">
        <v>4933</v>
      </c>
      <c r="AM33" s="2684" t="s">
        <v>13125</v>
      </c>
      <c r="AN33" s="2655" t="s">
        <v>750</v>
      </c>
      <c r="AO33" s="2656">
        <v>3</v>
      </c>
      <c r="AP33" s="1402" t="s">
        <v>9498</v>
      </c>
      <c r="AQ33" s="1402" t="s">
        <v>9499</v>
      </c>
      <c r="AR33" s="1402" t="s">
        <v>9500</v>
      </c>
      <c r="AS33" s="1402" t="s">
        <v>9501</v>
      </c>
      <c r="AT33" s="1402" t="s">
        <v>9502</v>
      </c>
      <c r="AU33" s="1402" t="s">
        <v>9503</v>
      </c>
      <c r="AV33" s="1402" t="s">
        <v>9504</v>
      </c>
      <c r="AW33" s="1402" t="s">
        <v>9505</v>
      </c>
      <c r="AX33" s="1735" t="s">
        <v>9506</v>
      </c>
    </row>
    <row r="34" spans="2:50">
      <c r="B34" s="2652" t="s">
        <v>6240</v>
      </c>
      <c r="C34" s="1823" t="s">
        <v>2511</v>
      </c>
      <c r="D34" s="2662"/>
      <c r="E34" s="2655" t="s">
        <v>750</v>
      </c>
      <c r="F34" s="2656">
        <v>3</v>
      </c>
      <c r="G34" s="1399"/>
      <c r="H34" s="1400"/>
      <c r="I34" s="1400"/>
      <c r="J34" s="1400"/>
      <c r="K34" s="1400"/>
      <c r="L34" s="1400"/>
      <c r="M34" s="1400"/>
      <c r="N34" s="1400"/>
      <c r="O34" s="2059">
        <f t="shared" si="10"/>
        <v>0</v>
      </c>
      <c r="P34" s="1898"/>
      <c r="R34" s="24" t="str">
        <f xml:space="preserve"> IF( SUM( T34:AB34 ) = 0, 0, $U$4 )</f>
        <v>Please complete all cells in row</v>
      </c>
      <c r="S34" s="1250"/>
      <c r="T34" s="72"/>
      <c r="U34" s="98">
        <f>IF(Validation!$H$3=1,0,IF(ISNUMBER(G34),0,1))</f>
        <v>1</v>
      </c>
      <c r="V34" s="98">
        <f>IF(Validation!$H$3=1,0,IF(ISNUMBER(H34),0,1))</f>
        <v>1</v>
      </c>
      <c r="W34" s="98">
        <f>IF(Validation!$H$3=1,0,IF(ISNUMBER(I34),0,1))</f>
        <v>1</v>
      </c>
      <c r="X34" s="98">
        <f>IF(Validation!$H$3=1,0,IF(ISNUMBER(J34),0,1))</f>
        <v>1</v>
      </c>
      <c r="Y34" s="98">
        <f>IF(Validation!$H$3=1,0,IF(ISNUMBER(K34),0,1))</f>
        <v>1</v>
      </c>
      <c r="Z34" s="98">
        <f>IF(Validation!$H$3=1,0,IF(ISNUMBER(L34),0,1))</f>
        <v>1</v>
      </c>
      <c r="AA34" s="98">
        <f>IF(Validation!$H$3=1,0,IF(ISNUMBER(M34),0,1))</f>
        <v>1</v>
      </c>
      <c r="AB34" s="98">
        <f>IF(Validation!$H$3=1,0,IF(ISNUMBER(N34),0,1))</f>
        <v>1</v>
      </c>
      <c r="AC34" s="72"/>
      <c r="AK34" s="1819" t="s">
        <v>6240</v>
      </c>
      <c r="AL34" s="1823" t="s">
        <v>2511</v>
      </c>
      <c r="AM34" s="2683" t="s">
        <v>9442</v>
      </c>
      <c r="AN34" s="2655" t="s">
        <v>750</v>
      </c>
      <c r="AO34" s="2656">
        <v>3</v>
      </c>
      <c r="AP34" s="1399" t="s">
        <v>9507</v>
      </c>
      <c r="AQ34" s="1400" t="s">
        <v>9508</v>
      </c>
      <c r="AR34" s="1400" t="s">
        <v>9509</v>
      </c>
      <c r="AS34" s="1400" t="s">
        <v>9510</v>
      </c>
      <c r="AT34" s="1423" t="s">
        <v>9511</v>
      </c>
      <c r="AU34" s="1400" t="s">
        <v>9512</v>
      </c>
      <c r="AV34" s="1400" t="s">
        <v>9513</v>
      </c>
      <c r="AW34" s="1400" t="s">
        <v>9514</v>
      </c>
      <c r="AX34" s="1735" t="s">
        <v>9515</v>
      </c>
    </row>
    <row r="35" spans="2:50" ht="15" thickBot="1">
      <c r="B35" s="2657" t="s">
        <v>12705</v>
      </c>
      <c r="C35" s="1835" t="s">
        <v>4894</v>
      </c>
      <c r="D35" s="2664"/>
      <c r="E35" s="2658" t="s">
        <v>750</v>
      </c>
      <c r="F35" s="2659">
        <v>3</v>
      </c>
      <c r="G35" s="1816">
        <f>SUM(G33:G34)</f>
        <v>0</v>
      </c>
      <c r="H35" s="1816">
        <f t="shared" ref="H35:N35" si="19">SUM(H33:H34)</f>
        <v>0</v>
      </c>
      <c r="I35" s="1816">
        <f t="shared" si="19"/>
        <v>0</v>
      </c>
      <c r="J35" s="1816">
        <f t="shared" si="19"/>
        <v>0</v>
      </c>
      <c r="K35" s="1816">
        <f t="shared" si="19"/>
        <v>0</v>
      </c>
      <c r="L35" s="1816">
        <f t="shared" si="19"/>
        <v>0</v>
      </c>
      <c r="M35" s="1816">
        <f t="shared" si="19"/>
        <v>0</v>
      </c>
      <c r="N35" s="1816">
        <f t="shared" si="19"/>
        <v>0</v>
      </c>
      <c r="O35" s="2060">
        <f t="shared" si="10"/>
        <v>0</v>
      </c>
      <c r="P35" s="1899"/>
      <c r="R35" s="2146"/>
      <c r="S35" s="1250"/>
      <c r="T35" s="72"/>
      <c r="U35" s="132"/>
      <c r="V35" s="132"/>
      <c r="W35" s="132"/>
      <c r="X35" s="132"/>
      <c r="Y35" s="132"/>
      <c r="Z35" s="132"/>
      <c r="AA35" s="132"/>
      <c r="AB35" s="132"/>
      <c r="AC35" s="72"/>
      <c r="AD35" s="2146"/>
      <c r="AF35" s="2146"/>
      <c r="AG35" s="2234"/>
      <c r="AH35" s="2235"/>
      <c r="AI35" s="2233"/>
      <c r="AK35" s="1820" t="s">
        <v>12705</v>
      </c>
      <c r="AL35" s="1835" t="s">
        <v>4894</v>
      </c>
      <c r="AM35" s="2685" t="s">
        <v>9443</v>
      </c>
      <c r="AN35" s="2658" t="s">
        <v>750</v>
      </c>
      <c r="AO35" s="2659">
        <v>3</v>
      </c>
      <c r="AP35" s="1412" t="s">
        <v>9516</v>
      </c>
      <c r="AQ35" s="1412" t="s">
        <v>9517</v>
      </c>
      <c r="AR35" s="1412" t="s">
        <v>9518</v>
      </c>
      <c r="AS35" s="1412" t="s">
        <v>9519</v>
      </c>
      <c r="AT35" s="1412" t="s">
        <v>9520</v>
      </c>
      <c r="AU35" s="1412" t="s">
        <v>9521</v>
      </c>
      <c r="AV35" s="1412" t="s">
        <v>9522</v>
      </c>
      <c r="AW35" s="1412" t="s">
        <v>9523</v>
      </c>
      <c r="AX35" s="1736" t="s">
        <v>9524</v>
      </c>
    </row>
    <row r="36" spans="2:50" ht="22.5" customHeight="1" thickBot="1">
      <c r="B36" s="2660"/>
      <c r="C36" s="1754"/>
      <c r="D36" s="1754"/>
      <c r="E36" s="1754"/>
      <c r="F36" s="1754"/>
      <c r="O36" s="117"/>
      <c r="AD36" s="2146"/>
      <c r="AF36" s="2146"/>
      <c r="AK36" s="585"/>
      <c r="AL36" s="1754"/>
      <c r="AM36" s="2681"/>
      <c r="AN36" s="1754"/>
      <c r="AO36" s="1754"/>
      <c r="AP36" s="2681" t="s">
        <v>13146</v>
      </c>
      <c r="AQ36" s="2681" t="s">
        <v>13147</v>
      </c>
      <c r="AR36" s="2681" t="s">
        <v>13148</v>
      </c>
      <c r="AS36" s="2681" t="s">
        <v>13149</v>
      </c>
      <c r="AT36" s="2681" t="s">
        <v>13150</v>
      </c>
      <c r="AU36" s="2681" t="s">
        <v>13151</v>
      </c>
      <c r="AV36" s="1754"/>
      <c r="AW36" s="1754"/>
      <c r="AX36" s="2671"/>
    </row>
    <row r="37" spans="2:50" ht="39" thickBot="1">
      <c r="B37" s="2648" t="s">
        <v>2464</v>
      </c>
      <c r="C37" s="2690" t="s">
        <v>4918</v>
      </c>
      <c r="D37" s="1754"/>
      <c r="E37" s="1754"/>
      <c r="F37" s="1754"/>
      <c r="G37" s="193" t="s">
        <v>12706</v>
      </c>
      <c r="H37" s="375" t="s">
        <v>12707</v>
      </c>
      <c r="I37" s="375" t="s">
        <v>12708</v>
      </c>
      <c r="J37" s="375" t="s">
        <v>12709</v>
      </c>
      <c r="K37" s="375" t="s">
        <v>2525</v>
      </c>
      <c r="L37" s="2459" t="s">
        <v>2554</v>
      </c>
      <c r="O37" s="117"/>
      <c r="AK37" s="1464" t="s">
        <v>2458</v>
      </c>
      <c r="AL37" s="2690" t="s">
        <v>4918</v>
      </c>
      <c r="AM37" s="2681"/>
      <c r="AN37" s="1754"/>
      <c r="AO37" s="1754"/>
      <c r="AP37" s="193" t="s">
        <v>12706</v>
      </c>
      <c r="AQ37" s="375" t="s">
        <v>12707</v>
      </c>
      <c r="AR37" s="375" t="s">
        <v>12708</v>
      </c>
      <c r="AS37" s="375" t="s">
        <v>12709</v>
      </c>
      <c r="AT37" s="375" t="s">
        <v>2525</v>
      </c>
      <c r="AU37" s="2694" t="s">
        <v>2554</v>
      </c>
      <c r="AV37" s="1754"/>
      <c r="AW37" s="1754"/>
      <c r="AX37" s="2671"/>
    </row>
    <row r="38" spans="2:50">
      <c r="B38" s="2649" t="s">
        <v>12710</v>
      </c>
      <c r="C38" s="2643" t="s">
        <v>2588</v>
      </c>
      <c r="D38" s="2661"/>
      <c r="E38" s="2650" t="s">
        <v>750</v>
      </c>
      <c r="F38" s="2651">
        <v>3</v>
      </c>
      <c r="G38" s="1390"/>
      <c r="H38" s="1391"/>
      <c r="I38" s="1391"/>
      <c r="J38" s="1391"/>
      <c r="K38" s="1391"/>
      <c r="L38" s="2058">
        <f>SUM(G38:K38)</f>
        <v>0</v>
      </c>
      <c r="M38" s="2146"/>
      <c r="N38" s="2146"/>
      <c r="O38" s="117"/>
      <c r="P38" s="1896"/>
      <c r="R38" s="24" t="str">
        <f xml:space="preserve"> IF( SUM( T38:AB38 ) = 0, 0, $U$4 )</f>
        <v>Please complete all cells in row</v>
      </c>
      <c r="S38" s="1250"/>
      <c r="T38" s="72"/>
      <c r="U38" s="98">
        <f>IF(Validation!$H$3=1,0,IF(ISNUMBER(G38),0,1))</f>
        <v>1</v>
      </c>
      <c r="V38" s="98">
        <f>IF(Validation!$H$3=1,0,IF(ISNUMBER(H38),0,1))</f>
        <v>1</v>
      </c>
      <c r="W38" s="98">
        <f>IF(Validation!$H$3=1,0,IF(ISNUMBER(I38),0,1))</f>
        <v>1</v>
      </c>
      <c r="X38" s="98">
        <f>IF(Validation!$H$3=1,0,IF(ISNUMBER(J38),0,1))</f>
        <v>1</v>
      </c>
      <c r="Y38" s="98">
        <f>IF(Validation!$H$3=1,0,IF(ISNUMBER(K38),0,1))</f>
        <v>1</v>
      </c>
      <c r="Z38" s="98"/>
      <c r="AA38" s="98"/>
      <c r="AB38" s="98"/>
      <c r="AC38" s="72"/>
      <c r="AK38" s="1818" t="s">
        <v>12710</v>
      </c>
      <c r="AL38" s="2643" t="s">
        <v>2588</v>
      </c>
      <c r="AM38" s="2682" t="s">
        <v>13124</v>
      </c>
      <c r="AN38" s="2650" t="s">
        <v>750</v>
      </c>
      <c r="AO38" s="2651">
        <v>3</v>
      </c>
      <c r="AP38" s="1390" t="str">
        <f>+$AM38&amp;AP$36</f>
        <v>BM402SDLFR</v>
      </c>
      <c r="AQ38" s="1391" t="str">
        <f t="shared" ref="AQ38:AU41" si="20">+$AM38&amp;AQ$36</f>
        <v>BM402SDLFP</v>
      </c>
      <c r="AR38" s="1391" t="str">
        <f t="shared" si="20"/>
        <v>BM402SDLRR</v>
      </c>
      <c r="AS38" s="1391" t="str">
        <f t="shared" si="20"/>
        <v>BM402SDRTF</v>
      </c>
      <c r="AT38" s="1422" t="str">
        <f t="shared" si="20"/>
        <v>BM402SDSOT</v>
      </c>
      <c r="AU38" s="2693" t="str">
        <f t="shared" si="20"/>
        <v>BM402SDTOT</v>
      </c>
      <c r="AV38" s="1754"/>
      <c r="AW38" s="1754"/>
      <c r="AX38" s="2671"/>
    </row>
    <row r="39" spans="2:50">
      <c r="B39" s="2652" t="s">
        <v>12711</v>
      </c>
      <c r="C39" s="1823" t="s">
        <v>2589</v>
      </c>
      <c r="D39" s="2662"/>
      <c r="E39" s="2653" t="s">
        <v>750</v>
      </c>
      <c r="F39" s="2647">
        <v>3</v>
      </c>
      <c r="G39" s="1399"/>
      <c r="H39" s="1400"/>
      <c r="I39" s="1400"/>
      <c r="J39" s="1400"/>
      <c r="K39" s="1400"/>
      <c r="L39" s="2059">
        <f t="shared" ref="L39:L51" si="21">SUM(G39:K39)</f>
        <v>0</v>
      </c>
      <c r="M39" s="2146"/>
      <c r="N39" s="2146"/>
      <c r="O39" s="117"/>
      <c r="P39" s="1897"/>
      <c r="R39" s="24" t="str">
        <f xml:space="preserve"> IF( SUM( T39:AB39 ) = 0, 0, $U$4 )</f>
        <v>Please complete all cells in row</v>
      </c>
      <c r="S39" s="1250"/>
      <c r="T39" s="72"/>
      <c r="U39" s="98">
        <f>IF(Validation!$H$3=1,0,IF(ISNUMBER(G39),0,1))</f>
        <v>1</v>
      </c>
      <c r="V39" s="98">
        <f>IF(Validation!$H$3=1,0,IF(ISNUMBER(H39),0,1))</f>
        <v>1</v>
      </c>
      <c r="W39" s="98">
        <f>IF(Validation!$H$3=1,0,IF(ISNUMBER(I39),0,1))</f>
        <v>1</v>
      </c>
      <c r="X39" s="98">
        <f>IF(Validation!$H$3=1,0,IF(ISNUMBER(J39),0,1))</f>
        <v>1</v>
      </c>
      <c r="Y39" s="98">
        <f>IF(Validation!$H$3=1,0,IF(ISNUMBER(K39),0,1))</f>
        <v>1</v>
      </c>
      <c r="Z39" s="98"/>
      <c r="AA39" s="98"/>
      <c r="AB39" s="98"/>
      <c r="AC39" s="72"/>
      <c r="AK39" s="1819" t="s">
        <v>12711</v>
      </c>
      <c r="AL39" s="1823" t="s">
        <v>2589</v>
      </c>
      <c r="AM39" s="2683" t="s">
        <v>9439</v>
      </c>
      <c r="AN39" s="2653" t="s">
        <v>750</v>
      </c>
      <c r="AO39" s="2647">
        <v>3</v>
      </c>
      <c r="AP39" s="1399" t="str">
        <f t="shared" ref="AP39:AP41" si="22">+$AM39&amp;AP$36</f>
        <v>BM836SDLFR</v>
      </c>
      <c r="AQ39" s="1400" t="str">
        <f t="shared" si="20"/>
        <v>BM836SDLFP</v>
      </c>
      <c r="AR39" s="1400" t="str">
        <f t="shared" si="20"/>
        <v>BM836SDLRR</v>
      </c>
      <c r="AS39" s="1400" t="str">
        <f t="shared" si="20"/>
        <v>BM836SDRTF</v>
      </c>
      <c r="AT39" s="1423" t="str">
        <f t="shared" si="20"/>
        <v>BM836SDSOT</v>
      </c>
      <c r="AU39" s="1735" t="str">
        <f t="shared" si="20"/>
        <v>BM836SDTOT</v>
      </c>
      <c r="AV39" s="1754"/>
      <c r="AW39" s="1754"/>
      <c r="AX39" s="2671"/>
    </row>
    <row r="40" spans="2:50" s="2146" customFormat="1">
      <c r="B40" s="2652" t="s">
        <v>12712</v>
      </c>
      <c r="C40" s="1823" t="s">
        <v>3677</v>
      </c>
      <c r="D40" s="2320"/>
      <c r="E40" s="2654" t="s">
        <v>750</v>
      </c>
      <c r="F40" s="2647">
        <v>3</v>
      </c>
      <c r="G40" s="1399"/>
      <c r="H40" s="1400"/>
      <c r="I40" s="1400"/>
      <c r="J40" s="1400"/>
      <c r="K40" s="1400"/>
      <c r="L40" s="2059">
        <f t="shared" ref="L40:L49" si="23">SUM(G40:K40)</f>
        <v>0</v>
      </c>
      <c r="O40" s="117"/>
      <c r="P40" s="1897"/>
      <c r="R40" s="24" t="str">
        <f t="shared" ref="R40:R41" si="24" xml:space="preserve"> IF( SUM( T40:AB40 ) = 0, 0, $U$4 )</f>
        <v>Please complete all cells in row</v>
      </c>
      <c r="S40" s="1250"/>
      <c r="T40" s="72"/>
      <c r="U40" s="98">
        <f>IF(Validation!$H$3=1,0,IF(ISNUMBER(G40),0,1))</f>
        <v>1</v>
      </c>
      <c r="V40" s="98">
        <f>IF(Validation!$H$3=1,0,IF(ISNUMBER(H40),0,1))</f>
        <v>1</v>
      </c>
      <c r="W40" s="98">
        <f>IF(Validation!$H$3=1,0,IF(ISNUMBER(I40),0,1))</f>
        <v>1</v>
      </c>
      <c r="X40" s="98">
        <f>IF(Validation!$H$3=1,0,IF(ISNUMBER(J40),0,1))</f>
        <v>1</v>
      </c>
      <c r="Y40" s="98">
        <f>IF(Validation!$H$3=1,0,IF(ISNUMBER(K40),0,1))</f>
        <v>1</v>
      </c>
      <c r="Z40" s="98"/>
      <c r="AA40" s="98"/>
      <c r="AB40" s="98"/>
      <c r="AC40" s="72"/>
      <c r="AE40" s="1764"/>
      <c r="AI40" s="1764"/>
      <c r="AK40" s="1819" t="s">
        <v>12712</v>
      </c>
      <c r="AL40" s="1823" t="s">
        <v>3677</v>
      </c>
      <c r="AM40" s="2683" t="s">
        <v>13134</v>
      </c>
      <c r="AN40" s="2654" t="s">
        <v>750</v>
      </c>
      <c r="AO40" s="2647">
        <v>3</v>
      </c>
      <c r="AP40" s="1399" t="str">
        <f t="shared" si="22"/>
        <v>WWS1003SDLFR</v>
      </c>
      <c r="AQ40" s="1400" t="str">
        <f t="shared" si="20"/>
        <v>WWS1003SDLFP</v>
      </c>
      <c r="AR40" s="1400" t="str">
        <f t="shared" si="20"/>
        <v>WWS1003SDLRR</v>
      </c>
      <c r="AS40" s="1423" t="str">
        <f t="shared" si="20"/>
        <v>WWS1003SDRTF</v>
      </c>
      <c r="AT40" s="1423" t="str">
        <f t="shared" si="20"/>
        <v>WWS1003SDSOT</v>
      </c>
      <c r="AU40" s="1735" t="str">
        <f t="shared" si="20"/>
        <v>WWS1003SDTOT</v>
      </c>
      <c r="AV40" s="1754"/>
      <c r="AW40" s="1754"/>
      <c r="AX40" s="2671"/>
    </row>
    <row r="41" spans="2:50" s="2146" customFormat="1">
      <c r="B41" s="2652" t="s">
        <v>12713</v>
      </c>
      <c r="C41" s="1823" t="s">
        <v>3663</v>
      </c>
      <c r="D41" s="2320"/>
      <c r="E41" s="2654" t="s">
        <v>750</v>
      </c>
      <c r="F41" s="2647">
        <v>3</v>
      </c>
      <c r="G41" s="1399"/>
      <c r="H41" s="1400"/>
      <c r="I41" s="1400"/>
      <c r="J41" s="1400"/>
      <c r="K41" s="1400"/>
      <c r="L41" s="2059">
        <f t="shared" si="23"/>
        <v>0</v>
      </c>
      <c r="O41" s="117"/>
      <c r="P41" s="1897"/>
      <c r="R41" s="24" t="str">
        <f t="shared" si="24"/>
        <v>Please complete all cells in row</v>
      </c>
      <c r="S41" s="1250"/>
      <c r="T41" s="72"/>
      <c r="U41" s="98">
        <f>IF(Validation!$H$3=1,0,IF(ISNUMBER(G41),0,1))</f>
        <v>1</v>
      </c>
      <c r="V41" s="98">
        <f>IF(Validation!$H$3=1,0,IF(ISNUMBER(H41),0,1))</f>
        <v>1</v>
      </c>
      <c r="W41" s="98">
        <f>IF(Validation!$H$3=1,0,IF(ISNUMBER(I41),0,1))</f>
        <v>1</v>
      </c>
      <c r="X41" s="98">
        <f>IF(Validation!$H$3=1,0,IF(ISNUMBER(J41),0,1))</f>
        <v>1</v>
      </c>
      <c r="Y41" s="98">
        <f>IF(Validation!$H$3=1,0,IF(ISNUMBER(K41),0,1))</f>
        <v>1</v>
      </c>
      <c r="Z41" s="98"/>
      <c r="AA41" s="98"/>
      <c r="AB41" s="98"/>
      <c r="AC41" s="72"/>
      <c r="AE41" s="1764"/>
      <c r="AI41" s="1764"/>
      <c r="AK41" s="1819" t="s">
        <v>12713</v>
      </c>
      <c r="AL41" s="1823" t="s">
        <v>3663</v>
      </c>
      <c r="AM41" s="2683" t="s">
        <v>13111</v>
      </c>
      <c r="AN41" s="2654" t="s">
        <v>750</v>
      </c>
      <c r="AO41" s="2647">
        <v>3</v>
      </c>
      <c r="AP41" s="1399" t="str">
        <f t="shared" si="22"/>
        <v>BM240SDLFR</v>
      </c>
      <c r="AQ41" s="1400" t="str">
        <f t="shared" si="20"/>
        <v>BM240SDLFP</v>
      </c>
      <c r="AR41" s="1400" t="str">
        <f t="shared" si="20"/>
        <v>BM240SDLRR</v>
      </c>
      <c r="AS41" s="1423" t="str">
        <f t="shared" si="20"/>
        <v>BM240SDRTF</v>
      </c>
      <c r="AT41" s="1423" t="str">
        <f t="shared" si="20"/>
        <v>BM240SDSOT</v>
      </c>
      <c r="AU41" s="1735" t="str">
        <f t="shared" si="20"/>
        <v>BM240SDTOT</v>
      </c>
      <c r="AV41" s="1754"/>
      <c r="AW41" s="1754"/>
      <c r="AX41" s="2671"/>
    </row>
    <row r="42" spans="2:50" s="496" customFormat="1">
      <c r="B42" s="2708"/>
      <c r="C42" s="2635" t="s">
        <v>2591</v>
      </c>
      <c r="D42" s="2709"/>
      <c r="E42" s="2710"/>
      <c r="F42" s="2707"/>
      <c r="G42" s="2701"/>
      <c r="H42" s="2702"/>
      <c r="I42" s="2702"/>
      <c r="J42" s="2702"/>
      <c r="K42" s="2702"/>
      <c r="L42" s="2471"/>
      <c r="M42" s="86"/>
      <c r="N42" s="86"/>
      <c r="O42" s="2472"/>
      <c r="P42" s="2711"/>
      <c r="Q42" s="86"/>
      <c r="R42" s="24"/>
      <c r="S42" s="2705"/>
      <c r="T42" s="72"/>
      <c r="U42" s="98"/>
      <c r="V42" s="98"/>
      <c r="W42" s="98"/>
      <c r="X42" s="98"/>
      <c r="Y42" s="98"/>
      <c r="Z42" s="98"/>
      <c r="AA42" s="98"/>
      <c r="AB42" s="98"/>
      <c r="AC42" s="72"/>
      <c r="AE42" s="2706"/>
      <c r="AI42" s="2706"/>
      <c r="AK42" s="2697"/>
      <c r="AL42" s="2635" t="s">
        <v>2591</v>
      </c>
      <c r="AM42" s="2712"/>
      <c r="AN42" s="2710"/>
      <c r="AO42" s="2707"/>
      <c r="AP42" s="2701"/>
      <c r="AQ42" s="2701"/>
      <c r="AR42" s="2701"/>
      <c r="AS42" s="2701"/>
      <c r="AT42" s="2701"/>
      <c r="AU42" s="2701"/>
      <c r="AV42" s="2274"/>
      <c r="AW42" s="2274"/>
      <c r="AX42" s="2623"/>
    </row>
    <row r="43" spans="2:50" s="2146" customFormat="1">
      <c r="B43" s="2652" t="s">
        <v>12714</v>
      </c>
      <c r="C43" s="961" t="s">
        <v>4049</v>
      </c>
      <c r="D43" s="2320"/>
      <c r="E43" s="2654" t="s">
        <v>750</v>
      </c>
      <c r="F43" s="2647">
        <v>3</v>
      </c>
      <c r="G43" s="1399"/>
      <c r="H43" s="1400"/>
      <c r="I43" s="1400"/>
      <c r="J43" s="1400"/>
      <c r="K43" s="1400"/>
      <c r="L43" s="2059">
        <f t="shared" si="23"/>
        <v>0</v>
      </c>
      <c r="O43" s="117"/>
      <c r="P43" s="1897"/>
      <c r="R43" s="24" t="str">
        <f t="shared" ref="R43:R44" si="25" xml:space="preserve"> IF( SUM( T43:AB43 ) = 0, 0, $U$4 )</f>
        <v>Please complete all cells in row</v>
      </c>
      <c r="S43" s="1250"/>
      <c r="T43" s="72"/>
      <c r="U43" s="98">
        <f>IF(Validation!$H$3=1,0,IF(ISNUMBER(G43),0,1))</f>
        <v>1</v>
      </c>
      <c r="V43" s="98">
        <f>IF(Validation!$H$3=1,0,IF(ISNUMBER(H43),0,1))</f>
        <v>1</v>
      </c>
      <c r="W43" s="98">
        <f>IF(Validation!$H$3=1,0,IF(ISNUMBER(I43),0,1))</f>
        <v>1</v>
      </c>
      <c r="X43" s="98">
        <f>IF(Validation!$H$3=1,0,IF(ISNUMBER(J43),0,1))</f>
        <v>1</v>
      </c>
      <c r="Y43" s="98">
        <f>IF(Validation!$H$3=1,0,IF(ISNUMBER(K43),0,1))</f>
        <v>1</v>
      </c>
      <c r="Z43" s="98"/>
      <c r="AA43" s="98"/>
      <c r="AB43" s="98"/>
      <c r="AC43" s="72"/>
      <c r="AE43" s="1764"/>
      <c r="AI43" s="1764"/>
      <c r="AK43" s="1819" t="s">
        <v>12714</v>
      </c>
      <c r="AL43" s="961" t="s">
        <v>4049</v>
      </c>
      <c r="AM43" s="2683" t="s">
        <v>13130</v>
      </c>
      <c r="AN43" s="2654" t="s">
        <v>750</v>
      </c>
      <c r="AO43" s="2647">
        <v>3</v>
      </c>
      <c r="AP43" s="1399" t="str">
        <f t="shared" ref="AP43:AU51" si="26">+$AM43&amp;AP$36</f>
        <v>WWS1005SDLFR</v>
      </c>
      <c r="AQ43" s="1400" t="str">
        <f t="shared" si="26"/>
        <v>WWS1005SDLFP</v>
      </c>
      <c r="AR43" s="1400" t="str">
        <f t="shared" si="26"/>
        <v>WWS1005SDLRR</v>
      </c>
      <c r="AS43" s="1423" t="str">
        <f t="shared" si="26"/>
        <v>WWS1005SDRTF</v>
      </c>
      <c r="AT43" s="1423" t="str">
        <f t="shared" si="26"/>
        <v>WWS1005SDSOT</v>
      </c>
      <c r="AU43" s="1735" t="str">
        <f t="shared" si="26"/>
        <v>WWS1005SDTOT</v>
      </c>
      <c r="AV43" s="1754"/>
      <c r="AW43" s="1754"/>
      <c r="AX43" s="2671"/>
    </row>
    <row r="44" spans="2:50" s="2146" customFormat="1">
      <c r="B44" s="2652" t="s">
        <v>12715</v>
      </c>
      <c r="C44" s="961" t="s">
        <v>4050</v>
      </c>
      <c r="D44" s="2320"/>
      <c r="E44" s="2654" t="s">
        <v>750</v>
      </c>
      <c r="F44" s="2647">
        <v>3</v>
      </c>
      <c r="G44" s="1399"/>
      <c r="H44" s="1400"/>
      <c r="I44" s="1400"/>
      <c r="J44" s="1400"/>
      <c r="K44" s="1400"/>
      <c r="L44" s="2059">
        <f t="shared" si="23"/>
        <v>0</v>
      </c>
      <c r="O44" s="117"/>
      <c r="P44" s="1897"/>
      <c r="R44" s="24" t="str">
        <f t="shared" si="25"/>
        <v>Please complete all cells in row</v>
      </c>
      <c r="S44" s="1250"/>
      <c r="T44" s="72"/>
      <c r="U44" s="98">
        <f>IF(Validation!$H$3=1,0,IF(ISNUMBER(G44),0,1))</f>
        <v>1</v>
      </c>
      <c r="V44" s="98">
        <f>IF(Validation!$H$3=1,0,IF(ISNUMBER(H44),0,1))</f>
        <v>1</v>
      </c>
      <c r="W44" s="98">
        <f>IF(Validation!$H$3=1,0,IF(ISNUMBER(I44),0,1))</f>
        <v>1</v>
      </c>
      <c r="X44" s="98">
        <f>IF(Validation!$H$3=1,0,IF(ISNUMBER(J44),0,1))</f>
        <v>1</v>
      </c>
      <c r="Y44" s="98">
        <f>IF(Validation!$H$3=1,0,IF(ISNUMBER(K44),0,1))</f>
        <v>1</v>
      </c>
      <c r="Z44" s="98"/>
      <c r="AA44" s="98"/>
      <c r="AB44" s="98"/>
      <c r="AC44" s="72"/>
      <c r="AE44" s="1764"/>
      <c r="AI44" s="1764"/>
      <c r="AK44" s="1819" t="s">
        <v>12715</v>
      </c>
      <c r="AL44" s="961" t="s">
        <v>4050</v>
      </c>
      <c r="AM44" s="2683" t="s">
        <v>13131</v>
      </c>
      <c r="AN44" s="2654" t="s">
        <v>750</v>
      </c>
      <c r="AO44" s="2647">
        <v>3</v>
      </c>
      <c r="AP44" s="1399" t="str">
        <f t="shared" si="26"/>
        <v>WWS1006SDLFR</v>
      </c>
      <c r="AQ44" s="1400" t="str">
        <f t="shared" si="26"/>
        <v>WWS1006SDLFP</v>
      </c>
      <c r="AR44" s="1400" t="str">
        <f t="shared" si="26"/>
        <v>WWS1006SDLRR</v>
      </c>
      <c r="AS44" s="1423" t="str">
        <f t="shared" si="26"/>
        <v>WWS1006SDRTF</v>
      </c>
      <c r="AT44" s="1423" t="str">
        <f t="shared" si="26"/>
        <v>WWS1006SDSOT</v>
      </c>
      <c r="AU44" s="1735" t="str">
        <f t="shared" si="26"/>
        <v>WWS1006SDTOT</v>
      </c>
      <c r="AV44" s="1754"/>
      <c r="AW44" s="1754"/>
      <c r="AX44" s="2671"/>
    </row>
    <row r="45" spans="2:50">
      <c r="B45" s="2652" t="s">
        <v>12716</v>
      </c>
      <c r="C45" s="1823" t="s">
        <v>12703</v>
      </c>
      <c r="D45" s="2662"/>
      <c r="E45" s="2653" t="s">
        <v>750</v>
      </c>
      <c r="F45" s="2647">
        <v>3</v>
      </c>
      <c r="G45" s="1399"/>
      <c r="H45" s="1400"/>
      <c r="I45" s="1400"/>
      <c r="J45" s="1400"/>
      <c r="K45" s="1400"/>
      <c r="L45" s="2059">
        <f t="shared" si="23"/>
        <v>0</v>
      </c>
      <c r="M45" s="2146"/>
      <c r="N45" s="2146"/>
      <c r="O45" s="117"/>
      <c r="P45" s="1897"/>
      <c r="R45" s="24" t="str">
        <f xml:space="preserve"> IF( SUM( T45:AB45 ) = 0, 0, $U$4 )</f>
        <v>Please complete all cells in row</v>
      </c>
      <c r="S45" s="1250"/>
      <c r="T45" s="72"/>
      <c r="U45" s="98">
        <f>IF(Validation!$H$3=1,0,IF(ISNUMBER(G45),0,1))</f>
        <v>1</v>
      </c>
      <c r="V45" s="98">
        <f>IF(Validation!$H$3=1,0,IF(ISNUMBER(H45),0,1))</f>
        <v>1</v>
      </c>
      <c r="W45" s="98">
        <f>IF(Validation!$H$3=1,0,IF(ISNUMBER(I45),0,1))</f>
        <v>1</v>
      </c>
      <c r="X45" s="98">
        <f>IF(Validation!$H$3=1,0,IF(ISNUMBER(J45),0,1))</f>
        <v>1</v>
      </c>
      <c r="Y45" s="98">
        <f>IF(Validation!$H$3=1,0,IF(ISNUMBER(K45),0,1))</f>
        <v>1</v>
      </c>
      <c r="Z45" s="98"/>
      <c r="AA45" s="98"/>
      <c r="AB45" s="98"/>
      <c r="AC45" s="72"/>
      <c r="AK45" s="1819" t="s">
        <v>12716</v>
      </c>
      <c r="AL45" s="1823" t="s">
        <v>4931</v>
      </c>
      <c r="AM45" s="2683" t="s">
        <v>13144</v>
      </c>
      <c r="AN45" s="2653" t="s">
        <v>750</v>
      </c>
      <c r="AO45" s="2647">
        <v>3</v>
      </c>
      <c r="AP45" s="1399" t="str">
        <f t="shared" si="26"/>
        <v>BM408SDLFR</v>
      </c>
      <c r="AQ45" s="1400" t="str">
        <f t="shared" si="26"/>
        <v>BM408SDLFP</v>
      </c>
      <c r="AR45" s="1400" t="str">
        <f t="shared" si="26"/>
        <v>BM408SDLRR</v>
      </c>
      <c r="AS45" s="1400" t="str">
        <f t="shared" si="26"/>
        <v>BM408SDRTF</v>
      </c>
      <c r="AT45" s="1423" t="str">
        <f t="shared" si="26"/>
        <v>BM408SDSOT</v>
      </c>
      <c r="AU45" s="1735" t="str">
        <f t="shared" si="26"/>
        <v>BM408SDTOT</v>
      </c>
      <c r="AV45" s="1754"/>
      <c r="AW45" s="1754"/>
      <c r="AX45" s="2671"/>
    </row>
    <row r="46" spans="2:50">
      <c r="B46" s="2652" t="s">
        <v>12717</v>
      </c>
      <c r="C46" s="1823" t="s">
        <v>12704</v>
      </c>
      <c r="D46" s="2662"/>
      <c r="E46" s="2654" t="s">
        <v>750</v>
      </c>
      <c r="F46" s="2647">
        <v>3</v>
      </c>
      <c r="G46" s="1399"/>
      <c r="H46" s="1400"/>
      <c r="I46" s="1400"/>
      <c r="J46" s="1400"/>
      <c r="K46" s="1400"/>
      <c r="L46" s="2059">
        <f t="shared" si="23"/>
        <v>0</v>
      </c>
      <c r="M46" s="2146"/>
      <c r="N46" s="2146"/>
      <c r="O46" s="117"/>
      <c r="P46" s="1897"/>
      <c r="R46" s="24" t="str">
        <f xml:space="preserve"> IF( SUM( T46:AB46 ) = 0, 0, $U$4 )</f>
        <v>Please complete all cells in row</v>
      </c>
      <c r="S46" s="1250"/>
      <c r="T46" s="72"/>
      <c r="U46" s="98">
        <f>IF(Validation!$H$3=1,0,IF(ISNUMBER(G46),0,1))</f>
        <v>1</v>
      </c>
      <c r="V46" s="98">
        <f>IF(Validation!$H$3=1,0,IF(ISNUMBER(H46),0,1))</f>
        <v>1</v>
      </c>
      <c r="W46" s="98">
        <f>IF(Validation!$H$3=1,0,IF(ISNUMBER(I46),0,1))</f>
        <v>1</v>
      </c>
      <c r="X46" s="98">
        <f>IF(Validation!$H$3=1,0,IF(ISNUMBER(J46),0,1))</f>
        <v>1</v>
      </c>
      <c r="Y46" s="98">
        <f>IF(Validation!$H$3=1,0,IF(ISNUMBER(K46),0,1))</f>
        <v>1</v>
      </c>
      <c r="Z46" s="98"/>
      <c r="AA46" s="98"/>
      <c r="AB46" s="98"/>
      <c r="AC46" s="72"/>
      <c r="AK46" s="1819" t="s">
        <v>12717</v>
      </c>
      <c r="AL46" s="1823" t="s">
        <v>4932</v>
      </c>
      <c r="AM46" s="2683" t="s">
        <v>13145</v>
      </c>
      <c r="AN46" s="2654" t="s">
        <v>750</v>
      </c>
      <c r="AO46" s="2647">
        <v>3</v>
      </c>
      <c r="AP46" s="1399" t="str">
        <f t="shared" si="26"/>
        <v>BM410SDLFR</v>
      </c>
      <c r="AQ46" s="1400" t="str">
        <f t="shared" si="26"/>
        <v>BM410SDLFP</v>
      </c>
      <c r="AR46" s="1400" t="str">
        <f t="shared" si="26"/>
        <v>BM410SDLRR</v>
      </c>
      <c r="AS46" s="1400" t="str">
        <f t="shared" si="26"/>
        <v>BM410SDRTF</v>
      </c>
      <c r="AT46" s="1423" t="str">
        <f t="shared" si="26"/>
        <v>BM410SDSOT</v>
      </c>
      <c r="AU46" s="1735" t="str">
        <f t="shared" si="26"/>
        <v>BM410SDTOT</v>
      </c>
      <c r="AV46" s="1754"/>
      <c r="AW46" s="1754"/>
      <c r="AX46" s="2671"/>
    </row>
    <row r="47" spans="2:50" s="2146" customFormat="1">
      <c r="B47" s="2652" t="s">
        <v>12718</v>
      </c>
      <c r="C47" s="2637" t="s">
        <v>12689</v>
      </c>
      <c r="D47" s="2662"/>
      <c r="E47" s="2654" t="s">
        <v>750</v>
      </c>
      <c r="F47" s="2647">
        <v>3</v>
      </c>
      <c r="G47" s="1814">
        <f>SUM(G38:G46)</f>
        <v>0</v>
      </c>
      <c r="H47" s="1814">
        <f t="shared" ref="H47:K47" si="27">SUM(H38:H46)</f>
        <v>0</v>
      </c>
      <c r="I47" s="1814">
        <f t="shared" si="27"/>
        <v>0</v>
      </c>
      <c r="J47" s="1814">
        <f t="shared" si="27"/>
        <v>0</v>
      </c>
      <c r="K47" s="1814">
        <f t="shared" si="27"/>
        <v>0</v>
      </c>
      <c r="L47" s="2059">
        <f t="shared" si="23"/>
        <v>0</v>
      </c>
      <c r="O47" s="117"/>
      <c r="P47" s="1897"/>
      <c r="R47" s="24"/>
      <c r="S47" s="1250"/>
      <c r="T47" s="72"/>
      <c r="U47" s="98"/>
      <c r="V47" s="98"/>
      <c r="W47" s="98"/>
      <c r="X47" s="98"/>
      <c r="Y47" s="98"/>
      <c r="Z47" s="98"/>
      <c r="AA47" s="98"/>
      <c r="AB47" s="98"/>
      <c r="AC47" s="72"/>
      <c r="AE47" s="1764"/>
      <c r="AI47" s="1764"/>
      <c r="AK47" s="1819" t="s">
        <v>12718</v>
      </c>
      <c r="AL47" s="2637" t="s">
        <v>12689</v>
      </c>
      <c r="AM47" s="2683" t="s">
        <v>13123</v>
      </c>
      <c r="AN47" s="2654" t="s">
        <v>750</v>
      </c>
      <c r="AO47" s="2647">
        <v>3</v>
      </c>
      <c r="AP47" s="1399" t="str">
        <f t="shared" si="26"/>
        <v>BM816SDLFR</v>
      </c>
      <c r="AQ47" s="1400" t="str">
        <f t="shared" si="26"/>
        <v>BM816SDLFP</v>
      </c>
      <c r="AR47" s="1400" t="str">
        <f t="shared" si="26"/>
        <v>BM816SDLRR</v>
      </c>
      <c r="AS47" s="1400" t="str">
        <f t="shared" si="26"/>
        <v>BM816SDRTF</v>
      </c>
      <c r="AT47" s="1423" t="str">
        <f t="shared" si="26"/>
        <v>BM816SDSOT</v>
      </c>
      <c r="AU47" s="1735" t="str">
        <f t="shared" si="26"/>
        <v>BM816SDTOT</v>
      </c>
      <c r="AV47" s="1754"/>
      <c r="AW47" s="1754"/>
      <c r="AX47" s="2671"/>
    </row>
    <row r="48" spans="2:50">
      <c r="B48" s="2652" t="s">
        <v>12719</v>
      </c>
      <c r="C48" s="1823" t="s">
        <v>3611</v>
      </c>
      <c r="D48" s="2662"/>
      <c r="E48" s="2653" t="s">
        <v>750</v>
      </c>
      <c r="F48" s="2647">
        <v>3</v>
      </c>
      <c r="G48" s="1399"/>
      <c r="H48" s="1400"/>
      <c r="I48" s="1400"/>
      <c r="J48" s="1400"/>
      <c r="K48" s="1400"/>
      <c r="L48" s="2059">
        <f t="shared" si="23"/>
        <v>0</v>
      </c>
      <c r="M48" s="2146"/>
      <c r="N48" s="2146"/>
      <c r="O48" s="117"/>
      <c r="P48" s="1897"/>
      <c r="R48" s="24" t="str">
        <f xml:space="preserve"> IF( SUM( T48:AB48 ) = 0, 0, $U$4 )</f>
        <v>Please complete all cells in row</v>
      </c>
      <c r="S48" s="1250"/>
      <c r="T48" s="72"/>
      <c r="U48" s="98">
        <f>IF(Validation!$H$3=1,0,IF(ISNUMBER(G48),0,1))</f>
        <v>1</v>
      </c>
      <c r="V48" s="98">
        <f>IF(Validation!$H$3=1,0,IF(ISNUMBER(H48),0,1))</f>
        <v>1</v>
      </c>
      <c r="W48" s="98">
        <f>IF(Validation!$H$3=1,0,IF(ISNUMBER(I48),0,1))</f>
        <v>1</v>
      </c>
      <c r="X48" s="98">
        <f>IF(Validation!$H$3=1,0,IF(ISNUMBER(J48),0,1))</f>
        <v>1</v>
      </c>
      <c r="Y48" s="98">
        <f>IF(Validation!$H$3=1,0,IF(ISNUMBER(K48),0,1))</f>
        <v>1</v>
      </c>
      <c r="Z48" s="98"/>
      <c r="AA48" s="98"/>
      <c r="AB48" s="98"/>
      <c r="AC48" s="72"/>
      <c r="AK48" s="1819" t="s">
        <v>12719</v>
      </c>
      <c r="AL48" s="1823" t="s">
        <v>3611</v>
      </c>
      <c r="AM48" s="2683" t="s">
        <v>9440</v>
      </c>
      <c r="AN48" s="2653" t="s">
        <v>750</v>
      </c>
      <c r="AO48" s="2647">
        <v>3</v>
      </c>
      <c r="AP48" s="1399" t="str">
        <f t="shared" si="26"/>
        <v>BM817SDLFR</v>
      </c>
      <c r="AQ48" s="1400" t="str">
        <f t="shared" si="26"/>
        <v>BM817SDLFP</v>
      </c>
      <c r="AR48" s="1400" t="str">
        <f t="shared" si="26"/>
        <v>BM817SDLRR</v>
      </c>
      <c r="AS48" s="1400" t="str">
        <f t="shared" si="26"/>
        <v>BM817SDRTF</v>
      </c>
      <c r="AT48" s="1423" t="str">
        <f t="shared" si="26"/>
        <v>BM817SDSOT</v>
      </c>
      <c r="AU48" s="1735" t="str">
        <f t="shared" si="26"/>
        <v>BM817SDTOT</v>
      </c>
      <c r="AV48" s="1754"/>
      <c r="AW48" s="1754"/>
      <c r="AX48" s="2671"/>
    </row>
    <row r="49" spans="1:50" ht="24">
      <c r="B49" s="2652" t="s">
        <v>12720</v>
      </c>
      <c r="C49" s="2638" t="s">
        <v>4933</v>
      </c>
      <c r="D49" s="2663"/>
      <c r="E49" s="2655" t="s">
        <v>750</v>
      </c>
      <c r="F49" s="2656">
        <v>3</v>
      </c>
      <c r="G49" s="1814">
        <f>SUM(G47:G48)</f>
        <v>0</v>
      </c>
      <c r="H49" s="1814">
        <f t="shared" ref="H49" si="28">SUM(H47:H48)</f>
        <v>0</v>
      </c>
      <c r="I49" s="1814">
        <f t="shared" ref="I49" si="29">SUM(I47:I48)</f>
        <v>0</v>
      </c>
      <c r="J49" s="1814">
        <f t="shared" ref="J49" si="30">SUM(J47:J48)</f>
        <v>0</v>
      </c>
      <c r="K49" s="1814">
        <f t="shared" ref="K49" si="31">SUM(K47:K48)</f>
        <v>0</v>
      </c>
      <c r="L49" s="2059">
        <f t="shared" si="23"/>
        <v>0</v>
      </c>
      <c r="M49" s="2146"/>
      <c r="N49" s="2146"/>
      <c r="O49" s="117"/>
      <c r="P49" s="1897"/>
      <c r="R49" s="1431">
        <f xml:space="preserve"> IF( SUM( AC49:AE49 ) = 0, 0, AH49 )</f>
        <v>0</v>
      </c>
      <c r="S49" s="1250"/>
      <c r="T49" s="72"/>
      <c r="U49" s="132"/>
      <c r="V49" s="132"/>
      <c r="W49" s="132"/>
      <c r="X49" s="132"/>
      <c r="Y49" s="132"/>
      <c r="Z49" s="132"/>
      <c r="AA49" s="132"/>
      <c r="AB49" s="132"/>
      <c r="AC49" s="72"/>
      <c r="AD49" s="2232">
        <f xml:space="preserve"> IF( (AF49 - AG49) = 0, 0, 1 )</f>
        <v>0</v>
      </c>
      <c r="AE49" s="2233"/>
      <c r="AF49" s="2234">
        <f>ROUND(L49,3)</f>
        <v>0</v>
      </c>
      <c r="AG49" s="2433">
        <f>ROUND('4E'!N15,3)</f>
        <v>0</v>
      </c>
      <c r="AH49" s="2432" t="s">
        <v>13493</v>
      </c>
      <c r="AK49" s="1819" t="s">
        <v>12720</v>
      </c>
      <c r="AL49" s="2638" t="s">
        <v>4933</v>
      </c>
      <c r="AM49" s="2684" t="s">
        <v>13125</v>
      </c>
      <c r="AN49" s="2655" t="s">
        <v>750</v>
      </c>
      <c r="AO49" s="2656">
        <v>3</v>
      </c>
      <c r="AP49" s="1402" t="str">
        <f t="shared" si="26"/>
        <v>BM8390SDLFR</v>
      </c>
      <c r="AQ49" s="1402" t="str">
        <f t="shared" si="26"/>
        <v>BM8390SDLFP</v>
      </c>
      <c r="AR49" s="1402" t="str">
        <f t="shared" si="26"/>
        <v>BM8390SDLRR</v>
      </c>
      <c r="AS49" s="1402" t="str">
        <f t="shared" si="26"/>
        <v>BM8390SDRTF</v>
      </c>
      <c r="AT49" s="1402" t="str">
        <f t="shared" si="26"/>
        <v>BM8390SDSOT</v>
      </c>
      <c r="AU49" s="1735" t="str">
        <f t="shared" si="26"/>
        <v>BM8390SDTOT</v>
      </c>
      <c r="AV49" s="1754"/>
      <c r="AW49" s="1754"/>
      <c r="AX49" s="2671"/>
    </row>
    <row r="50" spans="1:50">
      <c r="B50" s="2652" t="s">
        <v>12721</v>
      </c>
      <c r="C50" s="1823" t="s">
        <v>2511</v>
      </c>
      <c r="D50" s="2662"/>
      <c r="E50" s="2655" t="s">
        <v>750</v>
      </c>
      <c r="F50" s="2656">
        <v>3</v>
      </c>
      <c r="G50" s="1399"/>
      <c r="H50" s="1400"/>
      <c r="I50" s="1400"/>
      <c r="J50" s="1400"/>
      <c r="K50" s="1400"/>
      <c r="L50" s="2059">
        <f t="shared" si="21"/>
        <v>0</v>
      </c>
      <c r="M50" s="2146"/>
      <c r="N50" s="2146"/>
      <c r="O50" s="117"/>
      <c r="P50" s="1898"/>
      <c r="R50" s="24" t="str">
        <f xml:space="preserve"> IF( SUM( T50:AB50 ) = 0, 0, $U$4 )</f>
        <v>Please complete all cells in row</v>
      </c>
      <c r="S50" s="1250"/>
      <c r="T50" s="72"/>
      <c r="U50" s="98">
        <f>IF(Validation!$H$3=1,0,IF(ISNUMBER(G50),0,1))</f>
        <v>1</v>
      </c>
      <c r="V50" s="98">
        <f>IF(Validation!$H$3=1,0,IF(ISNUMBER(H50),0,1))</f>
        <v>1</v>
      </c>
      <c r="W50" s="98">
        <f>IF(Validation!$H$3=1,0,IF(ISNUMBER(I50),0,1))</f>
        <v>1</v>
      </c>
      <c r="X50" s="98">
        <f>IF(Validation!$H$3=1,0,IF(ISNUMBER(J50),0,1))</f>
        <v>1</v>
      </c>
      <c r="Y50" s="98">
        <f>IF(Validation!$H$3=1,0,IF(ISNUMBER(K50),0,1))</f>
        <v>1</v>
      </c>
      <c r="Z50" s="98"/>
      <c r="AA50" s="98"/>
      <c r="AB50" s="98"/>
      <c r="AC50" s="72"/>
      <c r="AK50" s="1819" t="s">
        <v>12721</v>
      </c>
      <c r="AL50" s="1823" t="s">
        <v>2511</v>
      </c>
      <c r="AM50" s="2683" t="s">
        <v>9442</v>
      </c>
      <c r="AN50" s="2655" t="s">
        <v>750</v>
      </c>
      <c r="AO50" s="2656">
        <v>3</v>
      </c>
      <c r="AP50" s="1399" t="str">
        <f t="shared" si="26"/>
        <v>FT00865SDLFR</v>
      </c>
      <c r="AQ50" s="1400" t="str">
        <f t="shared" si="26"/>
        <v>FT00865SDLFP</v>
      </c>
      <c r="AR50" s="1400" t="str">
        <f t="shared" si="26"/>
        <v>FT00865SDLRR</v>
      </c>
      <c r="AS50" s="1400" t="str">
        <f t="shared" si="26"/>
        <v>FT00865SDRTF</v>
      </c>
      <c r="AT50" s="1423" t="str">
        <f t="shared" si="26"/>
        <v>FT00865SDSOT</v>
      </c>
      <c r="AU50" s="1735" t="str">
        <f t="shared" si="26"/>
        <v>FT00865SDTOT</v>
      </c>
      <c r="AV50" s="1754"/>
      <c r="AW50" s="1754"/>
      <c r="AX50" s="2671"/>
    </row>
    <row r="51" spans="1:50" ht="15" thickBot="1">
      <c r="B51" s="2657" t="s">
        <v>12722</v>
      </c>
      <c r="C51" s="1835" t="s">
        <v>4894</v>
      </c>
      <c r="D51" s="2664"/>
      <c r="E51" s="2658" t="s">
        <v>750</v>
      </c>
      <c r="F51" s="2659">
        <v>3</v>
      </c>
      <c r="G51" s="1816">
        <f>SUM(G49:G50)</f>
        <v>0</v>
      </c>
      <c r="H51" s="1816">
        <f t="shared" ref="H51" si="32">SUM(H49:H50)</f>
        <v>0</v>
      </c>
      <c r="I51" s="1816">
        <f t="shared" ref="I51" si="33">SUM(I49:I50)</f>
        <v>0</v>
      </c>
      <c r="J51" s="1816">
        <f t="shared" ref="J51" si="34">SUM(J49:J50)</f>
        <v>0</v>
      </c>
      <c r="K51" s="1816">
        <f t="shared" ref="K51" si="35">SUM(K49:K50)</f>
        <v>0</v>
      </c>
      <c r="L51" s="2060">
        <f t="shared" si="21"/>
        <v>0</v>
      </c>
      <c r="M51" s="2146"/>
      <c r="N51" s="2146"/>
      <c r="O51" s="117"/>
      <c r="P51" s="1899"/>
      <c r="R51" s="2146"/>
      <c r="S51" s="1250"/>
      <c r="T51" s="72"/>
      <c r="U51" s="132"/>
      <c r="V51" s="132"/>
      <c r="W51" s="132"/>
      <c r="X51" s="132"/>
      <c r="Y51" s="132"/>
      <c r="Z51" s="132"/>
      <c r="AA51" s="132"/>
      <c r="AB51" s="132"/>
      <c r="AC51" s="72"/>
      <c r="AD51" s="2146"/>
      <c r="AF51" s="2146"/>
      <c r="AG51" s="2146"/>
      <c r="AH51" s="2146"/>
      <c r="AI51" s="129"/>
      <c r="AK51" s="1820" t="s">
        <v>12722</v>
      </c>
      <c r="AL51" s="1835" t="s">
        <v>4894</v>
      </c>
      <c r="AM51" s="2685" t="s">
        <v>9443</v>
      </c>
      <c r="AN51" s="2658" t="s">
        <v>750</v>
      </c>
      <c r="AO51" s="2659">
        <v>3</v>
      </c>
      <c r="AP51" s="1412" t="str">
        <f t="shared" si="26"/>
        <v>BM319SDLFR</v>
      </c>
      <c r="AQ51" s="1412" t="str">
        <f t="shared" si="26"/>
        <v>BM319SDLFP</v>
      </c>
      <c r="AR51" s="1412" t="str">
        <f t="shared" si="26"/>
        <v>BM319SDLRR</v>
      </c>
      <c r="AS51" s="1412" t="str">
        <f t="shared" si="26"/>
        <v>BM319SDRTF</v>
      </c>
      <c r="AT51" s="1412" t="str">
        <f t="shared" si="26"/>
        <v>BM319SDSOT</v>
      </c>
      <c r="AU51" s="1736" t="str">
        <f t="shared" si="26"/>
        <v>BM319SDTOT</v>
      </c>
      <c r="AV51" s="1754"/>
      <c r="AW51" s="1754"/>
      <c r="AX51" s="2671"/>
    </row>
    <row r="52" spans="1:50">
      <c r="B52" s="1754"/>
      <c r="C52" s="1754"/>
      <c r="D52" s="1754"/>
      <c r="E52" s="1754"/>
      <c r="F52" s="1754"/>
      <c r="M52" s="2146"/>
      <c r="N52" s="2146"/>
      <c r="O52" s="117"/>
      <c r="AD52" s="2146"/>
      <c r="AF52" s="2146"/>
      <c r="AG52" s="2146"/>
      <c r="AH52" s="2146"/>
      <c r="AL52" s="1754"/>
      <c r="AM52" s="1754"/>
      <c r="AN52" s="1754"/>
      <c r="AO52" s="1754"/>
      <c r="AP52" s="1754"/>
      <c r="AQ52" s="1754"/>
      <c r="AR52" s="1754"/>
      <c r="AS52" s="1754"/>
      <c r="AT52" s="1754"/>
      <c r="AU52" s="1754"/>
      <c r="AV52" s="1754"/>
      <c r="AW52" s="1754"/>
      <c r="AX52" s="1754"/>
    </row>
    <row r="53" spans="1:50" ht="18.75">
      <c r="B53" s="68" t="s">
        <v>4919</v>
      </c>
      <c r="C53" s="2665"/>
      <c r="D53" s="2665"/>
      <c r="E53" s="2665"/>
      <c r="F53" s="2665"/>
      <c r="G53" s="67"/>
      <c r="H53" s="67"/>
      <c r="I53" s="67"/>
      <c r="J53" s="67"/>
      <c r="O53" s="496"/>
      <c r="AK53" s="68" t="s">
        <v>4919</v>
      </c>
      <c r="AL53" s="2665"/>
      <c r="AM53" s="2665"/>
      <c r="AN53" s="2665"/>
      <c r="AO53" s="2665"/>
      <c r="AP53" s="2665"/>
      <c r="AQ53" s="2665"/>
      <c r="AR53" s="2665"/>
      <c r="AS53" s="2665"/>
      <c r="AT53" s="1754"/>
      <c r="AU53" s="1754"/>
      <c r="AV53" s="1754"/>
      <c r="AW53" s="1754"/>
      <c r="AX53" s="1754"/>
    </row>
    <row r="54" spans="1:50" ht="15" thickBot="1">
      <c r="B54" s="2666"/>
      <c r="C54" s="1754"/>
      <c r="D54" s="1754"/>
      <c r="E54" s="1754"/>
      <c r="F54" s="1754"/>
      <c r="O54" s="496"/>
      <c r="AK54" s="74"/>
      <c r="AL54" s="1754"/>
      <c r="AM54" s="1754"/>
      <c r="AN54" s="1754"/>
      <c r="AO54" s="1754"/>
      <c r="AP54" s="1754"/>
      <c r="AQ54" s="1754"/>
      <c r="AR54" s="1754"/>
      <c r="AS54" s="1754"/>
      <c r="AT54" s="1754"/>
      <c r="AU54" s="1754"/>
      <c r="AV54" s="1754"/>
      <c r="AW54" s="1754"/>
      <c r="AX54" s="1754"/>
    </row>
    <row r="55" spans="1:50" ht="39" thickBot="1">
      <c r="B55" s="1104" t="s">
        <v>2423</v>
      </c>
      <c r="C55" s="1050" t="s">
        <v>4077</v>
      </c>
      <c r="D55" s="1050" t="s">
        <v>4201</v>
      </c>
      <c r="E55" s="1050" t="s">
        <v>3346</v>
      </c>
      <c r="F55" s="1050" t="s">
        <v>2397</v>
      </c>
      <c r="G55" s="1560" t="s">
        <v>4920</v>
      </c>
      <c r="H55" s="1562" t="s">
        <v>4921</v>
      </c>
      <c r="I55" s="1563" t="s">
        <v>1195</v>
      </c>
      <c r="J55" s="194" t="s">
        <v>2554</v>
      </c>
      <c r="O55" s="496"/>
      <c r="AK55" s="1104" t="s">
        <v>2423</v>
      </c>
      <c r="AL55" s="1049" t="s">
        <v>4077</v>
      </c>
      <c r="AM55" s="1050" t="s">
        <v>4201</v>
      </c>
      <c r="AN55" s="1050" t="s">
        <v>3346</v>
      </c>
      <c r="AO55" s="1050" t="s">
        <v>2397</v>
      </c>
      <c r="AP55" s="1560" t="s">
        <v>4920</v>
      </c>
      <c r="AQ55" s="1562" t="s">
        <v>4921</v>
      </c>
      <c r="AR55" s="1566" t="s">
        <v>1195</v>
      </c>
      <c r="AS55" s="194" t="s">
        <v>2554</v>
      </c>
      <c r="AT55" s="1754"/>
      <c r="AU55" s="1754"/>
      <c r="AV55" s="1754"/>
      <c r="AW55" s="1754"/>
      <c r="AX55" s="1754"/>
    </row>
    <row r="56" spans="1:50" ht="15" thickBot="1">
      <c r="B56" s="2660"/>
      <c r="C56" s="1754"/>
      <c r="D56" s="1754"/>
      <c r="E56" s="1754"/>
      <c r="F56" s="1754"/>
      <c r="O56" s="496"/>
      <c r="X56" s="675"/>
      <c r="Y56" s="675"/>
      <c r="Z56" s="675"/>
      <c r="AA56" s="675"/>
      <c r="AB56" s="675"/>
      <c r="AK56" s="585"/>
      <c r="AL56" s="1754"/>
      <c r="AM56" s="1754"/>
      <c r="AN56" s="1754"/>
      <c r="AO56" s="1754"/>
      <c r="AP56" s="1754"/>
      <c r="AQ56" s="1754"/>
      <c r="AR56" s="1754"/>
      <c r="AS56" s="1754"/>
      <c r="AT56" s="1754"/>
      <c r="AU56" s="1754"/>
      <c r="AV56" s="1754"/>
      <c r="AW56" s="1754"/>
      <c r="AX56" s="1754"/>
    </row>
    <row r="57" spans="1:50" ht="15" thickBot="1">
      <c r="B57" s="2648" t="s">
        <v>2473</v>
      </c>
      <c r="C57" s="2690" t="s">
        <v>4892</v>
      </c>
      <c r="D57" s="1754"/>
      <c r="E57" s="1754"/>
      <c r="F57" s="1754"/>
      <c r="O57" s="496"/>
      <c r="X57" s="675"/>
      <c r="Y57" s="675"/>
      <c r="Z57" s="675"/>
      <c r="AA57" s="675"/>
      <c r="AB57" s="675"/>
      <c r="AK57" s="1464" t="s">
        <v>2458</v>
      </c>
      <c r="AL57" s="1114" t="s">
        <v>4892</v>
      </c>
      <c r="AM57" s="1754"/>
      <c r="AN57" s="1754"/>
      <c r="AO57" s="1754"/>
      <c r="AP57" s="1754"/>
      <c r="AQ57" s="1754"/>
      <c r="AR57" s="1754"/>
      <c r="AS57" s="1754"/>
      <c r="AT57" s="1754"/>
      <c r="AU57" s="1754"/>
      <c r="AV57" s="1754"/>
      <c r="AW57" s="1754"/>
      <c r="AX57" s="1754"/>
    </row>
    <row r="58" spans="1:50">
      <c r="B58" s="2652" t="s">
        <v>12725</v>
      </c>
      <c r="C58" s="1823" t="s">
        <v>4934</v>
      </c>
      <c r="D58" s="2662"/>
      <c r="E58" s="2650" t="s">
        <v>750</v>
      </c>
      <c r="F58" s="2651">
        <v>3</v>
      </c>
      <c r="G58" s="1390"/>
      <c r="H58" s="1391"/>
      <c r="I58" s="1391"/>
      <c r="J58" s="1579">
        <f t="shared" ref="J58:J63" si="36">+SUM(G58:I58)</f>
        <v>0</v>
      </c>
      <c r="O58" s="496"/>
      <c r="P58" s="1896"/>
      <c r="R58" s="24" t="str">
        <f xml:space="preserve"> IF( SUM( T58:AB58 ) = 0, 0, $U$4 )</f>
        <v>Please complete all cells in row</v>
      </c>
      <c r="S58" s="1250"/>
      <c r="T58" s="72"/>
      <c r="U58" s="98">
        <f>IF(Validation!$H$3=1,0,IF(ISNUMBER(G58),0,1))</f>
        <v>1</v>
      </c>
      <c r="V58" s="98">
        <f>IF(Validation!$H$3=1,0,IF(ISNUMBER(H58),0,1))</f>
        <v>1</v>
      </c>
      <c r="W58" s="98">
        <f>IF(Validation!$H$3=1,0,IF(ISNUMBER(I58),0,1))</f>
        <v>1</v>
      </c>
      <c r="X58" s="132"/>
      <c r="Y58" s="132"/>
      <c r="Z58" s="132"/>
      <c r="AA58" s="132"/>
      <c r="AB58" s="132"/>
      <c r="AC58" s="72"/>
      <c r="AK58" s="1394" t="s">
        <v>6232</v>
      </c>
      <c r="AL58" s="1403" t="s">
        <v>4934</v>
      </c>
      <c r="AM58" s="2672"/>
      <c r="AN58" s="2673" t="s">
        <v>750</v>
      </c>
      <c r="AO58" s="2673">
        <v>3</v>
      </c>
      <c r="AP58" s="1390" t="s">
        <v>9525</v>
      </c>
      <c r="AQ58" s="1391" t="s">
        <v>9526</v>
      </c>
      <c r="AR58" s="1391" t="s">
        <v>9527</v>
      </c>
      <c r="AS58" s="1579" t="s">
        <v>9528</v>
      </c>
      <c r="AT58" s="1754"/>
      <c r="AU58" s="1754"/>
      <c r="AV58" s="1754"/>
      <c r="AW58" s="1754"/>
      <c r="AX58" s="1754"/>
    </row>
    <row r="59" spans="1:50">
      <c r="B59" s="2652" t="s">
        <v>12726</v>
      </c>
      <c r="C59" s="1823" t="s">
        <v>4935</v>
      </c>
      <c r="D59" s="2662"/>
      <c r="E59" s="2653" t="s">
        <v>750</v>
      </c>
      <c r="F59" s="2647">
        <v>3</v>
      </c>
      <c r="G59" s="1399"/>
      <c r="H59" s="1400"/>
      <c r="I59" s="1400"/>
      <c r="J59" s="1580">
        <f t="shared" si="36"/>
        <v>0</v>
      </c>
      <c r="P59" s="1897"/>
      <c r="R59" s="24" t="str">
        <f xml:space="preserve"> IF( SUM( T59:AB59 ) = 0, 0, $U$4 )</f>
        <v>Please complete all cells in row</v>
      </c>
      <c r="S59" s="1250"/>
      <c r="T59" s="72"/>
      <c r="U59" s="98">
        <f>IF(Validation!$H$3=1,0,IF(ISNUMBER(G59),0,1))</f>
        <v>1</v>
      </c>
      <c r="V59" s="98">
        <f>IF(Validation!$H$3=1,0,IF(ISNUMBER(H59),0,1))</f>
        <v>1</v>
      </c>
      <c r="W59" s="98">
        <f>IF(Validation!$H$3=1,0,IF(ISNUMBER(I59),0,1))</f>
        <v>1</v>
      </c>
      <c r="X59" s="132"/>
      <c r="Y59" s="132"/>
      <c r="Z59" s="132"/>
      <c r="AA59" s="132"/>
      <c r="AB59" s="132"/>
      <c r="AC59" s="72"/>
      <c r="AK59" s="1394" t="s">
        <v>6233</v>
      </c>
      <c r="AL59" s="1403" t="s">
        <v>4935</v>
      </c>
      <c r="AM59" s="2674"/>
      <c r="AN59" s="2675" t="s">
        <v>750</v>
      </c>
      <c r="AO59" s="2676">
        <v>3</v>
      </c>
      <c r="AP59" s="1399" t="s">
        <v>9529</v>
      </c>
      <c r="AQ59" s="1400" t="s">
        <v>9530</v>
      </c>
      <c r="AR59" s="1400" t="s">
        <v>9531</v>
      </c>
      <c r="AS59" s="1580" t="s">
        <v>9532</v>
      </c>
      <c r="AT59" s="1754"/>
      <c r="AU59" s="1754"/>
      <c r="AV59" s="1754"/>
      <c r="AW59" s="1754"/>
      <c r="AX59" s="1754"/>
    </row>
    <row r="60" spans="1:50">
      <c r="B60" s="2652" t="s">
        <v>12727</v>
      </c>
      <c r="C60" s="1823" t="s">
        <v>12723</v>
      </c>
      <c r="D60" s="2662"/>
      <c r="E60" s="2653" t="s">
        <v>12209</v>
      </c>
      <c r="F60" s="2647">
        <v>0</v>
      </c>
      <c r="G60" s="1413"/>
      <c r="H60" s="1414"/>
      <c r="I60" s="1414"/>
      <c r="J60" s="2129">
        <f t="shared" si="36"/>
        <v>0</v>
      </c>
      <c r="P60" s="1897"/>
      <c r="R60" s="24" t="str">
        <f xml:space="preserve"> IF( SUM( T60:AB60 ) = 0, 0, $U$4 )</f>
        <v>Please complete all cells in row</v>
      </c>
      <c r="S60" s="1250"/>
      <c r="T60" s="72"/>
      <c r="U60" s="98">
        <f>IF(Validation!$H$3=1,0,IF(ISNUMBER(G60),0,1))</f>
        <v>1</v>
      </c>
      <c r="V60" s="98">
        <f>IF(Validation!$H$3=1,0,IF(ISNUMBER(H60),0,1))</f>
        <v>1</v>
      </c>
      <c r="W60" s="98">
        <f>IF(Validation!$H$3=1,0,IF(ISNUMBER(I60),0,1))</f>
        <v>1</v>
      </c>
      <c r="X60" s="132"/>
      <c r="Y60" s="132"/>
      <c r="Z60" s="132"/>
      <c r="AA60" s="132"/>
      <c r="AB60" s="132"/>
      <c r="AC60" s="72"/>
      <c r="AK60" s="1394" t="s">
        <v>6234</v>
      </c>
      <c r="AL60" s="1823" t="s">
        <v>12723</v>
      </c>
      <c r="AM60" s="2674"/>
      <c r="AN60" s="2675" t="s">
        <v>48</v>
      </c>
      <c r="AO60" s="2676">
        <v>0</v>
      </c>
      <c r="AP60" s="1413" t="s">
        <v>9533</v>
      </c>
      <c r="AQ60" s="1414" t="s">
        <v>9534</v>
      </c>
      <c r="AR60" s="1414" t="s">
        <v>9535</v>
      </c>
      <c r="AS60" s="1580" t="s">
        <v>9536</v>
      </c>
      <c r="AT60" s="1754"/>
      <c r="AU60" s="1754"/>
      <c r="AV60" s="1754"/>
      <c r="AW60" s="1754"/>
      <c r="AX60" s="1754"/>
    </row>
    <row r="61" spans="1:50">
      <c r="B61" s="2652" t="s">
        <v>12728</v>
      </c>
      <c r="C61" s="1823" t="s">
        <v>12724</v>
      </c>
      <c r="D61" s="2662"/>
      <c r="E61" s="2653" t="s">
        <v>12209</v>
      </c>
      <c r="F61" s="2647">
        <v>0</v>
      </c>
      <c r="G61" s="1413"/>
      <c r="H61" s="1414"/>
      <c r="I61" s="1414"/>
      <c r="J61" s="2129">
        <f t="shared" si="36"/>
        <v>0</v>
      </c>
      <c r="P61" s="1897"/>
      <c r="R61" s="24" t="str">
        <f xml:space="preserve"> IF( SUM( T61:AB61 ) = 0, 0, $U$4 )</f>
        <v>Please complete all cells in row</v>
      </c>
      <c r="S61" s="1250"/>
      <c r="T61" s="72"/>
      <c r="U61" s="98">
        <f>IF(Validation!$H$3=1,0,IF(ISNUMBER(G61),0,1))</f>
        <v>1</v>
      </c>
      <c r="V61" s="98">
        <f>IF(Validation!$H$3=1,0,IF(ISNUMBER(H61),0,1))</f>
        <v>1</v>
      </c>
      <c r="W61" s="98">
        <f>IF(Validation!$H$3=1,0,IF(ISNUMBER(I61),0,1))</f>
        <v>1</v>
      </c>
      <c r="X61" s="132"/>
      <c r="Y61" s="132"/>
      <c r="Z61" s="132"/>
      <c r="AA61" s="132"/>
      <c r="AB61" s="132"/>
      <c r="AC61" s="72"/>
      <c r="AK61" s="1394" t="s">
        <v>6235</v>
      </c>
      <c r="AL61" s="1823" t="s">
        <v>12724</v>
      </c>
      <c r="AM61" s="2674"/>
      <c r="AN61" s="2675" t="s">
        <v>48</v>
      </c>
      <c r="AO61" s="2676">
        <v>0</v>
      </c>
      <c r="AP61" s="1413" t="s">
        <v>9537</v>
      </c>
      <c r="AQ61" s="1414" t="s">
        <v>9538</v>
      </c>
      <c r="AR61" s="1414" t="s">
        <v>9539</v>
      </c>
      <c r="AS61" s="1580" t="s">
        <v>9540</v>
      </c>
      <c r="AT61" s="1754"/>
      <c r="AU61" s="1754"/>
      <c r="AV61" s="1754"/>
      <c r="AW61" s="1754"/>
      <c r="AX61" s="1754"/>
    </row>
    <row r="62" spans="1:50" ht="15" thickBot="1">
      <c r="B62" s="2652" t="s">
        <v>12729</v>
      </c>
      <c r="C62" s="1823" t="s">
        <v>4897</v>
      </c>
      <c r="D62" s="2662"/>
      <c r="E62" s="2654" t="s">
        <v>750</v>
      </c>
      <c r="F62" s="2647">
        <v>3</v>
      </c>
      <c r="G62" s="1405"/>
      <c r="H62" s="1400"/>
      <c r="I62" s="1406"/>
      <c r="J62" s="1580">
        <f t="shared" si="36"/>
        <v>0</v>
      </c>
      <c r="P62" s="1899"/>
      <c r="R62" s="24" t="str">
        <f xml:space="preserve"> IF( SUM( T62:AB62 ) = 0, 0, $U$4 )</f>
        <v>Please complete all cells in row</v>
      </c>
      <c r="S62" s="1250"/>
      <c r="T62" s="72"/>
      <c r="U62" s="98">
        <f>IF(Validation!$H$3=1,0,IF(ISNUMBER(G62),0,1))</f>
        <v>1</v>
      </c>
      <c r="V62" s="98">
        <f>IF(Validation!$H$3=1,0,IF(ISNUMBER(H62),0,1))</f>
        <v>1</v>
      </c>
      <c r="W62" s="98">
        <f>IF(Validation!$H$3=1,0,IF(ISNUMBER(I62),0,1))</f>
        <v>1</v>
      </c>
      <c r="X62" s="132"/>
      <c r="Y62" s="132"/>
      <c r="Z62" s="132"/>
      <c r="AA62" s="132"/>
      <c r="AB62" s="132"/>
      <c r="AC62" s="72"/>
      <c r="AK62" s="1394" t="s">
        <v>6236</v>
      </c>
      <c r="AL62" s="1403" t="s">
        <v>4897</v>
      </c>
      <c r="AM62" s="2674"/>
      <c r="AN62" s="2677" t="s">
        <v>4204</v>
      </c>
      <c r="AO62" s="2676">
        <v>0</v>
      </c>
      <c r="AP62" s="1424" t="s">
        <v>9541</v>
      </c>
      <c r="AQ62" s="1414" t="s">
        <v>9542</v>
      </c>
      <c r="AR62" s="1425" t="s">
        <v>9543</v>
      </c>
      <c r="AS62" s="1580" t="s">
        <v>9544</v>
      </c>
      <c r="AT62" s="1754"/>
      <c r="AU62" s="1754"/>
      <c r="AV62" s="1754"/>
      <c r="AW62" s="1754"/>
      <c r="AX62" s="1754"/>
    </row>
    <row r="63" spans="1:50" ht="15" thickBot="1">
      <c r="B63" s="2657" t="s">
        <v>12730</v>
      </c>
      <c r="C63" s="1835" t="s">
        <v>4922</v>
      </c>
      <c r="D63" s="2664"/>
      <c r="E63" s="2658" t="s">
        <v>750</v>
      </c>
      <c r="F63" s="2659">
        <v>3</v>
      </c>
      <c r="G63" s="1415"/>
      <c r="H63" s="1416"/>
      <c r="I63" s="1416"/>
      <c r="J63" s="1581">
        <f t="shared" si="36"/>
        <v>0</v>
      </c>
      <c r="X63" s="675"/>
      <c r="Y63" s="675"/>
      <c r="Z63" s="675"/>
      <c r="AA63" s="675"/>
      <c r="AB63" s="675"/>
      <c r="AK63" s="1407" t="s">
        <v>6237</v>
      </c>
      <c r="AL63" s="1568" t="s">
        <v>4922</v>
      </c>
      <c r="AM63" s="2678"/>
      <c r="AN63" s="2679" t="s">
        <v>4204</v>
      </c>
      <c r="AO63" s="2680">
        <v>0</v>
      </c>
      <c r="AP63" s="1426" t="s">
        <v>9545</v>
      </c>
      <c r="AQ63" s="1427" t="s">
        <v>9546</v>
      </c>
      <c r="AR63" s="1427" t="s">
        <v>9547</v>
      </c>
      <c r="AS63" s="1581" t="s">
        <v>9548</v>
      </c>
      <c r="AT63" s="1754"/>
      <c r="AU63" s="1754"/>
      <c r="AV63" s="1754"/>
      <c r="AW63" s="1754"/>
      <c r="AX63" s="1754"/>
    </row>
    <row r="64" spans="1:50" ht="15" thickBot="1">
      <c r="A64" s="1382"/>
      <c r="B64" s="2667"/>
      <c r="C64" s="2323"/>
      <c r="D64" s="2323"/>
      <c r="E64" s="2323"/>
      <c r="F64" s="2323"/>
      <c r="G64" s="1417"/>
      <c r="H64" s="1417"/>
      <c r="I64" s="1417"/>
      <c r="J64" s="1382"/>
      <c r="X64" s="675"/>
      <c r="Y64" s="675"/>
      <c r="Z64" s="675"/>
      <c r="AA64" s="675"/>
      <c r="AB64" s="675"/>
      <c r="AK64" s="1383"/>
      <c r="AL64" s="2323"/>
      <c r="AM64" s="2323"/>
      <c r="AN64" s="2323"/>
      <c r="AO64" s="2323"/>
      <c r="AP64" s="2323"/>
      <c r="AQ64" s="2323"/>
      <c r="AR64" s="2323"/>
      <c r="AS64" s="2323"/>
      <c r="AT64" s="1754"/>
      <c r="AU64" s="1754"/>
      <c r="AV64" s="1754"/>
      <c r="AW64" s="1754"/>
      <c r="AX64" s="1754"/>
    </row>
    <row r="65" spans="1:50" ht="15" thickBot="1">
      <c r="B65" s="2648" t="s">
        <v>2480</v>
      </c>
      <c r="C65" s="2691" t="s">
        <v>4332</v>
      </c>
      <c r="D65" s="1754"/>
      <c r="E65" s="1754"/>
      <c r="F65" s="1754"/>
      <c r="G65" s="1418"/>
      <c r="H65" s="1418"/>
      <c r="I65" s="1418"/>
      <c r="X65" s="675"/>
      <c r="Y65" s="675"/>
      <c r="Z65" s="675"/>
      <c r="AA65" s="675"/>
      <c r="AB65" s="675"/>
      <c r="AK65" s="1464" t="s">
        <v>2473</v>
      </c>
      <c r="AL65" s="1242" t="s">
        <v>4332</v>
      </c>
      <c r="AM65" s="1754"/>
      <c r="AN65" s="1754"/>
      <c r="AO65" s="1754"/>
      <c r="AP65" s="1754"/>
      <c r="AQ65" s="1754"/>
      <c r="AR65" s="1754"/>
      <c r="AS65" s="1754"/>
      <c r="AT65" s="1754"/>
      <c r="AU65" s="1754"/>
      <c r="AV65" s="1754"/>
      <c r="AW65" s="1754"/>
      <c r="AX65" s="1754"/>
    </row>
    <row r="66" spans="1:50">
      <c r="B66" s="2652" t="s">
        <v>12731</v>
      </c>
      <c r="C66" s="2643" t="s">
        <v>4898</v>
      </c>
      <c r="D66" s="2661"/>
      <c r="E66" s="2668" t="s">
        <v>750</v>
      </c>
      <c r="F66" s="2651">
        <v>3</v>
      </c>
      <c r="G66" s="1569"/>
      <c r="H66" s="1391"/>
      <c r="I66" s="1570"/>
      <c r="J66" s="1579">
        <f>+SUM(G66:I66)</f>
        <v>0</v>
      </c>
      <c r="P66" s="1900"/>
      <c r="R66" s="24" t="str">
        <f xml:space="preserve"> IF( SUM( T66:AB66 ) = 0, 0, $U$4 )</f>
        <v>Please complete all cells in row</v>
      </c>
      <c r="S66" s="1250"/>
      <c r="T66" s="72"/>
      <c r="U66" s="98">
        <f>IF(Validation!$H$3=1,0,IF(ISNUMBER(G66),0,1))</f>
        <v>1</v>
      </c>
      <c r="V66" s="98">
        <f>IF(Validation!$H$3=1,0,IF(ISNUMBER(H66),0,1))</f>
        <v>1</v>
      </c>
      <c r="W66" s="98">
        <f>IF(Validation!$H$3=1,0,IF(ISNUMBER(I66),0,1))</f>
        <v>1</v>
      </c>
      <c r="X66" s="132"/>
      <c r="Y66" s="132"/>
      <c r="Z66" s="132"/>
      <c r="AA66" s="132"/>
      <c r="AB66" s="132"/>
      <c r="AC66" s="72"/>
      <c r="AK66" s="1394" t="s">
        <v>6238</v>
      </c>
      <c r="AL66" s="1386" t="s">
        <v>4898</v>
      </c>
      <c r="AM66" s="1387"/>
      <c r="AN66" s="1573" t="s">
        <v>4204</v>
      </c>
      <c r="AO66" s="1389">
        <v>0</v>
      </c>
      <c r="AP66" s="1576" t="s">
        <v>9549</v>
      </c>
      <c r="AQ66" s="1577" t="s">
        <v>9550</v>
      </c>
      <c r="AR66" s="1578" t="s">
        <v>9551</v>
      </c>
      <c r="AS66" s="1579" t="s">
        <v>9552</v>
      </c>
    </row>
    <row r="67" spans="1:50">
      <c r="B67" s="2652" t="s">
        <v>12732</v>
      </c>
      <c r="C67" s="1823" t="s">
        <v>4923</v>
      </c>
      <c r="D67" s="2662"/>
      <c r="E67" s="2654" t="s">
        <v>750</v>
      </c>
      <c r="F67" s="2647">
        <v>3</v>
      </c>
      <c r="G67" s="1405"/>
      <c r="H67" s="1400"/>
      <c r="I67" s="1406"/>
      <c r="J67" s="1580">
        <f>+SUM(G67:I67)</f>
        <v>0</v>
      </c>
      <c r="P67" s="1897"/>
      <c r="R67" s="24" t="str">
        <f xml:space="preserve"> IF( SUM( T67:AB67 ) = 0, 0, $U$4 )</f>
        <v>Please complete all cells in row</v>
      </c>
      <c r="S67" s="1250"/>
      <c r="T67" s="72"/>
      <c r="U67" s="98">
        <f>IF(Validation!$H$3=1,0,IF(ISNUMBER(G67),0,1))</f>
        <v>1</v>
      </c>
      <c r="V67" s="98">
        <f>IF(Validation!$H$3=1,0,IF(ISNUMBER(H67),0,1))</f>
        <v>1</v>
      </c>
      <c r="W67" s="98">
        <f>IF(Validation!$H$3=1,0,IF(ISNUMBER(I67),0,1))</f>
        <v>1</v>
      </c>
      <c r="X67" s="132"/>
      <c r="Y67" s="132"/>
      <c r="Z67" s="132"/>
      <c r="AA67" s="132"/>
      <c r="AB67" s="132"/>
      <c r="AC67" s="72"/>
      <c r="AK67" s="1394" t="s">
        <v>6239</v>
      </c>
      <c r="AL67" s="1395" t="s">
        <v>4923</v>
      </c>
      <c r="AM67" s="1396"/>
      <c r="AN67" s="1404" t="s">
        <v>4204</v>
      </c>
      <c r="AO67" s="1398">
        <v>0</v>
      </c>
      <c r="AP67" s="1424" t="s">
        <v>9553</v>
      </c>
      <c r="AQ67" s="1414" t="s">
        <v>9554</v>
      </c>
      <c r="AR67" s="1425" t="s">
        <v>9555</v>
      </c>
      <c r="AS67" s="1580" t="s">
        <v>9556</v>
      </c>
    </row>
    <row r="68" spans="1:50" ht="15" thickBot="1">
      <c r="B68" s="2657" t="s">
        <v>12733</v>
      </c>
      <c r="C68" s="1835" t="s">
        <v>4900</v>
      </c>
      <c r="D68" s="2664"/>
      <c r="E68" s="2658" t="s">
        <v>750</v>
      </c>
      <c r="F68" s="2659">
        <v>3</v>
      </c>
      <c r="G68" s="1415"/>
      <c r="H68" s="1416"/>
      <c r="I68" s="1416"/>
      <c r="J68" s="1582">
        <f>+SUM(G68:I68)</f>
        <v>0</v>
      </c>
      <c r="P68" s="1899"/>
      <c r="R68" s="1431" t="str">
        <f>IF(SUM(T68:AB68)&lt;&gt;0,$U$4,IF(SUM(AC68:AE68)=0,0,$AH$68))</f>
        <v>Please complete all cells in row</v>
      </c>
      <c r="S68" s="1250"/>
      <c r="T68" s="72"/>
      <c r="U68" s="98">
        <f>IF(Validation!$H$3=1,0,IF(ISNUMBER(G68),0,1))</f>
        <v>1</v>
      </c>
      <c r="V68" s="98">
        <f>IF(Validation!$H$3=1,0,IF(ISNUMBER(H68),0,1))</f>
        <v>1</v>
      </c>
      <c r="W68" s="98">
        <f>IF(Validation!$H$3=1,0,IF(ISNUMBER(I68),0,1))</f>
        <v>1</v>
      </c>
      <c r="X68" s="132"/>
      <c r="Y68" s="132"/>
      <c r="Z68" s="132"/>
      <c r="AA68" s="132"/>
      <c r="AB68" s="132"/>
      <c r="AC68" s="72"/>
      <c r="AD68" s="98">
        <f xml:space="preserve"> IF( (AF68 - AG68) = 0, 0, 1 )</f>
        <v>0</v>
      </c>
      <c r="AE68" s="129"/>
      <c r="AF68" s="117">
        <f>+J68+J67+J66</f>
        <v>0</v>
      </c>
      <c r="AG68" s="117">
        <f>+'4E'!O9</f>
        <v>0</v>
      </c>
      <c r="AH68" s="144" t="s">
        <v>12243</v>
      </c>
      <c r="AI68" s="129"/>
      <c r="AK68" s="1407" t="s">
        <v>6240</v>
      </c>
      <c r="AL68" s="1408" t="s">
        <v>4900</v>
      </c>
      <c r="AM68" s="1409"/>
      <c r="AN68" s="1410" t="s">
        <v>4204</v>
      </c>
      <c r="AO68" s="1411">
        <v>0</v>
      </c>
      <c r="AP68" s="1426" t="s">
        <v>9557</v>
      </c>
      <c r="AQ68" s="1427" t="s">
        <v>9558</v>
      </c>
      <c r="AR68" s="1427" t="s">
        <v>9559</v>
      </c>
      <c r="AS68" s="1582" t="s">
        <v>9560</v>
      </c>
    </row>
    <row r="69" spans="1:50">
      <c r="B69" s="1754"/>
      <c r="C69" s="1754"/>
      <c r="D69" s="1754"/>
      <c r="E69" s="1754"/>
      <c r="F69" s="1754"/>
      <c r="X69" s="675"/>
      <c r="Y69" s="675"/>
      <c r="Z69" s="675"/>
      <c r="AA69" s="675"/>
      <c r="AB69" s="675"/>
    </row>
    <row r="70" spans="1:50">
      <c r="B70" s="3742" t="s">
        <v>2420</v>
      </c>
      <c r="C70" s="3742"/>
      <c r="D70" s="2669"/>
      <c r="E70" s="1080"/>
      <c r="F70" s="1081"/>
    </row>
    <row r="71" spans="1:50">
      <c r="B71" s="1078"/>
      <c r="C71" s="2670"/>
      <c r="D71" s="2669"/>
      <c r="E71" s="1080"/>
      <c r="F71" s="1081"/>
      <c r="G71" s="2143"/>
      <c r="H71" s="2143"/>
      <c r="I71" s="2143"/>
      <c r="J71" s="2143"/>
      <c r="K71" s="2143"/>
      <c r="L71" s="2143"/>
      <c r="M71" s="2143"/>
      <c r="N71" s="2143"/>
      <c r="O71" s="2143"/>
      <c r="P71" s="2032"/>
      <c r="Q71" s="2032"/>
      <c r="R71" s="1368"/>
      <c r="S71" s="1368"/>
      <c r="T71" s="1766"/>
      <c r="U71" s="1368"/>
      <c r="V71" s="1368"/>
      <c r="W71" s="200"/>
      <c r="X71" s="200"/>
    </row>
    <row r="72" spans="1:50">
      <c r="B72" s="1307"/>
      <c r="C72" s="1181" t="s">
        <v>2421</v>
      </c>
      <c r="D72" s="1009"/>
      <c r="E72" s="1276"/>
      <c r="F72" s="1276"/>
      <c r="G72" s="1276"/>
      <c r="H72" s="1276"/>
      <c r="I72" s="1276"/>
      <c r="J72" s="1276"/>
      <c r="K72" s="1276"/>
      <c r="L72" s="1276"/>
      <c r="M72" s="1276"/>
      <c r="N72" s="1276"/>
      <c r="O72" s="1276"/>
      <c r="P72" s="1276"/>
      <c r="Q72" s="1276"/>
      <c r="R72" s="1368"/>
      <c r="S72" s="1368"/>
      <c r="T72" s="1766"/>
      <c r="U72" s="1368"/>
      <c r="V72" s="1368"/>
      <c r="W72" s="1419"/>
      <c r="X72" s="1419"/>
    </row>
    <row r="73" spans="1:50">
      <c r="B73" s="1250"/>
      <c r="C73" s="1250"/>
      <c r="D73" s="1250"/>
      <c r="E73" s="1250"/>
      <c r="F73" s="1250"/>
      <c r="G73" s="1250"/>
      <c r="H73" s="1250"/>
      <c r="I73" s="1250"/>
      <c r="J73" s="1250"/>
      <c r="K73" s="1250"/>
      <c r="L73" s="1250"/>
      <c r="M73" s="1250"/>
      <c r="N73" s="1250"/>
      <c r="O73" s="1250"/>
      <c r="P73" s="1250"/>
      <c r="Q73" s="1250"/>
      <c r="R73" s="1250"/>
      <c r="S73" s="1250"/>
      <c r="T73" s="1767"/>
      <c r="U73" s="1250"/>
      <c r="V73" s="1250"/>
      <c r="W73" s="1250"/>
      <c r="X73" s="1250"/>
    </row>
    <row r="74" spans="1:50">
      <c r="B74" s="1010"/>
      <c r="C74" s="1309" t="s">
        <v>4082</v>
      </c>
      <c r="D74" s="1278"/>
      <c r="E74" s="1278"/>
      <c r="F74" s="1278"/>
      <c r="G74" s="1278"/>
      <c r="H74" s="1278"/>
      <c r="I74" s="1278"/>
      <c r="J74" s="1278"/>
      <c r="K74" s="1278"/>
      <c r="L74" s="1278"/>
      <c r="M74" s="1278"/>
      <c r="N74" s="1278"/>
      <c r="O74" s="1278"/>
      <c r="P74" s="1278"/>
      <c r="Q74" s="1278"/>
      <c r="R74" s="1278"/>
      <c r="S74" s="1278"/>
      <c r="T74" s="1768"/>
      <c r="U74" s="1278"/>
      <c r="V74" s="1278"/>
      <c r="W74" s="1278"/>
      <c r="X74" s="1278"/>
    </row>
    <row r="75" spans="1:50">
      <c r="B75" s="585"/>
    </row>
    <row r="76" spans="1:50" ht="15" thickBot="1">
      <c r="B76" s="585"/>
    </row>
    <row r="77" spans="1:50" ht="19.5" thickBot="1">
      <c r="B77" s="1433" t="s">
        <v>12572</v>
      </c>
      <c r="C77" s="152"/>
      <c r="D77" s="153"/>
      <c r="E77" s="153"/>
      <c r="F77" s="153"/>
      <c r="G77" s="153"/>
      <c r="H77" s="153"/>
      <c r="I77" s="153"/>
      <c r="J77" s="153"/>
      <c r="K77" s="159"/>
    </row>
    <row r="78" spans="1:50">
      <c r="B78" s="585"/>
    </row>
    <row r="79" spans="1:50" ht="15" hidden="1" thickBot="1">
      <c r="A79" s="1696"/>
      <c r="B79" s="2209" t="str">
        <f ca="1" xml:space="preserve"> RIGHT(CELL("filename", $A$1), LEN(CELL("filename", $A$1)) - SEARCH("]", CELL("filename", $A$1)))&amp;" - Line definitions"</f>
        <v>4W - Line definitions</v>
      </c>
      <c r="C79" s="2211"/>
      <c r="D79" s="2211"/>
      <c r="E79" s="2211"/>
      <c r="F79" s="2211"/>
      <c r="G79" s="2211"/>
      <c r="H79" s="2211"/>
      <c r="I79" s="2211"/>
      <c r="J79" s="2211"/>
      <c r="K79" s="2211"/>
      <c r="L79" s="2211"/>
      <c r="M79" s="2211"/>
      <c r="N79" s="2211"/>
      <c r="O79" s="2211"/>
      <c r="P79" s="2212"/>
      <c r="Q79" s="2146"/>
      <c r="R79" s="2146"/>
      <c r="S79" s="2146"/>
      <c r="U79" s="2146"/>
      <c r="V79" s="2146"/>
      <c r="W79" s="2146"/>
      <c r="X79" s="2146"/>
    </row>
    <row r="80" spans="1:50" ht="15" hidden="1" thickBot="1">
      <c r="A80" s="1696"/>
      <c r="B80" s="585"/>
      <c r="P80" s="2146"/>
      <c r="Q80" s="2146"/>
      <c r="R80" s="2146"/>
      <c r="S80" s="2146"/>
      <c r="U80" s="2146"/>
      <c r="V80" s="2146"/>
      <c r="W80" s="2146"/>
      <c r="X80" s="2146"/>
    </row>
    <row r="81" spans="1:35" hidden="1">
      <c r="A81" s="1696"/>
      <c r="B81" s="1348" t="s">
        <v>2423</v>
      </c>
      <c r="C81" s="3840" t="s">
        <v>2424</v>
      </c>
      <c r="D81" s="3841"/>
      <c r="E81" s="3841"/>
      <c r="F81" s="3841"/>
      <c r="G81" s="3841"/>
      <c r="H81" s="3841"/>
      <c r="I81" s="3841"/>
      <c r="J81" s="3841"/>
      <c r="K81" s="3841"/>
      <c r="L81" s="3841"/>
      <c r="M81" s="3841"/>
      <c r="N81" s="3841"/>
      <c r="O81" s="3841"/>
      <c r="P81" s="3842"/>
      <c r="Q81" s="2146"/>
      <c r="R81" s="2146"/>
      <c r="S81" s="2146"/>
      <c r="U81" s="2146"/>
      <c r="V81" s="2146"/>
      <c r="W81" s="2146"/>
      <c r="X81" s="2146"/>
    </row>
    <row r="82" spans="1:35" ht="14.25" hidden="1" customHeight="1">
      <c r="A82" s="1696"/>
      <c r="B82" s="2254" t="s">
        <v>12883</v>
      </c>
      <c r="C82" s="3827" t="s">
        <v>3613</v>
      </c>
      <c r="D82" s="3828"/>
      <c r="E82" s="3828"/>
      <c r="F82" s="3828"/>
      <c r="G82" s="3828"/>
      <c r="H82" s="3828"/>
      <c r="I82" s="3828"/>
      <c r="J82" s="3828"/>
      <c r="K82" s="3828"/>
      <c r="L82" s="3828"/>
      <c r="M82" s="3828"/>
      <c r="N82" s="3828"/>
      <c r="O82" s="3828"/>
      <c r="P82" s="3829"/>
      <c r="Q82" s="2146"/>
      <c r="R82" s="2146"/>
      <c r="S82" s="2146"/>
      <c r="U82" s="2146"/>
      <c r="V82" s="2146"/>
      <c r="W82" s="2146"/>
      <c r="X82" s="2146"/>
    </row>
    <row r="83" spans="1:35" ht="69.75" hidden="1" customHeight="1">
      <c r="A83" s="1696"/>
      <c r="B83" s="2253" t="s">
        <v>12884</v>
      </c>
      <c r="C83" s="3818" t="s">
        <v>3814</v>
      </c>
      <c r="D83" s="3819"/>
      <c r="E83" s="3819"/>
      <c r="F83" s="3819"/>
      <c r="G83" s="3819"/>
      <c r="H83" s="3819"/>
      <c r="I83" s="3819"/>
      <c r="J83" s="3819"/>
      <c r="K83" s="3819"/>
      <c r="L83" s="3819"/>
      <c r="M83" s="3819"/>
      <c r="N83" s="3819"/>
      <c r="O83" s="3819"/>
      <c r="P83" s="3820"/>
      <c r="Q83" s="2146"/>
      <c r="R83" s="2146"/>
      <c r="S83" s="2146"/>
      <c r="U83" s="2146"/>
      <c r="V83" s="2146"/>
      <c r="W83" s="2146"/>
      <c r="X83" s="2146"/>
    </row>
    <row r="84" spans="1:35" s="2146" customFormat="1" hidden="1">
      <c r="A84" s="1696"/>
      <c r="B84" s="2255" t="s">
        <v>13153</v>
      </c>
      <c r="C84" s="3818" t="s">
        <v>3680</v>
      </c>
      <c r="D84" s="3819"/>
      <c r="E84" s="3819"/>
      <c r="F84" s="3819"/>
      <c r="G84" s="3819"/>
      <c r="H84" s="3819"/>
      <c r="I84" s="3819"/>
      <c r="J84" s="3819"/>
      <c r="K84" s="3819"/>
      <c r="L84" s="3819"/>
      <c r="M84" s="3819"/>
      <c r="N84" s="3819"/>
      <c r="O84" s="3819"/>
      <c r="P84" s="3820"/>
      <c r="T84" s="1764"/>
      <c r="AC84" s="1764"/>
      <c r="AE84" s="1764"/>
      <c r="AI84" s="1764"/>
    </row>
    <row r="85" spans="1:35" s="2146" customFormat="1" hidden="1">
      <c r="A85" s="1696"/>
      <c r="B85" s="2253" t="s">
        <v>12885</v>
      </c>
      <c r="C85" s="3818" t="s">
        <v>3681</v>
      </c>
      <c r="D85" s="3819"/>
      <c r="E85" s="3819"/>
      <c r="F85" s="3819"/>
      <c r="G85" s="3819"/>
      <c r="H85" s="3819"/>
      <c r="I85" s="3819"/>
      <c r="J85" s="3819"/>
      <c r="K85" s="3819"/>
      <c r="L85" s="3819"/>
      <c r="M85" s="3819"/>
      <c r="N85" s="3819"/>
      <c r="O85" s="3819"/>
      <c r="P85" s="3820"/>
      <c r="T85" s="1764"/>
      <c r="AC85" s="1764"/>
      <c r="AE85" s="1764"/>
      <c r="AI85" s="1764"/>
    </row>
    <row r="86" spans="1:35" s="2146" customFormat="1" hidden="1">
      <c r="A86" s="1696"/>
      <c r="B86" s="2253" t="s">
        <v>12886</v>
      </c>
      <c r="C86" s="3818" t="s">
        <v>3795</v>
      </c>
      <c r="D86" s="3819"/>
      <c r="E86" s="3819"/>
      <c r="F86" s="3819"/>
      <c r="G86" s="3819"/>
      <c r="H86" s="3819"/>
      <c r="I86" s="3819"/>
      <c r="J86" s="3819"/>
      <c r="K86" s="3819"/>
      <c r="L86" s="3819"/>
      <c r="M86" s="3819"/>
      <c r="N86" s="3819"/>
      <c r="O86" s="3819"/>
      <c r="P86" s="3820"/>
      <c r="T86" s="1764"/>
      <c r="AC86" s="1764"/>
      <c r="AE86" s="1764"/>
      <c r="AI86" s="1764"/>
    </row>
    <row r="87" spans="1:35" s="2146" customFormat="1" hidden="1">
      <c r="A87" s="1696"/>
      <c r="B87" s="2253" t="s">
        <v>12887</v>
      </c>
      <c r="C87" s="3818" t="s">
        <v>3796</v>
      </c>
      <c r="D87" s="3819"/>
      <c r="E87" s="3819"/>
      <c r="F87" s="3819"/>
      <c r="G87" s="3819"/>
      <c r="H87" s="3819"/>
      <c r="I87" s="3819"/>
      <c r="J87" s="3819"/>
      <c r="K87" s="3819"/>
      <c r="L87" s="3819"/>
      <c r="M87" s="3819"/>
      <c r="N87" s="3819"/>
      <c r="O87" s="3819"/>
      <c r="P87" s="3820"/>
      <c r="T87" s="1764"/>
      <c r="AC87" s="1764"/>
      <c r="AE87" s="1764"/>
      <c r="AI87" s="1764"/>
    </row>
    <row r="88" spans="1:35" s="2146" customFormat="1" ht="59.25" hidden="1" customHeight="1">
      <c r="A88" s="1696"/>
      <c r="B88" s="2253" t="s">
        <v>12888</v>
      </c>
      <c r="C88" s="3818" t="s">
        <v>12889</v>
      </c>
      <c r="D88" s="3819"/>
      <c r="E88" s="3819"/>
      <c r="F88" s="3819"/>
      <c r="G88" s="3819"/>
      <c r="H88" s="3819"/>
      <c r="I88" s="3819"/>
      <c r="J88" s="3819"/>
      <c r="K88" s="3819"/>
      <c r="L88" s="3819"/>
      <c r="M88" s="3819"/>
      <c r="N88" s="3819"/>
      <c r="O88" s="3819"/>
      <c r="P88" s="3820"/>
      <c r="T88" s="1764"/>
      <c r="AC88" s="1764"/>
      <c r="AE88" s="1764"/>
      <c r="AI88" s="1764"/>
    </row>
    <row r="89" spans="1:35" s="2146" customFormat="1" ht="55.5" hidden="1" customHeight="1">
      <c r="A89" s="1696"/>
      <c r="B89" s="2253" t="s">
        <v>12890</v>
      </c>
      <c r="C89" s="3818" t="s">
        <v>12891</v>
      </c>
      <c r="D89" s="3819"/>
      <c r="E89" s="3819"/>
      <c r="F89" s="3819"/>
      <c r="G89" s="3819"/>
      <c r="H89" s="3819"/>
      <c r="I89" s="3819"/>
      <c r="J89" s="3819"/>
      <c r="K89" s="3819"/>
      <c r="L89" s="3819"/>
      <c r="M89" s="3819"/>
      <c r="N89" s="3819"/>
      <c r="O89" s="3819"/>
      <c r="P89" s="3820"/>
      <c r="T89" s="1764"/>
      <c r="AC89" s="1764"/>
      <c r="AE89" s="1764"/>
      <c r="AI89" s="1764"/>
    </row>
    <row r="90" spans="1:35" s="2146" customFormat="1" ht="58.5" hidden="1" customHeight="1">
      <c r="A90" s="1696"/>
      <c r="B90" s="2253" t="s">
        <v>12892</v>
      </c>
      <c r="C90" s="3818" t="s">
        <v>12893</v>
      </c>
      <c r="D90" s="3819"/>
      <c r="E90" s="3819"/>
      <c r="F90" s="3819"/>
      <c r="G90" s="3819"/>
      <c r="H90" s="3819"/>
      <c r="I90" s="3819"/>
      <c r="J90" s="3819"/>
      <c r="K90" s="3819"/>
      <c r="L90" s="3819"/>
      <c r="M90" s="3819"/>
      <c r="N90" s="3819"/>
      <c r="O90" s="3819"/>
      <c r="P90" s="3820"/>
      <c r="T90" s="1764"/>
      <c r="AC90" s="1764"/>
      <c r="AE90" s="1764"/>
      <c r="AI90" s="1764"/>
    </row>
    <row r="91" spans="1:35" ht="14.25" hidden="1" customHeight="1">
      <c r="A91" s="1696"/>
      <c r="B91" s="2253" t="s">
        <v>12894</v>
      </c>
      <c r="C91" s="3818" t="s">
        <v>3668</v>
      </c>
      <c r="D91" s="3819"/>
      <c r="E91" s="3819"/>
      <c r="F91" s="3819"/>
      <c r="G91" s="3819"/>
      <c r="H91" s="3819"/>
      <c r="I91" s="3819"/>
      <c r="J91" s="3819"/>
      <c r="K91" s="3819"/>
      <c r="L91" s="3819"/>
      <c r="M91" s="3819"/>
      <c r="N91" s="3819"/>
      <c r="O91" s="3819"/>
      <c r="P91" s="3820"/>
      <c r="Q91" s="2146"/>
      <c r="R91" s="2146"/>
      <c r="S91" s="2146"/>
      <c r="U91" s="2146"/>
      <c r="V91" s="2146"/>
      <c r="W91" s="2146"/>
      <c r="X91" s="2146"/>
    </row>
    <row r="92" spans="1:35" ht="62.65" hidden="1" customHeight="1">
      <c r="A92" s="1696"/>
      <c r="B92" s="2253" t="s">
        <v>12896</v>
      </c>
      <c r="C92" s="3818" t="s">
        <v>12895</v>
      </c>
      <c r="D92" s="3819"/>
      <c r="E92" s="3819"/>
      <c r="F92" s="3819"/>
      <c r="G92" s="3819"/>
      <c r="H92" s="3819"/>
      <c r="I92" s="3819"/>
      <c r="J92" s="3819"/>
      <c r="K92" s="3819"/>
      <c r="L92" s="3819"/>
      <c r="M92" s="3819"/>
      <c r="N92" s="3819"/>
      <c r="O92" s="3819"/>
      <c r="P92" s="3820"/>
      <c r="Q92" s="2146"/>
      <c r="R92" s="2146"/>
      <c r="S92" s="2146"/>
      <c r="U92" s="2146"/>
      <c r="V92" s="2146"/>
      <c r="W92" s="2146"/>
      <c r="X92" s="2146"/>
    </row>
    <row r="93" spans="1:35" hidden="1">
      <c r="A93" s="1696"/>
      <c r="B93" s="2253" t="s">
        <v>12897</v>
      </c>
      <c r="C93" s="3818" t="s">
        <v>12898</v>
      </c>
      <c r="D93" s="3819"/>
      <c r="E93" s="3819"/>
      <c r="F93" s="3819"/>
      <c r="G93" s="3819"/>
      <c r="H93" s="3819"/>
      <c r="I93" s="3819"/>
      <c r="J93" s="3819"/>
      <c r="K93" s="3819"/>
      <c r="L93" s="3819"/>
      <c r="M93" s="3819"/>
      <c r="N93" s="3819"/>
      <c r="O93" s="3819"/>
      <c r="P93" s="3820"/>
      <c r="Q93" s="2146"/>
      <c r="R93" s="2146"/>
      <c r="S93" s="2146"/>
      <c r="U93" s="2146"/>
      <c r="V93" s="2146"/>
      <c r="W93" s="2146"/>
      <c r="X93" s="2146"/>
    </row>
    <row r="94" spans="1:35" ht="62.65" hidden="1" customHeight="1" thickBot="1">
      <c r="A94" s="1696"/>
      <c r="B94" s="1420" t="s">
        <v>12899</v>
      </c>
      <c r="C94" s="3821" t="s">
        <v>12900</v>
      </c>
      <c r="D94" s="3822"/>
      <c r="E94" s="3822"/>
      <c r="F94" s="3822"/>
      <c r="G94" s="3822"/>
      <c r="H94" s="3822"/>
      <c r="I94" s="3822"/>
      <c r="J94" s="3822"/>
      <c r="K94" s="3822"/>
      <c r="L94" s="3822"/>
      <c r="M94" s="3822"/>
      <c r="N94" s="3822"/>
      <c r="O94" s="3822"/>
      <c r="P94" s="3823"/>
      <c r="Q94" s="2146"/>
      <c r="R94" s="2146"/>
      <c r="S94" s="2146"/>
      <c r="U94" s="2146"/>
      <c r="V94" s="2146"/>
      <c r="W94" s="2146"/>
      <c r="X94" s="2146"/>
    </row>
    <row r="95" spans="1:35" ht="15" hidden="1" thickBot="1">
      <c r="A95" s="1696"/>
    </row>
    <row r="96" spans="1:35" ht="15" hidden="1" thickBot="1">
      <c r="A96" s="1696"/>
      <c r="B96" s="3518" t="str">
        <f>+B53</f>
        <v>Other expenditure - Wholesale wastewater</v>
      </c>
      <c r="C96" s="3674"/>
      <c r="D96" s="3674"/>
      <c r="E96" s="3674"/>
      <c r="F96" s="3674"/>
      <c r="G96" s="3674"/>
      <c r="H96" s="3674"/>
      <c r="I96" s="3674"/>
      <c r="J96" s="3674"/>
      <c r="K96" s="3674"/>
      <c r="L96" s="3674"/>
      <c r="M96" s="3674"/>
      <c r="N96" s="3674"/>
      <c r="O96" s="3674"/>
      <c r="P96" s="3675"/>
      <c r="Q96" s="2146"/>
      <c r="R96" s="2146"/>
      <c r="S96" s="2146"/>
    </row>
    <row r="97" spans="1:19" ht="15" hidden="1" thickBot="1">
      <c r="A97" s="1696"/>
      <c r="B97" s="585"/>
      <c r="Q97" s="2146"/>
      <c r="R97" s="2146"/>
      <c r="S97" s="2146"/>
    </row>
    <row r="98" spans="1:19" ht="15" hidden="1" thickBot="1">
      <c r="A98" s="1696"/>
      <c r="B98" s="1348" t="s">
        <v>2423</v>
      </c>
      <c r="C98" s="3843" t="s">
        <v>2424</v>
      </c>
      <c r="D98" s="3831"/>
      <c r="E98" s="3831"/>
      <c r="F98" s="3831"/>
      <c r="G98" s="3831"/>
      <c r="H98" s="3831"/>
      <c r="I98" s="3831"/>
      <c r="J98" s="3831"/>
      <c r="K98" s="3831"/>
      <c r="L98" s="3831"/>
      <c r="M98" s="3831"/>
      <c r="N98" s="3831"/>
      <c r="O98" s="3831"/>
      <c r="P98" s="3832"/>
      <c r="Q98" s="2146"/>
      <c r="R98" s="2146"/>
      <c r="S98" s="2146"/>
    </row>
    <row r="99" spans="1:19" ht="42" hidden="1" customHeight="1">
      <c r="A99" s="1696"/>
      <c r="B99" s="1421">
        <v>40</v>
      </c>
      <c r="C99" s="3844" t="s">
        <v>4924</v>
      </c>
      <c r="D99" s="3845"/>
      <c r="E99" s="3845"/>
      <c r="F99" s="3845"/>
      <c r="G99" s="3845"/>
      <c r="H99" s="3845"/>
      <c r="I99" s="3845"/>
      <c r="J99" s="3845"/>
      <c r="K99" s="3845"/>
      <c r="L99" s="3845"/>
      <c r="M99" s="3845"/>
      <c r="N99" s="3845"/>
      <c r="O99" s="3845"/>
      <c r="P99" s="3846"/>
      <c r="Q99" s="2146"/>
      <c r="R99" s="2146"/>
      <c r="S99" s="2146"/>
    </row>
    <row r="100" spans="1:19" ht="58.5" hidden="1" customHeight="1">
      <c r="A100" s="1696"/>
      <c r="B100" s="2253">
        <f t="shared" ref="B100:B107" si="37">+B99+1</f>
        <v>41</v>
      </c>
      <c r="C100" s="3818" t="s">
        <v>13197</v>
      </c>
      <c r="D100" s="3819"/>
      <c r="E100" s="3819"/>
      <c r="F100" s="3819"/>
      <c r="G100" s="3819"/>
      <c r="H100" s="3819"/>
      <c r="I100" s="3819"/>
      <c r="J100" s="3819"/>
      <c r="K100" s="3819"/>
      <c r="L100" s="3819"/>
      <c r="M100" s="3819"/>
      <c r="N100" s="3819"/>
      <c r="O100" s="3819"/>
      <c r="P100" s="3820"/>
      <c r="Q100" s="2146"/>
      <c r="R100" s="2146"/>
      <c r="S100" s="2146"/>
    </row>
    <row r="101" spans="1:19" ht="14.25" hidden="1" customHeight="1">
      <c r="A101" s="1696"/>
      <c r="B101" s="2253">
        <f t="shared" si="37"/>
        <v>42</v>
      </c>
      <c r="C101" s="3818" t="s">
        <v>12901</v>
      </c>
      <c r="D101" s="3819"/>
      <c r="E101" s="3819"/>
      <c r="F101" s="3819"/>
      <c r="G101" s="3819"/>
      <c r="H101" s="3819"/>
      <c r="I101" s="3819"/>
      <c r="J101" s="3819"/>
      <c r="K101" s="3819"/>
      <c r="L101" s="3819"/>
      <c r="M101" s="3819"/>
      <c r="N101" s="3819"/>
      <c r="O101" s="3819"/>
      <c r="P101" s="3820"/>
      <c r="Q101" s="2146"/>
      <c r="R101" s="2146"/>
      <c r="S101" s="2146"/>
    </row>
    <row r="102" spans="1:19" ht="14.25" hidden="1" customHeight="1">
      <c r="A102" s="1696"/>
      <c r="B102" s="2253">
        <f t="shared" si="37"/>
        <v>43</v>
      </c>
      <c r="C102" s="3818" t="s">
        <v>12902</v>
      </c>
      <c r="D102" s="3819"/>
      <c r="E102" s="3819"/>
      <c r="F102" s="3819"/>
      <c r="G102" s="3819"/>
      <c r="H102" s="3819"/>
      <c r="I102" s="3819"/>
      <c r="J102" s="3819"/>
      <c r="K102" s="3819"/>
      <c r="L102" s="3819"/>
      <c r="M102" s="3819"/>
      <c r="N102" s="3819"/>
      <c r="O102" s="3819"/>
      <c r="P102" s="3820"/>
      <c r="Q102" s="2146"/>
      <c r="R102" s="2146"/>
      <c r="S102" s="2146"/>
    </row>
    <row r="103" spans="1:19" ht="14.25" hidden="1" customHeight="1">
      <c r="A103" s="1696"/>
      <c r="B103" s="2253">
        <f t="shared" si="37"/>
        <v>44</v>
      </c>
      <c r="C103" s="3818" t="s">
        <v>4925</v>
      </c>
      <c r="D103" s="3819"/>
      <c r="E103" s="3819"/>
      <c r="F103" s="3819"/>
      <c r="G103" s="3819"/>
      <c r="H103" s="3819"/>
      <c r="I103" s="3819"/>
      <c r="J103" s="3819"/>
      <c r="K103" s="3819"/>
      <c r="L103" s="3819"/>
      <c r="M103" s="3819"/>
      <c r="N103" s="3819"/>
      <c r="O103" s="3819"/>
      <c r="P103" s="3820"/>
      <c r="Q103" s="2146"/>
      <c r="R103" s="2146"/>
      <c r="S103" s="2146"/>
    </row>
    <row r="104" spans="1:19" hidden="1">
      <c r="A104" s="1696"/>
      <c r="B104" s="2253">
        <f t="shared" si="37"/>
        <v>45</v>
      </c>
      <c r="C104" s="3847" t="s">
        <v>4926</v>
      </c>
      <c r="D104" s="3848"/>
      <c r="E104" s="3848"/>
      <c r="F104" s="3848"/>
      <c r="G104" s="3848"/>
      <c r="H104" s="3848"/>
      <c r="I104" s="3848"/>
      <c r="J104" s="3848"/>
      <c r="K104" s="3848"/>
      <c r="L104" s="3848"/>
      <c r="M104" s="3848"/>
      <c r="N104" s="3848"/>
      <c r="O104" s="3848"/>
      <c r="P104" s="3849"/>
      <c r="Q104" s="2146"/>
      <c r="R104" s="2146"/>
      <c r="S104" s="2146"/>
    </row>
    <row r="105" spans="1:19" ht="14.25" hidden="1" customHeight="1">
      <c r="A105" s="1696"/>
      <c r="B105" s="2253">
        <f t="shared" si="37"/>
        <v>46</v>
      </c>
      <c r="C105" s="3818" t="s">
        <v>4927</v>
      </c>
      <c r="D105" s="3819"/>
      <c r="E105" s="3819"/>
      <c r="F105" s="3819"/>
      <c r="G105" s="3819"/>
      <c r="H105" s="3819"/>
      <c r="I105" s="3819"/>
      <c r="J105" s="3819"/>
      <c r="K105" s="3819"/>
      <c r="L105" s="3819"/>
      <c r="M105" s="3819"/>
      <c r="N105" s="3819"/>
      <c r="O105" s="3819"/>
      <c r="P105" s="3820"/>
      <c r="Q105" s="2146"/>
      <c r="R105" s="2146"/>
      <c r="S105" s="2146"/>
    </row>
    <row r="106" spans="1:19" ht="14.25" hidden="1" customHeight="1">
      <c r="A106" s="1696"/>
      <c r="B106" s="2253">
        <f t="shared" si="37"/>
        <v>47</v>
      </c>
      <c r="C106" s="3818" t="s">
        <v>4928</v>
      </c>
      <c r="D106" s="3819"/>
      <c r="E106" s="3819"/>
      <c r="F106" s="3819"/>
      <c r="G106" s="3819"/>
      <c r="H106" s="3819"/>
      <c r="I106" s="3819"/>
      <c r="J106" s="3819"/>
      <c r="K106" s="3819"/>
      <c r="L106" s="3819"/>
      <c r="M106" s="3819"/>
      <c r="N106" s="3819"/>
      <c r="O106" s="3819"/>
      <c r="P106" s="3820"/>
      <c r="Q106" s="2146"/>
      <c r="R106" s="2146"/>
      <c r="S106" s="2146"/>
    </row>
    <row r="107" spans="1:19" ht="14.65" hidden="1" customHeight="1" thickBot="1">
      <c r="A107" s="1696"/>
      <c r="B107" s="1420">
        <f t="shared" si="37"/>
        <v>48</v>
      </c>
      <c r="C107" s="3821" t="s">
        <v>4929</v>
      </c>
      <c r="D107" s="3822"/>
      <c r="E107" s="3822"/>
      <c r="F107" s="3822"/>
      <c r="G107" s="3822"/>
      <c r="H107" s="3822"/>
      <c r="I107" s="3822"/>
      <c r="J107" s="3822"/>
      <c r="K107" s="3822"/>
      <c r="L107" s="3822"/>
      <c r="M107" s="3822"/>
      <c r="N107" s="3822"/>
      <c r="O107" s="3822"/>
      <c r="P107" s="3823"/>
      <c r="Q107" s="2146"/>
      <c r="R107" s="2146"/>
      <c r="S107" s="2146"/>
    </row>
  </sheetData>
  <mergeCells count="26">
    <mergeCell ref="C92:P92"/>
    <mergeCell ref="C93:P93"/>
    <mergeCell ref="C94:P94"/>
    <mergeCell ref="C104:P104"/>
    <mergeCell ref="C105:P105"/>
    <mergeCell ref="C106:P106"/>
    <mergeCell ref="C107:P107"/>
    <mergeCell ref="B96:P96"/>
    <mergeCell ref="C98:P98"/>
    <mergeCell ref="C99:P99"/>
    <mergeCell ref="C100:P100"/>
    <mergeCell ref="C101:P101"/>
    <mergeCell ref="C102:P102"/>
    <mergeCell ref="C103:P103"/>
    <mergeCell ref="B70:C70"/>
    <mergeCell ref="C81:P81"/>
    <mergeCell ref="C82:P82"/>
    <mergeCell ref="C83:P83"/>
    <mergeCell ref="C91:P91"/>
    <mergeCell ref="C84:P84"/>
    <mergeCell ref="C85:P85"/>
    <mergeCell ref="C86:P86"/>
    <mergeCell ref="C87:P87"/>
    <mergeCell ref="C88:P88"/>
    <mergeCell ref="C89:P89"/>
    <mergeCell ref="C90:P90"/>
  </mergeCells>
  <conditionalFormatting sqref="R34 R32 R45:R48 R22:R30">
    <cfRule type="cellIs" dxfId="60" priority="43" operator="equal">
      <formula>0</formula>
    </cfRule>
  </conditionalFormatting>
  <conditionalFormatting sqref="R50 R38:R41">
    <cfRule type="cellIs" dxfId="59" priority="42" operator="equal">
      <formula>0</formula>
    </cfRule>
  </conditionalFormatting>
  <conditionalFormatting sqref="R58:R59">
    <cfRule type="cellIs" dxfId="58" priority="41" operator="equal">
      <formula>0</formula>
    </cfRule>
  </conditionalFormatting>
  <conditionalFormatting sqref="R60:R62">
    <cfRule type="cellIs" dxfId="57" priority="40" operator="equal">
      <formula>0</formula>
    </cfRule>
  </conditionalFormatting>
  <conditionalFormatting sqref="R66:R67">
    <cfRule type="cellIs" dxfId="56" priority="39" operator="equal">
      <formula>0</formula>
    </cfRule>
  </conditionalFormatting>
  <conditionalFormatting sqref="R68">
    <cfRule type="cellIs" dxfId="55" priority="35" operator="equal">
      <formula>0</formula>
    </cfRule>
  </conditionalFormatting>
  <conditionalFormatting sqref="R40:R42">
    <cfRule type="cellIs" dxfId="54" priority="24" operator="equal">
      <formula>0</formula>
    </cfRule>
  </conditionalFormatting>
  <conditionalFormatting sqref="R6:R9 R11:R14 R16 R18">
    <cfRule type="cellIs" dxfId="53" priority="18" operator="equal">
      <formula>0</formula>
    </cfRule>
  </conditionalFormatting>
  <conditionalFormatting sqref="R17">
    <cfRule type="cellIs" dxfId="52" priority="5" operator="equal">
      <formula>0</formula>
    </cfRule>
  </conditionalFormatting>
  <conditionalFormatting sqref="R33">
    <cfRule type="cellIs" dxfId="51" priority="4" operator="equal">
      <formula>0</formula>
    </cfRule>
  </conditionalFormatting>
  <conditionalFormatting sqref="R49">
    <cfRule type="cellIs" dxfId="50" priority="3" operator="equal">
      <formula>0</formula>
    </cfRule>
  </conditionalFormatting>
  <conditionalFormatting sqref="R43:R44">
    <cfRule type="cellIs" dxfId="4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G22:P30 AP29:AX30 AP32:AX32 G32:P32 G33:N33 G35:N35 G45:L46 AP45:AT51 K38:L39 L39:L51 P45:P51 P38:P39 AV45:AX51</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4.xml><?xml version="1.0" encoding="utf-8"?>
<worksheet xmlns="http://schemas.openxmlformats.org/spreadsheetml/2006/main" xmlns:r="http://schemas.openxmlformats.org/officeDocument/2006/relationships">
  <sheetPr codeName="Sheet58">
    <tabColor rgb="FF003479"/>
    <pageSetUpPr fitToPage="1"/>
  </sheetPr>
  <dimension ref="A1:L35"/>
  <sheetViews>
    <sheetView topLeftCell="A1048576" workbookViewId="0">
      <selection sqref="A1:C1"/>
    </sheetView>
  </sheetViews>
  <sheetFormatPr defaultColWidth="0" defaultRowHeight="14.25" customHeight="1" zeroHeight="1"/>
  <cols>
    <col min="1" max="1" width="0.625" style="496" customWidth="1"/>
    <col min="2" max="8" width="8.625" style="496" hidden="1" customWidth="1"/>
    <col min="9" max="16384" width="8.625" style="496"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496">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496" t="s">
        <v>2392</v>
      </c>
    </row>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5.xml><?xml version="1.0" encoding="utf-8"?>
<worksheet xmlns="http://schemas.openxmlformats.org/spreadsheetml/2006/main" xmlns:r="http://schemas.openxmlformats.org/officeDocument/2006/relationships">
  <sheetPr codeName="Sheet62">
    <tabColor rgb="FFFFC000"/>
    <pageSetUpPr fitToPage="1"/>
  </sheetPr>
  <dimension ref="A1:M76"/>
  <sheetViews>
    <sheetView workbookViewId="0">
      <selection sqref="A1:C1"/>
    </sheetView>
  </sheetViews>
  <sheetFormatPr defaultColWidth="0" defaultRowHeight="14.25" zeroHeight="1"/>
  <cols>
    <col min="1" max="1" width="0.5" customWidth="1"/>
    <col min="2" max="2" width="4.125" customWidth="1"/>
    <col min="3" max="3" width="79.125" customWidth="1"/>
    <col min="4" max="4" width="9.125" customWidth="1"/>
    <col min="5" max="5" width="6.125" customWidth="1"/>
    <col min="6" max="6" width="11.125" customWidth="1"/>
    <col min="7" max="7" width="10.625" customWidth="1"/>
    <col min="8" max="8" width="3.75" customWidth="1"/>
    <col min="9" max="9" width="22.625" customWidth="1"/>
    <col min="10" max="10" width="1" customWidth="1"/>
    <col min="11" max="11" width="1.125" hidden="1" customWidth="1"/>
    <col min="12" max="12" width="18.625" hidden="1" customWidth="1"/>
    <col min="13" max="13" width="0.625" hidden="1" customWidth="1"/>
    <col min="14" max="16384" width="8.625" hidden="1"/>
  </cols>
  <sheetData>
    <row r="1" spans="1:13" ht="18.75">
      <c r="A1" s="75" t="s">
        <v>2458</v>
      </c>
      <c r="B1" s="1466" t="s">
        <v>6497</v>
      </c>
      <c r="C1" s="2205"/>
      <c r="D1" s="1466"/>
      <c r="E1" s="1466"/>
      <c r="F1" s="1466" t="str">
        <f>Validation!B3</f>
        <v>South West Water – South West area</v>
      </c>
      <c r="G1" s="1466"/>
      <c r="H1" s="1466"/>
      <c r="I1" s="70" t="s">
        <v>2394</v>
      </c>
      <c r="J1" s="71"/>
      <c r="K1" s="72"/>
      <c r="L1" s="71"/>
      <c r="M1" s="72"/>
    </row>
    <row r="2" spans="1:13" ht="15" thickBot="1">
      <c r="A2" s="75"/>
      <c r="B2" s="74" t="s">
        <v>12524</v>
      </c>
      <c r="C2" s="75"/>
      <c r="D2" s="75"/>
      <c r="E2" s="75"/>
      <c r="F2" s="75"/>
      <c r="G2" s="75"/>
      <c r="H2" s="71"/>
      <c r="I2" s="71"/>
      <c r="J2" s="71"/>
      <c r="K2" s="72"/>
      <c r="L2" s="71"/>
      <c r="M2" s="72"/>
    </row>
    <row r="3" spans="1:13" ht="15" thickBot="1">
      <c r="A3" s="75"/>
      <c r="B3" s="1467" t="s">
        <v>2423</v>
      </c>
      <c r="C3" s="1049" t="s">
        <v>4077</v>
      </c>
      <c r="D3" s="1050" t="s">
        <v>6495</v>
      </c>
      <c r="E3" s="1468" t="s">
        <v>2396</v>
      </c>
      <c r="F3" s="1633" t="s">
        <v>2397</v>
      </c>
      <c r="G3" s="2008" t="s">
        <v>2642</v>
      </c>
      <c r="H3" s="71"/>
      <c r="I3" s="1487" t="s">
        <v>1361</v>
      </c>
      <c r="J3" s="71"/>
      <c r="K3" s="72"/>
      <c r="L3" s="1642" t="s">
        <v>2404</v>
      </c>
      <c r="M3" s="72"/>
    </row>
    <row r="4" spans="1:13" ht="15.75" thickBot="1">
      <c r="A4" s="75"/>
      <c r="B4" s="556"/>
      <c r="D4" s="1469"/>
      <c r="E4" s="1469"/>
      <c r="F4" s="1469"/>
      <c r="H4" s="71"/>
      <c r="I4" s="71"/>
      <c r="J4" s="71"/>
      <c r="K4" s="72"/>
      <c r="L4" s="90" t="s">
        <v>2405</v>
      </c>
      <c r="M4" s="72"/>
    </row>
    <row r="5" spans="1:13" ht="15" thickBot="1">
      <c r="A5" s="75"/>
      <c r="B5" s="1470" t="s">
        <v>2449</v>
      </c>
      <c r="C5" s="1471" t="s">
        <v>6145</v>
      </c>
      <c r="D5" s="556"/>
      <c r="E5" s="556"/>
      <c r="F5" s="556"/>
      <c r="H5" s="71"/>
      <c r="I5" s="71"/>
      <c r="J5" s="71"/>
      <c r="K5" s="72"/>
      <c r="L5" s="71"/>
      <c r="M5" s="72"/>
    </row>
    <row r="6" spans="1:13">
      <c r="A6" s="75"/>
      <c r="B6" s="1472" t="s">
        <v>315</v>
      </c>
      <c r="C6" s="1473" t="s">
        <v>6146</v>
      </c>
      <c r="D6" s="2460" t="s">
        <v>11054</v>
      </c>
      <c r="E6" s="1474" t="s">
        <v>48</v>
      </c>
      <c r="F6" s="1475">
        <v>0</v>
      </c>
      <c r="G6" s="1624"/>
      <c r="H6" s="71"/>
      <c r="I6" s="24" t="str">
        <f xml:space="preserve"> IF( SUM( K6:M6 ) = 0, 0, $L$4 )</f>
        <v>Please complete all cells in row</v>
      </c>
      <c r="J6" s="1250"/>
      <c r="K6" s="72"/>
      <c r="L6" s="98">
        <f>IF(Validation!$H$3=1,0,IF(ISNUMBER(G6),0,1))</f>
        <v>1</v>
      </c>
      <c r="M6" s="72"/>
    </row>
    <row r="7" spans="1:13">
      <c r="A7" s="75"/>
      <c r="B7" s="1476" t="s">
        <v>319</v>
      </c>
      <c r="C7" s="1477" t="s">
        <v>6147</v>
      </c>
      <c r="D7" s="2461" t="s">
        <v>11055</v>
      </c>
      <c r="E7" s="1608" t="s">
        <v>4204</v>
      </c>
      <c r="F7" s="1479">
        <v>3</v>
      </c>
      <c r="G7" s="642"/>
      <c r="H7" s="71"/>
      <c r="I7" s="24" t="str">
        <f t="shared" ref="I7:I11" si="0" xml:space="preserve"> IF( SUM( K7:M7 ) = 0, 0, $L$4 )</f>
        <v>Please complete all cells in row</v>
      </c>
      <c r="J7" s="1250"/>
      <c r="K7" s="72"/>
      <c r="L7" s="98">
        <f>IF(Validation!$H$3=1,0,IF(ISNUMBER(G7),0,1))</f>
        <v>1</v>
      </c>
      <c r="M7" s="72"/>
    </row>
    <row r="8" spans="1:13">
      <c r="A8" s="75"/>
      <c r="B8" s="1476" t="s">
        <v>327</v>
      </c>
      <c r="C8" s="1477" t="s">
        <v>6148</v>
      </c>
      <c r="D8" s="2461" t="s">
        <v>11056</v>
      </c>
      <c r="E8" s="1478" t="s">
        <v>48</v>
      </c>
      <c r="F8" s="1479">
        <v>0</v>
      </c>
      <c r="G8" s="1625"/>
      <c r="H8" s="71"/>
      <c r="I8" s="24" t="str">
        <f t="shared" si="0"/>
        <v>Please complete all cells in row</v>
      </c>
      <c r="J8" s="1250"/>
      <c r="K8" s="72"/>
      <c r="L8" s="98">
        <f>IF(Validation!$H$3=1,0,IF(ISNUMBER(G8),0,1))</f>
        <v>1</v>
      </c>
      <c r="M8" s="72"/>
    </row>
    <row r="9" spans="1:13">
      <c r="A9" s="75"/>
      <c r="B9" s="1476" t="s">
        <v>444</v>
      </c>
      <c r="C9" s="1477" t="s">
        <v>6149</v>
      </c>
      <c r="D9" s="2461" t="s">
        <v>11057</v>
      </c>
      <c r="E9" s="1478" t="s">
        <v>48</v>
      </c>
      <c r="F9" s="1479">
        <v>0</v>
      </c>
      <c r="G9" s="1625"/>
      <c r="H9" s="71"/>
      <c r="I9" s="24" t="str">
        <f t="shared" si="0"/>
        <v>Please complete all cells in row</v>
      </c>
      <c r="J9" s="1250"/>
      <c r="K9" s="72"/>
      <c r="L9" s="98">
        <f>IF(Validation!$H$3=1,0,IF(ISNUMBER(G9),0,1))</f>
        <v>1</v>
      </c>
      <c r="M9" s="72"/>
    </row>
    <row r="10" spans="1:13">
      <c r="A10" s="75"/>
      <c r="B10" s="1476" t="s">
        <v>891</v>
      </c>
      <c r="C10" s="1477" t="s">
        <v>6150</v>
      </c>
      <c r="D10" s="2461" t="s">
        <v>11058</v>
      </c>
      <c r="E10" s="1478" t="s">
        <v>48</v>
      </c>
      <c r="F10" s="1479">
        <v>0</v>
      </c>
      <c r="G10" s="1626"/>
      <c r="H10" s="71"/>
      <c r="I10" s="24" t="str">
        <f t="shared" si="0"/>
        <v>Please complete all cells in row</v>
      </c>
      <c r="J10" s="1250"/>
      <c r="K10" s="72"/>
      <c r="L10" s="98">
        <f>IF(Validation!$H$3=1,0,IF(ISNUMBER(G10),0,1))</f>
        <v>1</v>
      </c>
      <c r="M10" s="72"/>
    </row>
    <row r="11" spans="1:13" ht="15" thickBot="1">
      <c r="A11" s="75"/>
      <c r="B11" s="1480" t="s">
        <v>895</v>
      </c>
      <c r="C11" s="1481" t="s">
        <v>6151</v>
      </c>
      <c r="D11" s="2462" t="s">
        <v>11059</v>
      </c>
      <c r="E11" s="1482" t="s">
        <v>48</v>
      </c>
      <c r="F11" s="1483">
        <v>0</v>
      </c>
      <c r="G11" s="1627"/>
      <c r="H11" s="71"/>
      <c r="I11" s="24" t="str">
        <f t="shared" si="0"/>
        <v>Please complete all cells in row</v>
      </c>
      <c r="J11" s="1250"/>
      <c r="K11" s="72"/>
      <c r="L11" s="98">
        <f>IF(Validation!$H$3=1,0,IF(ISNUMBER(G11),0,1))</f>
        <v>1</v>
      </c>
      <c r="M11" s="72"/>
    </row>
    <row r="12" spans="1:13" ht="15" thickBot="1">
      <c r="A12" s="75"/>
      <c r="B12" s="556"/>
      <c r="D12" s="2463"/>
      <c r="E12" s="556"/>
      <c r="F12" s="556"/>
      <c r="H12" s="71"/>
      <c r="I12" s="71"/>
      <c r="J12" s="71"/>
      <c r="K12" s="72"/>
      <c r="L12" s="71"/>
      <c r="M12" s="72"/>
    </row>
    <row r="13" spans="1:13" ht="15" thickBot="1">
      <c r="A13" s="75"/>
      <c r="B13" s="1470" t="s">
        <v>2458</v>
      </c>
      <c r="C13" s="1471" t="s">
        <v>6152</v>
      </c>
      <c r="D13" s="2463"/>
      <c r="E13" s="556"/>
      <c r="F13" s="556"/>
      <c r="H13" s="71"/>
      <c r="I13" s="71"/>
      <c r="J13" s="71"/>
      <c r="K13" s="72"/>
      <c r="L13" s="71"/>
      <c r="M13" s="72"/>
    </row>
    <row r="14" spans="1:13">
      <c r="A14" s="75"/>
      <c r="B14" s="1472" t="s">
        <v>332</v>
      </c>
      <c r="C14" s="1473" t="s">
        <v>6153</v>
      </c>
      <c r="D14" s="2460" t="s">
        <v>11060</v>
      </c>
      <c r="E14" s="1474" t="s">
        <v>48</v>
      </c>
      <c r="F14" s="1475">
        <v>0</v>
      </c>
      <c r="G14" s="1624"/>
      <c r="H14" s="71"/>
      <c r="I14" s="24" t="str">
        <f t="shared" ref="I14:I16" si="1" xml:space="preserve"> IF( SUM( K14:M14 ) = 0, 0, $L$4 )</f>
        <v>Please complete all cells in row</v>
      </c>
      <c r="J14" s="1250"/>
      <c r="K14" s="72"/>
      <c r="L14" s="98">
        <f>IF(Validation!$H$3=1,0,IF(ISNUMBER(G14),0,1))</f>
        <v>1</v>
      </c>
      <c r="M14" s="72"/>
    </row>
    <row r="15" spans="1:13">
      <c r="A15" s="75"/>
      <c r="B15" s="1476" t="s">
        <v>457</v>
      </c>
      <c r="C15" s="1477" t="s">
        <v>6154</v>
      </c>
      <c r="D15" s="2461" t="s">
        <v>11061</v>
      </c>
      <c r="E15" s="1478" t="s">
        <v>48</v>
      </c>
      <c r="F15" s="1479">
        <v>0</v>
      </c>
      <c r="G15" s="1625"/>
      <c r="H15" s="71"/>
      <c r="I15" s="24" t="str">
        <f t="shared" si="1"/>
        <v>Please complete all cells in row</v>
      </c>
      <c r="J15" s="1250"/>
      <c r="K15" s="72"/>
      <c r="L15" s="98">
        <f>IF(Validation!$H$3=1,0,IF(ISNUMBER(G15),0,1))</f>
        <v>1</v>
      </c>
      <c r="M15" s="72"/>
    </row>
    <row r="16" spans="1:13" ht="15" thickBot="1">
      <c r="A16" s="75"/>
      <c r="B16" s="1480" t="s">
        <v>461</v>
      </c>
      <c r="C16" s="1481" t="s">
        <v>6155</v>
      </c>
      <c r="D16" s="2462" t="s">
        <v>11062</v>
      </c>
      <c r="E16" s="1482" t="s">
        <v>48</v>
      </c>
      <c r="F16" s="1483">
        <v>0</v>
      </c>
      <c r="G16" s="1627"/>
      <c r="H16" s="71"/>
      <c r="I16" s="24" t="str">
        <f t="shared" si="1"/>
        <v>Please complete all cells in row</v>
      </c>
      <c r="J16" s="1250"/>
      <c r="K16" s="72"/>
      <c r="L16" s="98">
        <f>IF(Validation!$H$3=1,0,IF(ISNUMBER(G16),0,1))</f>
        <v>1</v>
      </c>
      <c r="M16" s="72"/>
    </row>
    <row r="17" spans="1:13" ht="15" thickBot="1">
      <c r="A17" s="75"/>
      <c r="B17" s="556"/>
      <c r="D17" s="2463"/>
      <c r="E17" s="556"/>
      <c r="F17" s="556"/>
      <c r="H17" s="71"/>
      <c r="I17" s="71"/>
      <c r="J17" s="71"/>
      <c r="K17" s="72"/>
      <c r="L17" s="71"/>
      <c r="M17" s="72"/>
    </row>
    <row r="18" spans="1:13" ht="15" thickBot="1">
      <c r="A18" s="75"/>
      <c r="B18" s="1470" t="s">
        <v>2464</v>
      </c>
      <c r="C18" s="1471" t="s">
        <v>6156</v>
      </c>
      <c r="D18" s="2463"/>
      <c r="E18" s="556"/>
      <c r="F18" s="556"/>
      <c r="H18" s="71"/>
      <c r="I18" s="71"/>
      <c r="J18" s="71"/>
      <c r="K18" s="72"/>
      <c r="L18" s="71"/>
      <c r="M18" s="72"/>
    </row>
    <row r="19" spans="1:13">
      <c r="A19" s="75"/>
      <c r="B19" s="1472" t="s">
        <v>338</v>
      </c>
      <c r="C19" s="1484" t="s">
        <v>6157</v>
      </c>
      <c r="D19" s="2460" t="s">
        <v>11063</v>
      </c>
      <c r="E19" s="1474" t="s">
        <v>48</v>
      </c>
      <c r="F19" s="1475">
        <v>0</v>
      </c>
      <c r="G19" s="1624"/>
      <c r="H19" s="71"/>
      <c r="I19" s="24" t="str">
        <f t="shared" ref="I19:I20" si="2" xml:space="preserve"> IF( SUM( K19:M19 ) = 0, 0, $L$4 )</f>
        <v>Please complete all cells in row</v>
      </c>
      <c r="J19" s="1250"/>
      <c r="K19" s="72"/>
      <c r="L19" s="98">
        <f>IF(Validation!$H$3=1,0,IF(ISNUMBER(G19),0,1))</f>
        <v>1</v>
      </c>
      <c r="M19" s="72"/>
    </row>
    <row r="20" spans="1:13" ht="15" thickBot="1">
      <c r="A20" s="75"/>
      <c r="B20" s="1480" t="s">
        <v>342</v>
      </c>
      <c r="C20" s="1481" t="s">
        <v>6158</v>
      </c>
      <c r="D20" s="2462" t="s">
        <v>11064</v>
      </c>
      <c r="E20" s="1482" t="s">
        <v>48</v>
      </c>
      <c r="F20" s="1483">
        <v>0</v>
      </c>
      <c r="G20" s="1627"/>
      <c r="H20" s="71"/>
      <c r="I20" s="24" t="str">
        <f t="shared" si="2"/>
        <v>Please complete all cells in row</v>
      </c>
      <c r="J20" s="1250"/>
      <c r="K20" s="72"/>
      <c r="L20" s="98">
        <f>IF(Validation!$H$3=1,0,IF(ISNUMBER(G20),0,1))</f>
        <v>1</v>
      </c>
      <c r="M20" s="72"/>
    </row>
    <row r="21" spans="1:13" ht="15" thickBot="1">
      <c r="A21" s="75"/>
      <c r="B21" s="556"/>
      <c r="D21" s="2463"/>
      <c r="E21" s="556"/>
      <c r="F21" s="556"/>
      <c r="H21" s="71"/>
      <c r="I21" s="71"/>
      <c r="J21" s="71"/>
      <c r="K21" s="72"/>
      <c r="L21" s="71"/>
      <c r="M21" s="72"/>
    </row>
    <row r="22" spans="1:13" ht="15" thickBot="1">
      <c r="A22" s="75"/>
      <c r="B22" s="1470" t="s">
        <v>2473</v>
      </c>
      <c r="C22" s="1471" t="s">
        <v>6159</v>
      </c>
      <c r="D22" s="2463"/>
      <c r="E22" s="556"/>
      <c r="F22" s="556"/>
      <c r="H22" s="71"/>
      <c r="I22" s="71"/>
      <c r="J22" s="71"/>
      <c r="K22" s="72"/>
      <c r="L22" s="71"/>
      <c r="M22" s="72"/>
    </row>
    <row r="23" spans="1:13">
      <c r="A23" s="75"/>
      <c r="B23" s="1472" t="s">
        <v>348</v>
      </c>
      <c r="C23" s="1473" t="s">
        <v>6160</v>
      </c>
      <c r="D23" s="2460" t="s">
        <v>11065</v>
      </c>
      <c r="E23" s="1474" t="s">
        <v>4681</v>
      </c>
      <c r="F23" s="1475">
        <v>2</v>
      </c>
      <c r="G23" s="1628"/>
      <c r="H23" s="71"/>
      <c r="I23" s="24" t="str">
        <f t="shared" ref="I23:I27" si="3" xml:space="preserve"> IF( SUM( K23:M23 ) = 0, 0, $L$4 )</f>
        <v>Please complete all cells in row</v>
      </c>
      <c r="J23" s="1250"/>
      <c r="K23" s="72"/>
      <c r="L23" s="98">
        <f>IF(Validation!$H$3=1,0,IF(ISNUMBER(G23),0,1))</f>
        <v>1</v>
      </c>
      <c r="M23" s="72"/>
    </row>
    <row r="24" spans="1:13">
      <c r="A24" s="75"/>
      <c r="B24" s="1476" t="s">
        <v>783</v>
      </c>
      <c r="C24" s="1477" t="s">
        <v>6161</v>
      </c>
      <c r="D24" s="2461" t="s">
        <v>11066</v>
      </c>
      <c r="E24" s="1478" t="s">
        <v>4681</v>
      </c>
      <c r="F24" s="1479">
        <v>2</v>
      </c>
      <c r="G24" s="1629"/>
      <c r="H24" s="71"/>
      <c r="I24" s="24" t="str">
        <f t="shared" si="3"/>
        <v>Please complete all cells in row</v>
      </c>
      <c r="J24" s="1250"/>
      <c r="K24" s="72"/>
      <c r="L24" s="98">
        <f>IF(Validation!$H$3=1,0,IF(ISNUMBER(G24),0,1))</f>
        <v>1</v>
      </c>
      <c r="M24" s="72"/>
    </row>
    <row r="25" spans="1:13">
      <c r="A25" s="75"/>
      <c r="B25" s="1476" t="s">
        <v>790</v>
      </c>
      <c r="C25" s="1477" t="s">
        <v>6162</v>
      </c>
      <c r="D25" s="2461" t="s">
        <v>11067</v>
      </c>
      <c r="E25" s="1478" t="s">
        <v>4681</v>
      </c>
      <c r="F25" s="1479">
        <v>2</v>
      </c>
      <c r="G25" s="1629"/>
      <c r="H25" s="71"/>
      <c r="I25" s="24" t="str">
        <f t="shared" si="3"/>
        <v>Please complete all cells in row</v>
      </c>
      <c r="J25" s="1250"/>
      <c r="K25" s="72"/>
      <c r="L25" s="98">
        <f>IF(Validation!$H$3=1,0,IF(ISNUMBER(G25),0,1))</f>
        <v>1</v>
      </c>
      <c r="M25" s="72"/>
    </row>
    <row r="26" spans="1:13">
      <c r="A26" s="75"/>
      <c r="B26" s="1476" t="s">
        <v>2073</v>
      </c>
      <c r="C26" s="1485" t="s">
        <v>6163</v>
      </c>
      <c r="D26" s="2461" t="s">
        <v>11068</v>
      </c>
      <c r="E26" s="1478" t="s">
        <v>48</v>
      </c>
      <c r="F26" s="1486">
        <v>0</v>
      </c>
      <c r="G26" s="1626"/>
      <c r="H26" s="71"/>
      <c r="I26" s="24" t="str">
        <f t="shared" si="3"/>
        <v>Please complete all cells in row</v>
      </c>
      <c r="J26" s="1250"/>
      <c r="K26" s="72"/>
      <c r="L26" s="98">
        <f>IF(Validation!$H$3=1,0,IF(ISNUMBER(G26),0,1))</f>
        <v>1</v>
      </c>
      <c r="M26" s="72"/>
    </row>
    <row r="27" spans="1:13" ht="15" thickBot="1">
      <c r="A27" s="75"/>
      <c r="B27" s="1480" t="s">
        <v>2018</v>
      </c>
      <c r="C27" s="1481" t="s">
        <v>6164</v>
      </c>
      <c r="D27" s="2464" t="s">
        <v>11069</v>
      </c>
      <c r="E27" s="1482" t="s">
        <v>48</v>
      </c>
      <c r="F27" s="1483">
        <v>0</v>
      </c>
      <c r="G27" s="1627"/>
      <c r="H27" s="71"/>
      <c r="I27" s="24" t="str">
        <f t="shared" si="3"/>
        <v>Please complete all cells in row</v>
      </c>
      <c r="J27" s="1250"/>
      <c r="K27" s="72"/>
      <c r="L27" s="98">
        <f>IF(Validation!$H$3=1,0,IF(ISNUMBER(G27),0,1))</f>
        <v>1</v>
      </c>
      <c r="M27" s="72"/>
    </row>
    <row r="28" spans="1:13" ht="15" thickBot="1">
      <c r="A28" s="75"/>
      <c r="B28" s="556"/>
      <c r="D28" s="2463"/>
      <c r="E28" s="556"/>
      <c r="F28" s="556"/>
      <c r="H28" s="71"/>
      <c r="I28" s="71"/>
      <c r="J28" s="71"/>
      <c r="K28" s="72"/>
      <c r="L28" s="71"/>
      <c r="M28" s="72"/>
    </row>
    <row r="29" spans="1:13" ht="15" thickBot="1">
      <c r="A29" s="75"/>
      <c r="B29" s="1470" t="s">
        <v>2480</v>
      </c>
      <c r="C29" s="1471" t="s">
        <v>6165</v>
      </c>
      <c r="D29" s="2463"/>
      <c r="E29" s="556"/>
      <c r="F29" s="556"/>
      <c r="H29" s="71"/>
      <c r="I29" s="71"/>
      <c r="J29" s="71"/>
      <c r="K29" s="72"/>
      <c r="L29" s="71"/>
      <c r="M29" s="72"/>
    </row>
    <row r="30" spans="1:13">
      <c r="A30" s="75"/>
      <c r="B30" s="1472" t="s">
        <v>354</v>
      </c>
      <c r="C30" s="1473" t="s">
        <v>6166</v>
      </c>
      <c r="D30" s="2460" t="s">
        <v>11070</v>
      </c>
      <c r="E30" s="1474" t="s">
        <v>4681</v>
      </c>
      <c r="F30" s="1475">
        <v>2</v>
      </c>
      <c r="G30" s="1628"/>
      <c r="H30" s="71"/>
      <c r="I30" s="24" t="str">
        <f t="shared" ref="I30:I34" si="4" xml:space="preserve"> IF( SUM( K30:M30 ) = 0, 0, $L$4 )</f>
        <v>Please complete all cells in row</v>
      </c>
      <c r="J30" s="1250"/>
      <c r="K30" s="72"/>
      <c r="L30" s="98">
        <f>IF(Validation!$H$3=1,0,IF(ISNUMBER(G30),0,1))</f>
        <v>1</v>
      </c>
      <c r="M30" s="72"/>
    </row>
    <row r="31" spans="1:13">
      <c r="A31" s="75"/>
      <c r="B31" s="1476" t="s">
        <v>489</v>
      </c>
      <c r="C31" s="1477" t="s">
        <v>6167</v>
      </c>
      <c r="D31" s="2461" t="s">
        <v>11071</v>
      </c>
      <c r="E31" s="1478" t="s">
        <v>4681</v>
      </c>
      <c r="F31" s="1479">
        <v>2</v>
      </c>
      <c r="G31" s="1629"/>
      <c r="H31" s="71"/>
      <c r="I31" s="24" t="str">
        <f t="shared" si="4"/>
        <v>Please complete all cells in row</v>
      </c>
      <c r="J31" s="1250"/>
      <c r="K31" s="72"/>
      <c r="L31" s="98">
        <f>IF(Validation!$H$3=1,0,IF(ISNUMBER(G31),0,1))</f>
        <v>1</v>
      </c>
      <c r="M31" s="72"/>
    </row>
    <row r="32" spans="1:13">
      <c r="A32" s="75"/>
      <c r="B32" s="1476" t="s">
        <v>920</v>
      </c>
      <c r="C32" s="1477" t="s">
        <v>6168</v>
      </c>
      <c r="D32" s="2461" t="s">
        <v>11072</v>
      </c>
      <c r="E32" s="1478" t="s">
        <v>4681</v>
      </c>
      <c r="F32" s="1479">
        <v>2</v>
      </c>
      <c r="G32" s="1629"/>
      <c r="H32" s="71"/>
      <c r="I32" s="24" t="str">
        <f t="shared" si="4"/>
        <v>Please complete all cells in row</v>
      </c>
      <c r="J32" s="1250"/>
      <c r="K32" s="72"/>
      <c r="L32" s="98">
        <f>IF(Validation!$H$3=1,0,IF(ISNUMBER(G32),0,1))</f>
        <v>1</v>
      </c>
      <c r="M32" s="72"/>
    </row>
    <row r="33" spans="1:13">
      <c r="A33" s="75"/>
      <c r="B33" s="1476" t="s">
        <v>927</v>
      </c>
      <c r="C33" s="1485" t="s">
        <v>6169</v>
      </c>
      <c r="D33" s="2461" t="s">
        <v>11073</v>
      </c>
      <c r="E33" s="1583" t="s">
        <v>48</v>
      </c>
      <c r="F33" s="1486">
        <v>0</v>
      </c>
      <c r="G33" s="1626"/>
      <c r="H33" s="71"/>
      <c r="I33" s="24" t="str">
        <f t="shared" si="4"/>
        <v>Please complete all cells in row</v>
      </c>
      <c r="J33" s="1250"/>
      <c r="K33" s="72"/>
      <c r="L33" s="98">
        <f>IF(Validation!$H$3=1,0,IF(ISNUMBER(G33),0,1))</f>
        <v>1</v>
      </c>
      <c r="M33" s="72"/>
    </row>
    <row r="34" spans="1:13" ht="15" thickBot="1">
      <c r="A34" s="75"/>
      <c r="B34" s="1480" t="s">
        <v>932</v>
      </c>
      <c r="C34" s="1481" t="s">
        <v>6170</v>
      </c>
      <c r="D34" s="2462" t="s">
        <v>11074</v>
      </c>
      <c r="E34" s="1482" t="s">
        <v>48</v>
      </c>
      <c r="F34" s="1483">
        <v>0</v>
      </c>
      <c r="G34" s="1627"/>
      <c r="H34" s="71"/>
      <c r="I34" s="24" t="str">
        <f t="shared" si="4"/>
        <v>Please complete all cells in row</v>
      </c>
      <c r="J34" s="1250"/>
      <c r="K34" s="72"/>
      <c r="L34" s="98">
        <f>IF(Validation!$H$3=1,0,IF(ISNUMBER(G34),0,1))</f>
        <v>1</v>
      </c>
      <c r="M34" s="72"/>
    </row>
    <row r="35" spans="1:13" ht="15" thickBot="1">
      <c r="A35" s="75"/>
      <c r="B35" s="556"/>
      <c r="D35" s="2463"/>
      <c r="E35" s="556"/>
      <c r="F35" s="556"/>
      <c r="H35" s="71"/>
      <c r="I35" s="71"/>
      <c r="J35" s="71"/>
      <c r="K35" s="72"/>
      <c r="L35" s="71"/>
      <c r="M35" s="72"/>
    </row>
    <row r="36" spans="1:13" ht="15" thickBot="1">
      <c r="A36" s="75"/>
      <c r="B36" s="1470" t="s">
        <v>2718</v>
      </c>
      <c r="C36" s="1471" t="s">
        <v>6171</v>
      </c>
      <c r="D36" s="2463"/>
      <c r="E36" s="556"/>
      <c r="F36" s="556"/>
      <c r="H36" s="71"/>
      <c r="I36" s="71"/>
      <c r="J36" s="71"/>
      <c r="K36" s="72"/>
      <c r="L36" s="71"/>
      <c r="M36" s="72"/>
    </row>
    <row r="37" spans="1:13">
      <c r="A37" s="75"/>
      <c r="B37" s="1472" t="s">
        <v>360</v>
      </c>
      <c r="C37" s="1473" t="s">
        <v>6172</v>
      </c>
      <c r="D37" s="2460" t="s">
        <v>11075</v>
      </c>
      <c r="E37" s="1474" t="s">
        <v>4681</v>
      </c>
      <c r="F37" s="1475">
        <v>2</v>
      </c>
      <c r="G37" s="1628"/>
      <c r="H37" s="71"/>
      <c r="I37" s="24" t="str">
        <f t="shared" ref="I37:I41" si="5" xml:space="preserve"> IF( SUM( K37:M37 ) = 0, 0, $L$4 )</f>
        <v>Please complete all cells in row</v>
      </c>
      <c r="J37" s="1250"/>
      <c r="K37" s="72"/>
      <c r="L37" s="98">
        <f>IF(Validation!$H$3=1,0,IF(ISNUMBER(G37),0,1))</f>
        <v>1</v>
      </c>
      <c r="M37" s="72"/>
    </row>
    <row r="38" spans="1:13">
      <c r="A38" s="75"/>
      <c r="B38" s="1476" t="s">
        <v>1000</v>
      </c>
      <c r="C38" s="1477" t="s">
        <v>6173</v>
      </c>
      <c r="D38" s="2461" t="s">
        <v>11076</v>
      </c>
      <c r="E38" s="1478" t="s">
        <v>4681</v>
      </c>
      <c r="F38" s="1479">
        <v>2</v>
      </c>
      <c r="G38" s="1629"/>
      <c r="H38" s="71"/>
      <c r="I38" s="24" t="str">
        <f t="shared" si="5"/>
        <v>Please complete all cells in row</v>
      </c>
      <c r="J38" s="1250"/>
      <c r="K38" s="72"/>
      <c r="L38" s="98">
        <f>IF(Validation!$H$3=1,0,IF(ISNUMBER(G38),0,1))</f>
        <v>1</v>
      </c>
      <c r="M38" s="72"/>
    </row>
    <row r="39" spans="1:13">
      <c r="A39" s="75"/>
      <c r="B39" s="1476" t="s">
        <v>2036</v>
      </c>
      <c r="C39" s="1477" t="s">
        <v>6174</v>
      </c>
      <c r="D39" s="2461" t="s">
        <v>11077</v>
      </c>
      <c r="E39" s="1478" t="s">
        <v>4681</v>
      </c>
      <c r="F39" s="1479">
        <v>2</v>
      </c>
      <c r="G39" s="1629"/>
      <c r="H39" s="71"/>
      <c r="I39" s="24" t="str">
        <f t="shared" si="5"/>
        <v>Please complete all cells in row</v>
      </c>
      <c r="J39" s="1250"/>
      <c r="K39" s="72"/>
      <c r="L39" s="98">
        <f>IF(Validation!$H$3=1,0,IF(ISNUMBER(G39),0,1))</f>
        <v>1</v>
      </c>
      <c r="M39" s="72"/>
    </row>
    <row r="40" spans="1:13">
      <c r="A40" s="75"/>
      <c r="B40" s="1476" t="s">
        <v>6200</v>
      </c>
      <c r="C40" s="1485" t="s">
        <v>6175</v>
      </c>
      <c r="D40" s="2461" t="s">
        <v>11078</v>
      </c>
      <c r="E40" s="1583" t="s">
        <v>48</v>
      </c>
      <c r="F40" s="1486">
        <v>0</v>
      </c>
      <c r="G40" s="1626"/>
      <c r="H40" s="71"/>
      <c r="I40" s="24" t="str">
        <f t="shared" si="5"/>
        <v>Please complete all cells in row</v>
      </c>
      <c r="J40" s="1250"/>
      <c r="K40" s="72"/>
      <c r="L40" s="98">
        <f>IF(Validation!$H$3=1,0,IF(ISNUMBER(G40),0,1))</f>
        <v>1</v>
      </c>
      <c r="M40" s="72"/>
    </row>
    <row r="41" spans="1:13" ht="15" thickBot="1">
      <c r="A41" s="75"/>
      <c r="B41" s="1480" t="s">
        <v>6202</v>
      </c>
      <c r="C41" s="1481" t="s">
        <v>6176</v>
      </c>
      <c r="D41" s="2462" t="s">
        <v>11079</v>
      </c>
      <c r="E41" s="1482" t="s">
        <v>48</v>
      </c>
      <c r="F41" s="1483">
        <v>0</v>
      </c>
      <c r="G41" s="1627"/>
      <c r="H41" s="71"/>
      <c r="I41" s="24" t="str">
        <f t="shared" si="5"/>
        <v>Please complete all cells in row</v>
      </c>
      <c r="J41" s="1250"/>
      <c r="K41" s="72"/>
      <c r="L41" s="98">
        <f>IF(Validation!$H$3=1,0,IF(ISNUMBER(G41),0,1))</f>
        <v>1</v>
      </c>
      <c r="M41" s="72"/>
    </row>
    <row r="42" spans="1:13">
      <c r="A42" s="75"/>
      <c r="B42" s="75"/>
      <c r="C42" s="75"/>
      <c r="D42" s="75"/>
      <c r="E42" s="75"/>
      <c r="F42" s="75"/>
      <c r="G42" s="75"/>
      <c r="H42" s="71"/>
      <c r="I42" s="71"/>
      <c r="J42" s="71"/>
      <c r="K42" s="72"/>
      <c r="L42" s="71"/>
      <c r="M42" s="72"/>
    </row>
    <row r="43" spans="1:13">
      <c r="A43" s="75"/>
      <c r="B43" s="3742" t="s">
        <v>2420</v>
      </c>
      <c r="C43" s="3742"/>
      <c r="D43" s="75"/>
      <c r="E43" s="75"/>
      <c r="F43" s="75"/>
      <c r="G43" s="75"/>
      <c r="H43" s="71"/>
      <c r="I43" s="71"/>
      <c r="J43" s="71"/>
      <c r="K43" s="72"/>
      <c r="L43" s="71"/>
      <c r="M43" s="72"/>
    </row>
    <row r="44" spans="1:13">
      <c r="A44" s="75"/>
      <c r="B44" s="1078"/>
      <c r="C44" s="1085"/>
      <c r="D44" s="75"/>
      <c r="E44" s="75"/>
      <c r="F44" s="75"/>
      <c r="G44" s="75"/>
      <c r="H44" s="71"/>
      <c r="I44" s="71"/>
      <c r="J44" s="71"/>
      <c r="K44" s="72"/>
      <c r="L44" s="71"/>
      <c r="M44" s="72"/>
    </row>
    <row r="45" spans="1:13">
      <c r="A45" s="75"/>
      <c r="B45" s="1307"/>
      <c r="C45" s="1181" t="s">
        <v>2421</v>
      </c>
      <c r="D45" s="75"/>
      <c r="E45" s="75"/>
      <c r="F45" s="75"/>
      <c r="G45" s="75"/>
      <c r="H45" s="71"/>
      <c r="I45" s="71"/>
      <c r="J45" s="71"/>
      <c r="K45" s="72"/>
      <c r="L45" s="71"/>
      <c r="M45" s="72"/>
    </row>
    <row r="46" spans="1:13">
      <c r="A46" s="75"/>
      <c r="B46" s="1250"/>
      <c r="C46" s="1250"/>
      <c r="D46" s="75"/>
      <c r="E46" s="75"/>
      <c r="F46" s="75"/>
      <c r="G46" s="75"/>
      <c r="H46" s="71"/>
      <c r="I46" s="71"/>
      <c r="J46" s="71"/>
      <c r="K46" s="72"/>
      <c r="L46" s="71"/>
      <c r="M46" s="72"/>
    </row>
    <row r="47" spans="1:13">
      <c r="A47" s="75"/>
      <c r="B47" s="1010"/>
      <c r="C47" s="1309" t="s">
        <v>4082</v>
      </c>
      <c r="D47" s="75"/>
      <c r="E47" s="75"/>
      <c r="F47" s="75"/>
      <c r="G47" s="75"/>
      <c r="H47" s="71"/>
      <c r="I47" s="71"/>
      <c r="J47" s="71"/>
      <c r="K47" s="72"/>
      <c r="L47" s="71"/>
      <c r="M47" s="72"/>
    </row>
    <row r="48" spans="1:13" ht="15" thickBot="1">
      <c r="A48" s="75"/>
      <c r="B48" s="75"/>
      <c r="C48" s="75"/>
      <c r="D48" s="75"/>
      <c r="E48" s="75"/>
      <c r="F48" s="75"/>
      <c r="G48" s="75"/>
      <c r="H48" s="71"/>
      <c r="I48" s="71"/>
      <c r="J48" s="71"/>
      <c r="K48" s="72"/>
      <c r="L48" s="71"/>
      <c r="M48" s="72"/>
    </row>
    <row r="49" spans="1:13" ht="15" thickBot="1">
      <c r="A49" s="75"/>
      <c r="B49" s="3518" t="str">
        <f ca="1" xml:space="preserve"> RIGHT(CELL("filename", $A$1), LEN(CELL("filename", $A$1)) - SEARCH("]", CELL("filename", $A$1)))&amp;" - Line definitions"</f>
        <v>Bioresources - Line definitions</v>
      </c>
      <c r="C49" s="3674"/>
      <c r="D49" s="3674"/>
      <c r="E49" s="3674"/>
      <c r="F49" s="3674"/>
      <c r="G49" s="3675"/>
      <c r="H49" s="71"/>
      <c r="I49" s="71"/>
      <c r="J49" s="71"/>
      <c r="K49" s="72"/>
      <c r="L49" s="71"/>
      <c r="M49" s="72"/>
    </row>
    <row r="50" spans="1:13">
      <c r="A50" s="75"/>
      <c r="B50" s="1630" t="s">
        <v>315</v>
      </c>
      <c r="C50" s="3853" t="s">
        <v>6177</v>
      </c>
      <c r="D50" s="3854"/>
      <c r="E50" s="3854"/>
      <c r="F50" s="3854"/>
      <c r="G50" s="3855"/>
      <c r="H50" s="71"/>
      <c r="I50" s="71"/>
      <c r="J50" s="71"/>
      <c r="K50" s="72"/>
      <c r="L50" s="71"/>
      <c r="M50" s="72"/>
    </row>
    <row r="51" spans="1:13">
      <c r="A51" s="75"/>
      <c r="B51" s="1631" t="s">
        <v>319</v>
      </c>
      <c r="C51" s="3850" t="s">
        <v>6498</v>
      </c>
      <c r="D51" s="3851"/>
      <c r="E51" s="3851"/>
      <c r="F51" s="3851"/>
      <c r="G51" s="3852"/>
      <c r="H51" s="71"/>
      <c r="I51" s="71"/>
      <c r="J51" s="71"/>
      <c r="K51" s="72"/>
      <c r="L51" s="71"/>
      <c r="M51" s="72"/>
    </row>
    <row r="52" spans="1:13">
      <c r="A52" s="75"/>
      <c r="B52" s="1631" t="s">
        <v>327</v>
      </c>
      <c r="C52" s="3850" t="s">
        <v>6178</v>
      </c>
      <c r="D52" s="3851"/>
      <c r="E52" s="3851"/>
      <c r="F52" s="3851"/>
      <c r="G52" s="3852"/>
      <c r="H52" s="71"/>
      <c r="I52" s="71"/>
      <c r="J52" s="71"/>
      <c r="K52" s="72"/>
      <c r="L52" s="71"/>
      <c r="M52" s="72"/>
    </row>
    <row r="53" spans="1:13">
      <c r="A53" s="75"/>
      <c r="B53" s="1631" t="s">
        <v>444</v>
      </c>
      <c r="C53" s="3850" t="s">
        <v>6179</v>
      </c>
      <c r="D53" s="3851"/>
      <c r="E53" s="3851"/>
      <c r="F53" s="3851"/>
      <c r="G53" s="3852"/>
      <c r="H53" s="71"/>
      <c r="I53" s="71"/>
      <c r="J53" s="71"/>
      <c r="K53" s="72"/>
      <c r="L53" s="71"/>
      <c r="M53" s="72"/>
    </row>
    <row r="54" spans="1:13">
      <c r="A54" s="75"/>
      <c r="B54" s="1631" t="s">
        <v>891</v>
      </c>
      <c r="C54" s="3856" t="s">
        <v>6180</v>
      </c>
      <c r="D54" s="3857"/>
      <c r="E54" s="3857"/>
      <c r="F54" s="3857"/>
      <c r="G54" s="3858"/>
      <c r="H54" s="71"/>
      <c r="I54" s="71"/>
      <c r="J54" s="71"/>
      <c r="K54" s="72"/>
      <c r="L54" s="71"/>
      <c r="M54" s="72"/>
    </row>
    <row r="55" spans="1:13">
      <c r="A55" s="75"/>
      <c r="B55" s="1631" t="s">
        <v>895</v>
      </c>
      <c r="C55" s="3856" t="s">
        <v>6181</v>
      </c>
      <c r="D55" s="3857"/>
      <c r="E55" s="3857"/>
      <c r="F55" s="3857"/>
      <c r="G55" s="3858"/>
      <c r="H55" s="71"/>
      <c r="I55" s="71"/>
      <c r="J55" s="71"/>
      <c r="K55" s="72"/>
      <c r="L55" s="71"/>
      <c r="M55" s="72"/>
    </row>
    <row r="56" spans="1:13">
      <c r="A56" s="75"/>
      <c r="B56" s="1631" t="s">
        <v>332</v>
      </c>
      <c r="C56" s="3856" t="s">
        <v>6182</v>
      </c>
      <c r="D56" s="3857"/>
      <c r="E56" s="3857"/>
      <c r="F56" s="3857"/>
      <c r="G56" s="3858"/>
      <c r="H56" s="71"/>
      <c r="I56" s="71"/>
      <c r="J56" s="71"/>
      <c r="K56" s="72"/>
      <c r="L56" s="71"/>
      <c r="M56" s="72"/>
    </row>
    <row r="57" spans="1:13">
      <c r="A57" s="75"/>
      <c r="B57" s="1631" t="s">
        <v>457</v>
      </c>
      <c r="C57" s="3850" t="s">
        <v>6183</v>
      </c>
      <c r="D57" s="3851"/>
      <c r="E57" s="3851"/>
      <c r="F57" s="3851"/>
      <c r="G57" s="3852"/>
      <c r="H57" s="71"/>
      <c r="I57" s="71"/>
      <c r="J57" s="71"/>
      <c r="K57" s="72"/>
      <c r="L57" s="71"/>
      <c r="M57" s="72"/>
    </row>
    <row r="58" spans="1:13">
      <c r="A58" s="75"/>
      <c r="B58" s="1631" t="s">
        <v>461</v>
      </c>
      <c r="C58" s="3850" t="s">
        <v>6184</v>
      </c>
      <c r="D58" s="3851"/>
      <c r="E58" s="3851"/>
      <c r="F58" s="3851"/>
      <c r="G58" s="3852"/>
      <c r="H58" s="71"/>
      <c r="I58" s="71"/>
      <c r="J58" s="71"/>
      <c r="K58" s="72"/>
      <c r="L58" s="71"/>
      <c r="M58" s="72"/>
    </row>
    <row r="59" spans="1:13">
      <c r="A59" s="75"/>
      <c r="B59" s="1631" t="s">
        <v>338</v>
      </c>
      <c r="C59" s="3850" t="s">
        <v>6185</v>
      </c>
      <c r="D59" s="3851"/>
      <c r="E59" s="3851"/>
      <c r="F59" s="3851"/>
      <c r="G59" s="3852"/>
      <c r="H59" s="71"/>
      <c r="I59" s="71"/>
      <c r="J59" s="71"/>
      <c r="K59" s="72"/>
      <c r="L59" s="71"/>
      <c r="M59" s="72"/>
    </row>
    <row r="60" spans="1:13">
      <c r="A60" s="75"/>
      <c r="B60" s="1631" t="s">
        <v>342</v>
      </c>
      <c r="C60" s="3856" t="s">
        <v>6186</v>
      </c>
      <c r="D60" s="3857"/>
      <c r="E60" s="3857"/>
      <c r="F60" s="3857"/>
      <c r="G60" s="3858"/>
      <c r="H60" s="71"/>
      <c r="I60" s="71"/>
      <c r="J60" s="71"/>
      <c r="K60" s="72"/>
      <c r="L60" s="71"/>
      <c r="M60" s="72"/>
    </row>
    <row r="61" spans="1:13">
      <c r="A61" s="75"/>
      <c r="B61" s="1631" t="s">
        <v>348</v>
      </c>
      <c r="C61" s="3856" t="s">
        <v>6187</v>
      </c>
      <c r="D61" s="3857"/>
      <c r="E61" s="3857"/>
      <c r="F61" s="3857"/>
      <c r="G61" s="3858"/>
      <c r="H61" s="71"/>
      <c r="I61" s="71"/>
      <c r="J61" s="71"/>
      <c r="K61" s="72"/>
      <c r="L61" s="71"/>
      <c r="M61" s="72"/>
    </row>
    <row r="62" spans="1:13">
      <c r="A62" s="75"/>
      <c r="B62" s="1631" t="s">
        <v>783</v>
      </c>
      <c r="C62" s="3850" t="s">
        <v>6188</v>
      </c>
      <c r="D62" s="3851"/>
      <c r="E62" s="3851"/>
      <c r="F62" s="3851"/>
      <c r="G62" s="3852"/>
      <c r="H62" s="71"/>
      <c r="I62" s="71"/>
      <c r="J62" s="71"/>
      <c r="K62" s="72"/>
      <c r="L62" s="71"/>
      <c r="M62" s="72"/>
    </row>
    <row r="63" spans="1:13">
      <c r="A63" s="75"/>
      <c r="B63" s="1631" t="s">
        <v>790</v>
      </c>
      <c r="C63" s="3850" t="s">
        <v>6189</v>
      </c>
      <c r="D63" s="3851"/>
      <c r="E63" s="3851"/>
      <c r="F63" s="3851"/>
      <c r="G63" s="3852"/>
      <c r="H63" s="71"/>
      <c r="I63" s="71"/>
      <c r="J63" s="71"/>
      <c r="K63" s="72"/>
      <c r="L63" s="71"/>
      <c r="M63" s="72"/>
    </row>
    <row r="64" spans="1:13">
      <c r="A64" s="75"/>
      <c r="B64" s="1631" t="s">
        <v>2073</v>
      </c>
      <c r="C64" s="3850" t="s">
        <v>6190</v>
      </c>
      <c r="D64" s="3851"/>
      <c r="E64" s="3851"/>
      <c r="F64" s="3851"/>
      <c r="G64" s="3852"/>
      <c r="H64" s="71"/>
      <c r="I64" s="71"/>
      <c r="J64" s="71"/>
      <c r="K64" s="72"/>
      <c r="L64" s="71"/>
      <c r="M64" s="72"/>
    </row>
    <row r="65" spans="1:13">
      <c r="A65" s="75"/>
      <c r="B65" s="1631" t="s">
        <v>2018</v>
      </c>
      <c r="C65" s="3856" t="s">
        <v>6191</v>
      </c>
      <c r="D65" s="3857"/>
      <c r="E65" s="3857"/>
      <c r="F65" s="3857"/>
      <c r="G65" s="3858"/>
      <c r="H65" s="71"/>
      <c r="I65" s="71"/>
      <c r="J65" s="71"/>
      <c r="K65" s="72"/>
      <c r="L65" s="71"/>
      <c r="M65" s="72"/>
    </row>
    <row r="66" spans="1:13">
      <c r="A66" s="75"/>
      <c r="B66" s="1631" t="s">
        <v>354</v>
      </c>
      <c r="C66" s="3850" t="s">
        <v>6192</v>
      </c>
      <c r="D66" s="3851"/>
      <c r="E66" s="3851"/>
      <c r="F66" s="3851"/>
      <c r="G66" s="3852"/>
      <c r="H66" s="71"/>
      <c r="I66" s="71"/>
      <c r="J66" s="71"/>
      <c r="K66" s="72"/>
      <c r="L66" s="71"/>
      <c r="M66" s="72"/>
    </row>
    <row r="67" spans="1:13">
      <c r="A67" s="75"/>
      <c r="B67" s="1631" t="s">
        <v>489</v>
      </c>
      <c r="C67" s="3850" t="s">
        <v>6193</v>
      </c>
      <c r="D67" s="3851"/>
      <c r="E67" s="3851"/>
      <c r="F67" s="3851"/>
      <c r="G67" s="3852"/>
      <c r="H67" s="71"/>
      <c r="I67" s="71"/>
      <c r="J67" s="71"/>
      <c r="K67" s="72"/>
      <c r="L67" s="71"/>
      <c r="M67" s="72"/>
    </row>
    <row r="68" spans="1:13">
      <c r="A68" s="75"/>
      <c r="B68" s="1631" t="s">
        <v>920</v>
      </c>
      <c r="C68" s="3850" t="s">
        <v>6194</v>
      </c>
      <c r="D68" s="3851"/>
      <c r="E68" s="3851"/>
      <c r="F68" s="3851"/>
      <c r="G68" s="3852"/>
      <c r="H68" s="71"/>
      <c r="I68" s="71"/>
      <c r="J68" s="71"/>
      <c r="K68" s="72"/>
      <c r="L68" s="71"/>
      <c r="M68" s="72"/>
    </row>
    <row r="69" spans="1:13">
      <c r="A69" s="75"/>
      <c r="B69" s="1631" t="s">
        <v>927</v>
      </c>
      <c r="C69" s="3850" t="s">
        <v>6195</v>
      </c>
      <c r="D69" s="3851"/>
      <c r="E69" s="3851"/>
      <c r="F69" s="3851"/>
      <c r="G69" s="3852"/>
      <c r="H69" s="71"/>
      <c r="I69" s="71"/>
      <c r="J69" s="71"/>
      <c r="K69" s="72"/>
      <c r="L69" s="71"/>
      <c r="M69" s="72"/>
    </row>
    <row r="70" spans="1:13">
      <c r="A70" s="75"/>
      <c r="B70" s="1631" t="s">
        <v>932</v>
      </c>
      <c r="C70" s="3850" t="s">
        <v>6196</v>
      </c>
      <c r="D70" s="3851"/>
      <c r="E70" s="3851"/>
      <c r="F70" s="3851"/>
      <c r="G70" s="3852"/>
      <c r="H70" s="71"/>
      <c r="I70" s="71"/>
      <c r="J70" s="71"/>
      <c r="K70" s="72"/>
      <c r="L70" s="71"/>
      <c r="M70" s="72"/>
    </row>
    <row r="71" spans="1:13">
      <c r="A71" s="75"/>
      <c r="B71" s="1631" t="s">
        <v>360</v>
      </c>
      <c r="C71" s="3850" t="s">
        <v>6197</v>
      </c>
      <c r="D71" s="3851"/>
      <c r="E71" s="3851"/>
      <c r="F71" s="3851"/>
      <c r="G71" s="3852"/>
      <c r="H71" s="71"/>
      <c r="I71" s="71"/>
      <c r="J71" s="71"/>
      <c r="K71" s="72"/>
      <c r="L71" s="71"/>
      <c r="M71" s="72"/>
    </row>
    <row r="72" spans="1:13">
      <c r="A72" s="75"/>
      <c r="B72" s="1631" t="s">
        <v>1000</v>
      </c>
      <c r="C72" s="3850" t="s">
        <v>6198</v>
      </c>
      <c r="D72" s="3851"/>
      <c r="E72" s="3851"/>
      <c r="F72" s="3851"/>
      <c r="G72" s="3852"/>
      <c r="H72" s="71"/>
      <c r="I72" s="71"/>
      <c r="J72" s="71"/>
      <c r="K72" s="72"/>
      <c r="L72" s="71"/>
      <c r="M72" s="72"/>
    </row>
    <row r="73" spans="1:13">
      <c r="A73" s="75"/>
      <c r="B73" s="1631" t="s">
        <v>2036</v>
      </c>
      <c r="C73" s="3850" t="s">
        <v>6199</v>
      </c>
      <c r="D73" s="3851"/>
      <c r="E73" s="3851"/>
      <c r="F73" s="3851"/>
      <c r="G73" s="3852"/>
      <c r="H73" s="71"/>
      <c r="I73" s="71"/>
      <c r="J73" s="71"/>
      <c r="K73" s="72"/>
      <c r="L73" s="71"/>
      <c r="M73" s="72"/>
    </row>
    <row r="74" spans="1:13">
      <c r="A74" s="75"/>
      <c r="B74" s="1631" t="s">
        <v>6200</v>
      </c>
      <c r="C74" s="3850" t="s">
        <v>6201</v>
      </c>
      <c r="D74" s="3851"/>
      <c r="E74" s="3851"/>
      <c r="F74" s="3851"/>
      <c r="G74" s="3852"/>
      <c r="H74" s="71"/>
      <c r="I74" s="71"/>
      <c r="J74" s="71"/>
      <c r="K74" s="72"/>
      <c r="L74" s="71"/>
      <c r="M74" s="72"/>
    </row>
    <row r="75" spans="1:13" ht="15" thickBot="1">
      <c r="A75" s="75"/>
      <c r="B75" s="1632" t="s">
        <v>6202</v>
      </c>
      <c r="C75" s="3859" t="s">
        <v>6203</v>
      </c>
      <c r="D75" s="3860"/>
      <c r="E75" s="3860"/>
      <c r="F75" s="3860"/>
      <c r="G75" s="3861"/>
      <c r="H75" s="71"/>
      <c r="I75" s="71"/>
      <c r="J75" s="71"/>
      <c r="K75" s="72"/>
      <c r="L75" s="71"/>
      <c r="M75" s="72"/>
    </row>
    <row r="76" spans="1:13"/>
  </sheetData>
  <mergeCells count="28">
    <mergeCell ref="C72:G72"/>
    <mergeCell ref="C73:G73"/>
    <mergeCell ref="C74:G74"/>
    <mergeCell ref="C75:G75"/>
    <mergeCell ref="C66:G66"/>
    <mergeCell ref="C67:G67"/>
    <mergeCell ref="C68:G68"/>
    <mergeCell ref="C69:G69"/>
    <mergeCell ref="C70:G70"/>
    <mergeCell ref="C71:G71"/>
    <mergeCell ref="C65:G65"/>
    <mergeCell ref="C54:G54"/>
    <mergeCell ref="C55:G55"/>
    <mergeCell ref="C56:G56"/>
    <mergeCell ref="C57:G57"/>
    <mergeCell ref="C58:G58"/>
    <mergeCell ref="C59:G59"/>
    <mergeCell ref="C60:G60"/>
    <mergeCell ref="C61:G61"/>
    <mergeCell ref="C62:G62"/>
    <mergeCell ref="C63:G63"/>
    <mergeCell ref="C64:G64"/>
    <mergeCell ref="C53:G53"/>
    <mergeCell ref="B43:C43"/>
    <mergeCell ref="B49:G49"/>
    <mergeCell ref="C50:G50"/>
    <mergeCell ref="C51:G51"/>
    <mergeCell ref="C52:G52"/>
  </mergeCells>
  <conditionalFormatting sqref="I6:I11">
    <cfRule type="cellIs" dxfId="48" priority="5" operator="equal">
      <formula>0</formula>
    </cfRule>
  </conditionalFormatting>
  <conditionalFormatting sqref="I37:I41 I30:I34 I24:I27 I19:I20 I14:I16">
    <cfRule type="cellIs" dxfId="47" priority="4" operator="equal">
      <formula>0</formula>
    </cfRule>
  </conditionalFormatting>
  <conditionalFormatting sqref="I23">
    <cfRule type="cellIs" dxfId="4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E23:G23</xm:sqref>
        </x14:conditionalFormatting>
      </x14:conditionalFormattings>
    </ext>
  </extLst>
</worksheet>
</file>

<file path=xl/worksheets/sheet56.xml><?xml version="1.0" encoding="utf-8"?>
<worksheet xmlns="http://schemas.openxmlformats.org/spreadsheetml/2006/main" xmlns:r="http://schemas.openxmlformats.org/officeDocument/2006/relationships">
  <sheetPr codeName="Sheet63">
    <tabColor rgb="FFFF0000"/>
    <pageSetUpPr fitToPage="1"/>
  </sheetPr>
  <dimension ref="A1:G178"/>
  <sheetViews>
    <sheetView workbookViewId="0">
      <selection sqref="A1:C1"/>
    </sheetView>
  </sheetViews>
  <sheetFormatPr defaultColWidth="12.625" defaultRowHeight="14.25"/>
  <cols>
    <col min="3" max="3" width="16.5" customWidth="1"/>
    <col min="4" max="4" width="51.125" customWidth="1"/>
    <col min="6" max="6" width="21.125" customWidth="1"/>
    <col min="7" max="7" width="15.125" customWidth="1"/>
  </cols>
  <sheetData>
    <row r="1" spans="1:7">
      <c r="D1" t="str">
        <f>"APR_2017-18_"&amp;INDEX(Lists!$C$4:$C$26,MATCH(Validation!$B$3,Lists!$B$4:$B$26,0))</f>
        <v>APR_2017-18_SWT</v>
      </c>
    </row>
    <row r="2" spans="1:7">
      <c r="A2" t="s">
        <v>2862</v>
      </c>
      <c r="B2" t="s">
        <v>11003</v>
      </c>
      <c r="C2" t="s">
        <v>11004</v>
      </c>
      <c r="D2" t="s">
        <v>4077</v>
      </c>
      <c r="E2" t="s">
        <v>3346</v>
      </c>
      <c r="F2" t="s">
        <v>11005</v>
      </c>
      <c r="G2" t="s">
        <v>31</v>
      </c>
    </row>
    <row r="3" spans="1:7" ht="15" thickBot="1"/>
    <row r="4" spans="1:7">
      <c r="A4" s="1743" t="str">
        <f>INDEX(Lists!$C$4:$C$26,MATCH(Validation!$B$3,Lists!$B$4:$B$26,0))</f>
        <v>SWT</v>
      </c>
      <c r="B4" s="1744" t="str">
        <f>INDEX(Lists!$C$4:$C$26,MATCH(Validation!$B$3,Lists!$B$4:$B$26,0))&amp;"_AIM01"</f>
        <v>SWT_AIM01</v>
      </c>
      <c r="C4" s="1744" t="s">
        <v>10181</v>
      </c>
      <c r="D4" s="1744" t="s">
        <v>11006</v>
      </c>
      <c r="E4" s="1744" t="s">
        <v>4043</v>
      </c>
      <c r="F4" s="1744" t="s">
        <v>11007</v>
      </c>
      <c r="G4" s="1750" t="str">
        <f>IF('3C'!C5="","##BLANK",'3C'!C5)</f>
        <v>##BLANK</v>
      </c>
    </row>
    <row r="5" spans="1:7">
      <c r="A5" s="1745" t="str">
        <f>INDEX(Lists!$C$4:$C$26,MATCH(Validation!$B$3,Lists!$B$4:$B$26,0))</f>
        <v>SWT</v>
      </c>
      <c r="B5" s="893" t="str">
        <f>INDEX(Lists!$C$4:$C$26,MATCH(Validation!$B$3,Lists!$B$4:$B$26,0))&amp;"_AIM02"</f>
        <v>SWT_AIM02</v>
      </c>
      <c r="C5" s="893" t="s">
        <v>10181</v>
      </c>
      <c r="D5" s="893" t="s">
        <v>11006</v>
      </c>
      <c r="E5" s="893" t="s">
        <v>4043</v>
      </c>
      <c r="F5" s="893" t="s">
        <v>11007</v>
      </c>
      <c r="G5" s="1749" t="str">
        <f>IF('3C'!C6="","##BLANK",'3C'!C6)</f>
        <v>##BLANK</v>
      </c>
    </row>
    <row r="6" spans="1:7">
      <c r="A6" s="1745" t="str">
        <f>INDEX(Lists!$C$4:$C$26,MATCH(Validation!$B$3,Lists!$B$4:$B$26,0))</f>
        <v>SWT</v>
      </c>
      <c r="B6" s="893" t="str">
        <f>INDEX(Lists!$C$4:$C$26,MATCH(Validation!$B$3,Lists!$B$4:$B$26,0))&amp;"_AIM03"</f>
        <v>SWT_AIM03</v>
      </c>
      <c r="C6" s="893" t="s">
        <v>10181</v>
      </c>
      <c r="D6" s="893" t="s">
        <v>11006</v>
      </c>
      <c r="E6" s="893" t="s">
        <v>4043</v>
      </c>
      <c r="F6" s="893" t="s">
        <v>11007</v>
      </c>
      <c r="G6" s="1749" t="str">
        <f>IF('3C'!C7="","##BLANK",'3C'!C7)</f>
        <v>##BLANK</v>
      </c>
    </row>
    <row r="7" spans="1:7">
      <c r="A7" s="1745" t="str">
        <f>INDEX(Lists!$C$4:$C$26,MATCH(Validation!$B$3,Lists!$B$4:$B$26,0))</f>
        <v>SWT</v>
      </c>
      <c r="B7" s="893" t="str">
        <f>INDEX(Lists!$C$4:$C$26,MATCH(Validation!$B$3,Lists!$B$4:$B$26,0))&amp;"_AIM04"</f>
        <v>SWT_AIM04</v>
      </c>
      <c r="C7" s="893" t="s">
        <v>10181</v>
      </c>
      <c r="D7" s="893" t="s">
        <v>11006</v>
      </c>
      <c r="E7" s="893" t="s">
        <v>4043</v>
      </c>
      <c r="F7" s="893" t="s">
        <v>11007</v>
      </c>
      <c r="G7" s="1749" t="str">
        <f>IF('3C'!C8="","##BLANK",'3C'!C8)</f>
        <v>##BLANK</v>
      </c>
    </row>
    <row r="8" spans="1:7">
      <c r="A8" s="1745" t="str">
        <f>INDEX(Lists!$C$4:$C$26,MATCH(Validation!$B$3,Lists!$B$4:$B$26,0))</f>
        <v>SWT</v>
      </c>
      <c r="B8" s="893" t="str">
        <f>INDEX(Lists!$C$4:$C$26,MATCH(Validation!$B$3,Lists!$B$4:$B$26,0))&amp;"_AIM05"</f>
        <v>SWT_AIM05</v>
      </c>
      <c r="C8" s="893" t="s">
        <v>10181</v>
      </c>
      <c r="D8" s="893" t="s">
        <v>11006</v>
      </c>
      <c r="E8" s="893" t="s">
        <v>4043</v>
      </c>
      <c r="F8" s="893" t="s">
        <v>11007</v>
      </c>
      <c r="G8" s="1749" t="str">
        <f>IF('3C'!C9="","##BLANK",'3C'!C9)</f>
        <v>##BLANK</v>
      </c>
    </row>
    <row r="9" spans="1:7">
      <c r="A9" s="1745" t="str">
        <f>INDEX(Lists!$C$4:$C$26,MATCH(Validation!$B$3,Lists!$B$4:$B$26,0))</f>
        <v>SWT</v>
      </c>
      <c r="B9" s="893" t="str">
        <f>INDEX(Lists!$C$4:$C$26,MATCH(Validation!$B$3,Lists!$B$4:$B$26,0))&amp;"_AIM06"</f>
        <v>SWT_AIM06</v>
      </c>
      <c r="C9" s="893" t="s">
        <v>10181</v>
      </c>
      <c r="D9" s="893" t="s">
        <v>11006</v>
      </c>
      <c r="E9" s="893" t="s">
        <v>4043</v>
      </c>
      <c r="F9" s="893" t="s">
        <v>11007</v>
      </c>
      <c r="G9" s="1749" t="str">
        <f>IF('3C'!C10="","##BLANK",'3C'!C10)</f>
        <v>##BLANK</v>
      </c>
    </row>
    <row r="10" spans="1:7">
      <c r="A10" s="1745" t="str">
        <f>INDEX(Lists!$C$4:$C$26,MATCH(Validation!$B$3,Lists!$B$4:$B$26,0))</f>
        <v>SWT</v>
      </c>
      <c r="B10" s="893" t="str">
        <f>INDEX(Lists!$C$4:$C$26,MATCH(Validation!$B$3,Lists!$B$4:$B$26,0))&amp;"_AIM07"</f>
        <v>SWT_AIM07</v>
      </c>
      <c r="C10" s="893" t="s">
        <v>10181</v>
      </c>
      <c r="D10" s="893" t="s">
        <v>11006</v>
      </c>
      <c r="E10" s="893" t="s">
        <v>4043</v>
      </c>
      <c r="F10" s="893" t="s">
        <v>11007</v>
      </c>
      <c r="G10" s="1749" t="str">
        <f>IF('3C'!C11="","##BLANK",'3C'!C11)</f>
        <v>##BLANK</v>
      </c>
    </row>
    <row r="11" spans="1:7">
      <c r="A11" s="1745" t="str">
        <f>INDEX(Lists!$C$4:$C$26,MATCH(Validation!$B$3,Lists!$B$4:$B$26,0))</f>
        <v>SWT</v>
      </c>
      <c r="B11" s="893" t="str">
        <f>INDEX(Lists!$C$4:$C$26,MATCH(Validation!$B$3,Lists!$B$4:$B$26,0))&amp;"_AIM08"</f>
        <v>SWT_AIM08</v>
      </c>
      <c r="C11" s="893" t="s">
        <v>10181</v>
      </c>
      <c r="D11" s="893" t="s">
        <v>11006</v>
      </c>
      <c r="E11" s="893" t="s">
        <v>4043</v>
      </c>
      <c r="F11" s="893" t="s">
        <v>11007</v>
      </c>
      <c r="G11" s="1749" t="str">
        <f>IF('3C'!C12="","##BLANK",'3C'!C12)</f>
        <v>##BLANK</v>
      </c>
    </row>
    <row r="12" spans="1:7">
      <c r="A12" s="1745" t="str">
        <f>INDEX(Lists!$C$4:$C$26,MATCH(Validation!$B$3,Lists!$B$4:$B$26,0))</f>
        <v>SWT</v>
      </c>
      <c r="B12" s="893" t="str">
        <f>INDEX(Lists!$C$4:$C$26,MATCH(Validation!$B$3,Lists!$B$4:$B$26,0))&amp;"_AIM09"</f>
        <v>SWT_AIM09</v>
      </c>
      <c r="C12" s="893" t="s">
        <v>10181</v>
      </c>
      <c r="D12" s="893" t="s">
        <v>11006</v>
      </c>
      <c r="E12" s="893" t="s">
        <v>4043</v>
      </c>
      <c r="F12" s="893" t="s">
        <v>11007</v>
      </c>
      <c r="G12" s="1749" t="str">
        <f>IF('3C'!C13="","##BLANK",'3C'!C13)</f>
        <v>##BLANK</v>
      </c>
    </row>
    <row r="13" spans="1:7">
      <c r="A13" s="1745" t="str">
        <f>INDEX(Lists!$C$4:$C$26,MATCH(Validation!$B$3,Lists!$B$4:$B$26,0))</f>
        <v>SWT</v>
      </c>
      <c r="B13" s="893" t="str">
        <f>INDEX(Lists!$C$4:$C$26,MATCH(Validation!$B$3,Lists!$B$4:$B$26,0))&amp;"_AIM10"</f>
        <v>SWT_AIM10</v>
      </c>
      <c r="C13" s="893" t="s">
        <v>10181</v>
      </c>
      <c r="D13" s="893" t="s">
        <v>11006</v>
      </c>
      <c r="E13" s="893" t="s">
        <v>4043</v>
      </c>
      <c r="F13" s="893" t="s">
        <v>11007</v>
      </c>
      <c r="G13" s="1749" t="str">
        <f>IF('3C'!C14="","##BLANK",'3C'!C14)</f>
        <v>##BLANK</v>
      </c>
    </row>
    <row r="14" spans="1:7">
      <c r="A14" s="1745" t="str">
        <f>INDEX(Lists!$C$4:$C$26,MATCH(Validation!$B$3,Lists!$B$4:$B$26,0))</f>
        <v>SWT</v>
      </c>
      <c r="B14" s="893" t="str">
        <f>INDEX(Lists!$C$4:$C$26,MATCH(Validation!$B$3,Lists!$B$4:$B$26,0))&amp;"_AIM11"</f>
        <v>SWT_AIM11</v>
      </c>
      <c r="C14" s="893" t="s">
        <v>10181</v>
      </c>
      <c r="D14" s="893" t="s">
        <v>11006</v>
      </c>
      <c r="E14" s="893" t="s">
        <v>4043</v>
      </c>
      <c r="F14" s="893" t="s">
        <v>11007</v>
      </c>
      <c r="G14" s="1749" t="str">
        <f>IF('3C'!C15="","##BLANK",'3C'!C15)</f>
        <v>##BLANK</v>
      </c>
    </row>
    <row r="15" spans="1:7">
      <c r="A15" s="1745" t="str">
        <f>INDEX(Lists!$C$4:$C$26,MATCH(Validation!$B$3,Lists!$B$4:$B$26,0))</f>
        <v>SWT</v>
      </c>
      <c r="B15" s="893" t="str">
        <f>INDEX(Lists!$C$4:$C$26,MATCH(Validation!$B$3,Lists!$B$4:$B$26,0))&amp;"_AIM12"</f>
        <v>SWT_AIM12</v>
      </c>
      <c r="C15" s="893" t="s">
        <v>10181</v>
      </c>
      <c r="D15" s="893" t="s">
        <v>11006</v>
      </c>
      <c r="E15" s="893" t="s">
        <v>4043</v>
      </c>
      <c r="F15" s="893" t="s">
        <v>11007</v>
      </c>
      <c r="G15" s="1749" t="str">
        <f>IF('3C'!C16="","##BLANK",'3C'!C16)</f>
        <v>##BLANK</v>
      </c>
    </row>
    <row r="16" spans="1:7">
      <c r="A16" s="1745" t="str">
        <f>INDEX(Lists!$C$4:$C$26,MATCH(Validation!$B$3,Lists!$B$4:$B$26,0))</f>
        <v>SWT</v>
      </c>
      <c r="B16" s="893" t="str">
        <f>INDEX(Lists!$C$4:$C$26,MATCH(Validation!$B$3,Lists!$B$4:$B$26,0))&amp;"_AIM13"</f>
        <v>SWT_AIM13</v>
      </c>
      <c r="C16" s="893" t="s">
        <v>10181</v>
      </c>
      <c r="D16" s="893" t="s">
        <v>11006</v>
      </c>
      <c r="E16" s="893" t="s">
        <v>4043</v>
      </c>
      <c r="F16" s="893" t="s">
        <v>11007</v>
      </c>
      <c r="G16" s="1749" t="str">
        <f>IF('3C'!C17="","##BLANK",'3C'!C17)</f>
        <v>##BLANK</v>
      </c>
    </row>
    <row r="17" spans="1:7">
      <c r="A17" s="1745" t="str">
        <f>INDEX(Lists!$C$4:$C$26,MATCH(Validation!$B$3,Lists!$B$4:$B$26,0))</f>
        <v>SWT</v>
      </c>
      <c r="B17" s="893" t="str">
        <f>INDEX(Lists!$C$4:$C$26,MATCH(Validation!$B$3,Lists!$B$4:$B$26,0))&amp;"_AIM14"</f>
        <v>SWT_AIM14</v>
      </c>
      <c r="C17" s="893" t="s">
        <v>10181</v>
      </c>
      <c r="D17" s="893" t="s">
        <v>11006</v>
      </c>
      <c r="E17" s="893" t="s">
        <v>4043</v>
      </c>
      <c r="F17" s="893" t="s">
        <v>11007</v>
      </c>
      <c r="G17" s="1749" t="str">
        <f>IF('3C'!C18="","##BLANK",'3C'!C18)</f>
        <v>##BLANK</v>
      </c>
    </row>
    <row r="18" spans="1:7">
      <c r="A18" s="1745" t="str">
        <f>INDEX(Lists!$C$4:$C$26,MATCH(Validation!$B$3,Lists!$B$4:$B$26,0))</f>
        <v>SWT</v>
      </c>
      <c r="B18" s="893" t="str">
        <f>INDEX(Lists!$C$4:$C$26,MATCH(Validation!$B$3,Lists!$B$4:$B$26,0))&amp;"_AIM15"</f>
        <v>SWT_AIM15</v>
      </c>
      <c r="C18" s="893" t="s">
        <v>10181</v>
      </c>
      <c r="D18" s="893" t="s">
        <v>11006</v>
      </c>
      <c r="E18" s="893" t="s">
        <v>4043</v>
      </c>
      <c r="F18" s="893" t="s">
        <v>11007</v>
      </c>
      <c r="G18" s="1749" t="str">
        <f>IF('3C'!C19="","##BLANK",'3C'!C19)</f>
        <v>##BLANK</v>
      </c>
    </row>
    <row r="19" spans="1:7">
      <c r="A19" s="1745" t="str">
        <f>INDEX(Lists!$C$4:$C$26,MATCH(Validation!$B$3,Lists!$B$4:$B$26,0))</f>
        <v>SWT</v>
      </c>
      <c r="B19" s="893" t="str">
        <f>INDEX(Lists!$C$4:$C$26,MATCH(Validation!$B$3,Lists!$B$4:$B$26,0))&amp;"_AIM16"</f>
        <v>SWT_AIM16</v>
      </c>
      <c r="C19" s="893" t="s">
        <v>10181</v>
      </c>
      <c r="D19" s="893" t="s">
        <v>11006</v>
      </c>
      <c r="E19" s="893" t="s">
        <v>4043</v>
      </c>
      <c r="F19" s="893" t="s">
        <v>11007</v>
      </c>
      <c r="G19" s="1749" t="str">
        <f>IF('3C'!C20="","##BLANK",'3C'!C20)</f>
        <v>##BLANK</v>
      </c>
    </row>
    <row r="20" spans="1:7">
      <c r="A20" s="1745" t="str">
        <f>INDEX(Lists!$C$4:$C$26,MATCH(Validation!$B$3,Lists!$B$4:$B$26,0))</f>
        <v>SWT</v>
      </c>
      <c r="B20" s="893" t="str">
        <f>INDEX(Lists!$C$4:$C$26,MATCH(Validation!$B$3,Lists!$B$4:$B$26,0))&amp;"_AIM17"</f>
        <v>SWT_AIM17</v>
      </c>
      <c r="C20" s="893" t="s">
        <v>10181</v>
      </c>
      <c r="D20" s="893" t="s">
        <v>11006</v>
      </c>
      <c r="E20" s="893" t="s">
        <v>4043</v>
      </c>
      <c r="F20" s="893" t="s">
        <v>11007</v>
      </c>
      <c r="G20" s="1749" t="str">
        <f>IF('3C'!C21="","##BLANK",'3C'!C21)</f>
        <v>##BLANK</v>
      </c>
    </row>
    <row r="21" spans="1:7">
      <c r="A21" s="1745" t="str">
        <f>INDEX(Lists!$C$4:$C$26,MATCH(Validation!$B$3,Lists!$B$4:$B$26,0))</f>
        <v>SWT</v>
      </c>
      <c r="B21" s="893" t="str">
        <f>INDEX(Lists!$C$4:$C$26,MATCH(Validation!$B$3,Lists!$B$4:$B$26,0))&amp;"_AIM18"</f>
        <v>SWT_AIM18</v>
      </c>
      <c r="C21" s="893" t="s">
        <v>10181</v>
      </c>
      <c r="D21" s="893" t="s">
        <v>11006</v>
      </c>
      <c r="E21" s="893" t="s">
        <v>4043</v>
      </c>
      <c r="F21" s="893" t="s">
        <v>11007</v>
      </c>
      <c r="G21" s="1749" t="str">
        <f>IF('3C'!C22="","##BLANK",'3C'!C22)</f>
        <v>##BLANK</v>
      </c>
    </row>
    <row r="22" spans="1:7">
      <c r="A22" s="1745" t="str">
        <f>INDEX(Lists!$C$4:$C$26,MATCH(Validation!$B$3,Lists!$B$4:$B$26,0))</f>
        <v>SWT</v>
      </c>
      <c r="B22" s="893" t="str">
        <f>INDEX(Lists!$C$4:$C$26,MATCH(Validation!$B$3,Lists!$B$4:$B$26,0))&amp;"_AIM19"</f>
        <v>SWT_AIM19</v>
      </c>
      <c r="C22" s="893" t="s">
        <v>10181</v>
      </c>
      <c r="D22" s="893" t="s">
        <v>11006</v>
      </c>
      <c r="E22" s="893" t="s">
        <v>4043</v>
      </c>
      <c r="F22" s="893" t="s">
        <v>11007</v>
      </c>
      <c r="G22" s="1749" t="str">
        <f>IF('3C'!C23="","##BLANK",'3C'!C23)</f>
        <v>##BLANK</v>
      </c>
    </row>
    <row r="23" spans="1:7">
      <c r="A23" s="1745" t="str">
        <f>INDEX(Lists!$C$4:$C$26,MATCH(Validation!$B$3,Lists!$B$4:$B$26,0))</f>
        <v>SWT</v>
      </c>
      <c r="B23" s="893" t="str">
        <f>INDEX(Lists!$C$4:$C$26,MATCH(Validation!$B$3,Lists!$B$4:$B$26,0))&amp;"_AIM20"</f>
        <v>SWT_AIM20</v>
      </c>
      <c r="C23" s="893" t="s">
        <v>10181</v>
      </c>
      <c r="D23" s="893" t="s">
        <v>11006</v>
      </c>
      <c r="E23" s="893" t="s">
        <v>4043</v>
      </c>
      <c r="F23" s="893" t="s">
        <v>11007</v>
      </c>
      <c r="G23" s="1749" t="str">
        <f>IF('3C'!C24="","##BLANK",'3C'!C24)</f>
        <v>##BLANK</v>
      </c>
    </row>
    <row r="24" spans="1:7">
      <c r="A24" s="1745" t="str">
        <f>INDEX(Lists!$C$4:$C$26,MATCH(Validation!$B$3,Lists!$B$4:$B$26,0))</f>
        <v>SWT</v>
      </c>
      <c r="B24" s="893" t="str">
        <f>INDEX(Lists!$C$4:$C$26,MATCH(Validation!$B$3,Lists!$B$4:$B$26,0))&amp;"_AIM21"</f>
        <v>SWT_AIM21</v>
      </c>
      <c r="C24" s="893" t="s">
        <v>10181</v>
      </c>
      <c r="D24" s="893" t="s">
        <v>11006</v>
      </c>
      <c r="E24" s="893" t="s">
        <v>4043</v>
      </c>
      <c r="F24" s="893" t="s">
        <v>11007</v>
      </c>
      <c r="G24" s="1749" t="str">
        <f>IF('3C'!C25="","##BLANK",'3C'!C25)</f>
        <v>##BLANK</v>
      </c>
    </row>
    <row r="25" spans="1:7">
      <c r="A25" s="1745" t="str">
        <f>INDEX(Lists!$C$4:$C$26,MATCH(Validation!$B$3,Lists!$B$4:$B$26,0))</f>
        <v>SWT</v>
      </c>
      <c r="B25" s="893" t="str">
        <f>INDEX(Lists!$C$4:$C$26,MATCH(Validation!$B$3,Lists!$B$4:$B$26,0))&amp;"_AIM22"</f>
        <v>SWT_AIM22</v>
      </c>
      <c r="C25" s="893" t="s">
        <v>10181</v>
      </c>
      <c r="D25" s="893" t="s">
        <v>11006</v>
      </c>
      <c r="E25" s="893" t="s">
        <v>4043</v>
      </c>
      <c r="F25" s="893" t="s">
        <v>11007</v>
      </c>
      <c r="G25" s="1749" t="str">
        <f>IF('3C'!C26="","##BLANK",'3C'!C26)</f>
        <v>##BLANK</v>
      </c>
    </row>
    <row r="26" spans="1:7">
      <c r="A26" s="1745" t="str">
        <f>INDEX(Lists!$C$4:$C$26,MATCH(Validation!$B$3,Lists!$B$4:$B$26,0))</f>
        <v>SWT</v>
      </c>
      <c r="B26" s="893" t="str">
        <f>INDEX(Lists!$C$4:$C$26,MATCH(Validation!$B$3,Lists!$B$4:$B$26,0))&amp;"_AIM23"</f>
        <v>SWT_AIM23</v>
      </c>
      <c r="C26" s="893" t="s">
        <v>10181</v>
      </c>
      <c r="D26" s="893" t="s">
        <v>11006</v>
      </c>
      <c r="E26" s="893" t="s">
        <v>4043</v>
      </c>
      <c r="F26" s="893" t="s">
        <v>11007</v>
      </c>
      <c r="G26" s="1749" t="str">
        <f>IF('3C'!C27="","##BLANK",'3C'!C27)</f>
        <v>##BLANK</v>
      </c>
    </row>
    <row r="27" spans="1:7">
      <c r="A27" s="1745" t="str">
        <f>INDEX(Lists!$C$4:$C$26,MATCH(Validation!$B$3,Lists!$B$4:$B$26,0))</f>
        <v>SWT</v>
      </c>
      <c r="B27" s="893" t="str">
        <f>INDEX(Lists!$C$4:$C$26,MATCH(Validation!$B$3,Lists!$B$4:$B$26,0))&amp;"_AIM24"</f>
        <v>SWT_AIM24</v>
      </c>
      <c r="C27" s="893" t="s">
        <v>10181</v>
      </c>
      <c r="D27" s="893" t="s">
        <v>11006</v>
      </c>
      <c r="E27" s="893" t="s">
        <v>4043</v>
      </c>
      <c r="F27" s="893" t="s">
        <v>11007</v>
      </c>
      <c r="G27" s="1749" t="str">
        <f>IF('3C'!C28="","##BLANK",'3C'!C28)</f>
        <v>##BLANK</v>
      </c>
    </row>
    <row r="28" spans="1:7" ht="15" thickBot="1">
      <c r="A28" s="1746" t="str">
        <f>INDEX(Lists!$C$4:$C$26,MATCH(Validation!$B$3,Lists!$B$4:$B$26,0))</f>
        <v>SWT</v>
      </c>
      <c r="B28" s="1747" t="str">
        <f>INDEX(Lists!$C$4:$C$26,MATCH(Validation!$B$3,Lists!$B$4:$B$26,0))&amp;"_AIM25"</f>
        <v>SWT_AIM25</v>
      </c>
      <c r="C28" s="1747" t="s">
        <v>10181</v>
      </c>
      <c r="D28" s="1747" t="s">
        <v>11006</v>
      </c>
      <c r="E28" s="1747" t="s">
        <v>4043</v>
      </c>
      <c r="F28" s="1747" t="s">
        <v>11007</v>
      </c>
      <c r="G28" s="1751" t="str">
        <f>IF('3C'!C29="","##BLANK",'3C'!C29)</f>
        <v>##BLANK</v>
      </c>
    </row>
    <row r="29" spans="1:7">
      <c r="A29" s="1743" t="str">
        <f>INDEX(Lists!$C$4:$C$26,MATCH(Validation!$B$3,Lists!$B$4:$B$26,0))</f>
        <v>SWT</v>
      </c>
      <c r="B29" s="1744" t="str">
        <f>INDEX(Lists!$C$4:$C$26,MATCH(Validation!$B$3,Lists!$B$4:$B$26,0))&amp;"_AIM01"</f>
        <v>SWT_AIM01</v>
      </c>
      <c r="C29" s="1744" t="s">
        <v>10182</v>
      </c>
      <c r="D29" s="1744" t="s">
        <v>16</v>
      </c>
      <c r="E29" s="1744" t="s">
        <v>48</v>
      </c>
      <c r="F29" s="1744" t="s">
        <v>11007</v>
      </c>
      <c r="G29" s="1749" t="str">
        <f>IF('3C'!D5="","##BLANK",'3C'!D5)</f>
        <v>##BLANK</v>
      </c>
    </row>
    <row r="30" spans="1:7">
      <c r="A30" s="1745" t="str">
        <f>INDEX(Lists!$C$4:$C$26,MATCH(Validation!$B$3,Lists!$B$4:$B$26,0))</f>
        <v>SWT</v>
      </c>
      <c r="B30" s="893" t="str">
        <f>INDEX(Lists!$C$4:$C$26,MATCH(Validation!$B$3,Lists!$B$4:$B$26,0))&amp;"_AIM02"</f>
        <v>SWT_AIM02</v>
      </c>
      <c r="C30" s="893" t="s">
        <v>10182</v>
      </c>
      <c r="D30" s="893" t="s">
        <v>16</v>
      </c>
      <c r="E30" s="893" t="s">
        <v>48</v>
      </c>
      <c r="F30" s="893" t="s">
        <v>11007</v>
      </c>
      <c r="G30" s="1749" t="str">
        <f>IF('3C'!D6="","##BLANK",'3C'!D6)</f>
        <v>##BLANK</v>
      </c>
    </row>
    <row r="31" spans="1:7">
      <c r="A31" s="1745" t="str">
        <f>INDEX(Lists!$C$4:$C$26,MATCH(Validation!$B$3,Lists!$B$4:$B$26,0))</f>
        <v>SWT</v>
      </c>
      <c r="B31" s="893" t="str">
        <f>INDEX(Lists!$C$4:$C$26,MATCH(Validation!$B$3,Lists!$B$4:$B$26,0))&amp;"_AIM03"</f>
        <v>SWT_AIM03</v>
      </c>
      <c r="C31" s="893" t="s">
        <v>10182</v>
      </c>
      <c r="D31" s="893" t="s">
        <v>16</v>
      </c>
      <c r="E31" s="893" t="s">
        <v>48</v>
      </c>
      <c r="F31" s="893" t="s">
        <v>11007</v>
      </c>
      <c r="G31" s="1749" t="str">
        <f>IF('3C'!D7="","##BLANK",'3C'!D7)</f>
        <v>##BLANK</v>
      </c>
    </row>
    <row r="32" spans="1:7">
      <c r="A32" s="1745" t="str">
        <f>INDEX(Lists!$C$4:$C$26,MATCH(Validation!$B$3,Lists!$B$4:$B$26,0))</f>
        <v>SWT</v>
      </c>
      <c r="B32" s="893" t="str">
        <f>INDEX(Lists!$C$4:$C$26,MATCH(Validation!$B$3,Lists!$B$4:$B$26,0))&amp;"_AIM04"</f>
        <v>SWT_AIM04</v>
      </c>
      <c r="C32" s="893" t="s">
        <v>10182</v>
      </c>
      <c r="D32" s="893" t="s">
        <v>16</v>
      </c>
      <c r="E32" s="893" t="s">
        <v>48</v>
      </c>
      <c r="F32" s="893" t="s">
        <v>11007</v>
      </c>
      <c r="G32" s="1749" t="str">
        <f>IF('3C'!D8="","##BLANK",'3C'!D8)</f>
        <v>##BLANK</v>
      </c>
    </row>
    <row r="33" spans="1:7">
      <c r="A33" s="1745" t="str">
        <f>INDEX(Lists!$C$4:$C$26,MATCH(Validation!$B$3,Lists!$B$4:$B$26,0))</f>
        <v>SWT</v>
      </c>
      <c r="B33" s="893" t="str">
        <f>INDEX(Lists!$C$4:$C$26,MATCH(Validation!$B$3,Lists!$B$4:$B$26,0))&amp;"_AIM05"</f>
        <v>SWT_AIM05</v>
      </c>
      <c r="C33" s="893" t="s">
        <v>10182</v>
      </c>
      <c r="D33" s="893" t="s">
        <v>16</v>
      </c>
      <c r="E33" s="893" t="s">
        <v>48</v>
      </c>
      <c r="F33" s="893" t="s">
        <v>11007</v>
      </c>
      <c r="G33" s="1749" t="str">
        <f>IF('3C'!D9="","##BLANK",'3C'!D9)</f>
        <v>##BLANK</v>
      </c>
    </row>
    <row r="34" spans="1:7">
      <c r="A34" s="1745" t="str">
        <f>INDEX(Lists!$C$4:$C$26,MATCH(Validation!$B$3,Lists!$B$4:$B$26,0))</f>
        <v>SWT</v>
      </c>
      <c r="B34" s="893" t="str">
        <f>INDEX(Lists!$C$4:$C$26,MATCH(Validation!$B$3,Lists!$B$4:$B$26,0))&amp;"_AIM06"</f>
        <v>SWT_AIM06</v>
      </c>
      <c r="C34" s="893" t="s">
        <v>10182</v>
      </c>
      <c r="D34" s="893" t="s">
        <v>16</v>
      </c>
      <c r="E34" s="893" t="s">
        <v>48</v>
      </c>
      <c r="F34" s="893" t="s">
        <v>11007</v>
      </c>
      <c r="G34" s="1749" t="str">
        <f>IF('3C'!D10="","##BLANK",'3C'!D10)</f>
        <v>##BLANK</v>
      </c>
    </row>
    <row r="35" spans="1:7">
      <c r="A35" s="1745" t="str">
        <f>INDEX(Lists!$C$4:$C$26,MATCH(Validation!$B$3,Lists!$B$4:$B$26,0))</f>
        <v>SWT</v>
      </c>
      <c r="B35" s="893" t="str">
        <f>INDEX(Lists!$C$4:$C$26,MATCH(Validation!$B$3,Lists!$B$4:$B$26,0))&amp;"_AIM07"</f>
        <v>SWT_AIM07</v>
      </c>
      <c r="C35" s="893" t="s">
        <v>10182</v>
      </c>
      <c r="D35" s="893" t="s">
        <v>16</v>
      </c>
      <c r="E35" s="893" t="s">
        <v>48</v>
      </c>
      <c r="F35" s="893" t="s">
        <v>11007</v>
      </c>
      <c r="G35" s="1749" t="str">
        <f>IF('3C'!D11="","##BLANK",'3C'!D11)</f>
        <v>##BLANK</v>
      </c>
    </row>
    <row r="36" spans="1:7">
      <c r="A36" s="1745" t="str">
        <f>INDEX(Lists!$C$4:$C$26,MATCH(Validation!$B$3,Lists!$B$4:$B$26,0))</f>
        <v>SWT</v>
      </c>
      <c r="B36" s="893" t="str">
        <f>INDEX(Lists!$C$4:$C$26,MATCH(Validation!$B$3,Lists!$B$4:$B$26,0))&amp;"_AIM08"</f>
        <v>SWT_AIM08</v>
      </c>
      <c r="C36" s="893" t="s">
        <v>10182</v>
      </c>
      <c r="D36" s="893" t="s">
        <v>16</v>
      </c>
      <c r="E36" s="893" t="s">
        <v>48</v>
      </c>
      <c r="F36" s="893" t="s">
        <v>11007</v>
      </c>
      <c r="G36" s="1749" t="str">
        <f>IF('3C'!D12="","##BLANK",'3C'!D12)</f>
        <v>##BLANK</v>
      </c>
    </row>
    <row r="37" spans="1:7">
      <c r="A37" s="1745" t="str">
        <f>INDEX(Lists!$C$4:$C$26,MATCH(Validation!$B$3,Lists!$B$4:$B$26,0))</f>
        <v>SWT</v>
      </c>
      <c r="B37" s="893" t="str">
        <f>INDEX(Lists!$C$4:$C$26,MATCH(Validation!$B$3,Lists!$B$4:$B$26,0))&amp;"_AIM09"</f>
        <v>SWT_AIM09</v>
      </c>
      <c r="C37" s="893" t="s">
        <v>10182</v>
      </c>
      <c r="D37" s="893" t="s">
        <v>16</v>
      </c>
      <c r="E37" s="893" t="s">
        <v>48</v>
      </c>
      <c r="F37" s="893" t="s">
        <v>11007</v>
      </c>
      <c r="G37" s="1749" t="str">
        <f>IF('3C'!D13="","##BLANK",'3C'!D13)</f>
        <v>##BLANK</v>
      </c>
    </row>
    <row r="38" spans="1:7">
      <c r="A38" s="1745" t="str">
        <f>INDEX(Lists!$C$4:$C$26,MATCH(Validation!$B$3,Lists!$B$4:$B$26,0))</f>
        <v>SWT</v>
      </c>
      <c r="B38" s="893" t="str">
        <f>INDEX(Lists!$C$4:$C$26,MATCH(Validation!$B$3,Lists!$B$4:$B$26,0))&amp;"_AIM10"</f>
        <v>SWT_AIM10</v>
      </c>
      <c r="C38" s="893" t="s">
        <v>10182</v>
      </c>
      <c r="D38" s="893" t="s">
        <v>16</v>
      </c>
      <c r="E38" s="893" t="s">
        <v>48</v>
      </c>
      <c r="F38" s="893" t="s">
        <v>11007</v>
      </c>
      <c r="G38" s="1749" t="str">
        <f>IF('3C'!D14="","##BLANK",'3C'!D14)</f>
        <v>##BLANK</v>
      </c>
    </row>
    <row r="39" spans="1:7">
      <c r="A39" s="1745" t="str">
        <f>INDEX(Lists!$C$4:$C$26,MATCH(Validation!$B$3,Lists!$B$4:$B$26,0))</f>
        <v>SWT</v>
      </c>
      <c r="B39" s="893" t="str">
        <f>INDEX(Lists!$C$4:$C$26,MATCH(Validation!$B$3,Lists!$B$4:$B$26,0))&amp;"_AIM11"</f>
        <v>SWT_AIM11</v>
      </c>
      <c r="C39" s="893" t="s">
        <v>10182</v>
      </c>
      <c r="D39" s="893" t="s">
        <v>16</v>
      </c>
      <c r="E39" s="893" t="s">
        <v>48</v>
      </c>
      <c r="F39" s="893" t="s">
        <v>11007</v>
      </c>
      <c r="G39" s="1749" t="str">
        <f>IF('3C'!D15="","##BLANK",'3C'!D15)</f>
        <v>##BLANK</v>
      </c>
    </row>
    <row r="40" spans="1:7">
      <c r="A40" s="1745" t="str">
        <f>INDEX(Lists!$C$4:$C$26,MATCH(Validation!$B$3,Lists!$B$4:$B$26,0))</f>
        <v>SWT</v>
      </c>
      <c r="B40" s="893" t="str">
        <f>INDEX(Lists!$C$4:$C$26,MATCH(Validation!$B$3,Lists!$B$4:$B$26,0))&amp;"_AIM12"</f>
        <v>SWT_AIM12</v>
      </c>
      <c r="C40" s="893" t="s">
        <v>10182</v>
      </c>
      <c r="D40" s="893" t="s">
        <v>16</v>
      </c>
      <c r="E40" s="893" t="s">
        <v>48</v>
      </c>
      <c r="F40" s="893" t="s">
        <v>11007</v>
      </c>
      <c r="G40" s="1749" t="str">
        <f>IF('3C'!D16="","##BLANK",'3C'!D16)</f>
        <v>##BLANK</v>
      </c>
    </row>
    <row r="41" spans="1:7">
      <c r="A41" s="1745" t="str">
        <f>INDEX(Lists!$C$4:$C$26,MATCH(Validation!$B$3,Lists!$B$4:$B$26,0))</f>
        <v>SWT</v>
      </c>
      <c r="B41" s="893" t="str">
        <f>INDEX(Lists!$C$4:$C$26,MATCH(Validation!$B$3,Lists!$B$4:$B$26,0))&amp;"_AIM13"</f>
        <v>SWT_AIM13</v>
      </c>
      <c r="C41" s="893" t="s">
        <v>10182</v>
      </c>
      <c r="D41" s="893" t="s">
        <v>16</v>
      </c>
      <c r="E41" s="893" t="s">
        <v>48</v>
      </c>
      <c r="F41" s="893" t="s">
        <v>11007</v>
      </c>
      <c r="G41" s="1749" t="str">
        <f>IF('3C'!D17="","##BLANK",'3C'!D17)</f>
        <v>##BLANK</v>
      </c>
    </row>
    <row r="42" spans="1:7">
      <c r="A42" s="1745" t="str">
        <f>INDEX(Lists!$C$4:$C$26,MATCH(Validation!$B$3,Lists!$B$4:$B$26,0))</f>
        <v>SWT</v>
      </c>
      <c r="B42" s="893" t="str">
        <f>INDEX(Lists!$C$4:$C$26,MATCH(Validation!$B$3,Lists!$B$4:$B$26,0))&amp;"_AIM14"</f>
        <v>SWT_AIM14</v>
      </c>
      <c r="C42" s="893" t="s">
        <v>10182</v>
      </c>
      <c r="D42" s="893" t="s">
        <v>16</v>
      </c>
      <c r="E42" s="893" t="s">
        <v>48</v>
      </c>
      <c r="F42" s="893" t="s">
        <v>11007</v>
      </c>
      <c r="G42" s="1749" t="str">
        <f>IF('3C'!D18="","##BLANK",'3C'!D18)</f>
        <v>##BLANK</v>
      </c>
    </row>
    <row r="43" spans="1:7">
      <c r="A43" s="1745" t="str">
        <f>INDEX(Lists!$C$4:$C$26,MATCH(Validation!$B$3,Lists!$B$4:$B$26,0))</f>
        <v>SWT</v>
      </c>
      <c r="B43" s="893" t="str">
        <f>INDEX(Lists!$C$4:$C$26,MATCH(Validation!$B$3,Lists!$B$4:$B$26,0))&amp;"_AIM15"</f>
        <v>SWT_AIM15</v>
      </c>
      <c r="C43" s="893" t="s">
        <v>10182</v>
      </c>
      <c r="D43" s="893" t="s">
        <v>16</v>
      </c>
      <c r="E43" s="893" t="s">
        <v>48</v>
      </c>
      <c r="F43" s="893" t="s">
        <v>11007</v>
      </c>
      <c r="G43" s="1749" t="str">
        <f>IF('3C'!D19="","##BLANK",'3C'!D19)</f>
        <v>##BLANK</v>
      </c>
    </row>
    <row r="44" spans="1:7">
      <c r="A44" s="1745" t="str">
        <f>INDEX(Lists!$C$4:$C$26,MATCH(Validation!$B$3,Lists!$B$4:$B$26,0))</f>
        <v>SWT</v>
      </c>
      <c r="B44" s="893" t="str">
        <f>INDEX(Lists!$C$4:$C$26,MATCH(Validation!$B$3,Lists!$B$4:$B$26,0))&amp;"_AIM16"</f>
        <v>SWT_AIM16</v>
      </c>
      <c r="C44" s="893" t="s">
        <v>10182</v>
      </c>
      <c r="D44" s="893" t="s">
        <v>16</v>
      </c>
      <c r="E44" s="893" t="s">
        <v>48</v>
      </c>
      <c r="F44" s="893" t="s">
        <v>11007</v>
      </c>
      <c r="G44" s="1749" t="str">
        <f>IF('3C'!D20="","##BLANK",'3C'!D20)</f>
        <v>##BLANK</v>
      </c>
    </row>
    <row r="45" spans="1:7">
      <c r="A45" s="1745" t="str">
        <f>INDEX(Lists!$C$4:$C$26,MATCH(Validation!$B$3,Lists!$B$4:$B$26,0))</f>
        <v>SWT</v>
      </c>
      <c r="B45" s="893" t="str">
        <f>INDEX(Lists!$C$4:$C$26,MATCH(Validation!$B$3,Lists!$B$4:$B$26,0))&amp;"_AIM17"</f>
        <v>SWT_AIM17</v>
      </c>
      <c r="C45" s="893" t="s">
        <v>10182</v>
      </c>
      <c r="D45" s="893" t="s">
        <v>16</v>
      </c>
      <c r="E45" s="893" t="s">
        <v>48</v>
      </c>
      <c r="F45" s="893" t="s">
        <v>11007</v>
      </c>
      <c r="G45" s="1749" t="str">
        <f>IF('3C'!D21="","##BLANK",'3C'!D21)</f>
        <v>##BLANK</v>
      </c>
    </row>
    <row r="46" spans="1:7">
      <c r="A46" s="1745" t="str">
        <f>INDEX(Lists!$C$4:$C$26,MATCH(Validation!$B$3,Lists!$B$4:$B$26,0))</f>
        <v>SWT</v>
      </c>
      <c r="B46" s="893" t="str">
        <f>INDEX(Lists!$C$4:$C$26,MATCH(Validation!$B$3,Lists!$B$4:$B$26,0))&amp;"_AIM18"</f>
        <v>SWT_AIM18</v>
      </c>
      <c r="C46" s="893" t="s">
        <v>10182</v>
      </c>
      <c r="D46" s="893" t="s">
        <v>16</v>
      </c>
      <c r="E46" s="893" t="s">
        <v>48</v>
      </c>
      <c r="F46" s="893" t="s">
        <v>11007</v>
      </c>
      <c r="G46" s="1749" t="str">
        <f>IF('3C'!D22="","##BLANK",'3C'!D22)</f>
        <v>##BLANK</v>
      </c>
    </row>
    <row r="47" spans="1:7">
      <c r="A47" s="1745" t="str">
        <f>INDEX(Lists!$C$4:$C$26,MATCH(Validation!$B$3,Lists!$B$4:$B$26,0))</f>
        <v>SWT</v>
      </c>
      <c r="B47" s="893" t="str">
        <f>INDEX(Lists!$C$4:$C$26,MATCH(Validation!$B$3,Lists!$B$4:$B$26,0))&amp;"_AIM19"</f>
        <v>SWT_AIM19</v>
      </c>
      <c r="C47" s="893" t="s">
        <v>10182</v>
      </c>
      <c r="D47" s="893" t="s">
        <v>16</v>
      </c>
      <c r="E47" s="893" t="s">
        <v>48</v>
      </c>
      <c r="F47" s="893" t="s">
        <v>11007</v>
      </c>
      <c r="G47" s="1749" t="str">
        <f>IF('3C'!D23="","##BLANK",'3C'!D23)</f>
        <v>##BLANK</v>
      </c>
    </row>
    <row r="48" spans="1:7">
      <c r="A48" s="1745" t="str">
        <f>INDEX(Lists!$C$4:$C$26,MATCH(Validation!$B$3,Lists!$B$4:$B$26,0))</f>
        <v>SWT</v>
      </c>
      <c r="B48" s="893" t="str">
        <f>INDEX(Lists!$C$4:$C$26,MATCH(Validation!$B$3,Lists!$B$4:$B$26,0))&amp;"_AIM20"</f>
        <v>SWT_AIM20</v>
      </c>
      <c r="C48" s="893" t="s">
        <v>10182</v>
      </c>
      <c r="D48" s="893" t="s">
        <v>16</v>
      </c>
      <c r="E48" s="893" t="s">
        <v>48</v>
      </c>
      <c r="F48" s="893" t="s">
        <v>11007</v>
      </c>
      <c r="G48" s="1749" t="str">
        <f>IF('3C'!D24="","##BLANK",'3C'!D24)</f>
        <v>##BLANK</v>
      </c>
    </row>
    <row r="49" spans="1:7">
      <c r="A49" s="1745" t="str">
        <f>INDEX(Lists!$C$4:$C$26,MATCH(Validation!$B$3,Lists!$B$4:$B$26,0))</f>
        <v>SWT</v>
      </c>
      <c r="B49" s="893" t="str">
        <f>INDEX(Lists!$C$4:$C$26,MATCH(Validation!$B$3,Lists!$B$4:$B$26,0))&amp;"_AIM21"</f>
        <v>SWT_AIM21</v>
      </c>
      <c r="C49" s="893" t="s">
        <v>10182</v>
      </c>
      <c r="D49" s="893" t="s">
        <v>16</v>
      </c>
      <c r="E49" s="893" t="s">
        <v>48</v>
      </c>
      <c r="F49" s="893" t="s">
        <v>11007</v>
      </c>
      <c r="G49" s="1749" t="str">
        <f>IF('3C'!D25="","##BLANK",'3C'!D25)</f>
        <v>##BLANK</v>
      </c>
    </row>
    <row r="50" spans="1:7">
      <c r="A50" s="1745" t="str">
        <f>INDEX(Lists!$C$4:$C$26,MATCH(Validation!$B$3,Lists!$B$4:$B$26,0))</f>
        <v>SWT</v>
      </c>
      <c r="B50" s="893" t="str">
        <f>INDEX(Lists!$C$4:$C$26,MATCH(Validation!$B$3,Lists!$B$4:$B$26,0))&amp;"_AIM22"</f>
        <v>SWT_AIM22</v>
      </c>
      <c r="C50" s="893" t="s">
        <v>10182</v>
      </c>
      <c r="D50" s="893" t="s">
        <v>16</v>
      </c>
      <c r="E50" s="893" t="s">
        <v>48</v>
      </c>
      <c r="F50" s="893" t="s">
        <v>11007</v>
      </c>
      <c r="G50" s="1749" t="str">
        <f>IF('3C'!D26="","##BLANK",'3C'!D26)</f>
        <v>##BLANK</v>
      </c>
    </row>
    <row r="51" spans="1:7">
      <c r="A51" s="1745" t="str">
        <f>INDEX(Lists!$C$4:$C$26,MATCH(Validation!$B$3,Lists!$B$4:$B$26,0))</f>
        <v>SWT</v>
      </c>
      <c r="B51" s="893" t="str">
        <f>INDEX(Lists!$C$4:$C$26,MATCH(Validation!$B$3,Lists!$B$4:$B$26,0))&amp;"_AIM23"</f>
        <v>SWT_AIM23</v>
      </c>
      <c r="C51" s="893" t="s">
        <v>10182</v>
      </c>
      <c r="D51" s="893" t="s">
        <v>16</v>
      </c>
      <c r="E51" s="893" t="s">
        <v>48</v>
      </c>
      <c r="F51" s="893" t="s">
        <v>11007</v>
      </c>
      <c r="G51" s="1749" t="str">
        <f>IF('3C'!D27="","##BLANK",'3C'!D27)</f>
        <v>##BLANK</v>
      </c>
    </row>
    <row r="52" spans="1:7">
      <c r="A52" s="1745" t="str">
        <f>INDEX(Lists!$C$4:$C$26,MATCH(Validation!$B$3,Lists!$B$4:$B$26,0))</f>
        <v>SWT</v>
      </c>
      <c r="B52" s="893" t="str">
        <f>INDEX(Lists!$C$4:$C$26,MATCH(Validation!$B$3,Lists!$B$4:$B$26,0))&amp;"_AIM24"</f>
        <v>SWT_AIM24</v>
      </c>
      <c r="C52" s="893" t="s">
        <v>10182</v>
      </c>
      <c r="D52" s="893" t="s">
        <v>16</v>
      </c>
      <c r="E52" s="893" t="s">
        <v>48</v>
      </c>
      <c r="F52" s="893" t="s">
        <v>11007</v>
      </c>
      <c r="G52" s="1749" t="str">
        <f>IF('3C'!D28="","##BLANK",'3C'!D28)</f>
        <v>##BLANK</v>
      </c>
    </row>
    <row r="53" spans="1:7" ht="15" thickBot="1">
      <c r="A53" s="1746" t="str">
        <f>INDEX(Lists!$C$4:$C$26,MATCH(Validation!$B$3,Lists!$B$4:$B$26,0))</f>
        <v>SWT</v>
      </c>
      <c r="B53" s="1747" t="str">
        <f>INDEX(Lists!$C$4:$C$26,MATCH(Validation!$B$3,Lists!$B$4:$B$26,0))&amp;"_AIM25"</f>
        <v>SWT_AIM25</v>
      </c>
      <c r="C53" s="1747" t="s">
        <v>10182</v>
      </c>
      <c r="D53" s="1747" t="s">
        <v>16</v>
      </c>
      <c r="E53" s="893" t="s">
        <v>48</v>
      </c>
      <c r="F53" s="1747" t="s">
        <v>11007</v>
      </c>
      <c r="G53" s="1749" t="str">
        <f>IF('3C'!D29="","##BLANK",'3C'!D29)</f>
        <v>##BLANK</v>
      </c>
    </row>
    <row r="54" spans="1:7">
      <c r="A54" s="1743" t="str">
        <f>INDEX(Lists!$C$4:$C$26,MATCH(Validation!$B$3,Lists!$B$4:$B$26,0))</f>
        <v>SWT</v>
      </c>
      <c r="B54" s="1744" t="str">
        <f>INDEX(Lists!$C$4:$C$26,MATCH(Validation!$B$3,Lists!$B$4:$B$26,0))&amp;"_AIM01"</f>
        <v>SWT_AIM01</v>
      </c>
      <c r="C54" s="1744" t="s">
        <v>10182</v>
      </c>
      <c r="D54" s="1744" t="s">
        <v>11008</v>
      </c>
      <c r="E54" s="1744" t="s">
        <v>2755</v>
      </c>
      <c r="F54" s="1744" t="s">
        <v>11007</v>
      </c>
      <c r="G54" s="1750" t="str">
        <f>IF('3C'!E5="","##BLANK",'3C'!E5)</f>
        <v>##BLANK</v>
      </c>
    </row>
    <row r="55" spans="1:7">
      <c r="A55" s="1745" t="str">
        <f>INDEX(Lists!$C$4:$C$26,MATCH(Validation!$B$3,Lists!$B$4:$B$26,0))</f>
        <v>SWT</v>
      </c>
      <c r="B55" s="893" t="str">
        <f>INDEX(Lists!$C$4:$C$26,MATCH(Validation!$B$3,Lists!$B$4:$B$26,0))&amp;"_AIM02"</f>
        <v>SWT_AIM02</v>
      </c>
      <c r="C55" s="893" t="s">
        <v>10182</v>
      </c>
      <c r="D55" s="893" t="s">
        <v>11008</v>
      </c>
      <c r="E55" s="893" t="s">
        <v>2755</v>
      </c>
      <c r="F55" s="893" t="s">
        <v>11007</v>
      </c>
      <c r="G55" s="1749" t="str">
        <f>IF('3C'!E6="","##BLANK",'3C'!E6)</f>
        <v>##BLANK</v>
      </c>
    </row>
    <row r="56" spans="1:7">
      <c r="A56" s="1745" t="str">
        <f>INDEX(Lists!$C$4:$C$26,MATCH(Validation!$B$3,Lists!$B$4:$B$26,0))</f>
        <v>SWT</v>
      </c>
      <c r="B56" s="893" t="str">
        <f>INDEX(Lists!$C$4:$C$26,MATCH(Validation!$B$3,Lists!$B$4:$B$26,0))&amp;"_AIM03"</f>
        <v>SWT_AIM03</v>
      </c>
      <c r="C56" s="893" t="s">
        <v>10182</v>
      </c>
      <c r="D56" s="893" t="s">
        <v>11008</v>
      </c>
      <c r="E56" s="893" t="s">
        <v>2755</v>
      </c>
      <c r="F56" s="893" t="s">
        <v>11007</v>
      </c>
      <c r="G56" s="1749" t="str">
        <f>IF('3C'!E7="","##BLANK",'3C'!E7)</f>
        <v>##BLANK</v>
      </c>
    </row>
    <row r="57" spans="1:7">
      <c r="A57" s="1745" t="str">
        <f>INDEX(Lists!$C$4:$C$26,MATCH(Validation!$B$3,Lists!$B$4:$B$26,0))</f>
        <v>SWT</v>
      </c>
      <c r="B57" s="893" t="str">
        <f>INDEX(Lists!$C$4:$C$26,MATCH(Validation!$B$3,Lists!$B$4:$B$26,0))&amp;"_AIM04"</f>
        <v>SWT_AIM04</v>
      </c>
      <c r="C57" s="893" t="s">
        <v>10182</v>
      </c>
      <c r="D57" s="893" t="s">
        <v>11008</v>
      </c>
      <c r="E57" s="893" t="s">
        <v>2755</v>
      </c>
      <c r="F57" s="893" t="s">
        <v>11007</v>
      </c>
      <c r="G57" s="1749" t="str">
        <f>IF('3C'!E8="","##BLANK",'3C'!E8)</f>
        <v>##BLANK</v>
      </c>
    </row>
    <row r="58" spans="1:7">
      <c r="A58" s="1745" t="str">
        <f>INDEX(Lists!$C$4:$C$26,MATCH(Validation!$B$3,Lists!$B$4:$B$26,0))</f>
        <v>SWT</v>
      </c>
      <c r="B58" s="893" t="str">
        <f>INDEX(Lists!$C$4:$C$26,MATCH(Validation!$B$3,Lists!$B$4:$B$26,0))&amp;"_AIM05"</f>
        <v>SWT_AIM05</v>
      </c>
      <c r="C58" s="893" t="s">
        <v>10182</v>
      </c>
      <c r="D58" s="893" t="s">
        <v>11008</v>
      </c>
      <c r="E58" s="893" t="s">
        <v>2755</v>
      </c>
      <c r="F58" s="893" t="s">
        <v>11007</v>
      </c>
      <c r="G58" s="1749" t="str">
        <f>IF('3C'!E9="","##BLANK",'3C'!E9)</f>
        <v>##BLANK</v>
      </c>
    </row>
    <row r="59" spans="1:7">
      <c r="A59" s="1745" t="str">
        <f>INDEX(Lists!$C$4:$C$26,MATCH(Validation!$B$3,Lists!$B$4:$B$26,0))</f>
        <v>SWT</v>
      </c>
      <c r="B59" s="893" t="str">
        <f>INDEX(Lists!$C$4:$C$26,MATCH(Validation!$B$3,Lists!$B$4:$B$26,0))&amp;"_AIM06"</f>
        <v>SWT_AIM06</v>
      </c>
      <c r="C59" s="893" t="s">
        <v>10182</v>
      </c>
      <c r="D59" s="893" t="s">
        <v>11008</v>
      </c>
      <c r="E59" s="893" t="s">
        <v>2755</v>
      </c>
      <c r="F59" s="893" t="s">
        <v>11007</v>
      </c>
      <c r="G59" s="1749" t="str">
        <f>IF('3C'!E10="","##BLANK",'3C'!E10)</f>
        <v>##BLANK</v>
      </c>
    </row>
    <row r="60" spans="1:7">
      <c r="A60" s="1745" t="str">
        <f>INDEX(Lists!$C$4:$C$26,MATCH(Validation!$B$3,Lists!$B$4:$B$26,0))</f>
        <v>SWT</v>
      </c>
      <c r="B60" s="893" t="str">
        <f>INDEX(Lists!$C$4:$C$26,MATCH(Validation!$B$3,Lists!$B$4:$B$26,0))&amp;"_AIM07"</f>
        <v>SWT_AIM07</v>
      </c>
      <c r="C60" s="893" t="s">
        <v>10182</v>
      </c>
      <c r="D60" s="893" t="s">
        <v>11008</v>
      </c>
      <c r="E60" s="893" t="s">
        <v>2755</v>
      </c>
      <c r="F60" s="893" t="s">
        <v>11007</v>
      </c>
      <c r="G60" s="1749" t="str">
        <f>IF('3C'!E11="","##BLANK",'3C'!E11)</f>
        <v>##BLANK</v>
      </c>
    </row>
    <row r="61" spans="1:7">
      <c r="A61" s="1745" t="str">
        <f>INDEX(Lists!$C$4:$C$26,MATCH(Validation!$B$3,Lists!$B$4:$B$26,0))</f>
        <v>SWT</v>
      </c>
      <c r="B61" s="893" t="str">
        <f>INDEX(Lists!$C$4:$C$26,MATCH(Validation!$B$3,Lists!$B$4:$B$26,0))&amp;"_AIM08"</f>
        <v>SWT_AIM08</v>
      </c>
      <c r="C61" s="893" t="s">
        <v>10182</v>
      </c>
      <c r="D61" s="893" t="s">
        <v>11008</v>
      </c>
      <c r="E61" s="893" t="s">
        <v>2755</v>
      </c>
      <c r="F61" s="893" t="s">
        <v>11007</v>
      </c>
      <c r="G61" s="1749" t="str">
        <f>IF('3C'!E12="","##BLANK",'3C'!E12)</f>
        <v>##BLANK</v>
      </c>
    </row>
    <row r="62" spans="1:7">
      <c r="A62" s="1745" t="str">
        <f>INDEX(Lists!$C$4:$C$26,MATCH(Validation!$B$3,Lists!$B$4:$B$26,0))</f>
        <v>SWT</v>
      </c>
      <c r="B62" s="893" t="str">
        <f>INDEX(Lists!$C$4:$C$26,MATCH(Validation!$B$3,Lists!$B$4:$B$26,0))&amp;"_AIM09"</f>
        <v>SWT_AIM09</v>
      </c>
      <c r="C62" s="893" t="s">
        <v>10182</v>
      </c>
      <c r="D62" s="893" t="s">
        <v>11008</v>
      </c>
      <c r="E62" s="893" t="s">
        <v>2755</v>
      </c>
      <c r="F62" s="893" t="s">
        <v>11007</v>
      </c>
      <c r="G62" s="1749" t="str">
        <f>IF('3C'!E13="","##BLANK",'3C'!E13)</f>
        <v>##BLANK</v>
      </c>
    </row>
    <row r="63" spans="1:7">
      <c r="A63" s="1745" t="str">
        <f>INDEX(Lists!$C$4:$C$26,MATCH(Validation!$B$3,Lists!$B$4:$B$26,0))</f>
        <v>SWT</v>
      </c>
      <c r="B63" s="893" t="str">
        <f>INDEX(Lists!$C$4:$C$26,MATCH(Validation!$B$3,Lists!$B$4:$B$26,0))&amp;"_AIM10"</f>
        <v>SWT_AIM10</v>
      </c>
      <c r="C63" s="893" t="s">
        <v>10182</v>
      </c>
      <c r="D63" s="893" t="s">
        <v>11008</v>
      </c>
      <c r="E63" s="893" t="s">
        <v>2755</v>
      </c>
      <c r="F63" s="893" t="s">
        <v>11007</v>
      </c>
      <c r="G63" s="1749" t="str">
        <f>IF('3C'!E14="","##BLANK",'3C'!E14)</f>
        <v>##BLANK</v>
      </c>
    </row>
    <row r="64" spans="1:7">
      <c r="A64" s="1745" t="str">
        <f>INDEX(Lists!$C$4:$C$26,MATCH(Validation!$B$3,Lists!$B$4:$B$26,0))</f>
        <v>SWT</v>
      </c>
      <c r="B64" s="893" t="str">
        <f>INDEX(Lists!$C$4:$C$26,MATCH(Validation!$B$3,Lists!$B$4:$B$26,0))&amp;"_AIM11"</f>
        <v>SWT_AIM11</v>
      </c>
      <c r="C64" s="893" t="s">
        <v>10182</v>
      </c>
      <c r="D64" s="893" t="s">
        <v>11008</v>
      </c>
      <c r="E64" s="893" t="s">
        <v>2755</v>
      </c>
      <c r="F64" s="893" t="s">
        <v>11007</v>
      </c>
      <c r="G64" s="1749" t="str">
        <f>IF('3C'!E15="","##BLANK",'3C'!E15)</f>
        <v>##BLANK</v>
      </c>
    </row>
    <row r="65" spans="1:7">
      <c r="A65" s="1745" t="str">
        <f>INDEX(Lists!$C$4:$C$26,MATCH(Validation!$B$3,Lists!$B$4:$B$26,0))</f>
        <v>SWT</v>
      </c>
      <c r="B65" s="893" t="str">
        <f>INDEX(Lists!$C$4:$C$26,MATCH(Validation!$B$3,Lists!$B$4:$B$26,0))&amp;"_AIM12"</f>
        <v>SWT_AIM12</v>
      </c>
      <c r="C65" s="893" t="s">
        <v>10182</v>
      </c>
      <c r="D65" s="893" t="s">
        <v>11008</v>
      </c>
      <c r="E65" s="893" t="s">
        <v>2755</v>
      </c>
      <c r="F65" s="893" t="s">
        <v>11007</v>
      </c>
      <c r="G65" s="1749" t="str">
        <f>IF('3C'!E16="","##BLANK",'3C'!E16)</f>
        <v>##BLANK</v>
      </c>
    </row>
    <row r="66" spans="1:7">
      <c r="A66" s="1745" t="str">
        <f>INDEX(Lists!$C$4:$C$26,MATCH(Validation!$B$3,Lists!$B$4:$B$26,0))</f>
        <v>SWT</v>
      </c>
      <c r="B66" s="893" t="str">
        <f>INDEX(Lists!$C$4:$C$26,MATCH(Validation!$B$3,Lists!$B$4:$B$26,0))&amp;"_AIM13"</f>
        <v>SWT_AIM13</v>
      </c>
      <c r="C66" s="893" t="s">
        <v>10182</v>
      </c>
      <c r="D66" s="893" t="s">
        <v>11008</v>
      </c>
      <c r="E66" s="893" t="s">
        <v>2755</v>
      </c>
      <c r="F66" s="893" t="s">
        <v>11007</v>
      </c>
      <c r="G66" s="1749" t="str">
        <f>IF('3C'!E17="","##BLANK",'3C'!E17)</f>
        <v>##BLANK</v>
      </c>
    </row>
    <row r="67" spans="1:7">
      <c r="A67" s="1745" t="str">
        <f>INDEX(Lists!$C$4:$C$26,MATCH(Validation!$B$3,Lists!$B$4:$B$26,0))</f>
        <v>SWT</v>
      </c>
      <c r="B67" s="893" t="str">
        <f>INDEX(Lists!$C$4:$C$26,MATCH(Validation!$B$3,Lists!$B$4:$B$26,0))&amp;"_AIM14"</f>
        <v>SWT_AIM14</v>
      </c>
      <c r="C67" s="893" t="s">
        <v>10182</v>
      </c>
      <c r="D67" s="893" t="s">
        <v>11008</v>
      </c>
      <c r="E67" s="893" t="s">
        <v>2755</v>
      </c>
      <c r="F67" s="893" t="s">
        <v>11007</v>
      </c>
      <c r="G67" s="1749" t="str">
        <f>IF('3C'!E18="","##BLANK",'3C'!E18)</f>
        <v>##BLANK</v>
      </c>
    </row>
    <row r="68" spans="1:7">
      <c r="A68" s="1745" t="str">
        <f>INDEX(Lists!$C$4:$C$26,MATCH(Validation!$B$3,Lists!$B$4:$B$26,0))</f>
        <v>SWT</v>
      </c>
      <c r="B68" s="893" t="str">
        <f>INDEX(Lists!$C$4:$C$26,MATCH(Validation!$B$3,Lists!$B$4:$B$26,0))&amp;"_AIM15"</f>
        <v>SWT_AIM15</v>
      </c>
      <c r="C68" s="893" t="s">
        <v>10182</v>
      </c>
      <c r="D68" s="893" t="s">
        <v>11008</v>
      </c>
      <c r="E68" s="893" t="s">
        <v>2755</v>
      </c>
      <c r="F68" s="893" t="s">
        <v>11007</v>
      </c>
      <c r="G68" s="1749" t="str">
        <f>IF('3C'!E19="","##BLANK",'3C'!E19)</f>
        <v>##BLANK</v>
      </c>
    </row>
    <row r="69" spans="1:7">
      <c r="A69" s="1745" t="str">
        <f>INDEX(Lists!$C$4:$C$26,MATCH(Validation!$B$3,Lists!$B$4:$B$26,0))</f>
        <v>SWT</v>
      </c>
      <c r="B69" s="893" t="str">
        <f>INDEX(Lists!$C$4:$C$26,MATCH(Validation!$B$3,Lists!$B$4:$B$26,0))&amp;"_AIM16"</f>
        <v>SWT_AIM16</v>
      </c>
      <c r="C69" s="893" t="s">
        <v>10182</v>
      </c>
      <c r="D69" s="893" t="s">
        <v>11008</v>
      </c>
      <c r="E69" s="893" t="s">
        <v>2755</v>
      </c>
      <c r="F69" s="893" t="s">
        <v>11007</v>
      </c>
      <c r="G69" s="1749" t="str">
        <f>IF('3C'!E20="","##BLANK",'3C'!E20)</f>
        <v>##BLANK</v>
      </c>
    </row>
    <row r="70" spans="1:7">
      <c r="A70" s="1745" t="str">
        <f>INDEX(Lists!$C$4:$C$26,MATCH(Validation!$B$3,Lists!$B$4:$B$26,0))</f>
        <v>SWT</v>
      </c>
      <c r="B70" s="893" t="str">
        <f>INDEX(Lists!$C$4:$C$26,MATCH(Validation!$B$3,Lists!$B$4:$B$26,0))&amp;"_AIM17"</f>
        <v>SWT_AIM17</v>
      </c>
      <c r="C70" s="893" t="s">
        <v>10182</v>
      </c>
      <c r="D70" s="893" t="s">
        <v>11008</v>
      </c>
      <c r="E70" s="893" t="s">
        <v>2755</v>
      </c>
      <c r="F70" s="893" t="s">
        <v>11007</v>
      </c>
      <c r="G70" s="1749" t="str">
        <f>IF('3C'!E21="","##BLANK",'3C'!E21)</f>
        <v>##BLANK</v>
      </c>
    </row>
    <row r="71" spans="1:7">
      <c r="A71" s="1745" t="str">
        <f>INDEX(Lists!$C$4:$C$26,MATCH(Validation!$B$3,Lists!$B$4:$B$26,0))</f>
        <v>SWT</v>
      </c>
      <c r="B71" s="893" t="str">
        <f>INDEX(Lists!$C$4:$C$26,MATCH(Validation!$B$3,Lists!$B$4:$B$26,0))&amp;"_AIM18"</f>
        <v>SWT_AIM18</v>
      </c>
      <c r="C71" s="893" t="s">
        <v>10182</v>
      </c>
      <c r="D71" s="893" t="s">
        <v>11008</v>
      </c>
      <c r="E71" s="893" t="s">
        <v>2755</v>
      </c>
      <c r="F71" s="893" t="s">
        <v>11007</v>
      </c>
      <c r="G71" s="1749" t="str">
        <f>IF('3C'!E22="","##BLANK",'3C'!E22)</f>
        <v>##BLANK</v>
      </c>
    </row>
    <row r="72" spans="1:7">
      <c r="A72" s="1745" t="str">
        <f>INDEX(Lists!$C$4:$C$26,MATCH(Validation!$B$3,Lists!$B$4:$B$26,0))</f>
        <v>SWT</v>
      </c>
      <c r="B72" s="893" t="str">
        <f>INDEX(Lists!$C$4:$C$26,MATCH(Validation!$B$3,Lists!$B$4:$B$26,0))&amp;"_AIM19"</f>
        <v>SWT_AIM19</v>
      </c>
      <c r="C72" s="893" t="s">
        <v>10182</v>
      </c>
      <c r="D72" s="893" t="s">
        <v>11008</v>
      </c>
      <c r="E72" s="893" t="s">
        <v>2755</v>
      </c>
      <c r="F72" s="893" t="s">
        <v>11007</v>
      </c>
      <c r="G72" s="1749" t="str">
        <f>IF('3C'!E23="","##BLANK",'3C'!E23)</f>
        <v>##BLANK</v>
      </c>
    </row>
    <row r="73" spans="1:7">
      <c r="A73" s="1745" t="str">
        <f>INDEX(Lists!$C$4:$C$26,MATCH(Validation!$B$3,Lists!$B$4:$B$26,0))</f>
        <v>SWT</v>
      </c>
      <c r="B73" s="893" t="str">
        <f>INDEX(Lists!$C$4:$C$26,MATCH(Validation!$B$3,Lists!$B$4:$B$26,0))&amp;"_AIM20"</f>
        <v>SWT_AIM20</v>
      </c>
      <c r="C73" s="893" t="s">
        <v>10182</v>
      </c>
      <c r="D73" s="893" t="s">
        <v>11008</v>
      </c>
      <c r="E73" s="893" t="s">
        <v>2755</v>
      </c>
      <c r="F73" s="893" t="s">
        <v>11007</v>
      </c>
      <c r="G73" s="1749" t="str">
        <f>IF('3C'!E24="","##BLANK",'3C'!E24)</f>
        <v>##BLANK</v>
      </c>
    </row>
    <row r="74" spans="1:7">
      <c r="A74" s="1745" t="str">
        <f>INDEX(Lists!$C$4:$C$26,MATCH(Validation!$B$3,Lists!$B$4:$B$26,0))</f>
        <v>SWT</v>
      </c>
      <c r="B74" s="893" t="str">
        <f>INDEX(Lists!$C$4:$C$26,MATCH(Validation!$B$3,Lists!$B$4:$B$26,0))&amp;"_AIM21"</f>
        <v>SWT_AIM21</v>
      </c>
      <c r="C74" s="893" t="s">
        <v>10182</v>
      </c>
      <c r="D74" s="893" t="s">
        <v>11008</v>
      </c>
      <c r="E74" s="893" t="s">
        <v>2755</v>
      </c>
      <c r="F74" s="893" t="s">
        <v>11007</v>
      </c>
      <c r="G74" s="1749" t="str">
        <f>IF('3C'!E25="","##BLANK",'3C'!E25)</f>
        <v>##BLANK</v>
      </c>
    </row>
    <row r="75" spans="1:7">
      <c r="A75" s="1745" t="str">
        <f>INDEX(Lists!$C$4:$C$26,MATCH(Validation!$B$3,Lists!$B$4:$B$26,0))</f>
        <v>SWT</v>
      </c>
      <c r="B75" s="893" t="str">
        <f>INDEX(Lists!$C$4:$C$26,MATCH(Validation!$B$3,Lists!$B$4:$B$26,0))&amp;"_AIM22"</f>
        <v>SWT_AIM22</v>
      </c>
      <c r="C75" s="893" t="s">
        <v>10182</v>
      </c>
      <c r="D75" s="893" t="s">
        <v>11008</v>
      </c>
      <c r="E75" s="893" t="s">
        <v>2755</v>
      </c>
      <c r="F75" s="893" t="s">
        <v>11007</v>
      </c>
      <c r="G75" s="1749" t="str">
        <f>IF('3C'!E26="","##BLANK",'3C'!E26)</f>
        <v>##BLANK</v>
      </c>
    </row>
    <row r="76" spans="1:7">
      <c r="A76" s="1745" t="str">
        <f>INDEX(Lists!$C$4:$C$26,MATCH(Validation!$B$3,Lists!$B$4:$B$26,0))</f>
        <v>SWT</v>
      </c>
      <c r="B76" s="893" t="str">
        <f>INDEX(Lists!$C$4:$C$26,MATCH(Validation!$B$3,Lists!$B$4:$B$26,0))&amp;"_AIM23"</f>
        <v>SWT_AIM23</v>
      </c>
      <c r="C76" s="893" t="s">
        <v>10182</v>
      </c>
      <c r="D76" s="893" t="s">
        <v>11008</v>
      </c>
      <c r="E76" s="893" t="s">
        <v>2755</v>
      </c>
      <c r="F76" s="893" t="s">
        <v>11007</v>
      </c>
      <c r="G76" s="1749" t="str">
        <f>IF('3C'!E27="","##BLANK",'3C'!E27)</f>
        <v>##BLANK</v>
      </c>
    </row>
    <row r="77" spans="1:7">
      <c r="A77" s="1745" t="str">
        <f>INDEX(Lists!$C$4:$C$26,MATCH(Validation!$B$3,Lists!$B$4:$B$26,0))</f>
        <v>SWT</v>
      </c>
      <c r="B77" s="893" t="str">
        <f>INDEX(Lists!$C$4:$C$26,MATCH(Validation!$B$3,Lists!$B$4:$B$26,0))&amp;"_AIM24"</f>
        <v>SWT_AIM24</v>
      </c>
      <c r="C77" s="893" t="s">
        <v>10182</v>
      </c>
      <c r="D77" s="893" t="s">
        <v>11008</v>
      </c>
      <c r="E77" s="893" t="s">
        <v>2755</v>
      </c>
      <c r="F77" s="893" t="s">
        <v>11007</v>
      </c>
      <c r="G77" s="1749" t="str">
        <f>IF('3C'!E28="","##BLANK",'3C'!E28)</f>
        <v>##BLANK</v>
      </c>
    </row>
    <row r="78" spans="1:7" ht="15" thickBot="1">
      <c r="A78" s="1746" t="str">
        <f>INDEX(Lists!$C$4:$C$26,MATCH(Validation!$B$3,Lists!$B$4:$B$26,0))</f>
        <v>SWT</v>
      </c>
      <c r="B78" s="1747" t="str">
        <f>INDEX(Lists!$C$4:$C$26,MATCH(Validation!$B$3,Lists!$B$4:$B$26,0))&amp;"_AIM25"</f>
        <v>SWT_AIM25</v>
      </c>
      <c r="C78" s="1747" t="s">
        <v>10182</v>
      </c>
      <c r="D78" s="1747" t="s">
        <v>11008</v>
      </c>
      <c r="E78" s="1747" t="s">
        <v>2755</v>
      </c>
      <c r="F78" s="1747" t="s">
        <v>11007</v>
      </c>
      <c r="G78" s="1751" t="str">
        <f>IF('3C'!E29="","##BLANK",'3C'!E29)</f>
        <v>##BLANK</v>
      </c>
    </row>
    <row r="79" spans="1:7">
      <c r="A79" s="1743" t="str">
        <f>INDEX(Lists!$C$4:$C$26,MATCH(Validation!$B$3,Lists!$B$4:$B$26,0))</f>
        <v>SWT</v>
      </c>
      <c r="B79" s="1744" t="str">
        <f>INDEX(Lists!$C$4:$C$26,MATCH(Validation!$B$3,Lists!$B$4:$B$26,0))&amp;"_AIM01"</f>
        <v>SWT_AIM01</v>
      </c>
      <c r="C79" s="1744" t="s">
        <v>10183</v>
      </c>
      <c r="D79" s="1744" t="s">
        <v>11009</v>
      </c>
      <c r="E79" s="1744" t="s">
        <v>48</v>
      </c>
      <c r="F79" s="1744" t="s">
        <v>11007</v>
      </c>
      <c r="G79" s="1750" t="str">
        <f>IF('3C'!F5="","##BLANK",'3C'!F5)</f>
        <v>##BLANK</v>
      </c>
    </row>
    <row r="80" spans="1:7">
      <c r="A80" s="1745" t="str">
        <f>INDEX(Lists!$C$4:$C$26,MATCH(Validation!$B$3,Lists!$B$4:$B$26,0))</f>
        <v>SWT</v>
      </c>
      <c r="B80" s="893" t="str">
        <f>INDEX(Lists!$C$4:$C$26,MATCH(Validation!$B$3,Lists!$B$4:$B$26,0))&amp;"_AIM02"</f>
        <v>SWT_AIM02</v>
      </c>
      <c r="C80" s="893" t="s">
        <v>10183</v>
      </c>
      <c r="D80" s="893" t="s">
        <v>11009</v>
      </c>
      <c r="E80" s="893" t="s">
        <v>48</v>
      </c>
      <c r="F80" s="893" t="s">
        <v>11007</v>
      </c>
      <c r="G80" s="1749" t="str">
        <f>IF('3C'!F6="","##BLANK",'3C'!F6)</f>
        <v>##BLANK</v>
      </c>
    </row>
    <row r="81" spans="1:7">
      <c r="A81" s="1745" t="str">
        <f>INDEX(Lists!$C$4:$C$26,MATCH(Validation!$B$3,Lists!$B$4:$B$26,0))</f>
        <v>SWT</v>
      </c>
      <c r="B81" s="893" t="str">
        <f>INDEX(Lists!$C$4:$C$26,MATCH(Validation!$B$3,Lists!$B$4:$B$26,0))&amp;"_AIM03"</f>
        <v>SWT_AIM03</v>
      </c>
      <c r="C81" s="893" t="s">
        <v>10183</v>
      </c>
      <c r="D81" s="893" t="s">
        <v>11009</v>
      </c>
      <c r="E81" s="893" t="s">
        <v>48</v>
      </c>
      <c r="F81" s="893" t="s">
        <v>11007</v>
      </c>
      <c r="G81" s="1749" t="str">
        <f>IF('3C'!F7="","##BLANK",'3C'!F7)</f>
        <v>##BLANK</v>
      </c>
    </row>
    <row r="82" spans="1:7">
      <c r="A82" s="1745" t="str">
        <f>INDEX(Lists!$C$4:$C$26,MATCH(Validation!$B$3,Lists!$B$4:$B$26,0))</f>
        <v>SWT</v>
      </c>
      <c r="B82" s="893" t="str">
        <f>INDEX(Lists!$C$4:$C$26,MATCH(Validation!$B$3,Lists!$B$4:$B$26,0))&amp;"_AIM04"</f>
        <v>SWT_AIM04</v>
      </c>
      <c r="C82" s="893" t="s">
        <v>10183</v>
      </c>
      <c r="D82" s="893" t="s">
        <v>11009</v>
      </c>
      <c r="E82" s="893" t="s">
        <v>48</v>
      </c>
      <c r="F82" s="893" t="s">
        <v>11007</v>
      </c>
      <c r="G82" s="1749" t="str">
        <f>IF('3C'!F8="","##BLANK",'3C'!F8)</f>
        <v>##BLANK</v>
      </c>
    </row>
    <row r="83" spans="1:7">
      <c r="A83" s="1745" t="str">
        <f>INDEX(Lists!$C$4:$C$26,MATCH(Validation!$B$3,Lists!$B$4:$B$26,0))</f>
        <v>SWT</v>
      </c>
      <c r="B83" s="893" t="str">
        <f>INDEX(Lists!$C$4:$C$26,MATCH(Validation!$B$3,Lists!$B$4:$B$26,0))&amp;"_AIM05"</f>
        <v>SWT_AIM05</v>
      </c>
      <c r="C83" s="893" t="s">
        <v>10183</v>
      </c>
      <c r="D83" s="893" t="s">
        <v>11009</v>
      </c>
      <c r="E83" s="893" t="s">
        <v>48</v>
      </c>
      <c r="F83" s="893" t="s">
        <v>11007</v>
      </c>
      <c r="G83" s="1749" t="str">
        <f>IF('3C'!F9="","##BLANK",'3C'!F9)</f>
        <v>##BLANK</v>
      </c>
    </row>
    <row r="84" spans="1:7">
      <c r="A84" s="1745" t="str">
        <f>INDEX(Lists!$C$4:$C$26,MATCH(Validation!$B$3,Lists!$B$4:$B$26,0))</f>
        <v>SWT</v>
      </c>
      <c r="B84" s="893" t="str">
        <f>INDEX(Lists!$C$4:$C$26,MATCH(Validation!$B$3,Lists!$B$4:$B$26,0))&amp;"_AIM06"</f>
        <v>SWT_AIM06</v>
      </c>
      <c r="C84" s="893" t="s">
        <v>10183</v>
      </c>
      <c r="D84" s="893" t="s">
        <v>11009</v>
      </c>
      <c r="E84" s="893" t="s">
        <v>48</v>
      </c>
      <c r="F84" s="893" t="s">
        <v>11007</v>
      </c>
      <c r="G84" s="1749" t="str">
        <f>IF('3C'!F10="","##BLANK",'3C'!F10)</f>
        <v>##BLANK</v>
      </c>
    </row>
    <row r="85" spans="1:7">
      <c r="A85" s="1745" t="str">
        <f>INDEX(Lists!$C$4:$C$26,MATCH(Validation!$B$3,Lists!$B$4:$B$26,0))</f>
        <v>SWT</v>
      </c>
      <c r="B85" s="893" t="str">
        <f>INDEX(Lists!$C$4:$C$26,MATCH(Validation!$B$3,Lists!$B$4:$B$26,0))&amp;"_AIM07"</f>
        <v>SWT_AIM07</v>
      </c>
      <c r="C85" s="893" t="s">
        <v>10183</v>
      </c>
      <c r="D85" s="893" t="s">
        <v>11009</v>
      </c>
      <c r="E85" s="893" t="s">
        <v>48</v>
      </c>
      <c r="F85" s="893" t="s">
        <v>11007</v>
      </c>
      <c r="G85" s="1749" t="str">
        <f>IF('3C'!F11="","##BLANK",'3C'!F11)</f>
        <v>##BLANK</v>
      </c>
    </row>
    <row r="86" spans="1:7">
      <c r="A86" s="1745" t="str">
        <f>INDEX(Lists!$C$4:$C$26,MATCH(Validation!$B$3,Lists!$B$4:$B$26,0))</f>
        <v>SWT</v>
      </c>
      <c r="B86" s="893" t="str">
        <f>INDEX(Lists!$C$4:$C$26,MATCH(Validation!$B$3,Lists!$B$4:$B$26,0))&amp;"_AIM08"</f>
        <v>SWT_AIM08</v>
      </c>
      <c r="C86" s="893" t="s">
        <v>10183</v>
      </c>
      <c r="D86" s="893" t="s">
        <v>11009</v>
      </c>
      <c r="E86" s="893" t="s">
        <v>48</v>
      </c>
      <c r="F86" s="893" t="s">
        <v>11007</v>
      </c>
      <c r="G86" s="1749" t="str">
        <f>IF('3C'!F12="","##BLANK",'3C'!F12)</f>
        <v>##BLANK</v>
      </c>
    </row>
    <row r="87" spans="1:7">
      <c r="A87" s="1745" t="str">
        <f>INDEX(Lists!$C$4:$C$26,MATCH(Validation!$B$3,Lists!$B$4:$B$26,0))</f>
        <v>SWT</v>
      </c>
      <c r="B87" s="893" t="str">
        <f>INDEX(Lists!$C$4:$C$26,MATCH(Validation!$B$3,Lists!$B$4:$B$26,0))&amp;"_AIM09"</f>
        <v>SWT_AIM09</v>
      </c>
      <c r="C87" s="893" t="s">
        <v>10183</v>
      </c>
      <c r="D87" s="893" t="s">
        <v>11009</v>
      </c>
      <c r="E87" s="893" t="s">
        <v>48</v>
      </c>
      <c r="F87" s="893" t="s">
        <v>11007</v>
      </c>
      <c r="G87" s="1749" t="str">
        <f>IF('3C'!F13="","##BLANK",'3C'!F13)</f>
        <v>##BLANK</v>
      </c>
    </row>
    <row r="88" spans="1:7">
      <c r="A88" s="1745" t="str">
        <f>INDEX(Lists!$C$4:$C$26,MATCH(Validation!$B$3,Lists!$B$4:$B$26,0))</f>
        <v>SWT</v>
      </c>
      <c r="B88" s="893" t="str">
        <f>INDEX(Lists!$C$4:$C$26,MATCH(Validation!$B$3,Lists!$B$4:$B$26,0))&amp;"_AIM10"</f>
        <v>SWT_AIM10</v>
      </c>
      <c r="C88" s="893" t="s">
        <v>10183</v>
      </c>
      <c r="D88" s="893" t="s">
        <v>11009</v>
      </c>
      <c r="E88" s="893" t="s">
        <v>48</v>
      </c>
      <c r="F88" s="893" t="s">
        <v>11007</v>
      </c>
      <c r="G88" s="1749" t="str">
        <f>IF('3C'!F14="","##BLANK",'3C'!F14)</f>
        <v>##BLANK</v>
      </c>
    </row>
    <row r="89" spans="1:7">
      <c r="A89" s="1745" t="str">
        <f>INDEX(Lists!$C$4:$C$26,MATCH(Validation!$B$3,Lists!$B$4:$B$26,0))</f>
        <v>SWT</v>
      </c>
      <c r="B89" s="893" t="str">
        <f>INDEX(Lists!$C$4:$C$26,MATCH(Validation!$B$3,Lists!$B$4:$B$26,0))&amp;"_AIM11"</f>
        <v>SWT_AIM11</v>
      </c>
      <c r="C89" s="893" t="s">
        <v>10183</v>
      </c>
      <c r="D89" s="893" t="s">
        <v>11009</v>
      </c>
      <c r="E89" s="893" t="s">
        <v>48</v>
      </c>
      <c r="F89" s="893" t="s">
        <v>11007</v>
      </c>
      <c r="G89" s="1749" t="str">
        <f>IF('3C'!F15="","##BLANK",'3C'!F15)</f>
        <v>##BLANK</v>
      </c>
    </row>
    <row r="90" spans="1:7">
      <c r="A90" s="1745" t="str">
        <f>INDEX(Lists!$C$4:$C$26,MATCH(Validation!$B$3,Lists!$B$4:$B$26,0))</f>
        <v>SWT</v>
      </c>
      <c r="B90" s="893" t="str">
        <f>INDEX(Lists!$C$4:$C$26,MATCH(Validation!$B$3,Lists!$B$4:$B$26,0))&amp;"_AIM12"</f>
        <v>SWT_AIM12</v>
      </c>
      <c r="C90" s="893" t="s">
        <v>10183</v>
      </c>
      <c r="D90" s="893" t="s">
        <v>11009</v>
      </c>
      <c r="E90" s="893" t="s">
        <v>48</v>
      </c>
      <c r="F90" s="893" t="s">
        <v>11007</v>
      </c>
      <c r="G90" s="1749" t="str">
        <f>IF('3C'!F16="","##BLANK",'3C'!F16)</f>
        <v>##BLANK</v>
      </c>
    </row>
    <row r="91" spans="1:7">
      <c r="A91" s="1745" t="str">
        <f>INDEX(Lists!$C$4:$C$26,MATCH(Validation!$B$3,Lists!$B$4:$B$26,0))</f>
        <v>SWT</v>
      </c>
      <c r="B91" s="893" t="str">
        <f>INDEX(Lists!$C$4:$C$26,MATCH(Validation!$B$3,Lists!$B$4:$B$26,0))&amp;"_AIM13"</f>
        <v>SWT_AIM13</v>
      </c>
      <c r="C91" s="893" t="s">
        <v>10183</v>
      </c>
      <c r="D91" s="893" t="s">
        <v>11009</v>
      </c>
      <c r="E91" s="893" t="s">
        <v>48</v>
      </c>
      <c r="F91" s="893" t="s">
        <v>11007</v>
      </c>
      <c r="G91" s="1749" t="str">
        <f>IF('3C'!F17="","##BLANK",'3C'!F17)</f>
        <v>##BLANK</v>
      </c>
    </row>
    <row r="92" spans="1:7">
      <c r="A92" s="1745" t="str">
        <f>INDEX(Lists!$C$4:$C$26,MATCH(Validation!$B$3,Lists!$B$4:$B$26,0))</f>
        <v>SWT</v>
      </c>
      <c r="B92" s="893" t="str">
        <f>INDEX(Lists!$C$4:$C$26,MATCH(Validation!$B$3,Lists!$B$4:$B$26,0))&amp;"_AIM14"</f>
        <v>SWT_AIM14</v>
      </c>
      <c r="C92" s="893" t="s">
        <v>10183</v>
      </c>
      <c r="D92" s="893" t="s">
        <v>11009</v>
      </c>
      <c r="E92" s="893" t="s">
        <v>48</v>
      </c>
      <c r="F92" s="893" t="s">
        <v>11007</v>
      </c>
      <c r="G92" s="1749" t="str">
        <f>IF('3C'!F18="","##BLANK",'3C'!F18)</f>
        <v>##BLANK</v>
      </c>
    </row>
    <row r="93" spans="1:7">
      <c r="A93" s="1745" t="str">
        <f>INDEX(Lists!$C$4:$C$26,MATCH(Validation!$B$3,Lists!$B$4:$B$26,0))</f>
        <v>SWT</v>
      </c>
      <c r="B93" s="893" t="str">
        <f>INDEX(Lists!$C$4:$C$26,MATCH(Validation!$B$3,Lists!$B$4:$B$26,0))&amp;"_AIM15"</f>
        <v>SWT_AIM15</v>
      </c>
      <c r="C93" s="893" t="s">
        <v>10183</v>
      </c>
      <c r="D93" s="893" t="s">
        <v>11009</v>
      </c>
      <c r="E93" s="893" t="s">
        <v>48</v>
      </c>
      <c r="F93" s="893" t="s">
        <v>11007</v>
      </c>
      <c r="G93" s="1749" t="str">
        <f>IF('3C'!F19="","##BLANK",'3C'!F19)</f>
        <v>##BLANK</v>
      </c>
    </row>
    <row r="94" spans="1:7">
      <c r="A94" s="1745" t="str">
        <f>INDEX(Lists!$C$4:$C$26,MATCH(Validation!$B$3,Lists!$B$4:$B$26,0))</f>
        <v>SWT</v>
      </c>
      <c r="B94" s="893" t="str">
        <f>INDEX(Lists!$C$4:$C$26,MATCH(Validation!$B$3,Lists!$B$4:$B$26,0))&amp;"_AIM16"</f>
        <v>SWT_AIM16</v>
      </c>
      <c r="C94" s="893" t="s">
        <v>10183</v>
      </c>
      <c r="D94" s="893" t="s">
        <v>11009</v>
      </c>
      <c r="E94" s="893" t="s">
        <v>48</v>
      </c>
      <c r="F94" s="893" t="s">
        <v>11007</v>
      </c>
      <c r="G94" s="1749" t="str">
        <f>IF('3C'!F20="","##BLANK",'3C'!F20)</f>
        <v>##BLANK</v>
      </c>
    </row>
    <row r="95" spans="1:7">
      <c r="A95" s="1745" t="str">
        <f>INDEX(Lists!$C$4:$C$26,MATCH(Validation!$B$3,Lists!$B$4:$B$26,0))</f>
        <v>SWT</v>
      </c>
      <c r="B95" s="893" t="str">
        <f>INDEX(Lists!$C$4:$C$26,MATCH(Validation!$B$3,Lists!$B$4:$B$26,0))&amp;"_AIM17"</f>
        <v>SWT_AIM17</v>
      </c>
      <c r="C95" s="893" t="s">
        <v>10183</v>
      </c>
      <c r="D95" s="893" t="s">
        <v>11009</v>
      </c>
      <c r="E95" s="893" t="s">
        <v>48</v>
      </c>
      <c r="F95" s="893" t="s">
        <v>11007</v>
      </c>
      <c r="G95" s="1749" t="str">
        <f>IF('3C'!F21="","##BLANK",'3C'!F21)</f>
        <v>##BLANK</v>
      </c>
    </row>
    <row r="96" spans="1:7">
      <c r="A96" s="1745" t="str">
        <f>INDEX(Lists!$C$4:$C$26,MATCH(Validation!$B$3,Lists!$B$4:$B$26,0))</f>
        <v>SWT</v>
      </c>
      <c r="B96" s="893" t="str">
        <f>INDEX(Lists!$C$4:$C$26,MATCH(Validation!$B$3,Lists!$B$4:$B$26,0))&amp;"_AIM18"</f>
        <v>SWT_AIM18</v>
      </c>
      <c r="C96" s="893" t="s">
        <v>10183</v>
      </c>
      <c r="D96" s="893" t="s">
        <v>11009</v>
      </c>
      <c r="E96" s="893" t="s">
        <v>48</v>
      </c>
      <c r="F96" s="893" t="s">
        <v>11007</v>
      </c>
      <c r="G96" s="1749" t="str">
        <f>IF('3C'!F22="","##BLANK",'3C'!F22)</f>
        <v>##BLANK</v>
      </c>
    </row>
    <row r="97" spans="1:7">
      <c r="A97" s="1745" t="str">
        <f>INDEX(Lists!$C$4:$C$26,MATCH(Validation!$B$3,Lists!$B$4:$B$26,0))</f>
        <v>SWT</v>
      </c>
      <c r="B97" s="893" t="str">
        <f>INDEX(Lists!$C$4:$C$26,MATCH(Validation!$B$3,Lists!$B$4:$B$26,0))&amp;"_AIM19"</f>
        <v>SWT_AIM19</v>
      </c>
      <c r="C97" s="893" t="s">
        <v>10183</v>
      </c>
      <c r="D97" s="893" t="s">
        <v>11009</v>
      </c>
      <c r="E97" s="893" t="s">
        <v>48</v>
      </c>
      <c r="F97" s="893" t="s">
        <v>11007</v>
      </c>
      <c r="G97" s="1749" t="str">
        <f>IF('3C'!F23="","##BLANK",'3C'!F23)</f>
        <v>##BLANK</v>
      </c>
    </row>
    <row r="98" spans="1:7">
      <c r="A98" s="1745" t="str">
        <f>INDEX(Lists!$C$4:$C$26,MATCH(Validation!$B$3,Lists!$B$4:$B$26,0))</f>
        <v>SWT</v>
      </c>
      <c r="B98" s="893" t="str">
        <f>INDEX(Lists!$C$4:$C$26,MATCH(Validation!$B$3,Lists!$B$4:$B$26,0))&amp;"_AIM20"</f>
        <v>SWT_AIM20</v>
      </c>
      <c r="C98" s="893" t="s">
        <v>10183</v>
      </c>
      <c r="D98" s="893" t="s">
        <v>11009</v>
      </c>
      <c r="E98" s="893" t="s">
        <v>48</v>
      </c>
      <c r="F98" s="893" t="s">
        <v>11007</v>
      </c>
      <c r="G98" s="1749" t="str">
        <f>IF('3C'!F24="","##BLANK",'3C'!F24)</f>
        <v>##BLANK</v>
      </c>
    </row>
    <row r="99" spans="1:7">
      <c r="A99" s="1745" t="str">
        <f>INDEX(Lists!$C$4:$C$26,MATCH(Validation!$B$3,Lists!$B$4:$B$26,0))</f>
        <v>SWT</v>
      </c>
      <c r="B99" s="893" t="str">
        <f>INDEX(Lists!$C$4:$C$26,MATCH(Validation!$B$3,Lists!$B$4:$B$26,0))&amp;"_AIM21"</f>
        <v>SWT_AIM21</v>
      </c>
      <c r="C99" s="893" t="s">
        <v>10183</v>
      </c>
      <c r="D99" s="893" t="s">
        <v>11009</v>
      </c>
      <c r="E99" s="893" t="s">
        <v>48</v>
      </c>
      <c r="F99" s="893" t="s">
        <v>11007</v>
      </c>
      <c r="G99" s="1749" t="str">
        <f>IF('3C'!F25="","##BLANK",'3C'!F25)</f>
        <v>##BLANK</v>
      </c>
    </row>
    <row r="100" spans="1:7">
      <c r="A100" s="1745" t="str">
        <f>INDEX(Lists!$C$4:$C$26,MATCH(Validation!$B$3,Lists!$B$4:$B$26,0))</f>
        <v>SWT</v>
      </c>
      <c r="B100" s="893" t="str">
        <f>INDEX(Lists!$C$4:$C$26,MATCH(Validation!$B$3,Lists!$B$4:$B$26,0))&amp;"_AIM22"</f>
        <v>SWT_AIM22</v>
      </c>
      <c r="C100" s="893" t="s">
        <v>10183</v>
      </c>
      <c r="D100" s="893" t="s">
        <v>11009</v>
      </c>
      <c r="E100" s="893" t="s">
        <v>48</v>
      </c>
      <c r="F100" s="893" t="s">
        <v>11007</v>
      </c>
      <c r="G100" s="1749" t="str">
        <f>IF('3C'!F26="","##BLANK",'3C'!F26)</f>
        <v>##BLANK</v>
      </c>
    </row>
    <row r="101" spans="1:7">
      <c r="A101" s="1745" t="str">
        <f>INDEX(Lists!$C$4:$C$26,MATCH(Validation!$B$3,Lists!$B$4:$B$26,0))</f>
        <v>SWT</v>
      </c>
      <c r="B101" s="893" t="str">
        <f>INDEX(Lists!$C$4:$C$26,MATCH(Validation!$B$3,Lists!$B$4:$B$26,0))&amp;"_AIM23"</f>
        <v>SWT_AIM23</v>
      </c>
      <c r="C101" s="893" t="s">
        <v>10183</v>
      </c>
      <c r="D101" s="893" t="s">
        <v>11009</v>
      </c>
      <c r="E101" s="893" t="s">
        <v>48</v>
      </c>
      <c r="F101" s="893" t="s">
        <v>11007</v>
      </c>
      <c r="G101" s="1749" t="str">
        <f>IF('3C'!F27="","##BLANK",'3C'!F27)</f>
        <v>##BLANK</v>
      </c>
    </row>
    <row r="102" spans="1:7">
      <c r="A102" s="1745" t="str">
        <f>INDEX(Lists!$C$4:$C$26,MATCH(Validation!$B$3,Lists!$B$4:$B$26,0))</f>
        <v>SWT</v>
      </c>
      <c r="B102" s="893" t="str">
        <f>INDEX(Lists!$C$4:$C$26,MATCH(Validation!$B$3,Lists!$B$4:$B$26,0))&amp;"_AIM24"</f>
        <v>SWT_AIM24</v>
      </c>
      <c r="C102" s="893" t="s">
        <v>10183</v>
      </c>
      <c r="D102" s="893" t="s">
        <v>11009</v>
      </c>
      <c r="E102" s="893" t="s">
        <v>48</v>
      </c>
      <c r="F102" s="893" t="s">
        <v>11007</v>
      </c>
      <c r="G102" s="1749" t="str">
        <f>IF('3C'!F28="","##BLANK",'3C'!F28)</f>
        <v>##BLANK</v>
      </c>
    </row>
    <row r="103" spans="1:7" ht="15" thickBot="1">
      <c r="A103" s="1746" t="str">
        <f>INDEX(Lists!$C$4:$C$26,MATCH(Validation!$B$3,Lists!$B$4:$B$26,0))</f>
        <v>SWT</v>
      </c>
      <c r="B103" s="1747" t="str">
        <f>INDEX(Lists!$C$4:$C$26,MATCH(Validation!$B$3,Lists!$B$4:$B$26,0))&amp;"_AIM25"</f>
        <v>SWT_AIM25</v>
      </c>
      <c r="C103" s="1747" t="s">
        <v>10183</v>
      </c>
      <c r="D103" s="1747" t="s">
        <v>11009</v>
      </c>
      <c r="E103" s="1747" t="s">
        <v>48</v>
      </c>
      <c r="F103" s="1747" t="s">
        <v>11007</v>
      </c>
      <c r="G103" s="1751" t="str">
        <f>IF('3C'!F29="","##BLANK",'3C'!F29)</f>
        <v>##BLANK</v>
      </c>
    </row>
    <row r="104" spans="1:7">
      <c r="A104" s="1743" t="str">
        <f>INDEX(Lists!$C$4:$C$26,MATCH(Validation!$B$3,Lists!$B$4:$B$26,0))</f>
        <v>SWT</v>
      </c>
      <c r="B104" s="1744" t="str">
        <f>INDEX(Lists!$C$4:$C$26,MATCH(Validation!$B$3,Lists!$B$4:$B$26,0))&amp;"_AIM01"</f>
        <v>SWT_AIM01</v>
      </c>
      <c r="C104" s="1744" t="s">
        <v>10184</v>
      </c>
      <c r="D104" s="1744" t="s">
        <v>11010</v>
      </c>
      <c r="E104" s="1744" t="s">
        <v>2755</v>
      </c>
      <c r="F104" s="1744" t="s">
        <v>11007</v>
      </c>
      <c r="G104" s="1750" t="str">
        <f>IF('3C'!G5="","##BLANK",'3C'!G5)</f>
        <v>##BLANK</v>
      </c>
    </row>
    <row r="105" spans="1:7">
      <c r="A105" s="1745" t="str">
        <f>INDEX(Lists!$C$4:$C$26,MATCH(Validation!$B$3,Lists!$B$4:$B$26,0))</f>
        <v>SWT</v>
      </c>
      <c r="B105" s="893" t="str">
        <f>INDEX(Lists!$C$4:$C$26,MATCH(Validation!$B$3,Lists!$B$4:$B$26,0))&amp;"_AIM02"</f>
        <v>SWT_AIM02</v>
      </c>
      <c r="C105" s="893" t="s">
        <v>10184</v>
      </c>
      <c r="D105" s="893" t="s">
        <v>11010</v>
      </c>
      <c r="E105" s="893" t="s">
        <v>2755</v>
      </c>
      <c r="F105" s="893" t="s">
        <v>11007</v>
      </c>
      <c r="G105" s="1749" t="str">
        <f>IF('3C'!G6="","##BLANK",'3C'!G6)</f>
        <v>##BLANK</v>
      </c>
    </row>
    <row r="106" spans="1:7">
      <c r="A106" s="1745" t="str">
        <f>INDEX(Lists!$C$4:$C$26,MATCH(Validation!$B$3,Lists!$B$4:$B$26,0))</f>
        <v>SWT</v>
      </c>
      <c r="B106" s="893" t="str">
        <f>INDEX(Lists!$C$4:$C$26,MATCH(Validation!$B$3,Lists!$B$4:$B$26,0))&amp;"_AIM03"</f>
        <v>SWT_AIM03</v>
      </c>
      <c r="C106" s="893" t="s">
        <v>10184</v>
      </c>
      <c r="D106" s="893" t="s">
        <v>11010</v>
      </c>
      <c r="E106" s="893" t="s">
        <v>2755</v>
      </c>
      <c r="F106" s="893" t="s">
        <v>11007</v>
      </c>
      <c r="G106" s="1749" t="str">
        <f>IF('3C'!G7="","##BLANK",'3C'!G7)</f>
        <v>##BLANK</v>
      </c>
    </row>
    <row r="107" spans="1:7">
      <c r="A107" s="1745" t="str">
        <f>INDEX(Lists!$C$4:$C$26,MATCH(Validation!$B$3,Lists!$B$4:$B$26,0))</f>
        <v>SWT</v>
      </c>
      <c r="B107" s="893" t="str">
        <f>INDEX(Lists!$C$4:$C$26,MATCH(Validation!$B$3,Lists!$B$4:$B$26,0))&amp;"_AIM04"</f>
        <v>SWT_AIM04</v>
      </c>
      <c r="C107" s="893" t="s">
        <v>10184</v>
      </c>
      <c r="D107" s="893" t="s">
        <v>11010</v>
      </c>
      <c r="E107" s="893" t="s">
        <v>2755</v>
      </c>
      <c r="F107" s="893" t="s">
        <v>11007</v>
      </c>
      <c r="G107" s="1749" t="str">
        <f>IF('3C'!G8="","##BLANK",'3C'!G8)</f>
        <v>##BLANK</v>
      </c>
    </row>
    <row r="108" spans="1:7">
      <c r="A108" s="1745" t="str">
        <f>INDEX(Lists!$C$4:$C$26,MATCH(Validation!$B$3,Lists!$B$4:$B$26,0))</f>
        <v>SWT</v>
      </c>
      <c r="B108" s="893" t="str">
        <f>INDEX(Lists!$C$4:$C$26,MATCH(Validation!$B$3,Lists!$B$4:$B$26,0))&amp;"_AIM05"</f>
        <v>SWT_AIM05</v>
      </c>
      <c r="C108" s="893" t="s">
        <v>10184</v>
      </c>
      <c r="D108" s="893" t="s">
        <v>11010</v>
      </c>
      <c r="E108" s="893" t="s">
        <v>2755</v>
      </c>
      <c r="F108" s="893" t="s">
        <v>11007</v>
      </c>
      <c r="G108" s="1749" t="str">
        <f>IF('3C'!G9="","##BLANK",'3C'!G9)</f>
        <v>##BLANK</v>
      </c>
    </row>
    <row r="109" spans="1:7">
      <c r="A109" s="1745" t="str">
        <f>INDEX(Lists!$C$4:$C$26,MATCH(Validation!$B$3,Lists!$B$4:$B$26,0))</f>
        <v>SWT</v>
      </c>
      <c r="B109" s="893" t="str">
        <f>INDEX(Lists!$C$4:$C$26,MATCH(Validation!$B$3,Lists!$B$4:$B$26,0))&amp;"_AIM06"</f>
        <v>SWT_AIM06</v>
      </c>
      <c r="C109" s="893" t="s">
        <v>10184</v>
      </c>
      <c r="D109" s="893" t="s">
        <v>11010</v>
      </c>
      <c r="E109" s="893" t="s">
        <v>2755</v>
      </c>
      <c r="F109" s="893" t="s">
        <v>11007</v>
      </c>
      <c r="G109" s="1749" t="str">
        <f>IF('3C'!G10="","##BLANK",'3C'!G10)</f>
        <v>##BLANK</v>
      </c>
    </row>
    <row r="110" spans="1:7">
      <c r="A110" s="1745" t="str">
        <f>INDEX(Lists!$C$4:$C$26,MATCH(Validation!$B$3,Lists!$B$4:$B$26,0))</f>
        <v>SWT</v>
      </c>
      <c r="B110" s="893" t="str">
        <f>INDEX(Lists!$C$4:$C$26,MATCH(Validation!$B$3,Lists!$B$4:$B$26,0))&amp;"_AIM07"</f>
        <v>SWT_AIM07</v>
      </c>
      <c r="C110" s="893" t="s">
        <v>10184</v>
      </c>
      <c r="D110" s="893" t="s">
        <v>11010</v>
      </c>
      <c r="E110" s="893" t="s">
        <v>2755</v>
      </c>
      <c r="F110" s="893" t="s">
        <v>11007</v>
      </c>
      <c r="G110" s="1749" t="str">
        <f>IF('3C'!G11="","##BLANK",'3C'!G11)</f>
        <v>##BLANK</v>
      </c>
    </row>
    <row r="111" spans="1:7">
      <c r="A111" s="1745" t="str">
        <f>INDEX(Lists!$C$4:$C$26,MATCH(Validation!$B$3,Lists!$B$4:$B$26,0))</f>
        <v>SWT</v>
      </c>
      <c r="B111" s="893" t="str">
        <f>INDEX(Lists!$C$4:$C$26,MATCH(Validation!$B$3,Lists!$B$4:$B$26,0))&amp;"_AIM08"</f>
        <v>SWT_AIM08</v>
      </c>
      <c r="C111" s="893" t="s">
        <v>10184</v>
      </c>
      <c r="D111" s="893" t="s">
        <v>11010</v>
      </c>
      <c r="E111" s="893" t="s">
        <v>2755</v>
      </c>
      <c r="F111" s="893" t="s">
        <v>11007</v>
      </c>
      <c r="G111" s="1749" t="str">
        <f>IF('3C'!G12="","##BLANK",'3C'!G12)</f>
        <v>##BLANK</v>
      </c>
    </row>
    <row r="112" spans="1:7">
      <c r="A112" s="1745" t="str">
        <f>INDEX(Lists!$C$4:$C$26,MATCH(Validation!$B$3,Lists!$B$4:$B$26,0))</f>
        <v>SWT</v>
      </c>
      <c r="B112" s="893" t="str">
        <f>INDEX(Lists!$C$4:$C$26,MATCH(Validation!$B$3,Lists!$B$4:$B$26,0))&amp;"_AIM09"</f>
        <v>SWT_AIM09</v>
      </c>
      <c r="C112" s="893" t="s">
        <v>10184</v>
      </c>
      <c r="D112" s="893" t="s">
        <v>11010</v>
      </c>
      <c r="E112" s="893" t="s">
        <v>2755</v>
      </c>
      <c r="F112" s="893" t="s">
        <v>11007</v>
      </c>
      <c r="G112" s="1749" t="str">
        <f>IF('3C'!G13="","##BLANK",'3C'!G13)</f>
        <v>##BLANK</v>
      </c>
    </row>
    <row r="113" spans="1:7">
      <c r="A113" s="1745" t="str">
        <f>INDEX(Lists!$C$4:$C$26,MATCH(Validation!$B$3,Lists!$B$4:$B$26,0))</f>
        <v>SWT</v>
      </c>
      <c r="B113" s="893" t="str">
        <f>INDEX(Lists!$C$4:$C$26,MATCH(Validation!$B$3,Lists!$B$4:$B$26,0))&amp;"_AIM10"</f>
        <v>SWT_AIM10</v>
      </c>
      <c r="C113" s="893" t="s">
        <v>10184</v>
      </c>
      <c r="D113" s="893" t="s">
        <v>11010</v>
      </c>
      <c r="E113" s="893" t="s">
        <v>2755</v>
      </c>
      <c r="F113" s="893" t="s">
        <v>11007</v>
      </c>
      <c r="G113" s="1749" t="str">
        <f>IF('3C'!G14="","##BLANK",'3C'!G14)</f>
        <v>##BLANK</v>
      </c>
    </row>
    <row r="114" spans="1:7">
      <c r="A114" s="1745" t="str">
        <f>INDEX(Lists!$C$4:$C$26,MATCH(Validation!$B$3,Lists!$B$4:$B$26,0))</f>
        <v>SWT</v>
      </c>
      <c r="B114" s="893" t="str">
        <f>INDEX(Lists!$C$4:$C$26,MATCH(Validation!$B$3,Lists!$B$4:$B$26,0))&amp;"_AIM11"</f>
        <v>SWT_AIM11</v>
      </c>
      <c r="C114" s="893" t="s">
        <v>10184</v>
      </c>
      <c r="D114" s="893" t="s">
        <v>11010</v>
      </c>
      <c r="E114" s="893" t="s">
        <v>2755</v>
      </c>
      <c r="F114" s="893" t="s">
        <v>11007</v>
      </c>
      <c r="G114" s="1749" t="str">
        <f>IF('3C'!G15="","##BLANK",'3C'!G15)</f>
        <v>##BLANK</v>
      </c>
    </row>
    <row r="115" spans="1:7">
      <c r="A115" s="1745" t="str">
        <f>INDEX(Lists!$C$4:$C$26,MATCH(Validation!$B$3,Lists!$B$4:$B$26,0))</f>
        <v>SWT</v>
      </c>
      <c r="B115" s="893" t="str">
        <f>INDEX(Lists!$C$4:$C$26,MATCH(Validation!$B$3,Lists!$B$4:$B$26,0))&amp;"_AIM12"</f>
        <v>SWT_AIM12</v>
      </c>
      <c r="C115" s="893" t="s">
        <v>10184</v>
      </c>
      <c r="D115" s="893" t="s">
        <v>11010</v>
      </c>
      <c r="E115" s="893" t="s">
        <v>2755</v>
      </c>
      <c r="F115" s="893" t="s">
        <v>11007</v>
      </c>
      <c r="G115" s="1749" t="str">
        <f>IF('3C'!G16="","##BLANK",'3C'!G16)</f>
        <v>##BLANK</v>
      </c>
    </row>
    <row r="116" spans="1:7">
      <c r="A116" s="1745" t="str">
        <f>INDEX(Lists!$C$4:$C$26,MATCH(Validation!$B$3,Lists!$B$4:$B$26,0))</f>
        <v>SWT</v>
      </c>
      <c r="B116" s="893" t="str">
        <f>INDEX(Lists!$C$4:$C$26,MATCH(Validation!$B$3,Lists!$B$4:$B$26,0))&amp;"_AIM13"</f>
        <v>SWT_AIM13</v>
      </c>
      <c r="C116" s="893" t="s">
        <v>10184</v>
      </c>
      <c r="D116" s="893" t="s">
        <v>11010</v>
      </c>
      <c r="E116" s="893" t="s">
        <v>2755</v>
      </c>
      <c r="F116" s="893" t="s">
        <v>11007</v>
      </c>
      <c r="G116" s="1749" t="str">
        <f>IF('3C'!G17="","##BLANK",'3C'!G17)</f>
        <v>##BLANK</v>
      </c>
    </row>
    <row r="117" spans="1:7">
      <c r="A117" s="1745" t="str">
        <f>INDEX(Lists!$C$4:$C$26,MATCH(Validation!$B$3,Lists!$B$4:$B$26,0))</f>
        <v>SWT</v>
      </c>
      <c r="B117" s="893" t="str">
        <f>INDEX(Lists!$C$4:$C$26,MATCH(Validation!$B$3,Lists!$B$4:$B$26,0))&amp;"_AIM14"</f>
        <v>SWT_AIM14</v>
      </c>
      <c r="C117" s="893" t="s">
        <v>10184</v>
      </c>
      <c r="D117" s="893" t="s">
        <v>11010</v>
      </c>
      <c r="E117" s="893" t="s">
        <v>2755</v>
      </c>
      <c r="F117" s="893" t="s">
        <v>11007</v>
      </c>
      <c r="G117" s="1749" t="str">
        <f>IF('3C'!G18="","##BLANK",'3C'!G18)</f>
        <v>##BLANK</v>
      </c>
    </row>
    <row r="118" spans="1:7">
      <c r="A118" s="1745" t="str">
        <f>INDEX(Lists!$C$4:$C$26,MATCH(Validation!$B$3,Lists!$B$4:$B$26,0))</f>
        <v>SWT</v>
      </c>
      <c r="B118" s="893" t="str">
        <f>INDEX(Lists!$C$4:$C$26,MATCH(Validation!$B$3,Lists!$B$4:$B$26,0))&amp;"_AIM15"</f>
        <v>SWT_AIM15</v>
      </c>
      <c r="C118" s="893" t="s">
        <v>10184</v>
      </c>
      <c r="D118" s="893" t="s">
        <v>11010</v>
      </c>
      <c r="E118" s="893" t="s">
        <v>2755</v>
      </c>
      <c r="F118" s="893" t="s">
        <v>11007</v>
      </c>
      <c r="G118" s="1749" t="str">
        <f>IF('3C'!G19="","##BLANK",'3C'!G19)</f>
        <v>##BLANK</v>
      </c>
    </row>
    <row r="119" spans="1:7">
      <c r="A119" s="1745" t="str">
        <f>INDEX(Lists!$C$4:$C$26,MATCH(Validation!$B$3,Lists!$B$4:$B$26,0))</f>
        <v>SWT</v>
      </c>
      <c r="B119" s="893" t="str">
        <f>INDEX(Lists!$C$4:$C$26,MATCH(Validation!$B$3,Lists!$B$4:$B$26,0))&amp;"_AIM16"</f>
        <v>SWT_AIM16</v>
      </c>
      <c r="C119" s="893" t="s">
        <v>10184</v>
      </c>
      <c r="D119" s="893" t="s">
        <v>11010</v>
      </c>
      <c r="E119" s="893" t="s">
        <v>2755</v>
      </c>
      <c r="F119" s="893" t="s">
        <v>11007</v>
      </c>
      <c r="G119" s="1749" t="str">
        <f>IF('3C'!G20="","##BLANK",'3C'!G20)</f>
        <v>##BLANK</v>
      </c>
    </row>
    <row r="120" spans="1:7">
      <c r="A120" s="1745" t="str">
        <f>INDEX(Lists!$C$4:$C$26,MATCH(Validation!$B$3,Lists!$B$4:$B$26,0))</f>
        <v>SWT</v>
      </c>
      <c r="B120" s="893" t="str">
        <f>INDEX(Lists!$C$4:$C$26,MATCH(Validation!$B$3,Lists!$B$4:$B$26,0))&amp;"_AIM17"</f>
        <v>SWT_AIM17</v>
      </c>
      <c r="C120" s="893" t="s">
        <v>10184</v>
      </c>
      <c r="D120" s="893" t="s">
        <v>11010</v>
      </c>
      <c r="E120" s="893" t="s">
        <v>2755</v>
      </c>
      <c r="F120" s="893" t="s">
        <v>11007</v>
      </c>
      <c r="G120" s="1749" t="str">
        <f>IF('3C'!G21="","##BLANK",'3C'!G21)</f>
        <v>##BLANK</v>
      </c>
    </row>
    <row r="121" spans="1:7">
      <c r="A121" s="1745" t="str">
        <f>INDEX(Lists!$C$4:$C$26,MATCH(Validation!$B$3,Lists!$B$4:$B$26,0))</f>
        <v>SWT</v>
      </c>
      <c r="B121" s="893" t="str">
        <f>INDEX(Lists!$C$4:$C$26,MATCH(Validation!$B$3,Lists!$B$4:$B$26,0))&amp;"_AIM18"</f>
        <v>SWT_AIM18</v>
      </c>
      <c r="C121" s="893" t="s">
        <v>10184</v>
      </c>
      <c r="D121" s="893" t="s">
        <v>11010</v>
      </c>
      <c r="E121" s="893" t="s">
        <v>2755</v>
      </c>
      <c r="F121" s="893" t="s">
        <v>11007</v>
      </c>
      <c r="G121" s="1749" t="str">
        <f>IF('3C'!G22="","##BLANK",'3C'!G22)</f>
        <v>##BLANK</v>
      </c>
    </row>
    <row r="122" spans="1:7">
      <c r="A122" s="1745" t="str">
        <f>INDEX(Lists!$C$4:$C$26,MATCH(Validation!$B$3,Lists!$B$4:$B$26,0))</f>
        <v>SWT</v>
      </c>
      <c r="B122" s="893" t="str">
        <f>INDEX(Lists!$C$4:$C$26,MATCH(Validation!$B$3,Lists!$B$4:$B$26,0))&amp;"_AIM19"</f>
        <v>SWT_AIM19</v>
      </c>
      <c r="C122" s="893" t="s">
        <v>10184</v>
      </c>
      <c r="D122" s="893" t="s">
        <v>11010</v>
      </c>
      <c r="E122" s="893" t="s">
        <v>2755</v>
      </c>
      <c r="F122" s="893" t="s">
        <v>11007</v>
      </c>
      <c r="G122" s="1749" t="str">
        <f>IF('3C'!G23="","##BLANK",'3C'!G23)</f>
        <v>##BLANK</v>
      </c>
    </row>
    <row r="123" spans="1:7">
      <c r="A123" s="1745" t="str">
        <f>INDEX(Lists!$C$4:$C$26,MATCH(Validation!$B$3,Lists!$B$4:$B$26,0))</f>
        <v>SWT</v>
      </c>
      <c r="B123" s="893" t="str">
        <f>INDEX(Lists!$C$4:$C$26,MATCH(Validation!$B$3,Lists!$B$4:$B$26,0))&amp;"_AIM20"</f>
        <v>SWT_AIM20</v>
      </c>
      <c r="C123" s="893" t="s">
        <v>10184</v>
      </c>
      <c r="D123" s="893" t="s">
        <v>11010</v>
      </c>
      <c r="E123" s="893" t="s">
        <v>2755</v>
      </c>
      <c r="F123" s="893" t="s">
        <v>11007</v>
      </c>
      <c r="G123" s="1749" t="str">
        <f>IF('3C'!G24="","##BLANK",'3C'!G24)</f>
        <v>##BLANK</v>
      </c>
    </row>
    <row r="124" spans="1:7">
      <c r="A124" s="1745" t="str">
        <f>INDEX(Lists!$C$4:$C$26,MATCH(Validation!$B$3,Lists!$B$4:$B$26,0))</f>
        <v>SWT</v>
      </c>
      <c r="B124" s="893" t="str">
        <f>INDEX(Lists!$C$4:$C$26,MATCH(Validation!$B$3,Lists!$B$4:$B$26,0))&amp;"_AIM21"</f>
        <v>SWT_AIM21</v>
      </c>
      <c r="C124" s="893" t="s">
        <v>10184</v>
      </c>
      <c r="D124" s="893" t="s">
        <v>11010</v>
      </c>
      <c r="E124" s="893" t="s">
        <v>2755</v>
      </c>
      <c r="F124" s="893" t="s">
        <v>11007</v>
      </c>
      <c r="G124" s="1749" t="str">
        <f>IF('3C'!G25="","##BLANK",'3C'!G25)</f>
        <v>##BLANK</v>
      </c>
    </row>
    <row r="125" spans="1:7">
      <c r="A125" s="1745" t="str">
        <f>INDEX(Lists!$C$4:$C$26,MATCH(Validation!$B$3,Lists!$B$4:$B$26,0))</f>
        <v>SWT</v>
      </c>
      <c r="B125" s="893" t="str">
        <f>INDEX(Lists!$C$4:$C$26,MATCH(Validation!$B$3,Lists!$B$4:$B$26,0))&amp;"_AIM22"</f>
        <v>SWT_AIM22</v>
      </c>
      <c r="C125" s="893" t="s">
        <v>10184</v>
      </c>
      <c r="D125" s="893" t="s">
        <v>11010</v>
      </c>
      <c r="E125" s="893" t="s">
        <v>2755</v>
      </c>
      <c r="F125" s="893" t="s">
        <v>11007</v>
      </c>
      <c r="G125" s="1749" t="str">
        <f>IF('3C'!G26="","##BLANK",'3C'!G26)</f>
        <v>##BLANK</v>
      </c>
    </row>
    <row r="126" spans="1:7">
      <c r="A126" s="1745" t="str">
        <f>INDEX(Lists!$C$4:$C$26,MATCH(Validation!$B$3,Lists!$B$4:$B$26,0))</f>
        <v>SWT</v>
      </c>
      <c r="B126" s="893" t="str">
        <f>INDEX(Lists!$C$4:$C$26,MATCH(Validation!$B$3,Lists!$B$4:$B$26,0))&amp;"_AIM23"</f>
        <v>SWT_AIM23</v>
      </c>
      <c r="C126" s="893" t="s">
        <v>10184</v>
      </c>
      <c r="D126" s="893" t="s">
        <v>11010</v>
      </c>
      <c r="E126" s="893" t="s">
        <v>2755</v>
      </c>
      <c r="F126" s="893" t="s">
        <v>11007</v>
      </c>
      <c r="G126" s="1749" t="str">
        <f>IF('3C'!G27="","##BLANK",'3C'!G27)</f>
        <v>##BLANK</v>
      </c>
    </row>
    <row r="127" spans="1:7">
      <c r="A127" s="1745" t="str">
        <f>INDEX(Lists!$C$4:$C$26,MATCH(Validation!$B$3,Lists!$B$4:$B$26,0))</f>
        <v>SWT</v>
      </c>
      <c r="B127" s="893" t="str">
        <f>INDEX(Lists!$C$4:$C$26,MATCH(Validation!$B$3,Lists!$B$4:$B$26,0))&amp;"_AIM24"</f>
        <v>SWT_AIM24</v>
      </c>
      <c r="C127" s="893" t="s">
        <v>10184</v>
      </c>
      <c r="D127" s="893" t="s">
        <v>11010</v>
      </c>
      <c r="E127" s="893" t="s">
        <v>2755</v>
      </c>
      <c r="F127" s="893" t="s">
        <v>11007</v>
      </c>
      <c r="G127" s="1749" t="str">
        <f>IF('3C'!G28="","##BLANK",'3C'!G28)</f>
        <v>##BLANK</v>
      </c>
    </row>
    <row r="128" spans="1:7" ht="15" thickBot="1">
      <c r="A128" s="1746" t="str">
        <f>INDEX(Lists!$C$4:$C$26,MATCH(Validation!$B$3,Lists!$B$4:$B$26,0))</f>
        <v>SWT</v>
      </c>
      <c r="B128" s="1747" t="str">
        <f>INDEX(Lists!$C$4:$C$26,MATCH(Validation!$B$3,Lists!$B$4:$B$26,0))&amp;"_AIM25"</f>
        <v>SWT_AIM25</v>
      </c>
      <c r="C128" s="1747" t="s">
        <v>10184</v>
      </c>
      <c r="D128" s="1747" t="s">
        <v>11010</v>
      </c>
      <c r="E128" s="1747" t="s">
        <v>2755</v>
      </c>
      <c r="F128" s="1747" t="s">
        <v>11007</v>
      </c>
      <c r="G128" s="1751" t="str">
        <f>IF('3C'!G29="","##BLANK",'3C'!G29)</f>
        <v>##BLANK</v>
      </c>
    </row>
    <row r="129" spans="1:7">
      <c r="A129" s="1743" t="str">
        <f>INDEX(Lists!$C$4:$C$26,MATCH(Validation!$B$3,Lists!$B$4:$B$26,0))</f>
        <v>SWT</v>
      </c>
      <c r="B129" s="1744" t="str">
        <f>INDEX(Lists!$C$4:$C$26,MATCH(Validation!$B$3,Lists!$B$4:$B$26,0))&amp;"_AIM01"</f>
        <v>SWT_AIM01</v>
      </c>
      <c r="C129" s="1744" t="s">
        <v>10185</v>
      </c>
      <c r="D129" s="1744" t="s">
        <v>11011</v>
      </c>
      <c r="E129" s="1744" t="s">
        <v>48</v>
      </c>
      <c r="F129" s="1744" t="s">
        <v>11007</v>
      </c>
      <c r="G129" s="1750" t="str">
        <f>IF('3C'!H5="","##BLANK",'3C'!H5)</f>
        <v>##BLANK</v>
      </c>
    </row>
    <row r="130" spans="1:7">
      <c r="A130" s="1745" t="str">
        <f>INDEX(Lists!$C$4:$C$26,MATCH(Validation!$B$3,Lists!$B$4:$B$26,0))</f>
        <v>SWT</v>
      </c>
      <c r="B130" s="893" t="str">
        <f>INDEX(Lists!$C$4:$C$26,MATCH(Validation!$B$3,Lists!$B$4:$B$26,0))&amp;"_AIM02"</f>
        <v>SWT_AIM02</v>
      </c>
      <c r="C130" s="893" t="s">
        <v>10185</v>
      </c>
      <c r="D130" s="893" t="s">
        <v>11011</v>
      </c>
      <c r="E130" s="893" t="s">
        <v>48</v>
      </c>
      <c r="F130" s="893" t="s">
        <v>11007</v>
      </c>
      <c r="G130" s="1749" t="str">
        <f>IF('3C'!H6="","##BLANK",'3C'!H6)</f>
        <v>##BLANK</v>
      </c>
    </row>
    <row r="131" spans="1:7">
      <c r="A131" s="1745" t="str">
        <f>INDEX(Lists!$C$4:$C$26,MATCH(Validation!$B$3,Lists!$B$4:$B$26,0))</f>
        <v>SWT</v>
      </c>
      <c r="B131" s="893" t="str">
        <f>INDEX(Lists!$C$4:$C$26,MATCH(Validation!$B$3,Lists!$B$4:$B$26,0))&amp;"_AIM03"</f>
        <v>SWT_AIM03</v>
      </c>
      <c r="C131" s="893" t="s">
        <v>10185</v>
      </c>
      <c r="D131" s="893" t="s">
        <v>11011</v>
      </c>
      <c r="E131" s="893" t="s">
        <v>48</v>
      </c>
      <c r="F131" s="893" t="s">
        <v>11007</v>
      </c>
      <c r="G131" s="1749" t="str">
        <f>IF('3C'!H7="","##BLANK",'3C'!H7)</f>
        <v>##BLANK</v>
      </c>
    </row>
    <row r="132" spans="1:7">
      <c r="A132" s="1745" t="str">
        <f>INDEX(Lists!$C$4:$C$26,MATCH(Validation!$B$3,Lists!$B$4:$B$26,0))</f>
        <v>SWT</v>
      </c>
      <c r="B132" s="893" t="str">
        <f>INDEX(Lists!$C$4:$C$26,MATCH(Validation!$B$3,Lists!$B$4:$B$26,0))&amp;"_AIM04"</f>
        <v>SWT_AIM04</v>
      </c>
      <c r="C132" s="893" t="s">
        <v>10185</v>
      </c>
      <c r="D132" s="893" t="s">
        <v>11011</v>
      </c>
      <c r="E132" s="893" t="s">
        <v>48</v>
      </c>
      <c r="F132" s="893" t="s">
        <v>11007</v>
      </c>
      <c r="G132" s="1749" t="str">
        <f>IF('3C'!H8="","##BLANK",'3C'!H8)</f>
        <v>##BLANK</v>
      </c>
    </row>
    <row r="133" spans="1:7">
      <c r="A133" s="1745" t="str">
        <f>INDEX(Lists!$C$4:$C$26,MATCH(Validation!$B$3,Lists!$B$4:$B$26,0))</f>
        <v>SWT</v>
      </c>
      <c r="B133" s="893" t="str">
        <f>INDEX(Lists!$C$4:$C$26,MATCH(Validation!$B$3,Lists!$B$4:$B$26,0))&amp;"_AIM05"</f>
        <v>SWT_AIM05</v>
      </c>
      <c r="C133" s="893" t="s">
        <v>10185</v>
      </c>
      <c r="D133" s="893" t="s">
        <v>11011</v>
      </c>
      <c r="E133" s="893" t="s">
        <v>48</v>
      </c>
      <c r="F133" s="893" t="s">
        <v>11007</v>
      </c>
      <c r="G133" s="1749" t="str">
        <f>IF('3C'!H9="","##BLANK",'3C'!H9)</f>
        <v>##BLANK</v>
      </c>
    </row>
    <row r="134" spans="1:7">
      <c r="A134" s="1745" t="str">
        <f>INDEX(Lists!$C$4:$C$26,MATCH(Validation!$B$3,Lists!$B$4:$B$26,0))</f>
        <v>SWT</v>
      </c>
      <c r="B134" s="893" t="str">
        <f>INDEX(Lists!$C$4:$C$26,MATCH(Validation!$B$3,Lists!$B$4:$B$26,0))&amp;"_AIM06"</f>
        <v>SWT_AIM06</v>
      </c>
      <c r="C134" s="893" t="s">
        <v>10185</v>
      </c>
      <c r="D134" s="893" t="s">
        <v>11011</v>
      </c>
      <c r="E134" s="893" t="s">
        <v>48</v>
      </c>
      <c r="F134" s="893" t="s">
        <v>11007</v>
      </c>
      <c r="G134" s="1749" t="str">
        <f>IF('3C'!H10="","##BLANK",'3C'!H10)</f>
        <v>##BLANK</v>
      </c>
    </row>
    <row r="135" spans="1:7">
      <c r="A135" s="1745" t="str">
        <f>INDEX(Lists!$C$4:$C$26,MATCH(Validation!$B$3,Lists!$B$4:$B$26,0))</f>
        <v>SWT</v>
      </c>
      <c r="B135" s="893" t="str">
        <f>INDEX(Lists!$C$4:$C$26,MATCH(Validation!$B$3,Lists!$B$4:$B$26,0))&amp;"_AIM07"</f>
        <v>SWT_AIM07</v>
      </c>
      <c r="C135" s="893" t="s">
        <v>10185</v>
      </c>
      <c r="D135" s="893" t="s">
        <v>11011</v>
      </c>
      <c r="E135" s="893" t="s">
        <v>48</v>
      </c>
      <c r="F135" s="893" t="s">
        <v>11007</v>
      </c>
      <c r="G135" s="1749" t="str">
        <f>IF('3C'!H11="","##BLANK",'3C'!H11)</f>
        <v>##BLANK</v>
      </c>
    </row>
    <row r="136" spans="1:7">
      <c r="A136" s="1745" t="str">
        <f>INDEX(Lists!$C$4:$C$26,MATCH(Validation!$B$3,Lists!$B$4:$B$26,0))</f>
        <v>SWT</v>
      </c>
      <c r="B136" s="893" t="str">
        <f>INDEX(Lists!$C$4:$C$26,MATCH(Validation!$B$3,Lists!$B$4:$B$26,0))&amp;"_AIM08"</f>
        <v>SWT_AIM08</v>
      </c>
      <c r="C136" s="893" t="s">
        <v>10185</v>
      </c>
      <c r="D136" s="893" t="s">
        <v>11011</v>
      </c>
      <c r="E136" s="893" t="s">
        <v>48</v>
      </c>
      <c r="F136" s="893" t="s">
        <v>11007</v>
      </c>
      <c r="G136" s="1749" t="str">
        <f>IF('3C'!H12="","##BLANK",'3C'!H12)</f>
        <v>##BLANK</v>
      </c>
    </row>
    <row r="137" spans="1:7">
      <c r="A137" s="1745" t="str">
        <f>INDEX(Lists!$C$4:$C$26,MATCH(Validation!$B$3,Lists!$B$4:$B$26,0))</f>
        <v>SWT</v>
      </c>
      <c r="B137" s="893" t="str">
        <f>INDEX(Lists!$C$4:$C$26,MATCH(Validation!$B$3,Lists!$B$4:$B$26,0))&amp;"_AIM09"</f>
        <v>SWT_AIM09</v>
      </c>
      <c r="C137" s="893" t="s">
        <v>10185</v>
      </c>
      <c r="D137" s="893" t="s">
        <v>11011</v>
      </c>
      <c r="E137" s="893" t="s">
        <v>48</v>
      </c>
      <c r="F137" s="893" t="s">
        <v>11007</v>
      </c>
      <c r="G137" s="1749" t="str">
        <f>IF('3C'!H13="","##BLANK",'3C'!H13)</f>
        <v>##BLANK</v>
      </c>
    </row>
    <row r="138" spans="1:7">
      <c r="A138" s="1745" t="str">
        <f>INDEX(Lists!$C$4:$C$26,MATCH(Validation!$B$3,Lists!$B$4:$B$26,0))</f>
        <v>SWT</v>
      </c>
      <c r="B138" s="893" t="str">
        <f>INDEX(Lists!$C$4:$C$26,MATCH(Validation!$B$3,Lists!$B$4:$B$26,0))&amp;"_AIM10"</f>
        <v>SWT_AIM10</v>
      </c>
      <c r="C138" s="893" t="s">
        <v>10185</v>
      </c>
      <c r="D138" s="893" t="s">
        <v>11011</v>
      </c>
      <c r="E138" s="893" t="s">
        <v>48</v>
      </c>
      <c r="F138" s="893" t="s">
        <v>11007</v>
      </c>
      <c r="G138" s="1749" t="str">
        <f>IF('3C'!H14="","##BLANK",'3C'!H14)</f>
        <v>##BLANK</v>
      </c>
    </row>
    <row r="139" spans="1:7">
      <c r="A139" s="1745" t="str">
        <f>INDEX(Lists!$C$4:$C$26,MATCH(Validation!$B$3,Lists!$B$4:$B$26,0))</f>
        <v>SWT</v>
      </c>
      <c r="B139" s="893" t="str">
        <f>INDEX(Lists!$C$4:$C$26,MATCH(Validation!$B$3,Lists!$B$4:$B$26,0))&amp;"_AIM11"</f>
        <v>SWT_AIM11</v>
      </c>
      <c r="C139" s="893" t="s">
        <v>10185</v>
      </c>
      <c r="D139" s="893" t="s">
        <v>11011</v>
      </c>
      <c r="E139" s="893" t="s">
        <v>48</v>
      </c>
      <c r="F139" s="893" t="s">
        <v>11007</v>
      </c>
      <c r="G139" s="1749" t="str">
        <f>IF('3C'!H15="","##BLANK",'3C'!H15)</f>
        <v>##BLANK</v>
      </c>
    </row>
    <row r="140" spans="1:7">
      <c r="A140" s="1745" t="str">
        <f>INDEX(Lists!$C$4:$C$26,MATCH(Validation!$B$3,Lists!$B$4:$B$26,0))</f>
        <v>SWT</v>
      </c>
      <c r="B140" s="893" t="str">
        <f>INDEX(Lists!$C$4:$C$26,MATCH(Validation!$B$3,Lists!$B$4:$B$26,0))&amp;"_AIM12"</f>
        <v>SWT_AIM12</v>
      </c>
      <c r="C140" s="893" t="s">
        <v>10185</v>
      </c>
      <c r="D140" s="893" t="s">
        <v>11011</v>
      </c>
      <c r="E140" s="893" t="s">
        <v>48</v>
      </c>
      <c r="F140" s="893" t="s">
        <v>11007</v>
      </c>
      <c r="G140" s="1749" t="str">
        <f>IF('3C'!H16="","##BLANK",'3C'!H16)</f>
        <v>##BLANK</v>
      </c>
    </row>
    <row r="141" spans="1:7">
      <c r="A141" s="1745" t="str">
        <f>INDEX(Lists!$C$4:$C$26,MATCH(Validation!$B$3,Lists!$B$4:$B$26,0))</f>
        <v>SWT</v>
      </c>
      <c r="B141" s="893" t="str">
        <f>INDEX(Lists!$C$4:$C$26,MATCH(Validation!$B$3,Lists!$B$4:$B$26,0))&amp;"_AIM13"</f>
        <v>SWT_AIM13</v>
      </c>
      <c r="C141" s="893" t="s">
        <v>10185</v>
      </c>
      <c r="D141" s="893" t="s">
        <v>11011</v>
      </c>
      <c r="E141" s="893" t="s">
        <v>48</v>
      </c>
      <c r="F141" s="893" t="s">
        <v>11007</v>
      </c>
      <c r="G141" s="1749" t="str">
        <f>IF('3C'!H17="","##BLANK",'3C'!H17)</f>
        <v>##BLANK</v>
      </c>
    </row>
    <row r="142" spans="1:7">
      <c r="A142" s="1745" t="str">
        <f>INDEX(Lists!$C$4:$C$26,MATCH(Validation!$B$3,Lists!$B$4:$B$26,0))</f>
        <v>SWT</v>
      </c>
      <c r="B142" s="893" t="str">
        <f>INDEX(Lists!$C$4:$C$26,MATCH(Validation!$B$3,Lists!$B$4:$B$26,0))&amp;"_AIM14"</f>
        <v>SWT_AIM14</v>
      </c>
      <c r="C142" s="893" t="s">
        <v>10185</v>
      </c>
      <c r="D142" s="893" t="s">
        <v>11011</v>
      </c>
      <c r="E142" s="893" t="s">
        <v>48</v>
      </c>
      <c r="F142" s="893" t="s">
        <v>11007</v>
      </c>
      <c r="G142" s="1749" t="str">
        <f>IF('3C'!H18="","##BLANK",'3C'!H18)</f>
        <v>##BLANK</v>
      </c>
    </row>
    <row r="143" spans="1:7">
      <c r="A143" s="1745" t="str">
        <f>INDEX(Lists!$C$4:$C$26,MATCH(Validation!$B$3,Lists!$B$4:$B$26,0))</f>
        <v>SWT</v>
      </c>
      <c r="B143" s="893" t="str">
        <f>INDEX(Lists!$C$4:$C$26,MATCH(Validation!$B$3,Lists!$B$4:$B$26,0))&amp;"_AIM15"</f>
        <v>SWT_AIM15</v>
      </c>
      <c r="C143" s="893" t="s">
        <v>10185</v>
      </c>
      <c r="D143" s="893" t="s">
        <v>11011</v>
      </c>
      <c r="E143" s="893" t="s">
        <v>48</v>
      </c>
      <c r="F143" s="893" t="s">
        <v>11007</v>
      </c>
      <c r="G143" s="1749" t="str">
        <f>IF('3C'!H19="","##BLANK",'3C'!H19)</f>
        <v>##BLANK</v>
      </c>
    </row>
    <row r="144" spans="1:7">
      <c r="A144" s="1745" t="str">
        <f>INDEX(Lists!$C$4:$C$26,MATCH(Validation!$B$3,Lists!$B$4:$B$26,0))</f>
        <v>SWT</v>
      </c>
      <c r="B144" s="893" t="str">
        <f>INDEX(Lists!$C$4:$C$26,MATCH(Validation!$B$3,Lists!$B$4:$B$26,0))&amp;"_AIM16"</f>
        <v>SWT_AIM16</v>
      </c>
      <c r="C144" s="893" t="s">
        <v>10185</v>
      </c>
      <c r="D144" s="893" t="s">
        <v>11011</v>
      </c>
      <c r="E144" s="893" t="s">
        <v>48</v>
      </c>
      <c r="F144" s="893" t="s">
        <v>11007</v>
      </c>
      <c r="G144" s="1749" t="str">
        <f>IF('3C'!H20="","##BLANK",'3C'!H20)</f>
        <v>##BLANK</v>
      </c>
    </row>
    <row r="145" spans="1:7">
      <c r="A145" s="1745" t="str">
        <f>INDEX(Lists!$C$4:$C$26,MATCH(Validation!$B$3,Lists!$B$4:$B$26,0))</f>
        <v>SWT</v>
      </c>
      <c r="B145" s="893" t="str">
        <f>INDEX(Lists!$C$4:$C$26,MATCH(Validation!$B$3,Lists!$B$4:$B$26,0))&amp;"_AIM17"</f>
        <v>SWT_AIM17</v>
      </c>
      <c r="C145" s="893" t="s">
        <v>10185</v>
      </c>
      <c r="D145" s="893" t="s">
        <v>11011</v>
      </c>
      <c r="E145" s="893" t="s">
        <v>48</v>
      </c>
      <c r="F145" s="893" t="s">
        <v>11007</v>
      </c>
      <c r="G145" s="1749" t="str">
        <f>IF('3C'!H21="","##BLANK",'3C'!H21)</f>
        <v>##BLANK</v>
      </c>
    </row>
    <row r="146" spans="1:7">
      <c r="A146" s="1745" t="str">
        <f>INDEX(Lists!$C$4:$C$26,MATCH(Validation!$B$3,Lists!$B$4:$B$26,0))</f>
        <v>SWT</v>
      </c>
      <c r="B146" s="893" t="str">
        <f>INDEX(Lists!$C$4:$C$26,MATCH(Validation!$B$3,Lists!$B$4:$B$26,0))&amp;"_AIM18"</f>
        <v>SWT_AIM18</v>
      </c>
      <c r="C146" s="893" t="s">
        <v>10185</v>
      </c>
      <c r="D146" s="893" t="s">
        <v>11011</v>
      </c>
      <c r="E146" s="893" t="s">
        <v>48</v>
      </c>
      <c r="F146" s="893" t="s">
        <v>11007</v>
      </c>
      <c r="G146" s="1749" t="str">
        <f>IF('3C'!H22="","##BLANK",'3C'!H22)</f>
        <v>##BLANK</v>
      </c>
    </row>
    <row r="147" spans="1:7">
      <c r="A147" s="1745" t="str">
        <f>INDEX(Lists!$C$4:$C$26,MATCH(Validation!$B$3,Lists!$B$4:$B$26,0))</f>
        <v>SWT</v>
      </c>
      <c r="B147" s="893" t="str">
        <f>INDEX(Lists!$C$4:$C$26,MATCH(Validation!$B$3,Lists!$B$4:$B$26,0))&amp;"_AIM19"</f>
        <v>SWT_AIM19</v>
      </c>
      <c r="C147" s="893" t="s">
        <v>10185</v>
      </c>
      <c r="D147" s="893" t="s">
        <v>11011</v>
      </c>
      <c r="E147" s="893" t="s">
        <v>48</v>
      </c>
      <c r="F147" s="893" t="s">
        <v>11007</v>
      </c>
      <c r="G147" s="1749" t="str">
        <f>IF('3C'!H23="","##BLANK",'3C'!H23)</f>
        <v>##BLANK</v>
      </c>
    </row>
    <row r="148" spans="1:7">
      <c r="A148" s="1745" t="str">
        <f>INDEX(Lists!$C$4:$C$26,MATCH(Validation!$B$3,Lists!$B$4:$B$26,0))</f>
        <v>SWT</v>
      </c>
      <c r="B148" s="893" t="str">
        <f>INDEX(Lists!$C$4:$C$26,MATCH(Validation!$B$3,Lists!$B$4:$B$26,0))&amp;"_AIM20"</f>
        <v>SWT_AIM20</v>
      </c>
      <c r="C148" s="893" t="s">
        <v>10185</v>
      </c>
      <c r="D148" s="893" t="s">
        <v>11011</v>
      </c>
      <c r="E148" s="893" t="s">
        <v>48</v>
      </c>
      <c r="F148" s="893" t="s">
        <v>11007</v>
      </c>
      <c r="G148" s="1749" t="str">
        <f>IF('3C'!H24="","##BLANK",'3C'!H24)</f>
        <v>##BLANK</v>
      </c>
    </row>
    <row r="149" spans="1:7">
      <c r="A149" s="1745" t="str">
        <f>INDEX(Lists!$C$4:$C$26,MATCH(Validation!$B$3,Lists!$B$4:$B$26,0))</f>
        <v>SWT</v>
      </c>
      <c r="B149" s="893" t="str">
        <f>INDEX(Lists!$C$4:$C$26,MATCH(Validation!$B$3,Lists!$B$4:$B$26,0))&amp;"_AIM21"</f>
        <v>SWT_AIM21</v>
      </c>
      <c r="C149" s="893" t="s">
        <v>10185</v>
      </c>
      <c r="D149" s="893" t="s">
        <v>11011</v>
      </c>
      <c r="E149" s="893" t="s">
        <v>48</v>
      </c>
      <c r="F149" s="893" t="s">
        <v>11007</v>
      </c>
      <c r="G149" s="1749" t="str">
        <f>IF('3C'!H25="","##BLANK",'3C'!H25)</f>
        <v>##BLANK</v>
      </c>
    </row>
    <row r="150" spans="1:7">
      <c r="A150" s="1745" t="str">
        <f>INDEX(Lists!$C$4:$C$26,MATCH(Validation!$B$3,Lists!$B$4:$B$26,0))</f>
        <v>SWT</v>
      </c>
      <c r="B150" s="893" t="str">
        <f>INDEX(Lists!$C$4:$C$26,MATCH(Validation!$B$3,Lists!$B$4:$B$26,0))&amp;"_AIM22"</f>
        <v>SWT_AIM22</v>
      </c>
      <c r="C150" s="893" t="s">
        <v>10185</v>
      </c>
      <c r="D150" s="893" t="s">
        <v>11011</v>
      </c>
      <c r="E150" s="893" t="s">
        <v>48</v>
      </c>
      <c r="F150" s="893" t="s">
        <v>11007</v>
      </c>
      <c r="G150" s="1749" t="str">
        <f>IF('3C'!H26="","##BLANK",'3C'!H26)</f>
        <v>##BLANK</v>
      </c>
    </row>
    <row r="151" spans="1:7">
      <c r="A151" s="1745" t="str">
        <f>INDEX(Lists!$C$4:$C$26,MATCH(Validation!$B$3,Lists!$B$4:$B$26,0))</f>
        <v>SWT</v>
      </c>
      <c r="B151" s="893" t="str">
        <f>INDEX(Lists!$C$4:$C$26,MATCH(Validation!$B$3,Lists!$B$4:$B$26,0))&amp;"_AIM23"</f>
        <v>SWT_AIM23</v>
      </c>
      <c r="C151" s="893" t="s">
        <v>10185</v>
      </c>
      <c r="D151" s="893" t="s">
        <v>11011</v>
      </c>
      <c r="E151" s="893" t="s">
        <v>48</v>
      </c>
      <c r="F151" s="893" t="s">
        <v>11007</v>
      </c>
      <c r="G151" s="1749" t="str">
        <f>IF('3C'!H27="","##BLANK",'3C'!H27)</f>
        <v>##BLANK</v>
      </c>
    </row>
    <row r="152" spans="1:7">
      <c r="A152" s="1745" t="str">
        <f>INDEX(Lists!$C$4:$C$26,MATCH(Validation!$B$3,Lists!$B$4:$B$26,0))</f>
        <v>SWT</v>
      </c>
      <c r="B152" s="893" t="str">
        <f>INDEX(Lists!$C$4:$C$26,MATCH(Validation!$B$3,Lists!$B$4:$B$26,0))&amp;"_AIM24"</f>
        <v>SWT_AIM24</v>
      </c>
      <c r="C152" s="893" t="s">
        <v>10185</v>
      </c>
      <c r="D152" s="893" t="s">
        <v>11011</v>
      </c>
      <c r="E152" s="893" t="s">
        <v>48</v>
      </c>
      <c r="F152" s="893" t="s">
        <v>11007</v>
      </c>
      <c r="G152" s="1749" t="str">
        <f>IF('3C'!H28="","##BLANK",'3C'!H28)</f>
        <v>##BLANK</v>
      </c>
    </row>
    <row r="153" spans="1:7" ht="15" thickBot="1">
      <c r="A153" s="1746" t="str">
        <f>INDEX(Lists!$C$4:$C$26,MATCH(Validation!$B$3,Lists!$B$4:$B$26,0))</f>
        <v>SWT</v>
      </c>
      <c r="B153" s="1747" t="str">
        <f>INDEX(Lists!$C$4:$C$26,MATCH(Validation!$B$3,Lists!$B$4:$B$26,0))&amp;"_AIM25"</f>
        <v>SWT_AIM25</v>
      </c>
      <c r="C153" s="1747" t="s">
        <v>10185</v>
      </c>
      <c r="D153" s="1747" t="s">
        <v>11011</v>
      </c>
      <c r="E153" s="1747" t="s">
        <v>48</v>
      </c>
      <c r="F153" s="1747" t="s">
        <v>11007</v>
      </c>
      <c r="G153" s="1751" t="str">
        <f>IF('3C'!H29="","##BLANK",'3C'!H29)</f>
        <v>##BLANK</v>
      </c>
    </row>
    <row r="154" spans="1:7">
      <c r="A154" s="1743" t="str">
        <f>INDEX(Lists!$C$4:$C$26,MATCH(Validation!$B$3,Lists!$B$4:$B$26,0))</f>
        <v>SWT</v>
      </c>
      <c r="B154" s="1744" t="str">
        <f>INDEX(Lists!$C$4:$C$26,MATCH(Validation!$B$3,Lists!$B$4:$B$26,0))&amp;"_AIM01"</f>
        <v>SWT_AIM01</v>
      </c>
      <c r="C154" s="1744" t="s">
        <v>10186</v>
      </c>
      <c r="D154" s="1744" t="s">
        <v>3595</v>
      </c>
      <c r="E154" s="1744" t="s">
        <v>4043</v>
      </c>
      <c r="F154" s="1744" t="s">
        <v>11007</v>
      </c>
      <c r="G154" s="1750" t="str">
        <f>IF('3C'!I5="","##BLANK",'3C'!I5)</f>
        <v>##BLANK</v>
      </c>
    </row>
    <row r="155" spans="1:7">
      <c r="A155" s="1745" t="str">
        <f>INDEX(Lists!$C$4:$C$26,MATCH(Validation!$B$3,Lists!$B$4:$B$26,0))</f>
        <v>SWT</v>
      </c>
      <c r="B155" s="893" t="str">
        <f>INDEX(Lists!$C$4:$C$26,MATCH(Validation!$B$3,Lists!$B$4:$B$26,0))&amp;"_AIM02"</f>
        <v>SWT_AIM02</v>
      </c>
      <c r="C155" s="893" t="s">
        <v>10186</v>
      </c>
      <c r="D155" s="893" t="s">
        <v>3595</v>
      </c>
      <c r="E155" s="893" t="s">
        <v>4043</v>
      </c>
      <c r="F155" s="893" t="s">
        <v>11007</v>
      </c>
      <c r="G155" s="1749" t="str">
        <f>IF('3C'!I6="","##BLANK",'3C'!I6)</f>
        <v>##BLANK</v>
      </c>
    </row>
    <row r="156" spans="1:7">
      <c r="A156" s="1745" t="str">
        <f>INDEX(Lists!$C$4:$C$26,MATCH(Validation!$B$3,Lists!$B$4:$B$26,0))</f>
        <v>SWT</v>
      </c>
      <c r="B156" s="893" t="str">
        <f>INDEX(Lists!$C$4:$C$26,MATCH(Validation!$B$3,Lists!$B$4:$B$26,0))&amp;"_AIM03"</f>
        <v>SWT_AIM03</v>
      </c>
      <c r="C156" s="893" t="s">
        <v>10186</v>
      </c>
      <c r="D156" s="893" t="s">
        <v>3595</v>
      </c>
      <c r="E156" s="893" t="s">
        <v>4043</v>
      </c>
      <c r="F156" s="893" t="s">
        <v>11007</v>
      </c>
      <c r="G156" s="1749" t="str">
        <f>IF('3C'!I7="","##BLANK",'3C'!I7)</f>
        <v>##BLANK</v>
      </c>
    </row>
    <row r="157" spans="1:7">
      <c r="A157" s="1745" t="str">
        <f>INDEX(Lists!$C$4:$C$26,MATCH(Validation!$B$3,Lists!$B$4:$B$26,0))</f>
        <v>SWT</v>
      </c>
      <c r="B157" s="893" t="str">
        <f>INDEX(Lists!$C$4:$C$26,MATCH(Validation!$B$3,Lists!$B$4:$B$26,0))&amp;"_AIM04"</f>
        <v>SWT_AIM04</v>
      </c>
      <c r="C157" s="893" t="s">
        <v>10186</v>
      </c>
      <c r="D157" s="893" t="s">
        <v>3595</v>
      </c>
      <c r="E157" s="893" t="s">
        <v>4043</v>
      </c>
      <c r="F157" s="893" t="s">
        <v>11007</v>
      </c>
      <c r="G157" s="1749" t="str">
        <f>IF('3C'!I8="","##BLANK",'3C'!I8)</f>
        <v>##BLANK</v>
      </c>
    </row>
    <row r="158" spans="1:7">
      <c r="A158" s="1745" t="str">
        <f>INDEX(Lists!$C$4:$C$26,MATCH(Validation!$B$3,Lists!$B$4:$B$26,0))</f>
        <v>SWT</v>
      </c>
      <c r="B158" s="893" t="str">
        <f>INDEX(Lists!$C$4:$C$26,MATCH(Validation!$B$3,Lists!$B$4:$B$26,0))&amp;"_AIM05"</f>
        <v>SWT_AIM05</v>
      </c>
      <c r="C158" s="893" t="s">
        <v>10186</v>
      </c>
      <c r="D158" s="893" t="s">
        <v>3595</v>
      </c>
      <c r="E158" s="893" t="s">
        <v>4043</v>
      </c>
      <c r="F158" s="893" t="s">
        <v>11007</v>
      </c>
      <c r="G158" s="1749" t="str">
        <f>IF('3C'!I9="","##BLANK",'3C'!I9)</f>
        <v>##BLANK</v>
      </c>
    </row>
    <row r="159" spans="1:7">
      <c r="A159" s="1745" t="str">
        <f>INDEX(Lists!$C$4:$C$26,MATCH(Validation!$B$3,Lists!$B$4:$B$26,0))</f>
        <v>SWT</v>
      </c>
      <c r="B159" s="893" t="str">
        <f>INDEX(Lists!$C$4:$C$26,MATCH(Validation!$B$3,Lists!$B$4:$B$26,0))&amp;"_AIM06"</f>
        <v>SWT_AIM06</v>
      </c>
      <c r="C159" s="893" t="s">
        <v>10186</v>
      </c>
      <c r="D159" s="893" t="s">
        <v>3595</v>
      </c>
      <c r="E159" s="893" t="s">
        <v>4043</v>
      </c>
      <c r="F159" s="893" t="s">
        <v>11007</v>
      </c>
      <c r="G159" s="1749" t="str">
        <f>IF('3C'!I10="","##BLANK",'3C'!I10)</f>
        <v>##BLANK</v>
      </c>
    </row>
    <row r="160" spans="1:7">
      <c r="A160" s="1745" t="str">
        <f>INDEX(Lists!$C$4:$C$26,MATCH(Validation!$B$3,Lists!$B$4:$B$26,0))</f>
        <v>SWT</v>
      </c>
      <c r="B160" s="893" t="str">
        <f>INDEX(Lists!$C$4:$C$26,MATCH(Validation!$B$3,Lists!$B$4:$B$26,0))&amp;"_AIM07"</f>
        <v>SWT_AIM07</v>
      </c>
      <c r="C160" s="893" t="s">
        <v>10186</v>
      </c>
      <c r="D160" s="893" t="s">
        <v>3595</v>
      </c>
      <c r="E160" s="893" t="s">
        <v>4043</v>
      </c>
      <c r="F160" s="893" t="s">
        <v>11007</v>
      </c>
      <c r="G160" s="1749" t="str">
        <f>IF('3C'!I11="","##BLANK",'3C'!I11)</f>
        <v>##BLANK</v>
      </c>
    </row>
    <row r="161" spans="1:7">
      <c r="A161" s="1745" t="str">
        <f>INDEX(Lists!$C$4:$C$26,MATCH(Validation!$B$3,Lists!$B$4:$B$26,0))</f>
        <v>SWT</v>
      </c>
      <c r="B161" s="893" t="str">
        <f>INDEX(Lists!$C$4:$C$26,MATCH(Validation!$B$3,Lists!$B$4:$B$26,0))&amp;"_AIM08"</f>
        <v>SWT_AIM08</v>
      </c>
      <c r="C161" s="893" t="s">
        <v>10186</v>
      </c>
      <c r="D161" s="893" t="s">
        <v>3595</v>
      </c>
      <c r="E161" s="893" t="s">
        <v>4043</v>
      </c>
      <c r="F161" s="893" t="s">
        <v>11007</v>
      </c>
      <c r="G161" s="1749" t="str">
        <f>IF('3C'!I12="","##BLANK",'3C'!I12)</f>
        <v>##BLANK</v>
      </c>
    </row>
    <row r="162" spans="1:7">
      <c r="A162" s="1745" t="str">
        <f>INDEX(Lists!$C$4:$C$26,MATCH(Validation!$B$3,Lists!$B$4:$B$26,0))</f>
        <v>SWT</v>
      </c>
      <c r="B162" s="893" t="str">
        <f>INDEX(Lists!$C$4:$C$26,MATCH(Validation!$B$3,Lists!$B$4:$B$26,0))&amp;"_AIM09"</f>
        <v>SWT_AIM09</v>
      </c>
      <c r="C162" s="893" t="s">
        <v>10186</v>
      </c>
      <c r="D162" s="893" t="s">
        <v>3595</v>
      </c>
      <c r="E162" s="893" t="s">
        <v>4043</v>
      </c>
      <c r="F162" s="893" t="s">
        <v>11007</v>
      </c>
      <c r="G162" s="1749" t="str">
        <f>IF('3C'!I13="","##BLANK",'3C'!I13)</f>
        <v>##BLANK</v>
      </c>
    </row>
    <row r="163" spans="1:7">
      <c r="A163" s="1745" t="str">
        <f>INDEX(Lists!$C$4:$C$26,MATCH(Validation!$B$3,Lists!$B$4:$B$26,0))</f>
        <v>SWT</v>
      </c>
      <c r="B163" s="893" t="str">
        <f>INDEX(Lists!$C$4:$C$26,MATCH(Validation!$B$3,Lists!$B$4:$B$26,0))&amp;"_AIM10"</f>
        <v>SWT_AIM10</v>
      </c>
      <c r="C163" s="893" t="s">
        <v>10186</v>
      </c>
      <c r="D163" s="893" t="s">
        <v>3595</v>
      </c>
      <c r="E163" s="893" t="s">
        <v>4043</v>
      </c>
      <c r="F163" s="893" t="s">
        <v>11007</v>
      </c>
      <c r="G163" s="1749" t="str">
        <f>IF('3C'!I14="","##BLANK",'3C'!I14)</f>
        <v>##BLANK</v>
      </c>
    </row>
    <row r="164" spans="1:7">
      <c r="A164" s="1745" t="str">
        <f>INDEX(Lists!$C$4:$C$26,MATCH(Validation!$B$3,Lists!$B$4:$B$26,0))</f>
        <v>SWT</v>
      </c>
      <c r="B164" s="893" t="str">
        <f>INDEX(Lists!$C$4:$C$26,MATCH(Validation!$B$3,Lists!$B$4:$B$26,0))&amp;"_AIM11"</f>
        <v>SWT_AIM11</v>
      </c>
      <c r="C164" s="893" t="s">
        <v>10186</v>
      </c>
      <c r="D164" s="893" t="s">
        <v>3595</v>
      </c>
      <c r="E164" s="893" t="s">
        <v>4043</v>
      </c>
      <c r="F164" s="893" t="s">
        <v>11007</v>
      </c>
      <c r="G164" s="1749" t="str">
        <f>IF('3C'!I15="","##BLANK",'3C'!I15)</f>
        <v>##BLANK</v>
      </c>
    </row>
    <row r="165" spans="1:7">
      <c r="A165" s="1745" t="str">
        <f>INDEX(Lists!$C$4:$C$26,MATCH(Validation!$B$3,Lists!$B$4:$B$26,0))</f>
        <v>SWT</v>
      </c>
      <c r="B165" s="893" t="str">
        <f>INDEX(Lists!$C$4:$C$26,MATCH(Validation!$B$3,Lists!$B$4:$B$26,0))&amp;"_AIM12"</f>
        <v>SWT_AIM12</v>
      </c>
      <c r="C165" s="893" t="s">
        <v>10186</v>
      </c>
      <c r="D165" s="893" t="s">
        <v>3595</v>
      </c>
      <c r="E165" s="893" t="s">
        <v>4043</v>
      </c>
      <c r="F165" s="893" t="s">
        <v>11007</v>
      </c>
      <c r="G165" s="1749" t="str">
        <f>IF('3C'!I16="","##BLANK",'3C'!I16)</f>
        <v>##BLANK</v>
      </c>
    </row>
    <row r="166" spans="1:7">
      <c r="A166" s="1745" t="str">
        <f>INDEX(Lists!$C$4:$C$26,MATCH(Validation!$B$3,Lists!$B$4:$B$26,0))</f>
        <v>SWT</v>
      </c>
      <c r="B166" s="893" t="str">
        <f>INDEX(Lists!$C$4:$C$26,MATCH(Validation!$B$3,Lists!$B$4:$B$26,0))&amp;"_AIM13"</f>
        <v>SWT_AIM13</v>
      </c>
      <c r="C166" s="893" t="s">
        <v>10186</v>
      </c>
      <c r="D166" s="893" t="s">
        <v>3595</v>
      </c>
      <c r="E166" s="893" t="s">
        <v>4043</v>
      </c>
      <c r="F166" s="893" t="s">
        <v>11007</v>
      </c>
      <c r="G166" s="1749" t="str">
        <f>IF('3C'!I17="","##BLANK",'3C'!I17)</f>
        <v>##BLANK</v>
      </c>
    </row>
    <row r="167" spans="1:7">
      <c r="A167" s="1745" t="str">
        <f>INDEX(Lists!$C$4:$C$26,MATCH(Validation!$B$3,Lists!$B$4:$B$26,0))</f>
        <v>SWT</v>
      </c>
      <c r="B167" s="893" t="str">
        <f>INDEX(Lists!$C$4:$C$26,MATCH(Validation!$B$3,Lists!$B$4:$B$26,0))&amp;"_AIM14"</f>
        <v>SWT_AIM14</v>
      </c>
      <c r="C167" s="893" t="s">
        <v>10186</v>
      </c>
      <c r="D167" s="893" t="s">
        <v>3595</v>
      </c>
      <c r="E167" s="893" t="s">
        <v>4043</v>
      </c>
      <c r="F167" s="893" t="s">
        <v>11007</v>
      </c>
      <c r="G167" s="1749" t="str">
        <f>IF('3C'!I18="","##BLANK",'3C'!I18)</f>
        <v>##BLANK</v>
      </c>
    </row>
    <row r="168" spans="1:7">
      <c r="A168" s="1745" t="str">
        <f>INDEX(Lists!$C$4:$C$26,MATCH(Validation!$B$3,Lists!$B$4:$B$26,0))</f>
        <v>SWT</v>
      </c>
      <c r="B168" s="893" t="str">
        <f>INDEX(Lists!$C$4:$C$26,MATCH(Validation!$B$3,Lists!$B$4:$B$26,0))&amp;"_AIM15"</f>
        <v>SWT_AIM15</v>
      </c>
      <c r="C168" s="893" t="s">
        <v>10186</v>
      </c>
      <c r="D168" s="893" t="s">
        <v>3595</v>
      </c>
      <c r="E168" s="893" t="s">
        <v>4043</v>
      </c>
      <c r="F168" s="893" t="s">
        <v>11007</v>
      </c>
      <c r="G168" s="1749" t="str">
        <f>IF('3C'!I19="","##BLANK",'3C'!I19)</f>
        <v>##BLANK</v>
      </c>
    </row>
    <row r="169" spans="1:7">
      <c r="A169" s="1745" t="str">
        <f>INDEX(Lists!$C$4:$C$26,MATCH(Validation!$B$3,Lists!$B$4:$B$26,0))</f>
        <v>SWT</v>
      </c>
      <c r="B169" s="893" t="str">
        <f>INDEX(Lists!$C$4:$C$26,MATCH(Validation!$B$3,Lists!$B$4:$B$26,0))&amp;"_AIM16"</f>
        <v>SWT_AIM16</v>
      </c>
      <c r="C169" s="893" t="s">
        <v>10186</v>
      </c>
      <c r="D169" s="893" t="s">
        <v>3595</v>
      </c>
      <c r="E169" s="893" t="s">
        <v>4043</v>
      </c>
      <c r="F169" s="893" t="s">
        <v>11007</v>
      </c>
      <c r="G169" s="1749" t="str">
        <f>IF('3C'!I20="","##BLANK",'3C'!I20)</f>
        <v>##BLANK</v>
      </c>
    </row>
    <row r="170" spans="1:7">
      <c r="A170" s="1745" t="str">
        <f>INDEX(Lists!$C$4:$C$26,MATCH(Validation!$B$3,Lists!$B$4:$B$26,0))</f>
        <v>SWT</v>
      </c>
      <c r="B170" s="893" t="str">
        <f>INDEX(Lists!$C$4:$C$26,MATCH(Validation!$B$3,Lists!$B$4:$B$26,0))&amp;"_AIM17"</f>
        <v>SWT_AIM17</v>
      </c>
      <c r="C170" s="893" t="s">
        <v>10186</v>
      </c>
      <c r="D170" s="893" t="s">
        <v>3595</v>
      </c>
      <c r="E170" s="893" t="s">
        <v>4043</v>
      </c>
      <c r="F170" s="893" t="s">
        <v>11007</v>
      </c>
      <c r="G170" s="1749" t="str">
        <f>IF('3C'!I21="","##BLANK",'3C'!I21)</f>
        <v>##BLANK</v>
      </c>
    </row>
    <row r="171" spans="1:7">
      <c r="A171" s="1745" t="str">
        <f>INDEX(Lists!$C$4:$C$26,MATCH(Validation!$B$3,Lists!$B$4:$B$26,0))</f>
        <v>SWT</v>
      </c>
      <c r="B171" s="893" t="str">
        <f>INDEX(Lists!$C$4:$C$26,MATCH(Validation!$B$3,Lists!$B$4:$B$26,0))&amp;"_AIM18"</f>
        <v>SWT_AIM18</v>
      </c>
      <c r="C171" s="893" t="s">
        <v>10186</v>
      </c>
      <c r="D171" s="893" t="s">
        <v>3595</v>
      </c>
      <c r="E171" s="893" t="s">
        <v>4043</v>
      </c>
      <c r="F171" s="893" t="s">
        <v>11007</v>
      </c>
      <c r="G171" s="1749" t="str">
        <f>IF('3C'!I22="","##BLANK",'3C'!I22)</f>
        <v>##BLANK</v>
      </c>
    </row>
    <row r="172" spans="1:7">
      <c r="A172" s="1745" t="str">
        <f>INDEX(Lists!$C$4:$C$26,MATCH(Validation!$B$3,Lists!$B$4:$B$26,0))</f>
        <v>SWT</v>
      </c>
      <c r="B172" s="893" t="str">
        <f>INDEX(Lists!$C$4:$C$26,MATCH(Validation!$B$3,Lists!$B$4:$B$26,0))&amp;"_AIM19"</f>
        <v>SWT_AIM19</v>
      </c>
      <c r="C172" s="893" t="s">
        <v>10186</v>
      </c>
      <c r="D172" s="893" t="s">
        <v>3595</v>
      </c>
      <c r="E172" s="893" t="s">
        <v>4043</v>
      </c>
      <c r="F172" s="893" t="s">
        <v>11007</v>
      </c>
      <c r="G172" s="1749" t="str">
        <f>IF('3C'!I23="","##BLANK",'3C'!I23)</f>
        <v>##BLANK</v>
      </c>
    </row>
    <row r="173" spans="1:7">
      <c r="A173" s="1745" t="str">
        <f>INDEX(Lists!$C$4:$C$26,MATCH(Validation!$B$3,Lists!$B$4:$B$26,0))</f>
        <v>SWT</v>
      </c>
      <c r="B173" s="893" t="str">
        <f>INDEX(Lists!$C$4:$C$26,MATCH(Validation!$B$3,Lists!$B$4:$B$26,0))&amp;"_AIM20"</f>
        <v>SWT_AIM20</v>
      </c>
      <c r="C173" s="893" t="s">
        <v>10186</v>
      </c>
      <c r="D173" s="893" t="s">
        <v>3595</v>
      </c>
      <c r="E173" s="893" t="s">
        <v>4043</v>
      </c>
      <c r="F173" s="893" t="s">
        <v>11007</v>
      </c>
      <c r="G173" s="1749" t="str">
        <f>IF('3C'!I24="","##BLANK",'3C'!I24)</f>
        <v>##BLANK</v>
      </c>
    </row>
    <row r="174" spans="1:7">
      <c r="A174" s="1745" t="str">
        <f>INDEX(Lists!$C$4:$C$26,MATCH(Validation!$B$3,Lists!$B$4:$B$26,0))</f>
        <v>SWT</v>
      </c>
      <c r="B174" s="893" t="str">
        <f>INDEX(Lists!$C$4:$C$26,MATCH(Validation!$B$3,Lists!$B$4:$B$26,0))&amp;"_AIM21"</f>
        <v>SWT_AIM21</v>
      </c>
      <c r="C174" s="893" t="s">
        <v>10186</v>
      </c>
      <c r="D174" s="893" t="s">
        <v>3595</v>
      </c>
      <c r="E174" s="893" t="s">
        <v>4043</v>
      </c>
      <c r="F174" s="893" t="s">
        <v>11007</v>
      </c>
      <c r="G174" s="1749" t="str">
        <f>IF('3C'!I25="","##BLANK",'3C'!I25)</f>
        <v>##BLANK</v>
      </c>
    </row>
    <row r="175" spans="1:7">
      <c r="A175" s="1745" t="str">
        <f>INDEX(Lists!$C$4:$C$26,MATCH(Validation!$B$3,Lists!$B$4:$B$26,0))</f>
        <v>SWT</v>
      </c>
      <c r="B175" s="893" t="str">
        <f>INDEX(Lists!$C$4:$C$26,MATCH(Validation!$B$3,Lists!$B$4:$B$26,0))&amp;"_AIM22"</f>
        <v>SWT_AIM22</v>
      </c>
      <c r="C175" s="893" t="s">
        <v>10186</v>
      </c>
      <c r="D175" s="893" t="s">
        <v>3595</v>
      </c>
      <c r="E175" s="893" t="s">
        <v>4043</v>
      </c>
      <c r="F175" s="893" t="s">
        <v>11007</v>
      </c>
      <c r="G175" s="1749" t="str">
        <f>IF('3C'!I26="","##BLANK",'3C'!I26)</f>
        <v>##BLANK</v>
      </c>
    </row>
    <row r="176" spans="1:7">
      <c r="A176" s="1745" t="str">
        <f>INDEX(Lists!$C$4:$C$26,MATCH(Validation!$B$3,Lists!$B$4:$B$26,0))</f>
        <v>SWT</v>
      </c>
      <c r="B176" s="893" t="str">
        <f>INDEX(Lists!$C$4:$C$26,MATCH(Validation!$B$3,Lists!$B$4:$B$26,0))&amp;"_AIM23"</f>
        <v>SWT_AIM23</v>
      </c>
      <c r="C176" s="893" t="s">
        <v>10186</v>
      </c>
      <c r="D176" s="893" t="s">
        <v>3595</v>
      </c>
      <c r="E176" s="893" t="s">
        <v>4043</v>
      </c>
      <c r="F176" s="893" t="s">
        <v>11007</v>
      </c>
      <c r="G176" s="1749" t="str">
        <f>IF('3C'!I27="","##BLANK",'3C'!I27)</f>
        <v>##BLANK</v>
      </c>
    </row>
    <row r="177" spans="1:7">
      <c r="A177" s="1745" t="str">
        <f>INDEX(Lists!$C$4:$C$26,MATCH(Validation!$B$3,Lists!$B$4:$B$26,0))</f>
        <v>SWT</v>
      </c>
      <c r="B177" s="893" t="str">
        <f>INDEX(Lists!$C$4:$C$26,MATCH(Validation!$B$3,Lists!$B$4:$B$26,0))&amp;"_AIM24"</f>
        <v>SWT_AIM24</v>
      </c>
      <c r="C177" s="893" t="s">
        <v>10186</v>
      </c>
      <c r="D177" s="893" t="s">
        <v>3595</v>
      </c>
      <c r="E177" s="893" t="s">
        <v>4043</v>
      </c>
      <c r="F177" s="893" t="s">
        <v>11007</v>
      </c>
      <c r="G177" s="1749" t="str">
        <f>IF('3C'!I28="","##BLANK",'3C'!I28)</f>
        <v>##BLANK</v>
      </c>
    </row>
    <row r="178" spans="1:7" ht="15" thickBot="1">
      <c r="A178" s="1746" t="str">
        <f>INDEX(Lists!$C$4:$C$26,MATCH(Validation!$B$3,Lists!$B$4:$B$26,0))</f>
        <v>SWT</v>
      </c>
      <c r="B178" s="1747" t="str">
        <f>INDEX(Lists!$C$4:$C$26,MATCH(Validation!$B$3,Lists!$B$4:$B$26,0))&amp;"_AIM25"</f>
        <v>SWT_AIM25</v>
      </c>
      <c r="C178" s="1747" t="s">
        <v>10186</v>
      </c>
      <c r="D178" s="1747" t="s">
        <v>3595</v>
      </c>
      <c r="E178" s="1747" t="s">
        <v>4043</v>
      </c>
      <c r="F178" s="1747" t="s">
        <v>11007</v>
      </c>
      <c r="G178" s="1751" t="str">
        <f>IF('3C'!I29="","##BLANK",'3C'!I29)</f>
        <v>##BLANK</v>
      </c>
    </row>
  </sheetData>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7.xml><?xml version="1.0" encoding="utf-8"?>
<worksheet xmlns="http://schemas.openxmlformats.org/spreadsheetml/2006/main" xmlns:r="http://schemas.openxmlformats.org/officeDocument/2006/relationships">
  <sheetPr codeName="Sheet64">
    <pageSetUpPr fitToPage="1"/>
  </sheetPr>
  <dimension ref="A1:M5461"/>
  <sheetViews>
    <sheetView workbookViewId="0"/>
  </sheetViews>
  <sheetFormatPr defaultRowHeight="14.25"/>
  <cols>
    <col min="1" max="1" width="7.75" bestFit="1" customWidth="1"/>
    <col min="2" max="2" width="19.25" style="893" bestFit="1" customWidth="1"/>
    <col min="3" max="3" width="13.5" style="1382" customWidth="1"/>
    <col min="4" max="4" width="4.125" customWidth="1"/>
    <col min="5" max="5" width="16.75" customWidth="1"/>
    <col min="6" max="6" width="14.875" bestFit="1" customWidth="1"/>
    <col min="7" max="7" width="15.25" style="893" customWidth="1"/>
    <col min="8" max="8" width="8.875" bestFit="1" customWidth="1"/>
  </cols>
  <sheetData>
    <row r="1" spans="1:7" s="1754" customFormat="1">
      <c r="B1" s="1753"/>
      <c r="C1" s="2341" t="s">
        <v>13154</v>
      </c>
      <c r="G1" s="1753"/>
    </row>
    <row r="2" spans="1:7" s="1754" customFormat="1" ht="28.5">
      <c r="A2" s="1754" t="s">
        <v>2862</v>
      </c>
      <c r="B2" s="1753" t="s">
        <v>11004</v>
      </c>
      <c r="C2" s="2323" t="s">
        <v>4077</v>
      </c>
      <c r="D2" s="1754" t="s">
        <v>3346</v>
      </c>
      <c r="E2" s="1754" t="s">
        <v>11005</v>
      </c>
      <c r="F2" s="1754" t="s">
        <v>11013</v>
      </c>
      <c r="G2" s="1753" t="s">
        <v>32</v>
      </c>
    </row>
    <row r="3" spans="1:7" s="1754" customFormat="1" ht="15" thickBot="1">
      <c r="B3" s="1753"/>
      <c r="C3" s="2323"/>
      <c r="G3" s="1753"/>
    </row>
    <row r="4" spans="1:7">
      <c r="B4" s="1759" t="str">
        <f>'1A'!AF6</f>
        <v>BO1180STAT</v>
      </c>
      <c r="E4" s="1760" t="s">
        <v>11007</v>
      </c>
      <c r="G4" t="str">
        <f>IF('1A'!G6="","##BLANK",'1A'!G6)</f>
        <v>##BLANK</v>
      </c>
    </row>
    <row r="5" spans="1:7">
      <c r="B5" s="1752" t="str">
        <f>'1A'!AF7</f>
        <v>BO2560STAT</v>
      </c>
      <c r="E5" s="1753" t="s">
        <v>11007</v>
      </c>
      <c r="G5" t="str">
        <f>IF('1A'!G7="","##BLANK",'1A'!G7)</f>
        <v>##BLANK</v>
      </c>
    </row>
    <row r="6" spans="1:7">
      <c r="B6" s="1752" t="str">
        <f>'1A'!AF8</f>
        <v>BO1980STAT</v>
      </c>
      <c r="E6" s="1753" t="s">
        <v>11007</v>
      </c>
      <c r="G6" t="str">
        <f>IF('1A'!G8="","##BLANK",'1A'!G8)</f>
        <v>##BLANK</v>
      </c>
    </row>
    <row r="7" spans="1:7">
      <c r="B7" s="1752" t="str">
        <f>'1A'!AF9</f>
        <v>BO2060STAT</v>
      </c>
      <c r="E7" s="1753" t="s">
        <v>11007</v>
      </c>
      <c r="G7">
        <f>IF('1A'!G9="","##BLANK",'1A'!G9)</f>
        <v>0</v>
      </c>
    </row>
    <row r="8" spans="1:7">
      <c r="B8" s="1752" t="str">
        <f>'1A'!AF11</f>
        <v>BO3301STAT</v>
      </c>
      <c r="E8" s="1753" t="s">
        <v>11007</v>
      </c>
      <c r="G8" t="str">
        <f>IF('1A'!G11="","##BLANK",'1A'!G11)</f>
        <v>##BLANK</v>
      </c>
    </row>
    <row r="9" spans="1:7">
      <c r="B9" s="1752" t="str">
        <f>'1A'!AF12</f>
        <v>A10008STAT</v>
      </c>
      <c r="E9" s="1753" t="s">
        <v>11007</v>
      </c>
      <c r="G9" t="str">
        <f>IF('1A'!G12="","##BLANK",'1A'!G12)</f>
        <v>##BLANK</v>
      </c>
    </row>
    <row r="10" spans="1:7">
      <c r="B10" s="1752" t="str">
        <f>'1A'!AF13</f>
        <v>A10009STAT</v>
      </c>
      <c r="E10" s="1753" t="s">
        <v>11007</v>
      </c>
      <c r="G10" t="str">
        <f>IF('1A'!G13="","##BLANK",'1A'!G13)</f>
        <v>##BLANK</v>
      </c>
    </row>
    <row r="11" spans="1:7">
      <c r="B11" s="1752" t="str">
        <f>'1A'!AF14</f>
        <v>FT01641STAT</v>
      </c>
      <c r="E11" s="1753" t="s">
        <v>11007</v>
      </c>
      <c r="G11" t="str">
        <f>IF('1A'!G14="","##BLANK",'1A'!G14)</f>
        <v>##BLANK</v>
      </c>
    </row>
    <row r="12" spans="1:7">
      <c r="B12" s="1752" t="str">
        <f>'1A'!AF15</f>
        <v>A10011STAT</v>
      </c>
      <c r="E12" s="1753" t="s">
        <v>11007</v>
      </c>
      <c r="G12">
        <f>IF('1A'!G15="","##BLANK",'1A'!G15)</f>
        <v>0</v>
      </c>
    </row>
    <row r="13" spans="1:7">
      <c r="B13" s="1752" t="str">
        <f>'1A'!AF17</f>
        <v>A10012STAT</v>
      </c>
      <c r="E13" s="1753" t="s">
        <v>11007</v>
      </c>
      <c r="G13" t="str">
        <f>IF('1A'!G17="","##BLANK",'1A'!G17)</f>
        <v>##BLANK</v>
      </c>
    </row>
    <row r="14" spans="1:7">
      <c r="B14" s="1752" t="str">
        <f>'1A'!AF18</f>
        <v>BO3305STAT</v>
      </c>
      <c r="E14" s="1753" t="s">
        <v>11007</v>
      </c>
      <c r="G14">
        <f>IF('1A'!G18="","##BLANK",'1A'!G18)</f>
        <v>0</v>
      </c>
    </row>
    <row r="15" spans="1:7">
      <c r="B15" s="1752" t="str">
        <f>'1A'!AF20</f>
        <v>BO3351STAT</v>
      </c>
      <c r="E15" s="1753" t="s">
        <v>11007</v>
      </c>
      <c r="G15">
        <f>IF('1A'!G20="","##BLANK",'1A'!G20)</f>
        <v>0</v>
      </c>
    </row>
    <row r="16" spans="1:7">
      <c r="B16" s="1752" t="str">
        <f>'1A'!AF21</f>
        <v>BO3352STAT</v>
      </c>
      <c r="E16" s="1753" t="s">
        <v>11007</v>
      </c>
      <c r="G16" t="str">
        <f>IF('1A'!G21="","##BLANK",'1A'!G21)</f>
        <v>##BLANK</v>
      </c>
    </row>
    <row r="17" spans="2:7">
      <c r="B17" s="1752" t="str">
        <f>'1A'!AF22</f>
        <v>BO2530STAT</v>
      </c>
      <c r="E17" s="1753" t="s">
        <v>11007</v>
      </c>
      <c r="G17">
        <f>IF('1A'!G22="","##BLANK",'1A'!G22)</f>
        <v>0</v>
      </c>
    </row>
    <row r="18" spans="2:7">
      <c r="B18" s="1752" t="str">
        <f>'1A'!AF24</f>
        <v>BO3402STAT</v>
      </c>
      <c r="E18" s="1753" t="s">
        <v>11007</v>
      </c>
      <c r="G18" t="str">
        <f>IF('1A'!G24="","##BLANK",'1A'!G24)</f>
        <v>##BLANK</v>
      </c>
    </row>
    <row r="19" spans="2:7">
      <c r="B19" s="1752" t="str">
        <f>'1A'!AF27</f>
        <v>BO3354STAT</v>
      </c>
      <c r="E19" s="1753" t="s">
        <v>11007</v>
      </c>
      <c r="G19" t="str">
        <f>IF('1A'!G27="","##BLANK",'1A'!G27)</f>
        <v>##BLANK</v>
      </c>
    </row>
    <row r="20" spans="2:7">
      <c r="B20" s="1752" t="str">
        <f>'1A'!AF28</f>
        <v>BO3355STAT</v>
      </c>
      <c r="E20" s="1753" t="s">
        <v>11007</v>
      </c>
      <c r="G20" t="str">
        <f>IF('1A'!G28="","##BLANK",'1A'!G28)</f>
        <v>##BLANK</v>
      </c>
    </row>
    <row r="21" spans="2:7">
      <c r="B21" s="1752" t="str">
        <f>'1A'!AF29</f>
        <v>BO3353STAT</v>
      </c>
      <c r="E21" s="1753" t="s">
        <v>11007</v>
      </c>
      <c r="G21">
        <f>IF('1A'!G29="","##BLANK",'1A'!G29)</f>
        <v>0</v>
      </c>
    </row>
    <row r="22" spans="2:7">
      <c r="B22" s="1752" t="str">
        <f>'1A'!AF33</f>
        <v>BO1180NAIS</v>
      </c>
      <c r="D22" s="2146"/>
      <c r="E22" s="1753" t="s">
        <v>11007</v>
      </c>
      <c r="F22" s="2146"/>
      <c r="G22" t="str">
        <f>IF('1A'!G33="","##BLANK",'1A'!G33)</f>
        <v>##BLANK</v>
      </c>
    </row>
    <row r="23" spans="2:7">
      <c r="B23" s="1752" t="str">
        <f>'1A'!AF34</f>
        <v>BO1180NATW</v>
      </c>
      <c r="D23" s="2146"/>
      <c r="E23" s="1753" t="s">
        <v>11007</v>
      </c>
      <c r="F23" s="2146"/>
      <c r="G23" t="str">
        <f>IF('1A'!G34="","##BLANK",'1A'!G34)</f>
        <v>##BLANK</v>
      </c>
    </row>
    <row r="24" spans="2:7">
      <c r="B24" s="1752" t="str">
        <f>'1A'!AF35</f>
        <v>BO1180NAO</v>
      </c>
      <c r="D24" s="2146"/>
      <c r="E24" s="1753" t="s">
        <v>11007</v>
      </c>
      <c r="F24" s="2146"/>
      <c r="G24" t="str">
        <f>IF('1A'!G35="","##BLANK",'1A'!G35)</f>
        <v>##BLANK</v>
      </c>
    </row>
    <row r="25" spans="2:7" ht="15" thickBot="1">
      <c r="B25" s="1752" t="str">
        <f>'1A'!AF36</f>
        <v>BO1180NAT</v>
      </c>
      <c r="D25" s="2146"/>
      <c r="E25" s="1753" t="s">
        <v>11007</v>
      </c>
      <c r="F25" s="2146"/>
      <c r="G25">
        <f>IF('1A'!G36="","##BLANK",'1A'!G36)</f>
        <v>0</v>
      </c>
    </row>
    <row r="26" spans="2:7">
      <c r="B26" s="1759" t="str">
        <f>'1A'!AG6</f>
        <v>BO1180DSR</v>
      </c>
      <c r="E26" s="1753" t="s">
        <v>11007</v>
      </c>
      <c r="G26" t="str">
        <f>IF('1A'!H6="","##BLANK",'1A'!H6)</f>
        <v>##BLANK</v>
      </c>
    </row>
    <row r="27" spans="2:7">
      <c r="B27" s="1752" t="str">
        <f>'1A'!AG7</f>
        <v>BO2560DSR</v>
      </c>
      <c r="E27" s="1753" t="s">
        <v>11007</v>
      </c>
      <c r="G27" t="str">
        <f>IF('1A'!H7="","##BLANK",'1A'!H7)</f>
        <v>##BLANK</v>
      </c>
    </row>
    <row r="28" spans="2:7">
      <c r="B28" s="1752" t="str">
        <f>'1A'!AG8</f>
        <v>BO1980DSR</v>
      </c>
      <c r="C28" s="1752"/>
      <c r="E28" s="1753" t="s">
        <v>11007</v>
      </c>
      <c r="G28" t="str">
        <f>IF('1A'!H8="","##BLANK",'1A'!H8)</f>
        <v>##BLANK</v>
      </c>
    </row>
    <row r="29" spans="2:7">
      <c r="B29" s="1752" t="str">
        <f>'1A'!AG9</f>
        <v>BO2060DSR</v>
      </c>
      <c r="C29" s="1752"/>
      <c r="E29" s="1753" t="s">
        <v>11007</v>
      </c>
      <c r="G29">
        <f>IF('1A'!H9="","##BLANK",'1A'!H9)</f>
        <v>0</v>
      </c>
    </row>
    <row r="30" spans="2:7">
      <c r="B30" s="1752" t="str">
        <f>'1A'!AG11</f>
        <v>BO3301DSR</v>
      </c>
      <c r="C30" s="1752"/>
      <c r="E30" s="1753" t="s">
        <v>11007</v>
      </c>
      <c r="G30" t="str">
        <f>IF('1A'!H11="","##BLANK",'1A'!H11)</f>
        <v>##BLANK</v>
      </c>
    </row>
    <row r="31" spans="2:7">
      <c r="B31" s="1752" t="str">
        <f>'1A'!AG12</f>
        <v>A10008DSR</v>
      </c>
      <c r="C31" s="1752"/>
      <c r="E31" s="1753" t="s">
        <v>11007</v>
      </c>
      <c r="G31" t="str">
        <f>IF('1A'!H12="","##BLANK",'1A'!H12)</f>
        <v>##BLANK</v>
      </c>
    </row>
    <row r="32" spans="2:7">
      <c r="B32" s="1752" t="str">
        <f>'1A'!AG13</f>
        <v>A10009DSR</v>
      </c>
      <c r="C32" s="1752"/>
      <c r="E32" s="1753" t="s">
        <v>11007</v>
      </c>
      <c r="G32" t="str">
        <f>IF('1A'!H13="","##BLANK",'1A'!H13)</f>
        <v>##BLANK</v>
      </c>
    </row>
    <row r="33" spans="2:7">
      <c r="B33" s="1752" t="str">
        <f>'1A'!AG14</f>
        <v>FT01641DSR</v>
      </c>
      <c r="C33" s="1752"/>
      <c r="E33" s="1753" t="s">
        <v>11007</v>
      </c>
      <c r="G33" t="str">
        <f>IF('1A'!H14="","##BLANK",'1A'!H14)</f>
        <v>##BLANK</v>
      </c>
    </row>
    <row r="34" spans="2:7">
      <c r="B34" s="1752" t="str">
        <f>'1A'!AG15</f>
        <v>A10011DSR</v>
      </c>
      <c r="C34" s="1752"/>
      <c r="E34" s="1753" t="s">
        <v>11007</v>
      </c>
      <c r="G34">
        <f>IF('1A'!H15="","##BLANK",'1A'!H15)</f>
        <v>0</v>
      </c>
    </row>
    <row r="35" spans="2:7">
      <c r="B35" s="1752" t="str">
        <f>'1A'!AG17</f>
        <v>A10012DSR</v>
      </c>
      <c r="C35" s="1752"/>
      <c r="E35" s="1753" t="s">
        <v>11007</v>
      </c>
      <c r="G35" t="str">
        <f>IF('1A'!H17="","##BLANK",'1A'!H17)</f>
        <v>##BLANK</v>
      </c>
    </row>
    <row r="36" spans="2:7">
      <c r="B36" s="1752" t="str">
        <f>'1A'!AG18</f>
        <v>BO3305DSR</v>
      </c>
      <c r="C36" s="1752"/>
      <c r="E36" s="1753" t="s">
        <v>11007</v>
      </c>
      <c r="G36">
        <f>IF('1A'!H18="","##BLANK",'1A'!H18)</f>
        <v>0</v>
      </c>
    </row>
    <row r="37" spans="2:7">
      <c r="B37" s="1752" t="str">
        <f>'1A'!AG20</f>
        <v>BO3351DSR</v>
      </c>
      <c r="C37" s="1752"/>
      <c r="E37" s="1753" t="s">
        <v>11007</v>
      </c>
      <c r="G37">
        <f>IF('1A'!H20="","##BLANK",'1A'!H20)</f>
        <v>0</v>
      </c>
    </row>
    <row r="38" spans="2:7">
      <c r="B38" s="1752" t="str">
        <f>'1A'!AG21</f>
        <v>BO3352DSR</v>
      </c>
      <c r="C38" s="1752"/>
      <c r="E38" s="1753" t="s">
        <v>11007</v>
      </c>
      <c r="G38" t="str">
        <f>IF('1A'!H21="","##BLANK",'1A'!H21)</f>
        <v>##BLANK</v>
      </c>
    </row>
    <row r="39" spans="2:7">
      <c r="B39" s="1752" t="str">
        <f>'1A'!AG22</f>
        <v>BO2530DSR</v>
      </c>
      <c r="C39" s="1752"/>
      <c r="E39" s="1753" t="s">
        <v>11007</v>
      </c>
      <c r="G39">
        <f>IF('1A'!H22="","##BLANK",'1A'!H22)</f>
        <v>0</v>
      </c>
    </row>
    <row r="40" spans="2:7">
      <c r="B40" s="1752" t="str">
        <f>'1A'!AG24</f>
        <v>BO3402DSR</v>
      </c>
      <c r="C40" s="1752"/>
      <c r="E40" s="1753" t="s">
        <v>11007</v>
      </c>
      <c r="G40" t="str">
        <f>IF('1A'!H24="","##BLANK",'1A'!H24)</f>
        <v>##BLANK</v>
      </c>
    </row>
    <row r="41" spans="2:7">
      <c r="B41" s="1752" t="str">
        <f>'1A'!AG27</f>
        <v>BO3354DSR</v>
      </c>
      <c r="C41" s="1752"/>
      <c r="E41" s="1753" t="s">
        <v>11007</v>
      </c>
      <c r="G41" t="str">
        <f>IF('1A'!H27="","##BLANK",'1A'!H27)</f>
        <v>##BLANK</v>
      </c>
    </row>
    <row r="42" spans="2:7">
      <c r="B42" s="1752" t="str">
        <f>'1A'!AG28</f>
        <v>BO3355DSR</v>
      </c>
      <c r="C42" s="1752"/>
      <c r="E42" s="1753" t="s">
        <v>11007</v>
      </c>
      <c r="G42" t="str">
        <f>IF('1A'!H28="","##BLANK",'1A'!H28)</f>
        <v>##BLANK</v>
      </c>
    </row>
    <row r="43" spans="2:7" ht="15" thickBot="1">
      <c r="B43" s="1752" t="str">
        <f>'1A'!AG29</f>
        <v>BO3353DSR</v>
      </c>
      <c r="C43" s="1752"/>
      <c r="E43" s="1753" t="s">
        <v>11007</v>
      </c>
      <c r="G43">
        <f>IF('1A'!H29="","##BLANK",'1A'!H29)</f>
        <v>0</v>
      </c>
    </row>
    <row r="44" spans="2:7">
      <c r="B44" s="1759" t="str">
        <f>'1A'!AH6</f>
        <v>BO1180NA</v>
      </c>
      <c r="C44" s="1759"/>
      <c r="E44" s="1753" t="s">
        <v>11007</v>
      </c>
      <c r="G44" t="str">
        <f>IF('1A'!I6="","##BLANK",'1A'!I6)</f>
        <v>##BLANK</v>
      </c>
    </row>
    <row r="45" spans="2:7">
      <c r="B45" s="1752" t="str">
        <f>'1A'!AH7</f>
        <v>BO2560NA</v>
      </c>
      <c r="C45" s="1752"/>
      <c r="E45" s="1753" t="s">
        <v>11007</v>
      </c>
      <c r="G45" t="str">
        <f>IF('1A'!I7="","##BLANK",'1A'!I7)</f>
        <v>##BLANK</v>
      </c>
    </row>
    <row r="46" spans="2:7">
      <c r="B46" s="1752" t="str">
        <f>'1A'!AH8</f>
        <v>BO1980NA</v>
      </c>
      <c r="C46" s="1752"/>
      <c r="E46" s="1753" t="s">
        <v>11007</v>
      </c>
      <c r="G46" t="str">
        <f>IF('1A'!I8="","##BLANK",'1A'!I8)</f>
        <v>##BLANK</v>
      </c>
    </row>
    <row r="47" spans="2:7">
      <c r="B47" s="1752" t="str">
        <f>'1A'!AH9</f>
        <v>BO2060NA</v>
      </c>
      <c r="C47" s="1752"/>
      <c r="E47" s="1753" t="s">
        <v>11007</v>
      </c>
      <c r="G47">
        <f>IF('1A'!I9="","##BLANK",'1A'!I9)</f>
        <v>0</v>
      </c>
    </row>
    <row r="48" spans="2:7">
      <c r="B48" s="1752" t="str">
        <f>'1A'!AH11</f>
        <v>BO3301NA</v>
      </c>
      <c r="C48" s="1752"/>
      <c r="E48" s="1753" t="s">
        <v>11007</v>
      </c>
      <c r="G48" t="str">
        <f>IF('1A'!I11="","##BLANK",'1A'!I11)</f>
        <v>##BLANK</v>
      </c>
    </row>
    <row r="49" spans="2:7">
      <c r="B49" s="1752" t="str">
        <f>'1A'!AH12</f>
        <v>A10008NA</v>
      </c>
      <c r="C49" s="1752"/>
      <c r="E49" s="1753" t="s">
        <v>11007</v>
      </c>
      <c r="G49" t="str">
        <f>IF('1A'!I12="","##BLANK",'1A'!I12)</f>
        <v>##BLANK</v>
      </c>
    </row>
    <row r="50" spans="2:7">
      <c r="B50" s="1752" t="str">
        <f>'1A'!AH13</f>
        <v>A10009NA</v>
      </c>
      <c r="C50" s="1752"/>
      <c r="E50" s="1753" t="s">
        <v>11007</v>
      </c>
      <c r="G50" t="str">
        <f>IF('1A'!I13="","##BLANK",'1A'!I13)</f>
        <v>##BLANK</v>
      </c>
    </row>
    <row r="51" spans="2:7">
      <c r="B51" s="1752" t="str">
        <f>'1A'!AH14</f>
        <v>FT01641NA</v>
      </c>
      <c r="C51" s="1752"/>
      <c r="E51" s="1753" t="s">
        <v>11007</v>
      </c>
      <c r="G51" t="str">
        <f>IF('1A'!I14="","##BLANK",'1A'!I14)</f>
        <v>##BLANK</v>
      </c>
    </row>
    <row r="52" spans="2:7">
      <c r="B52" s="1752" t="str">
        <f>'1A'!AH15</f>
        <v>A10011NA</v>
      </c>
      <c r="C52" s="1752"/>
      <c r="E52" s="1753" t="s">
        <v>11007</v>
      </c>
      <c r="G52">
        <f>IF('1A'!I15="","##BLANK",'1A'!I15)</f>
        <v>0</v>
      </c>
    </row>
    <row r="53" spans="2:7">
      <c r="B53" s="1752" t="str">
        <f>'1A'!AH17</f>
        <v>A10012NA</v>
      </c>
      <c r="C53" s="1752"/>
      <c r="E53" s="1753" t="s">
        <v>11007</v>
      </c>
      <c r="G53" t="str">
        <f>IF('1A'!I17="","##BLANK",'1A'!I17)</f>
        <v>##BLANK</v>
      </c>
    </row>
    <row r="54" spans="2:7">
      <c r="B54" s="1752" t="str">
        <f>'1A'!AH18</f>
        <v>BO3305NA</v>
      </c>
      <c r="C54" s="1752"/>
      <c r="E54" s="1753" t="s">
        <v>11007</v>
      </c>
      <c r="G54">
        <f>IF('1A'!I18="","##BLANK",'1A'!I18)</f>
        <v>0</v>
      </c>
    </row>
    <row r="55" spans="2:7">
      <c r="B55" s="1752" t="str">
        <f>'1A'!AH20</f>
        <v>BO3351NA</v>
      </c>
      <c r="C55" s="1752"/>
      <c r="E55" s="1753" t="s">
        <v>11007</v>
      </c>
      <c r="G55">
        <f>IF('1A'!I20="","##BLANK",'1A'!I20)</f>
        <v>0</v>
      </c>
    </row>
    <row r="56" spans="2:7">
      <c r="B56" s="1752" t="str">
        <f>'1A'!AH21</f>
        <v>BO3352NA</v>
      </c>
      <c r="C56" s="1752"/>
      <c r="E56" s="1753" t="s">
        <v>11007</v>
      </c>
      <c r="G56" t="str">
        <f>IF('1A'!I21="","##BLANK",'1A'!I21)</f>
        <v>##BLANK</v>
      </c>
    </row>
    <row r="57" spans="2:7">
      <c r="B57" s="1752" t="str">
        <f>'1A'!AH22</f>
        <v>BO2530NA</v>
      </c>
      <c r="C57" s="1752"/>
      <c r="E57" s="1753" t="s">
        <v>11007</v>
      </c>
      <c r="G57">
        <f>IF('1A'!I22="","##BLANK",'1A'!I22)</f>
        <v>0</v>
      </c>
    </row>
    <row r="58" spans="2:7">
      <c r="B58" s="1752" t="str">
        <f>'1A'!AH24</f>
        <v>BO3402NA</v>
      </c>
      <c r="C58" s="1752"/>
      <c r="E58" s="1753" t="s">
        <v>11007</v>
      </c>
      <c r="G58" t="str">
        <f>IF('1A'!I24="","##BLANK",'1A'!I24)</f>
        <v>##BLANK</v>
      </c>
    </row>
    <row r="59" spans="2:7">
      <c r="B59" s="1752" t="str">
        <f>'1A'!AH27</f>
        <v>BO3354NA</v>
      </c>
      <c r="C59" s="1752"/>
      <c r="E59" s="1753" t="s">
        <v>11007</v>
      </c>
      <c r="G59" t="str">
        <f>IF('1A'!I27="","##BLANK",'1A'!I27)</f>
        <v>##BLANK</v>
      </c>
    </row>
    <row r="60" spans="2:7">
      <c r="B60" s="1752" t="str">
        <f>'1A'!AH28</f>
        <v>BO3355NA</v>
      </c>
      <c r="C60" s="1752"/>
      <c r="E60" s="1753" t="s">
        <v>11007</v>
      </c>
      <c r="G60" t="str">
        <f>IF('1A'!I28="","##BLANK",'1A'!I28)</f>
        <v>##BLANK</v>
      </c>
    </row>
    <row r="61" spans="2:7" ht="15" thickBot="1">
      <c r="B61" s="1752" t="str">
        <f>'1A'!AH29</f>
        <v>BO3353NA</v>
      </c>
      <c r="C61" s="1752"/>
      <c r="E61" s="1753" t="s">
        <v>11007</v>
      </c>
      <c r="G61">
        <f>IF('1A'!I29="","##BLANK",'1A'!I29)</f>
        <v>0</v>
      </c>
    </row>
    <row r="62" spans="2:7">
      <c r="B62" s="1759" t="str">
        <f>'1A'!AI6</f>
        <v>BO1180ADJ</v>
      </c>
      <c r="C62" s="1759"/>
      <c r="E62" s="1753" t="s">
        <v>11007</v>
      </c>
      <c r="G62">
        <f>IF('1A'!J6="","##BLANK",'1A'!J6)</f>
        <v>0</v>
      </c>
    </row>
    <row r="63" spans="2:7">
      <c r="B63" s="1752" t="str">
        <f>'1A'!AI7</f>
        <v>BO2560ADJ</v>
      </c>
      <c r="C63" s="1752"/>
      <c r="E63" s="1753" t="s">
        <v>11007</v>
      </c>
      <c r="G63">
        <f>IF('1A'!J7="","##BLANK",'1A'!J7)</f>
        <v>0</v>
      </c>
    </row>
    <row r="64" spans="2:7">
      <c r="B64" s="1752" t="str">
        <f>'1A'!AI8</f>
        <v>BO1980ADJ</v>
      </c>
      <c r="C64" s="1752"/>
      <c r="E64" s="1753" t="s">
        <v>11007</v>
      </c>
      <c r="G64">
        <f>IF('1A'!J8="","##BLANK",'1A'!J8)</f>
        <v>0</v>
      </c>
    </row>
    <row r="65" spans="2:7">
      <c r="B65" s="1752" t="str">
        <f>'1A'!AI9</f>
        <v>BO2060ADJ</v>
      </c>
      <c r="C65" s="1752"/>
      <c r="E65" s="1753" t="s">
        <v>11007</v>
      </c>
      <c r="G65">
        <f>IF('1A'!J9="","##BLANK",'1A'!J9)</f>
        <v>0</v>
      </c>
    </row>
    <row r="66" spans="2:7">
      <c r="B66" s="1752" t="str">
        <f>'1A'!AI11</f>
        <v>BO3301ADJ</v>
      </c>
      <c r="C66" s="1752"/>
      <c r="E66" s="1753" t="s">
        <v>11007</v>
      </c>
      <c r="G66">
        <f>IF('1A'!J11="","##BLANK",'1A'!J11)</f>
        <v>0</v>
      </c>
    </row>
    <row r="67" spans="2:7">
      <c r="B67" s="1752" t="str">
        <f>'1A'!AI12</f>
        <v>A10008ADJ</v>
      </c>
      <c r="C67" s="1752"/>
      <c r="E67" s="1753" t="s">
        <v>11007</v>
      </c>
      <c r="G67">
        <f>IF('1A'!J12="","##BLANK",'1A'!J12)</f>
        <v>0</v>
      </c>
    </row>
    <row r="68" spans="2:7">
      <c r="B68" s="1752" t="str">
        <f>'1A'!AI13</f>
        <v>A10009ADJ</v>
      </c>
      <c r="C68" s="1752"/>
      <c r="E68" s="1753" t="s">
        <v>11007</v>
      </c>
      <c r="G68">
        <f>IF('1A'!J13="","##BLANK",'1A'!J13)</f>
        <v>0</v>
      </c>
    </row>
    <row r="69" spans="2:7">
      <c r="B69" s="1752" t="str">
        <f>'1A'!AI14</f>
        <v>FT01641ADJ</v>
      </c>
      <c r="C69" s="1752"/>
      <c r="E69" s="1753" t="s">
        <v>11007</v>
      </c>
      <c r="G69">
        <f>IF('1A'!J14="","##BLANK",'1A'!J14)</f>
        <v>0</v>
      </c>
    </row>
    <row r="70" spans="2:7">
      <c r="B70" s="1752" t="str">
        <f>'1A'!AI15</f>
        <v>A10011ADJ</v>
      </c>
      <c r="C70" s="1752"/>
      <c r="E70" s="1753" t="s">
        <v>11007</v>
      </c>
      <c r="G70">
        <f>IF('1A'!J15="","##BLANK",'1A'!J15)</f>
        <v>0</v>
      </c>
    </row>
    <row r="71" spans="2:7">
      <c r="B71" s="1752" t="str">
        <f>'1A'!AI17</f>
        <v>A10012ADJ</v>
      </c>
      <c r="C71" s="1752"/>
      <c r="E71" s="1753" t="s">
        <v>11007</v>
      </c>
      <c r="G71">
        <f>IF('1A'!J17="","##BLANK",'1A'!J17)</f>
        <v>0</v>
      </c>
    </row>
    <row r="72" spans="2:7">
      <c r="B72" s="1752" t="str">
        <f>'1A'!AI18</f>
        <v>BO3305ADJ</v>
      </c>
      <c r="C72" s="1752"/>
      <c r="E72" s="1753" t="s">
        <v>11007</v>
      </c>
      <c r="G72">
        <f>IF('1A'!J18="","##BLANK",'1A'!J18)</f>
        <v>0</v>
      </c>
    </row>
    <row r="73" spans="2:7">
      <c r="B73" s="1752" t="str">
        <f>'1A'!AI20</f>
        <v>BO3351ADJ</v>
      </c>
      <c r="C73" s="1752"/>
      <c r="E73" s="1753" t="s">
        <v>11007</v>
      </c>
      <c r="G73">
        <f>IF('1A'!J20="","##BLANK",'1A'!J20)</f>
        <v>0</v>
      </c>
    </row>
    <row r="74" spans="2:7">
      <c r="B74" s="1752" t="str">
        <f>'1A'!AI21</f>
        <v>BO3352ADJ</v>
      </c>
      <c r="C74" s="1752"/>
      <c r="E74" s="1753" t="s">
        <v>11007</v>
      </c>
      <c r="G74">
        <f>IF('1A'!J21="","##BLANK",'1A'!J21)</f>
        <v>0</v>
      </c>
    </row>
    <row r="75" spans="2:7">
      <c r="B75" s="1752" t="str">
        <f>'1A'!AI22</f>
        <v>BO2530ADJ</v>
      </c>
      <c r="C75" s="1752"/>
      <c r="E75" s="1753" t="s">
        <v>11007</v>
      </c>
      <c r="G75">
        <f>IF('1A'!J22="","##BLANK",'1A'!J22)</f>
        <v>0</v>
      </c>
    </row>
    <row r="76" spans="2:7">
      <c r="B76" s="1752" t="str">
        <f>'1A'!AI24</f>
        <v>BO3402ADJ</v>
      </c>
      <c r="C76" s="1752"/>
      <c r="E76" s="1753" t="s">
        <v>11007</v>
      </c>
      <c r="G76">
        <f>IF('1A'!J24="","##BLANK",'1A'!J24)</f>
        <v>0</v>
      </c>
    </row>
    <row r="77" spans="2:7">
      <c r="B77" s="1752" t="str">
        <f>'1A'!AI27</f>
        <v>BO3354ADJ</v>
      </c>
      <c r="C77" s="1752"/>
      <c r="E77" s="1753" t="s">
        <v>11007</v>
      </c>
      <c r="G77">
        <f>IF('1A'!J27="","##BLANK",'1A'!J27)</f>
        <v>0</v>
      </c>
    </row>
    <row r="78" spans="2:7">
      <c r="B78" s="1752" t="str">
        <f>'1A'!AI28</f>
        <v>BO3355ADJ</v>
      </c>
      <c r="C78" s="1752"/>
      <c r="E78" s="1753" t="s">
        <v>11007</v>
      </c>
      <c r="G78">
        <f>IF('1A'!J28="","##BLANK",'1A'!J28)</f>
        <v>0</v>
      </c>
    </row>
    <row r="79" spans="2:7" ht="15" thickBot="1">
      <c r="B79" s="1752" t="str">
        <f>'1A'!AI29</f>
        <v>BO3353ADJ</v>
      </c>
      <c r="C79" s="1752"/>
      <c r="E79" s="1753" t="s">
        <v>11007</v>
      </c>
      <c r="G79">
        <f>IF('1A'!J29="","##BLANK",'1A'!J29)</f>
        <v>0</v>
      </c>
    </row>
    <row r="80" spans="2:7">
      <c r="B80" s="1759" t="str">
        <f>'1A'!AJ6</f>
        <v>BO1180</v>
      </c>
      <c r="C80" s="1759"/>
      <c r="E80" s="1753" t="s">
        <v>11007</v>
      </c>
      <c r="G80">
        <f>IF('1A'!K6="","##BLANK",'1A'!K6)</f>
        <v>0</v>
      </c>
    </row>
    <row r="81" spans="2:7">
      <c r="B81" s="1752" t="str">
        <f>'1A'!AJ7</f>
        <v>BO2560</v>
      </c>
      <c r="C81" s="1752"/>
      <c r="E81" s="1753" t="s">
        <v>11007</v>
      </c>
      <c r="G81">
        <f>IF('1A'!K7="","##BLANK",'1A'!K7)</f>
        <v>0</v>
      </c>
    </row>
    <row r="82" spans="2:7">
      <c r="B82" s="1752" t="str">
        <f>'1A'!AJ8</f>
        <v>BO1980</v>
      </c>
      <c r="C82" s="1752"/>
      <c r="E82" s="1753" t="s">
        <v>11007</v>
      </c>
      <c r="G82">
        <f>IF('1A'!K8="","##BLANK",'1A'!K8)</f>
        <v>0</v>
      </c>
    </row>
    <row r="83" spans="2:7">
      <c r="B83" s="1752" t="str">
        <f>'1A'!AJ9</f>
        <v>BO2060</v>
      </c>
      <c r="C83" s="1752"/>
      <c r="E83" s="1753" t="s">
        <v>11007</v>
      </c>
      <c r="G83">
        <f>IF('1A'!K9="","##BLANK",'1A'!K9)</f>
        <v>0</v>
      </c>
    </row>
    <row r="84" spans="2:7">
      <c r="B84" s="1752" t="str">
        <f>'1A'!AJ11</f>
        <v>BO3301</v>
      </c>
      <c r="C84" s="1752"/>
      <c r="E84" s="1753" t="s">
        <v>11007</v>
      </c>
      <c r="G84">
        <f>IF('1A'!K11="","##BLANK",'1A'!K11)</f>
        <v>0</v>
      </c>
    </row>
    <row r="85" spans="2:7">
      <c r="B85" s="1752" t="str">
        <f>'1A'!AJ12</f>
        <v>A10008APP</v>
      </c>
      <c r="C85" s="1752"/>
      <c r="E85" s="1753" t="s">
        <v>11007</v>
      </c>
      <c r="G85">
        <f>IF('1A'!K12="","##BLANK",'1A'!K12)</f>
        <v>0</v>
      </c>
    </row>
    <row r="86" spans="2:7">
      <c r="B86" s="1752" t="str">
        <f>'1A'!AJ13</f>
        <v>A10009APP</v>
      </c>
      <c r="C86" s="1752"/>
      <c r="E86" s="1753" t="s">
        <v>11007</v>
      </c>
      <c r="G86">
        <f>IF('1A'!K13="","##BLANK",'1A'!K13)</f>
        <v>0</v>
      </c>
    </row>
    <row r="87" spans="2:7">
      <c r="B87" s="1752" t="str">
        <f>'1A'!AJ14</f>
        <v>FT01641</v>
      </c>
      <c r="C87" s="1752"/>
      <c r="E87" s="1753" t="s">
        <v>11007</v>
      </c>
      <c r="G87">
        <f>IF('1A'!K14="","##BLANK",'1A'!K14)</f>
        <v>0</v>
      </c>
    </row>
    <row r="88" spans="2:7">
      <c r="B88" s="1752" t="str">
        <f>'1A'!AJ15</f>
        <v>A10011APP</v>
      </c>
      <c r="C88" s="1752"/>
      <c r="E88" s="1753" t="s">
        <v>11007</v>
      </c>
      <c r="G88">
        <f>IF('1A'!K15="","##BLANK",'1A'!K15)</f>
        <v>0</v>
      </c>
    </row>
    <row r="89" spans="2:7">
      <c r="B89" s="1752" t="str">
        <f>'1A'!AJ17</f>
        <v>A10012APP</v>
      </c>
      <c r="C89" s="1752"/>
      <c r="E89" s="1753" t="s">
        <v>11007</v>
      </c>
      <c r="G89">
        <f>IF('1A'!K17="","##BLANK",'1A'!K17)</f>
        <v>0</v>
      </c>
    </row>
    <row r="90" spans="2:7">
      <c r="B90" s="1752" t="str">
        <f>'1A'!AJ18</f>
        <v>BO3305</v>
      </c>
      <c r="C90" s="1752"/>
      <c r="E90" s="1753" t="s">
        <v>11007</v>
      </c>
      <c r="G90">
        <f>IF('1A'!K18="","##BLANK",'1A'!K18)</f>
        <v>0</v>
      </c>
    </row>
    <row r="91" spans="2:7">
      <c r="B91" s="1752" t="str">
        <f>'1A'!AJ20</f>
        <v>BO3351</v>
      </c>
      <c r="C91" s="1752"/>
      <c r="E91" s="1753" t="s">
        <v>11007</v>
      </c>
      <c r="G91">
        <f>IF('1A'!K20="","##BLANK",'1A'!K20)</f>
        <v>0</v>
      </c>
    </row>
    <row r="92" spans="2:7">
      <c r="B92" s="1752" t="str">
        <f>'1A'!AJ21</f>
        <v>BO3352</v>
      </c>
      <c r="C92" s="1752"/>
      <c r="E92" s="1753" t="s">
        <v>11007</v>
      </c>
      <c r="G92">
        <f>IF('1A'!K21="","##BLANK",'1A'!K21)</f>
        <v>0</v>
      </c>
    </row>
    <row r="93" spans="2:7">
      <c r="B93" s="1752" t="str">
        <f>'1A'!AJ22</f>
        <v>BO2530</v>
      </c>
      <c r="C93" s="1752"/>
      <c r="E93" s="1753" t="s">
        <v>11007</v>
      </c>
      <c r="G93">
        <f>IF('1A'!K22="","##BLANK",'1A'!K22)</f>
        <v>0</v>
      </c>
    </row>
    <row r="94" spans="2:7">
      <c r="B94" s="1752" t="str">
        <f>'1A'!AJ24</f>
        <v>BO3402</v>
      </c>
      <c r="C94" s="1752"/>
      <c r="E94" s="1753" t="s">
        <v>11007</v>
      </c>
      <c r="G94">
        <f>IF('1A'!K24="","##BLANK",'1A'!K24)</f>
        <v>0</v>
      </c>
    </row>
    <row r="95" spans="2:7">
      <c r="B95" s="1752" t="str">
        <f>'1A'!AJ27</f>
        <v>BO3354</v>
      </c>
      <c r="C95" s="1752"/>
      <c r="E95" s="1753" t="s">
        <v>11007</v>
      </c>
      <c r="G95">
        <f>IF('1A'!K27="","##BLANK",'1A'!K27)</f>
        <v>0</v>
      </c>
    </row>
    <row r="96" spans="2:7">
      <c r="B96" s="1752" t="str">
        <f>'1A'!AJ28</f>
        <v>BO3355</v>
      </c>
      <c r="C96" s="1752"/>
      <c r="E96" s="1753" t="s">
        <v>11007</v>
      </c>
      <c r="G96">
        <f>IF('1A'!K28="","##BLANK",'1A'!K28)</f>
        <v>0</v>
      </c>
    </row>
    <row r="97" spans="2:7">
      <c r="B97" s="1752" t="str">
        <f>'1A'!AJ29</f>
        <v>BO3353</v>
      </c>
      <c r="C97" s="1752"/>
      <c r="E97" s="1753" t="s">
        <v>11007</v>
      </c>
      <c r="G97">
        <f>IF('1A'!K29="","##BLANK",'1A'!K29)</f>
        <v>0</v>
      </c>
    </row>
    <row r="98" spans="2:7">
      <c r="B98" s="893" t="str">
        <f>'1B'!AF7</f>
        <v>BO2550STAT</v>
      </c>
      <c r="E98" s="1753" t="s">
        <v>11007</v>
      </c>
      <c r="G98" t="str">
        <f>IF('1B'!G7="","##BLANK",'1B'!G7)</f>
        <v>##BLANK</v>
      </c>
    </row>
    <row r="99" spans="2:7">
      <c r="B99" s="893" t="str">
        <f>'1B'!AF8</f>
        <v>BO2553STAT</v>
      </c>
      <c r="E99" s="1753" t="s">
        <v>11007</v>
      </c>
      <c r="G99" t="str">
        <f>IF('1B'!G8="","##BLANK",'1B'!G8)</f>
        <v>##BLANK</v>
      </c>
    </row>
    <row r="100" spans="2:7">
      <c r="B100" s="893" t="str">
        <f>'1B'!AF9</f>
        <v>BO2554STAT</v>
      </c>
      <c r="E100" s="1753" t="s">
        <v>11007</v>
      </c>
      <c r="G100">
        <f>IF('1B'!G9="","##BLANK",'1B'!G9)</f>
        <v>0</v>
      </c>
    </row>
    <row r="101" spans="2:7">
      <c r="B101" s="893" t="str">
        <f>'1B'!AG7</f>
        <v>BO2550DSR</v>
      </c>
      <c r="E101" s="1753" t="s">
        <v>11007</v>
      </c>
      <c r="G101" t="str">
        <f>IF('1B'!H7="","##BLANK",'1B'!H7)</f>
        <v>##BLANK</v>
      </c>
    </row>
    <row r="102" spans="2:7">
      <c r="B102" s="893" t="str">
        <f>'1B'!AG8</f>
        <v>BO2553DSR</v>
      </c>
      <c r="E102" s="1753" t="s">
        <v>11007</v>
      </c>
      <c r="G102" t="str">
        <f>IF('1B'!H8="","##BLANK",'1B'!H8)</f>
        <v>##BLANK</v>
      </c>
    </row>
    <row r="103" spans="2:7">
      <c r="B103" s="893" t="str">
        <f>'1B'!AG9</f>
        <v>BO2554DSR</v>
      </c>
      <c r="E103" s="1753" t="s">
        <v>11007</v>
      </c>
      <c r="G103">
        <f>IF('1B'!H9="","##BLANK",'1B'!H9)</f>
        <v>0</v>
      </c>
    </row>
    <row r="104" spans="2:7">
      <c r="B104" s="893" t="str">
        <f>'1B'!AH7</f>
        <v>BO2550NA</v>
      </c>
      <c r="E104" s="1753" t="s">
        <v>11007</v>
      </c>
      <c r="G104" t="str">
        <f>IF('1B'!I7="","##BLANK",'1B'!I7)</f>
        <v>##BLANK</v>
      </c>
    </row>
    <row r="105" spans="2:7">
      <c r="B105" s="893" t="str">
        <f>'1B'!AH8</f>
        <v>BO2553NA</v>
      </c>
      <c r="E105" s="1753" t="s">
        <v>11007</v>
      </c>
      <c r="G105" t="str">
        <f>IF('1B'!I8="","##BLANK",'1B'!I8)</f>
        <v>##BLANK</v>
      </c>
    </row>
    <row r="106" spans="2:7">
      <c r="B106" s="893" t="str">
        <f>'1B'!AH9</f>
        <v>BO2554NA</v>
      </c>
      <c r="E106" s="1753" t="s">
        <v>11007</v>
      </c>
      <c r="G106">
        <f>IF('1B'!I9="","##BLANK",'1B'!I9)</f>
        <v>0</v>
      </c>
    </row>
    <row r="107" spans="2:7">
      <c r="B107" s="893" t="str">
        <f>'1B'!AI7</f>
        <v>BO2550ADJ</v>
      </c>
      <c r="E107" s="1753" t="s">
        <v>11007</v>
      </c>
      <c r="G107">
        <f>IF('1B'!J7="","##BLANK",'1B'!J7)</f>
        <v>0</v>
      </c>
    </row>
    <row r="108" spans="2:7">
      <c r="B108" s="893" t="str">
        <f>'1B'!AI8</f>
        <v>BO2553ADJ</v>
      </c>
      <c r="E108" s="1753" t="s">
        <v>11007</v>
      </c>
      <c r="G108">
        <f>IF('1B'!J8="","##BLANK",'1B'!J8)</f>
        <v>0</v>
      </c>
    </row>
    <row r="109" spans="2:7">
      <c r="B109" s="893" t="str">
        <f>'1B'!AI9</f>
        <v>BO2554ADJ</v>
      </c>
      <c r="E109" s="1753" t="s">
        <v>11007</v>
      </c>
      <c r="G109">
        <f>IF('1B'!J9="","##BLANK",'1B'!J9)</f>
        <v>0</v>
      </c>
    </row>
    <row r="110" spans="2:7">
      <c r="B110" s="893" t="str">
        <f>'1B'!AJ7</f>
        <v>BO2550</v>
      </c>
      <c r="E110" s="1753" t="s">
        <v>11007</v>
      </c>
      <c r="G110">
        <f>IF('1B'!K7="","##BLANK",'1B'!K7)</f>
        <v>0</v>
      </c>
    </row>
    <row r="111" spans="2:7">
      <c r="B111" s="893" t="str">
        <f>'1B'!AJ8</f>
        <v>BO2553</v>
      </c>
      <c r="E111" s="1753" t="s">
        <v>11007</v>
      </c>
      <c r="G111">
        <f>IF('1B'!K8="","##BLANK",'1B'!K8)</f>
        <v>0</v>
      </c>
    </row>
    <row r="112" spans="2:7">
      <c r="B112" s="893" t="str">
        <f>'1B'!AJ9</f>
        <v>BO2554</v>
      </c>
      <c r="E112" s="1753" t="s">
        <v>11007</v>
      </c>
      <c r="G112">
        <f>IF('1B'!K9="","##BLANK",'1B'!K9)</f>
        <v>0</v>
      </c>
    </row>
    <row r="113" spans="2:7">
      <c r="B113" s="893" t="str">
        <f>'1C'!AF7</f>
        <v>BO4008STAT</v>
      </c>
      <c r="E113" s="1753" t="s">
        <v>11007</v>
      </c>
      <c r="G113" t="str">
        <f>IF('1C'!G7="","##BLANK",'1C'!G7)</f>
        <v>##BLANK</v>
      </c>
    </row>
    <row r="114" spans="2:7">
      <c r="B114" s="893" t="str">
        <f>'1C'!AF8</f>
        <v>A11002STAT</v>
      </c>
      <c r="E114" s="1753" t="s">
        <v>11007</v>
      </c>
      <c r="G114" t="str">
        <f>IF('1C'!G8="","##BLANK",'1C'!G8)</f>
        <v>##BLANK</v>
      </c>
    </row>
    <row r="115" spans="2:7">
      <c r="B115" s="893" t="str">
        <f>'1C'!AF9</f>
        <v>FT01670STAT</v>
      </c>
      <c r="E115" s="1753" t="s">
        <v>11007</v>
      </c>
      <c r="G115" t="str">
        <f>IF('1C'!G9="","##BLANK",'1C'!G9)</f>
        <v>##BLANK</v>
      </c>
    </row>
    <row r="116" spans="2:7">
      <c r="B116" s="893" t="str">
        <f>'1C'!AF10</f>
        <v>FT01680STAT</v>
      </c>
      <c r="E116" s="1753" t="s">
        <v>11007</v>
      </c>
      <c r="G116" t="str">
        <f>IF('1C'!G10="","##BLANK",'1C'!G10)</f>
        <v>##BLANK</v>
      </c>
    </row>
    <row r="117" spans="2:7">
      <c r="B117" s="893" t="str">
        <f>'1C'!AF11</f>
        <v>A11005STAT</v>
      </c>
      <c r="E117" s="1753" t="s">
        <v>11007</v>
      </c>
      <c r="G117" t="str">
        <f>IF('1C'!G11="","##BLANK",'1C'!G11)</f>
        <v>##BLANK</v>
      </c>
    </row>
    <row r="118" spans="2:7">
      <c r="B118" s="893" t="str">
        <f>'1C'!AF12</f>
        <v>FT01751STAT</v>
      </c>
      <c r="E118" s="1753" t="s">
        <v>11007</v>
      </c>
      <c r="G118" t="str">
        <f>IF('1C'!G12="","##BLANK",'1C'!G12)</f>
        <v>##BLANK</v>
      </c>
    </row>
    <row r="119" spans="2:7">
      <c r="B119" s="893" t="str">
        <f>'1C'!AF13</f>
        <v>A11006STAT</v>
      </c>
      <c r="E119" s="1753" t="s">
        <v>11007</v>
      </c>
      <c r="G119">
        <f>IF('1C'!G13="","##BLANK",'1C'!G13)</f>
        <v>0</v>
      </c>
    </row>
    <row r="120" spans="2:7">
      <c r="B120" s="893" t="str">
        <f>'1C'!AF16</f>
        <v>BO4084STAT</v>
      </c>
      <c r="E120" s="1753" t="s">
        <v>11007</v>
      </c>
      <c r="G120" t="str">
        <f>IF('1C'!G16="","##BLANK",'1C'!G16)</f>
        <v>##BLANK</v>
      </c>
    </row>
    <row r="121" spans="2:7">
      <c r="B121" s="893" t="str">
        <f>'1C'!AF17</f>
        <v>A11008STAT</v>
      </c>
      <c r="E121" s="1753" t="s">
        <v>11007</v>
      </c>
      <c r="G121" t="str">
        <f>IF('1C'!G17="","##BLANK",'1C'!G17)</f>
        <v>##BLANK</v>
      </c>
    </row>
    <row r="122" spans="2:7">
      <c r="B122" s="893" t="str">
        <f>'1C'!AF18</f>
        <v>A11009STAT</v>
      </c>
      <c r="E122" s="1753" t="s">
        <v>11007</v>
      </c>
      <c r="G122" t="str">
        <f>IF('1C'!G18="","##BLANK",'1C'!G18)</f>
        <v>##BLANK</v>
      </c>
    </row>
    <row r="123" spans="2:7">
      <c r="B123" s="893" t="str">
        <f>'1C'!AF19</f>
        <v>A11010STAT</v>
      </c>
      <c r="E123" s="1753" t="s">
        <v>11007</v>
      </c>
      <c r="G123" t="str">
        <f>IF('1C'!G19="","##BLANK",'1C'!G19)</f>
        <v>##BLANK</v>
      </c>
    </row>
    <row r="124" spans="2:7">
      <c r="B124" s="893" t="str">
        <f>'1C'!AF20</f>
        <v>BO4092STAT</v>
      </c>
      <c r="E124" s="1753" t="s">
        <v>11007</v>
      </c>
      <c r="G124">
        <f>IF('1C'!G20="","##BLANK",'1C'!G20)</f>
        <v>0</v>
      </c>
    </row>
    <row r="125" spans="2:7">
      <c r="B125" s="893" t="str">
        <f>'1C'!AF23</f>
        <v>A11012STAT</v>
      </c>
      <c r="E125" s="1753" t="s">
        <v>11007</v>
      </c>
      <c r="G125" t="str">
        <f>IF('1C'!G23="","##BLANK",'1C'!G23)</f>
        <v>##BLANK</v>
      </c>
    </row>
    <row r="126" spans="2:7">
      <c r="B126" s="893" t="str">
        <f>'1C'!AF24</f>
        <v>A11013STAT</v>
      </c>
      <c r="E126" s="1753" t="s">
        <v>11007</v>
      </c>
      <c r="G126" t="str">
        <f>IF('1C'!G24="","##BLANK",'1C'!G24)</f>
        <v>##BLANK</v>
      </c>
    </row>
    <row r="127" spans="2:7">
      <c r="B127" s="893" t="str">
        <f>'1C'!AF25</f>
        <v>BO4093STAT</v>
      </c>
      <c r="E127" s="1753" t="s">
        <v>11007</v>
      </c>
      <c r="G127" t="str">
        <f>IF('1C'!G25="","##BLANK",'1C'!G25)</f>
        <v>##BLANK</v>
      </c>
    </row>
    <row r="128" spans="2:7">
      <c r="B128" s="893" t="str">
        <f>'1C'!AF26</f>
        <v>A11015STAT</v>
      </c>
      <c r="E128" s="1753" t="s">
        <v>11007</v>
      </c>
      <c r="G128" t="str">
        <f>IF('1C'!G26="","##BLANK",'1C'!G26)</f>
        <v>##BLANK</v>
      </c>
    </row>
    <row r="129" spans="2:7">
      <c r="B129" s="893" t="str">
        <f>'1C'!AF27</f>
        <v>A11016STAT</v>
      </c>
      <c r="E129" s="1753" t="s">
        <v>11007</v>
      </c>
      <c r="G129" t="str">
        <f>IF('1C'!G27="","##BLANK",'1C'!G27)</f>
        <v>##BLANK</v>
      </c>
    </row>
    <row r="130" spans="2:7">
      <c r="B130" s="893" t="str">
        <f>'1C'!AF28</f>
        <v>A11017STAT</v>
      </c>
      <c r="E130" s="1753" t="s">
        <v>11007</v>
      </c>
      <c r="G130" t="str">
        <f>IF('1C'!G28="","##BLANK",'1C'!G28)</f>
        <v>##BLANK</v>
      </c>
    </row>
    <row r="131" spans="2:7">
      <c r="B131" s="893" t="str">
        <f>'1C'!AF29</f>
        <v>A11018STAT</v>
      </c>
      <c r="E131" s="1753" t="s">
        <v>11007</v>
      </c>
      <c r="G131">
        <f>IF('1C'!G29="","##BLANK",'1C'!G29)</f>
        <v>0</v>
      </c>
    </row>
    <row r="132" spans="2:7">
      <c r="B132" s="893" t="str">
        <f>'1C'!AF31</f>
        <v>BO4096STAT</v>
      </c>
      <c r="E132" s="1753" t="s">
        <v>11007</v>
      </c>
      <c r="G132">
        <f>IF('1C'!G31="","##BLANK",'1C'!G31)</f>
        <v>0</v>
      </c>
    </row>
    <row r="133" spans="2:7">
      <c r="B133" s="893" t="str">
        <f>'1C'!AF34</f>
        <v>A11020STAT</v>
      </c>
      <c r="E133" s="1753" t="s">
        <v>11007</v>
      </c>
      <c r="G133" t="str">
        <f>IF('1C'!G34="","##BLANK",'1C'!G34)</f>
        <v>##BLANK</v>
      </c>
    </row>
    <row r="134" spans="2:7">
      <c r="B134" s="893" t="str">
        <f>'1C'!AF35</f>
        <v>BO4051STAT</v>
      </c>
      <c r="E134" s="1753" t="s">
        <v>11007</v>
      </c>
      <c r="G134" t="str">
        <f>IF('1C'!G35="","##BLANK",'1C'!G35)</f>
        <v>##BLANK</v>
      </c>
    </row>
    <row r="135" spans="2:7">
      <c r="B135" s="893" t="str">
        <f>'1C'!AF36</f>
        <v>A11022STAT</v>
      </c>
      <c r="E135" s="1753" t="s">
        <v>11007</v>
      </c>
      <c r="G135" t="str">
        <f>IF('1C'!G36="","##BLANK",'1C'!G36)</f>
        <v>##BLANK</v>
      </c>
    </row>
    <row r="136" spans="2:7">
      <c r="B136" s="893" t="str">
        <f>'1C'!AF37</f>
        <v>A11023STAT</v>
      </c>
      <c r="E136" s="1753" t="s">
        <v>11007</v>
      </c>
      <c r="G136" t="str">
        <f>IF('1C'!G37="","##BLANK",'1C'!G37)</f>
        <v>##BLANK</v>
      </c>
    </row>
    <row r="137" spans="2:7">
      <c r="B137" s="893" t="str">
        <f>'1C'!AF38</f>
        <v>A11024STAT</v>
      </c>
      <c r="E137" s="1753" t="s">
        <v>11007</v>
      </c>
      <c r="G137" t="str">
        <f>IF('1C'!G38="","##BLANK",'1C'!G38)</f>
        <v>##BLANK</v>
      </c>
    </row>
    <row r="138" spans="2:7">
      <c r="B138" s="893" t="str">
        <f>'1C'!AF39</f>
        <v>BO4065STATGC</v>
      </c>
      <c r="E138" s="1753" t="s">
        <v>11007</v>
      </c>
      <c r="G138" t="str">
        <f>IF('1C'!G39="","##BLANK",'1C'!G39)</f>
        <v>##BLANK</v>
      </c>
    </row>
    <row r="139" spans="2:7">
      <c r="B139" s="893" t="str">
        <f>'1C'!AF40</f>
        <v>BO4065STATAA</v>
      </c>
      <c r="E139" s="1753" t="s">
        <v>11007</v>
      </c>
      <c r="G139" t="str">
        <f>IF('1C'!G40="","##BLANK",'1C'!G40)</f>
        <v>##BLANK</v>
      </c>
    </row>
    <row r="140" spans="2:7">
      <c r="B140" s="893" t="str">
        <f>'1C'!AF41</f>
        <v>BB1300APSTAT</v>
      </c>
      <c r="E140" s="1753" t="s">
        <v>11007</v>
      </c>
      <c r="G140" t="str">
        <f>IF('1C'!G41="","##BLANK",'1C'!G41)</f>
        <v>##BLANK</v>
      </c>
    </row>
    <row r="141" spans="2:7">
      <c r="B141" s="893" t="str">
        <f>'1C'!AF42</f>
        <v>BO4063STAT</v>
      </c>
      <c r="E141" s="1753" t="s">
        <v>11007</v>
      </c>
      <c r="G141" t="str">
        <f>IF('1C'!G42="","##BLANK",'1C'!G42)</f>
        <v>##BLANK</v>
      </c>
    </row>
    <row r="142" spans="2:7">
      <c r="B142" s="893" t="str">
        <f>'1C'!AF43</f>
        <v>A11025STAT</v>
      </c>
      <c r="E142" s="1753" t="s">
        <v>11007</v>
      </c>
      <c r="G142">
        <f>IF('1C'!G43="","##BLANK",'1C'!G43)</f>
        <v>0</v>
      </c>
    </row>
    <row r="143" spans="2:7">
      <c r="B143" s="893" t="str">
        <f>'1C'!AF45</f>
        <v>BO4070STAT</v>
      </c>
      <c r="E143" s="1753" t="s">
        <v>11007</v>
      </c>
      <c r="G143">
        <f>IF('1C'!G45="","##BLANK",'1C'!G45)</f>
        <v>0</v>
      </c>
    </row>
    <row r="144" spans="2:7">
      <c r="B144" s="893" t="str">
        <f>'1C'!AF48</f>
        <v>BO4100STAT</v>
      </c>
      <c r="E144" s="1753" t="s">
        <v>11007</v>
      </c>
      <c r="G144" t="str">
        <f>IF('1C'!G48="","##BLANK",'1C'!G48)</f>
        <v>##BLANK</v>
      </c>
    </row>
    <row r="145" spans="2:7">
      <c r="B145" s="893" t="str">
        <f>'1C'!AF49</f>
        <v>A11030STAT</v>
      </c>
      <c r="E145" s="1753" t="s">
        <v>11007</v>
      </c>
      <c r="G145" t="str">
        <f>IF('1C'!G49="","##BLANK",'1C'!G49)</f>
        <v>##BLANK</v>
      </c>
    </row>
    <row r="146" spans="2:7">
      <c r="B146" s="893" t="str">
        <f>'1C'!AF50</f>
        <v>BO4130STAT</v>
      </c>
      <c r="E146" s="1753" t="s">
        <v>11007</v>
      </c>
      <c r="G146">
        <f>IF('1C'!G50="","##BLANK",'1C'!G50)</f>
        <v>0</v>
      </c>
    </row>
    <row r="147" spans="2:7">
      <c r="B147" s="893" t="str">
        <f>'1C'!AG7</f>
        <v>BO4008DSR</v>
      </c>
      <c r="E147" s="1753" t="s">
        <v>11007</v>
      </c>
      <c r="G147" t="str">
        <f>IF('1C'!H7="","##BLANK",'1C'!H7)</f>
        <v>##BLANK</v>
      </c>
    </row>
    <row r="148" spans="2:7">
      <c r="B148" s="893" t="str">
        <f>'1C'!AG8</f>
        <v>A11002DSR</v>
      </c>
      <c r="E148" s="1753" t="s">
        <v>11007</v>
      </c>
      <c r="G148" t="str">
        <f>IF('1C'!H8="","##BLANK",'1C'!H8)</f>
        <v>##BLANK</v>
      </c>
    </row>
    <row r="149" spans="2:7">
      <c r="B149" s="893" t="str">
        <f>'1C'!AG9</f>
        <v>FT01670DSR</v>
      </c>
      <c r="E149" s="1753" t="s">
        <v>11007</v>
      </c>
      <c r="G149" t="str">
        <f>IF('1C'!H9="","##BLANK",'1C'!H9)</f>
        <v>##BLANK</v>
      </c>
    </row>
    <row r="150" spans="2:7">
      <c r="B150" s="893" t="str">
        <f>'1C'!AG10</f>
        <v>FT01680DSR</v>
      </c>
      <c r="E150" s="1753" t="s">
        <v>11007</v>
      </c>
      <c r="G150" t="str">
        <f>IF('1C'!H10="","##BLANK",'1C'!H10)</f>
        <v>##BLANK</v>
      </c>
    </row>
    <row r="151" spans="2:7">
      <c r="B151" s="893" t="str">
        <f>'1C'!AG11</f>
        <v>A11005DSR</v>
      </c>
      <c r="E151" s="1753" t="s">
        <v>11007</v>
      </c>
      <c r="G151" t="str">
        <f>IF('1C'!H11="","##BLANK",'1C'!H11)</f>
        <v>##BLANK</v>
      </c>
    </row>
    <row r="152" spans="2:7">
      <c r="B152" s="893" t="str">
        <f>'1C'!AG12</f>
        <v>FT01751DSR</v>
      </c>
      <c r="E152" s="1753" t="s">
        <v>11007</v>
      </c>
      <c r="G152" t="str">
        <f>IF('1C'!H12="","##BLANK",'1C'!H12)</f>
        <v>##BLANK</v>
      </c>
    </row>
    <row r="153" spans="2:7">
      <c r="B153" s="893" t="str">
        <f>'1C'!AG13</f>
        <v>A11006DSR</v>
      </c>
      <c r="E153" s="1753" t="s">
        <v>11007</v>
      </c>
      <c r="G153">
        <f>IF('1C'!H13="","##BLANK",'1C'!H13)</f>
        <v>0</v>
      </c>
    </row>
    <row r="154" spans="2:7">
      <c r="B154" s="893" t="str">
        <f>'1C'!AG16</f>
        <v>BO4084DSR</v>
      </c>
      <c r="E154" s="1753" t="s">
        <v>11007</v>
      </c>
      <c r="G154" t="str">
        <f>IF('1C'!H16="","##BLANK",'1C'!H16)</f>
        <v>##BLANK</v>
      </c>
    </row>
    <row r="155" spans="2:7">
      <c r="B155" s="893" t="str">
        <f>'1C'!AG17</f>
        <v>A11008DSR</v>
      </c>
      <c r="E155" s="1753" t="s">
        <v>11007</v>
      </c>
      <c r="G155" t="str">
        <f>IF('1C'!H17="","##BLANK",'1C'!H17)</f>
        <v>##BLANK</v>
      </c>
    </row>
    <row r="156" spans="2:7">
      <c r="B156" s="893" t="str">
        <f>'1C'!AG18</f>
        <v>A11009DSR</v>
      </c>
      <c r="E156" s="1753" t="s">
        <v>11007</v>
      </c>
      <c r="G156" t="str">
        <f>IF('1C'!H18="","##BLANK",'1C'!H18)</f>
        <v>##BLANK</v>
      </c>
    </row>
    <row r="157" spans="2:7">
      <c r="B157" s="893" t="str">
        <f>'1C'!AG19</f>
        <v>A11010DSR</v>
      </c>
      <c r="E157" s="1753" t="s">
        <v>11007</v>
      </c>
      <c r="G157" t="str">
        <f>IF('1C'!H19="","##BLANK",'1C'!H19)</f>
        <v>##BLANK</v>
      </c>
    </row>
    <row r="158" spans="2:7">
      <c r="B158" s="893" t="str">
        <f>'1C'!AG20</f>
        <v>BO4092DSR</v>
      </c>
      <c r="E158" s="1753" t="s">
        <v>11007</v>
      </c>
      <c r="G158">
        <f>IF('1C'!H20="","##BLANK",'1C'!H20)</f>
        <v>0</v>
      </c>
    </row>
    <row r="159" spans="2:7">
      <c r="B159" s="893" t="str">
        <f>'1C'!AG23</f>
        <v>A11012DSR</v>
      </c>
      <c r="E159" s="1753" t="s">
        <v>11007</v>
      </c>
      <c r="G159" t="str">
        <f>IF('1C'!H23="","##BLANK",'1C'!H23)</f>
        <v>##BLANK</v>
      </c>
    </row>
    <row r="160" spans="2:7">
      <c r="B160" s="893" t="str">
        <f>'1C'!AG24</f>
        <v>A11013DSR</v>
      </c>
      <c r="E160" s="1753" t="s">
        <v>11007</v>
      </c>
      <c r="G160" t="str">
        <f>IF('1C'!H24="","##BLANK",'1C'!H24)</f>
        <v>##BLANK</v>
      </c>
    </row>
    <row r="161" spans="2:7">
      <c r="B161" s="893" t="str">
        <f>'1C'!AG25</f>
        <v>BO4093DSR</v>
      </c>
      <c r="E161" s="1753" t="s">
        <v>11007</v>
      </c>
      <c r="G161" t="str">
        <f>IF('1C'!H25="","##BLANK",'1C'!H25)</f>
        <v>##BLANK</v>
      </c>
    </row>
    <row r="162" spans="2:7">
      <c r="B162" s="893" t="str">
        <f>'1C'!AG26</f>
        <v>A11015DSR</v>
      </c>
      <c r="E162" s="1753" t="s">
        <v>11007</v>
      </c>
      <c r="G162" t="str">
        <f>IF('1C'!H26="","##BLANK",'1C'!H26)</f>
        <v>##BLANK</v>
      </c>
    </row>
    <row r="163" spans="2:7">
      <c r="B163" s="893" t="str">
        <f>'1C'!AG27</f>
        <v>A11016DSR</v>
      </c>
      <c r="E163" s="1753" t="s">
        <v>11007</v>
      </c>
      <c r="G163" t="str">
        <f>IF('1C'!H27="","##BLANK",'1C'!H27)</f>
        <v>##BLANK</v>
      </c>
    </row>
    <row r="164" spans="2:7">
      <c r="B164" s="893" t="str">
        <f>'1C'!AG28</f>
        <v>A11017DSR</v>
      </c>
      <c r="E164" s="1753" t="s">
        <v>11007</v>
      </c>
      <c r="G164" t="str">
        <f>IF('1C'!H28="","##BLANK",'1C'!H28)</f>
        <v>##BLANK</v>
      </c>
    </row>
    <row r="165" spans="2:7">
      <c r="B165" s="893" t="str">
        <f>'1C'!AG29</f>
        <v>A11018DSR</v>
      </c>
      <c r="E165" s="1753" t="s">
        <v>11007</v>
      </c>
      <c r="G165">
        <f>IF('1C'!H29="","##BLANK",'1C'!H29)</f>
        <v>0</v>
      </c>
    </row>
    <row r="166" spans="2:7">
      <c r="B166" s="893" t="str">
        <f>'1C'!AG31</f>
        <v>BO4096DSR</v>
      </c>
      <c r="E166" s="1753" t="s">
        <v>11007</v>
      </c>
      <c r="G166">
        <f>IF('1C'!H31="","##BLANK",'1C'!H31)</f>
        <v>0</v>
      </c>
    </row>
    <row r="167" spans="2:7">
      <c r="B167" s="893" t="str">
        <f>'1C'!AG34</f>
        <v>A11020DSR</v>
      </c>
      <c r="E167" s="1753" t="s">
        <v>11007</v>
      </c>
      <c r="G167" t="str">
        <f>IF('1C'!H34="","##BLANK",'1C'!H34)</f>
        <v>##BLANK</v>
      </c>
    </row>
    <row r="168" spans="2:7">
      <c r="B168" s="893" t="str">
        <f>'1C'!AG35</f>
        <v>BO4051DSR</v>
      </c>
      <c r="E168" s="1753" t="s">
        <v>11007</v>
      </c>
      <c r="G168" t="str">
        <f>IF('1C'!H35="","##BLANK",'1C'!H35)</f>
        <v>##BLANK</v>
      </c>
    </row>
    <row r="169" spans="2:7">
      <c r="B169" s="893" t="str">
        <f>'1C'!AG36</f>
        <v>A11022DSR</v>
      </c>
      <c r="E169" s="1753" t="s">
        <v>11007</v>
      </c>
      <c r="G169" t="str">
        <f>IF('1C'!H36="","##BLANK",'1C'!H36)</f>
        <v>##BLANK</v>
      </c>
    </row>
    <row r="170" spans="2:7">
      <c r="B170" s="893" t="str">
        <f>'1C'!AG37</f>
        <v>A11023DSR</v>
      </c>
      <c r="E170" s="1753" t="s">
        <v>11007</v>
      </c>
      <c r="G170" t="str">
        <f>IF('1C'!H37="","##BLANK",'1C'!H37)</f>
        <v>##BLANK</v>
      </c>
    </row>
    <row r="171" spans="2:7">
      <c r="B171" s="893" t="str">
        <f>'1C'!AG38</f>
        <v>A11024DSR</v>
      </c>
      <c r="E171" s="1753" t="s">
        <v>11007</v>
      </c>
      <c r="G171" t="str">
        <f>IF('1C'!H38="","##BLANK",'1C'!H38)</f>
        <v>##BLANK</v>
      </c>
    </row>
    <row r="172" spans="2:7">
      <c r="B172" s="893" t="str">
        <f>'1C'!AG39</f>
        <v>BO4065DSRGC</v>
      </c>
      <c r="E172" s="1753" t="s">
        <v>11007</v>
      </c>
      <c r="G172" t="str">
        <f>IF('1C'!H39="","##BLANK",'1C'!H39)</f>
        <v>##BLANK</v>
      </c>
    </row>
    <row r="173" spans="2:7">
      <c r="B173" s="893" t="str">
        <f>'1C'!AG40</f>
        <v>BO4065DSRAA</v>
      </c>
      <c r="E173" s="1753" t="s">
        <v>11007</v>
      </c>
      <c r="G173" t="str">
        <f>IF('1C'!H40="","##BLANK",'1C'!H40)</f>
        <v>##BLANK</v>
      </c>
    </row>
    <row r="174" spans="2:7">
      <c r="B174" s="893" t="str">
        <f>'1C'!AG41</f>
        <v>BB1300APDSR</v>
      </c>
      <c r="E174" s="1753" t="s">
        <v>11007</v>
      </c>
      <c r="G174" t="str">
        <f>IF('1C'!H41="","##BLANK",'1C'!H41)</f>
        <v>##BLANK</v>
      </c>
    </row>
    <row r="175" spans="2:7">
      <c r="B175" s="893" t="str">
        <f>'1C'!AG42</f>
        <v>BO4063DSR</v>
      </c>
      <c r="E175" s="1753" t="s">
        <v>11007</v>
      </c>
      <c r="G175" t="str">
        <f>IF('1C'!H42="","##BLANK",'1C'!H42)</f>
        <v>##BLANK</v>
      </c>
    </row>
    <row r="176" spans="2:7">
      <c r="B176" s="893" t="str">
        <f>'1C'!AG43</f>
        <v>A11025DSR</v>
      </c>
      <c r="E176" s="1753" t="s">
        <v>11007</v>
      </c>
      <c r="G176">
        <f>IF('1C'!H43="","##BLANK",'1C'!H43)</f>
        <v>0</v>
      </c>
    </row>
    <row r="177" spans="2:7">
      <c r="B177" s="893" t="str">
        <f>'1C'!AG45</f>
        <v>BO4070DSR</v>
      </c>
      <c r="E177" s="1753" t="s">
        <v>11007</v>
      </c>
      <c r="G177">
        <f>IF('1C'!H45="","##BLANK",'1C'!H45)</f>
        <v>0</v>
      </c>
    </row>
    <row r="178" spans="2:7">
      <c r="B178" s="893" t="str">
        <f>'1C'!AG48</f>
        <v>BO4100DSR</v>
      </c>
      <c r="E178" s="1753" t="s">
        <v>11007</v>
      </c>
      <c r="G178" t="str">
        <f>IF('1C'!H48="","##BLANK",'1C'!H48)</f>
        <v>##BLANK</v>
      </c>
    </row>
    <row r="179" spans="2:7">
      <c r="B179" s="893" t="str">
        <f>'1C'!AG49</f>
        <v>A11030DSR</v>
      </c>
      <c r="E179" s="1753" t="s">
        <v>11007</v>
      </c>
      <c r="G179" t="str">
        <f>IF('1C'!H49="","##BLANK",'1C'!H49)</f>
        <v>##BLANK</v>
      </c>
    </row>
    <row r="180" spans="2:7">
      <c r="B180" s="893" t="str">
        <f>'1C'!AG50</f>
        <v>BO4130DSR</v>
      </c>
      <c r="E180" s="1753" t="s">
        <v>11007</v>
      </c>
      <c r="G180">
        <f>IF('1C'!H50="","##BLANK",'1C'!H50)</f>
        <v>0</v>
      </c>
    </row>
    <row r="181" spans="2:7">
      <c r="B181" s="893" t="str">
        <f>'1C'!AH7</f>
        <v>BO4008NA</v>
      </c>
      <c r="E181" s="1753" t="s">
        <v>11007</v>
      </c>
      <c r="G181" t="str">
        <f>IF('1C'!I7="","##BLANK",'1C'!I7)</f>
        <v>##BLANK</v>
      </c>
    </row>
    <row r="182" spans="2:7">
      <c r="B182" s="893" t="str">
        <f>'1C'!AH8</f>
        <v>A11002NA</v>
      </c>
      <c r="E182" s="1753" t="s">
        <v>11007</v>
      </c>
      <c r="G182" t="str">
        <f>IF('1C'!I8="","##BLANK",'1C'!I8)</f>
        <v>##BLANK</v>
      </c>
    </row>
    <row r="183" spans="2:7">
      <c r="B183" s="893" t="str">
        <f>'1C'!AH9</f>
        <v>FT01670NA</v>
      </c>
      <c r="E183" s="1753" t="s">
        <v>11007</v>
      </c>
      <c r="G183" t="str">
        <f>IF('1C'!I9="","##BLANK",'1C'!I9)</f>
        <v>##BLANK</v>
      </c>
    </row>
    <row r="184" spans="2:7">
      <c r="B184" s="893" t="str">
        <f>'1C'!AH10</f>
        <v>FT01680NA</v>
      </c>
      <c r="E184" s="1753" t="s">
        <v>11007</v>
      </c>
      <c r="G184" t="str">
        <f>IF('1C'!I10="","##BLANK",'1C'!I10)</f>
        <v>##BLANK</v>
      </c>
    </row>
    <row r="185" spans="2:7">
      <c r="B185" s="893" t="str">
        <f>'1C'!AH11</f>
        <v>A11005NA</v>
      </c>
      <c r="E185" s="1753" t="s">
        <v>11007</v>
      </c>
      <c r="G185" t="str">
        <f>IF('1C'!I11="","##BLANK",'1C'!I11)</f>
        <v>##BLANK</v>
      </c>
    </row>
    <row r="186" spans="2:7">
      <c r="B186" s="893" t="str">
        <f>'1C'!AH12</f>
        <v>FT01751NA</v>
      </c>
      <c r="E186" s="1753" t="s">
        <v>11007</v>
      </c>
      <c r="G186" t="str">
        <f>IF('1C'!I12="","##BLANK",'1C'!I12)</f>
        <v>##BLANK</v>
      </c>
    </row>
    <row r="187" spans="2:7">
      <c r="B187" s="893" t="str">
        <f>'1C'!AH13</f>
        <v>A11006NA</v>
      </c>
      <c r="E187" s="1753" t="s">
        <v>11007</v>
      </c>
      <c r="G187">
        <f>IF('1C'!I13="","##BLANK",'1C'!I13)</f>
        <v>0</v>
      </c>
    </row>
    <row r="188" spans="2:7">
      <c r="B188" s="893" t="str">
        <f>'1C'!AH16</f>
        <v>BO4084NA</v>
      </c>
      <c r="E188" s="1753" t="s">
        <v>11007</v>
      </c>
      <c r="G188" t="str">
        <f>IF('1C'!I16="","##BLANK",'1C'!I16)</f>
        <v>##BLANK</v>
      </c>
    </row>
    <row r="189" spans="2:7">
      <c r="B189" s="893" t="str">
        <f>'1C'!AH17</f>
        <v>A11008NA</v>
      </c>
      <c r="E189" s="1753" t="s">
        <v>11007</v>
      </c>
      <c r="G189" t="str">
        <f>IF('1C'!I17="","##BLANK",'1C'!I17)</f>
        <v>##BLANK</v>
      </c>
    </row>
    <row r="190" spans="2:7">
      <c r="B190" s="893" t="str">
        <f>'1C'!AH18</f>
        <v>A11009NA</v>
      </c>
      <c r="E190" s="1753" t="s">
        <v>11007</v>
      </c>
      <c r="G190" t="str">
        <f>IF('1C'!I18="","##BLANK",'1C'!I18)</f>
        <v>##BLANK</v>
      </c>
    </row>
    <row r="191" spans="2:7">
      <c r="B191" s="893" t="str">
        <f>'1C'!AH19</f>
        <v>A11010NA</v>
      </c>
      <c r="E191" s="1753" t="s">
        <v>11007</v>
      </c>
      <c r="G191" t="str">
        <f>IF('1C'!I19="","##BLANK",'1C'!I19)</f>
        <v>##BLANK</v>
      </c>
    </row>
    <row r="192" spans="2:7">
      <c r="B192" s="893" t="str">
        <f>'1C'!AH20</f>
        <v>BO4092NA</v>
      </c>
      <c r="E192" s="1753" t="s">
        <v>11007</v>
      </c>
      <c r="G192">
        <f>IF('1C'!I20="","##BLANK",'1C'!I20)</f>
        <v>0</v>
      </c>
    </row>
    <row r="193" spans="2:7">
      <c r="B193" s="893" t="str">
        <f>'1C'!AH23</f>
        <v>A11012NA</v>
      </c>
      <c r="E193" s="1753" t="s">
        <v>11007</v>
      </c>
      <c r="G193" t="str">
        <f>IF('1C'!I23="","##BLANK",'1C'!I23)</f>
        <v>##BLANK</v>
      </c>
    </row>
    <row r="194" spans="2:7">
      <c r="B194" s="893" t="str">
        <f>'1C'!AH24</f>
        <v>A11013NA</v>
      </c>
      <c r="E194" s="1753" t="s">
        <v>11007</v>
      </c>
      <c r="G194" t="str">
        <f>IF('1C'!I24="","##BLANK",'1C'!I24)</f>
        <v>##BLANK</v>
      </c>
    </row>
    <row r="195" spans="2:7">
      <c r="B195" s="893" t="str">
        <f>'1C'!AH25</f>
        <v>BO4093NA</v>
      </c>
      <c r="E195" s="1753" t="s">
        <v>11007</v>
      </c>
      <c r="G195" t="str">
        <f>IF('1C'!I25="","##BLANK",'1C'!I25)</f>
        <v>##BLANK</v>
      </c>
    </row>
    <row r="196" spans="2:7">
      <c r="B196" s="893" t="str">
        <f>'1C'!AH26</f>
        <v>A11015NA</v>
      </c>
      <c r="E196" s="1753" t="s">
        <v>11007</v>
      </c>
      <c r="G196" t="str">
        <f>IF('1C'!I26="","##BLANK",'1C'!I26)</f>
        <v>##BLANK</v>
      </c>
    </row>
    <row r="197" spans="2:7">
      <c r="B197" s="893" t="str">
        <f>'1C'!AH27</f>
        <v>A11016NA</v>
      </c>
      <c r="E197" s="1753" t="s">
        <v>11007</v>
      </c>
      <c r="G197" t="str">
        <f>IF('1C'!I27="","##BLANK",'1C'!I27)</f>
        <v>##BLANK</v>
      </c>
    </row>
    <row r="198" spans="2:7">
      <c r="B198" s="893" t="str">
        <f>'1C'!AH28</f>
        <v>A11017NA</v>
      </c>
      <c r="E198" s="1753" t="s">
        <v>11007</v>
      </c>
      <c r="G198" t="str">
        <f>IF('1C'!I28="","##BLANK",'1C'!I28)</f>
        <v>##BLANK</v>
      </c>
    </row>
    <row r="199" spans="2:7">
      <c r="B199" s="893" t="str">
        <f>'1C'!AH29</f>
        <v>A11018NA</v>
      </c>
      <c r="E199" s="1753" t="s">
        <v>11007</v>
      </c>
      <c r="G199">
        <f>IF('1C'!I29="","##BLANK",'1C'!I29)</f>
        <v>0</v>
      </c>
    </row>
    <row r="200" spans="2:7">
      <c r="B200" s="893" t="str">
        <f>'1C'!AH31</f>
        <v>BO4096NA</v>
      </c>
      <c r="E200" s="1753" t="s">
        <v>11007</v>
      </c>
      <c r="G200">
        <f>IF('1C'!I31="","##BLANK",'1C'!I31)</f>
        <v>0</v>
      </c>
    </row>
    <row r="201" spans="2:7">
      <c r="B201" s="893" t="str">
        <f>'1C'!AH34</f>
        <v>A11020NA</v>
      </c>
      <c r="E201" s="1753" t="s">
        <v>11007</v>
      </c>
      <c r="G201" t="str">
        <f>IF('1C'!I34="","##BLANK",'1C'!I34)</f>
        <v>##BLANK</v>
      </c>
    </row>
    <row r="202" spans="2:7">
      <c r="B202" s="893" t="str">
        <f>'1C'!AH35</f>
        <v>BO4051NA</v>
      </c>
      <c r="E202" s="1753" t="s">
        <v>11007</v>
      </c>
      <c r="G202" t="str">
        <f>IF('1C'!I35="","##BLANK",'1C'!I35)</f>
        <v>##BLANK</v>
      </c>
    </row>
    <row r="203" spans="2:7">
      <c r="B203" s="893" t="str">
        <f>'1C'!AH36</f>
        <v>A11022NA</v>
      </c>
      <c r="E203" s="1753" t="s">
        <v>11007</v>
      </c>
      <c r="G203" t="str">
        <f>IF('1C'!I36="","##BLANK",'1C'!I36)</f>
        <v>##BLANK</v>
      </c>
    </row>
    <row r="204" spans="2:7">
      <c r="B204" s="893" t="str">
        <f>'1C'!AH37</f>
        <v>A11023NA</v>
      </c>
      <c r="E204" s="1753" t="s">
        <v>11007</v>
      </c>
      <c r="G204" t="str">
        <f>IF('1C'!I37="","##BLANK",'1C'!I37)</f>
        <v>##BLANK</v>
      </c>
    </row>
    <row r="205" spans="2:7">
      <c r="B205" s="893" t="str">
        <f>'1C'!AH38</f>
        <v>A11024NA</v>
      </c>
      <c r="E205" s="1753" t="s">
        <v>11007</v>
      </c>
      <c r="G205" t="str">
        <f>IF('1C'!I38="","##BLANK",'1C'!I38)</f>
        <v>##BLANK</v>
      </c>
    </row>
    <row r="206" spans="2:7">
      <c r="B206" s="893" t="str">
        <f>'1C'!AH39</f>
        <v>BO4065NAGC</v>
      </c>
      <c r="E206" s="1753" t="s">
        <v>11007</v>
      </c>
      <c r="G206" t="str">
        <f>IF('1C'!I39="","##BLANK",'1C'!I39)</f>
        <v>##BLANK</v>
      </c>
    </row>
    <row r="207" spans="2:7">
      <c r="B207" s="893" t="str">
        <f>'1C'!AH40</f>
        <v>BO4065NAAA</v>
      </c>
      <c r="E207" s="1753" t="s">
        <v>11007</v>
      </c>
      <c r="G207" t="str">
        <f>IF('1C'!I40="","##BLANK",'1C'!I40)</f>
        <v>##BLANK</v>
      </c>
    </row>
    <row r="208" spans="2:7">
      <c r="B208" s="893" t="str">
        <f>'1C'!AH41</f>
        <v>BB1300APNA</v>
      </c>
      <c r="E208" s="1753" t="s">
        <v>11007</v>
      </c>
      <c r="G208" t="str">
        <f>IF('1C'!I41="","##BLANK",'1C'!I41)</f>
        <v>##BLANK</v>
      </c>
    </row>
    <row r="209" spans="2:7">
      <c r="B209" s="893" t="str">
        <f>'1C'!AH42</f>
        <v>BO4063NA</v>
      </c>
      <c r="E209" s="1753" t="s">
        <v>11007</v>
      </c>
      <c r="G209" t="str">
        <f>IF('1C'!I42="","##BLANK",'1C'!I42)</f>
        <v>##BLANK</v>
      </c>
    </row>
    <row r="210" spans="2:7">
      <c r="B210" s="893" t="str">
        <f>'1C'!AH43</f>
        <v>A11025NA</v>
      </c>
      <c r="E210" s="1753" t="s">
        <v>11007</v>
      </c>
      <c r="G210">
        <f>IF('1C'!I43="","##BLANK",'1C'!I43)</f>
        <v>0</v>
      </c>
    </row>
    <row r="211" spans="2:7">
      <c r="B211" s="893" t="str">
        <f>'1C'!AH45</f>
        <v>BO4070NA</v>
      </c>
      <c r="E211" s="1753" t="s">
        <v>11007</v>
      </c>
      <c r="G211">
        <f>IF('1C'!I45="","##BLANK",'1C'!I45)</f>
        <v>0</v>
      </c>
    </row>
    <row r="212" spans="2:7">
      <c r="B212" s="893" t="str">
        <f>'1C'!AH48</f>
        <v>BO4100NA</v>
      </c>
      <c r="E212" s="1753" t="s">
        <v>11007</v>
      </c>
      <c r="G212" t="str">
        <f>IF('1C'!I48="","##BLANK",'1C'!I48)</f>
        <v>##BLANK</v>
      </c>
    </row>
    <row r="213" spans="2:7">
      <c r="B213" s="893" t="str">
        <f>'1C'!AH49</f>
        <v>A11030NA</v>
      </c>
      <c r="E213" s="1753" t="s">
        <v>11007</v>
      </c>
      <c r="G213" t="str">
        <f>IF('1C'!I49="","##BLANK",'1C'!I49)</f>
        <v>##BLANK</v>
      </c>
    </row>
    <row r="214" spans="2:7">
      <c r="B214" s="893" t="str">
        <f>'1C'!AH50</f>
        <v>BO4130NA</v>
      </c>
      <c r="E214" s="1753" t="s">
        <v>11007</v>
      </c>
      <c r="G214">
        <f>IF('1C'!I50="","##BLANK",'1C'!I50)</f>
        <v>0</v>
      </c>
    </row>
    <row r="215" spans="2:7">
      <c r="B215" s="893" t="str">
        <f>'1C'!AI7</f>
        <v>BO4008ADJ</v>
      </c>
      <c r="E215" s="1753" t="s">
        <v>11007</v>
      </c>
      <c r="G215">
        <f>IF('1C'!J7="","##BLANK",'1C'!J7)</f>
        <v>0</v>
      </c>
    </row>
    <row r="216" spans="2:7">
      <c r="B216" s="893" t="str">
        <f>'1C'!AI8</f>
        <v>A11002ADJ</v>
      </c>
      <c r="E216" s="1753" t="s">
        <v>11007</v>
      </c>
      <c r="G216">
        <f>IF('1C'!J8="","##BLANK",'1C'!J8)</f>
        <v>0</v>
      </c>
    </row>
    <row r="217" spans="2:7">
      <c r="B217" s="893" t="str">
        <f>'1C'!AI9</f>
        <v>FT01670ADJ</v>
      </c>
      <c r="E217" s="1753" t="s">
        <v>11007</v>
      </c>
      <c r="G217">
        <f>IF('1C'!J9="","##BLANK",'1C'!J9)</f>
        <v>0</v>
      </c>
    </row>
    <row r="218" spans="2:7">
      <c r="B218" s="893" t="str">
        <f>'1C'!AI10</f>
        <v>FT01680ADJ</v>
      </c>
      <c r="E218" s="1753" t="s">
        <v>11007</v>
      </c>
      <c r="G218">
        <f>IF('1C'!J10="","##BLANK",'1C'!J10)</f>
        <v>0</v>
      </c>
    </row>
    <row r="219" spans="2:7">
      <c r="B219" s="893" t="str">
        <f>'1C'!AI11</f>
        <v>A11005ADJ</v>
      </c>
      <c r="E219" s="1753" t="s">
        <v>11007</v>
      </c>
      <c r="G219">
        <f>IF('1C'!J11="","##BLANK",'1C'!J11)</f>
        <v>0</v>
      </c>
    </row>
    <row r="220" spans="2:7">
      <c r="B220" s="893" t="str">
        <f>'1C'!AI12</f>
        <v>FT01751ADJ</v>
      </c>
      <c r="E220" s="1753" t="s">
        <v>11007</v>
      </c>
      <c r="G220">
        <f>IF('1C'!J12="","##BLANK",'1C'!J12)</f>
        <v>0</v>
      </c>
    </row>
    <row r="221" spans="2:7">
      <c r="B221" s="893" t="str">
        <f>'1C'!AI13</f>
        <v>A11006ADJ</v>
      </c>
      <c r="E221" s="1753" t="s">
        <v>11007</v>
      </c>
      <c r="G221">
        <f>IF('1C'!J13="","##BLANK",'1C'!J13)</f>
        <v>0</v>
      </c>
    </row>
    <row r="222" spans="2:7">
      <c r="B222" s="893" t="str">
        <f>'1C'!AI16</f>
        <v>BO4084ADJ</v>
      </c>
      <c r="E222" s="1753" t="s">
        <v>11007</v>
      </c>
      <c r="G222">
        <f>IF('1C'!J16="","##BLANK",'1C'!J16)</f>
        <v>0</v>
      </c>
    </row>
    <row r="223" spans="2:7">
      <c r="B223" s="893" t="str">
        <f>'1C'!AI17</f>
        <v>A11008ADJ</v>
      </c>
      <c r="E223" s="1753" t="s">
        <v>11007</v>
      </c>
      <c r="G223">
        <f>IF('1C'!J17="","##BLANK",'1C'!J17)</f>
        <v>0</v>
      </c>
    </row>
    <row r="224" spans="2:7">
      <c r="B224" s="893" t="str">
        <f>'1C'!AI18</f>
        <v>A11009ADJ</v>
      </c>
      <c r="E224" s="1753" t="s">
        <v>11007</v>
      </c>
      <c r="G224">
        <f>IF('1C'!J18="","##BLANK",'1C'!J18)</f>
        <v>0</v>
      </c>
    </row>
    <row r="225" spans="2:7">
      <c r="B225" s="893" t="str">
        <f>'1C'!AI19</f>
        <v>A11010ADJ</v>
      </c>
      <c r="E225" s="1753" t="s">
        <v>11007</v>
      </c>
      <c r="G225">
        <f>IF('1C'!J19="","##BLANK",'1C'!J19)</f>
        <v>0</v>
      </c>
    </row>
    <row r="226" spans="2:7">
      <c r="B226" s="893" t="str">
        <f>'1C'!AI20</f>
        <v>BO4092ADJ</v>
      </c>
      <c r="E226" s="1753" t="s">
        <v>11007</v>
      </c>
      <c r="G226">
        <f>IF('1C'!J20="","##BLANK",'1C'!J20)</f>
        <v>0</v>
      </c>
    </row>
    <row r="227" spans="2:7">
      <c r="B227" s="893" t="str">
        <f>'1C'!AI23</f>
        <v>A11012ADJ</v>
      </c>
      <c r="E227" s="1753" t="s">
        <v>11007</v>
      </c>
      <c r="G227">
        <f>IF('1C'!J23="","##BLANK",'1C'!J23)</f>
        <v>0</v>
      </c>
    </row>
    <row r="228" spans="2:7">
      <c r="B228" s="893" t="str">
        <f>'1C'!AI24</f>
        <v>A11013ADJ</v>
      </c>
      <c r="E228" s="1753" t="s">
        <v>11007</v>
      </c>
      <c r="G228">
        <f>IF('1C'!J24="","##BLANK",'1C'!J24)</f>
        <v>0</v>
      </c>
    </row>
    <row r="229" spans="2:7">
      <c r="B229" s="893" t="str">
        <f>'1C'!AI25</f>
        <v>BO4093ADJ</v>
      </c>
      <c r="E229" s="1753" t="s">
        <v>11007</v>
      </c>
      <c r="G229">
        <f>IF('1C'!J25="","##BLANK",'1C'!J25)</f>
        <v>0</v>
      </c>
    </row>
    <row r="230" spans="2:7">
      <c r="B230" s="893" t="str">
        <f>'1C'!AI26</f>
        <v>A11015ADJ</v>
      </c>
      <c r="E230" s="1753" t="s">
        <v>11007</v>
      </c>
      <c r="G230">
        <f>IF('1C'!J26="","##BLANK",'1C'!J26)</f>
        <v>0</v>
      </c>
    </row>
    <row r="231" spans="2:7">
      <c r="B231" s="893" t="str">
        <f>'1C'!AI27</f>
        <v>A11016ADJ</v>
      </c>
      <c r="E231" s="1753" t="s">
        <v>11007</v>
      </c>
      <c r="G231">
        <f>IF('1C'!J27="","##BLANK",'1C'!J27)</f>
        <v>0</v>
      </c>
    </row>
    <row r="232" spans="2:7">
      <c r="B232" s="893" t="str">
        <f>'1C'!AI28</f>
        <v>A11017ADJ</v>
      </c>
      <c r="E232" s="1753" t="s">
        <v>11007</v>
      </c>
      <c r="G232">
        <f>IF('1C'!J28="","##BLANK",'1C'!J28)</f>
        <v>0</v>
      </c>
    </row>
    <row r="233" spans="2:7">
      <c r="B233" s="893" t="str">
        <f>'1C'!AI29</f>
        <v>A11018ADJ</v>
      </c>
      <c r="E233" s="1753" t="s">
        <v>11007</v>
      </c>
      <c r="G233">
        <f>IF('1C'!J29="","##BLANK",'1C'!J29)</f>
        <v>0</v>
      </c>
    </row>
    <row r="234" spans="2:7">
      <c r="B234" s="893" t="str">
        <f>'1C'!AI31</f>
        <v>BO4096ADJ</v>
      </c>
      <c r="E234" s="1753" t="s">
        <v>11007</v>
      </c>
      <c r="G234">
        <f>IF('1C'!J31="","##BLANK",'1C'!J31)</f>
        <v>0</v>
      </c>
    </row>
    <row r="235" spans="2:7">
      <c r="B235" s="893" t="str">
        <f>'1C'!AI34</f>
        <v>A11020ADJ</v>
      </c>
      <c r="E235" s="1753" t="s">
        <v>11007</v>
      </c>
      <c r="G235">
        <f>IF('1C'!J34="","##BLANK",'1C'!J34)</f>
        <v>0</v>
      </c>
    </row>
    <row r="236" spans="2:7">
      <c r="B236" s="893" t="str">
        <f>'1C'!AI35</f>
        <v>BO4051ADJ</v>
      </c>
      <c r="E236" s="1753" t="s">
        <v>11007</v>
      </c>
      <c r="G236">
        <f>IF('1C'!J35="","##BLANK",'1C'!J35)</f>
        <v>0</v>
      </c>
    </row>
    <row r="237" spans="2:7">
      <c r="B237" s="893" t="str">
        <f>'1C'!AI36</f>
        <v>A11022ADJ</v>
      </c>
      <c r="E237" s="1753" t="s">
        <v>11007</v>
      </c>
      <c r="G237">
        <f>IF('1C'!J36="","##BLANK",'1C'!J36)</f>
        <v>0</v>
      </c>
    </row>
    <row r="238" spans="2:7">
      <c r="B238" s="893" t="str">
        <f>'1C'!AI37</f>
        <v>A11023ADJ</v>
      </c>
      <c r="E238" s="1753" t="s">
        <v>11007</v>
      </c>
      <c r="G238">
        <f>IF('1C'!J37="","##BLANK",'1C'!J37)</f>
        <v>0</v>
      </c>
    </row>
    <row r="239" spans="2:7">
      <c r="B239" s="893" t="str">
        <f>'1C'!AI38</f>
        <v>A11024ADJ</v>
      </c>
      <c r="E239" s="1753" t="s">
        <v>11007</v>
      </c>
      <c r="G239">
        <f>IF('1C'!J38="","##BLANK",'1C'!J38)</f>
        <v>0</v>
      </c>
    </row>
    <row r="240" spans="2:7">
      <c r="B240" s="893" t="str">
        <f>'1C'!AI39</f>
        <v>BO4065ADJGC</v>
      </c>
      <c r="E240" s="1753" t="s">
        <v>11007</v>
      </c>
      <c r="G240">
        <f>IF('1C'!J39="","##BLANK",'1C'!J39)</f>
        <v>0</v>
      </c>
    </row>
    <row r="241" spans="2:7">
      <c r="B241" s="893" t="str">
        <f>'1C'!AI40</f>
        <v>BO4065ADJAA</v>
      </c>
      <c r="E241" s="1753" t="s">
        <v>11007</v>
      </c>
      <c r="G241">
        <f>IF('1C'!J40="","##BLANK",'1C'!J40)</f>
        <v>0</v>
      </c>
    </row>
    <row r="242" spans="2:7">
      <c r="B242" s="893" t="str">
        <f>'1C'!AI41</f>
        <v>BB1300APADJ</v>
      </c>
      <c r="E242" s="1753" t="s">
        <v>11007</v>
      </c>
      <c r="G242">
        <f>IF('1C'!J41="","##BLANK",'1C'!J41)</f>
        <v>0</v>
      </c>
    </row>
    <row r="243" spans="2:7">
      <c r="B243" s="893" t="str">
        <f>'1C'!AI42</f>
        <v>BO4063ADJ</v>
      </c>
      <c r="E243" s="1753" t="s">
        <v>11007</v>
      </c>
      <c r="G243">
        <f>IF('1C'!J42="","##BLANK",'1C'!J42)</f>
        <v>0</v>
      </c>
    </row>
    <row r="244" spans="2:7">
      <c r="B244" s="893" t="str">
        <f>'1C'!AI43</f>
        <v>A11025ADJ</v>
      </c>
      <c r="E244" s="1753" t="s">
        <v>11007</v>
      </c>
      <c r="G244">
        <f>IF('1C'!J43="","##BLANK",'1C'!J43)</f>
        <v>0</v>
      </c>
    </row>
    <row r="245" spans="2:7">
      <c r="B245" s="893" t="str">
        <f>'1C'!AI45</f>
        <v>BO4070ADJ</v>
      </c>
      <c r="E245" s="1753" t="s">
        <v>11007</v>
      </c>
      <c r="G245">
        <f>IF('1C'!J45="","##BLANK",'1C'!J45)</f>
        <v>0</v>
      </c>
    </row>
    <row r="246" spans="2:7">
      <c r="B246" s="893" t="str">
        <f>'1C'!AI48</f>
        <v>BO4100ADJ</v>
      </c>
      <c r="E246" s="1753" t="s">
        <v>11007</v>
      </c>
      <c r="G246">
        <f>IF('1C'!J48="","##BLANK",'1C'!J48)</f>
        <v>0</v>
      </c>
    </row>
    <row r="247" spans="2:7">
      <c r="B247" s="893" t="str">
        <f>'1C'!AI49</f>
        <v>A11030ADJ</v>
      </c>
      <c r="E247" s="1753" t="s">
        <v>11007</v>
      </c>
      <c r="G247">
        <f>IF('1C'!J49="","##BLANK",'1C'!J49)</f>
        <v>0</v>
      </c>
    </row>
    <row r="248" spans="2:7">
      <c r="B248" s="893" t="str">
        <f>'1C'!AI50</f>
        <v>BO4130ADJ</v>
      </c>
      <c r="E248" s="1753" t="s">
        <v>11007</v>
      </c>
      <c r="G248">
        <f>IF('1C'!J50="","##BLANK",'1C'!J50)</f>
        <v>0</v>
      </c>
    </row>
    <row r="249" spans="2:7">
      <c r="B249" s="893" t="str">
        <f>'1C'!AJ7</f>
        <v>BO4008</v>
      </c>
      <c r="E249" s="1753" t="s">
        <v>11007</v>
      </c>
      <c r="G249">
        <f>IF('1C'!K7="","##BLANK",'1C'!K7)</f>
        <v>0</v>
      </c>
    </row>
    <row r="250" spans="2:7">
      <c r="B250" s="893" t="str">
        <f>'1C'!AJ8</f>
        <v>A11002</v>
      </c>
      <c r="E250" s="1753" t="s">
        <v>11007</v>
      </c>
      <c r="G250">
        <f>IF('1C'!K8="","##BLANK",'1C'!K8)</f>
        <v>0</v>
      </c>
    </row>
    <row r="251" spans="2:7">
      <c r="B251" s="893" t="str">
        <f>'1C'!AJ9</f>
        <v>FT01670</v>
      </c>
      <c r="E251" s="1753" t="s">
        <v>11007</v>
      </c>
      <c r="G251">
        <f>IF('1C'!K9="","##BLANK",'1C'!K9)</f>
        <v>0</v>
      </c>
    </row>
    <row r="252" spans="2:7">
      <c r="B252" s="893" t="str">
        <f>'1C'!AJ10</f>
        <v>FT01680</v>
      </c>
      <c r="E252" s="1753" t="s">
        <v>11007</v>
      </c>
      <c r="G252">
        <f>IF('1C'!K10="","##BLANK",'1C'!K10)</f>
        <v>0</v>
      </c>
    </row>
    <row r="253" spans="2:7">
      <c r="B253" s="893" t="str">
        <f>'1C'!AJ11</f>
        <v>A11005</v>
      </c>
      <c r="E253" s="1753" t="s">
        <v>11007</v>
      </c>
      <c r="G253">
        <f>IF('1C'!K11="","##BLANK",'1C'!K11)</f>
        <v>0</v>
      </c>
    </row>
    <row r="254" spans="2:7">
      <c r="B254" s="893" t="str">
        <f>'1C'!AJ12</f>
        <v>FT01751</v>
      </c>
      <c r="E254" s="1753" t="s">
        <v>11007</v>
      </c>
      <c r="G254">
        <f>IF('1C'!K12="","##BLANK",'1C'!K12)</f>
        <v>0</v>
      </c>
    </row>
    <row r="255" spans="2:7">
      <c r="B255" s="893" t="str">
        <f>'1C'!AJ13</f>
        <v>A11006</v>
      </c>
      <c r="E255" s="1753" t="s">
        <v>11007</v>
      </c>
      <c r="G255">
        <f>IF('1C'!K13="","##BLANK",'1C'!K13)</f>
        <v>0</v>
      </c>
    </row>
    <row r="256" spans="2:7">
      <c r="B256" s="893" t="str">
        <f>'1C'!AJ16</f>
        <v>BO4084</v>
      </c>
      <c r="E256" s="1753" t="s">
        <v>11007</v>
      </c>
      <c r="G256">
        <f>IF('1C'!K16="","##BLANK",'1C'!K16)</f>
        <v>0</v>
      </c>
    </row>
    <row r="257" spans="2:7">
      <c r="B257" s="893" t="str">
        <f>'1C'!AJ17</f>
        <v>A11008</v>
      </c>
      <c r="E257" s="1753" t="s">
        <v>11007</v>
      </c>
      <c r="G257">
        <f>IF('1C'!K17="","##BLANK",'1C'!K17)</f>
        <v>0</v>
      </c>
    </row>
    <row r="258" spans="2:7">
      <c r="B258" s="893" t="str">
        <f>'1C'!AJ18</f>
        <v>A11009</v>
      </c>
      <c r="E258" s="1753" t="s">
        <v>11007</v>
      </c>
      <c r="G258">
        <f>IF('1C'!K18="","##BLANK",'1C'!K18)</f>
        <v>0</v>
      </c>
    </row>
    <row r="259" spans="2:7">
      <c r="B259" s="893" t="str">
        <f>'1C'!AJ19</f>
        <v>A11010</v>
      </c>
      <c r="E259" s="1753" t="s">
        <v>11007</v>
      </c>
      <c r="G259">
        <f>IF('1C'!K19="","##BLANK",'1C'!K19)</f>
        <v>0</v>
      </c>
    </row>
    <row r="260" spans="2:7">
      <c r="B260" s="893" t="str">
        <f>'1C'!AJ20</f>
        <v>BO4092</v>
      </c>
      <c r="E260" s="1753" t="s">
        <v>11007</v>
      </c>
      <c r="G260">
        <f>IF('1C'!K20="","##BLANK",'1C'!K20)</f>
        <v>0</v>
      </c>
    </row>
    <row r="261" spans="2:7">
      <c r="B261" s="893" t="str">
        <f>'1C'!AJ23</f>
        <v>A11012</v>
      </c>
      <c r="E261" s="1753" t="s">
        <v>11007</v>
      </c>
      <c r="G261">
        <f>IF('1C'!K23="","##BLANK",'1C'!K23)</f>
        <v>0</v>
      </c>
    </row>
    <row r="262" spans="2:7">
      <c r="B262" s="893" t="str">
        <f>'1C'!AJ24</f>
        <v>A11013</v>
      </c>
      <c r="E262" s="1753" t="s">
        <v>11007</v>
      </c>
      <c r="G262">
        <f>IF('1C'!K24="","##BLANK",'1C'!K24)</f>
        <v>0</v>
      </c>
    </row>
    <row r="263" spans="2:7">
      <c r="B263" s="893" t="str">
        <f>'1C'!AJ25</f>
        <v>BO4093</v>
      </c>
      <c r="E263" s="1753" t="s">
        <v>11007</v>
      </c>
      <c r="G263">
        <f>IF('1C'!K25="","##BLANK",'1C'!K25)</f>
        <v>0</v>
      </c>
    </row>
    <row r="264" spans="2:7">
      <c r="B264" s="893" t="str">
        <f>'1C'!AJ26</f>
        <v>A11015</v>
      </c>
      <c r="E264" s="1753" t="s">
        <v>11007</v>
      </c>
      <c r="G264">
        <f>IF('1C'!K26="","##BLANK",'1C'!K26)</f>
        <v>0</v>
      </c>
    </row>
    <row r="265" spans="2:7">
      <c r="B265" s="893" t="str">
        <f>'1C'!AJ27</f>
        <v>A11016</v>
      </c>
      <c r="E265" s="1753" t="s">
        <v>11007</v>
      </c>
      <c r="G265">
        <f>IF('1C'!K27="","##BLANK",'1C'!K27)</f>
        <v>0</v>
      </c>
    </row>
    <row r="266" spans="2:7">
      <c r="B266" s="893" t="str">
        <f>'1C'!AJ28</f>
        <v>A11017</v>
      </c>
      <c r="E266" s="1753" t="s">
        <v>11007</v>
      </c>
      <c r="G266">
        <f>IF('1C'!K28="","##BLANK",'1C'!K28)</f>
        <v>0</v>
      </c>
    </row>
    <row r="267" spans="2:7">
      <c r="B267" s="893" t="str">
        <f>'1C'!AJ29</f>
        <v>A11018</v>
      </c>
      <c r="E267" s="1753" t="s">
        <v>11007</v>
      </c>
      <c r="G267">
        <f>IF('1C'!K29="","##BLANK",'1C'!K29)</f>
        <v>0</v>
      </c>
    </row>
    <row r="268" spans="2:7">
      <c r="B268" s="893" t="str">
        <f>'1C'!AJ31</f>
        <v>BO4096</v>
      </c>
      <c r="E268" s="1753" t="s">
        <v>11007</v>
      </c>
      <c r="G268">
        <f>IF('1C'!K31="","##BLANK",'1C'!K31)</f>
        <v>0</v>
      </c>
    </row>
    <row r="269" spans="2:7">
      <c r="B269" s="893" t="str">
        <f>'1C'!AJ34</f>
        <v>A11020</v>
      </c>
      <c r="E269" s="1753" t="s">
        <v>11007</v>
      </c>
      <c r="G269">
        <f>IF('1C'!K34="","##BLANK",'1C'!K34)</f>
        <v>0</v>
      </c>
    </row>
    <row r="270" spans="2:7">
      <c r="B270" s="893" t="str">
        <f>'1C'!AJ35</f>
        <v>BO4051</v>
      </c>
      <c r="E270" s="1753" t="s">
        <v>11007</v>
      </c>
      <c r="G270">
        <f>IF('1C'!K35="","##BLANK",'1C'!K35)</f>
        <v>0</v>
      </c>
    </row>
    <row r="271" spans="2:7">
      <c r="B271" s="893" t="str">
        <f>'1C'!AJ36</f>
        <v>A11022</v>
      </c>
      <c r="E271" s="1753" t="s">
        <v>11007</v>
      </c>
      <c r="G271">
        <f>IF('1C'!K36="","##BLANK",'1C'!K36)</f>
        <v>0</v>
      </c>
    </row>
    <row r="272" spans="2:7">
      <c r="B272" s="893" t="str">
        <f>'1C'!AJ37</f>
        <v>A11023</v>
      </c>
      <c r="E272" s="1753" t="s">
        <v>11007</v>
      </c>
      <c r="G272">
        <f>IF('1C'!K37="","##BLANK",'1C'!K37)</f>
        <v>0</v>
      </c>
    </row>
    <row r="273" spans="2:7">
      <c r="B273" s="893" t="str">
        <f>'1C'!AJ38</f>
        <v>A11024</v>
      </c>
      <c r="E273" s="1753" t="s">
        <v>11007</v>
      </c>
      <c r="G273">
        <f>IF('1C'!K38="","##BLANK",'1C'!K38)</f>
        <v>0</v>
      </c>
    </row>
    <row r="274" spans="2:7">
      <c r="B274" s="893" t="str">
        <f>'1C'!AJ39</f>
        <v>BO4065GC</v>
      </c>
      <c r="E274" s="1753" t="s">
        <v>11007</v>
      </c>
      <c r="G274">
        <f>IF('1C'!K39="","##BLANK",'1C'!K39)</f>
        <v>0</v>
      </c>
    </row>
    <row r="275" spans="2:7">
      <c r="B275" s="893" t="str">
        <f>'1C'!AJ40</f>
        <v>BO4065AA</v>
      </c>
      <c r="E275" s="1753" t="s">
        <v>11007</v>
      </c>
      <c r="G275">
        <f>IF('1C'!K40="","##BLANK",'1C'!K40)</f>
        <v>0</v>
      </c>
    </row>
    <row r="276" spans="2:7">
      <c r="B276" s="893" t="str">
        <f>'1C'!AJ41</f>
        <v>BB1300AP</v>
      </c>
      <c r="E276" s="1753" t="s">
        <v>11007</v>
      </c>
      <c r="G276">
        <f>IF('1C'!K41="","##BLANK",'1C'!K41)</f>
        <v>0</v>
      </c>
    </row>
    <row r="277" spans="2:7">
      <c r="B277" s="893" t="str">
        <f>'1C'!AJ42</f>
        <v>BO4063</v>
      </c>
      <c r="E277" s="1753" t="s">
        <v>11007</v>
      </c>
      <c r="G277">
        <f>IF('1C'!K42="","##BLANK",'1C'!K42)</f>
        <v>0</v>
      </c>
    </row>
    <row r="278" spans="2:7">
      <c r="B278" s="893" t="str">
        <f>'1C'!AJ43</f>
        <v>A11025</v>
      </c>
      <c r="E278" s="1753" t="s">
        <v>11007</v>
      </c>
      <c r="G278">
        <f>IF('1C'!K43="","##BLANK",'1C'!K43)</f>
        <v>0</v>
      </c>
    </row>
    <row r="279" spans="2:7">
      <c r="B279" s="893" t="str">
        <f>'1C'!AJ45</f>
        <v>BO4070</v>
      </c>
      <c r="E279" s="1753" t="s">
        <v>11007</v>
      </c>
      <c r="G279">
        <f>IF('1C'!K45="","##BLANK",'1C'!K45)</f>
        <v>0</v>
      </c>
    </row>
    <row r="280" spans="2:7">
      <c r="B280" s="893" t="str">
        <f>'1C'!AJ48</f>
        <v>BO4100</v>
      </c>
      <c r="E280" s="1753" t="s">
        <v>11007</v>
      </c>
      <c r="G280">
        <f>IF('1C'!K48="","##BLANK",'1C'!K48)</f>
        <v>0</v>
      </c>
    </row>
    <row r="281" spans="2:7">
      <c r="B281" s="893" t="str">
        <f>'1C'!AJ49</f>
        <v>A11030</v>
      </c>
      <c r="E281" s="1753" t="s">
        <v>11007</v>
      </c>
      <c r="G281">
        <f>IF('1C'!K49="","##BLANK",'1C'!K49)</f>
        <v>0</v>
      </c>
    </row>
    <row r="282" spans="2:7">
      <c r="B282" s="893" t="str">
        <f>'1C'!AJ50</f>
        <v>BO4130</v>
      </c>
      <c r="E282" s="1753" t="s">
        <v>11007</v>
      </c>
      <c r="G282">
        <f>IF('1C'!K50="","##BLANK",'1C'!K50)</f>
        <v>0</v>
      </c>
    </row>
    <row r="283" spans="2:7">
      <c r="B283" s="893" t="str">
        <f>'1D'!AF8</f>
        <v>BO5002STAT</v>
      </c>
      <c r="E283" s="1753" t="s">
        <v>11007</v>
      </c>
      <c r="G283" t="str">
        <f>IF('1D'!G8="","##BLANK",'1D'!G8)</f>
        <v>##BLANK</v>
      </c>
    </row>
    <row r="284" spans="2:7">
      <c r="B284" s="893" t="str">
        <f>'1D'!AF9</f>
        <v>A14002STAT</v>
      </c>
      <c r="E284" s="1753" t="s">
        <v>11007</v>
      </c>
      <c r="G284" t="str">
        <f>IF('1D'!G9="","##BLANK",'1D'!G9)</f>
        <v>##BLANK</v>
      </c>
    </row>
    <row r="285" spans="2:7">
      <c r="B285" s="893" t="str">
        <f>'1D'!AF10</f>
        <v>A3028STAT</v>
      </c>
      <c r="E285" s="1753" t="s">
        <v>11007</v>
      </c>
      <c r="G285" t="str">
        <f>IF('1D'!G10="","##BLANK",'1D'!G10)</f>
        <v>##BLANK</v>
      </c>
    </row>
    <row r="286" spans="2:7">
      <c r="B286" s="893" t="str">
        <f>'1D'!AF11</f>
        <v>FT01810STAT</v>
      </c>
      <c r="E286" s="1753" t="s">
        <v>11007</v>
      </c>
      <c r="G286" t="str">
        <f>IF('1D'!G11="","##BLANK",'1D'!G11)</f>
        <v>##BLANK</v>
      </c>
    </row>
    <row r="287" spans="2:7">
      <c r="B287" s="893" t="str">
        <f>'1D'!AF12</f>
        <v>A14005STAT</v>
      </c>
      <c r="E287" s="1753" t="s">
        <v>11007</v>
      </c>
      <c r="G287" t="str">
        <f>IF('1D'!G12="","##BLANK",'1D'!G12)</f>
        <v>##BLANK</v>
      </c>
    </row>
    <row r="288" spans="2:7">
      <c r="B288" s="893" t="str">
        <f>'1D'!AF13</f>
        <v>BO5020STAT</v>
      </c>
      <c r="E288" s="1753" t="s">
        <v>11007</v>
      </c>
      <c r="G288" t="str">
        <f>IF('1D'!G13="","##BLANK",'1D'!G13)</f>
        <v>##BLANK</v>
      </c>
    </row>
    <row r="289" spans="2:7">
      <c r="B289" s="893" t="str">
        <f>'1D'!AF14</f>
        <v>BO5004STAT</v>
      </c>
      <c r="E289" s="1753" t="s">
        <v>11007</v>
      </c>
      <c r="G289" t="str">
        <f>IF('1D'!G14="","##BLANK",'1D'!G14)</f>
        <v>##BLANK</v>
      </c>
    </row>
    <row r="290" spans="2:7">
      <c r="B290" s="893" t="str">
        <f>'1D'!AF15</f>
        <v>BO5040STAT</v>
      </c>
      <c r="E290" s="1753" t="s">
        <v>11007</v>
      </c>
      <c r="G290">
        <f>IF('1D'!G15="","##BLANK",'1D'!G15)</f>
        <v>0</v>
      </c>
    </row>
    <row r="291" spans="2:7">
      <c r="B291" s="893" t="str">
        <f>'1D'!AF17</f>
        <v>A14008STAT</v>
      </c>
      <c r="E291" s="1753" t="s">
        <v>11007</v>
      </c>
      <c r="G291" t="str">
        <f>IF('1D'!G17="","##BLANK",'1D'!G17)</f>
        <v>##BLANK</v>
      </c>
    </row>
    <row r="292" spans="2:7">
      <c r="B292" s="893" t="str">
        <f>'1D'!AF18</f>
        <v>BO5070STAT</v>
      </c>
      <c r="E292" s="1753" t="s">
        <v>11007</v>
      </c>
      <c r="G292" t="str">
        <f>IF('1D'!G18="","##BLANK",'1D'!G18)</f>
        <v>##BLANK</v>
      </c>
    </row>
    <row r="293" spans="2:7">
      <c r="B293" s="893" t="str">
        <f>'1D'!AF19</f>
        <v>A14010STAT</v>
      </c>
      <c r="E293" s="1753" t="s">
        <v>11007</v>
      </c>
      <c r="G293">
        <f>IF('1D'!G19="","##BLANK",'1D'!G19)</f>
        <v>0</v>
      </c>
    </row>
    <row r="294" spans="2:7">
      <c r="B294" s="893" t="str">
        <f>'1D'!AF22</f>
        <v>BO5080STAT</v>
      </c>
      <c r="E294" s="1753" t="s">
        <v>11007</v>
      </c>
      <c r="G294" t="str">
        <f>IF('1D'!G22="","##BLANK",'1D'!G22)</f>
        <v>##BLANK</v>
      </c>
    </row>
    <row r="295" spans="2:7">
      <c r="B295" s="893" t="str">
        <f>'1D'!AF23</f>
        <v>BO5081STAT</v>
      </c>
      <c r="E295" s="1753" t="s">
        <v>11007</v>
      </c>
      <c r="G295" t="str">
        <f>IF('1D'!G23="","##BLANK",'1D'!G23)</f>
        <v>##BLANK</v>
      </c>
    </row>
    <row r="296" spans="2:7">
      <c r="B296" s="893" t="str">
        <f>'1D'!AF24</f>
        <v>BO5084STAT</v>
      </c>
      <c r="E296" s="1753" t="s">
        <v>11007</v>
      </c>
      <c r="G296" t="str">
        <f>IF('1D'!G24="","##BLANK",'1D'!G24)</f>
        <v>##BLANK</v>
      </c>
    </row>
    <row r="297" spans="2:7">
      <c r="B297" s="893" t="str">
        <f>'1D'!AF25</f>
        <v>BO5085STAT</v>
      </c>
      <c r="E297" s="1753" t="s">
        <v>11007</v>
      </c>
      <c r="G297" t="str">
        <f>IF('1D'!G25="","##BLANK",'1D'!G25)</f>
        <v>##BLANK</v>
      </c>
    </row>
    <row r="298" spans="2:7">
      <c r="B298" s="893" t="str">
        <f>'1D'!AF26</f>
        <v>BO5086STAT</v>
      </c>
      <c r="E298" s="1753" t="s">
        <v>11007</v>
      </c>
      <c r="G298">
        <f>IF('1D'!G26="","##BLANK",'1D'!G26)</f>
        <v>0</v>
      </c>
    </row>
    <row r="299" spans="2:7">
      <c r="B299" s="893" t="str">
        <f>'1D'!AF28</f>
        <v>A14017STAT</v>
      </c>
      <c r="E299" s="1753" t="s">
        <v>11007</v>
      </c>
      <c r="G299">
        <f>IF('1D'!G28="","##BLANK",'1D'!G28)</f>
        <v>0</v>
      </c>
    </row>
    <row r="300" spans="2:7">
      <c r="B300" s="893" t="str">
        <f>'1D'!AF31</f>
        <v>BO5204STAT</v>
      </c>
      <c r="E300" s="1753" t="s">
        <v>11007</v>
      </c>
      <c r="G300" t="str">
        <f>IF('1D'!G31="","##BLANK",'1D'!G31)</f>
        <v>##BLANK</v>
      </c>
    </row>
    <row r="301" spans="2:7">
      <c r="B301" s="893" t="str">
        <f>'1D'!AF32</f>
        <v>A14019STAT</v>
      </c>
      <c r="E301" s="1753" t="s">
        <v>11007</v>
      </c>
      <c r="G301" t="str">
        <f>IF('1D'!G32="","##BLANK",'1D'!G32)</f>
        <v>##BLANK</v>
      </c>
    </row>
    <row r="302" spans="2:7">
      <c r="B302" s="893" t="str">
        <f>'1D'!AF33</f>
        <v>BO5095STAT</v>
      </c>
      <c r="E302" s="1753" t="s">
        <v>11007</v>
      </c>
      <c r="G302" t="str">
        <f>IF('1D'!G33="","##BLANK",'1D'!G33)</f>
        <v>##BLANK</v>
      </c>
    </row>
    <row r="303" spans="2:7">
      <c r="B303" s="893" t="str">
        <f>'1D'!AF34</f>
        <v>BO5096STAT</v>
      </c>
      <c r="E303" s="1753" t="s">
        <v>11007</v>
      </c>
      <c r="G303">
        <f>IF('1D'!G34="","##BLANK",'1D'!G34)</f>
        <v>0</v>
      </c>
    </row>
    <row r="304" spans="2:7">
      <c r="B304" s="893" t="str">
        <f>'1D'!AF36</f>
        <v>BO5098STAT</v>
      </c>
      <c r="E304" s="1753" t="s">
        <v>11007</v>
      </c>
      <c r="G304">
        <f>IF('1D'!G36="","##BLANK",'1D'!G36)</f>
        <v>0</v>
      </c>
    </row>
    <row r="305" spans="2:7">
      <c r="B305" s="893" t="str">
        <f>'1D'!AG8</f>
        <v>BO5002DSR</v>
      </c>
      <c r="E305" s="1753" t="s">
        <v>11007</v>
      </c>
      <c r="G305" t="str">
        <f>IF('1D'!H8="","##BLANK",'1D'!H8)</f>
        <v>##BLANK</v>
      </c>
    </row>
    <row r="306" spans="2:7">
      <c r="B306" s="893" t="str">
        <f>'1D'!AG9</f>
        <v>A14002DSR</v>
      </c>
      <c r="E306" s="1753" t="s">
        <v>11007</v>
      </c>
      <c r="G306" t="str">
        <f>IF('1D'!H9="","##BLANK",'1D'!H9)</f>
        <v>##BLANK</v>
      </c>
    </row>
    <row r="307" spans="2:7">
      <c r="B307" s="893" t="str">
        <f>'1D'!AG10</f>
        <v>A3028DSR</v>
      </c>
      <c r="E307" s="1753" t="s">
        <v>11007</v>
      </c>
      <c r="G307" t="str">
        <f>IF('1D'!H10="","##BLANK",'1D'!H10)</f>
        <v>##BLANK</v>
      </c>
    </row>
    <row r="308" spans="2:7">
      <c r="B308" s="893" t="str">
        <f>'1D'!AG11</f>
        <v>FT01810DSR</v>
      </c>
      <c r="E308" s="1753" t="s">
        <v>11007</v>
      </c>
      <c r="G308" t="str">
        <f>IF('1D'!H11="","##BLANK",'1D'!H11)</f>
        <v>##BLANK</v>
      </c>
    </row>
    <row r="309" spans="2:7">
      <c r="B309" s="893" t="str">
        <f>'1D'!AG12</f>
        <v>A14005DSR</v>
      </c>
      <c r="E309" s="1753" t="s">
        <v>11007</v>
      </c>
      <c r="G309" t="str">
        <f>IF('1D'!H12="","##BLANK",'1D'!H12)</f>
        <v>##BLANK</v>
      </c>
    </row>
    <row r="310" spans="2:7">
      <c r="B310" s="893" t="str">
        <f>'1D'!AG13</f>
        <v>BO5020DSR</v>
      </c>
      <c r="E310" s="1753" t="s">
        <v>11007</v>
      </c>
      <c r="G310" t="str">
        <f>IF('1D'!H13="","##BLANK",'1D'!H13)</f>
        <v>##BLANK</v>
      </c>
    </row>
    <row r="311" spans="2:7">
      <c r="B311" s="893" t="str">
        <f>'1D'!AG14</f>
        <v>BO5004DSR</v>
      </c>
      <c r="E311" s="1753" t="s">
        <v>11007</v>
      </c>
      <c r="G311" t="str">
        <f>IF('1D'!H14="","##BLANK",'1D'!H14)</f>
        <v>##BLANK</v>
      </c>
    </row>
    <row r="312" spans="2:7">
      <c r="B312" s="893" t="str">
        <f>'1D'!AG15</f>
        <v>BO5040DSR</v>
      </c>
      <c r="E312" s="1753" t="s">
        <v>11007</v>
      </c>
      <c r="G312">
        <f>IF('1D'!H15="","##BLANK",'1D'!H15)</f>
        <v>0</v>
      </c>
    </row>
    <row r="313" spans="2:7">
      <c r="B313" s="893" t="str">
        <f>'1D'!AG17</f>
        <v>A14008DSR</v>
      </c>
      <c r="E313" s="1753" t="s">
        <v>11007</v>
      </c>
      <c r="G313" t="str">
        <f>IF('1D'!H17="","##BLANK",'1D'!H17)</f>
        <v>##BLANK</v>
      </c>
    </row>
    <row r="314" spans="2:7">
      <c r="B314" s="893" t="str">
        <f>'1D'!AG18</f>
        <v>BO5070DSR</v>
      </c>
      <c r="E314" s="1753" t="s">
        <v>11007</v>
      </c>
      <c r="G314" t="str">
        <f>IF('1D'!H18="","##BLANK",'1D'!H18)</f>
        <v>##BLANK</v>
      </c>
    </row>
    <row r="315" spans="2:7">
      <c r="B315" s="893" t="str">
        <f>'1D'!AG19</f>
        <v>A14010DSR</v>
      </c>
      <c r="E315" s="1753" t="s">
        <v>11007</v>
      </c>
      <c r="G315">
        <f>IF('1D'!H19="","##BLANK",'1D'!H19)</f>
        <v>0</v>
      </c>
    </row>
    <row r="316" spans="2:7">
      <c r="B316" s="893" t="str">
        <f>'1D'!AG22</f>
        <v>BO5080DSR</v>
      </c>
      <c r="E316" s="1753" t="s">
        <v>11007</v>
      </c>
      <c r="G316" t="str">
        <f>IF('1D'!H22="","##BLANK",'1D'!H22)</f>
        <v>##BLANK</v>
      </c>
    </row>
    <row r="317" spans="2:7">
      <c r="B317" s="893" t="str">
        <f>'1D'!AG23</f>
        <v>BO5081DSR</v>
      </c>
      <c r="E317" s="1753" t="s">
        <v>11007</v>
      </c>
      <c r="G317" t="str">
        <f>IF('1D'!H23="","##BLANK",'1D'!H23)</f>
        <v>##BLANK</v>
      </c>
    </row>
    <row r="318" spans="2:7">
      <c r="B318" s="893" t="str">
        <f>'1D'!AG24</f>
        <v>BO5084DSR</v>
      </c>
      <c r="E318" s="1753" t="s">
        <v>11007</v>
      </c>
      <c r="G318" t="str">
        <f>IF('1D'!H24="","##BLANK",'1D'!H24)</f>
        <v>##BLANK</v>
      </c>
    </row>
    <row r="319" spans="2:7">
      <c r="B319" s="893" t="str">
        <f>'1D'!AG25</f>
        <v>BO5085DSR</v>
      </c>
      <c r="E319" s="1753" t="s">
        <v>11007</v>
      </c>
      <c r="G319" t="str">
        <f>IF('1D'!H25="","##BLANK",'1D'!H25)</f>
        <v>##BLANK</v>
      </c>
    </row>
    <row r="320" spans="2:7">
      <c r="B320" s="893" t="str">
        <f>'1D'!AG26</f>
        <v>BO5086DSR</v>
      </c>
      <c r="E320" s="1753" t="s">
        <v>11007</v>
      </c>
      <c r="G320">
        <f>IF('1D'!H26="","##BLANK",'1D'!H26)</f>
        <v>0</v>
      </c>
    </row>
    <row r="321" spans="2:7">
      <c r="B321" s="893" t="str">
        <f>'1D'!AG28</f>
        <v>A14017DSR</v>
      </c>
      <c r="E321" s="1753" t="s">
        <v>11007</v>
      </c>
      <c r="G321">
        <f>IF('1D'!H28="","##BLANK",'1D'!H28)</f>
        <v>0</v>
      </c>
    </row>
    <row r="322" spans="2:7">
      <c r="B322" s="893" t="str">
        <f>'1D'!AG31</f>
        <v>BO5204DSR</v>
      </c>
      <c r="E322" s="1753" t="s">
        <v>11007</v>
      </c>
      <c r="G322" t="str">
        <f>IF('1D'!H31="","##BLANK",'1D'!H31)</f>
        <v>##BLANK</v>
      </c>
    </row>
    <row r="323" spans="2:7">
      <c r="B323" s="893" t="str">
        <f>'1D'!AG32</f>
        <v>A14019DSR</v>
      </c>
      <c r="E323" s="1753" t="s">
        <v>11007</v>
      </c>
      <c r="G323" t="str">
        <f>IF('1D'!H32="","##BLANK",'1D'!H32)</f>
        <v>##BLANK</v>
      </c>
    </row>
    <row r="324" spans="2:7">
      <c r="B324" s="893" t="str">
        <f>'1D'!AG33</f>
        <v>BO5095DSR</v>
      </c>
      <c r="E324" s="1753" t="s">
        <v>11007</v>
      </c>
      <c r="G324" t="str">
        <f>IF('1D'!H33="","##BLANK",'1D'!H33)</f>
        <v>##BLANK</v>
      </c>
    </row>
    <row r="325" spans="2:7">
      <c r="B325" s="893" t="str">
        <f>'1D'!AG34</f>
        <v>BO5096DSR</v>
      </c>
      <c r="E325" s="1753" t="s">
        <v>11007</v>
      </c>
      <c r="G325">
        <f>IF('1D'!H34="","##BLANK",'1D'!H34)</f>
        <v>0</v>
      </c>
    </row>
    <row r="326" spans="2:7">
      <c r="B326" s="893" t="str">
        <f>'1D'!AG36</f>
        <v>BO5098DSR</v>
      </c>
      <c r="E326" s="1753" t="s">
        <v>11007</v>
      </c>
      <c r="G326">
        <f>IF('1D'!H36="","##BLANK",'1D'!H36)</f>
        <v>0</v>
      </c>
    </row>
    <row r="327" spans="2:7">
      <c r="B327" s="893" t="str">
        <f>'1D'!AH8</f>
        <v>BO5002NA</v>
      </c>
      <c r="E327" s="1753" t="s">
        <v>11007</v>
      </c>
      <c r="G327" t="str">
        <f>IF('1D'!I8="","##BLANK",'1D'!I8)</f>
        <v>##BLANK</v>
      </c>
    </row>
    <row r="328" spans="2:7">
      <c r="B328" s="893" t="str">
        <f>'1D'!AH9</f>
        <v>A14002NA</v>
      </c>
      <c r="E328" s="1753" t="s">
        <v>11007</v>
      </c>
      <c r="G328" t="str">
        <f>IF('1D'!I9="","##BLANK",'1D'!I9)</f>
        <v>##BLANK</v>
      </c>
    </row>
    <row r="329" spans="2:7">
      <c r="B329" s="893" t="str">
        <f>'1D'!AH10</f>
        <v>A3028NA</v>
      </c>
      <c r="E329" s="1753" t="s">
        <v>11007</v>
      </c>
      <c r="G329" t="str">
        <f>IF('1D'!I10="","##BLANK",'1D'!I10)</f>
        <v>##BLANK</v>
      </c>
    </row>
    <row r="330" spans="2:7">
      <c r="B330" s="893" t="str">
        <f>'1D'!AH11</f>
        <v>FT01810NA</v>
      </c>
      <c r="E330" s="1753" t="s">
        <v>11007</v>
      </c>
      <c r="G330" t="str">
        <f>IF('1D'!I11="","##BLANK",'1D'!I11)</f>
        <v>##BLANK</v>
      </c>
    </row>
    <row r="331" spans="2:7">
      <c r="B331" s="893" t="str">
        <f>'1D'!AH12</f>
        <v>A14005NA</v>
      </c>
      <c r="E331" s="1753" t="s">
        <v>11007</v>
      </c>
      <c r="G331" t="str">
        <f>IF('1D'!I12="","##BLANK",'1D'!I12)</f>
        <v>##BLANK</v>
      </c>
    </row>
    <row r="332" spans="2:7">
      <c r="B332" s="893" t="str">
        <f>'1D'!AH13</f>
        <v>BO5020NA</v>
      </c>
      <c r="E332" s="1753" t="s">
        <v>11007</v>
      </c>
      <c r="G332" t="str">
        <f>IF('1D'!I13="","##BLANK",'1D'!I13)</f>
        <v>##BLANK</v>
      </c>
    </row>
    <row r="333" spans="2:7">
      <c r="B333" s="893" t="str">
        <f>'1D'!AH14</f>
        <v>BO5004NA</v>
      </c>
      <c r="E333" s="1753" t="s">
        <v>11007</v>
      </c>
      <c r="G333" t="str">
        <f>IF('1D'!I14="","##BLANK",'1D'!I14)</f>
        <v>##BLANK</v>
      </c>
    </row>
    <row r="334" spans="2:7">
      <c r="B334" s="893" t="str">
        <f>'1D'!AH15</f>
        <v>BO5040NA</v>
      </c>
      <c r="E334" s="1753" t="s">
        <v>11007</v>
      </c>
      <c r="G334">
        <f>IF('1D'!I15="","##BLANK",'1D'!I15)</f>
        <v>0</v>
      </c>
    </row>
    <row r="335" spans="2:7">
      <c r="B335" s="893" t="str">
        <f>'1D'!AH17</f>
        <v>A14008NA</v>
      </c>
      <c r="E335" s="1753" t="s">
        <v>11007</v>
      </c>
      <c r="G335" t="str">
        <f>IF('1D'!I17="","##BLANK",'1D'!I17)</f>
        <v>##BLANK</v>
      </c>
    </row>
    <row r="336" spans="2:7">
      <c r="B336" s="893" t="str">
        <f>'1D'!AH18</f>
        <v>BO5070NA</v>
      </c>
      <c r="E336" s="1753" t="s">
        <v>11007</v>
      </c>
      <c r="G336" t="str">
        <f>IF('1D'!I18="","##BLANK",'1D'!I18)</f>
        <v>##BLANK</v>
      </c>
    </row>
    <row r="337" spans="2:7">
      <c r="B337" s="893" t="str">
        <f>'1D'!AH19</f>
        <v>A14010NA</v>
      </c>
      <c r="E337" s="1753" t="s">
        <v>11007</v>
      </c>
      <c r="G337">
        <f>IF('1D'!I19="","##BLANK",'1D'!I19)</f>
        <v>0</v>
      </c>
    </row>
    <row r="338" spans="2:7">
      <c r="B338" s="893" t="str">
        <f>'1D'!AH22</f>
        <v>BO5080NA</v>
      </c>
      <c r="E338" s="1753" t="s">
        <v>11007</v>
      </c>
      <c r="G338" t="str">
        <f>IF('1D'!I22="","##BLANK",'1D'!I22)</f>
        <v>##BLANK</v>
      </c>
    </row>
    <row r="339" spans="2:7">
      <c r="B339" s="893" t="str">
        <f>'1D'!AH23</f>
        <v>BO5081NA</v>
      </c>
      <c r="E339" s="1753" t="s">
        <v>11007</v>
      </c>
      <c r="G339" t="str">
        <f>IF('1D'!I23="","##BLANK",'1D'!I23)</f>
        <v>##BLANK</v>
      </c>
    </row>
    <row r="340" spans="2:7">
      <c r="B340" s="893" t="str">
        <f>'1D'!AH24</f>
        <v>BO5084NA</v>
      </c>
      <c r="E340" s="1753" t="s">
        <v>11007</v>
      </c>
      <c r="G340" t="str">
        <f>IF('1D'!I24="","##BLANK",'1D'!I24)</f>
        <v>##BLANK</v>
      </c>
    </row>
    <row r="341" spans="2:7">
      <c r="B341" s="893" t="str">
        <f>'1D'!AH25</f>
        <v>BO5085NA</v>
      </c>
      <c r="E341" s="1753" t="s">
        <v>11007</v>
      </c>
      <c r="G341" t="str">
        <f>IF('1D'!I25="","##BLANK",'1D'!I25)</f>
        <v>##BLANK</v>
      </c>
    </row>
    <row r="342" spans="2:7">
      <c r="B342" s="893" t="str">
        <f>'1D'!AH26</f>
        <v>BO5086NA</v>
      </c>
      <c r="E342" s="1753" t="s">
        <v>11007</v>
      </c>
      <c r="G342">
        <f>IF('1D'!I26="","##BLANK",'1D'!I26)</f>
        <v>0</v>
      </c>
    </row>
    <row r="343" spans="2:7">
      <c r="B343" s="893" t="str">
        <f>'1D'!AH28</f>
        <v>A14017NA</v>
      </c>
      <c r="E343" s="1753" t="s">
        <v>11007</v>
      </c>
      <c r="G343">
        <f>IF('1D'!I28="","##BLANK",'1D'!I28)</f>
        <v>0</v>
      </c>
    </row>
    <row r="344" spans="2:7">
      <c r="B344" s="893" t="str">
        <f>'1D'!AH31</f>
        <v>BO5204NA</v>
      </c>
      <c r="E344" s="1753" t="s">
        <v>11007</v>
      </c>
      <c r="G344" t="str">
        <f>IF('1D'!I31="","##BLANK",'1D'!I31)</f>
        <v>##BLANK</v>
      </c>
    </row>
    <row r="345" spans="2:7">
      <c r="B345" s="893" t="str">
        <f>'1D'!AH32</f>
        <v>A14019NA</v>
      </c>
      <c r="E345" s="1753" t="s">
        <v>11007</v>
      </c>
      <c r="G345" t="str">
        <f>IF('1D'!I32="","##BLANK",'1D'!I32)</f>
        <v>##BLANK</v>
      </c>
    </row>
    <row r="346" spans="2:7">
      <c r="B346" s="893" t="str">
        <f>'1D'!AH33</f>
        <v>BO5095NA</v>
      </c>
      <c r="E346" s="1753" t="s">
        <v>11007</v>
      </c>
      <c r="G346" t="str">
        <f>IF('1D'!I33="","##BLANK",'1D'!I33)</f>
        <v>##BLANK</v>
      </c>
    </row>
    <row r="347" spans="2:7">
      <c r="B347" s="893" t="str">
        <f>'1D'!AH34</f>
        <v>BO5096NA</v>
      </c>
      <c r="E347" s="1753" t="s">
        <v>11007</v>
      </c>
      <c r="G347">
        <f>IF('1D'!I34="","##BLANK",'1D'!I34)</f>
        <v>0</v>
      </c>
    </row>
    <row r="348" spans="2:7">
      <c r="B348" s="893" t="str">
        <f>'1D'!AH36</f>
        <v>BO5098NA</v>
      </c>
      <c r="E348" s="1753" t="s">
        <v>11007</v>
      </c>
      <c r="G348">
        <f>IF('1D'!I36="","##BLANK",'1D'!I36)</f>
        <v>0</v>
      </c>
    </row>
    <row r="349" spans="2:7">
      <c r="B349" s="893" t="str">
        <f>'1D'!AI8</f>
        <v>BO5002ADJ</v>
      </c>
      <c r="E349" s="1753" t="s">
        <v>11007</v>
      </c>
      <c r="G349">
        <f>IF('1D'!J8="","##BLANK",'1D'!J8)</f>
        <v>0</v>
      </c>
    </row>
    <row r="350" spans="2:7">
      <c r="B350" s="893" t="str">
        <f>'1D'!AI9</f>
        <v>A14002ADJ</v>
      </c>
      <c r="E350" s="1753" t="s">
        <v>11007</v>
      </c>
      <c r="G350">
        <f>IF('1D'!J9="","##BLANK",'1D'!J9)</f>
        <v>0</v>
      </c>
    </row>
    <row r="351" spans="2:7">
      <c r="B351" s="893" t="str">
        <f>'1D'!AI10</f>
        <v>A3028ADJ</v>
      </c>
      <c r="E351" s="1753" t="s">
        <v>11007</v>
      </c>
      <c r="G351">
        <f>IF('1D'!J10="","##BLANK",'1D'!J10)</f>
        <v>0</v>
      </c>
    </row>
    <row r="352" spans="2:7">
      <c r="B352" s="893" t="str">
        <f>'1D'!AI11</f>
        <v>FT01810ADJ</v>
      </c>
      <c r="E352" s="1753" t="s">
        <v>11007</v>
      </c>
      <c r="G352">
        <f>IF('1D'!J11="","##BLANK",'1D'!J11)</f>
        <v>0</v>
      </c>
    </row>
    <row r="353" spans="2:7">
      <c r="B353" s="893" t="str">
        <f>'1D'!AI12</f>
        <v>A14005ADJ</v>
      </c>
      <c r="E353" s="1753" t="s">
        <v>11007</v>
      </c>
      <c r="G353">
        <f>IF('1D'!J12="","##BLANK",'1D'!J12)</f>
        <v>0</v>
      </c>
    </row>
    <row r="354" spans="2:7">
      <c r="B354" s="893" t="str">
        <f>'1D'!AI13</f>
        <v>BO5020ADJ</v>
      </c>
      <c r="E354" s="1753" t="s">
        <v>11007</v>
      </c>
      <c r="G354">
        <f>IF('1D'!J13="","##BLANK",'1D'!J13)</f>
        <v>0</v>
      </c>
    </row>
    <row r="355" spans="2:7">
      <c r="B355" s="893" t="str">
        <f>'1D'!AI14</f>
        <v>BO5004ADJ</v>
      </c>
      <c r="E355" s="1753" t="s">
        <v>11007</v>
      </c>
      <c r="G355">
        <f>IF('1D'!J14="","##BLANK",'1D'!J14)</f>
        <v>0</v>
      </c>
    </row>
    <row r="356" spans="2:7">
      <c r="B356" s="893" t="str">
        <f>'1D'!AI15</f>
        <v>BO5040ADJ</v>
      </c>
      <c r="E356" s="1753" t="s">
        <v>11007</v>
      </c>
      <c r="G356">
        <f>IF('1D'!J15="","##BLANK",'1D'!J15)</f>
        <v>0</v>
      </c>
    </row>
    <row r="357" spans="2:7">
      <c r="B357" s="893" t="str">
        <f>'1D'!AI17</f>
        <v>A14008ADJ</v>
      </c>
      <c r="E357" s="1753" t="s">
        <v>11007</v>
      </c>
      <c r="G357">
        <f>IF('1D'!J17="","##BLANK",'1D'!J17)</f>
        <v>0</v>
      </c>
    </row>
    <row r="358" spans="2:7">
      <c r="B358" s="893" t="str">
        <f>'1D'!AI18</f>
        <v>BO5070ADJ</v>
      </c>
      <c r="E358" s="1753" t="s">
        <v>11007</v>
      </c>
      <c r="G358">
        <f>IF('1D'!J18="","##BLANK",'1D'!J18)</f>
        <v>0</v>
      </c>
    </row>
    <row r="359" spans="2:7">
      <c r="B359" s="893" t="str">
        <f>'1D'!AI19</f>
        <v>A14010ADJ</v>
      </c>
      <c r="E359" s="1753" t="s">
        <v>11007</v>
      </c>
      <c r="G359">
        <f>IF('1D'!J19="","##BLANK",'1D'!J19)</f>
        <v>0</v>
      </c>
    </row>
    <row r="360" spans="2:7">
      <c r="B360" s="893" t="str">
        <f>'1D'!AI22</f>
        <v>BO5080ADJ</v>
      </c>
      <c r="E360" s="1753" t="s">
        <v>11007</v>
      </c>
      <c r="G360">
        <f>IF('1D'!J22="","##BLANK",'1D'!J22)</f>
        <v>0</v>
      </c>
    </row>
    <row r="361" spans="2:7">
      <c r="B361" s="893" t="str">
        <f>'1D'!AI23</f>
        <v>BO5081ADJ</v>
      </c>
      <c r="E361" s="1753" t="s">
        <v>11007</v>
      </c>
      <c r="G361">
        <f>IF('1D'!J23="","##BLANK",'1D'!J23)</f>
        <v>0</v>
      </c>
    </row>
    <row r="362" spans="2:7">
      <c r="B362" s="893" t="str">
        <f>'1D'!AI24</f>
        <v>BO5084ADJ</v>
      </c>
      <c r="E362" s="1753" t="s">
        <v>11007</v>
      </c>
      <c r="G362">
        <f>IF('1D'!J24="","##BLANK",'1D'!J24)</f>
        <v>0</v>
      </c>
    </row>
    <row r="363" spans="2:7">
      <c r="B363" s="893" t="str">
        <f>'1D'!AI25</f>
        <v>BO5085ADJ</v>
      </c>
      <c r="E363" s="1753" t="s">
        <v>11007</v>
      </c>
      <c r="G363">
        <f>IF('1D'!J25="","##BLANK",'1D'!J25)</f>
        <v>0</v>
      </c>
    </row>
    <row r="364" spans="2:7">
      <c r="B364" s="893" t="str">
        <f>'1D'!AI26</f>
        <v>BO5086ADJ</v>
      </c>
      <c r="E364" s="1753" t="s">
        <v>11007</v>
      </c>
      <c r="G364">
        <f>IF('1D'!J26="","##BLANK",'1D'!J26)</f>
        <v>0</v>
      </c>
    </row>
    <row r="365" spans="2:7">
      <c r="B365" s="893" t="str">
        <f>'1D'!AI28</f>
        <v>A14017ADJ</v>
      </c>
      <c r="E365" s="1753" t="s">
        <v>11007</v>
      </c>
      <c r="G365">
        <f>IF('1D'!J28="","##BLANK",'1D'!J28)</f>
        <v>0</v>
      </c>
    </row>
    <row r="366" spans="2:7">
      <c r="B366" s="893" t="str">
        <f>'1D'!AI31</f>
        <v>BO5204ADJ</v>
      </c>
      <c r="E366" s="1753" t="s">
        <v>11007</v>
      </c>
      <c r="G366">
        <f>IF('1D'!J31="","##BLANK",'1D'!J31)</f>
        <v>0</v>
      </c>
    </row>
    <row r="367" spans="2:7">
      <c r="B367" s="893" t="str">
        <f>'1D'!AI32</f>
        <v>A14019ADJ</v>
      </c>
      <c r="E367" s="1753" t="s">
        <v>11007</v>
      </c>
      <c r="G367">
        <f>IF('1D'!J32="","##BLANK",'1D'!J32)</f>
        <v>0</v>
      </c>
    </row>
    <row r="368" spans="2:7">
      <c r="B368" s="893" t="str">
        <f>'1D'!AI33</f>
        <v>BO5095ADJ</v>
      </c>
      <c r="E368" s="1753" t="s">
        <v>11007</v>
      </c>
      <c r="G368">
        <f>IF('1D'!J33="","##BLANK",'1D'!J33)</f>
        <v>0</v>
      </c>
    </row>
    <row r="369" spans="2:7">
      <c r="B369" s="893" t="str">
        <f>'1D'!AI34</f>
        <v>BO5096ADJ</v>
      </c>
      <c r="E369" s="1753" t="s">
        <v>11007</v>
      </c>
      <c r="G369">
        <f>IF('1D'!J34="","##BLANK",'1D'!J34)</f>
        <v>0</v>
      </c>
    </row>
    <row r="370" spans="2:7">
      <c r="B370" s="893" t="str">
        <f>'1D'!AI36</f>
        <v>BO5098ADJ</v>
      </c>
      <c r="E370" s="1753" t="s">
        <v>11007</v>
      </c>
      <c r="G370">
        <f>IF('1D'!J36="","##BLANK",'1D'!J36)</f>
        <v>0</v>
      </c>
    </row>
    <row r="371" spans="2:7">
      <c r="B371" s="893" t="str">
        <f>'1D'!AJ8</f>
        <v>BO5002</v>
      </c>
      <c r="E371" s="1753" t="s">
        <v>11007</v>
      </c>
      <c r="G371">
        <f>IF('1D'!K8="","##BLANK",'1D'!K8)</f>
        <v>0</v>
      </c>
    </row>
    <row r="372" spans="2:7">
      <c r="B372" s="893" t="str">
        <f>'1D'!AJ9</f>
        <v>A14002</v>
      </c>
      <c r="E372" s="1753" t="s">
        <v>11007</v>
      </c>
      <c r="G372">
        <f>IF('1D'!K9="","##BLANK",'1D'!K9)</f>
        <v>0</v>
      </c>
    </row>
    <row r="373" spans="2:7">
      <c r="B373" s="893" t="str">
        <f>'1D'!AJ10</f>
        <v>A3028</v>
      </c>
      <c r="E373" s="1753" t="s">
        <v>11007</v>
      </c>
      <c r="G373">
        <f>IF('1D'!K10="","##BLANK",'1D'!K10)</f>
        <v>0</v>
      </c>
    </row>
    <row r="374" spans="2:7">
      <c r="B374" s="893" t="str">
        <f>'1D'!AJ11</f>
        <v>FT01810</v>
      </c>
      <c r="E374" s="1753" t="s">
        <v>11007</v>
      </c>
      <c r="G374">
        <f>IF('1D'!K11="","##BLANK",'1D'!K11)</f>
        <v>0</v>
      </c>
    </row>
    <row r="375" spans="2:7">
      <c r="B375" s="893" t="str">
        <f>'1D'!AJ12</f>
        <v>A14005</v>
      </c>
      <c r="E375" s="1753" t="s">
        <v>11007</v>
      </c>
      <c r="G375">
        <f>IF('1D'!K12="","##BLANK",'1D'!K12)</f>
        <v>0</v>
      </c>
    </row>
    <row r="376" spans="2:7">
      <c r="B376" s="893" t="str">
        <f>'1D'!AJ13</f>
        <v>BO5020</v>
      </c>
      <c r="E376" s="1753" t="s">
        <v>11007</v>
      </c>
      <c r="G376">
        <f>IF('1D'!K13="","##BLANK",'1D'!K13)</f>
        <v>0</v>
      </c>
    </row>
    <row r="377" spans="2:7">
      <c r="B377" s="893" t="str">
        <f>'1D'!AJ14</f>
        <v>BO5004</v>
      </c>
      <c r="E377" s="1753" t="s">
        <v>11007</v>
      </c>
      <c r="G377">
        <f>IF('1D'!K14="","##BLANK",'1D'!K14)</f>
        <v>0</v>
      </c>
    </row>
    <row r="378" spans="2:7">
      <c r="B378" s="893" t="str">
        <f>'1D'!AJ15</f>
        <v>BO5040</v>
      </c>
      <c r="E378" s="1753" t="s">
        <v>11007</v>
      </c>
      <c r="G378">
        <f>IF('1D'!K15="","##BLANK",'1D'!K15)</f>
        <v>0</v>
      </c>
    </row>
    <row r="379" spans="2:7">
      <c r="B379" s="893" t="str">
        <f>'1D'!AJ17</f>
        <v>A14008</v>
      </c>
      <c r="E379" s="1753" t="s">
        <v>11007</v>
      </c>
      <c r="G379">
        <f>IF('1D'!K17="","##BLANK",'1D'!K17)</f>
        <v>0</v>
      </c>
    </row>
    <row r="380" spans="2:7">
      <c r="B380" s="893" t="str">
        <f>'1D'!AJ18</f>
        <v>BO5070</v>
      </c>
      <c r="E380" s="1753" t="s">
        <v>11007</v>
      </c>
      <c r="G380">
        <f>IF('1D'!K18="","##BLANK",'1D'!K18)</f>
        <v>0</v>
      </c>
    </row>
    <row r="381" spans="2:7">
      <c r="B381" s="893" t="str">
        <f>'1D'!AJ19</f>
        <v>A14010</v>
      </c>
      <c r="E381" s="1753" t="s">
        <v>11007</v>
      </c>
      <c r="G381">
        <f>IF('1D'!K19="","##BLANK",'1D'!K19)</f>
        <v>0</v>
      </c>
    </row>
    <row r="382" spans="2:7">
      <c r="B382" s="893" t="str">
        <f>'1D'!AJ22</f>
        <v>BO5080</v>
      </c>
      <c r="E382" s="1753" t="s">
        <v>11007</v>
      </c>
      <c r="G382">
        <f>IF('1D'!K22="","##BLANK",'1D'!K22)</f>
        <v>0</v>
      </c>
    </row>
    <row r="383" spans="2:7">
      <c r="B383" s="893" t="str">
        <f>'1D'!AJ23</f>
        <v>BO5081</v>
      </c>
      <c r="E383" s="1753" t="s">
        <v>11007</v>
      </c>
      <c r="G383">
        <f>IF('1D'!K23="","##BLANK",'1D'!K23)</f>
        <v>0</v>
      </c>
    </row>
    <row r="384" spans="2:7">
      <c r="B384" s="893" t="str">
        <f>'1D'!AJ24</f>
        <v>BO5084</v>
      </c>
      <c r="E384" s="1753" t="s">
        <v>11007</v>
      </c>
      <c r="G384">
        <f>IF('1D'!K24="","##BLANK",'1D'!K24)</f>
        <v>0</v>
      </c>
    </row>
    <row r="385" spans="2:7">
      <c r="B385" s="893" t="str">
        <f>'1D'!AJ25</f>
        <v>BO5085</v>
      </c>
      <c r="E385" s="1753" t="s">
        <v>11007</v>
      </c>
      <c r="G385">
        <f>IF('1D'!K25="","##BLANK",'1D'!K25)</f>
        <v>0</v>
      </c>
    </row>
    <row r="386" spans="2:7">
      <c r="B386" s="893" t="str">
        <f>'1D'!AJ26</f>
        <v>BO5086</v>
      </c>
      <c r="E386" s="1753" t="s">
        <v>11007</v>
      </c>
      <c r="G386">
        <f>IF('1D'!K26="","##BLANK",'1D'!K26)</f>
        <v>0</v>
      </c>
    </row>
    <row r="387" spans="2:7">
      <c r="B387" s="893" t="str">
        <f>'1D'!AJ28</f>
        <v>A14017</v>
      </c>
      <c r="E387" s="1753" t="s">
        <v>11007</v>
      </c>
      <c r="G387">
        <f>IF('1D'!K28="","##BLANK",'1D'!K28)</f>
        <v>0</v>
      </c>
    </row>
    <row r="388" spans="2:7">
      <c r="B388" s="893" t="str">
        <f>'1D'!AJ31</f>
        <v>BO5204</v>
      </c>
      <c r="E388" s="1753" t="s">
        <v>11007</v>
      </c>
      <c r="G388">
        <f>IF('1D'!K31="","##BLANK",'1D'!K31)</f>
        <v>0</v>
      </c>
    </row>
    <row r="389" spans="2:7">
      <c r="B389" s="893" t="str">
        <f>'1D'!AJ32</f>
        <v>A14019</v>
      </c>
      <c r="E389" s="1753" t="s">
        <v>11007</v>
      </c>
      <c r="G389">
        <f>IF('1D'!K32="","##BLANK",'1D'!K32)</f>
        <v>0</v>
      </c>
    </row>
    <row r="390" spans="2:7">
      <c r="B390" s="893" t="str">
        <f>'1D'!AJ33</f>
        <v>BO5095</v>
      </c>
      <c r="E390" s="1753" t="s">
        <v>11007</v>
      </c>
      <c r="G390">
        <f>IF('1D'!K33="","##BLANK",'1D'!K33)</f>
        <v>0</v>
      </c>
    </row>
    <row r="391" spans="2:7">
      <c r="B391" s="893" t="str">
        <f>'1D'!AJ34</f>
        <v>BO5096</v>
      </c>
      <c r="E391" s="1753" t="s">
        <v>11007</v>
      </c>
      <c r="G391">
        <f>IF('1D'!K34="","##BLANK",'1D'!K34)</f>
        <v>0</v>
      </c>
    </row>
    <row r="392" spans="2:7">
      <c r="B392" s="893" t="str">
        <f>'1D'!AJ36</f>
        <v>BO5098</v>
      </c>
      <c r="E392" s="1753" t="s">
        <v>11007</v>
      </c>
      <c r="G392">
        <f>IF('1D'!K36="","##BLANK",'1D'!K36)</f>
        <v>0</v>
      </c>
    </row>
    <row r="393" spans="2:7">
      <c r="B393" s="893" t="str">
        <f>'1E'!AF6</f>
        <v>BO5332FX</v>
      </c>
      <c r="E393" s="1753" t="s">
        <v>11007</v>
      </c>
      <c r="G393" t="str">
        <f>IF('1E'!G6="","##BLANK",'1E'!G6)</f>
        <v>##BLANK</v>
      </c>
    </row>
    <row r="394" spans="2:7">
      <c r="B394" s="893" t="str">
        <f>'1E'!AF16</f>
        <v>BO130FXI</v>
      </c>
      <c r="E394" s="1753" t="s">
        <v>11007</v>
      </c>
      <c r="G394" t="str">
        <f>IF('1E'!G16="","##BLANK",'1E'!G16)</f>
        <v>##BLANK</v>
      </c>
    </row>
    <row r="395" spans="2:7">
      <c r="B395" s="893" t="str">
        <f>'1E'!AF17</f>
        <v>BO135FXI</v>
      </c>
      <c r="E395" s="1753" t="s">
        <v>11007</v>
      </c>
      <c r="G395" t="str">
        <f>IF('1E'!G17="","##BLANK",'1E'!G17)</f>
        <v>##BLANK</v>
      </c>
    </row>
    <row r="396" spans="2:7">
      <c r="B396" s="893" t="str">
        <f>'1E'!AF20</f>
        <v>FI00500FX</v>
      </c>
      <c r="E396" s="1753" t="s">
        <v>11007</v>
      </c>
      <c r="G396" t="str">
        <f>IF('1E'!G20="","##BLANK",'1E'!G20)</f>
        <v>##BLANK</v>
      </c>
    </row>
    <row r="397" spans="2:7">
      <c r="B397" s="893" t="str">
        <f>'1E'!AF21</f>
        <v>FI00510FX</v>
      </c>
      <c r="E397" s="1753" t="s">
        <v>11007</v>
      </c>
      <c r="G397" t="str">
        <f>IF('1E'!G21="","##BLANK",'1E'!G21)</f>
        <v>##BLANK</v>
      </c>
    </row>
    <row r="398" spans="2:7">
      <c r="B398" s="893" t="str">
        <f>'1E'!AF23</f>
        <v>FI00560FX</v>
      </c>
      <c r="E398" s="1753" t="s">
        <v>11007</v>
      </c>
      <c r="G398" t="str">
        <f>IF('1E'!G23="","##BLANK",'1E'!G23)</f>
        <v>##BLANK</v>
      </c>
    </row>
    <row r="399" spans="2:7">
      <c r="B399" s="893" t="str">
        <f>'1E'!AG6</f>
        <v>BO5332FR</v>
      </c>
      <c r="E399" s="1753" t="s">
        <v>11007</v>
      </c>
      <c r="G399" t="str">
        <f>IF('1E'!H6="","##BLANK",'1E'!H6)</f>
        <v>##BLANK</v>
      </c>
    </row>
    <row r="400" spans="2:7">
      <c r="B400" s="893" t="str">
        <f>'1E'!AG16</f>
        <v>BO130FRI</v>
      </c>
      <c r="E400" s="1753" t="s">
        <v>11007</v>
      </c>
      <c r="G400" t="str">
        <f>IF('1E'!H16="","##BLANK",'1E'!H16)</f>
        <v>##BLANK</v>
      </c>
    </row>
    <row r="401" spans="2:7">
      <c r="B401" s="893" t="str">
        <f>'1E'!AG17</f>
        <v>BO135FRI</v>
      </c>
      <c r="E401" s="1753" t="s">
        <v>11007</v>
      </c>
      <c r="G401" t="str">
        <f>IF('1E'!H17="","##BLANK",'1E'!H17)</f>
        <v>##BLANK</v>
      </c>
    </row>
    <row r="402" spans="2:7">
      <c r="B402" s="893" t="str">
        <f>'1E'!AG20</f>
        <v>FI00500FR</v>
      </c>
      <c r="E402" s="1753" t="s">
        <v>11007</v>
      </c>
      <c r="G402" t="str">
        <f>IF('1E'!H20="","##BLANK",'1E'!H20)</f>
        <v>##BLANK</v>
      </c>
    </row>
    <row r="403" spans="2:7">
      <c r="B403" s="893" t="str">
        <f>'1E'!AG21</f>
        <v>FI00510FR</v>
      </c>
      <c r="E403" s="1753" t="s">
        <v>11007</v>
      </c>
      <c r="G403" t="str">
        <f>IF('1E'!H21="","##BLANK",'1E'!H21)</f>
        <v>##BLANK</v>
      </c>
    </row>
    <row r="404" spans="2:7">
      <c r="B404" s="893" t="str">
        <f>'1E'!AG23</f>
        <v>FI00560FR</v>
      </c>
      <c r="E404" s="1753" t="s">
        <v>11007</v>
      </c>
      <c r="G404" t="str">
        <f>IF('1E'!H23="","##BLANK",'1E'!H23)</f>
        <v>##BLANK</v>
      </c>
    </row>
    <row r="405" spans="2:7">
      <c r="B405" s="893" t="str">
        <f>'1E'!AH6</f>
        <v>BO5332IL</v>
      </c>
      <c r="E405" s="1753" t="s">
        <v>11007</v>
      </c>
      <c r="G405" t="str">
        <f>IF('1E'!I6="","##BLANK",'1E'!I6)</f>
        <v>##BLANK</v>
      </c>
    </row>
    <row r="406" spans="2:7">
      <c r="B406" s="893" t="str">
        <f>'1E'!AH16</f>
        <v>BO130ILI</v>
      </c>
      <c r="E406" s="1753" t="s">
        <v>11007</v>
      </c>
      <c r="G406" t="str">
        <f>IF('1E'!I16="","##BLANK",'1E'!I16)</f>
        <v>##BLANK</v>
      </c>
    </row>
    <row r="407" spans="2:7">
      <c r="B407" s="893" t="str">
        <f>'1E'!AH17</f>
        <v>BO135ILI</v>
      </c>
      <c r="E407" s="1753" t="s">
        <v>11007</v>
      </c>
      <c r="G407" t="str">
        <f>IF('1E'!I17="","##BLANK",'1E'!I17)</f>
        <v>##BLANK</v>
      </c>
    </row>
    <row r="408" spans="2:7">
      <c r="B408" s="893" t="str">
        <f>'1E'!AH20</f>
        <v>FI00500IL</v>
      </c>
      <c r="E408" s="1753" t="s">
        <v>11007</v>
      </c>
      <c r="G408" t="str">
        <f>IF('1E'!I20="","##BLANK",'1E'!I20)</f>
        <v>##BLANK</v>
      </c>
    </row>
    <row r="409" spans="2:7">
      <c r="B409" s="893" t="str">
        <f>'1E'!AH21</f>
        <v>FI00510IL</v>
      </c>
      <c r="E409" s="1753" t="s">
        <v>11007</v>
      </c>
      <c r="G409" t="str">
        <f>IF('1E'!I21="","##BLANK",'1E'!I21)</f>
        <v>##BLANK</v>
      </c>
    </row>
    <row r="410" spans="2:7">
      <c r="B410" s="893" t="str">
        <f>'1E'!AH23</f>
        <v>FI00560IL</v>
      </c>
      <c r="E410" s="1753" t="s">
        <v>11007</v>
      </c>
      <c r="G410" t="str">
        <f>IF('1E'!I23="","##BLANK",'1E'!I23)</f>
        <v>##BLANK</v>
      </c>
    </row>
    <row r="411" spans="2:7">
      <c r="B411" s="893" t="str">
        <f>'1E'!AI6</f>
        <v>BO5332A</v>
      </c>
      <c r="E411" s="1753" t="s">
        <v>11007</v>
      </c>
      <c r="G411">
        <f>IF('1E'!J6="","##BLANK",'1E'!J6)</f>
        <v>0</v>
      </c>
    </row>
    <row r="412" spans="2:7">
      <c r="B412" s="893" t="str">
        <f>'1E'!AI7</f>
        <v>BB1300ND</v>
      </c>
      <c r="E412" s="1753" t="s">
        <v>11007</v>
      </c>
      <c r="G412">
        <f>IF('1E'!J7="","##BLANK",'1E'!J7)</f>
        <v>0</v>
      </c>
    </row>
    <row r="413" spans="2:7">
      <c r="B413" s="893" t="str">
        <f>'1E'!AI8</f>
        <v>BO5348T</v>
      </c>
      <c r="E413" s="1753" t="s">
        <v>11007</v>
      </c>
      <c r="G413">
        <f>IF('1E'!J8="","##BLANK",'1E'!J8)</f>
        <v>0</v>
      </c>
    </row>
    <row r="414" spans="2:7">
      <c r="B414" s="893" t="str">
        <f>'1E'!AI9</f>
        <v>FT01690</v>
      </c>
      <c r="E414" s="1753" t="s">
        <v>11007</v>
      </c>
      <c r="G414" t="str">
        <f>IF('1E'!J9="","##BLANK",'1E'!J9)</f>
        <v>##BLANK</v>
      </c>
    </row>
    <row r="415" spans="2:7">
      <c r="B415" s="893" t="str">
        <f>'1E'!AI10</f>
        <v>PP0021</v>
      </c>
      <c r="E415" s="1753" t="s">
        <v>11007</v>
      </c>
      <c r="G415" t="str">
        <f>IF('1E'!J10="","##BLANK",'1E'!J10)</f>
        <v>##BLANK</v>
      </c>
    </row>
    <row r="416" spans="2:7">
      <c r="B416" s="893" t="str">
        <f>'1E'!AI11</f>
        <v>BO4075</v>
      </c>
      <c r="E416" s="1753" t="s">
        <v>11007</v>
      </c>
      <c r="G416">
        <f>IF('1E'!J11="","##BLANK",'1E'!J11)</f>
        <v>0</v>
      </c>
    </row>
    <row r="417" spans="2:13">
      <c r="B417" s="893" t="str">
        <f>'1E'!AI13</f>
        <v>FI00300</v>
      </c>
      <c r="E417" s="1753" t="s">
        <v>11007</v>
      </c>
      <c r="G417">
        <f>IF('1E'!J13="","##BLANK",'1E'!J13)</f>
        <v>0</v>
      </c>
    </row>
    <row r="418" spans="2:13">
      <c r="B418" s="893" t="str">
        <f>'1E'!AI14</f>
        <v>FI00300CV</v>
      </c>
      <c r="E418" s="1753" t="s">
        <v>11007</v>
      </c>
      <c r="G418" t="str">
        <f>IF('1E'!J14="","##BLANK",'1E'!J14)</f>
        <v>##BLANK</v>
      </c>
    </row>
    <row r="419" spans="2:13">
      <c r="B419" s="893" t="str">
        <f>'1E'!AI16</f>
        <v>BO160TLI</v>
      </c>
      <c r="E419" s="1753" t="s">
        <v>11007</v>
      </c>
      <c r="G419">
        <f>IF('1E'!J16="","##BLANK",'1E'!J16)</f>
        <v>0</v>
      </c>
    </row>
    <row r="420" spans="2:13">
      <c r="B420" s="893" t="str">
        <f>'1E'!AI17</f>
        <v>BO165TLI</v>
      </c>
      <c r="E420" s="1753" t="s">
        <v>11007</v>
      </c>
      <c r="G420">
        <f>IF('1E'!J17="","##BLANK",'1E'!J17)</f>
        <v>0</v>
      </c>
    </row>
    <row r="421" spans="2:13">
      <c r="B421" s="893" t="str">
        <f>'1E'!AI20</f>
        <v>FI00500</v>
      </c>
      <c r="E421" s="1753" t="s">
        <v>11007</v>
      </c>
      <c r="G421" t="str">
        <f>IF('1E'!J20="","##BLANK",'1E'!J20)</f>
        <v>##BLANK</v>
      </c>
    </row>
    <row r="422" spans="2:13">
      <c r="B422" s="893" t="str">
        <f>'1E'!AI21</f>
        <v>FI00510</v>
      </c>
      <c r="E422" s="1753" t="s">
        <v>11007</v>
      </c>
      <c r="G422" t="str">
        <f>IF('1E'!J21="","##BLANK",'1E'!J21)</f>
        <v>##BLANK</v>
      </c>
    </row>
    <row r="423" spans="2:13">
      <c r="B423" s="893" t="str">
        <f>'1E'!AI23</f>
        <v>FI00560</v>
      </c>
      <c r="E423" s="1753" t="s">
        <v>11007</v>
      </c>
      <c r="G423" t="str">
        <f>IF('1E'!J23="","##BLANK",'1E'!J23)</f>
        <v>##BLANK</v>
      </c>
    </row>
    <row r="424" spans="2:13">
      <c r="B424" s="2325" t="str">
        <f>'1F'!AV8</f>
        <v>CR12501NNP</v>
      </c>
      <c r="E424" s="1753" t="s">
        <v>11007</v>
      </c>
      <c r="G424" t="str">
        <f>IF('1F'!G8="","##BLANK",'1F'!G8)</f>
        <v>##BLANK</v>
      </c>
      <c r="H424" s="2146"/>
      <c r="M424" s="2146" t="str">
        <f>IF('1F'!M8="","##BLANK",'1F'!M8)</f>
        <v>##BLANK</v>
      </c>
    </row>
    <row r="425" spans="2:13">
      <c r="B425" s="2325" t="str">
        <f>'1F'!AV9</f>
        <v>CR12502NNP</v>
      </c>
      <c r="E425" s="1753" t="s">
        <v>11007</v>
      </c>
      <c r="G425" t="str">
        <f>IF('1F'!G9="","##BLANK",'1F'!G9)</f>
        <v>##BLANK</v>
      </c>
      <c r="M425" s="2146" t="str">
        <f>IF('1F'!M9="","##BLANK",'1F'!M9)</f>
        <v>##BLANK</v>
      </c>
    </row>
    <row r="426" spans="2:13">
      <c r="B426" s="2325" t="str">
        <f>'1F'!AV10</f>
        <v>CR12503NNP</v>
      </c>
      <c r="E426" s="1753" t="s">
        <v>11007</v>
      </c>
      <c r="G426">
        <f>IF('1F'!G10="","##BLANK",'1F'!G10)</f>
        <v>0</v>
      </c>
    </row>
    <row r="427" spans="2:13">
      <c r="B427" s="2325" t="str">
        <f>'1F'!AV11</f>
        <v>CR12504NNP</v>
      </c>
      <c r="E427" s="1753" t="s">
        <v>11007</v>
      </c>
      <c r="G427" t="str">
        <f>IF('1F'!G11="","##BLANK",'1F'!G11)</f>
        <v>##BLANK</v>
      </c>
      <c r="M427" s="2146" t="str">
        <f>IF('1F'!M11="","##BLANK",'1F'!M11)</f>
        <v>##BLANK</v>
      </c>
    </row>
    <row r="428" spans="2:13">
      <c r="B428" s="2325" t="str">
        <f>'1F'!AV14</f>
        <v>CR12505NNP</v>
      </c>
      <c r="E428" s="1753" t="s">
        <v>11007</v>
      </c>
      <c r="G428">
        <f>IF('1F'!G14="","##BLANK",'1F'!G14)</f>
        <v>0</v>
      </c>
    </row>
    <row r="429" spans="2:13">
      <c r="B429" s="2325" t="str">
        <f>'1F'!AV15</f>
        <v>CR12506NNP</v>
      </c>
      <c r="E429" s="1753" t="s">
        <v>11007</v>
      </c>
      <c r="G429">
        <f>IF('1F'!G15="","##BLANK",'1F'!G15)</f>
        <v>0</v>
      </c>
    </row>
    <row r="430" spans="2:13">
      <c r="B430" s="2325" t="str">
        <f>'1F'!AV16</f>
        <v>CR12507NNP</v>
      </c>
      <c r="E430" s="1753" t="s">
        <v>11007</v>
      </c>
      <c r="G430">
        <f>IF('1F'!G16="","##BLANK",'1F'!G16)</f>
        <v>0</v>
      </c>
    </row>
    <row r="431" spans="2:13">
      <c r="B431" s="2325" t="str">
        <f>'1F'!AV17</f>
        <v>CR12508NNP</v>
      </c>
      <c r="E431" s="1753" t="s">
        <v>11007</v>
      </c>
      <c r="G431">
        <f>IF('1F'!G17="","##BLANK",'1F'!G17)</f>
        <v>0</v>
      </c>
    </row>
    <row r="432" spans="2:13">
      <c r="B432" s="2325" t="str">
        <f>'1F'!AV18</f>
        <v>CR12509NNP</v>
      </c>
      <c r="E432" s="1753" t="s">
        <v>11007</v>
      </c>
      <c r="G432">
        <f>IF('1F'!G18="","##BLANK",'1F'!G18)</f>
        <v>0</v>
      </c>
    </row>
    <row r="433" spans="2:7">
      <c r="B433" s="2325" t="str">
        <f>'1F'!AV20</f>
        <v>CR12510NNP</v>
      </c>
      <c r="E433" s="1753" t="s">
        <v>11007</v>
      </c>
      <c r="G433">
        <f>IF('1F'!G20="","##BLANK",'1F'!G20)</f>
        <v>0</v>
      </c>
    </row>
    <row r="434" spans="2:7">
      <c r="B434" s="2325" t="str">
        <f>'1F'!AV23</f>
        <v>CR12511NNP</v>
      </c>
      <c r="E434" s="1753" t="s">
        <v>11007</v>
      </c>
      <c r="G434">
        <f>IF('1F'!G23="","##BLANK",'1F'!G23)</f>
        <v>0</v>
      </c>
    </row>
    <row r="435" spans="2:7">
      <c r="B435" s="2325" t="str">
        <f>'1F'!AV24</f>
        <v>CR12512NNP</v>
      </c>
      <c r="E435" s="1753" t="s">
        <v>11007</v>
      </c>
      <c r="G435">
        <f>IF('1F'!G24="","##BLANK",'1F'!G24)</f>
        <v>0</v>
      </c>
    </row>
    <row r="436" spans="2:7">
      <c r="B436" s="2325" t="str">
        <f>'1F'!AV25</f>
        <v>CR12513NNP</v>
      </c>
      <c r="E436" s="1753" t="s">
        <v>11007</v>
      </c>
      <c r="G436">
        <f>IF('1F'!G25="","##BLANK",'1F'!G25)</f>
        <v>0</v>
      </c>
    </row>
    <row r="437" spans="2:7" s="2146" customFormat="1">
      <c r="B437" s="2325" t="str">
        <f>'1F'!AV26</f>
        <v>CR12523NNP</v>
      </c>
      <c r="C437" s="1382"/>
      <c r="E437" s="1753" t="s">
        <v>11007</v>
      </c>
      <c r="G437" s="2146">
        <f>IF('1F'!G26="","##BLANK",'1F'!G26)</f>
        <v>0</v>
      </c>
    </row>
    <row r="438" spans="2:7">
      <c r="B438" s="2325" t="str">
        <f>'1F'!AV27</f>
        <v>CR12514NNP</v>
      </c>
      <c r="E438" s="1753" t="s">
        <v>11007</v>
      </c>
      <c r="G438">
        <f>IF('1F'!G27="","##BLANK",'1F'!G27)</f>
        <v>0</v>
      </c>
    </row>
    <row r="439" spans="2:7">
      <c r="B439" s="2325" t="str">
        <f>'1F'!AV29</f>
        <v>CR12516NNP</v>
      </c>
      <c r="E439" s="1753" t="s">
        <v>11007</v>
      </c>
      <c r="G439">
        <f>IF('1F'!G29="","##BLANK",'1F'!G29)</f>
        <v>0</v>
      </c>
    </row>
    <row r="440" spans="2:7">
      <c r="B440" s="2325" t="str">
        <f>'1F'!AV31</f>
        <v>CR12517NNP</v>
      </c>
      <c r="E440" s="1753" t="s">
        <v>11007</v>
      </c>
      <c r="G440" t="str">
        <f>IF('1F'!G31="","##BLANK",'1F'!G31)</f>
        <v>##BLANK</v>
      </c>
    </row>
    <row r="441" spans="2:7">
      <c r="B441" s="2325" t="str">
        <f>'1F'!AV33</f>
        <v>CR12518NNP</v>
      </c>
      <c r="E441" s="1753" t="s">
        <v>11007</v>
      </c>
      <c r="G441">
        <f>IF('1F'!G33="","##BLANK",'1F'!G33)</f>
        <v>0</v>
      </c>
    </row>
    <row r="442" spans="2:7">
      <c r="B442" s="2325" t="str">
        <f>'1F'!AV35</f>
        <v>CR12522NNP</v>
      </c>
      <c r="E442" s="1753" t="s">
        <v>11007</v>
      </c>
      <c r="G442">
        <f>IF('1F'!G35="","##BLANK",'1F'!G35)</f>
        <v>0.04</v>
      </c>
    </row>
    <row r="443" spans="2:7">
      <c r="B443" s="2325" t="str">
        <f>'1F'!AV37</f>
        <v>CR12519NNP</v>
      </c>
      <c r="E443" s="1753" t="s">
        <v>11007</v>
      </c>
      <c r="G443">
        <f>IF('1F'!G37="","##BLANK",'1F'!G37)</f>
        <v>-0.04</v>
      </c>
    </row>
    <row r="444" spans="2:7">
      <c r="B444" s="2325" t="str">
        <f>'1F'!AV40</f>
        <v>CR12520NNP</v>
      </c>
      <c r="E444" s="1753" t="s">
        <v>11007</v>
      </c>
      <c r="G444">
        <f>IF('1F'!G40="","##BLANK",'1F'!G40)</f>
        <v>0.04</v>
      </c>
    </row>
    <row r="445" spans="2:7">
      <c r="B445" s="2325" t="str">
        <f>'1F'!AV41</f>
        <v>CR12521NNP</v>
      </c>
      <c r="E445" s="1753" t="s">
        <v>11007</v>
      </c>
      <c r="G445">
        <f>IF('1F'!G41="","##BLANK",'1F'!G41)</f>
        <v>0</v>
      </c>
    </row>
    <row r="446" spans="2:7">
      <c r="B446" s="2325" t="str">
        <f>'1F'!AW8</f>
        <v>CR12501ANP</v>
      </c>
      <c r="E446" s="1753" t="s">
        <v>11007</v>
      </c>
      <c r="G446">
        <f>IF('1F'!H8="","##BLANK",'1F'!H8)</f>
        <v>0</v>
      </c>
    </row>
    <row r="447" spans="2:7">
      <c r="B447" s="2325" t="str">
        <f>'1F'!AW9</f>
        <v>CR12502ANP</v>
      </c>
      <c r="E447" s="1753" t="s">
        <v>11007</v>
      </c>
      <c r="G447">
        <f>IF('1F'!H9="","##BLANK",'1F'!H9)</f>
        <v>0</v>
      </c>
    </row>
    <row r="448" spans="2:7">
      <c r="B448" s="2325" t="str">
        <f>'1F'!AW10</f>
        <v>CR12503ANP</v>
      </c>
      <c r="E448" s="1753" t="s">
        <v>11007</v>
      </c>
      <c r="G448">
        <f>IF('1F'!H10="","##BLANK",'1F'!H10)</f>
        <v>0</v>
      </c>
    </row>
    <row r="449" spans="2:7">
      <c r="B449" s="2325" t="str">
        <f>'1F'!AW11</f>
        <v>CR12504ANP</v>
      </c>
      <c r="E449" s="1753" t="s">
        <v>11007</v>
      </c>
      <c r="G449">
        <f>IF('1F'!H11="","##BLANK",'1F'!H11)</f>
        <v>0</v>
      </c>
    </row>
    <row r="450" spans="2:7">
      <c r="B450" s="2325" t="str">
        <f>'1F'!AW14</f>
        <v>CR12505ANP</v>
      </c>
      <c r="E450" s="1753" t="s">
        <v>11007</v>
      </c>
      <c r="G450">
        <f>IF('1F'!H14="","##BLANK",'1F'!H14)</f>
        <v>0</v>
      </c>
    </row>
    <row r="451" spans="2:7">
      <c r="B451" s="2325" t="str">
        <f>'1F'!AW15</f>
        <v>CR12506ANP</v>
      </c>
      <c r="E451" s="1753" t="s">
        <v>11007</v>
      </c>
      <c r="G451">
        <f>IF('1F'!H15="","##BLANK",'1F'!H15)</f>
        <v>0</v>
      </c>
    </row>
    <row r="452" spans="2:7">
      <c r="B452" s="2325" t="str">
        <f>'1F'!AW16</f>
        <v>CR12507ANP</v>
      </c>
      <c r="E452" s="1753" t="s">
        <v>11007</v>
      </c>
      <c r="G452">
        <f>IF('1F'!H16="","##BLANK",'1F'!H16)</f>
        <v>0</v>
      </c>
    </row>
    <row r="453" spans="2:7">
      <c r="B453" s="2325" t="str">
        <f>'1F'!AW17</f>
        <v>CR12508ANP</v>
      </c>
      <c r="E453" s="1753" t="s">
        <v>11007</v>
      </c>
      <c r="G453">
        <f>IF('1F'!H17="","##BLANK",'1F'!H17)</f>
        <v>0</v>
      </c>
    </row>
    <row r="454" spans="2:7">
      <c r="B454" s="2325" t="str">
        <f>'1F'!AW18</f>
        <v>CR12509ANP</v>
      </c>
      <c r="E454" s="1753" t="s">
        <v>11007</v>
      </c>
      <c r="G454">
        <f>IF('1F'!H18="","##BLANK",'1F'!H18)</f>
        <v>0</v>
      </c>
    </row>
    <row r="455" spans="2:7">
      <c r="B455" s="2325" t="str">
        <f>'1F'!AW20</f>
        <v>CR12510ANP</v>
      </c>
      <c r="E455" s="1753" t="s">
        <v>11007</v>
      </c>
      <c r="G455">
        <f>IF('1F'!H20="","##BLANK",'1F'!H20)</f>
        <v>0</v>
      </c>
    </row>
    <row r="456" spans="2:7">
      <c r="B456" s="2325" t="str">
        <f>'1F'!AW23</f>
        <v>CR12511ANP</v>
      </c>
      <c r="E456" s="1753" t="s">
        <v>11007</v>
      </c>
      <c r="G456">
        <f>IF('1F'!H23="","##BLANK",'1F'!H23)</f>
        <v>0</v>
      </c>
    </row>
    <row r="457" spans="2:7">
      <c r="B457" s="2325" t="str">
        <f>'1F'!AW24</f>
        <v>CR12512ANP</v>
      </c>
      <c r="E457" s="1753" t="s">
        <v>11007</v>
      </c>
      <c r="G457">
        <f>IF('1F'!H24="","##BLANK",'1F'!H24)</f>
        <v>0</v>
      </c>
    </row>
    <row r="458" spans="2:7">
      <c r="B458" s="2325" t="str">
        <f>'1F'!AW25</f>
        <v>CR12513ANP</v>
      </c>
      <c r="E458" s="1753" t="s">
        <v>11007</v>
      </c>
      <c r="G458">
        <f>IF('1F'!H25="","##BLANK",'1F'!H25)</f>
        <v>0</v>
      </c>
    </row>
    <row r="459" spans="2:7" s="2146" customFormat="1">
      <c r="B459" s="2325" t="str">
        <f>'1F'!AW26</f>
        <v>CR12523ANP</v>
      </c>
      <c r="C459" s="1382"/>
      <c r="E459" s="1753" t="s">
        <v>11007</v>
      </c>
      <c r="G459" s="2146">
        <f>IF('1F'!H26="","##BLANK",'1F'!H26)</f>
        <v>0</v>
      </c>
    </row>
    <row r="460" spans="2:7">
      <c r="B460" s="2325" t="str">
        <f>'1F'!AW27</f>
        <v>CR12514ANP</v>
      </c>
      <c r="E460" s="1753" t="s">
        <v>11007</v>
      </c>
      <c r="G460">
        <f>IF('1F'!H27="","##BLANK",'1F'!H27)</f>
        <v>0</v>
      </c>
    </row>
    <row r="461" spans="2:7">
      <c r="B461" s="2325" t="str">
        <f>'1F'!AW29</f>
        <v>CR12516ANP</v>
      </c>
      <c r="E461" s="1753" t="s">
        <v>11007</v>
      </c>
      <c r="G461">
        <f>IF('1F'!H29="","##BLANK",'1F'!H29)</f>
        <v>0</v>
      </c>
    </row>
    <row r="462" spans="2:7">
      <c r="B462" s="2325" t="str">
        <f>'1F'!AW31</f>
        <v>CR12517ANP</v>
      </c>
      <c r="E462" s="1753" t="s">
        <v>11007</v>
      </c>
      <c r="G462">
        <f>IF('1F'!H31="","##BLANK",'1F'!H31)</f>
        <v>0</v>
      </c>
    </row>
    <row r="463" spans="2:7">
      <c r="B463" s="2325" t="str">
        <f>'1F'!AW33</f>
        <v>CR12518ANP</v>
      </c>
      <c r="E463" s="1753" t="s">
        <v>11007</v>
      </c>
      <c r="G463">
        <f>IF('1F'!H33="","##BLANK",'1F'!H33)</f>
        <v>0</v>
      </c>
    </row>
    <row r="464" spans="2:7">
      <c r="B464" s="2325" t="str">
        <f>'1F'!AW35</f>
        <v>CR12522ANP</v>
      </c>
      <c r="E464" s="1753" t="s">
        <v>11007</v>
      </c>
      <c r="G464">
        <f>IF('1F'!H35="","##BLANK",'1F'!H35)</f>
        <v>0</v>
      </c>
    </row>
    <row r="465" spans="2:7">
      <c r="B465" s="2325" t="str">
        <f>'1F'!AW37</f>
        <v>CR12519ANP</v>
      </c>
      <c r="E465" s="1753" t="s">
        <v>11007</v>
      </c>
      <c r="G465">
        <f>IF('1F'!H37="","##BLANK",'1F'!H37)</f>
        <v>0</v>
      </c>
    </row>
    <row r="466" spans="2:7">
      <c r="B466" s="2325" t="str">
        <f>'1F'!AW40</f>
        <v>CR12520ANP</v>
      </c>
      <c r="E466" s="1753" t="s">
        <v>11007</v>
      </c>
      <c r="G466">
        <f>IF('1F'!H40="","##BLANK",'1F'!H40)</f>
        <v>0</v>
      </c>
    </row>
    <row r="467" spans="2:7">
      <c r="B467" s="2325" t="str">
        <f>'1F'!AW41</f>
        <v>CR12521ANP</v>
      </c>
      <c r="E467" s="1753" t="s">
        <v>11007</v>
      </c>
      <c r="G467">
        <f>IF('1F'!H41="","##BLANK",'1F'!H41)</f>
        <v>0</v>
      </c>
    </row>
    <row r="468" spans="2:7">
      <c r="B468" s="2325" t="str">
        <f>'1F'!AX8</f>
        <v>CR12501AAP</v>
      </c>
      <c r="E468" s="1753" t="s">
        <v>11007</v>
      </c>
      <c r="G468">
        <f>IF('1F'!I8="","##BLANK",'1F'!I8)</f>
        <v>0</v>
      </c>
    </row>
    <row r="469" spans="2:7">
      <c r="B469" s="2325" t="str">
        <f>'1F'!AX9</f>
        <v>CR12502AAP</v>
      </c>
      <c r="E469" s="1753" t="s">
        <v>11007</v>
      </c>
      <c r="G469">
        <f>IF('1F'!I9="","##BLANK",'1F'!I9)</f>
        <v>0</v>
      </c>
    </row>
    <row r="470" spans="2:7">
      <c r="B470" s="2325" t="str">
        <f>'1F'!AX10</f>
        <v>CR12503AAP</v>
      </c>
      <c r="E470" s="1753" t="s">
        <v>11007</v>
      </c>
      <c r="G470">
        <f>IF('1F'!I10="","##BLANK",'1F'!I10)</f>
        <v>0</v>
      </c>
    </row>
    <row r="471" spans="2:7">
      <c r="B471" s="2325" t="str">
        <f>'1F'!AX11</f>
        <v>CR12504AAP</v>
      </c>
      <c r="E471" s="1753" t="s">
        <v>11007</v>
      </c>
      <c r="G471" t="str">
        <f>IF('1F'!I11="","##BLANK",'1F'!I11)</f>
        <v>##BLANK</v>
      </c>
    </row>
    <row r="472" spans="2:7">
      <c r="B472" s="2325" t="str">
        <f>'1F'!AX14</f>
        <v>CR12505AAP</v>
      </c>
      <c r="E472" s="1753" t="s">
        <v>11007</v>
      </c>
      <c r="G472">
        <f>IF('1F'!I14="","##BLANK",'1F'!I14)</f>
        <v>0</v>
      </c>
    </row>
    <row r="473" spans="2:7">
      <c r="B473" s="2325" t="str">
        <f>'1F'!AX15</f>
        <v>CR12506AAP</v>
      </c>
      <c r="E473" s="1753" t="s">
        <v>11007</v>
      </c>
      <c r="G473">
        <f>IF('1F'!I15="","##BLANK",'1F'!I15)</f>
        <v>0</v>
      </c>
    </row>
    <row r="474" spans="2:7">
      <c r="B474" s="2325" t="str">
        <f>'1F'!AX16</f>
        <v>CR12507AAP</v>
      </c>
      <c r="E474" s="1753" t="s">
        <v>11007</v>
      </c>
      <c r="G474">
        <f>IF('1F'!I16="","##BLANK",'1F'!I16)</f>
        <v>0</v>
      </c>
    </row>
    <row r="475" spans="2:7">
      <c r="B475" s="2325" t="str">
        <f>'1F'!AX17</f>
        <v>CR12508AAP</v>
      </c>
      <c r="E475" s="1753" t="s">
        <v>11007</v>
      </c>
      <c r="G475">
        <f>IF('1F'!I17="","##BLANK",'1F'!I17)</f>
        <v>0</v>
      </c>
    </row>
    <row r="476" spans="2:7">
      <c r="B476" s="2325" t="str">
        <f>'1F'!AX18</f>
        <v>CR12509AAP</v>
      </c>
      <c r="E476" s="1753" t="s">
        <v>11007</v>
      </c>
      <c r="G476">
        <f>IF('1F'!I18="","##BLANK",'1F'!I18)</f>
        <v>0</v>
      </c>
    </row>
    <row r="477" spans="2:7">
      <c r="B477" s="2325" t="str">
        <f>'1F'!AX20</f>
        <v>CR12510AAP</v>
      </c>
      <c r="E477" s="1753" t="s">
        <v>11007</v>
      </c>
      <c r="G477">
        <f>IF('1F'!I20="","##BLANK",'1F'!I20)</f>
        <v>0</v>
      </c>
    </row>
    <row r="478" spans="2:7">
      <c r="B478" s="2325" t="str">
        <f>'1F'!AX23</f>
        <v>CR12511AAP</v>
      </c>
      <c r="E478" s="1753" t="s">
        <v>11007</v>
      </c>
      <c r="G478">
        <f>IF('1F'!I23="","##BLANK",'1F'!I23)</f>
        <v>0</v>
      </c>
    </row>
    <row r="479" spans="2:7">
      <c r="B479" s="2325" t="str">
        <f>'1F'!AX24</f>
        <v>CR12512AAP</v>
      </c>
      <c r="E479" s="1753" t="s">
        <v>11007</v>
      </c>
      <c r="G479">
        <f>IF('1F'!I24="","##BLANK",'1F'!I24)</f>
        <v>0</v>
      </c>
    </row>
    <row r="480" spans="2:7">
      <c r="B480" s="2325" t="str">
        <f>'1F'!AX25</f>
        <v>CR12513AAP</v>
      </c>
      <c r="E480" s="1753" t="s">
        <v>11007</v>
      </c>
      <c r="G480">
        <f>IF('1F'!I25="","##BLANK",'1F'!I25)</f>
        <v>0</v>
      </c>
    </row>
    <row r="481" spans="2:7" s="2146" customFormat="1">
      <c r="B481" s="2325" t="str">
        <f>'1F'!AX26</f>
        <v>CR12523AAP</v>
      </c>
      <c r="C481" s="1382"/>
      <c r="E481" s="1753" t="s">
        <v>11007</v>
      </c>
      <c r="G481" s="2146">
        <f>IF('1F'!I26="","##BLANK",'1F'!I26)</f>
        <v>0</v>
      </c>
    </row>
    <row r="482" spans="2:7">
      <c r="B482" s="2325" t="str">
        <f>'1F'!AX27</f>
        <v>CR12514AAP</v>
      </c>
      <c r="E482" s="1753" t="s">
        <v>11007</v>
      </c>
      <c r="G482">
        <f>IF('1F'!I27="","##BLANK",'1F'!I27)</f>
        <v>0</v>
      </c>
    </row>
    <row r="483" spans="2:7">
      <c r="B483" s="2325" t="str">
        <f>'1F'!AX29</f>
        <v>CR12516AAP</v>
      </c>
      <c r="E483" s="1753" t="s">
        <v>11007</v>
      </c>
      <c r="G483">
        <f>IF('1F'!I29="","##BLANK",'1F'!I29)</f>
        <v>0</v>
      </c>
    </row>
    <row r="484" spans="2:7">
      <c r="B484" s="2325" t="str">
        <f>'1F'!AX31</f>
        <v>CR12517AAP</v>
      </c>
      <c r="E484" s="1753" t="s">
        <v>11007</v>
      </c>
      <c r="G484">
        <f>IF('1F'!I31="","##BLANK",'1F'!I31)</f>
        <v>0</v>
      </c>
    </row>
    <row r="485" spans="2:7">
      <c r="B485" s="2325" t="str">
        <f>'1F'!AX33</f>
        <v>CR12518AAP</v>
      </c>
      <c r="E485" s="1753" t="s">
        <v>11007</v>
      </c>
      <c r="G485">
        <f>IF('1F'!I33="","##BLANK",'1F'!I33)</f>
        <v>0</v>
      </c>
    </row>
    <row r="486" spans="2:7">
      <c r="B486" s="2325" t="str">
        <f>'1F'!AX35</f>
        <v>CR12522AAP</v>
      </c>
      <c r="E486" s="1753" t="s">
        <v>11007</v>
      </c>
      <c r="G486">
        <f>IF('1F'!I35="","##BLANK",'1F'!I35)</f>
        <v>0</v>
      </c>
    </row>
    <row r="487" spans="2:7">
      <c r="B487" s="2325" t="str">
        <f>'1F'!AX37</f>
        <v>CR12519AAP</v>
      </c>
      <c r="E487" s="1753" t="s">
        <v>11007</v>
      </c>
      <c r="G487">
        <f>IF('1F'!I37="","##BLANK",'1F'!I37)</f>
        <v>0</v>
      </c>
    </row>
    <row r="488" spans="2:7">
      <c r="B488" s="2325" t="str">
        <f>'1F'!AX40</f>
        <v>CR12520AAP</v>
      </c>
      <c r="E488" s="1753" t="s">
        <v>11007</v>
      </c>
      <c r="G488">
        <f>IF('1F'!I40="","##BLANK",'1F'!I40)</f>
        <v>0</v>
      </c>
    </row>
    <row r="489" spans="2:7">
      <c r="B489" s="2325" t="str">
        <f>'1F'!AX41</f>
        <v>CR12521AAP</v>
      </c>
      <c r="E489" s="1753" t="s">
        <v>11007</v>
      </c>
      <c r="G489">
        <f>IF('1F'!I41="","##BLANK",'1F'!I41)</f>
        <v>0</v>
      </c>
    </row>
    <row r="490" spans="2:7">
      <c r="B490" s="2325" t="str">
        <f>'1F'!AY8</f>
        <v>CR12501NNV</v>
      </c>
      <c r="E490" s="1753" t="s">
        <v>11007</v>
      </c>
      <c r="G490">
        <f>IF('1F'!J8="","##BLANK",'1F'!J8)</f>
        <v>0</v>
      </c>
    </row>
    <row r="491" spans="2:7">
      <c r="B491" s="2325" t="str">
        <f>'1F'!AY9</f>
        <v>CR12502NNV</v>
      </c>
      <c r="E491" s="1753" t="s">
        <v>11007</v>
      </c>
      <c r="G491">
        <f>IF('1F'!J9="","##BLANK",'1F'!J9)</f>
        <v>0</v>
      </c>
    </row>
    <row r="492" spans="2:7">
      <c r="B492" s="2325" t="str">
        <f>'1F'!AY10</f>
        <v>CR12503NNV</v>
      </c>
      <c r="E492" s="1753" t="s">
        <v>11007</v>
      </c>
      <c r="G492">
        <f>IF('1F'!J10="","##BLANK",'1F'!J10)</f>
        <v>0</v>
      </c>
    </row>
    <row r="493" spans="2:7">
      <c r="B493" s="2325" t="str">
        <f>'1F'!AY14</f>
        <v>CR12505NNV</v>
      </c>
      <c r="E493" s="1753" t="s">
        <v>11007</v>
      </c>
      <c r="G493">
        <f>IF('1F'!J14="","##BLANK",'1F'!J14)</f>
        <v>0</v>
      </c>
    </row>
    <row r="494" spans="2:7">
      <c r="B494" s="2325" t="str">
        <f>'1F'!AY15</f>
        <v>CR12506NNV</v>
      </c>
      <c r="E494" s="1753" t="s">
        <v>11007</v>
      </c>
      <c r="G494">
        <f>IF('1F'!J15="","##BLANK",'1F'!J15)</f>
        <v>0</v>
      </c>
    </row>
    <row r="495" spans="2:7">
      <c r="B495" s="2325" t="str">
        <f>'1F'!AY16</f>
        <v>CR12507NNV</v>
      </c>
      <c r="E495" s="1753" t="s">
        <v>11007</v>
      </c>
      <c r="G495">
        <f>IF('1F'!J16="","##BLANK",'1F'!J16)</f>
        <v>0</v>
      </c>
    </row>
    <row r="496" spans="2:7">
      <c r="B496" s="2325" t="str">
        <f>'1F'!AY17</f>
        <v>CR12508NNV</v>
      </c>
      <c r="E496" s="1753" t="s">
        <v>11007</v>
      </c>
      <c r="G496">
        <f>IF('1F'!J17="","##BLANK",'1F'!J17)</f>
        <v>0</v>
      </c>
    </row>
    <row r="497" spans="2:7">
      <c r="B497" s="2325" t="str">
        <f>'1F'!AY18</f>
        <v>CR12509NNV</v>
      </c>
      <c r="E497" s="1753" t="s">
        <v>11007</v>
      </c>
      <c r="G497">
        <f>IF('1F'!J18="","##BLANK",'1F'!J18)</f>
        <v>0</v>
      </c>
    </row>
    <row r="498" spans="2:7">
      <c r="B498" s="2325" t="str">
        <f>'1F'!AY20</f>
        <v>CR12510NNV</v>
      </c>
      <c r="E498" s="1753" t="s">
        <v>11007</v>
      </c>
      <c r="G498">
        <f>IF('1F'!J20="","##BLANK",'1F'!J20)</f>
        <v>0</v>
      </c>
    </row>
    <row r="499" spans="2:7">
      <c r="B499" s="2325" t="str">
        <f>'1F'!AY23</f>
        <v>CR12511NNV</v>
      </c>
      <c r="E499" s="1753" t="s">
        <v>11007</v>
      </c>
      <c r="G499">
        <f>IF('1F'!J23="","##BLANK",'1F'!J23)</f>
        <v>0</v>
      </c>
    </row>
    <row r="500" spans="2:7">
      <c r="B500" s="2325" t="str">
        <f>'1F'!AY24</f>
        <v>CR12512NNV</v>
      </c>
      <c r="E500" s="1753" t="s">
        <v>11007</v>
      </c>
      <c r="G500">
        <f>IF('1F'!J24="","##BLANK",'1F'!J24)</f>
        <v>0</v>
      </c>
    </row>
    <row r="501" spans="2:7">
      <c r="B501" s="2325" t="str">
        <f>'1F'!AY25</f>
        <v>CR12513NNV</v>
      </c>
      <c r="E501" s="1753" t="s">
        <v>11007</v>
      </c>
      <c r="G501">
        <f>IF('1F'!J25="","##BLANK",'1F'!J25)</f>
        <v>0</v>
      </c>
    </row>
    <row r="502" spans="2:7" s="2146" customFormat="1">
      <c r="B502" s="2325" t="str">
        <f>'1F'!AY26</f>
        <v>CR12523NNV</v>
      </c>
      <c r="C502" s="1382"/>
      <c r="E502" s="1753" t="s">
        <v>11007</v>
      </c>
      <c r="G502" s="2146">
        <f>IF('1F'!J26="","##BLANK",'1F'!J26)</f>
        <v>0</v>
      </c>
    </row>
    <row r="503" spans="2:7">
      <c r="B503" s="2325" t="str">
        <f>'1F'!AY27</f>
        <v>CR12514NNV</v>
      </c>
      <c r="E503" s="1753" t="s">
        <v>11007</v>
      </c>
      <c r="G503">
        <f>IF('1F'!J27="","##BLANK",'1F'!J27)</f>
        <v>0</v>
      </c>
    </row>
    <row r="504" spans="2:7">
      <c r="B504" s="2325" t="str">
        <f>'1F'!AY29</f>
        <v>CR12516NNV</v>
      </c>
      <c r="E504" s="1753" t="s">
        <v>11007</v>
      </c>
      <c r="G504">
        <f>IF('1F'!J29="","##BLANK",'1F'!J29)</f>
        <v>0</v>
      </c>
    </row>
    <row r="505" spans="2:7">
      <c r="B505" s="2325" t="str">
        <f>'1F'!AY31</f>
        <v>CR12517NNV</v>
      </c>
      <c r="E505" s="1753" t="s">
        <v>11007</v>
      </c>
      <c r="G505">
        <f>IF('1F'!J31="","##BLANK",'1F'!J31)</f>
        <v>0</v>
      </c>
    </row>
    <row r="506" spans="2:7">
      <c r="B506" s="2325" t="str">
        <f>'1F'!AY33</f>
        <v>CR12518NNV</v>
      </c>
      <c r="E506" s="1753" t="s">
        <v>11007</v>
      </c>
      <c r="G506">
        <f>IF('1F'!J33="","##BLANK",'1F'!J33)</f>
        <v>0</v>
      </c>
    </row>
    <row r="507" spans="2:7">
      <c r="B507" s="2325" t="str">
        <f>'1F'!AY35</f>
        <v>CR12522NNV</v>
      </c>
      <c r="E507" s="1753" t="s">
        <v>11007</v>
      </c>
      <c r="G507">
        <f>IF('1F'!J35="","##BLANK",'1F'!J35)</f>
        <v>0</v>
      </c>
    </row>
    <row r="508" spans="2:7">
      <c r="B508" s="2325" t="str">
        <f>'1F'!AY37</f>
        <v>CR12519NNV</v>
      </c>
      <c r="E508" s="1753" t="s">
        <v>11007</v>
      </c>
      <c r="G508">
        <f>IF('1F'!J37="","##BLANK",'1F'!J37)</f>
        <v>0</v>
      </c>
    </row>
    <row r="509" spans="2:7">
      <c r="B509" s="2325" t="str">
        <f>'1F'!AY40</f>
        <v>CR12520NNV</v>
      </c>
      <c r="E509" s="1753" t="s">
        <v>11007</v>
      </c>
      <c r="G509">
        <f>IF('1F'!J40="","##BLANK",'1F'!J40)</f>
        <v>0</v>
      </c>
    </row>
    <row r="510" spans="2:7">
      <c r="B510" s="2325" t="str">
        <f>'1F'!AY41</f>
        <v>CR12521NNV</v>
      </c>
      <c r="E510" s="1753" t="s">
        <v>11007</v>
      </c>
      <c r="G510">
        <f>IF('1F'!J41="","##BLANK",'1F'!J41)</f>
        <v>0</v>
      </c>
    </row>
    <row r="511" spans="2:7">
      <c r="B511" s="2325" t="str">
        <f>'1F'!AZ8</f>
        <v>CR12501ANV</v>
      </c>
      <c r="E511" s="1753" t="s">
        <v>11007</v>
      </c>
      <c r="G511">
        <f>IF('1F'!K8="","##BLANK",'1F'!K8)</f>
        <v>0</v>
      </c>
    </row>
    <row r="512" spans="2:7">
      <c r="B512" s="2325" t="str">
        <f>'1F'!AZ9</f>
        <v>CR12502ANV</v>
      </c>
      <c r="E512" s="1753" t="s">
        <v>11007</v>
      </c>
      <c r="G512">
        <f>IF('1F'!K9="","##BLANK",'1F'!K9)</f>
        <v>0</v>
      </c>
    </row>
    <row r="513" spans="2:7">
      <c r="B513" s="2325" t="str">
        <f>'1F'!AZ10</f>
        <v>CR12503ANV</v>
      </c>
      <c r="E513" s="1753" t="s">
        <v>11007</v>
      </c>
      <c r="G513">
        <f>IF('1F'!K10="","##BLANK",'1F'!K10)</f>
        <v>0</v>
      </c>
    </row>
    <row r="514" spans="2:7">
      <c r="B514" s="2325" t="str">
        <f>'1F'!AZ14</f>
        <v>CR12505ANV</v>
      </c>
      <c r="E514" s="1753" t="s">
        <v>11007</v>
      </c>
      <c r="G514">
        <f>IF('1F'!K14="","##BLANK",'1F'!K14)</f>
        <v>0</v>
      </c>
    </row>
    <row r="515" spans="2:7">
      <c r="B515" s="2325" t="str">
        <f>'1F'!AZ15</f>
        <v>CR12506ANV</v>
      </c>
      <c r="E515" s="1753" t="s">
        <v>11007</v>
      </c>
      <c r="G515">
        <f>IF('1F'!K15="","##BLANK",'1F'!K15)</f>
        <v>0</v>
      </c>
    </row>
    <row r="516" spans="2:7">
      <c r="B516" s="2325" t="str">
        <f>'1F'!AZ16</f>
        <v>CR12507ANV</v>
      </c>
      <c r="E516" s="1753" t="s">
        <v>11007</v>
      </c>
      <c r="G516">
        <f>IF('1F'!K16="","##BLANK",'1F'!K16)</f>
        <v>0</v>
      </c>
    </row>
    <row r="517" spans="2:7">
      <c r="B517" s="2325" t="str">
        <f>'1F'!AZ17</f>
        <v>CR12508ANV</v>
      </c>
      <c r="E517" s="1753" t="s">
        <v>11007</v>
      </c>
      <c r="G517">
        <f>IF('1F'!K17="","##BLANK",'1F'!K17)</f>
        <v>0</v>
      </c>
    </row>
    <row r="518" spans="2:7">
      <c r="B518" s="2325" t="str">
        <f>'1F'!AZ18</f>
        <v>CR12509ANV</v>
      </c>
      <c r="E518" s="1753" t="s">
        <v>11007</v>
      </c>
      <c r="G518">
        <f>IF('1F'!K18="","##BLANK",'1F'!K18)</f>
        <v>0</v>
      </c>
    </row>
    <row r="519" spans="2:7">
      <c r="B519" s="2325" t="str">
        <f>'1F'!AZ20</f>
        <v>CR12510ANV</v>
      </c>
      <c r="E519" s="1753" t="s">
        <v>11007</v>
      </c>
      <c r="G519">
        <f>IF('1F'!K20="","##BLANK",'1F'!K20)</f>
        <v>0</v>
      </c>
    </row>
    <row r="520" spans="2:7">
      <c r="B520" s="2325" t="str">
        <f>'1F'!AZ23</f>
        <v>CR12511ANV</v>
      </c>
      <c r="E520" s="1753" t="s">
        <v>11007</v>
      </c>
      <c r="G520">
        <f>IF('1F'!K23="","##BLANK",'1F'!K23)</f>
        <v>0</v>
      </c>
    </row>
    <row r="521" spans="2:7">
      <c r="B521" s="2325" t="str">
        <f>'1F'!AZ24</f>
        <v>CR12512ANV</v>
      </c>
      <c r="E521" s="1753" t="s">
        <v>11007</v>
      </c>
      <c r="G521">
        <f>IF('1F'!K24="","##BLANK",'1F'!K24)</f>
        <v>0</v>
      </c>
    </row>
    <row r="522" spans="2:7">
      <c r="B522" s="2325" t="str">
        <f>'1F'!AZ25</f>
        <v>CR12513ANV</v>
      </c>
      <c r="E522" s="1753" t="s">
        <v>11007</v>
      </c>
      <c r="G522">
        <f>IF('1F'!K25="","##BLANK",'1F'!K25)</f>
        <v>0</v>
      </c>
    </row>
    <row r="523" spans="2:7" s="2146" customFormat="1">
      <c r="B523" s="2325" t="str">
        <f>'1F'!AZ26</f>
        <v>CR12523ANV</v>
      </c>
      <c r="C523" s="1382"/>
      <c r="E523" s="1753" t="s">
        <v>11007</v>
      </c>
      <c r="G523" s="2146">
        <f>IF('1F'!K26="","##BLANK",'1F'!K26)</f>
        <v>0</v>
      </c>
    </row>
    <row r="524" spans="2:7">
      <c r="B524" s="2325" t="str">
        <f>'1F'!AZ27</f>
        <v>CR12514ANV</v>
      </c>
      <c r="E524" s="1753" t="s">
        <v>11007</v>
      </c>
      <c r="G524">
        <f>IF('1F'!K27="","##BLANK",'1F'!K27)</f>
        <v>0</v>
      </c>
    </row>
    <row r="525" spans="2:7">
      <c r="B525" s="2325" t="str">
        <f>'1F'!AZ29</f>
        <v>CR12516ANV</v>
      </c>
      <c r="E525" s="1753" t="s">
        <v>11007</v>
      </c>
      <c r="G525">
        <f>IF('1F'!K29="","##BLANK",'1F'!K29)</f>
        <v>0</v>
      </c>
    </row>
    <row r="526" spans="2:7">
      <c r="B526" s="2325" t="str">
        <f>'1F'!AZ31</f>
        <v>CR12517ANV</v>
      </c>
      <c r="E526" s="1753" t="s">
        <v>11007</v>
      </c>
      <c r="G526">
        <f>IF('1F'!K31="","##BLANK",'1F'!K31)</f>
        <v>0</v>
      </c>
    </row>
    <row r="527" spans="2:7">
      <c r="B527" s="2325" t="str">
        <f>'1F'!AZ33</f>
        <v>CR12518ANV</v>
      </c>
      <c r="E527" s="1753" t="s">
        <v>11007</v>
      </c>
      <c r="G527">
        <f>IF('1F'!K33="","##BLANK",'1F'!K33)</f>
        <v>0</v>
      </c>
    </row>
    <row r="528" spans="2:7">
      <c r="B528" s="2325" t="str">
        <f>'1F'!AZ35</f>
        <v>CR12522ANV</v>
      </c>
      <c r="E528" s="1753" t="s">
        <v>11007</v>
      </c>
      <c r="G528">
        <f>IF('1F'!K35="","##BLANK",'1F'!K35)</f>
        <v>0</v>
      </c>
    </row>
    <row r="529" spans="2:7">
      <c r="B529" s="2325" t="str">
        <f>'1F'!AZ37</f>
        <v>CR12519ANV</v>
      </c>
      <c r="E529" s="1753" t="s">
        <v>11007</v>
      </c>
      <c r="G529">
        <f>IF('1F'!K37="","##BLANK",'1F'!K37)</f>
        <v>0</v>
      </c>
    </row>
    <row r="530" spans="2:7">
      <c r="B530" s="2325" t="str">
        <f>'1F'!AZ40</f>
        <v>CR12520ANV</v>
      </c>
      <c r="E530" s="1753" t="s">
        <v>11007</v>
      </c>
      <c r="G530">
        <f>IF('1F'!K40="","##BLANK",'1F'!K40)</f>
        <v>0</v>
      </c>
    </row>
    <row r="531" spans="2:7">
      <c r="B531" s="2325" t="str">
        <f>'1F'!AZ41</f>
        <v>CR12521ANV</v>
      </c>
      <c r="E531" s="1753" t="s">
        <v>11007</v>
      </c>
      <c r="G531">
        <f>IF('1F'!K41="","##BLANK",'1F'!K41)</f>
        <v>0</v>
      </c>
    </row>
    <row r="532" spans="2:7">
      <c r="B532" s="2325" t="str">
        <f>'1F'!BA8</f>
        <v>CR12501AAV</v>
      </c>
      <c r="E532" s="1753" t="s">
        <v>11007</v>
      </c>
      <c r="G532">
        <f>IF('1F'!L8="","##BLANK",'1F'!L8)</f>
        <v>0</v>
      </c>
    </row>
    <row r="533" spans="2:7">
      <c r="B533" s="2325" t="str">
        <f>'1F'!BA9</f>
        <v>CR12502AAV</v>
      </c>
      <c r="E533" s="1753" t="s">
        <v>11007</v>
      </c>
      <c r="G533">
        <f>IF('1F'!L9="","##BLANK",'1F'!L9)</f>
        <v>0</v>
      </c>
    </row>
    <row r="534" spans="2:7">
      <c r="B534" s="2325" t="str">
        <f>'1F'!BA10</f>
        <v>CR12503AAV</v>
      </c>
      <c r="E534" s="1753" t="s">
        <v>11007</v>
      </c>
      <c r="G534">
        <f>IF('1F'!L10="","##BLANK",'1F'!L10)</f>
        <v>0</v>
      </c>
    </row>
    <row r="535" spans="2:7">
      <c r="B535" s="2325" t="str">
        <f>'1F'!BA14</f>
        <v>CR12505AAV</v>
      </c>
      <c r="E535" s="1753" t="s">
        <v>11007</v>
      </c>
      <c r="G535" t="str">
        <f>IF('1F'!L14="","##BLANK",'1F'!L14)</f>
        <v>##BLANK</v>
      </c>
    </row>
    <row r="536" spans="2:7">
      <c r="B536" s="2325" t="str">
        <f>'1F'!BA15</f>
        <v>CR12506AAV</v>
      </c>
      <c r="E536" s="1753" t="s">
        <v>11007</v>
      </c>
      <c r="G536" t="str">
        <f>IF('1F'!L15="","##BLANK",'1F'!L15)</f>
        <v>##BLANK</v>
      </c>
    </row>
    <row r="537" spans="2:7">
      <c r="B537" s="2325" t="str">
        <f>'1F'!BA16</f>
        <v>CR12507AAV</v>
      </c>
      <c r="E537" s="1753" t="s">
        <v>11007</v>
      </c>
      <c r="G537" t="str">
        <f>IF('1F'!L16="","##BLANK",'1F'!L16)</f>
        <v>##BLANK</v>
      </c>
    </row>
    <row r="538" spans="2:7">
      <c r="B538" s="2325" t="str">
        <f>'1F'!BA17</f>
        <v>CR12508AAV</v>
      </c>
      <c r="E538" s="1753" t="s">
        <v>11007</v>
      </c>
      <c r="G538" t="str">
        <f>IF('1F'!L17="","##BLANK",'1F'!L17)</f>
        <v>##BLANK</v>
      </c>
    </row>
    <row r="539" spans="2:7">
      <c r="B539" s="2325" t="str">
        <f>'1F'!BA18</f>
        <v>CR12509AAV</v>
      </c>
      <c r="E539" s="1753" t="s">
        <v>11007</v>
      </c>
      <c r="G539" t="str">
        <f>IF('1F'!L18="","##BLANK",'1F'!L18)</f>
        <v>##BLANK</v>
      </c>
    </row>
    <row r="540" spans="2:7">
      <c r="B540" s="2325" t="str">
        <f>'1F'!BA20</f>
        <v>CR12510AAV</v>
      </c>
      <c r="E540" s="1753" t="s">
        <v>11007</v>
      </c>
      <c r="G540">
        <f>IF('1F'!L20="","##BLANK",'1F'!L20)</f>
        <v>0</v>
      </c>
    </row>
    <row r="541" spans="2:7">
      <c r="B541" s="2325" t="str">
        <f>'1F'!BA23</f>
        <v>CR12511AAV</v>
      </c>
      <c r="E541" s="1753" t="s">
        <v>11007</v>
      </c>
      <c r="G541" t="str">
        <f>IF('1F'!L23="","##BLANK",'1F'!L23)</f>
        <v>##BLANK</v>
      </c>
    </row>
    <row r="542" spans="2:7">
      <c r="B542" s="2325" t="str">
        <f>'1F'!BA24</f>
        <v>CR12512AAV</v>
      </c>
      <c r="E542" s="1753" t="s">
        <v>11007</v>
      </c>
      <c r="G542" t="str">
        <f>IF('1F'!L24="","##BLANK",'1F'!L24)</f>
        <v>##BLANK</v>
      </c>
    </row>
    <row r="543" spans="2:7">
      <c r="B543" s="2325" t="str">
        <f>'1F'!BA25</f>
        <v>CR12513AAV</v>
      </c>
      <c r="E543" s="1753" t="s">
        <v>11007</v>
      </c>
      <c r="G543" t="str">
        <f>IF('1F'!L25="","##BLANK",'1F'!L25)</f>
        <v>##BLANK</v>
      </c>
    </row>
    <row r="544" spans="2:7" s="2146" customFormat="1">
      <c r="B544" s="2325" t="str">
        <f>'1F'!BA26</f>
        <v>CR12523AAV</v>
      </c>
      <c r="C544" s="1382"/>
      <c r="E544" s="1753" t="s">
        <v>11007</v>
      </c>
      <c r="G544" s="2146" t="str">
        <f>IF('1F'!L26="","##BLANK",'1F'!L26)</f>
        <v>##BLANK</v>
      </c>
    </row>
    <row r="545" spans="2:7">
      <c r="B545" s="2325" t="str">
        <f>'1F'!BA27</f>
        <v>CR12514AAV</v>
      </c>
      <c r="E545" s="1753" t="s">
        <v>11007</v>
      </c>
      <c r="G545">
        <f>IF('1F'!L27="","##BLANK",'1F'!L27)</f>
        <v>0</v>
      </c>
    </row>
    <row r="546" spans="2:7">
      <c r="B546" s="2325" t="str">
        <f>'1F'!BA29</f>
        <v>CR12516AAV</v>
      </c>
      <c r="E546" s="1753" t="s">
        <v>11007</v>
      </c>
      <c r="G546">
        <f>IF('1F'!L29="","##BLANK",'1F'!L29)</f>
        <v>0</v>
      </c>
    </row>
    <row r="547" spans="2:7">
      <c r="B547" s="2325" t="str">
        <f>'1F'!BA31</f>
        <v>CR12517AAV</v>
      </c>
      <c r="E547" s="1753" t="s">
        <v>11007</v>
      </c>
      <c r="G547">
        <f>IF('1F'!L31="","##BLANK",'1F'!L31)</f>
        <v>0</v>
      </c>
    </row>
    <row r="548" spans="2:7">
      <c r="B548" s="2325" t="str">
        <f>'1F'!BA33</f>
        <v>CR12518AAV</v>
      </c>
      <c r="E548" s="1753" t="s">
        <v>11007</v>
      </c>
      <c r="G548">
        <f>IF('1F'!L33="","##BLANK",'1F'!L33)</f>
        <v>0</v>
      </c>
    </row>
    <row r="549" spans="2:7">
      <c r="B549" s="2325" t="str">
        <f>'1F'!BA35</f>
        <v>CR12522AAV</v>
      </c>
      <c r="E549" s="1753" t="s">
        <v>11007</v>
      </c>
      <c r="G549">
        <f>IF('1F'!L35="","##BLANK",'1F'!L35)</f>
        <v>0</v>
      </c>
    </row>
    <row r="550" spans="2:7">
      <c r="B550" s="2325" t="str">
        <f>'1F'!BA37</f>
        <v>CR12519AAV</v>
      </c>
      <c r="E550" s="1753" t="s">
        <v>11007</v>
      </c>
      <c r="G550">
        <f>IF('1F'!L37="","##BLANK",'1F'!L37)</f>
        <v>0</v>
      </c>
    </row>
    <row r="551" spans="2:7">
      <c r="B551" s="2325" t="str">
        <f>'1F'!BA40</f>
        <v>CR12520AAV</v>
      </c>
      <c r="E551" s="1753" t="s">
        <v>11007</v>
      </c>
      <c r="G551" t="str">
        <f>IF('1F'!L40="","##BLANK",'1F'!L40)</f>
        <v>##BLANK</v>
      </c>
    </row>
    <row r="552" spans="2:7">
      <c r="B552" s="2325" t="str">
        <f>'1F'!BA41</f>
        <v>CR12521AAV</v>
      </c>
      <c r="E552" s="1753" t="s">
        <v>11007</v>
      </c>
      <c r="G552" t="str">
        <f>IF('1F'!L41="","##BLANK",'1F'!L41)</f>
        <v>##BLANK</v>
      </c>
    </row>
    <row r="553" spans="2:7">
      <c r="B553" s="2325" t="str">
        <f>'1F'!BB8</f>
        <v>CR12501NNPA</v>
      </c>
      <c r="E553" s="1753" t="s">
        <v>11007</v>
      </c>
      <c r="G553" t="str">
        <f>IF('1F'!M8="","##BLANK",'1F'!M8)</f>
        <v>##BLANK</v>
      </c>
    </row>
    <row r="554" spans="2:7">
      <c r="B554" s="2325" t="str">
        <f>'1F'!BB9</f>
        <v>CR12502NNPA</v>
      </c>
      <c r="E554" s="1753" t="s">
        <v>11007</v>
      </c>
      <c r="G554" t="str">
        <f>IF('1F'!M9="","##BLANK",'1F'!M9)</f>
        <v>##BLANK</v>
      </c>
    </row>
    <row r="555" spans="2:7">
      <c r="B555" s="2325" t="str">
        <f>'1F'!BB10</f>
        <v>CR12503NNPA</v>
      </c>
      <c r="E555" s="1753" t="s">
        <v>11007</v>
      </c>
      <c r="G555">
        <f>IF('1F'!M10="","##BLANK",'1F'!M10)</f>
        <v>0</v>
      </c>
    </row>
    <row r="556" spans="2:7">
      <c r="B556" s="2325" t="str">
        <f>'1F'!BB11</f>
        <v>CR12504NNPA</v>
      </c>
      <c r="E556" s="1753" t="s">
        <v>11007</v>
      </c>
      <c r="G556" t="str">
        <f>IF('1F'!M11="","##BLANK",'1F'!M11)</f>
        <v>##BLANK</v>
      </c>
    </row>
    <row r="557" spans="2:7">
      <c r="B557" s="2325" t="str">
        <f>'1F'!BB14</f>
        <v>CR12505NNPA</v>
      </c>
      <c r="E557" s="1753" t="s">
        <v>11007</v>
      </c>
      <c r="G557">
        <f>IF('1F'!M14="","##BLANK",'1F'!M14)</f>
        <v>0</v>
      </c>
    </row>
    <row r="558" spans="2:7">
      <c r="B558" s="2325" t="str">
        <f>'1F'!BB15</f>
        <v>CR12506NNPA</v>
      </c>
      <c r="E558" s="1753" t="s">
        <v>11007</v>
      </c>
      <c r="G558">
        <f>IF('1F'!M15="","##BLANK",'1F'!M15)</f>
        <v>0</v>
      </c>
    </row>
    <row r="559" spans="2:7">
      <c r="B559" s="2325" t="str">
        <f>'1F'!BB16</f>
        <v>CR12507NNPA</v>
      </c>
      <c r="E559" s="1753" t="s">
        <v>11007</v>
      </c>
      <c r="G559">
        <f>IF('1F'!M16="","##BLANK",'1F'!M16)</f>
        <v>0</v>
      </c>
    </row>
    <row r="560" spans="2:7">
      <c r="B560" s="2325" t="str">
        <f>'1F'!BB17</f>
        <v>CR12508NNPA</v>
      </c>
      <c r="E560" s="1753" t="s">
        <v>11007</v>
      </c>
      <c r="G560">
        <f>IF('1F'!M17="","##BLANK",'1F'!M17)</f>
        <v>0</v>
      </c>
    </row>
    <row r="561" spans="2:7">
      <c r="B561" s="2325" t="str">
        <f>'1F'!BB18</f>
        <v>CR12509NNPA</v>
      </c>
      <c r="E561" s="1753" t="s">
        <v>11007</v>
      </c>
      <c r="G561">
        <f>IF('1F'!M18="","##BLANK",'1F'!M18)</f>
        <v>0</v>
      </c>
    </row>
    <row r="562" spans="2:7">
      <c r="B562" s="2325" t="str">
        <f>'1F'!BB20</f>
        <v>CR12510NNPA</v>
      </c>
      <c r="E562" s="1753" t="s">
        <v>11007</v>
      </c>
      <c r="G562">
        <f>IF('1F'!M20="","##BLANK",'1F'!M20)</f>
        <v>0</v>
      </c>
    </row>
    <row r="563" spans="2:7">
      <c r="B563" s="2325" t="str">
        <f>'1F'!BB23</f>
        <v>CR12511NNPA</v>
      </c>
      <c r="E563" s="1753" t="s">
        <v>11007</v>
      </c>
      <c r="G563">
        <f>IF('1F'!M23="","##BLANK",'1F'!M23)</f>
        <v>0</v>
      </c>
    </row>
    <row r="564" spans="2:7">
      <c r="B564" s="2325" t="str">
        <f>'1F'!BB24</f>
        <v>CR12512NNPA</v>
      </c>
      <c r="E564" s="1753" t="s">
        <v>11007</v>
      </c>
      <c r="G564">
        <f>IF('1F'!M24="","##BLANK",'1F'!M24)</f>
        <v>0</v>
      </c>
    </row>
    <row r="565" spans="2:7">
      <c r="B565" s="2325" t="str">
        <f>'1F'!BB25</f>
        <v>CR12513NNPA</v>
      </c>
      <c r="E565" s="1753" t="s">
        <v>11007</v>
      </c>
      <c r="G565">
        <f>IF('1F'!M25="","##BLANK",'1F'!M25)</f>
        <v>0</v>
      </c>
    </row>
    <row r="566" spans="2:7" s="2146" customFormat="1">
      <c r="B566" s="2325" t="str">
        <f>'1F'!BB26</f>
        <v>CR12523NNPA</v>
      </c>
      <c r="C566" s="1382"/>
      <c r="E566" s="1753" t="s">
        <v>11007</v>
      </c>
      <c r="G566" s="2146">
        <f>IF('1F'!M26="","##BLANK",'1F'!M26)</f>
        <v>0</v>
      </c>
    </row>
    <row r="567" spans="2:7">
      <c r="B567" s="2325" t="str">
        <f>'1F'!BB27</f>
        <v>CR12514NNPA</v>
      </c>
      <c r="E567" s="1753" t="s">
        <v>11007</v>
      </c>
      <c r="G567">
        <f>IF('1F'!M27="","##BLANK",'1F'!M27)</f>
        <v>0</v>
      </c>
    </row>
    <row r="568" spans="2:7">
      <c r="B568" s="2325" t="str">
        <f>'1F'!BB29</f>
        <v>CR12516NNPA</v>
      </c>
      <c r="E568" s="1753" t="s">
        <v>11007</v>
      </c>
      <c r="G568">
        <f>IF('1F'!M29="","##BLANK",'1F'!M29)</f>
        <v>0</v>
      </c>
    </row>
    <row r="569" spans="2:7">
      <c r="B569" s="2325" t="str">
        <f>'1F'!BB31</f>
        <v>CR12517NNPA</v>
      </c>
      <c r="E569" s="1753" t="s">
        <v>11007</v>
      </c>
      <c r="G569" t="str">
        <f>IF('1F'!M31="","##BLANK",'1F'!M31)</f>
        <v>##BLANK</v>
      </c>
    </row>
    <row r="570" spans="2:7">
      <c r="B570" s="2325" t="str">
        <f>'1F'!BB33</f>
        <v>CR12518NNPA</v>
      </c>
      <c r="E570" s="1753" t="s">
        <v>11007</v>
      </c>
      <c r="G570">
        <f>IF('1F'!M33="","##BLANK",'1F'!M33)</f>
        <v>0</v>
      </c>
    </row>
    <row r="571" spans="2:7">
      <c r="B571" s="2325" t="str">
        <f>'1F'!BB35</f>
        <v>CR12522NNPA</v>
      </c>
      <c r="E571" s="1753" t="s">
        <v>11007</v>
      </c>
      <c r="G571">
        <f>IF('1F'!M35="","##BLANK",'1F'!M35)</f>
        <v>0.04</v>
      </c>
    </row>
    <row r="572" spans="2:7">
      <c r="B572" s="2325" t="str">
        <f>'1F'!BB37</f>
        <v>CR12519NNPA</v>
      </c>
      <c r="E572" s="1753" t="s">
        <v>11007</v>
      </c>
      <c r="G572">
        <f>IF('1F'!M37="","##BLANK",'1F'!M37)</f>
        <v>-0.04</v>
      </c>
    </row>
    <row r="573" spans="2:7">
      <c r="B573" s="2325" t="str">
        <f>'1F'!BB40</f>
        <v>CR12520NNPA</v>
      </c>
      <c r="E573" s="1753" t="s">
        <v>11007</v>
      </c>
      <c r="G573">
        <f>IF('1F'!M40="","##BLANK",'1F'!M40)</f>
        <v>0.04</v>
      </c>
    </row>
    <row r="574" spans="2:7">
      <c r="B574" s="2325" t="str">
        <f>'1F'!BB41</f>
        <v>CR12521NNPA</v>
      </c>
      <c r="E574" s="1753" t="s">
        <v>11007</v>
      </c>
      <c r="G574">
        <f>IF('1F'!M41="","##BLANK",'1F'!M41)</f>
        <v>0</v>
      </c>
    </row>
    <row r="575" spans="2:7">
      <c r="B575" s="2325" t="str">
        <f>'1F'!BC8</f>
        <v>CR12501ANPA</v>
      </c>
      <c r="E575" s="1753" t="s">
        <v>11007</v>
      </c>
      <c r="G575">
        <f>IF('1F'!N8="","##BLANK",'1F'!N8)</f>
        <v>0</v>
      </c>
    </row>
    <row r="576" spans="2:7">
      <c r="B576" s="2325" t="str">
        <f>'1F'!BC9</f>
        <v>CR12502ANPA</v>
      </c>
      <c r="E576" s="1753" t="s">
        <v>11007</v>
      </c>
      <c r="G576">
        <f>IF('1F'!N9="","##BLANK",'1F'!N9)</f>
        <v>0</v>
      </c>
    </row>
    <row r="577" spans="2:7">
      <c r="B577" s="2325" t="str">
        <f>'1F'!BC10</f>
        <v>CR12503ANPA</v>
      </c>
      <c r="E577" s="1753" t="s">
        <v>11007</v>
      </c>
      <c r="G577">
        <f>IF('1F'!N10="","##BLANK",'1F'!N10)</f>
        <v>0</v>
      </c>
    </row>
    <row r="578" spans="2:7">
      <c r="B578" s="2325" t="str">
        <f>'1F'!BC11</f>
        <v>CR12504ANPA</v>
      </c>
      <c r="E578" s="1753" t="s">
        <v>11007</v>
      </c>
      <c r="G578">
        <f>IF('1F'!N11="","##BLANK",'1F'!N11)</f>
        <v>0</v>
      </c>
    </row>
    <row r="579" spans="2:7">
      <c r="B579" s="2325" t="str">
        <f>'1F'!BC14</f>
        <v>CR12505ANPA</v>
      </c>
      <c r="E579" s="1753" t="s">
        <v>11007</v>
      </c>
      <c r="G579">
        <f>IF('1F'!N14="","##BLANK",'1F'!N14)</f>
        <v>0</v>
      </c>
    </row>
    <row r="580" spans="2:7">
      <c r="B580" s="2325" t="str">
        <f>'1F'!BC15</f>
        <v>CR12506ANPA</v>
      </c>
      <c r="E580" s="1753" t="s">
        <v>11007</v>
      </c>
      <c r="G580">
        <f>IF('1F'!N15="","##BLANK",'1F'!N15)</f>
        <v>0</v>
      </c>
    </row>
    <row r="581" spans="2:7">
      <c r="B581" s="2325" t="str">
        <f>'1F'!BC16</f>
        <v>CR12507ANPA</v>
      </c>
      <c r="E581" s="1753" t="s">
        <v>11007</v>
      </c>
      <c r="G581">
        <f>IF('1F'!N16="","##BLANK",'1F'!N16)</f>
        <v>0</v>
      </c>
    </row>
    <row r="582" spans="2:7">
      <c r="B582" s="2325" t="str">
        <f>'1F'!BC17</f>
        <v>CR12508ANPA</v>
      </c>
      <c r="E582" s="1753" t="s">
        <v>11007</v>
      </c>
      <c r="G582">
        <f>IF('1F'!N17="","##BLANK",'1F'!N17)</f>
        <v>0</v>
      </c>
    </row>
    <row r="583" spans="2:7">
      <c r="B583" s="2325" t="str">
        <f>'1F'!BC18</f>
        <v>CR12509ANPA</v>
      </c>
      <c r="E583" s="1753" t="s">
        <v>11007</v>
      </c>
      <c r="G583">
        <f>IF('1F'!N18="","##BLANK",'1F'!N18)</f>
        <v>0</v>
      </c>
    </row>
    <row r="584" spans="2:7">
      <c r="B584" s="2325" t="str">
        <f>'1F'!BC20</f>
        <v>CR12510ANPA</v>
      </c>
      <c r="E584" s="1753" t="s">
        <v>11007</v>
      </c>
      <c r="G584">
        <f>IF('1F'!N20="","##BLANK",'1F'!N20)</f>
        <v>0</v>
      </c>
    </row>
    <row r="585" spans="2:7">
      <c r="B585" s="2325" t="str">
        <f>'1F'!BC23</f>
        <v>CR12511ANPA</v>
      </c>
      <c r="E585" s="1753" t="s">
        <v>11007</v>
      </c>
      <c r="G585">
        <f>IF('1F'!N23="","##BLANK",'1F'!N23)</f>
        <v>0</v>
      </c>
    </row>
    <row r="586" spans="2:7">
      <c r="B586" s="2325" t="str">
        <f>'1F'!BC24</f>
        <v>CR12512ANPA</v>
      </c>
      <c r="E586" s="1753" t="s">
        <v>11007</v>
      </c>
      <c r="G586">
        <f>IF('1F'!N24="","##BLANK",'1F'!N24)</f>
        <v>0</v>
      </c>
    </row>
    <row r="587" spans="2:7">
      <c r="B587" s="2325" t="str">
        <f>'1F'!BC25</f>
        <v>CR12513ANPA</v>
      </c>
      <c r="E587" s="1753" t="s">
        <v>11007</v>
      </c>
      <c r="G587">
        <f>IF('1F'!N25="","##BLANK",'1F'!N25)</f>
        <v>0</v>
      </c>
    </row>
    <row r="588" spans="2:7" s="2146" customFormat="1">
      <c r="B588" s="2325" t="str">
        <f>'1F'!BC26</f>
        <v>CR12523ANPA</v>
      </c>
      <c r="C588" s="1382"/>
      <c r="E588" s="1753" t="s">
        <v>11007</v>
      </c>
      <c r="G588" s="2146">
        <f>IF('1F'!N26="","##BLANK",'1F'!N26)</f>
        <v>0</v>
      </c>
    </row>
    <row r="589" spans="2:7">
      <c r="B589" s="2325" t="str">
        <f>'1F'!BC27</f>
        <v>CR12514ANPA</v>
      </c>
      <c r="E589" s="1753" t="s">
        <v>11007</v>
      </c>
      <c r="G589">
        <f>IF('1F'!N27="","##BLANK",'1F'!N27)</f>
        <v>0</v>
      </c>
    </row>
    <row r="590" spans="2:7">
      <c r="B590" s="2325" t="str">
        <f>'1F'!BC29</f>
        <v>CR12516ANPA</v>
      </c>
      <c r="E590" s="1753" t="s">
        <v>11007</v>
      </c>
      <c r="G590">
        <f>IF('1F'!N29="","##BLANK",'1F'!N29)</f>
        <v>0</v>
      </c>
    </row>
    <row r="591" spans="2:7">
      <c r="B591" s="2325" t="str">
        <f>'1F'!BC31</f>
        <v>CR12517ANPA</v>
      </c>
      <c r="E591" s="1753" t="s">
        <v>11007</v>
      </c>
      <c r="G591">
        <f>IF('1F'!N31="","##BLANK",'1F'!N31)</f>
        <v>0</v>
      </c>
    </row>
    <row r="592" spans="2:7">
      <c r="B592" s="2325" t="str">
        <f>'1F'!BC33</f>
        <v>CR12518ANPA</v>
      </c>
      <c r="E592" s="1753" t="s">
        <v>11007</v>
      </c>
      <c r="G592">
        <f>IF('1F'!N33="","##BLANK",'1F'!N33)</f>
        <v>0</v>
      </c>
    </row>
    <row r="593" spans="2:7">
      <c r="B593" s="2325" t="str">
        <f>'1F'!BC35</f>
        <v>CR12522ANPA</v>
      </c>
      <c r="E593" s="1753" t="s">
        <v>11007</v>
      </c>
      <c r="G593">
        <f>IF('1F'!N35="","##BLANK",'1F'!N35)</f>
        <v>0</v>
      </c>
    </row>
    <row r="594" spans="2:7">
      <c r="B594" s="2325" t="str">
        <f>'1F'!BC37</f>
        <v>CR12519ANPA</v>
      </c>
      <c r="E594" s="1753" t="s">
        <v>11007</v>
      </c>
      <c r="G594">
        <f>IF('1F'!N37="","##BLANK",'1F'!N37)</f>
        <v>0</v>
      </c>
    </row>
    <row r="595" spans="2:7">
      <c r="B595" s="2325" t="str">
        <f>'1F'!BC40</f>
        <v>CR12520ANPA</v>
      </c>
      <c r="E595" s="1753" t="s">
        <v>11007</v>
      </c>
      <c r="G595">
        <f>IF('1F'!N40="","##BLANK",'1F'!N40)</f>
        <v>0</v>
      </c>
    </row>
    <row r="596" spans="2:7">
      <c r="B596" s="2325" t="str">
        <f>'1F'!BC41</f>
        <v>CR12521ANPA</v>
      </c>
      <c r="E596" s="1753" t="s">
        <v>11007</v>
      </c>
      <c r="G596">
        <f>IF('1F'!N41="","##BLANK",'1F'!N41)</f>
        <v>0</v>
      </c>
    </row>
    <row r="597" spans="2:7">
      <c r="B597" s="2325" t="str">
        <f>'1F'!BD8</f>
        <v>CR12501AAPA</v>
      </c>
      <c r="E597" s="1753" t="s">
        <v>11007</v>
      </c>
      <c r="G597">
        <f>IF('1F'!O8="","##BLANK",'1F'!O8)</f>
        <v>0</v>
      </c>
    </row>
    <row r="598" spans="2:7">
      <c r="B598" s="2325" t="str">
        <f>'1F'!BD9</f>
        <v>CR12502AAPA</v>
      </c>
      <c r="E598" s="1753" t="s">
        <v>11007</v>
      </c>
      <c r="G598">
        <f>IF('1F'!O9="","##BLANK",'1F'!O9)</f>
        <v>0</v>
      </c>
    </row>
    <row r="599" spans="2:7">
      <c r="B599" s="2325" t="str">
        <f>'1F'!BD10</f>
        <v>CR12503AAPA</v>
      </c>
      <c r="E599" s="1753" t="s">
        <v>11007</v>
      </c>
      <c r="G599">
        <f>IF('1F'!O10="","##BLANK",'1F'!O10)</f>
        <v>0</v>
      </c>
    </row>
    <row r="600" spans="2:7">
      <c r="B600" s="2325" t="str">
        <f>'1F'!BD11</f>
        <v>CR12504AAPA</v>
      </c>
      <c r="E600" s="1753" t="s">
        <v>11007</v>
      </c>
      <c r="G600" t="str">
        <f>IF('1F'!O11="","##BLANK",'1F'!O11)</f>
        <v>##BLANK</v>
      </c>
    </row>
    <row r="601" spans="2:7">
      <c r="B601" s="2325" t="str">
        <f>'1F'!BD14</f>
        <v>CR12505AAPA</v>
      </c>
      <c r="E601" s="1753" t="s">
        <v>11007</v>
      </c>
      <c r="G601">
        <f>IF('1F'!O14="","##BLANK",'1F'!O14)</f>
        <v>0</v>
      </c>
    </row>
    <row r="602" spans="2:7">
      <c r="B602" s="2325" t="str">
        <f>'1F'!BD15</f>
        <v>CR12506AAPA</v>
      </c>
      <c r="E602" s="1753" t="s">
        <v>11007</v>
      </c>
      <c r="G602">
        <f>IF('1F'!O15="","##BLANK",'1F'!O15)</f>
        <v>0</v>
      </c>
    </row>
    <row r="603" spans="2:7">
      <c r="B603" s="2325" t="str">
        <f>'1F'!BD16</f>
        <v>CR12507AAPA</v>
      </c>
      <c r="E603" s="1753" t="s">
        <v>11007</v>
      </c>
      <c r="G603">
        <f>IF('1F'!O16="","##BLANK",'1F'!O16)</f>
        <v>0</v>
      </c>
    </row>
    <row r="604" spans="2:7">
      <c r="B604" s="2325" t="str">
        <f>'1F'!BD17</f>
        <v>CR12508AAPA</v>
      </c>
      <c r="E604" s="1753" t="s">
        <v>11007</v>
      </c>
      <c r="G604">
        <f>IF('1F'!O17="","##BLANK",'1F'!O17)</f>
        <v>0</v>
      </c>
    </row>
    <row r="605" spans="2:7">
      <c r="B605" s="2325" t="str">
        <f>'1F'!BD18</f>
        <v>CR12509AAPA</v>
      </c>
      <c r="E605" s="1753" t="s">
        <v>11007</v>
      </c>
      <c r="G605">
        <f>IF('1F'!O18="","##BLANK",'1F'!O18)</f>
        <v>0</v>
      </c>
    </row>
    <row r="606" spans="2:7">
      <c r="B606" s="2325" t="str">
        <f>'1F'!BD20</f>
        <v>CR12510AAPA</v>
      </c>
      <c r="E606" s="1753" t="s">
        <v>11007</v>
      </c>
      <c r="G606">
        <f>IF('1F'!O20="","##BLANK",'1F'!O20)</f>
        <v>0</v>
      </c>
    </row>
    <row r="607" spans="2:7">
      <c r="B607" s="2325" t="str">
        <f>'1F'!BD23</f>
        <v>CR12511AAPA</v>
      </c>
      <c r="E607" s="1753" t="s">
        <v>11007</v>
      </c>
      <c r="G607">
        <f>IF('1F'!O23="","##BLANK",'1F'!O23)</f>
        <v>0</v>
      </c>
    </row>
    <row r="608" spans="2:7">
      <c r="B608" s="2325" t="str">
        <f>'1F'!BD24</f>
        <v>CR12512AAPA</v>
      </c>
      <c r="E608" s="1753" t="s">
        <v>11007</v>
      </c>
      <c r="G608">
        <f>IF('1F'!O24="","##BLANK",'1F'!O24)</f>
        <v>0</v>
      </c>
    </row>
    <row r="609" spans="2:7">
      <c r="B609" s="2325" t="str">
        <f>'1F'!BD25</f>
        <v>CR12513AAPA</v>
      </c>
      <c r="E609" s="1753" t="s">
        <v>11007</v>
      </c>
      <c r="G609">
        <f>IF('1F'!O25="","##BLANK",'1F'!O25)</f>
        <v>0</v>
      </c>
    </row>
    <row r="610" spans="2:7" s="2146" customFormat="1">
      <c r="B610" s="2325" t="str">
        <f>'1F'!BD26</f>
        <v>CR12523AAPA</v>
      </c>
      <c r="C610" s="1382"/>
      <c r="E610" s="1753" t="s">
        <v>11007</v>
      </c>
      <c r="G610" s="2146">
        <f>IF('1F'!O26="","##BLANK",'1F'!O26)</f>
        <v>0</v>
      </c>
    </row>
    <row r="611" spans="2:7">
      <c r="B611" s="2325" t="str">
        <f>'1F'!BD27</f>
        <v>CR12514AAPA</v>
      </c>
      <c r="E611" s="1753" t="s">
        <v>11007</v>
      </c>
      <c r="G611">
        <f>IF('1F'!O27="","##BLANK",'1F'!O27)</f>
        <v>0</v>
      </c>
    </row>
    <row r="612" spans="2:7">
      <c r="B612" s="2325" t="str">
        <f>'1F'!BD29</f>
        <v>CR12516AAPA</v>
      </c>
      <c r="E612" s="1753" t="s">
        <v>11007</v>
      </c>
      <c r="G612">
        <f>IF('1F'!O29="","##BLANK",'1F'!O29)</f>
        <v>0</v>
      </c>
    </row>
    <row r="613" spans="2:7">
      <c r="B613" s="2325" t="str">
        <f>'1F'!BD31</f>
        <v>CR12517AAPA</v>
      </c>
      <c r="E613" s="1753" t="s">
        <v>11007</v>
      </c>
      <c r="G613">
        <f>IF('1F'!O31="","##BLANK",'1F'!O31)</f>
        <v>0</v>
      </c>
    </row>
    <row r="614" spans="2:7">
      <c r="B614" s="2325" t="str">
        <f>'1F'!BD33</f>
        <v>CR12518AAPA</v>
      </c>
      <c r="E614" s="1753" t="s">
        <v>11007</v>
      </c>
      <c r="G614">
        <f>IF('1F'!O33="","##BLANK",'1F'!O33)</f>
        <v>0</v>
      </c>
    </row>
    <row r="615" spans="2:7">
      <c r="B615" s="2325" t="str">
        <f>'1F'!BD35</f>
        <v>CR12522AAPA</v>
      </c>
      <c r="E615" s="1753" t="s">
        <v>11007</v>
      </c>
      <c r="G615">
        <f>IF('1F'!O35="","##BLANK",'1F'!O35)</f>
        <v>0</v>
      </c>
    </row>
    <row r="616" spans="2:7">
      <c r="B616" s="2325" t="str">
        <f>'1F'!BD37</f>
        <v>CR12519AAPA</v>
      </c>
      <c r="E616" s="1753" t="s">
        <v>11007</v>
      </c>
      <c r="G616">
        <f>IF('1F'!O37="","##BLANK",'1F'!O37)</f>
        <v>0</v>
      </c>
    </row>
    <row r="617" spans="2:7">
      <c r="B617" s="2325" t="str">
        <f>'1F'!BD40</f>
        <v>CR12520AAPA</v>
      </c>
      <c r="E617" s="1753" t="s">
        <v>11007</v>
      </c>
      <c r="G617">
        <f>IF('1F'!O40="","##BLANK",'1F'!O40)</f>
        <v>0</v>
      </c>
    </row>
    <row r="618" spans="2:7">
      <c r="B618" s="2325" t="str">
        <f>'1F'!BD41</f>
        <v>CR12521AAPA</v>
      </c>
      <c r="E618" s="1753" t="s">
        <v>11007</v>
      </c>
      <c r="G618">
        <f>IF('1F'!O41="","##BLANK",'1F'!O41)</f>
        <v>0</v>
      </c>
    </row>
    <row r="619" spans="2:7">
      <c r="B619" s="2325" t="str">
        <f>'1F'!BE8</f>
        <v>CR12501NNVA</v>
      </c>
      <c r="E619" s="1753" t="s">
        <v>11007</v>
      </c>
      <c r="G619">
        <f>IF('1F'!P8="","##BLANK",'1F'!P8)</f>
        <v>0</v>
      </c>
    </row>
    <row r="620" spans="2:7">
      <c r="B620" s="2325" t="str">
        <f>'1F'!BE9</f>
        <v>CR12502NNVA</v>
      </c>
      <c r="E620" s="1753" t="s">
        <v>11007</v>
      </c>
      <c r="G620">
        <f>IF('1F'!P9="","##BLANK",'1F'!P9)</f>
        <v>0</v>
      </c>
    </row>
    <row r="621" spans="2:7">
      <c r="B621" s="2325" t="str">
        <f>'1F'!BE10</f>
        <v>CR12503NNVA</v>
      </c>
      <c r="E621" s="1753" t="s">
        <v>11007</v>
      </c>
      <c r="G621">
        <f>IF('1F'!P10="","##BLANK",'1F'!P10)</f>
        <v>0</v>
      </c>
    </row>
    <row r="622" spans="2:7">
      <c r="B622" s="2325" t="str">
        <f>'1F'!BE14</f>
        <v>CR12505NNVA</v>
      </c>
      <c r="E622" s="1753" t="s">
        <v>11007</v>
      </c>
      <c r="G622">
        <f>IF('1F'!P14="","##BLANK",'1F'!P14)</f>
        <v>0</v>
      </c>
    </row>
    <row r="623" spans="2:7">
      <c r="B623" s="2325" t="str">
        <f>'1F'!BE15</f>
        <v>CR12506NNVA</v>
      </c>
      <c r="E623" s="1753" t="s">
        <v>11007</v>
      </c>
      <c r="G623">
        <f>IF('1F'!P15="","##BLANK",'1F'!P15)</f>
        <v>0</v>
      </c>
    </row>
    <row r="624" spans="2:7">
      <c r="B624" s="2325" t="str">
        <f>'1F'!BE16</f>
        <v>CR12507NNVA</v>
      </c>
      <c r="E624" s="1753" t="s">
        <v>11007</v>
      </c>
      <c r="G624">
        <f>IF('1F'!P16="","##BLANK",'1F'!P16)</f>
        <v>0</v>
      </c>
    </row>
    <row r="625" spans="2:7">
      <c r="B625" s="2325" t="str">
        <f>'1F'!BE17</f>
        <v>CR12508NNVA</v>
      </c>
      <c r="E625" s="1753" t="s">
        <v>11007</v>
      </c>
      <c r="G625">
        <f>IF('1F'!P17="","##BLANK",'1F'!P17)</f>
        <v>0</v>
      </c>
    </row>
    <row r="626" spans="2:7">
      <c r="B626" s="2325" t="str">
        <f>'1F'!BE18</f>
        <v>CR12509NNVA</v>
      </c>
      <c r="E626" s="1753" t="s">
        <v>11007</v>
      </c>
      <c r="G626">
        <f>IF('1F'!P18="","##BLANK",'1F'!P18)</f>
        <v>0</v>
      </c>
    </row>
    <row r="627" spans="2:7">
      <c r="B627" s="2325" t="str">
        <f>'1F'!BE20</f>
        <v>CR12510NNVA</v>
      </c>
      <c r="E627" s="1753" t="s">
        <v>11007</v>
      </c>
      <c r="G627">
        <f>IF('1F'!P20="","##BLANK",'1F'!P20)</f>
        <v>0</v>
      </c>
    </row>
    <row r="628" spans="2:7">
      <c r="B628" s="2325" t="str">
        <f>'1F'!BE23</f>
        <v>CR12511NNVA</v>
      </c>
      <c r="E628" s="1753" t="s">
        <v>11007</v>
      </c>
      <c r="G628">
        <f>IF('1F'!P23="","##BLANK",'1F'!P23)</f>
        <v>0</v>
      </c>
    </row>
    <row r="629" spans="2:7">
      <c r="B629" s="2325" t="str">
        <f>'1F'!BE24</f>
        <v>CR12512NNVA</v>
      </c>
      <c r="E629" s="1753" t="s">
        <v>11007</v>
      </c>
      <c r="G629">
        <f>IF('1F'!P24="","##BLANK",'1F'!P24)</f>
        <v>0</v>
      </c>
    </row>
    <row r="630" spans="2:7">
      <c r="B630" s="2325" t="str">
        <f>'1F'!BE25</f>
        <v>CR12513NNVA</v>
      </c>
      <c r="E630" s="1753" t="s">
        <v>11007</v>
      </c>
      <c r="G630">
        <f>IF('1F'!P25="","##BLANK",'1F'!P25)</f>
        <v>0</v>
      </c>
    </row>
    <row r="631" spans="2:7" s="2146" customFormat="1">
      <c r="B631" s="2325" t="str">
        <f>'1F'!BE26</f>
        <v>CR12523NNVA</v>
      </c>
      <c r="C631" s="1382"/>
      <c r="E631" s="1753" t="s">
        <v>11007</v>
      </c>
      <c r="G631" s="2146">
        <f>IF('1F'!P26="","##BLANK",'1F'!P26)</f>
        <v>0</v>
      </c>
    </row>
    <row r="632" spans="2:7">
      <c r="B632" s="2325" t="str">
        <f>'1F'!BE27</f>
        <v>CR12514NNVA</v>
      </c>
      <c r="E632" s="1753" t="s">
        <v>11007</v>
      </c>
      <c r="G632">
        <f>IF('1F'!P27="","##BLANK",'1F'!P27)</f>
        <v>0</v>
      </c>
    </row>
    <row r="633" spans="2:7">
      <c r="B633" s="2325" t="str">
        <f>'1F'!BE29</f>
        <v>CR12516NNVA</v>
      </c>
      <c r="E633" s="1753" t="s">
        <v>11007</v>
      </c>
      <c r="G633">
        <f>IF('1F'!P29="","##BLANK",'1F'!P29)</f>
        <v>0</v>
      </c>
    </row>
    <row r="634" spans="2:7">
      <c r="B634" s="2325" t="str">
        <f>'1F'!BE31</f>
        <v>CR12517NNVA</v>
      </c>
      <c r="E634" s="1753" t="s">
        <v>11007</v>
      </c>
      <c r="G634">
        <f>IF('1F'!P31="","##BLANK",'1F'!P31)</f>
        <v>0</v>
      </c>
    </row>
    <row r="635" spans="2:7">
      <c r="B635" s="2325" t="str">
        <f>'1F'!BE33</f>
        <v>CR12518NNVA</v>
      </c>
      <c r="E635" s="1753" t="s">
        <v>11007</v>
      </c>
      <c r="G635">
        <f>IF('1F'!P33="","##BLANK",'1F'!P33)</f>
        <v>0</v>
      </c>
    </row>
    <row r="636" spans="2:7">
      <c r="B636" s="2325" t="str">
        <f>'1F'!BE35</f>
        <v>CR12522NNVA</v>
      </c>
      <c r="E636" s="1753" t="s">
        <v>11007</v>
      </c>
      <c r="G636">
        <f>IF('1F'!P35="","##BLANK",'1F'!P35)</f>
        <v>0</v>
      </c>
    </row>
    <row r="637" spans="2:7">
      <c r="B637" s="2325" t="str">
        <f>'1F'!BE37</f>
        <v>CR12519NNVA</v>
      </c>
      <c r="E637" s="1753" t="s">
        <v>11007</v>
      </c>
      <c r="G637">
        <f>IF('1F'!P37="","##BLANK",'1F'!P37)</f>
        <v>0</v>
      </c>
    </row>
    <row r="638" spans="2:7">
      <c r="B638" s="2325" t="str">
        <f>'1F'!BE40</f>
        <v>CR12520NNVA</v>
      </c>
      <c r="E638" s="1753" t="s">
        <v>11007</v>
      </c>
      <c r="G638">
        <f>IF('1F'!P40="","##BLANK",'1F'!P40)</f>
        <v>0</v>
      </c>
    </row>
    <row r="639" spans="2:7">
      <c r="B639" s="2325" t="str">
        <f>'1F'!BE41</f>
        <v>CR12521NNVA</v>
      </c>
      <c r="E639" s="1753" t="s">
        <v>11007</v>
      </c>
      <c r="G639">
        <f>IF('1F'!P41="","##BLANK",'1F'!P41)</f>
        <v>0</v>
      </c>
    </row>
    <row r="640" spans="2:7">
      <c r="B640" s="2325" t="str">
        <f>'1F'!BF8</f>
        <v>CR12501ANVA</v>
      </c>
      <c r="E640" s="1753" t="s">
        <v>11007</v>
      </c>
      <c r="G640">
        <f>IF('1F'!Q8="","##BLANK",'1F'!Q8)</f>
        <v>0</v>
      </c>
    </row>
    <row r="641" spans="2:7">
      <c r="B641" s="2325" t="str">
        <f>'1F'!BF9</f>
        <v>CR12502ANVA</v>
      </c>
      <c r="E641" s="1753" t="s">
        <v>11007</v>
      </c>
      <c r="G641">
        <f>IF('1F'!Q9="","##BLANK",'1F'!Q9)</f>
        <v>0</v>
      </c>
    </row>
    <row r="642" spans="2:7">
      <c r="B642" s="2325" t="str">
        <f>'1F'!BF10</f>
        <v>CR12503ANVA</v>
      </c>
      <c r="E642" s="1753" t="s">
        <v>11007</v>
      </c>
      <c r="G642">
        <f>IF('1F'!Q10="","##BLANK",'1F'!Q10)</f>
        <v>0</v>
      </c>
    </row>
    <row r="643" spans="2:7">
      <c r="B643" s="2325" t="str">
        <f>'1F'!BF14</f>
        <v>CR12505ANVA</v>
      </c>
      <c r="E643" s="1753" t="s">
        <v>11007</v>
      </c>
      <c r="G643">
        <f>IF('1F'!Q14="","##BLANK",'1F'!Q14)</f>
        <v>0</v>
      </c>
    </row>
    <row r="644" spans="2:7">
      <c r="B644" s="2325" t="str">
        <f>'1F'!BF15</f>
        <v>CR12506ANVA</v>
      </c>
      <c r="E644" s="1753" t="s">
        <v>11007</v>
      </c>
      <c r="G644">
        <f>IF('1F'!Q15="","##BLANK",'1F'!Q15)</f>
        <v>0</v>
      </c>
    </row>
    <row r="645" spans="2:7">
      <c r="B645" s="2325" t="str">
        <f>'1F'!BF16</f>
        <v>CR12507ANVA</v>
      </c>
      <c r="E645" s="1753" t="s">
        <v>11007</v>
      </c>
      <c r="G645">
        <f>IF('1F'!Q16="","##BLANK",'1F'!Q16)</f>
        <v>0</v>
      </c>
    </row>
    <row r="646" spans="2:7">
      <c r="B646" s="2325" t="str">
        <f>'1F'!BF17</f>
        <v>CR12508ANVA</v>
      </c>
      <c r="E646" s="1753" t="s">
        <v>11007</v>
      </c>
      <c r="G646" t="str">
        <f>IF('1F'!Q17="","##BLANK",'1F'!Q17)</f>
        <v>##BLANK</v>
      </c>
    </row>
    <row r="647" spans="2:7">
      <c r="B647" s="2325" t="str">
        <f>'1F'!BF18</f>
        <v>CR12509ANVA</v>
      </c>
      <c r="E647" s="1753" t="s">
        <v>11007</v>
      </c>
      <c r="G647" t="str">
        <f>IF('1F'!Q18="","##BLANK",'1F'!Q18)</f>
        <v>##BLANK</v>
      </c>
    </row>
    <row r="648" spans="2:7">
      <c r="B648" s="2325" t="str">
        <f>'1F'!BF20</f>
        <v>CR12510ANVA</v>
      </c>
      <c r="E648" s="1753" t="s">
        <v>11007</v>
      </c>
      <c r="G648">
        <f>IF('1F'!Q20="","##BLANK",'1F'!Q20)</f>
        <v>0</v>
      </c>
    </row>
    <row r="649" spans="2:7">
      <c r="B649" s="2325" t="str">
        <f>'1F'!BF23</f>
        <v>CR12511ANVA</v>
      </c>
      <c r="E649" s="1753" t="s">
        <v>11007</v>
      </c>
      <c r="G649">
        <f>IF('1F'!Q23="","##BLANK",'1F'!Q23)</f>
        <v>0</v>
      </c>
    </row>
    <row r="650" spans="2:7">
      <c r="B650" s="2325" t="str">
        <f>'1F'!BF24</f>
        <v>CR12512ANVA</v>
      </c>
      <c r="E650" s="1753" t="s">
        <v>11007</v>
      </c>
      <c r="G650">
        <f>IF('1F'!Q24="","##BLANK",'1F'!Q24)</f>
        <v>0</v>
      </c>
    </row>
    <row r="651" spans="2:7">
      <c r="B651" s="2325" t="str">
        <f>'1F'!BF25</f>
        <v>CR12513ANVA</v>
      </c>
      <c r="E651" s="1753" t="s">
        <v>11007</v>
      </c>
      <c r="G651">
        <f>IF('1F'!Q25="","##BLANK",'1F'!Q25)</f>
        <v>0</v>
      </c>
    </row>
    <row r="652" spans="2:7" s="2146" customFormat="1">
      <c r="B652" s="2325" t="str">
        <f>'1F'!BF26</f>
        <v>CR12523ANVA</v>
      </c>
      <c r="C652" s="1382"/>
      <c r="E652" s="1753" t="s">
        <v>11007</v>
      </c>
      <c r="G652" s="2146">
        <f>IF('1F'!Q26="","##BLANK",'1F'!Q26)</f>
        <v>0</v>
      </c>
    </row>
    <row r="653" spans="2:7">
      <c r="B653" s="2325" t="str">
        <f>'1F'!BF27</f>
        <v>CR12514ANVA</v>
      </c>
      <c r="E653" s="1753" t="s">
        <v>11007</v>
      </c>
      <c r="G653">
        <f>IF('1F'!Q27="","##BLANK",'1F'!Q27)</f>
        <v>0</v>
      </c>
    </row>
    <row r="654" spans="2:7">
      <c r="B654" s="2325" t="str">
        <f>'1F'!BF29</f>
        <v>CR12516ANVA</v>
      </c>
      <c r="E654" s="1753" t="s">
        <v>11007</v>
      </c>
      <c r="G654">
        <f>IF('1F'!Q29="","##BLANK",'1F'!Q29)</f>
        <v>0</v>
      </c>
    </row>
    <row r="655" spans="2:7">
      <c r="B655" s="2325" t="str">
        <f>'1F'!BF31</f>
        <v>CR12517ANVA</v>
      </c>
      <c r="E655" s="1753" t="s">
        <v>11007</v>
      </c>
      <c r="G655">
        <f>IF('1F'!Q31="","##BLANK",'1F'!Q31)</f>
        <v>0</v>
      </c>
    </row>
    <row r="656" spans="2:7">
      <c r="B656" s="2325" t="str">
        <f>'1F'!BF33</f>
        <v>CR12518ANVA</v>
      </c>
      <c r="E656" s="1753" t="s">
        <v>11007</v>
      </c>
      <c r="G656">
        <f>IF('1F'!Q33="","##BLANK",'1F'!Q33)</f>
        <v>0</v>
      </c>
    </row>
    <row r="657" spans="2:7">
      <c r="B657" s="2325" t="str">
        <f>'1F'!BF35</f>
        <v>CR12522ANVA</v>
      </c>
      <c r="E657" s="1753" t="s">
        <v>11007</v>
      </c>
      <c r="G657">
        <f>IF('1F'!Q35="","##BLANK",'1F'!Q35)</f>
        <v>0</v>
      </c>
    </row>
    <row r="658" spans="2:7">
      <c r="B658" s="2325" t="str">
        <f>'1F'!BF37</f>
        <v>CR12519ANVA</v>
      </c>
      <c r="E658" s="1753" t="s">
        <v>11007</v>
      </c>
      <c r="G658">
        <f>IF('1F'!Q37="","##BLANK",'1F'!Q37)</f>
        <v>0</v>
      </c>
    </row>
    <row r="659" spans="2:7">
      <c r="B659" s="2325" t="str">
        <f>'1F'!BF40</f>
        <v>CR12520ANVA</v>
      </c>
      <c r="E659" s="1753" t="s">
        <v>11007</v>
      </c>
      <c r="G659">
        <f>IF('1F'!Q40="","##BLANK",'1F'!Q40)</f>
        <v>0</v>
      </c>
    </row>
    <row r="660" spans="2:7">
      <c r="B660" s="2325" t="str">
        <f>'1F'!BF41</f>
        <v>CR12521ANVA</v>
      </c>
      <c r="E660" s="1753" t="s">
        <v>11007</v>
      </c>
      <c r="G660">
        <f>IF('1F'!Q41="","##BLANK",'1F'!Q41)</f>
        <v>0</v>
      </c>
    </row>
    <row r="661" spans="2:7">
      <c r="B661" s="2325" t="str">
        <f>'1F'!BG8</f>
        <v>CR12501AAVA</v>
      </c>
      <c r="E661" s="1753" t="s">
        <v>11007</v>
      </c>
      <c r="G661">
        <f>IF('1F'!R8="","##BLANK",'1F'!R8)</f>
        <v>0</v>
      </c>
    </row>
    <row r="662" spans="2:7">
      <c r="B662" s="2325" t="str">
        <f>'1F'!BG9</f>
        <v>CR12502AAVA</v>
      </c>
      <c r="E662" s="1753" t="s">
        <v>11007</v>
      </c>
      <c r="G662">
        <f>IF('1F'!R9="","##BLANK",'1F'!R9)</f>
        <v>0</v>
      </c>
    </row>
    <row r="663" spans="2:7">
      <c r="B663" s="2325" t="str">
        <f>'1F'!BG10</f>
        <v>CR12503AAVA</v>
      </c>
      <c r="E663" s="1753" t="s">
        <v>11007</v>
      </c>
      <c r="G663">
        <f>IF('1F'!R10="","##BLANK",'1F'!R10)</f>
        <v>0</v>
      </c>
    </row>
    <row r="664" spans="2:7">
      <c r="B664" s="2325" t="str">
        <f>'1F'!BG14</f>
        <v>CR12505AAVA</v>
      </c>
      <c r="E664" s="1753" t="s">
        <v>11007</v>
      </c>
      <c r="G664" t="str">
        <f>IF('1F'!R14="","##BLANK",'1F'!R14)</f>
        <v>##BLANK</v>
      </c>
    </row>
    <row r="665" spans="2:7">
      <c r="B665" s="2325" t="str">
        <f>'1F'!BG15</f>
        <v>CR12506AAVA</v>
      </c>
      <c r="E665" s="1753" t="s">
        <v>11007</v>
      </c>
      <c r="G665" t="str">
        <f>IF('1F'!R15="","##BLANK",'1F'!R15)</f>
        <v>##BLANK</v>
      </c>
    </row>
    <row r="666" spans="2:7">
      <c r="B666" s="2325" t="str">
        <f>'1F'!BG16</f>
        <v>CR12507AAVA</v>
      </c>
      <c r="E666" s="1753" t="s">
        <v>11007</v>
      </c>
      <c r="G666" t="str">
        <f>IF('1F'!R16="","##BLANK",'1F'!R16)</f>
        <v>##BLANK</v>
      </c>
    </row>
    <row r="667" spans="2:7">
      <c r="B667" s="2325" t="str">
        <f>'1F'!BG17</f>
        <v>CR12508AAVA</v>
      </c>
      <c r="E667" s="1753" t="s">
        <v>11007</v>
      </c>
      <c r="G667" t="str">
        <f>IF('1F'!R17="","##BLANK",'1F'!R17)</f>
        <v>##BLANK</v>
      </c>
    </row>
    <row r="668" spans="2:7">
      <c r="B668" s="2325" t="str">
        <f>'1F'!BG18</f>
        <v>CR12509AAVA</v>
      </c>
      <c r="E668" s="1753" t="s">
        <v>11007</v>
      </c>
      <c r="G668" t="str">
        <f>IF('1F'!R18="","##BLANK",'1F'!R18)</f>
        <v>##BLANK</v>
      </c>
    </row>
    <row r="669" spans="2:7">
      <c r="B669" s="2325" t="str">
        <f>'1F'!BG20</f>
        <v>CR12510AAVA</v>
      </c>
      <c r="E669" s="1753" t="s">
        <v>11007</v>
      </c>
      <c r="G669">
        <f>IF('1F'!R20="","##BLANK",'1F'!R20)</f>
        <v>0</v>
      </c>
    </row>
    <row r="670" spans="2:7">
      <c r="B670" s="2325" t="str">
        <f>'1F'!BG23</f>
        <v>CR12511AAVA</v>
      </c>
      <c r="E670" s="1753" t="s">
        <v>11007</v>
      </c>
      <c r="G670" t="str">
        <f>IF('1F'!R23="","##BLANK",'1F'!R23)</f>
        <v>##BLANK</v>
      </c>
    </row>
    <row r="671" spans="2:7">
      <c r="B671" s="2325" t="str">
        <f>'1F'!BG24</f>
        <v>CR12512AAVA</v>
      </c>
      <c r="E671" s="1753" t="s">
        <v>11007</v>
      </c>
      <c r="G671" t="str">
        <f>IF('1F'!R24="","##BLANK",'1F'!R24)</f>
        <v>##BLANK</v>
      </c>
    </row>
    <row r="672" spans="2:7">
      <c r="B672" s="2325" t="str">
        <f>'1F'!BG25</f>
        <v>CR12513AAVA</v>
      </c>
      <c r="E672" s="1753" t="s">
        <v>11007</v>
      </c>
      <c r="G672" t="str">
        <f>IF('1F'!R25="","##BLANK",'1F'!R25)</f>
        <v>##BLANK</v>
      </c>
    </row>
    <row r="673" spans="2:7" s="2146" customFormat="1">
      <c r="B673" s="2325" t="str">
        <f>'1F'!BG26</f>
        <v>CR12523AAVA</v>
      </c>
      <c r="C673" s="1382"/>
      <c r="E673" s="1753" t="s">
        <v>11007</v>
      </c>
      <c r="G673" s="2146" t="str">
        <f>IF('1F'!R26="","##BLANK",'1F'!R26)</f>
        <v>##BLANK</v>
      </c>
    </row>
    <row r="674" spans="2:7">
      <c r="B674" s="2325" t="str">
        <f>'1F'!BG27</f>
        <v>CR12514AAVA</v>
      </c>
      <c r="E674" s="1753" t="s">
        <v>11007</v>
      </c>
      <c r="G674">
        <f>IF('1F'!R27="","##BLANK",'1F'!R27)</f>
        <v>0</v>
      </c>
    </row>
    <row r="675" spans="2:7">
      <c r="B675" s="2325" t="str">
        <f>'1F'!BG29</f>
        <v>CR12516AAVA</v>
      </c>
      <c r="E675" s="1753" t="s">
        <v>11007</v>
      </c>
      <c r="G675">
        <f>IF('1F'!R29="","##BLANK",'1F'!R29)</f>
        <v>0</v>
      </c>
    </row>
    <row r="676" spans="2:7">
      <c r="B676" s="2325" t="str">
        <f>'1F'!BG31</f>
        <v>CR12517AAVA</v>
      </c>
      <c r="E676" s="1753" t="s">
        <v>11007</v>
      </c>
      <c r="G676">
        <f>IF('1F'!R31="","##BLANK",'1F'!R31)</f>
        <v>0</v>
      </c>
    </row>
    <row r="677" spans="2:7">
      <c r="B677" s="2325" t="str">
        <f>'1F'!BG33</f>
        <v>CR12518AAVA</v>
      </c>
      <c r="E677" s="1753" t="s">
        <v>11007</v>
      </c>
      <c r="G677">
        <f>IF('1F'!R33="","##BLANK",'1F'!R33)</f>
        <v>0</v>
      </c>
    </row>
    <row r="678" spans="2:7">
      <c r="B678" s="2325" t="str">
        <f>'1F'!BG35</f>
        <v>CR12522AAVA</v>
      </c>
      <c r="E678" s="1753" t="s">
        <v>11007</v>
      </c>
      <c r="G678">
        <f>IF('1F'!R35="","##BLANK",'1F'!R35)</f>
        <v>0</v>
      </c>
    </row>
    <row r="679" spans="2:7">
      <c r="B679" s="2325" t="str">
        <f>'1F'!BG37</f>
        <v>CR12519AAVA</v>
      </c>
      <c r="E679" s="1753" t="s">
        <v>11007</v>
      </c>
      <c r="G679">
        <f>IF('1F'!R37="","##BLANK",'1F'!R37)</f>
        <v>0</v>
      </c>
    </row>
    <row r="680" spans="2:7">
      <c r="B680" s="2325" t="str">
        <f>'1F'!BG40</f>
        <v>CR12520AAVA</v>
      </c>
      <c r="E680" s="1753" t="s">
        <v>11007</v>
      </c>
      <c r="G680" t="str">
        <f>IF('1F'!R40="","##BLANK",'1F'!R40)</f>
        <v>##BLANK</v>
      </c>
    </row>
    <row r="681" spans="2:7">
      <c r="B681" s="2325" t="str">
        <f>'1F'!BG41</f>
        <v>CR12521AAVA</v>
      </c>
      <c r="E681" s="1753" t="s">
        <v>11007</v>
      </c>
      <c r="G681" t="str">
        <f>IF('1F'!R41="","##BLANK",'1F'!R41)</f>
        <v>##BLANK</v>
      </c>
    </row>
    <row r="682" spans="2:7">
      <c r="B682" s="893" t="str">
        <f>'2A'!BL6</f>
        <v>A19016RHPC</v>
      </c>
      <c r="D682" s="2146"/>
      <c r="E682" s="1753" t="s">
        <v>11007</v>
      </c>
      <c r="G682" t="str">
        <f>IF('2A'!G6="","##BLANK",'2A'!G6)</f>
        <v>##BLANK</v>
      </c>
    </row>
    <row r="683" spans="2:7">
      <c r="B683" s="893" t="str">
        <f>'2A'!BL7</f>
        <v>A19016RHNPC</v>
      </c>
      <c r="D683" s="2146"/>
      <c r="E683" s="1753" t="s">
        <v>11007</v>
      </c>
      <c r="G683" t="str">
        <f>IF('2A'!G7="","##BLANK",'2A'!G7)</f>
        <v>##BLANK</v>
      </c>
    </row>
    <row r="684" spans="2:7">
      <c r="B684" s="893" t="str">
        <f>'2A'!BL8</f>
        <v>BM9023H</v>
      </c>
      <c r="D684" s="2146"/>
      <c r="E684" s="1753" t="s">
        <v>11007</v>
      </c>
      <c r="G684">
        <f>IF('2A'!G8="","##BLANK",'2A'!G8)</f>
        <v>0</v>
      </c>
    </row>
    <row r="685" spans="2:7">
      <c r="B685" s="893" t="str">
        <f>'2A'!BL10</f>
        <v>BM9027H</v>
      </c>
      <c r="D685" s="2146"/>
      <c r="E685" s="1753" t="s">
        <v>11007</v>
      </c>
      <c r="G685" t="str">
        <f>IF('2A'!G10="","##BLANK",'2A'!G10)</f>
        <v>##BLANK</v>
      </c>
    </row>
    <row r="686" spans="2:7">
      <c r="B686" s="893" t="str">
        <f>'2A'!BL11</f>
        <v>A19015RH</v>
      </c>
      <c r="D686" s="2146"/>
      <c r="E686" s="1753" t="s">
        <v>11007</v>
      </c>
      <c r="G686" t="str">
        <f>IF('2A'!G11="","##BLANK",'2A'!G11)</f>
        <v>##BLANK</v>
      </c>
    </row>
    <row r="687" spans="2:7">
      <c r="B687" s="893" t="str">
        <f>'2A'!BL12</f>
        <v>BO2010RH</v>
      </c>
      <c r="D687" s="2146"/>
      <c r="E687" s="1753" t="s">
        <v>11007</v>
      </c>
      <c r="G687">
        <f>IF('2A'!G12="","##BLANK",'2A'!G12)</f>
        <v>0</v>
      </c>
    </row>
    <row r="688" spans="2:7">
      <c r="B688" s="893" t="str">
        <f>'2A'!BL15</f>
        <v>BM9037</v>
      </c>
      <c r="D688" s="2146"/>
      <c r="E688" s="1753" t="s">
        <v>11007</v>
      </c>
      <c r="G688" t="str">
        <f>IF('2A'!G15="","##BLANK",'2A'!G15)</f>
        <v>##BLANK</v>
      </c>
    </row>
    <row r="689" spans="2:7">
      <c r="B689" s="893" t="str">
        <f>'2A'!BL16</f>
        <v>BM9036</v>
      </c>
      <c r="D689" s="2146"/>
      <c r="E689" s="1753" t="s">
        <v>11007</v>
      </c>
      <c r="G689" t="str">
        <f>IF('2A'!G16="","##BLANK",'2A'!G16)</f>
        <v>##BLANK</v>
      </c>
    </row>
    <row r="690" spans="2:7">
      <c r="B690" s="893" t="str">
        <f>'2A'!BL18</f>
        <v>HP00030RH</v>
      </c>
      <c r="D690" s="2146"/>
      <c r="E690" s="1753" t="s">
        <v>11007</v>
      </c>
      <c r="G690">
        <f>IF('2A'!G18="","##BLANK",'2A'!G18)</f>
        <v>0</v>
      </c>
    </row>
    <row r="691" spans="2:7">
      <c r="B691" s="893" t="str">
        <f>'2A'!BM6</f>
        <v>A19016RNHPC</v>
      </c>
      <c r="E691" s="1753" t="s">
        <v>11007</v>
      </c>
      <c r="G691" t="str">
        <f>IF('2A'!H6="","##BLANK",'2A'!H6)</f>
        <v>##BLANK</v>
      </c>
    </row>
    <row r="692" spans="2:7">
      <c r="B692" s="893" t="str">
        <f>'2A'!BM7</f>
        <v>A19016RNHNPC</v>
      </c>
      <c r="E692" s="1753" t="s">
        <v>11007</v>
      </c>
      <c r="G692" t="str">
        <f>IF('2A'!H7="","##BLANK",'2A'!H7)</f>
        <v>##BLANK</v>
      </c>
    </row>
    <row r="693" spans="2:7">
      <c r="B693" s="893" t="str">
        <f>'2A'!BM8</f>
        <v>BM9223NH</v>
      </c>
      <c r="E693" s="1753" t="s">
        <v>11007</v>
      </c>
      <c r="G693">
        <f>IF('2A'!H8="","##BLANK",'2A'!H8)</f>
        <v>0</v>
      </c>
    </row>
    <row r="694" spans="2:7">
      <c r="B694" s="893" t="str">
        <f>'2A'!BM10</f>
        <v>BM9027NH</v>
      </c>
      <c r="E694" s="1753" t="s">
        <v>11007</v>
      </c>
      <c r="G694" t="str">
        <f>IF('2A'!H10="","##BLANK",'2A'!H10)</f>
        <v>##BLANK</v>
      </c>
    </row>
    <row r="695" spans="2:7">
      <c r="B695" s="893" t="str">
        <f>'2A'!BM11</f>
        <v>A19015RNH</v>
      </c>
      <c r="E695" s="1753" t="s">
        <v>11007</v>
      </c>
      <c r="G695" t="str">
        <f>IF('2A'!H11="","##BLANK",'2A'!H11)</f>
        <v>##BLANK</v>
      </c>
    </row>
    <row r="696" spans="2:7">
      <c r="B696" s="893" t="str">
        <f>'2A'!BM12</f>
        <v>BO2010RNH</v>
      </c>
      <c r="E696" s="1753" t="s">
        <v>11007</v>
      </c>
      <c r="G696">
        <f>IF('2A'!H12="","##BLANK",'2A'!H12)</f>
        <v>0</v>
      </c>
    </row>
    <row r="697" spans="2:7">
      <c r="B697" s="893" t="str">
        <f>'2A'!BM15</f>
        <v>BM9337</v>
      </c>
      <c r="E697" s="1753" t="s">
        <v>11007</v>
      </c>
      <c r="G697" t="str">
        <f>IF('2A'!H15="","##BLANK",'2A'!H15)</f>
        <v>##BLANK</v>
      </c>
    </row>
    <row r="698" spans="2:7">
      <c r="B698" s="893" t="str">
        <f>'2A'!BM16</f>
        <v>BM9336</v>
      </c>
      <c r="E698" s="1753" t="s">
        <v>11007</v>
      </c>
      <c r="G698" t="str">
        <f>IF('2A'!H16="","##BLANK",'2A'!H16)</f>
        <v>##BLANK</v>
      </c>
    </row>
    <row r="699" spans="2:7">
      <c r="B699" s="893" t="str">
        <f>'2A'!BM18</f>
        <v>HP00030RNH</v>
      </c>
      <c r="E699" s="1753" t="s">
        <v>11007</v>
      </c>
      <c r="G699">
        <f>IF('2A'!H18="","##BLANK",'2A'!H18)</f>
        <v>0</v>
      </c>
    </row>
    <row r="700" spans="2:7">
      <c r="B700" s="893" t="str">
        <f>'2A'!BN8</f>
        <v>BM352WR</v>
      </c>
      <c r="E700" s="1753" t="s">
        <v>11007</v>
      </c>
      <c r="G700">
        <f>IF('2A'!I8="","##BLANK",'2A'!I8)</f>
        <v>0</v>
      </c>
    </row>
    <row r="701" spans="2:7">
      <c r="B701" s="893" t="str">
        <f>'2A'!BN10</f>
        <v>BM320WR</v>
      </c>
      <c r="E701" s="1753" t="s">
        <v>11007</v>
      </c>
      <c r="G701" t="str">
        <f>IF('2A'!I10="","##BLANK",'2A'!I10)</f>
        <v>##BLANK</v>
      </c>
    </row>
    <row r="702" spans="2:7">
      <c r="B702" s="893" t="str">
        <f>'2A'!BN11</f>
        <v>A19015WR</v>
      </c>
      <c r="E702" s="1753" t="s">
        <v>11007</v>
      </c>
      <c r="G702" t="str">
        <f>IF('2A'!I11="","##BLANK",'2A'!I11)</f>
        <v>##BLANK</v>
      </c>
    </row>
    <row r="703" spans="2:7">
      <c r="B703" s="893" t="str">
        <f>'2A'!BN15</f>
        <v>BM338WR</v>
      </c>
      <c r="E703" s="1753" t="s">
        <v>11007</v>
      </c>
      <c r="G703" t="str">
        <f>IF('2A'!I15="","##BLANK",'2A'!I15)</f>
        <v>##BLANK</v>
      </c>
    </row>
    <row r="704" spans="2:7">
      <c r="B704" s="893" t="str">
        <f>'2A'!BN16</f>
        <v>BM337WR</v>
      </c>
      <c r="E704" s="1753" t="s">
        <v>11007</v>
      </c>
      <c r="G704" t="str">
        <f>IF('2A'!I16="","##BLANK",'2A'!I16)</f>
        <v>##BLANK</v>
      </c>
    </row>
    <row r="705" spans="2:7">
      <c r="B705" s="893" t="str">
        <f>'2A'!BO6</f>
        <v>A19030WNPC</v>
      </c>
      <c r="E705" s="1753" t="s">
        <v>11007</v>
      </c>
      <c r="G705" t="str">
        <f>IF('2A'!J6="","##BLANK",'2A'!J6)</f>
        <v>##BLANK</v>
      </c>
    </row>
    <row r="706" spans="2:7">
      <c r="B706" s="893" t="str">
        <f>'2A'!BO7</f>
        <v>A19030WNNPC</v>
      </c>
      <c r="E706" s="1753" t="s">
        <v>11007</v>
      </c>
      <c r="G706" t="str">
        <f>IF('2A'!J7="","##BLANK",'2A'!J7)</f>
        <v>##BLANK</v>
      </c>
    </row>
    <row r="707" spans="2:7">
      <c r="B707" s="893" t="str">
        <f>'2A'!BO8</f>
        <v>BM352WN</v>
      </c>
      <c r="E707" s="1753" t="s">
        <v>11007</v>
      </c>
      <c r="G707">
        <f>IF('2A'!J8="","##BLANK",'2A'!J8)</f>
        <v>0</v>
      </c>
    </row>
    <row r="708" spans="2:7">
      <c r="B708" s="893" t="str">
        <f>'2A'!BO10</f>
        <v>BM320WN</v>
      </c>
      <c r="E708" s="1753" t="s">
        <v>11007</v>
      </c>
      <c r="G708" t="str">
        <f>IF('2A'!J10="","##BLANK",'2A'!J10)</f>
        <v>##BLANK</v>
      </c>
    </row>
    <row r="709" spans="2:7">
      <c r="B709" s="893" t="str">
        <f>'2A'!BO11</f>
        <v>A19015WN</v>
      </c>
      <c r="E709" s="1753" t="s">
        <v>11007</v>
      </c>
      <c r="G709" t="str">
        <f>IF('2A'!J11="","##BLANK",'2A'!J11)</f>
        <v>##BLANK</v>
      </c>
    </row>
    <row r="710" spans="2:7">
      <c r="B710" s="893" t="str">
        <f>'2A'!BO15</f>
        <v>BM338WN</v>
      </c>
      <c r="E710" s="1753" t="s">
        <v>11007</v>
      </c>
      <c r="G710" t="str">
        <f>IF('2A'!J15="","##BLANK",'2A'!J15)</f>
        <v>##BLANK</v>
      </c>
    </row>
    <row r="711" spans="2:7">
      <c r="B711" s="893" t="str">
        <f>'2A'!BO16</f>
        <v>BM337WN</v>
      </c>
      <c r="E711" s="1753" t="s">
        <v>11007</v>
      </c>
      <c r="G711" t="str">
        <f>IF('2A'!J16="","##BLANK",'2A'!J16)</f>
        <v>##BLANK</v>
      </c>
    </row>
    <row r="712" spans="2:7">
      <c r="B712" s="893" t="str">
        <f>'2A'!BP6</f>
        <v>A19030WWPC</v>
      </c>
      <c r="E712" s="1753" t="s">
        <v>11007</v>
      </c>
      <c r="G712">
        <f>IF('2A'!K6="","##BLANK",'2A'!K6)</f>
        <v>0</v>
      </c>
    </row>
    <row r="713" spans="2:7">
      <c r="B713" s="893" t="str">
        <f>'2A'!BP7</f>
        <v>A19030WWNPC</v>
      </c>
      <c r="E713" s="1753" t="s">
        <v>11007</v>
      </c>
      <c r="G713">
        <f>IF('2A'!K7="","##BLANK",'2A'!K7)</f>
        <v>0</v>
      </c>
    </row>
    <row r="714" spans="2:7">
      <c r="B714" s="893" t="str">
        <f>'2A'!BP8</f>
        <v>BM352TAS</v>
      </c>
      <c r="E714" s="1753" t="s">
        <v>11007</v>
      </c>
      <c r="G714">
        <f>IF('2A'!K8="","##BLANK",'2A'!K8)</f>
        <v>0</v>
      </c>
    </row>
    <row r="715" spans="2:7">
      <c r="B715" s="893" t="str">
        <f>'2A'!BP9</f>
        <v>BM212TAS</v>
      </c>
      <c r="E715" s="1753" t="s">
        <v>11007</v>
      </c>
      <c r="G715">
        <f>IF('2A'!K9="","##BLANK",'2A'!K9)</f>
        <v>0</v>
      </c>
    </row>
    <row r="716" spans="2:7">
      <c r="B716" s="893" t="str">
        <f>'2A'!BP10</f>
        <v>BM320TAS</v>
      </c>
      <c r="E716" s="1753" t="s">
        <v>11007</v>
      </c>
      <c r="G716">
        <f>IF('2A'!K10="","##BLANK",'2A'!K10)</f>
        <v>0</v>
      </c>
    </row>
    <row r="717" spans="2:7">
      <c r="B717" s="893" t="str">
        <f>'2A'!BP11</f>
        <v>A19015WSW</v>
      </c>
      <c r="E717" s="1753" t="s">
        <v>11007</v>
      </c>
      <c r="G717">
        <f>IF('2A'!K11="","##BLANK",'2A'!K11)</f>
        <v>0</v>
      </c>
    </row>
    <row r="718" spans="2:7">
      <c r="B718" s="893" t="str">
        <f>'2A'!BP12</f>
        <v>BO2010WW</v>
      </c>
      <c r="E718" s="1753" t="s">
        <v>11007</v>
      </c>
      <c r="G718">
        <f>IF('2A'!K12="","##BLANK",'2A'!K12)</f>
        <v>0</v>
      </c>
    </row>
    <row r="719" spans="2:7">
      <c r="B719" s="893" t="str">
        <f>'2A'!BP15</f>
        <v>BM338TAS</v>
      </c>
      <c r="E719" s="1753" t="s">
        <v>11007</v>
      </c>
      <c r="G719">
        <f>IF('2A'!K15="","##BLANK",'2A'!K15)</f>
        <v>0</v>
      </c>
    </row>
    <row r="720" spans="2:7">
      <c r="B720" s="893" t="str">
        <f>'2A'!BP16</f>
        <v>BM337TAS</v>
      </c>
      <c r="E720" s="1753" t="s">
        <v>11007</v>
      </c>
      <c r="G720">
        <f>IF('2A'!K16="","##BLANK",'2A'!K16)</f>
        <v>0</v>
      </c>
    </row>
    <row r="721" spans="2:7">
      <c r="B721" s="893" t="str">
        <f>'2A'!BP18</f>
        <v>HP00030WW</v>
      </c>
      <c r="E721" s="1753" t="s">
        <v>11007</v>
      </c>
      <c r="G721">
        <f>IF('2A'!K18="","##BLANK",'2A'!K18)</f>
        <v>0</v>
      </c>
    </row>
    <row r="722" spans="2:7">
      <c r="B722" s="893" t="str">
        <f>'2A'!BQ6</f>
        <v>A19030WNKPC</v>
      </c>
      <c r="E722" s="1753" t="s">
        <v>11007</v>
      </c>
      <c r="G722" t="str">
        <f>IF('2A'!L6="","##BLANK",'2A'!L6)</f>
        <v>##BLANK</v>
      </c>
    </row>
    <row r="723" spans="2:7">
      <c r="B723" s="893" t="str">
        <f>'2A'!BQ7</f>
        <v>A19030WNKNPC</v>
      </c>
      <c r="E723" s="1753" t="s">
        <v>11007</v>
      </c>
      <c r="G723" t="str">
        <f>IF('2A'!L7="","##BLANK",'2A'!L7)</f>
        <v>##BLANK</v>
      </c>
    </row>
    <row r="724" spans="2:7">
      <c r="B724" s="893" t="str">
        <f>'2A'!BQ8</f>
        <v>BM852WNK</v>
      </c>
      <c r="E724" s="1753" t="s">
        <v>11007</v>
      </c>
      <c r="G724">
        <f>IF('2A'!L8="","##BLANK",'2A'!L8)</f>
        <v>0</v>
      </c>
    </row>
    <row r="725" spans="2:7">
      <c r="B725" s="893" t="str">
        <f>'2A'!BQ10</f>
        <v>BM820WNK</v>
      </c>
      <c r="E725" s="1753" t="s">
        <v>11007</v>
      </c>
      <c r="G725" t="str">
        <f>IF('2A'!L10="","##BLANK",'2A'!L10)</f>
        <v>##BLANK</v>
      </c>
    </row>
    <row r="726" spans="2:7">
      <c r="B726" s="893" t="str">
        <f>'2A'!BQ11</f>
        <v>A19015WNK</v>
      </c>
      <c r="E726" s="1753" t="s">
        <v>11007</v>
      </c>
      <c r="G726" t="str">
        <f>IF('2A'!L11="","##BLANK",'2A'!L11)</f>
        <v>##BLANK</v>
      </c>
    </row>
    <row r="727" spans="2:7">
      <c r="B727" s="893" t="str">
        <f>'2A'!BQ15</f>
        <v>BM838WNK</v>
      </c>
      <c r="E727" s="1753" t="s">
        <v>11007</v>
      </c>
      <c r="G727" t="str">
        <f>IF('2A'!L15="","##BLANK",'2A'!L15)</f>
        <v>##BLANK</v>
      </c>
    </row>
    <row r="728" spans="2:7">
      <c r="B728" s="893" t="str">
        <f>'2A'!BQ16</f>
        <v>BM837WNK</v>
      </c>
      <c r="E728" s="1753" t="s">
        <v>11007</v>
      </c>
      <c r="G728" t="str">
        <f>IF('2A'!L16="","##BLANK",'2A'!L16)</f>
        <v>##BLANK</v>
      </c>
    </row>
    <row r="729" spans="2:7">
      <c r="B729" s="893" t="str">
        <f>'2A'!BR8</f>
        <v>BM852SL</v>
      </c>
      <c r="E729" s="1753" t="s">
        <v>11007</v>
      </c>
      <c r="G729">
        <f>IF('2A'!M8="","##BLANK",'2A'!M8)</f>
        <v>0</v>
      </c>
    </row>
    <row r="730" spans="2:7">
      <c r="B730" s="893" t="str">
        <f>'2A'!BR10</f>
        <v>BM820SL</v>
      </c>
      <c r="E730" s="1753" t="s">
        <v>11007</v>
      </c>
      <c r="G730" t="str">
        <f>IF('2A'!M10="","##BLANK",'2A'!M10)</f>
        <v>##BLANK</v>
      </c>
    </row>
    <row r="731" spans="2:7">
      <c r="B731" s="893" t="str">
        <f>'2A'!BR11</f>
        <v>A19015SL</v>
      </c>
      <c r="E731" s="1753" t="s">
        <v>11007</v>
      </c>
      <c r="G731" t="str">
        <f>IF('2A'!M11="","##BLANK",'2A'!M11)</f>
        <v>##BLANK</v>
      </c>
    </row>
    <row r="732" spans="2:7">
      <c r="B732" s="893" t="str">
        <f>'2A'!BR15</f>
        <v>BM838SL</v>
      </c>
      <c r="E732" s="1753" t="s">
        <v>11007</v>
      </c>
      <c r="G732" t="str">
        <f>IF('2A'!M15="","##BLANK",'2A'!M15)</f>
        <v>##BLANK</v>
      </c>
    </row>
    <row r="733" spans="2:7">
      <c r="B733" s="893" t="str">
        <f>'2A'!BR16</f>
        <v>BM837SL</v>
      </c>
      <c r="E733" s="1753" t="s">
        <v>11007</v>
      </c>
      <c r="G733" t="str">
        <f>IF('2A'!M16="","##BLANK",'2A'!M16)</f>
        <v>##BLANK</v>
      </c>
    </row>
    <row r="734" spans="2:7">
      <c r="B734" s="893" t="str">
        <f>'2A'!BS6</f>
        <v>A19030TASPC</v>
      </c>
      <c r="E734" s="1753" t="s">
        <v>11007</v>
      </c>
      <c r="G734">
        <f>IF('2A'!N6="","##BLANK",'2A'!N6)</f>
        <v>0</v>
      </c>
    </row>
    <row r="735" spans="2:7">
      <c r="B735" s="893" t="str">
        <f>'2A'!BS7</f>
        <v>A19030TASNPC</v>
      </c>
      <c r="E735" s="1753" t="s">
        <v>11007</v>
      </c>
      <c r="G735">
        <f>IF('2A'!N7="","##BLANK",'2A'!N7)</f>
        <v>0</v>
      </c>
    </row>
    <row r="736" spans="2:7">
      <c r="B736" s="893" t="str">
        <f>'2A'!BS8</f>
        <v>BM852TAS</v>
      </c>
      <c r="E736" s="1753" t="s">
        <v>11007</v>
      </c>
      <c r="G736">
        <f>IF('2A'!N8="","##BLANK",'2A'!N8)</f>
        <v>0</v>
      </c>
    </row>
    <row r="737" spans="2:7">
      <c r="B737" s="893" t="str">
        <f>'2A'!BS9</f>
        <v>BM812TAS</v>
      </c>
      <c r="E737" s="1753" t="s">
        <v>11007</v>
      </c>
      <c r="G737">
        <f>IF('2A'!N9="","##BLANK",'2A'!N9)</f>
        <v>0</v>
      </c>
    </row>
    <row r="738" spans="2:7">
      <c r="B738" s="893" t="str">
        <f>'2A'!BS10</f>
        <v>BM820TAS</v>
      </c>
      <c r="E738" s="1753" t="s">
        <v>11007</v>
      </c>
      <c r="G738">
        <f>IF('2A'!N10="","##BLANK",'2A'!N10)</f>
        <v>0</v>
      </c>
    </row>
    <row r="739" spans="2:7">
      <c r="B739" s="893" t="str">
        <f>'2A'!BS11</f>
        <v>A19015TAS</v>
      </c>
      <c r="E739" s="1753" t="s">
        <v>11007</v>
      </c>
      <c r="G739">
        <f>IF('2A'!N11="","##BLANK",'2A'!N11)</f>
        <v>0</v>
      </c>
    </row>
    <row r="740" spans="2:7">
      <c r="B740" s="893" t="str">
        <f>'2A'!BS12</f>
        <v>BO2010TAS</v>
      </c>
      <c r="E740" s="1753" t="s">
        <v>11007</v>
      </c>
      <c r="G740">
        <f>IF('2A'!N12="","##BLANK",'2A'!N12)</f>
        <v>0</v>
      </c>
    </row>
    <row r="741" spans="2:7">
      <c r="B741" s="893" t="str">
        <f>'2A'!BS15</f>
        <v>BM838TAS</v>
      </c>
      <c r="E741" s="1753" t="s">
        <v>11007</v>
      </c>
      <c r="G741">
        <f>IF('2A'!N15="","##BLANK",'2A'!N15)</f>
        <v>0</v>
      </c>
    </row>
    <row r="742" spans="2:7">
      <c r="B742" s="893" t="str">
        <f>'2A'!BS16</f>
        <v>BM837TAS</v>
      </c>
      <c r="E742" s="1753" t="s">
        <v>11007</v>
      </c>
      <c r="G742">
        <f>IF('2A'!N16="","##BLANK",'2A'!N16)</f>
        <v>0</v>
      </c>
    </row>
    <row r="743" spans="2:7">
      <c r="B743" s="893" t="str">
        <f>'2A'!BS18</f>
        <v>HP00030WS</v>
      </c>
      <c r="E743" s="1753" t="s">
        <v>11007</v>
      </c>
      <c r="G743">
        <f>IF('2A'!N18="","##BLANK",'2A'!N18)</f>
        <v>0</v>
      </c>
    </row>
    <row r="744" spans="2:7">
      <c r="B744" s="893" t="str">
        <f>'2A'!BT6</f>
        <v>A19030TTTPC</v>
      </c>
      <c r="E744" s="1753" t="s">
        <v>11007</v>
      </c>
      <c r="G744" t="str">
        <f>IF('2A'!O6="","##BLANK",'2A'!O6)</f>
        <v>##BLANK</v>
      </c>
    </row>
    <row r="745" spans="2:7">
      <c r="B745" s="893" t="str">
        <f>'2A'!BT7</f>
        <v>A19030TTTNPC</v>
      </c>
      <c r="E745" s="1753" t="s">
        <v>11007</v>
      </c>
      <c r="G745" t="str">
        <f>IF('2A'!O7="","##BLANK",'2A'!O7)</f>
        <v>##BLANK</v>
      </c>
    </row>
    <row r="746" spans="2:7">
      <c r="B746" s="893" t="str">
        <f>'2A'!BT8</f>
        <v>BM852TTT</v>
      </c>
      <c r="E746" s="1753" t="s">
        <v>11007</v>
      </c>
      <c r="G746">
        <f>IF('2A'!O8="","##BLANK",'2A'!O8)</f>
        <v>0</v>
      </c>
    </row>
    <row r="747" spans="2:7">
      <c r="B747" s="893" t="str">
        <f>'2A'!BT10</f>
        <v>BM820TTT</v>
      </c>
      <c r="E747" s="1753" t="s">
        <v>11007</v>
      </c>
      <c r="G747" t="str">
        <f>IF('2A'!O10="","##BLANK",'2A'!O10)</f>
        <v>##BLANK</v>
      </c>
    </row>
    <row r="748" spans="2:7">
      <c r="B748" s="893" t="str">
        <f>'2A'!BT11</f>
        <v>A19015TTT</v>
      </c>
      <c r="E748" s="1753" t="s">
        <v>11007</v>
      </c>
      <c r="G748" t="str">
        <f>IF('2A'!O11="","##BLANK",'2A'!O11)</f>
        <v>##BLANK</v>
      </c>
    </row>
    <row r="749" spans="2:7">
      <c r="B749" s="893" t="str">
        <f>'2A'!BT12</f>
        <v>BO2010TTT</v>
      </c>
      <c r="E749" s="1753" t="s">
        <v>11007</v>
      </c>
      <c r="G749">
        <f>IF('2A'!O12="","##BLANK",'2A'!O12)</f>
        <v>0</v>
      </c>
    </row>
    <row r="750" spans="2:7">
      <c r="B750" s="893" t="str">
        <f>'2A'!BT15</f>
        <v>BM838TTT</v>
      </c>
      <c r="E750" s="1753" t="s">
        <v>11007</v>
      </c>
      <c r="G750" t="str">
        <f>IF('2A'!O15="","##BLANK",'2A'!O15)</f>
        <v>##BLANK</v>
      </c>
    </row>
    <row r="751" spans="2:7">
      <c r="B751" s="893" t="str">
        <f>'2A'!BT16</f>
        <v>BM837TTT</v>
      </c>
      <c r="E751" s="1753" t="s">
        <v>11007</v>
      </c>
      <c r="G751" t="str">
        <f>IF('2A'!O16="","##BLANK",'2A'!O16)</f>
        <v>##BLANK</v>
      </c>
    </row>
    <row r="752" spans="2:7">
      <c r="B752" s="893" t="str">
        <f>'2A'!BT18</f>
        <v>HP00030TTT</v>
      </c>
      <c r="E752" s="1753" t="s">
        <v>11007</v>
      </c>
      <c r="G752">
        <f>IF('2A'!O18="","##BLANK",'2A'!O18)</f>
        <v>0</v>
      </c>
    </row>
    <row r="753" spans="2:7">
      <c r="B753" s="893" t="str">
        <f>'2A'!BU6</f>
        <v>A1931PC</v>
      </c>
      <c r="E753" s="1753" t="s">
        <v>11007</v>
      </c>
      <c r="G753">
        <f>IF('2A'!P6="","##BLANK",'2A'!P6)</f>
        <v>0</v>
      </c>
    </row>
    <row r="754" spans="2:7">
      <c r="B754" s="893" t="str">
        <f>'2A'!BU7</f>
        <v>A1931NPC</v>
      </c>
      <c r="E754" s="1753" t="s">
        <v>11007</v>
      </c>
      <c r="G754">
        <f>IF('2A'!P7="","##BLANK",'2A'!P7)</f>
        <v>0</v>
      </c>
    </row>
    <row r="755" spans="2:7">
      <c r="B755" s="893" t="str">
        <f>'2A'!BU8</f>
        <v>BM952TAS</v>
      </c>
      <c r="E755" s="1753" t="s">
        <v>11007</v>
      </c>
      <c r="G755">
        <f>IF('2A'!P8="","##BLANK",'2A'!P8)</f>
        <v>0</v>
      </c>
    </row>
    <row r="756" spans="2:7">
      <c r="B756" s="893" t="str">
        <f>'2A'!BU9</f>
        <v>BM912TAS</v>
      </c>
      <c r="E756" s="1753" t="s">
        <v>11007</v>
      </c>
      <c r="G756">
        <f>IF('2A'!P9="","##BLANK",'2A'!P9)</f>
        <v>0</v>
      </c>
    </row>
    <row r="757" spans="2:7">
      <c r="B757" s="893" t="str">
        <f>'2A'!BU10</f>
        <v>BM920TAS</v>
      </c>
      <c r="E757" s="1753" t="s">
        <v>11007</v>
      </c>
      <c r="G757">
        <f>IF('2A'!P10="","##BLANK",'2A'!P10)</f>
        <v>0</v>
      </c>
    </row>
    <row r="758" spans="2:7">
      <c r="B758" s="893" t="str">
        <f>'2A'!BU11</f>
        <v>A19015CTOT</v>
      </c>
      <c r="E758" s="1753" t="s">
        <v>11007</v>
      </c>
      <c r="G758">
        <f>IF('2A'!P11="","##BLANK",'2A'!P11)</f>
        <v>0</v>
      </c>
    </row>
    <row r="759" spans="2:7">
      <c r="B759" s="893" t="str">
        <f>'2A'!BU12</f>
        <v>BO2010CTOT</v>
      </c>
      <c r="E759" s="1753" t="s">
        <v>11007</v>
      </c>
      <c r="G759">
        <f>IF('2A'!P12="","##BLANK",'2A'!P12)</f>
        <v>0</v>
      </c>
    </row>
    <row r="760" spans="2:7">
      <c r="B760" s="893" t="str">
        <f>'2A'!BU15</f>
        <v>BM938CTOT</v>
      </c>
      <c r="E760" s="1753" t="s">
        <v>11007</v>
      </c>
      <c r="G760">
        <f>IF('2A'!P15="","##BLANK",'2A'!P15)</f>
        <v>0</v>
      </c>
    </row>
    <row r="761" spans="2:7">
      <c r="B761" s="893" t="str">
        <f>'2A'!BU16</f>
        <v>BM937CTOT</v>
      </c>
      <c r="E761" s="1753" t="s">
        <v>11007</v>
      </c>
      <c r="G761">
        <f>IF('2A'!P16="","##BLANK",'2A'!P16)</f>
        <v>0</v>
      </c>
    </row>
    <row r="762" spans="2:7">
      <c r="B762" s="893" t="str">
        <f>'2A'!BU18</f>
        <v>HP00030CTOT</v>
      </c>
      <c r="E762" s="1753" t="s">
        <v>11007</v>
      </c>
      <c r="G762">
        <f>IF('2A'!P18="","##BLANK",'2A'!P18)</f>
        <v>0</v>
      </c>
    </row>
    <row r="763" spans="2:7">
      <c r="B763" s="893" t="str">
        <f>'2A'!BU20</f>
        <v>BR75033</v>
      </c>
      <c r="E763" s="1753" t="s">
        <v>11007</v>
      </c>
      <c r="G763" t="str">
        <f>IF('2A'!P20="","##BLANK",'2A'!P20)</f>
        <v>##BLANK</v>
      </c>
    </row>
    <row r="764" spans="2:7">
      <c r="B764" s="893" t="str">
        <f>+'2B'!BF6</f>
        <v>BM102WR</v>
      </c>
      <c r="E764" s="1753" t="s">
        <v>11007</v>
      </c>
      <c r="G764">
        <f>IF('2B'!G6="","##BLANK",'2B'!G6)</f>
        <v>0</v>
      </c>
    </row>
    <row r="765" spans="2:7">
      <c r="B765" s="893" t="str">
        <f>+'2B'!BF7</f>
        <v>BM336WR</v>
      </c>
      <c r="E765" s="1753" t="s">
        <v>11007</v>
      </c>
      <c r="G765">
        <f>IF('2B'!G7="","##BLANK",'2B'!G7)</f>
        <v>0</v>
      </c>
    </row>
    <row r="766" spans="2:7">
      <c r="B766" s="893" t="str">
        <f>+'2B'!BF8</f>
        <v>BM131WR</v>
      </c>
      <c r="E766" s="1753" t="s">
        <v>11007</v>
      </c>
      <c r="G766">
        <f>IF('2B'!G8="","##BLANK",'2B'!G8)</f>
        <v>0</v>
      </c>
    </row>
    <row r="767" spans="2:7">
      <c r="B767" s="893" t="str">
        <f>+'2B'!BF9</f>
        <v>BM140WR</v>
      </c>
      <c r="E767" s="1753" t="s">
        <v>11007</v>
      </c>
      <c r="G767">
        <f>IF('2B'!G9="","##BLANK",'2B'!G9)</f>
        <v>0</v>
      </c>
    </row>
    <row r="768" spans="2:7">
      <c r="B768" s="893" t="str">
        <f>+'2B'!BF10</f>
        <v>BM339WRIR</v>
      </c>
      <c r="E768" s="1753" t="s">
        <v>11007</v>
      </c>
      <c r="G768">
        <f>IF('2B'!G10="","##BLANK",'2B'!G10)</f>
        <v>0</v>
      </c>
    </row>
    <row r="769" spans="2:7">
      <c r="B769" s="893" t="str">
        <f>+'2B'!BF11</f>
        <v>BM339WRNIR</v>
      </c>
      <c r="E769" s="1753" t="s">
        <v>11007</v>
      </c>
      <c r="G769">
        <f>IF('2B'!G11="","##BLANK",'2B'!G11)</f>
        <v>0</v>
      </c>
    </row>
    <row r="770" spans="2:7">
      <c r="B770" s="893" t="str">
        <f>+'2B'!BF12</f>
        <v>BM339WRER</v>
      </c>
      <c r="E770" s="1753" t="s">
        <v>11007</v>
      </c>
      <c r="G770">
        <f>IF('2B'!G12="","##BLANK",'2B'!G12)</f>
        <v>0</v>
      </c>
    </row>
    <row r="771" spans="2:7">
      <c r="B771" s="893" t="str">
        <f>+'2B'!BF13</f>
        <v>BM317WR</v>
      </c>
      <c r="E771" s="1753" t="s">
        <v>11007</v>
      </c>
      <c r="G771">
        <f>IF('2B'!G13="","##BLANK",'2B'!G13)</f>
        <v>0</v>
      </c>
    </row>
    <row r="772" spans="2:7">
      <c r="B772" s="893" t="str">
        <f>+'2B'!BF14</f>
        <v>BM319WR</v>
      </c>
      <c r="E772" s="1753" t="s">
        <v>11007</v>
      </c>
      <c r="G772">
        <f>IF('2B'!G14="","##BLANK",'2B'!G14)</f>
        <v>0</v>
      </c>
    </row>
    <row r="773" spans="2:7">
      <c r="B773" s="893" t="str">
        <f>+'2B'!BF16</f>
        <v>BM323WR</v>
      </c>
      <c r="E773" s="1753" t="s">
        <v>11007</v>
      </c>
      <c r="G773">
        <f>IF('2B'!G16="","##BLANK",'2B'!G16)</f>
        <v>0</v>
      </c>
    </row>
    <row r="774" spans="2:7">
      <c r="B774" s="893" t="str">
        <f>+'2B'!BF17</f>
        <v>BM351WR</v>
      </c>
      <c r="E774" s="1753" t="s">
        <v>11007</v>
      </c>
      <c r="G774">
        <f>IF('2B'!G17="","##BLANK",'2B'!G17)</f>
        <v>0</v>
      </c>
    </row>
    <row r="775" spans="2:7">
      <c r="B775" s="893" t="str">
        <f>+'2B'!BF20</f>
        <v>BC30445WR</v>
      </c>
      <c r="E775" s="1753" t="s">
        <v>11007</v>
      </c>
      <c r="G775">
        <f>IF('2B'!G20="","##BLANK",'2B'!G20)</f>
        <v>0</v>
      </c>
    </row>
    <row r="776" spans="2:7">
      <c r="B776" s="893" t="str">
        <f>+'2B'!BF21</f>
        <v>CW00036WR</v>
      </c>
      <c r="E776" s="1753" t="s">
        <v>11007</v>
      </c>
      <c r="G776">
        <f>IF('2B'!G21="","##BLANK",'2B'!G21)</f>
        <v>0</v>
      </c>
    </row>
    <row r="777" spans="2:7">
      <c r="B777" s="893" t="str">
        <f>+'2B'!BF22</f>
        <v>BC30444WR</v>
      </c>
      <c r="E777" s="1753" t="s">
        <v>11007</v>
      </c>
      <c r="G777">
        <f>IF('2B'!G22="","##BLANK",'2B'!G22)</f>
        <v>0</v>
      </c>
    </row>
    <row r="778" spans="2:7">
      <c r="B778" s="893" t="str">
        <f>+'2B'!BF23</f>
        <v>CW00037WR</v>
      </c>
      <c r="E778" s="1753" t="s">
        <v>11007</v>
      </c>
      <c r="G778">
        <f>IF('2B'!G23="","##BLANK",'2B'!G23)</f>
        <v>0</v>
      </c>
    </row>
    <row r="779" spans="2:7">
      <c r="B779" s="893" t="str">
        <f>+'2B'!BF24</f>
        <v>BC30449WR</v>
      </c>
      <c r="E779" s="1753" t="s">
        <v>11007</v>
      </c>
      <c r="G779">
        <f>IF('2B'!G24="","##BLANK",'2B'!G24)</f>
        <v>0</v>
      </c>
    </row>
    <row r="780" spans="2:7">
      <c r="B780" s="893" t="str">
        <f>+'2B'!BF25</f>
        <v>BC30498WR</v>
      </c>
      <c r="E780" s="1753" t="s">
        <v>11007</v>
      </c>
      <c r="G780">
        <f>IF('2B'!G25="","##BLANK",'2B'!G25)</f>
        <v>0</v>
      </c>
    </row>
    <row r="781" spans="2:7">
      <c r="B781" s="893" t="str">
        <f>+'2B'!BF26</f>
        <v>BM333WR</v>
      </c>
      <c r="E781" s="1753" t="s">
        <v>11007</v>
      </c>
      <c r="G781">
        <f>IF('2B'!G26="","##BLANK",'2B'!G26)</f>
        <v>0</v>
      </c>
    </row>
    <row r="782" spans="2:7">
      <c r="B782" s="893" t="str">
        <f>+'2B'!BF27</f>
        <v>BA1070WR</v>
      </c>
      <c r="E782" s="1753" t="s">
        <v>11007</v>
      </c>
      <c r="G782">
        <f>IF('2B'!G27="","##BLANK",'2B'!G27)</f>
        <v>0</v>
      </c>
    </row>
    <row r="783" spans="2:7">
      <c r="B783" s="893" t="str">
        <f>+'2B'!BF30</f>
        <v>BA1071WR</v>
      </c>
      <c r="E783" s="1753" t="s">
        <v>11007</v>
      </c>
      <c r="G783">
        <f>IF('2B'!G30="","##BLANK",'2B'!G30)</f>
        <v>0</v>
      </c>
    </row>
    <row r="784" spans="2:7">
      <c r="B784" s="893" t="str">
        <f>+'2B'!BF32</f>
        <v>BM325WR</v>
      </c>
      <c r="E784" s="1753" t="s">
        <v>11007</v>
      </c>
      <c r="G784">
        <f>IF('2B'!G32="","##BLANK",'2B'!G32)</f>
        <v>0</v>
      </c>
    </row>
    <row r="785" spans="2:7">
      <c r="B785" s="893" t="str">
        <f>+'2B'!BF35</f>
        <v>CR00558WR</v>
      </c>
      <c r="E785" s="1753" t="s">
        <v>11007</v>
      </c>
      <c r="G785">
        <f>IF('2B'!G35="","##BLANK",'2B'!G35)</f>
        <v>0</v>
      </c>
    </row>
    <row r="786" spans="2:7">
      <c r="B786" s="893" t="str">
        <f>+'2B'!BF36</f>
        <v>CR00561WR</v>
      </c>
      <c r="E786" s="1753" t="s">
        <v>11007</v>
      </c>
      <c r="G786">
        <f>IF('2B'!G36="","##BLANK",'2B'!G36)</f>
        <v>0</v>
      </c>
    </row>
    <row r="787" spans="2:7">
      <c r="B787" s="893" t="str">
        <f>+'2B'!BF39</f>
        <v>W3026WR</v>
      </c>
      <c r="E787" s="1753" t="s">
        <v>11007</v>
      </c>
      <c r="G787">
        <f>IF('2B'!G39="","##BLANK",'2B'!G39)</f>
        <v>0</v>
      </c>
    </row>
    <row r="788" spans="2:7">
      <c r="B788" s="893" t="str">
        <f>+'2B'!BG6</f>
        <v>BM102WN</v>
      </c>
      <c r="E788" s="1753" t="s">
        <v>11007</v>
      </c>
      <c r="G788">
        <f>IF('2B'!H6="","##BLANK",'2B'!H6)</f>
        <v>0</v>
      </c>
    </row>
    <row r="789" spans="2:7">
      <c r="B789" s="893" t="str">
        <f>+'2B'!BG7</f>
        <v>BM336WN</v>
      </c>
      <c r="E789" s="1753" t="s">
        <v>11007</v>
      </c>
      <c r="G789">
        <f>IF('2B'!H7="","##BLANK",'2B'!H7)</f>
        <v>0</v>
      </c>
    </row>
    <row r="790" spans="2:7">
      <c r="B790" s="893" t="str">
        <f>+'2B'!BG8</f>
        <v>BM131WN</v>
      </c>
      <c r="E790" s="1753" t="s">
        <v>11007</v>
      </c>
      <c r="G790">
        <f>IF('2B'!H8="","##BLANK",'2B'!H8)</f>
        <v>0</v>
      </c>
    </row>
    <row r="791" spans="2:7">
      <c r="B791" s="893" t="str">
        <f>+'2B'!BG9</f>
        <v>BM140WN</v>
      </c>
      <c r="E791" s="1753" t="s">
        <v>11007</v>
      </c>
      <c r="G791">
        <f>IF('2B'!H9="","##BLANK",'2B'!H9)</f>
        <v>0</v>
      </c>
    </row>
    <row r="792" spans="2:7">
      <c r="B792" s="893" t="str">
        <f>+'2B'!BG10</f>
        <v>BM339WNIR</v>
      </c>
      <c r="E792" s="1753" t="s">
        <v>11007</v>
      </c>
      <c r="G792">
        <f>IF('2B'!H10="","##BLANK",'2B'!H10)</f>
        <v>0</v>
      </c>
    </row>
    <row r="793" spans="2:7">
      <c r="B793" s="893" t="str">
        <f>+'2B'!BG11</f>
        <v>BM339WNNIR</v>
      </c>
      <c r="E793" s="1753" t="s">
        <v>11007</v>
      </c>
      <c r="G793">
        <f>IF('2B'!H11="","##BLANK",'2B'!H11)</f>
        <v>0</v>
      </c>
    </row>
    <row r="794" spans="2:7">
      <c r="B794" s="893" t="str">
        <f>+'2B'!BG12</f>
        <v>BM339WNER</v>
      </c>
      <c r="E794" s="1753" t="s">
        <v>11007</v>
      </c>
      <c r="G794">
        <f>IF('2B'!H12="","##BLANK",'2B'!H12)</f>
        <v>0</v>
      </c>
    </row>
    <row r="795" spans="2:7">
      <c r="B795" s="893" t="str">
        <f>+'2B'!BG13</f>
        <v>BM317WN</v>
      </c>
      <c r="E795" s="1753" t="s">
        <v>11007</v>
      </c>
      <c r="G795">
        <f>IF('2B'!H13="","##BLANK",'2B'!H13)</f>
        <v>0</v>
      </c>
    </row>
    <row r="796" spans="2:7">
      <c r="B796" s="893" t="str">
        <f>+'2B'!BG14</f>
        <v>BM319WN</v>
      </c>
      <c r="E796" s="1753" t="s">
        <v>11007</v>
      </c>
      <c r="G796">
        <f>IF('2B'!H14="","##BLANK",'2B'!H14)</f>
        <v>0</v>
      </c>
    </row>
    <row r="797" spans="2:7">
      <c r="B797" s="893" t="str">
        <f>+'2B'!BG16</f>
        <v>BM323WN</v>
      </c>
      <c r="E797" s="1753" t="s">
        <v>11007</v>
      </c>
      <c r="G797">
        <f>IF('2B'!H16="","##BLANK",'2B'!H16)</f>
        <v>0</v>
      </c>
    </row>
    <row r="798" spans="2:7">
      <c r="B798" s="893" t="str">
        <f>+'2B'!BG17</f>
        <v>BM351WN</v>
      </c>
      <c r="E798" s="1753" t="s">
        <v>11007</v>
      </c>
      <c r="G798">
        <f>IF('2B'!H17="","##BLANK",'2B'!H17)</f>
        <v>0</v>
      </c>
    </row>
    <row r="799" spans="2:7">
      <c r="B799" s="893" t="str">
        <f>+'2B'!BG20</f>
        <v>BC30445WN</v>
      </c>
      <c r="E799" s="1753" t="s">
        <v>11007</v>
      </c>
      <c r="G799">
        <f>IF('2B'!H20="","##BLANK",'2B'!H20)</f>
        <v>0</v>
      </c>
    </row>
    <row r="800" spans="2:7">
      <c r="B800" s="893" t="str">
        <f>+'2B'!BG21</f>
        <v>CW00036WN</v>
      </c>
      <c r="E800" s="1753" t="s">
        <v>11007</v>
      </c>
      <c r="G800">
        <f>IF('2B'!H21="","##BLANK",'2B'!H21)</f>
        <v>0</v>
      </c>
    </row>
    <row r="801" spans="2:7">
      <c r="B801" s="893" t="str">
        <f>+'2B'!BG22</f>
        <v>BC30444WN</v>
      </c>
      <c r="E801" s="1753" t="s">
        <v>11007</v>
      </c>
      <c r="G801">
        <f>IF('2B'!H22="","##BLANK",'2B'!H22)</f>
        <v>0</v>
      </c>
    </row>
    <row r="802" spans="2:7">
      <c r="B802" s="893" t="str">
        <f>+'2B'!BG23</f>
        <v>CW00037WN</v>
      </c>
      <c r="E802" s="1753" t="s">
        <v>11007</v>
      </c>
      <c r="G802">
        <f>IF('2B'!H23="","##BLANK",'2B'!H23)</f>
        <v>0</v>
      </c>
    </row>
    <row r="803" spans="2:7">
      <c r="B803" s="893" t="str">
        <f>+'2B'!BG24</f>
        <v>BC30449WN</v>
      </c>
      <c r="E803" s="1753" t="s">
        <v>11007</v>
      </c>
      <c r="G803">
        <f>IF('2B'!H24="","##BLANK",'2B'!H24)</f>
        <v>0</v>
      </c>
    </row>
    <row r="804" spans="2:7">
      <c r="B804" s="893" t="str">
        <f>+'2B'!BG25</f>
        <v>BC30498WN</v>
      </c>
      <c r="E804" s="1753" t="s">
        <v>11007</v>
      </c>
      <c r="G804">
        <f>IF('2B'!H25="","##BLANK",'2B'!H25)</f>
        <v>0</v>
      </c>
    </row>
    <row r="805" spans="2:7">
      <c r="B805" s="893" t="str">
        <f>+'2B'!BG26</f>
        <v>BM333WN</v>
      </c>
      <c r="E805" s="1753" t="s">
        <v>11007</v>
      </c>
      <c r="G805">
        <f>IF('2B'!H26="","##BLANK",'2B'!H26)</f>
        <v>0</v>
      </c>
    </row>
    <row r="806" spans="2:7">
      <c r="B806" s="893" t="str">
        <f>+'2B'!BG27</f>
        <v>BA1070WN</v>
      </c>
      <c r="E806" s="1753" t="s">
        <v>11007</v>
      </c>
      <c r="G806">
        <f>IF('2B'!H27="","##BLANK",'2B'!H27)</f>
        <v>0</v>
      </c>
    </row>
    <row r="807" spans="2:7">
      <c r="B807" s="893" t="str">
        <f>+'2B'!BG30</f>
        <v>BA1071WN</v>
      </c>
      <c r="E807" s="1753" t="s">
        <v>11007</v>
      </c>
      <c r="G807">
        <f>IF('2B'!H30="","##BLANK",'2B'!H30)</f>
        <v>0</v>
      </c>
    </row>
    <row r="808" spans="2:7">
      <c r="B808" s="893" t="str">
        <f>+'2B'!BG32</f>
        <v>BM325WN</v>
      </c>
      <c r="E808" s="1753" t="s">
        <v>11007</v>
      </c>
      <c r="G808">
        <f>IF('2B'!H32="","##BLANK",'2B'!H32)</f>
        <v>0</v>
      </c>
    </row>
    <row r="809" spans="2:7">
      <c r="B809" s="893" t="str">
        <f>+'2B'!BG35</f>
        <v>CR00558WN</v>
      </c>
      <c r="E809" s="1753" t="s">
        <v>11007</v>
      </c>
      <c r="G809">
        <f>IF('2B'!H35="","##BLANK",'2B'!H35)</f>
        <v>0</v>
      </c>
    </row>
    <row r="810" spans="2:7">
      <c r="B810" s="893" t="str">
        <f>+'2B'!BG36</f>
        <v>CR00561WN</v>
      </c>
      <c r="E810" s="1753" t="s">
        <v>11007</v>
      </c>
      <c r="G810">
        <f>IF('2B'!H36="","##BLANK",'2B'!H36)</f>
        <v>0</v>
      </c>
    </row>
    <row r="811" spans="2:7">
      <c r="B811" s="893" t="str">
        <f>+'2B'!BG39</f>
        <v>W3026WN</v>
      </c>
      <c r="E811" s="1753" t="s">
        <v>11007</v>
      </c>
      <c r="G811">
        <f>IF('2B'!H39="","##BLANK",'2B'!H39)</f>
        <v>0</v>
      </c>
    </row>
    <row r="812" spans="2:7">
      <c r="B812" s="893" t="str">
        <f>+'2B'!BH6</f>
        <v>BM802WNK</v>
      </c>
      <c r="E812" s="1753" t="s">
        <v>11007</v>
      </c>
      <c r="G812">
        <f>IF('2B'!I6="","##BLANK",'2B'!I6)</f>
        <v>0</v>
      </c>
    </row>
    <row r="813" spans="2:7">
      <c r="B813" s="893" t="str">
        <f>+'2B'!BH7</f>
        <v>BM836WNK</v>
      </c>
      <c r="E813" s="1753" t="s">
        <v>11007</v>
      </c>
      <c r="G813">
        <f>IF('2B'!I7="","##BLANK",'2B'!I7)</f>
        <v>0</v>
      </c>
    </row>
    <row r="814" spans="2:7">
      <c r="B814" s="893" t="str">
        <f>+'2B'!BH8</f>
        <v>BM831WNK</v>
      </c>
      <c r="E814" s="1753" t="s">
        <v>11007</v>
      </c>
      <c r="G814">
        <f>IF('2B'!I8="","##BLANK",'2B'!I8)</f>
        <v>0</v>
      </c>
    </row>
    <row r="815" spans="2:7">
      <c r="B815" s="893" t="str">
        <f>+'2B'!BH9</f>
        <v>BM140WNK</v>
      </c>
      <c r="E815" s="1753" t="s">
        <v>11007</v>
      </c>
      <c r="G815">
        <f>IF('2B'!I9="","##BLANK",'2B'!I9)</f>
        <v>0</v>
      </c>
    </row>
    <row r="816" spans="2:7">
      <c r="B816" s="893" t="str">
        <f>+'2B'!BH10</f>
        <v>BM839WNKIR</v>
      </c>
      <c r="E816" s="1753" t="s">
        <v>11007</v>
      </c>
      <c r="G816">
        <f>IF('2B'!I10="","##BLANK",'2B'!I10)</f>
        <v>0</v>
      </c>
    </row>
    <row r="817" spans="2:7">
      <c r="B817" s="893" t="str">
        <f>+'2B'!BH11</f>
        <v>BM839WNKNIR</v>
      </c>
      <c r="E817" s="1753" t="s">
        <v>11007</v>
      </c>
      <c r="G817">
        <f>IF('2B'!I11="","##BLANK",'2B'!I11)</f>
        <v>0</v>
      </c>
    </row>
    <row r="818" spans="2:7">
      <c r="B818" s="893" t="str">
        <f>+'2B'!BH12</f>
        <v>BM839WNKER</v>
      </c>
      <c r="E818" s="1753" t="s">
        <v>11007</v>
      </c>
      <c r="G818">
        <f>IF('2B'!I12="","##BLANK",'2B'!I12)</f>
        <v>0</v>
      </c>
    </row>
    <row r="819" spans="2:7">
      <c r="B819" s="893" t="str">
        <f>+'2B'!BH13</f>
        <v>BM817WNK</v>
      </c>
      <c r="E819" s="1753" t="s">
        <v>11007</v>
      </c>
      <c r="G819">
        <f>IF('2B'!I13="","##BLANK",'2B'!I13)</f>
        <v>0</v>
      </c>
    </row>
    <row r="820" spans="2:7">
      <c r="B820" s="893" t="str">
        <f>+'2B'!BH14</f>
        <v>BM844WNK</v>
      </c>
      <c r="E820" s="1753" t="s">
        <v>11007</v>
      </c>
      <c r="G820">
        <f>IF('2B'!I14="","##BLANK",'2B'!I14)</f>
        <v>0</v>
      </c>
    </row>
    <row r="821" spans="2:7">
      <c r="B821" s="893" t="str">
        <f>+'2B'!BH16</f>
        <v>BM823WNK</v>
      </c>
      <c r="E821" s="1753" t="s">
        <v>11007</v>
      </c>
      <c r="G821">
        <f>IF('2B'!I16="","##BLANK",'2B'!I16)</f>
        <v>0</v>
      </c>
    </row>
    <row r="822" spans="2:7">
      <c r="B822" s="893" t="str">
        <f>+'2B'!BH17</f>
        <v>BM850WNK</v>
      </c>
      <c r="E822" s="1753" t="s">
        <v>11007</v>
      </c>
      <c r="G822">
        <f>IF('2B'!I17="","##BLANK",'2B'!I17)</f>
        <v>0</v>
      </c>
    </row>
    <row r="823" spans="2:7">
      <c r="B823" s="893" t="str">
        <f>+'2B'!BH20</f>
        <v>BC30945WNK</v>
      </c>
      <c r="E823" s="1753" t="s">
        <v>11007</v>
      </c>
      <c r="G823">
        <f>IF('2B'!I20="","##BLANK",'2B'!I20)</f>
        <v>0</v>
      </c>
    </row>
    <row r="824" spans="2:7">
      <c r="B824" s="893" t="str">
        <f>+'2B'!BH21</f>
        <v>CS00036WNK</v>
      </c>
      <c r="E824" s="1753" t="s">
        <v>11007</v>
      </c>
      <c r="G824">
        <f>IF('2B'!I21="","##BLANK",'2B'!I21)</f>
        <v>0</v>
      </c>
    </row>
    <row r="825" spans="2:7">
      <c r="B825" s="893" t="str">
        <f>+'2B'!BH22</f>
        <v>BC30944WNK</v>
      </c>
      <c r="E825" s="1753" t="s">
        <v>11007</v>
      </c>
      <c r="G825">
        <f>IF('2B'!I22="","##BLANK",'2B'!I22)</f>
        <v>0</v>
      </c>
    </row>
    <row r="826" spans="2:7">
      <c r="B826" s="893" t="str">
        <f>+'2B'!BH23</f>
        <v>CS00037WNK</v>
      </c>
      <c r="E826" s="1753" t="s">
        <v>11007</v>
      </c>
      <c r="G826">
        <f>IF('2B'!I23="","##BLANK",'2B'!I23)</f>
        <v>0</v>
      </c>
    </row>
    <row r="827" spans="2:7">
      <c r="B827" s="893" t="str">
        <f>+'2B'!BH24</f>
        <v>BC30849WNK</v>
      </c>
      <c r="E827" s="1753" t="s">
        <v>11007</v>
      </c>
      <c r="G827">
        <f>IF('2B'!I24="","##BLANK",'2B'!I24)</f>
        <v>0</v>
      </c>
    </row>
    <row r="828" spans="2:7">
      <c r="B828" s="893" t="str">
        <f>+'2B'!BH25</f>
        <v>BC30998WNK</v>
      </c>
      <c r="E828" s="1753" t="s">
        <v>11007</v>
      </c>
      <c r="G828">
        <f>IF('2B'!I25="","##BLANK",'2B'!I25)</f>
        <v>0</v>
      </c>
    </row>
    <row r="829" spans="2:7">
      <c r="B829" s="893" t="str">
        <f>+'2B'!BH26</f>
        <v>BM833WNK</v>
      </c>
      <c r="E829" s="1753" t="s">
        <v>11007</v>
      </c>
      <c r="G829">
        <f>IF('2B'!I26="","##BLANK",'2B'!I26)</f>
        <v>0</v>
      </c>
    </row>
    <row r="830" spans="2:7">
      <c r="B830" s="893" t="str">
        <f>+'2B'!BH27</f>
        <v>BA2120WNK</v>
      </c>
      <c r="E830" s="1753" t="s">
        <v>11007</v>
      </c>
      <c r="G830">
        <f>IF('2B'!I27="","##BLANK",'2B'!I27)</f>
        <v>0</v>
      </c>
    </row>
    <row r="831" spans="2:7">
      <c r="B831" s="893" t="str">
        <f>+'2B'!BH30</f>
        <v>BA2121WNK</v>
      </c>
      <c r="E831" s="1753" t="s">
        <v>11007</v>
      </c>
      <c r="G831">
        <f>IF('2B'!I30="","##BLANK",'2B'!I30)</f>
        <v>0</v>
      </c>
    </row>
    <row r="832" spans="2:7">
      <c r="B832" s="893" t="str">
        <f>+'2B'!BH32</f>
        <v>BM825WNK</v>
      </c>
      <c r="E832" s="1753" t="s">
        <v>11007</v>
      </c>
      <c r="G832">
        <f>IF('2B'!I32="","##BLANK",'2B'!I32)</f>
        <v>0</v>
      </c>
    </row>
    <row r="833" spans="2:7">
      <c r="B833" s="893" t="str">
        <f>+'2B'!BH35</f>
        <v>CR00559WNK</v>
      </c>
      <c r="E833" s="1753" t="s">
        <v>11007</v>
      </c>
      <c r="G833">
        <f>IF('2B'!I35="","##BLANK",'2B'!I35)</f>
        <v>0</v>
      </c>
    </row>
    <row r="834" spans="2:7">
      <c r="B834" s="893" t="str">
        <f>+'2B'!BH36</f>
        <v>CR00562WNK</v>
      </c>
      <c r="E834" s="1753" t="s">
        <v>11007</v>
      </c>
      <c r="G834">
        <f>IF('2B'!I36="","##BLANK",'2B'!I36)</f>
        <v>0</v>
      </c>
    </row>
    <row r="835" spans="2:7">
      <c r="B835" s="893" t="str">
        <f>+'2B'!BH39</f>
        <v>S3040WNK</v>
      </c>
      <c r="E835" s="1753" t="s">
        <v>11007</v>
      </c>
      <c r="G835">
        <f>IF('2B'!I39="","##BLANK",'2B'!I39)</f>
        <v>0</v>
      </c>
    </row>
    <row r="836" spans="2:7">
      <c r="B836" s="893" t="str">
        <f>+'2B'!BI6</f>
        <v>BM802SG</v>
      </c>
      <c r="E836" s="1753" t="s">
        <v>11007</v>
      </c>
      <c r="G836">
        <f>IF('2B'!J6="","##BLANK",'2B'!J6)</f>
        <v>0</v>
      </c>
    </row>
    <row r="837" spans="2:7">
      <c r="B837" s="893" t="str">
        <f>+'2B'!BI7</f>
        <v>BM836SG</v>
      </c>
      <c r="E837" s="1753" t="s">
        <v>11007</v>
      </c>
      <c r="G837">
        <f>IF('2B'!J7="","##BLANK",'2B'!J7)</f>
        <v>0</v>
      </c>
    </row>
    <row r="838" spans="2:7">
      <c r="B838" s="893" t="str">
        <f>+'2B'!BI8</f>
        <v>BM831SG</v>
      </c>
      <c r="E838" s="1753" t="s">
        <v>11007</v>
      </c>
      <c r="G838">
        <f>IF('2B'!J8="","##BLANK",'2B'!J8)</f>
        <v>0</v>
      </c>
    </row>
    <row r="839" spans="2:7">
      <c r="B839" s="893" t="str">
        <f>+'2B'!BI9</f>
        <v>BM140SG</v>
      </c>
      <c r="E839" s="1753" t="s">
        <v>11007</v>
      </c>
      <c r="G839">
        <f>IF('2B'!J9="","##BLANK",'2B'!J9)</f>
        <v>0</v>
      </c>
    </row>
    <row r="840" spans="2:7">
      <c r="B840" s="893" t="str">
        <f>+'2B'!BI10</f>
        <v>BM839SGIR</v>
      </c>
      <c r="E840" s="1753" t="s">
        <v>11007</v>
      </c>
      <c r="G840">
        <f>IF('2B'!J10="","##BLANK",'2B'!J10)</f>
        <v>0</v>
      </c>
    </row>
    <row r="841" spans="2:7">
      <c r="B841" s="893" t="str">
        <f>+'2B'!BI11</f>
        <v>BM839SGNIR</v>
      </c>
      <c r="E841" s="1753" t="s">
        <v>11007</v>
      </c>
      <c r="G841">
        <f>IF('2B'!J11="","##BLANK",'2B'!J11)</f>
        <v>0</v>
      </c>
    </row>
    <row r="842" spans="2:7">
      <c r="B842" s="893" t="str">
        <f>+'2B'!BI12</f>
        <v>BM839SGER</v>
      </c>
      <c r="E842" s="1753" t="s">
        <v>11007</v>
      </c>
      <c r="G842">
        <f>IF('2B'!J12="","##BLANK",'2B'!J12)</f>
        <v>0</v>
      </c>
    </row>
    <row r="843" spans="2:7">
      <c r="B843" s="893" t="str">
        <f>+'2B'!BI13</f>
        <v>BM817SG</v>
      </c>
      <c r="E843" s="1753" t="s">
        <v>11007</v>
      </c>
      <c r="G843">
        <f>IF('2B'!J13="","##BLANK",'2B'!J13)</f>
        <v>0</v>
      </c>
    </row>
    <row r="844" spans="2:7">
      <c r="B844" s="893" t="str">
        <f>+'2B'!BI14</f>
        <v>BM844SG</v>
      </c>
      <c r="E844" s="1753" t="s">
        <v>11007</v>
      </c>
      <c r="G844">
        <f>IF('2B'!J14="","##BLANK",'2B'!J14)</f>
        <v>0</v>
      </c>
    </row>
    <row r="845" spans="2:7">
      <c r="B845" s="893" t="str">
        <f>+'2B'!BI16</f>
        <v>BM823SG</v>
      </c>
      <c r="E845" s="1753" t="s">
        <v>11007</v>
      </c>
      <c r="G845">
        <f>IF('2B'!J16="","##BLANK",'2B'!J16)</f>
        <v>0</v>
      </c>
    </row>
    <row r="846" spans="2:7">
      <c r="B846" s="893" t="str">
        <f>+'2B'!BI17</f>
        <v>BM850SG</v>
      </c>
      <c r="E846" s="1753" t="s">
        <v>11007</v>
      </c>
      <c r="G846">
        <f>IF('2B'!J17="","##BLANK",'2B'!J17)</f>
        <v>0</v>
      </c>
    </row>
    <row r="847" spans="2:7">
      <c r="B847" s="893" t="str">
        <f>+'2B'!BI20</f>
        <v>BC30945SG</v>
      </c>
      <c r="E847" s="1753" t="s">
        <v>11007</v>
      </c>
      <c r="G847">
        <f>IF('2B'!J20="","##BLANK",'2B'!J20)</f>
        <v>0</v>
      </c>
    </row>
    <row r="848" spans="2:7">
      <c r="B848" s="893" t="str">
        <f>+'2B'!BI21</f>
        <v>CS00036SG</v>
      </c>
      <c r="E848" s="1753" t="s">
        <v>11007</v>
      </c>
      <c r="G848">
        <f>IF('2B'!J21="","##BLANK",'2B'!J21)</f>
        <v>0</v>
      </c>
    </row>
    <row r="849" spans="2:7">
      <c r="B849" s="893" t="str">
        <f>+'2B'!BI22</f>
        <v>BC30944SG</v>
      </c>
      <c r="E849" s="1753" t="s">
        <v>11007</v>
      </c>
      <c r="G849">
        <f>IF('2B'!J22="","##BLANK",'2B'!J22)</f>
        <v>0</v>
      </c>
    </row>
    <row r="850" spans="2:7">
      <c r="B850" s="893" t="str">
        <f>+'2B'!BI23</f>
        <v>CS00037SG</v>
      </c>
      <c r="E850" s="1753" t="s">
        <v>11007</v>
      </c>
      <c r="G850">
        <f>IF('2B'!J23="","##BLANK",'2B'!J23)</f>
        <v>0</v>
      </c>
    </row>
    <row r="851" spans="2:7">
      <c r="B851" s="893" t="str">
        <f>+'2B'!BI24</f>
        <v>BC30849SG</v>
      </c>
      <c r="E851" s="1753" t="s">
        <v>11007</v>
      </c>
      <c r="G851">
        <f>IF('2B'!J24="","##BLANK",'2B'!J24)</f>
        <v>0</v>
      </c>
    </row>
    <row r="852" spans="2:7">
      <c r="B852" s="893" t="str">
        <f>+'2B'!BI25</f>
        <v>BC30998SG</v>
      </c>
      <c r="E852" s="1753" t="s">
        <v>11007</v>
      </c>
      <c r="G852">
        <f>IF('2B'!J25="","##BLANK",'2B'!J25)</f>
        <v>0</v>
      </c>
    </row>
    <row r="853" spans="2:7">
      <c r="B853" s="893" t="str">
        <f>+'2B'!BI26</f>
        <v>BM833SG</v>
      </c>
      <c r="E853" s="1753" t="s">
        <v>11007</v>
      </c>
      <c r="G853">
        <f>IF('2B'!J26="","##BLANK",'2B'!J26)</f>
        <v>0</v>
      </c>
    </row>
    <row r="854" spans="2:7">
      <c r="B854" s="893" t="str">
        <f>+'2B'!BI27</f>
        <v>BA2120SG</v>
      </c>
      <c r="E854" s="1753" t="s">
        <v>11007</v>
      </c>
      <c r="G854">
        <f>IF('2B'!J27="","##BLANK",'2B'!J27)</f>
        <v>0</v>
      </c>
    </row>
    <row r="855" spans="2:7">
      <c r="B855" s="893" t="str">
        <f>+'2B'!BI30</f>
        <v>BA2121SG</v>
      </c>
      <c r="E855" s="1753" t="s">
        <v>11007</v>
      </c>
      <c r="G855">
        <f>IF('2B'!J30="","##BLANK",'2B'!J30)</f>
        <v>0</v>
      </c>
    </row>
    <row r="856" spans="2:7">
      <c r="B856" s="893" t="str">
        <f>+'2B'!BI32</f>
        <v>BM825SG</v>
      </c>
      <c r="E856" s="1753" t="s">
        <v>11007</v>
      </c>
      <c r="G856">
        <f>IF('2B'!J32="","##BLANK",'2B'!J32)</f>
        <v>0</v>
      </c>
    </row>
    <row r="857" spans="2:7">
      <c r="B857" s="893" t="str">
        <f>+'2B'!BI35</f>
        <v>CR00559SG</v>
      </c>
      <c r="E857" s="1753" t="s">
        <v>11007</v>
      </c>
      <c r="G857">
        <f>IF('2B'!J35="","##BLANK",'2B'!J35)</f>
        <v>0</v>
      </c>
    </row>
    <row r="858" spans="2:7">
      <c r="B858" s="893" t="str">
        <f>+'2B'!BI36</f>
        <v>CR00562SG</v>
      </c>
      <c r="E858" s="1753" t="s">
        <v>11007</v>
      </c>
      <c r="G858">
        <f>IF('2B'!J36="","##BLANK",'2B'!J36)</f>
        <v>0</v>
      </c>
    </row>
    <row r="859" spans="2:7">
      <c r="B859" s="893" t="str">
        <f>+'2B'!BI39</f>
        <v>S3040SG</v>
      </c>
      <c r="E859" s="1753" t="s">
        <v>11007</v>
      </c>
      <c r="G859">
        <f>IF('2B'!J39="","##BLANK",'2B'!J39)</f>
        <v>0</v>
      </c>
    </row>
    <row r="860" spans="2:7">
      <c r="B860" s="893" t="str">
        <f>+'2B'!BJ6</f>
        <v>BM802TTT</v>
      </c>
      <c r="E860" s="1753" t="s">
        <v>11007</v>
      </c>
      <c r="G860" t="str">
        <f>IF('2B'!K6="","##BLANK",'2B'!K6)</f>
        <v>##BLANK</v>
      </c>
    </row>
    <row r="861" spans="2:7">
      <c r="B861" s="893" t="str">
        <f>+'2B'!BJ7</f>
        <v>BM836TTT</v>
      </c>
      <c r="E861" s="1753" t="s">
        <v>11007</v>
      </c>
      <c r="G861" t="str">
        <f>IF('2B'!K7="","##BLANK",'2B'!K7)</f>
        <v>##BLANK</v>
      </c>
    </row>
    <row r="862" spans="2:7">
      <c r="B862" s="893" t="str">
        <f>+'2B'!BJ8</f>
        <v>BM831TTT</v>
      </c>
      <c r="E862" s="1753" t="s">
        <v>11007</v>
      </c>
      <c r="G862" t="str">
        <f>IF('2B'!K8="","##BLANK",'2B'!K8)</f>
        <v>##BLANK</v>
      </c>
    </row>
    <row r="863" spans="2:7">
      <c r="B863" s="893" t="str">
        <f>+'2B'!BJ9</f>
        <v>BM140TTT</v>
      </c>
      <c r="E863" s="1753" t="s">
        <v>11007</v>
      </c>
      <c r="G863" t="str">
        <f>IF('2B'!K9="","##BLANK",'2B'!K9)</f>
        <v>##BLANK</v>
      </c>
    </row>
    <row r="864" spans="2:7">
      <c r="B864" s="893" t="str">
        <f>+'2B'!BJ10</f>
        <v>BM839TTTIR</v>
      </c>
      <c r="E864" s="1753" t="s">
        <v>11007</v>
      </c>
      <c r="G864" t="str">
        <f>IF('2B'!K10="","##BLANK",'2B'!K10)</f>
        <v>##BLANK</v>
      </c>
    </row>
    <row r="865" spans="2:7">
      <c r="B865" s="893" t="str">
        <f>+'2B'!BJ11</f>
        <v>BM839TTTNIR</v>
      </c>
      <c r="E865" s="1753" t="s">
        <v>11007</v>
      </c>
      <c r="G865" t="str">
        <f>IF('2B'!K11="","##BLANK",'2B'!K11)</f>
        <v>##BLANK</v>
      </c>
    </row>
    <row r="866" spans="2:7">
      <c r="B866" s="893" t="str">
        <f>+'2B'!BJ12</f>
        <v>BM839TTTER</v>
      </c>
      <c r="E866" s="1753" t="s">
        <v>11007</v>
      </c>
      <c r="G866" t="str">
        <f>IF('2B'!K12="","##BLANK",'2B'!K12)</f>
        <v>##BLANK</v>
      </c>
    </row>
    <row r="867" spans="2:7">
      <c r="B867" s="893" t="str">
        <f>+'2B'!BJ13</f>
        <v>BM817TTT</v>
      </c>
      <c r="E867" s="1753" t="s">
        <v>11007</v>
      </c>
      <c r="G867" t="str">
        <f>IF('2B'!K13="","##BLANK",'2B'!K13)</f>
        <v>##BLANK</v>
      </c>
    </row>
    <row r="868" spans="2:7">
      <c r="B868" s="893" t="str">
        <f>+'2B'!BJ14</f>
        <v>BM844TTT</v>
      </c>
      <c r="E868" s="1753" t="s">
        <v>11007</v>
      </c>
      <c r="G868">
        <f>IF('2B'!K14="","##BLANK",'2B'!K14)</f>
        <v>0</v>
      </c>
    </row>
    <row r="869" spans="2:7">
      <c r="B869" s="893" t="str">
        <f>+'2B'!BJ16</f>
        <v>BM823TTT</v>
      </c>
      <c r="E869" s="1753" t="s">
        <v>11007</v>
      </c>
      <c r="G869" t="str">
        <f>IF('2B'!K16="","##BLANK",'2B'!K16)</f>
        <v>##BLANK</v>
      </c>
    </row>
    <row r="870" spans="2:7">
      <c r="B870" s="893" t="str">
        <f>+'2B'!BJ17</f>
        <v>BM850TTT</v>
      </c>
      <c r="E870" s="1753" t="s">
        <v>11007</v>
      </c>
      <c r="G870">
        <f>IF('2B'!K17="","##BLANK",'2B'!K17)</f>
        <v>0</v>
      </c>
    </row>
    <row r="871" spans="2:7">
      <c r="B871" s="893" t="str">
        <f>+'2B'!BJ20</f>
        <v>BC30945TTT</v>
      </c>
      <c r="E871" s="1753" t="s">
        <v>11007</v>
      </c>
      <c r="G871" t="str">
        <f>IF('2B'!K20="","##BLANK",'2B'!K20)</f>
        <v>##BLANK</v>
      </c>
    </row>
    <row r="872" spans="2:7">
      <c r="B872" s="893" t="str">
        <f>+'2B'!BJ21</f>
        <v>CS00036TTT</v>
      </c>
      <c r="E872" s="1753" t="s">
        <v>11007</v>
      </c>
      <c r="G872" t="str">
        <f>IF('2B'!K21="","##BLANK",'2B'!K21)</f>
        <v>##BLANK</v>
      </c>
    </row>
    <row r="873" spans="2:7">
      <c r="B873" s="893" t="str">
        <f>+'2B'!BJ22</f>
        <v>BA2051TTT</v>
      </c>
      <c r="E873" s="1753" t="s">
        <v>11007</v>
      </c>
      <c r="G873" t="str">
        <f>IF('2B'!K22="","##BLANK",'2B'!K22)</f>
        <v>##BLANK</v>
      </c>
    </row>
    <row r="874" spans="2:7">
      <c r="B874" s="893" t="str">
        <f>+'2B'!BJ23</f>
        <v>BA2061TTT</v>
      </c>
      <c r="E874" s="1753" t="s">
        <v>11007</v>
      </c>
      <c r="G874" t="str">
        <f>IF('2B'!K23="","##BLANK",'2B'!K23)</f>
        <v>##BLANK</v>
      </c>
    </row>
    <row r="875" spans="2:7">
      <c r="B875" s="893" t="str">
        <f>+'2B'!BJ24</f>
        <v>BC30849TTT</v>
      </c>
      <c r="E875" s="1753" t="s">
        <v>11007</v>
      </c>
      <c r="G875" t="str">
        <f>IF('2B'!K24="","##BLANK",'2B'!K24)</f>
        <v>##BLANK</v>
      </c>
    </row>
    <row r="876" spans="2:7">
      <c r="B876" s="893" t="str">
        <f>+'2B'!BJ25</f>
        <v>BM815TTT</v>
      </c>
      <c r="E876" s="1753" t="s">
        <v>11007</v>
      </c>
      <c r="G876">
        <f>IF('2B'!K25="","##BLANK",'2B'!K25)</f>
        <v>0</v>
      </c>
    </row>
    <row r="877" spans="2:7">
      <c r="B877" s="893" t="str">
        <f>+'2B'!BJ26</f>
        <v>BM833TTT</v>
      </c>
      <c r="E877" s="1753" t="s">
        <v>11007</v>
      </c>
      <c r="G877" t="str">
        <f>IF('2B'!K26="","##BLANK",'2B'!K26)</f>
        <v>##BLANK</v>
      </c>
    </row>
    <row r="878" spans="2:7">
      <c r="B878" s="893" t="str">
        <f>+'2B'!BJ27</f>
        <v>BA2120TTT</v>
      </c>
      <c r="E878" s="1753" t="s">
        <v>11007</v>
      </c>
      <c r="G878">
        <f>IF('2B'!K27="","##BLANK",'2B'!K27)</f>
        <v>0</v>
      </c>
    </row>
    <row r="879" spans="2:7">
      <c r="B879" s="893" t="str">
        <f>+'2B'!BJ30</f>
        <v>BA2090PCTTT</v>
      </c>
      <c r="E879" s="1753" t="s">
        <v>11007</v>
      </c>
      <c r="G879" t="str">
        <f>IF('2B'!K30="","##BLANK",'2B'!K30)</f>
        <v>##BLANK</v>
      </c>
    </row>
    <row r="880" spans="2:7">
      <c r="B880" s="893" t="str">
        <f>+'2B'!BJ32</f>
        <v>S3039TTT</v>
      </c>
      <c r="E880" s="1753" t="s">
        <v>11007</v>
      </c>
      <c r="G880">
        <f>IF('2B'!K32="","##BLANK",'2B'!K32)</f>
        <v>0</v>
      </c>
    </row>
    <row r="881" spans="2:7">
      <c r="B881" s="893" t="str">
        <f>+'2B'!BJ35</f>
        <v>CR0559TTT</v>
      </c>
      <c r="E881" s="1753" t="s">
        <v>11007</v>
      </c>
      <c r="G881" t="str">
        <f>IF('2B'!K35="","##BLANK",'2B'!K35)</f>
        <v>##BLANK</v>
      </c>
    </row>
    <row r="882" spans="2:7">
      <c r="B882" s="893" t="str">
        <f>+'2B'!BJ36</f>
        <v>CR00562TTT</v>
      </c>
      <c r="E882" s="1753" t="s">
        <v>11007</v>
      </c>
      <c r="G882" t="str">
        <f>IF('2B'!K36="","##BLANK",'2B'!K36)</f>
        <v>##BLANK</v>
      </c>
    </row>
    <row r="883" spans="2:7">
      <c r="B883" s="893" t="str">
        <f>+'2B'!BJ39</f>
        <v>S3040TOTTTT</v>
      </c>
      <c r="E883" s="1753" t="s">
        <v>11007</v>
      </c>
      <c r="G883">
        <f>IF('2B'!K39="","##BLANK",'2B'!K39)</f>
        <v>0</v>
      </c>
    </row>
    <row r="884" spans="2:7">
      <c r="B884" s="893" t="str">
        <f>+'2B'!BK6</f>
        <v>BM902TAS</v>
      </c>
      <c r="E884" s="1753" t="s">
        <v>11007</v>
      </c>
      <c r="G884">
        <f>IF('2B'!L6="","##BLANK",'2B'!L6)</f>
        <v>0</v>
      </c>
    </row>
    <row r="885" spans="2:7">
      <c r="B885" s="893" t="str">
        <f>+'2B'!BK7</f>
        <v>BM936TAS</v>
      </c>
      <c r="E885" s="1753" t="s">
        <v>11007</v>
      </c>
      <c r="G885">
        <f>IF('2B'!L7="","##BLANK",'2B'!L7)</f>
        <v>0</v>
      </c>
    </row>
    <row r="886" spans="2:7">
      <c r="B886" s="893" t="str">
        <f>+'2B'!BK8</f>
        <v>BM931TAS</v>
      </c>
      <c r="E886" s="1753" t="s">
        <v>11007</v>
      </c>
      <c r="G886">
        <f>IF('2B'!L8="","##BLANK",'2B'!L8)</f>
        <v>0</v>
      </c>
    </row>
    <row r="887" spans="2:7">
      <c r="B887" s="893" t="str">
        <f>+'2B'!BK9</f>
        <v>BM943TAS</v>
      </c>
      <c r="E887" s="1753" t="s">
        <v>11007</v>
      </c>
      <c r="G887">
        <f>IF('2B'!L9="","##BLANK",'2B'!L9)</f>
        <v>0</v>
      </c>
    </row>
    <row r="888" spans="2:7">
      <c r="B888" s="893" t="str">
        <f>+'2B'!BK10</f>
        <v>BM939TASIR</v>
      </c>
      <c r="E888" s="1753" t="s">
        <v>11007</v>
      </c>
      <c r="G888">
        <f>IF('2B'!L10="","##BLANK",'2B'!L10)</f>
        <v>0</v>
      </c>
    </row>
    <row r="889" spans="2:7">
      <c r="B889" s="893" t="str">
        <f>+'2B'!BK11</f>
        <v>BM939TASNIR</v>
      </c>
      <c r="E889" s="1753" t="s">
        <v>11007</v>
      </c>
      <c r="G889">
        <f>IF('2B'!L11="","##BLANK",'2B'!L11)</f>
        <v>0</v>
      </c>
    </row>
    <row r="890" spans="2:7">
      <c r="B890" s="893" t="str">
        <f>+'2B'!BK12</f>
        <v>BM939TASER</v>
      </c>
      <c r="E890" s="1753" t="s">
        <v>11007</v>
      </c>
      <c r="G890">
        <f>IF('2B'!L12="","##BLANK",'2B'!L12)</f>
        <v>0</v>
      </c>
    </row>
    <row r="891" spans="2:7">
      <c r="B891" s="893" t="str">
        <f>+'2B'!BK13</f>
        <v>BM917TAS</v>
      </c>
      <c r="E891" s="1753" t="s">
        <v>11007</v>
      </c>
      <c r="G891">
        <f>IF('2B'!L13="","##BLANK",'2B'!L13)</f>
        <v>0</v>
      </c>
    </row>
    <row r="892" spans="2:7">
      <c r="B892" s="893" t="str">
        <f>+'2B'!BK14</f>
        <v>BM950TAS</v>
      </c>
      <c r="E892" s="1753" t="s">
        <v>11007</v>
      </c>
      <c r="G892">
        <f>IF('2B'!L14="","##BLANK",'2B'!L14)</f>
        <v>0</v>
      </c>
    </row>
    <row r="893" spans="2:7">
      <c r="B893" s="893" t="str">
        <f>+'2B'!BK16</f>
        <v>BM923TAS</v>
      </c>
      <c r="E893" s="1753" t="s">
        <v>11007</v>
      </c>
      <c r="G893">
        <f>IF('2B'!L16="","##BLANK",'2B'!L16)</f>
        <v>0</v>
      </c>
    </row>
    <row r="894" spans="2:7">
      <c r="B894" s="893" t="str">
        <f>+'2B'!BK17</f>
        <v>BM951TAS</v>
      </c>
      <c r="E894" s="1753" t="s">
        <v>11007</v>
      </c>
      <c r="G894">
        <f>IF('2B'!L17="","##BLANK",'2B'!L17)</f>
        <v>0</v>
      </c>
    </row>
    <row r="895" spans="2:7">
      <c r="B895" s="893" t="str">
        <f>+'2B'!BK20</f>
        <v>BC30448</v>
      </c>
      <c r="E895" s="1753" t="s">
        <v>11007</v>
      </c>
      <c r="G895">
        <f>IF('2B'!L20="","##BLANK",'2B'!L20)</f>
        <v>0</v>
      </c>
    </row>
    <row r="896" spans="2:7">
      <c r="B896" s="893" t="str">
        <f>+'2B'!BK21</f>
        <v>CT00036</v>
      </c>
      <c r="E896" s="1753" t="s">
        <v>11007</v>
      </c>
      <c r="G896">
        <f>IF('2B'!L21="","##BLANK",'2B'!L21)</f>
        <v>0</v>
      </c>
    </row>
    <row r="897" spans="2:7">
      <c r="B897" s="893" t="str">
        <f>+'2B'!BK22</f>
        <v>BA2053</v>
      </c>
      <c r="E897" s="1753" t="s">
        <v>11007</v>
      </c>
      <c r="G897">
        <f>IF('2B'!L22="","##BLANK",'2B'!L22)</f>
        <v>0</v>
      </c>
    </row>
    <row r="898" spans="2:7">
      <c r="B898" s="893" t="str">
        <f>+'2B'!BK23</f>
        <v>BA2063</v>
      </c>
      <c r="E898" s="1753" t="s">
        <v>11007</v>
      </c>
      <c r="G898">
        <f>IF('2B'!L23="","##BLANK",'2B'!L23)</f>
        <v>0</v>
      </c>
    </row>
    <row r="899" spans="2:7">
      <c r="B899" s="893" t="str">
        <f>+'2B'!BK24</f>
        <v>BC30949</v>
      </c>
      <c r="E899" s="1753" t="s">
        <v>11007</v>
      </c>
      <c r="G899">
        <f>IF('2B'!L24="","##BLANK",'2B'!L24)</f>
        <v>0</v>
      </c>
    </row>
    <row r="900" spans="2:7">
      <c r="B900" s="893" t="str">
        <f>+'2B'!BK25</f>
        <v>BM916</v>
      </c>
      <c r="E900" s="1753" t="s">
        <v>11007</v>
      </c>
      <c r="G900">
        <f>IF('2B'!L25="","##BLANK",'2B'!L25)</f>
        <v>0</v>
      </c>
    </row>
    <row r="901" spans="2:7">
      <c r="B901" s="893" t="str">
        <f>+'2B'!BK26</f>
        <v>BM923CET</v>
      </c>
      <c r="E901" s="1753" t="s">
        <v>11007</v>
      </c>
      <c r="G901">
        <f>IF('2B'!L26="","##BLANK",'2B'!L26)</f>
        <v>0</v>
      </c>
    </row>
    <row r="902" spans="2:7">
      <c r="B902" s="893" t="str">
        <f>+'2B'!BK27</f>
        <v>BA3000</v>
      </c>
      <c r="E902" s="1753" t="s">
        <v>11007</v>
      </c>
      <c r="G902">
        <f>IF('2B'!L27="","##BLANK",'2B'!L27)</f>
        <v>0</v>
      </c>
    </row>
    <row r="903" spans="2:7">
      <c r="B903" s="893" t="str">
        <f>+'2B'!BK30</f>
        <v>BA3001</v>
      </c>
      <c r="E903" s="1753" t="s">
        <v>11007</v>
      </c>
      <c r="G903">
        <f>IF('2B'!L30="","##BLANK",'2B'!L30)</f>
        <v>0</v>
      </c>
    </row>
    <row r="904" spans="2:7">
      <c r="B904" s="893" t="str">
        <f>+'2B'!BK32</f>
        <v>T3039</v>
      </c>
      <c r="E904" s="1753" t="s">
        <v>11007</v>
      </c>
      <c r="G904">
        <f>IF('2B'!L32="","##BLANK",'2B'!L32)</f>
        <v>0</v>
      </c>
    </row>
    <row r="905" spans="2:7">
      <c r="B905" s="893" t="str">
        <f>+'2B'!BK35</f>
        <v>CR00560</v>
      </c>
      <c r="E905" s="1753" t="s">
        <v>11007</v>
      </c>
      <c r="G905">
        <f>IF('2B'!L35="","##BLANK",'2B'!L35)</f>
        <v>0</v>
      </c>
    </row>
    <row r="906" spans="2:7">
      <c r="B906" s="893" t="str">
        <f>+'2B'!BK36</f>
        <v>CR00563</v>
      </c>
      <c r="E906" s="1753" t="s">
        <v>11007</v>
      </c>
      <c r="G906">
        <f>IF('2B'!L36="","##BLANK",'2B'!L36)</f>
        <v>0</v>
      </c>
    </row>
    <row r="907" spans="2:7">
      <c r="B907" s="893" t="str">
        <f>+'2B'!BK39</f>
        <v>CR00564</v>
      </c>
      <c r="E907" s="1753" t="s">
        <v>11007</v>
      </c>
      <c r="G907">
        <f>IF('2B'!L39="","##BLANK",'2B'!L39)</f>
        <v>0</v>
      </c>
    </row>
    <row r="908" spans="2:7">
      <c r="B908" s="893" t="str">
        <f>+'2C'!AF9</f>
        <v>BM9007</v>
      </c>
      <c r="E908" s="1753" t="s">
        <v>11007</v>
      </c>
      <c r="G908">
        <f>IF('2C'!G9="","##BLANK",'2C'!G9)</f>
        <v>0</v>
      </c>
    </row>
    <row r="909" spans="2:7">
      <c r="B909" s="893" t="str">
        <f>+'2C'!AF16</f>
        <v>BM4290</v>
      </c>
      <c r="E909" s="1753" t="s">
        <v>11007</v>
      </c>
      <c r="G909">
        <f>IF('2C'!G16="","##BLANK",'2C'!G16)</f>
        <v>0</v>
      </c>
    </row>
    <row r="910" spans="2:7">
      <c r="B910" s="893" t="str">
        <f>+'2C'!AF17</f>
        <v>BM9027</v>
      </c>
      <c r="E910" s="1753" t="s">
        <v>11007</v>
      </c>
      <c r="G910">
        <f>IF('2C'!G17="","##BLANK",'2C'!G17)</f>
        <v>0</v>
      </c>
    </row>
    <row r="911" spans="2:7">
      <c r="B911" s="893" t="str">
        <f>+'2C'!AF21</f>
        <v>BM9038</v>
      </c>
      <c r="E911" s="1753" t="s">
        <v>11007</v>
      </c>
      <c r="G911" t="str">
        <f>IF('2C'!G21="","##BLANK",'2C'!G21)</f>
        <v>##BLANK</v>
      </c>
    </row>
    <row r="912" spans="2:7">
      <c r="B912" s="893" t="str">
        <f>+'2C'!AG6</f>
        <v>BM9031</v>
      </c>
      <c r="E912" s="1753" t="s">
        <v>11007</v>
      </c>
      <c r="G912" t="str">
        <f>IF('2C'!H6="","##BLANK",'2C'!H6)</f>
        <v>##BLANK</v>
      </c>
    </row>
    <row r="913" spans="2:7">
      <c r="B913" s="893" t="str">
        <f>+'2C'!AG7</f>
        <v>BM9202</v>
      </c>
      <c r="E913" s="1753" t="s">
        <v>11007</v>
      </c>
      <c r="G913" t="str">
        <f>IF('2C'!H7="","##BLANK",'2C'!H7)</f>
        <v>##BLANK</v>
      </c>
    </row>
    <row r="914" spans="2:7">
      <c r="B914" s="893" t="str">
        <f>+'2C'!AG8</f>
        <v>BM9203</v>
      </c>
      <c r="E914" s="1753" t="s">
        <v>11007</v>
      </c>
      <c r="G914" t="str">
        <f>IF('2C'!H8="","##BLANK",'2C'!H8)</f>
        <v>##BLANK</v>
      </c>
    </row>
    <row r="915" spans="2:7">
      <c r="B915" s="893" t="str">
        <f>+'2C'!AG9</f>
        <v>BM9207</v>
      </c>
      <c r="E915" s="1753" t="s">
        <v>11007</v>
      </c>
      <c r="G915" t="str">
        <f>IF('2C'!H9="","##BLANK",'2C'!H9)</f>
        <v>##BLANK</v>
      </c>
    </row>
    <row r="916" spans="2:7">
      <c r="B916" s="893" t="str">
        <f>+'2C'!AG10</f>
        <v>BM9230</v>
      </c>
      <c r="E916" s="1753" t="s">
        <v>11007</v>
      </c>
      <c r="G916" t="str">
        <f>IF('2C'!H10="","##BLANK",'2C'!H10)</f>
        <v>##BLANK</v>
      </c>
    </row>
    <row r="917" spans="2:7">
      <c r="B917" s="893" t="str">
        <f>+'2C'!AG11</f>
        <v>BM9034</v>
      </c>
      <c r="E917" s="1753" t="s">
        <v>11007</v>
      </c>
      <c r="G917" t="str">
        <f>IF('2C'!H11="","##BLANK",'2C'!H11)</f>
        <v>##BLANK</v>
      </c>
    </row>
    <row r="918" spans="2:7">
      <c r="B918" s="893" t="str">
        <f>+'2C'!AG12</f>
        <v>BM9221</v>
      </c>
      <c r="E918" s="1753" t="s">
        <v>11007</v>
      </c>
      <c r="G918">
        <f>IF('2C'!H12="","##BLANK",'2C'!H12)</f>
        <v>0</v>
      </c>
    </row>
    <row r="919" spans="2:7">
      <c r="B919" s="893" t="str">
        <f>+'2C'!AG13</f>
        <v>BM9222</v>
      </c>
      <c r="E919" s="1753" t="s">
        <v>11007</v>
      </c>
      <c r="G919" t="str">
        <f>IF('2C'!H13="","##BLANK",'2C'!H13)</f>
        <v>##BLANK</v>
      </c>
    </row>
    <row r="920" spans="2:7">
      <c r="B920" s="893" t="str">
        <f>+'2C'!AG14</f>
        <v>BM9223</v>
      </c>
      <c r="E920" s="1753" t="s">
        <v>11007</v>
      </c>
      <c r="G920">
        <f>IF('2C'!H14="","##BLANK",'2C'!H14)</f>
        <v>0</v>
      </c>
    </row>
    <row r="921" spans="2:7">
      <c r="B921" s="893" t="str">
        <f>+'2C'!AG16</f>
        <v>BM9225</v>
      </c>
      <c r="E921" s="1753" t="s">
        <v>11007</v>
      </c>
      <c r="G921" t="str">
        <f>IF('2C'!H16="","##BLANK",'2C'!H16)</f>
        <v>##BLANK</v>
      </c>
    </row>
    <row r="922" spans="2:7">
      <c r="B922" s="893" t="str">
        <f>+'2C'!AG17</f>
        <v>BM9227</v>
      </c>
      <c r="E922" s="1753" t="s">
        <v>11007</v>
      </c>
      <c r="G922" t="str">
        <f>IF('2C'!H17="","##BLANK",'2C'!H17)</f>
        <v>##BLANK</v>
      </c>
    </row>
    <row r="923" spans="2:7">
      <c r="B923" s="893" t="str">
        <f>+'2C'!AG19</f>
        <v>BM9229</v>
      </c>
      <c r="E923" s="1753" t="s">
        <v>11007</v>
      </c>
      <c r="G923">
        <f>IF('2C'!H19="","##BLANK",'2C'!H19)</f>
        <v>0</v>
      </c>
    </row>
    <row r="924" spans="2:7">
      <c r="B924" s="893" t="str">
        <f>+'2C'!AG21</f>
        <v>BM9338</v>
      </c>
      <c r="E924" s="1753" t="s">
        <v>11007</v>
      </c>
      <c r="G924" t="str">
        <f>IF('2C'!H21="","##BLANK",'2C'!H21)</f>
        <v>##BLANK</v>
      </c>
    </row>
    <row r="925" spans="2:7">
      <c r="B925" s="893" t="str">
        <f>+'2C'!AH6</f>
        <v>BM9032</v>
      </c>
      <c r="E925" s="1753" t="s">
        <v>11007</v>
      </c>
      <c r="G925">
        <f>IF('2C'!I6="","##BLANK",'2C'!I6)</f>
        <v>0</v>
      </c>
    </row>
    <row r="926" spans="2:7">
      <c r="B926" s="893" t="str">
        <f>+'2C'!AH7</f>
        <v>BM9502</v>
      </c>
      <c r="E926" s="1753" t="s">
        <v>11007</v>
      </c>
      <c r="G926">
        <f>IF('2C'!I7="","##BLANK",'2C'!I7)</f>
        <v>0</v>
      </c>
    </row>
    <row r="927" spans="2:7">
      <c r="B927" s="893" t="str">
        <f>+'2C'!AH8</f>
        <v>BM9503</v>
      </c>
      <c r="E927" s="1753" t="s">
        <v>11007</v>
      </c>
      <c r="G927">
        <f>IF('2C'!I8="","##BLANK",'2C'!I8)</f>
        <v>0</v>
      </c>
    </row>
    <row r="928" spans="2:7">
      <c r="B928" s="893" t="str">
        <f>+'2C'!AH9</f>
        <v>BM9507</v>
      </c>
      <c r="E928" s="1753" t="s">
        <v>11007</v>
      </c>
      <c r="G928">
        <f>IF('2C'!I9="","##BLANK",'2C'!I9)</f>
        <v>0</v>
      </c>
    </row>
    <row r="929" spans="2:7">
      <c r="B929" s="893" t="str">
        <f>+'2C'!AH10</f>
        <v>BM9530</v>
      </c>
      <c r="E929" s="1753" t="s">
        <v>11007</v>
      </c>
      <c r="G929">
        <f>IF('2C'!I10="","##BLANK",'2C'!I10)</f>
        <v>0</v>
      </c>
    </row>
    <row r="930" spans="2:7">
      <c r="B930" s="893" t="str">
        <f>+'2C'!AH11</f>
        <v>BM9035</v>
      </c>
      <c r="E930" s="1753" t="s">
        <v>11007</v>
      </c>
      <c r="G930">
        <f>IF('2C'!I11="","##BLANK",'2C'!I11)</f>
        <v>0</v>
      </c>
    </row>
    <row r="931" spans="2:7">
      <c r="B931" s="893" t="str">
        <f>+'2C'!AH12</f>
        <v>BM9521</v>
      </c>
      <c r="E931" s="1753" t="s">
        <v>11007</v>
      </c>
      <c r="G931">
        <f>IF('2C'!I12="","##BLANK",'2C'!I12)</f>
        <v>0</v>
      </c>
    </row>
    <row r="932" spans="2:7">
      <c r="B932" s="893" t="str">
        <f>+'2C'!AH13</f>
        <v>BM9522</v>
      </c>
      <c r="E932" s="1753" t="s">
        <v>11007</v>
      </c>
      <c r="G932">
        <f>IF('2C'!I13="","##BLANK",'2C'!I13)</f>
        <v>0</v>
      </c>
    </row>
    <row r="933" spans="2:7">
      <c r="B933" s="893" t="str">
        <f>+'2C'!AH14</f>
        <v>BM9523</v>
      </c>
      <c r="E933" s="1753" t="s">
        <v>11007</v>
      </c>
      <c r="G933">
        <f>IF('2C'!I14="","##BLANK",'2C'!I14)</f>
        <v>0</v>
      </c>
    </row>
    <row r="934" spans="2:7">
      <c r="B934" s="893" t="str">
        <f>+'2C'!AH16</f>
        <v>BM9525</v>
      </c>
      <c r="E934" s="1753" t="s">
        <v>11007</v>
      </c>
      <c r="G934">
        <f>IF('2C'!I16="","##BLANK",'2C'!I16)</f>
        <v>0</v>
      </c>
    </row>
    <row r="935" spans="2:7">
      <c r="B935" s="893" t="str">
        <f>+'2C'!AH17</f>
        <v>BM9527</v>
      </c>
      <c r="E935" s="1753" t="s">
        <v>11007</v>
      </c>
      <c r="G935">
        <f>IF('2C'!I17="","##BLANK",'2C'!I17)</f>
        <v>0</v>
      </c>
    </row>
    <row r="936" spans="2:7">
      <c r="B936" s="893" t="str">
        <f>+'2C'!AH19</f>
        <v>BM9529</v>
      </c>
      <c r="E936" s="1753" t="s">
        <v>11007</v>
      </c>
      <c r="G936">
        <f>IF('2C'!I19="","##BLANK",'2C'!I19)</f>
        <v>0</v>
      </c>
    </row>
    <row r="937" spans="2:7">
      <c r="B937" s="893" t="str">
        <f>+'2C'!AH21</f>
        <v>BM9538</v>
      </c>
      <c r="E937" s="1753" t="s">
        <v>11007</v>
      </c>
      <c r="G937">
        <f>IF('2C'!I21="","##BLANK",'2C'!I21)</f>
        <v>0</v>
      </c>
    </row>
    <row r="938" spans="2:7">
      <c r="B938" s="893" t="str">
        <f>+'2D'!BF7</f>
        <v>BM4012WR</v>
      </c>
      <c r="E938" s="1753" t="s">
        <v>11007</v>
      </c>
      <c r="G938" t="str">
        <f>IF('2D'!G7="","##BLANK",'2D'!G7)</f>
        <v>##BLANK</v>
      </c>
    </row>
    <row r="939" spans="2:7">
      <c r="B939" s="893" t="str">
        <f>+'2D'!BF8</f>
        <v>BM4016WR</v>
      </c>
      <c r="E939" s="1753" t="s">
        <v>11007</v>
      </c>
      <c r="G939" t="str">
        <f>IF('2D'!G8="","##BLANK",'2D'!G8)</f>
        <v>##BLANK</v>
      </c>
    </row>
    <row r="940" spans="2:7">
      <c r="B940" s="893" t="str">
        <f>+'2D'!BF9</f>
        <v>BM4017WR</v>
      </c>
      <c r="E940" s="1753" t="s">
        <v>11007</v>
      </c>
      <c r="G940" t="str">
        <f>IF('2D'!G9="","##BLANK",'2D'!G9)</f>
        <v>##BLANK</v>
      </c>
    </row>
    <row r="941" spans="2:7">
      <c r="B941" s="893" t="str">
        <f>+'2D'!BF10</f>
        <v>BM4021WR</v>
      </c>
      <c r="E941" s="1753" t="s">
        <v>11007</v>
      </c>
      <c r="G941" t="str">
        <f>IF('2D'!G10="","##BLANK",'2D'!G10)</f>
        <v>##BLANK</v>
      </c>
    </row>
    <row r="942" spans="2:7">
      <c r="B942" s="893" t="str">
        <f>+'2D'!BF11</f>
        <v>BM4019WR</v>
      </c>
      <c r="E942" s="1753" t="s">
        <v>11007</v>
      </c>
      <c r="G942" t="str">
        <f>IF('2D'!G11="","##BLANK",'2D'!G11)</f>
        <v>##BLANK</v>
      </c>
    </row>
    <row r="943" spans="2:7">
      <c r="B943" s="893" t="str">
        <f>+'2D'!BF12</f>
        <v>BM4018WR</v>
      </c>
      <c r="E943" s="1753" t="s">
        <v>11007</v>
      </c>
      <c r="G943">
        <f>IF('2D'!G12="","##BLANK",'2D'!G12)</f>
        <v>0</v>
      </c>
    </row>
    <row r="944" spans="2:7">
      <c r="B944" s="893" t="str">
        <f>+'2D'!BF15</f>
        <v>BM4041WR</v>
      </c>
      <c r="E944" s="1753" t="s">
        <v>11007</v>
      </c>
      <c r="G944" t="str">
        <f>IF('2D'!G15="","##BLANK",'2D'!G15)</f>
        <v>##BLANK</v>
      </c>
    </row>
    <row r="945" spans="2:7">
      <c r="B945" s="893" t="str">
        <f>+'2D'!BF16</f>
        <v>BM4045WR</v>
      </c>
      <c r="E945" s="1753" t="s">
        <v>11007</v>
      </c>
      <c r="G945" t="str">
        <f>IF('2D'!G16="","##BLANK",'2D'!G16)</f>
        <v>##BLANK</v>
      </c>
    </row>
    <row r="946" spans="2:7">
      <c r="B946" s="893" t="str">
        <f>+'2D'!BF17</f>
        <v>BM4053WR</v>
      </c>
      <c r="E946" s="1753" t="s">
        <v>11007</v>
      </c>
      <c r="G946" t="str">
        <f>IF('2D'!G17="","##BLANK",'2D'!G17)</f>
        <v>##BLANK</v>
      </c>
    </row>
    <row r="947" spans="2:7">
      <c r="B947" s="893" t="str">
        <f>+'2D'!BF18</f>
        <v>BM4046WR</v>
      </c>
      <c r="E947" s="1753" t="s">
        <v>11007</v>
      </c>
      <c r="G947" t="str">
        <f>IF('2D'!G18="","##BLANK",'2D'!G18)</f>
        <v>##BLANK</v>
      </c>
    </row>
    <row r="948" spans="2:7">
      <c r="B948" s="893" t="str">
        <f>+'2D'!BF19</f>
        <v>BM4047WR</v>
      </c>
      <c r="E948" s="1753" t="s">
        <v>11007</v>
      </c>
      <c r="G948">
        <f>IF('2D'!G19="","##BLANK",'2D'!G19)</f>
        <v>0</v>
      </c>
    </row>
    <row r="949" spans="2:7">
      <c r="B949" s="893" t="str">
        <f>+'2D'!BF21</f>
        <v>BM4048WR</v>
      </c>
      <c r="E949" s="1753" t="s">
        <v>11007</v>
      </c>
      <c r="G949">
        <f>IF('2D'!G21="","##BLANK",'2D'!G21)</f>
        <v>0</v>
      </c>
    </row>
    <row r="950" spans="2:7">
      <c r="B950" s="893" t="str">
        <f>+'2D'!BF22</f>
        <v>BM4049WR</v>
      </c>
      <c r="E950" s="1753" t="s">
        <v>11007</v>
      </c>
      <c r="G950">
        <f>IF('2D'!G22="","##BLANK",'2D'!G22)</f>
        <v>0</v>
      </c>
    </row>
    <row r="951" spans="2:7">
      <c r="B951" s="893" t="str">
        <f>+'2D'!BF25</f>
        <v>BM4051WR</v>
      </c>
      <c r="E951" s="1753" t="s">
        <v>11007</v>
      </c>
      <c r="G951" t="str">
        <f>IF('2D'!G25="","##BLANK",'2D'!G25)</f>
        <v>##BLANK</v>
      </c>
    </row>
    <row r="952" spans="2:7">
      <c r="B952" s="893" t="str">
        <f>+'2D'!BF26</f>
        <v>BM334WR</v>
      </c>
      <c r="E952" s="1753" t="s">
        <v>11007</v>
      </c>
      <c r="G952" t="str">
        <f>IF('2D'!G26="","##BLANK",'2D'!G26)</f>
        <v>##BLANK</v>
      </c>
    </row>
    <row r="953" spans="2:7">
      <c r="B953" s="893" t="str">
        <f>+'2D'!BF27</f>
        <v>BM4052WR</v>
      </c>
      <c r="E953" s="1753" t="s">
        <v>11007</v>
      </c>
      <c r="G953">
        <f>IF('2D'!G27="","##BLANK",'2D'!G27)</f>
        <v>0</v>
      </c>
    </row>
    <row r="954" spans="2:7">
      <c r="B954" s="893" t="str">
        <f>+'2D'!BG7</f>
        <v>BM4012WN</v>
      </c>
      <c r="E954" s="1753" t="s">
        <v>11007</v>
      </c>
      <c r="G954" t="str">
        <f>IF('2D'!H7="","##BLANK",'2D'!H7)</f>
        <v>##BLANK</v>
      </c>
    </row>
    <row r="955" spans="2:7">
      <c r="B955" s="893" t="str">
        <f>+'2D'!BG8</f>
        <v>BM4016WN</v>
      </c>
      <c r="E955" s="1753" t="s">
        <v>11007</v>
      </c>
      <c r="G955" t="str">
        <f>IF('2D'!H8="","##BLANK",'2D'!H8)</f>
        <v>##BLANK</v>
      </c>
    </row>
    <row r="956" spans="2:7">
      <c r="B956" s="893" t="str">
        <f>+'2D'!BG9</f>
        <v>BM4017WN</v>
      </c>
      <c r="E956" s="1753" t="s">
        <v>11007</v>
      </c>
      <c r="G956" t="str">
        <f>IF('2D'!H9="","##BLANK",'2D'!H9)</f>
        <v>##BLANK</v>
      </c>
    </row>
    <row r="957" spans="2:7">
      <c r="B957" s="893" t="str">
        <f>+'2D'!BG10</f>
        <v>BM4021WN</v>
      </c>
      <c r="E957" s="1753" t="s">
        <v>11007</v>
      </c>
      <c r="G957" t="str">
        <f>IF('2D'!H10="","##BLANK",'2D'!H10)</f>
        <v>##BLANK</v>
      </c>
    </row>
    <row r="958" spans="2:7">
      <c r="B958" s="893" t="str">
        <f>+'2D'!BG11</f>
        <v>BM4019WN</v>
      </c>
      <c r="E958" s="1753" t="s">
        <v>11007</v>
      </c>
      <c r="G958" t="str">
        <f>IF('2D'!H11="","##BLANK",'2D'!H11)</f>
        <v>##BLANK</v>
      </c>
    </row>
    <row r="959" spans="2:7">
      <c r="B959" s="893" t="str">
        <f>+'2D'!BG12</f>
        <v>BM4018WN</v>
      </c>
      <c r="E959" s="1753" t="s">
        <v>11007</v>
      </c>
      <c r="G959">
        <f>IF('2D'!H12="","##BLANK",'2D'!H12)</f>
        <v>0</v>
      </c>
    </row>
    <row r="960" spans="2:7">
      <c r="B960" s="893" t="str">
        <f>+'2D'!BG15</f>
        <v>BM4041WN</v>
      </c>
      <c r="E960" s="1753" t="s">
        <v>11007</v>
      </c>
      <c r="G960" t="str">
        <f>IF('2D'!H15="","##BLANK",'2D'!H15)</f>
        <v>##BLANK</v>
      </c>
    </row>
    <row r="961" spans="2:7">
      <c r="B961" s="893" t="str">
        <f>+'2D'!BG16</f>
        <v>BM4045WN</v>
      </c>
      <c r="E961" s="1753" t="s">
        <v>11007</v>
      </c>
      <c r="G961" t="str">
        <f>IF('2D'!H16="","##BLANK",'2D'!H16)</f>
        <v>##BLANK</v>
      </c>
    </row>
    <row r="962" spans="2:7">
      <c r="B962" s="893" t="str">
        <f>+'2D'!BG17</f>
        <v>BM4053WN</v>
      </c>
      <c r="E962" s="1753" t="s">
        <v>11007</v>
      </c>
      <c r="G962" t="str">
        <f>IF('2D'!H17="","##BLANK",'2D'!H17)</f>
        <v>##BLANK</v>
      </c>
    </row>
    <row r="963" spans="2:7">
      <c r="B963" s="893" t="str">
        <f>+'2D'!BG18</f>
        <v>BM4046WN</v>
      </c>
      <c r="E963" s="1753" t="s">
        <v>11007</v>
      </c>
      <c r="G963" t="str">
        <f>IF('2D'!H18="","##BLANK",'2D'!H18)</f>
        <v>##BLANK</v>
      </c>
    </row>
    <row r="964" spans="2:7">
      <c r="B964" s="893" t="str">
        <f>+'2D'!BG19</f>
        <v>BM4047WN</v>
      </c>
      <c r="E964" s="1753" t="s">
        <v>11007</v>
      </c>
      <c r="G964">
        <f>IF('2D'!H19="","##BLANK",'2D'!H19)</f>
        <v>0</v>
      </c>
    </row>
    <row r="965" spans="2:7">
      <c r="B965" s="893" t="str">
        <f>+'2D'!BG21</f>
        <v>BM4048WN</v>
      </c>
      <c r="E965" s="1753" t="s">
        <v>11007</v>
      </c>
      <c r="G965">
        <f>IF('2D'!H21="","##BLANK",'2D'!H21)</f>
        <v>0</v>
      </c>
    </row>
    <row r="966" spans="2:7">
      <c r="B966" s="893" t="str">
        <f>+'2D'!BG22</f>
        <v>BM4049WN</v>
      </c>
      <c r="E966" s="1753" t="s">
        <v>11007</v>
      </c>
      <c r="G966">
        <f>IF('2D'!H22="","##BLANK",'2D'!H22)</f>
        <v>0</v>
      </c>
    </row>
    <row r="967" spans="2:7">
      <c r="B967" s="893" t="str">
        <f>+'2D'!BG25</f>
        <v>BM4051WN</v>
      </c>
      <c r="E967" s="1753" t="s">
        <v>11007</v>
      </c>
      <c r="G967" t="str">
        <f>IF('2D'!H25="","##BLANK",'2D'!H25)</f>
        <v>##BLANK</v>
      </c>
    </row>
    <row r="968" spans="2:7">
      <c r="B968" s="893" t="str">
        <f>+'2D'!BG26</f>
        <v>BM334WN</v>
      </c>
      <c r="E968" s="1753" t="s">
        <v>11007</v>
      </c>
      <c r="G968" t="str">
        <f>IF('2D'!H26="","##BLANK",'2D'!H26)</f>
        <v>##BLANK</v>
      </c>
    </row>
    <row r="969" spans="2:7">
      <c r="B969" s="893" t="str">
        <f>+'2D'!BG27</f>
        <v>BM4052WN</v>
      </c>
      <c r="E969" s="1753" t="s">
        <v>11007</v>
      </c>
      <c r="G969">
        <f>IF('2D'!H27="","##BLANK",'2D'!H27)</f>
        <v>0</v>
      </c>
    </row>
    <row r="970" spans="2:7">
      <c r="B970" s="893" t="str">
        <f>+'2D'!BH7</f>
        <v>BM4012WNK</v>
      </c>
      <c r="E970" s="1753" t="s">
        <v>11007</v>
      </c>
      <c r="G970" t="str">
        <f>IF('2D'!I7="","##BLANK",'2D'!I7)</f>
        <v>##BLANK</v>
      </c>
    </row>
    <row r="971" spans="2:7">
      <c r="B971" s="893" t="str">
        <f>+'2D'!BH8</f>
        <v>BM4016WNK</v>
      </c>
      <c r="E971" s="1753" t="s">
        <v>11007</v>
      </c>
      <c r="G971" t="str">
        <f>IF('2D'!I8="","##BLANK",'2D'!I8)</f>
        <v>##BLANK</v>
      </c>
    </row>
    <row r="972" spans="2:7">
      <c r="B972" s="893" t="str">
        <f>+'2D'!BH9</f>
        <v>BM4017WNK</v>
      </c>
      <c r="E972" s="1753" t="s">
        <v>11007</v>
      </c>
      <c r="G972" t="str">
        <f>IF('2D'!I9="","##BLANK",'2D'!I9)</f>
        <v>##BLANK</v>
      </c>
    </row>
    <row r="973" spans="2:7">
      <c r="B973" s="893" t="str">
        <f>+'2D'!BH10</f>
        <v>BM4021WNK</v>
      </c>
      <c r="E973" s="1753" t="s">
        <v>11007</v>
      </c>
      <c r="G973" t="str">
        <f>IF('2D'!I10="","##BLANK",'2D'!I10)</f>
        <v>##BLANK</v>
      </c>
    </row>
    <row r="974" spans="2:7">
      <c r="B974" s="893" t="str">
        <f>+'2D'!BH11</f>
        <v>BM4019WNK</v>
      </c>
      <c r="E974" s="1753" t="s">
        <v>11007</v>
      </c>
      <c r="G974" t="str">
        <f>IF('2D'!I11="","##BLANK",'2D'!I11)</f>
        <v>##BLANK</v>
      </c>
    </row>
    <row r="975" spans="2:7">
      <c r="B975" s="893" t="str">
        <f>+'2D'!BH12</f>
        <v>BM4018WNK</v>
      </c>
      <c r="E975" s="1753" t="s">
        <v>11007</v>
      </c>
      <c r="G975">
        <f>IF('2D'!I12="","##BLANK",'2D'!I12)</f>
        <v>0</v>
      </c>
    </row>
    <row r="976" spans="2:7">
      <c r="B976" s="893" t="str">
        <f>+'2D'!BH15</f>
        <v>BM4041WNK</v>
      </c>
      <c r="E976" s="1753" t="s">
        <v>11007</v>
      </c>
      <c r="G976" t="str">
        <f>IF('2D'!I15="","##BLANK",'2D'!I15)</f>
        <v>##BLANK</v>
      </c>
    </row>
    <row r="977" spans="2:7">
      <c r="B977" s="893" t="str">
        <f>+'2D'!BH16</f>
        <v>BM4045WNK</v>
      </c>
      <c r="E977" s="1753" t="s">
        <v>11007</v>
      </c>
      <c r="G977" t="str">
        <f>IF('2D'!I16="","##BLANK",'2D'!I16)</f>
        <v>##BLANK</v>
      </c>
    </row>
    <row r="978" spans="2:7">
      <c r="B978" s="893" t="str">
        <f>+'2D'!BH17</f>
        <v>BM4053WWNK</v>
      </c>
      <c r="E978" s="1753" t="s">
        <v>11007</v>
      </c>
      <c r="G978" t="str">
        <f>IF('2D'!I17="","##BLANK",'2D'!I17)</f>
        <v>##BLANK</v>
      </c>
    </row>
    <row r="979" spans="2:7">
      <c r="B979" s="893" t="str">
        <f>+'2D'!BH18</f>
        <v>BM4046WNK</v>
      </c>
      <c r="E979" s="1753" t="s">
        <v>11007</v>
      </c>
      <c r="G979" t="str">
        <f>IF('2D'!I18="","##BLANK",'2D'!I18)</f>
        <v>##BLANK</v>
      </c>
    </row>
    <row r="980" spans="2:7">
      <c r="B980" s="893" t="str">
        <f>+'2D'!BH19</f>
        <v>BM4047WNK</v>
      </c>
      <c r="E980" s="1753" t="s">
        <v>11007</v>
      </c>
      <c r="G980">
        <f>IF('2D'!I19="","##BLANK",'2D'!I19)</f>
        <v>0</v>
      </c>
    </row>
    <row r="981" spans="2:7">
      <c r="B981" s="893" t="str">
        <f>+'2D'!BH21</f>
        <v>BM4048WNK</v>
      </c>
      <c r="E981" s="1753" t="s">
        <v>11007</v>
      </c>
      <c r="G981">
        <f>IF('2D'!I21="","##BLANK",'2D'!I21)</f>
        <v>0</v>
      </c>
    </row>
    <row r="982" spans="2:7">
      <c r="B982" s="893" t="str">
        <f>+'2D'!BH22</f>
        <v>BM4049WNK</v>
      </c>
      <c r="E982" s="1753" t="s">
        <v>11007</v>
      </c>
      <c r="G982">
        <f>IF('2D'!I22="","##BLANK",'2D'!I22)</f>
        <v>0</v>
      </c>
    </row>
    <row r="983" spans="2:7">
      <c r="B983" s="893" t="str">
        <f>+'2D'!BH25</f>
        <v>BM4051WNK</v>
      </c>
      <c r="E983" s="1753" t="s">
        <v>11007</v>
      </c>
      <c r="G983" t="str">
        <f>IF('2D'!I25="","##BLANK",'2D'!I25)</f>
        <v>##BLANK</v>
      </c>
    </row>
    <row r="984" spans="2:7">
      <c r="B984" s="893" t="str">
        <f>+'2D'!BH26</f>
        <v>BM334WNK</v>
      </c>
      <c r="E984" s="1753" t="s">
        <v>11007</v>
      </c>
      <c r="G984" t="str">
        <f>IF('2D'!I26="","##BLANK",'2D'!I26)</f>
        <v>##BLANK</v>
      </c>
    </row>
    <row r="985" spans="2:7">
      <c r="B985" s="893" t="str">
        <f>+'2D'!BH27</f>
        <v>BM4052WNK</v>
      </c>
      <c r="E985" s="1753" t="s">
        <v>11007</v>
      </c>
      <c r="G985">
        <f>IF('2D'!I27="","##BLANK",'2D'!I27)</f>
        <v>0</v>
      </c>
    </row>
    <row r="986" spans="2:7">
      <c r="B986" s="893" t="str">
        <f>+'2D'!BI7</f>
        <v>BM4012SG</v>
      </c>
      <c r="E986" s="1753" t="s">
        <v>11007</v>
      </c>
      <c r="G986" t="str">
        <f>IF('2D'!J7="","##BLANK",'2D'!J7)</f>
        <v>##BLANK</v>
      </c>
    </row>
    <row r="987" spans="2:7">
      <c r="B987" s="893" t="str">
        <f>+'2D'!BI8</f>
        <v>BM4016SG</v>
      </c>
      <c r="E987" s="1753" t="s">
        <v>11007</v>
      </c>
      <c r="G987" t="str">
        <f>IF('2D'!J8="","##BLANK",'2D'!J8)</f>
        <v>##BLANK</v>
      </c>
    </row>
    <row r="988" spans="2:7">
      <c r="B988" s="893" t="str">
        <f>+'2D'!BI9</f>
        <v>BM4017SG</v>
      </c>
      <c r="E988" s="1753" t="s">
        <v>11007</v>
      </c>
      <c r="G988" t="str">
        <f>IF('2D'!J9="","##BLANK",'2D'!J9)</f>
        <v>##BLANK</v>
      </c>
    </row>
    <row r="989" spans="2:7">
      <c r="B989" s="893" t="str">
        <f>+'2D'!BI10</f>
        <v>BM4021SG</v>
      </c>
      <c r="E989" s="1753" t="s">
        <v>11007</v>
      </c>
      <c r="G989" t="str">
        <f>IF('2D'!J10="","##BLANK",'2D'!J10)</f>
        <v>##BLANK</v>
      </c>
    </row>
    <row r="990" spans="2:7">
      <c r="B990" s="893" t="str">
        <f>+'2D'!BI11</f>
        <v>BM4019SG</v>
      </c>
      <c r="E990" s="1753" t="s">
        <v>11007</v>
      </c>
      <c r="G990" t="str">
        <f>IF('2D'!J11="","##BLANK",'2D'!J11)</f>
        <v>##BLANK</v>
      </c>
    </row>
    <row r="991" spans="2:7">
      <c r="B991" s="893" t="str">
        <f>+'2D'!BI12</f>
        <v>BM4018SG</v>
      </c>
      <c r="E991" s="1753" t="s">
        <v>11007</v>
      </c>
      <c r="G991">
        <f>IF('2D'!J12="","##BLANK",'2D'!J12)</f>
        <v>0</v>
      </c>
    </row>
    <row r="992" spans="2:7">
      <c r="B992" s="893" t="str">
        <f>+'2D'!BI15</f>
        <v>BM4041SG</v>
      </c>
      <c r="E992" s="1753" t="s">
        <v>11007</v>
      </c>
      <c r="G992" t="str">
        <f>IF('2D'!J15="","##BLANK",'2D'!J15)</f>
        <v>##BLANK</v>
      </c>
    </row>
    <row r="993" spans="2:7">
      <c r="B993" s="893" t="str">
        <f>+'2D'!BI16</f>
        <v>BM4045SG</v>
      </c>
      <c r="E993" s="1753" t="s">
        <v>11007</v>
      </c>
      <c r="G993" t="str">
        <f>IF('2D'!J16="","##BLANK",'2D'!J16)</f>
        <v>##BLANK</v>
      </c>
    </row>
    <row r="994" spans="2:7">
      <c r="B994" s="893" t="str">
        <f>+'2D'!BI17</f>
        <v>BM4053SG</v>
      </c>
      <c r="E994" s="1753" t="s">
        <v>11007</v>
      </c>
      <c r="G994" t="str">
        <f>IF('2D'!J17="","##BLANK",'2D'!J17)</f>
        <v>##BLANK</v>
      </c>
    </row>
    <row r="995" spans="2:7">
      <c r="B995" s="893" t="str">
        <f>+'2D'!BI18</f>
        <v>BM4046SG</v>
      </c>
      <c r="E995" s="1753" t="s">
        <v>11007</v>
      </c>
      <c r="G995" t="str">
        <f>IF('2D'!J18="","##BLANK",'2D'!J18)</f>
        <v>##BLANK</v>
      </c>
    </row>
    <row r="996" spans="2:7">
      <c r="B996" s="893" t="str">
        <f>+'2D'!BI19</f>
        <v>BM4047SG</v>
      </c>
      <c r="E996" s="1753" t="s">
        <v>11007</v>
      </c>
      <c r="G996">
        <f>IF('2D'!J19="","##BLANK",'2D'!J19)</f>
        <v>0</v>
      </c>
    </row>
    <row r="997" spans="2:7">
      <c r="B997" s="893" t="str">
        <f>+'2D'!BI21</f>
        <v>BM4048SG</v>
      </c>
      <c r="E997" s="1753" t="s">
        <v>11007</v>
      </c>
      <c r="G997">
        <f>IF('2D'!J21="","##BLANK",'2D'!J21)</f>
        <v>0</v>
      </c>
    </row>
    <row r="998" spans="2:7">
      <c r="B998" s="893" t="str">
        <f>+'2D'!BI22</f>
        <v>BM4049SG</v>
      </c>
      <c r="E998" s="1753" t="s">
        <v>11007</v>
      </c>
      <c r="G998">
        <f>IF('2D'!J22="","##BLANK",'2D'!J22)</f>
        <v>0</v>
      </c>
    </row>
    <row r="999" spans="2:7">
      <c r="B999" s="893" t="str">
        <f>+'2D'!BI25</f>
        <v>BM4051SG</v>
      </c>
      <c r="E999" s="1753" t="s">
        <v>11007</v>
      </c>
      <c r="G999" t="str">
        <f>IF('2D'!J25="","##BLANK",'2D'!J25)</f>
        <v>##BLANK</v>
      </c>
    </row>
    <row r="1000" spans="2:7">
      <c r="B1000" s="893" t="str">
        <f>+'2D'!BI26</f>
        <v>BM334SG</v>
      </c>
      <c r="E1000" s="1753" t="s">
        <v>11007</v>
      </c>
      <c r="G1000" t="str">
        <f>IF('2D'!J26="","##BLANK",'2D'!J26)</f>
        <v>##BLANK</v>
      </c>
    </row>
    <row r="1001" spans="2:7">
      <c r="B1001" s="893" t="str">
        <f>+'2D'!BI27</f>
        <v>BM4052SG</v>
      </c>
      <c r="E1001" s="1753" t="s">
        <v>11007</v>
      </c>
      <c r="G1001">
        <f>IF('2D'!J27="","##BLANK",'2D'!J27)</f>
        <v>0</v>
      </c>
    </row>
    <row r="1002" spans="2:7">
      <c r="B1002" s="893" t="str">
        <f>+'2D'!BJ7</f>
        <v>BM4012STTT</v>
      </c>
      <c r="E1002" s="1753" t="s">
        <v>11007</v>
      </c>
      <c r="G1002" t="str">
        <f>IF('2D'!K7="","##BLANK",'2D'!K7)</f>
        <v>##BLANK</v>
      </c>
    </row>
    <row r="1003" spans="2:7">
      <c r="B1003" s="893" t="str">
        <f>+'2D'!BJ8</f>
        <v>BM4016STTT</v>
      </c>
      <c r="E1003" s="1753" t="s">
        <v>11007</v>
      </c>
      <c r="G1003" t="str">
        <f>IF('2D'!K8="","##BLANK",'2D'!K8)</f>
        <v>##BLANK</v>
      </c>
    </row>
    <row r="1004" spans="2:7">
      <c r="B1004" s="893" t="str">
        <f>+'2D'!BJ9</f>
        <v>BM4017STTT</v>
      </c>
      <c r="E1004" s="1753" t="s">
        <v>11007</v>
      </c>
      <c r="G1004" t="str">
        <f>IF('2D'!K9="","##BLANK",'2D'!K9)</f>
        <v>##BLANK</v>
      </c>
    </row>
    <row r="1005" spans="2:7">
      <c r="B1005" s="893" t="str">
        <f>+'2D'!BJ10</f>
        <v>BM4021STTT</v>
      </c>
      <c r="E1005" s="1753" t="s">
        <v>11007</v>
      </c>
      <c r="G1005" t="str">
        <f>IF('2D'!K10="","##BLANK",'2D'!K10)</f>
        <v>##BLANK</v>
      </c>
    </row>
    <row r="1006" spans="2:7">
      <c r="B1006" s="893" t="str">
        <f>+'2D'!BJ11</f>
        <v>BM4019STTT</v>
      </c>
      <c r="E1006" s="1753" t="s">
        <v>11007</v>
      </c>
      <c r="G1006" t="str">
        <f>IF('2D'!K11="","##BLANK",'2D'!K11)</f>
        <v>##BLANK</v>
      </c>
    </row>
    <row r="1007" spans="2:7">
      <c r="B1007" s="893" t="str">
        <f>+'2D'!BJ12</f>
        <v>BM4018STTT</v>
      </c>
      <c r="E1007" s="1753" t="s">
        <v>11007</v>
      </c>
      <c r="G1007">
        <f>IF('2D'!K12="","##BLANK",'2D'!K12)</f>
        <v>0</v>
      </c>
    </row>
    <row r="1008" spans="2:7">
      <c r="B1008" s="893" t="str">
        <f>+'2D'!BJ15</f>
        <v>BM4041STTT</v>
      </c>
      <c r="E1008" s="1753" t="s">
        <v>11007</v>
      </c>
      <c r="G1008" t="str">
        <f>IF('2D'!K15="","##BLANK",'2D'!K15)</f>
        <v>##BLANK</v>
      </c>
    </row>
    <row r="1009" spans="2:7">
      <c r="B1009" s="893" t="str">
        <f>+'2D'!BJ16</f>
        <v>BM4045STTT</v>
      </c>
      <c r="E1009" s="1753" t="s">
        <v>11007</v>
      </c>
      <c r="G1009" t="str">
        <f>IF('2D'!K16="","##BLANK",'2D'!K16)</f>
        <v>##BLANK</v>
      </c>
    </row>
    <row r="1010" spans="2:7">
      <c r="B1010" s="893" t="str">
        <f>+'2D'!BJ17</f>
        <v>BM4053STTT</v>
      </c>
      <c r="E1010" s="1753" t="s">
        <v>11007</v>
      </c>
      <c r="G1010" t="str">
        <f>IF('2D'!K17="","##BLANK",'2D'!K17)</f>
        <v>##BLANK</v>
      </c>
    </row>
    <row r="1011" spans="2:7">
      <c r="B1011" s="893" t="str">
        <f>+'2D'!BJ18</f>
        <v>BM4046STTT</v>
      </c>
      <c r="E1011" s="1753" t="s">
        <v>11007</v>
      </c>
      <c r="G1011" t="str">
        <f>IF('2D'!K18="","##BLANK",'2D'!K18)</f>
        <v>##BLANK</v>
      </c>
    </row>
    <row r="1012" spans="2:7">
      <c r="B1012" s="893" t="str">
        <f>+'2D'!BJ19</f>
        <v>BM4047STTT</v>
      </c>
      <c r="E1012" s="1753" t="s">
        <v>11007</v>
      </c>
      <c r="G1012">
        <f>IF('2D'!K19="","##BLANK",'2D'!K19)</f>
        <v>0</v>
      </c>
    </row>
    <row r="1013" spans="2:7">
      <c r="B1013" s="893" t="str">
        <f>+'2D'!BJ21</f>
        <v>BM4048STTT</v>
      </c>
      <c r="E1013" s="1753" t="s">
        <v>11007</v>
      </c>
      <c r="G1013">
        <f>IF('2D'!K21="","##BLANK",'2D'!K21)</f>
        <v>0</v>
      </c>
    </row>
    <row r="1014" spans="2:7">
      <c r="B1014" s="893" t="str">
        <f>+'2D'!BJ22</f>
        <v>BM4049STTT</v>
      </c>
      <c r="E1014" s="1753" t="s">
        <v>11007</v>
      </c>
      <c r="G1014">
        <f>IF('2D'!K22="","##BLANK",'2D'!K22)</f>
        <v>0</v>
      </c>
    </row>
    <row r="1015" spans="2:7">
      <c r="B1015" s="893" t="str">
        <f>+'2D'!BJ25</f>
        <v>BM4051STTT</v>
      </c>
      <c r="E1015" s="1753" t="s">
        <v>11007</v>
      </c>
      <c r="G1015" t="str">
        <f>IF('2D'!K25="","##BLANK",'2D'!K25)</f>
        <v>##BLANK</v>
      </c>
    </row>
    <row r="1016" spans="2:7">
      <c r="B1016" s="893" t="str">
        <f>+'2D'!BJ26</f>
        <v>BM334STTT</v>
      </c>
      <c r="E1016" s="1753" t="s">
        <v>11007</v>
      </c>
      <c r="G1016" t="str">
        <f>IF('2D'!K26="","##BLANK",'2D'!K26)</f>
        <v>##BLANK</v>
      </c>
    </row>
    <row r="1017" spans="2:7">
      <c r="B1017" s="893" t="str">
        <f>+'2D'!BJ27</f>
        <v>BM4052STTT</v>
      </c>
      <c r="E1017" s="1753" t="s">
        <v>11007</v>
      </c>
      <c r="G1017">
        <f>IF('2D'!K27="","##BLANK",'2D'!K27)</f>
        <v>0</v>
      </c>
    </row>
    <row r="1018" spans="2:7">
      <c r="B1018" s="893" t="str">
        <f>+'2D'!BK7</f>
        <v>BM4012H</v>
      </c>
      <c r="E1018" s="1753" t="s">
        <v>11007</v>
      </c>
      <c r="G1018" t="str">
        <f>IF('2D'!L7="","##BLANK",'2D'!L7)</f>
        <v>##BLANK</v>
      </c>
    </row>
    <row r="1019" spans="2:7">
      <c r="B1019" s="893" t="str">
        <f>+'2D'!BK8</f>
        <v>BM4016H</v>
      </c>
      <c r="E1019" s="1753" t="s">
        <v>11007</v>
      </c>
      <c r="G1019" t="str">
        <f>IF('2D'!L8="","##BLANK",'2D'!L8)</f>
        <v>##BLANK</v>
      </c>
    </row>
    <row r="1020" spans="2:7">
      <c r="B1020" s="893" t="str">
        <f>+'2D'!BK9</f>
        <v>BM4017H</v>
      </c>
      <c r="E1020" s="1753" t="s">
        <v>11007</v>
      </c>
      <c r="G1020" t="str">
        <f>IF('2D'!L9="","##BLANK",'2D'!L9)</f>
        <v>##BLANK</v>
      </c>
    </row>
    <row r="1021" spans="2:7">
      <c r="B1021" s="893" t="str">
        <f>+'2D'!BK10</f>
        <v>BM4021H</v>
      </c>
      <c r="E1021" s="1753" t="s">
        <v>11007</v>
      </c>
      <c r="G1021" t="str">
        <f>IF('2D'!L10="","##BLANK",'2D'!L10)</f>
        <v>##BLANK</v>
      </c>
    </row>
    <row r="1022" spans="2:7">
      <c r="B1022" s="893" t="str">
        <f>+'2D'!BK11</f>
        <v>BM4019H</v>
      </c>
      <c r="E1022" s="1753" t="s">
        <v>11007</v>
      </c>
      <c r="G1022" t="str">
        <f>IF('2D'!L11="","##BLANK",'2D'!L11)</f>
        <v>##BLANK</v>
      </c>
    </row>
    <row r="1023" spans="2:7">
      <c r="B1023" s="893" t="str">
        <f>+'2D'!BK12</f>
        <v>BM4018H</v>
      </c>
      <c r="E1023" s="1753" t="s">
        <v>11007</v>
      </c>
      <c r="G1023">
        <f>IF('2D'!L12="","##BLANK",'2D'!L12)</f>
        <v>0</v>
      </c>
    </row>
    <row r="1024" spans="2:7">
      <c r="B1024" s="893" t="str">
        <f>+'2D'!BK15</f>
        <v>BM4041H</v>
      </c>
      <c r="E1024" s="1753" t="s">
        <v>11007</v>
      </c>
      <c r="G1024" t="str">
        <f>IF('2D'!L15="","##BLANK",'2D'!L15)</f>
        <v>##BLANK</v>
      </c>
    </row>
    <row r="1025" spans="2:7">
      <c r="B1025" s="893" t="str">
        <f>+'2D'!BK16</f>
        <v>BM4045H</v>
      </c>
      <c r="E1025" s="1753" t="s">
        <v>11007</v>
      </c>
      <c r="G1025" t="str">
        <f>IF('2D'!L16="","##BLANK",'2D'!L16)</f>
        <v>##BLANK</v>
      </c>
    </row>
    <row r="1026" spans="2:7">
      <c r="B1026" s="893" t="str">
        <f>+'2D'!BK17</f>
        <v>BM4053H</v>
      </c>
      <c r="E1026" s="1753" t="s">
        <v>11007</v>
      </c>
      <c r="G1026" t="str">
        <f>IF('2D'!L17="","##BLANK",'2D'!L17)</f>
        <v>##BLANK</v>
      </c>
    </row>
    <row r="1027" spans="2:7">
      <c r="B1027" s="893" t="str">
        <f>+'2D'!BK18</f>
        <v>BM4046H</v>
      </c>
      <c r="E1027" s="1753" t="s">
        <v>11007</v>
      </c>
      <c r="G1027" t="str">
        <f>IF('2D'!L18="","##BLANK",'2D'!L18)</f>
        <v>##BLANK</v>
      </c>
    </row>
    <row r="1028" spans="2:7">
      <c r="B1028" s="893" t="str">
        <f>+'2D'!BK19</f>
        <v>BM4047H</v>
      </c>
      <c r="E1028" s="1753" t="s">
        <v>11007</v>
      </c>
      <c r="G1028">
        <f>IF('2D'!L19="","##BLANK",'2D'!L19)</f>
        <v>0</v>
      </c>
    </row>
    <row r="1029" spans="2:7">
      <c r="B1029" s="893" t="str">
        <f>+'2D'!BK21</f>
        <v>BM4048H</v>
      </c>
      <c r="E1029" s="1753" t="s">
        <v>11007</v>
      </c>
      <c r="G1029">
        <f>IF('2D'!L21="","##BLANK",'2D'!L21)</f>
        <v>0</v>
      </c>
    </row>
    <row r="1030" spans="2:7">
      <c r="B1030" s="893" t="str">
        <f>+'2D'!BK22</f>
        <v>BM4049H</v>
      </c>
      <c r="E1030" s="1753" t="s">
        <v>11007</v>
      </c>
      <c r="G1030">
        <f>IF('2D'!L22="","##BLANK",'2D'!L22)</f>
        <v>0</v>
      </c>
    </row>
    <row r="1031" spans="2:7">
      <c r="B1031" s="893" t="str">
        <f>+'2D'!BK25</f>
        <v>BM4051H</v>
      </c>
      <c r="E1031" s="1753" t="s">
        <v>11007</v>
      </c>
      <c r="G1031" t="str">
        <f>IF('2D'!L25="","##BLANK",'2D'!L25)</f>
        <v>##BLANK</v>
      </c>
    </row>
    <row r="1032" spans="2:7">
      <c r="B1032" s="893" t="str">
        <f>+'2D'!BK26</f>
        <v>BM334H</v>
      </c>
      <c r="E1032" s="1753" t="s">
        <v>11007</v>
      </c>
      <c r="G1032" t="str">
        <f>IF('2D'!L26="","##BLANK",'2D'!L26)</f>
        <v>##BLANK</v>
      </c>
    </row>
    <row r="1033" spans="2:7">
      <c r="B1033" s="893" t="str">
        <f>+'2D'!BK27</f>
        <v>BM4052H</v>
      </c>
      <c r="E1033" s="1753" t="s">
        <v>11007</v>
      </c>
      <c r="G1033">
        <f>IF('2D'!L27="","##BLANK",'2D'!L27)</f>
        <v>0</v>
      </c>
    </row>
    <row r="1034" spans="2:7">
      <c r="B1034" s="893" t="str">
        <f>+'2D'!BL7</f>
        <v>BM4012NH</v>
      </c>
      <c r="E1034" s="1753" t="s">
        <v>11007</v>
      </c>
      <c r="G1034" t="str">
        <f>IF('2D'!M7="","##BLANK",'2D'!M7)</f>
        <v>##BLANK</v>
      </c>
    </row>
    <row r="1035" spans="2:7">
      <c r="B1035" s="893" t="str">
        <f>+'2D'!BL8</f>
        <v>BM4016NH</v>
      </c>
      <c r="E1035" s="1753" t="s">
        <v>11007</v>
      </c>
      <c r="G1035" t="str">
        <f>IF('2D'!M8="","##BLANK",'2D'!M8)</f>
        <v>##BLANK</v>
      </c>
    </row>
    <row r="1036" spans="2:7">
      <c r="B1036" s="893" t="str">
        <f>+'2D'!BL9</f>
        <v>BM4017NH</v>
      </c>
      <c r="E1036" s="1753" t="s">
        <v>11007</v>
      </c>
      <c r="G1036" t="str">
        <f>IF('2D'!M9="","##BLANK",'2D'!M9)</f>
        <v>##BLANK</v>
      </c>
    </row>
    <row r="1037" spans="2:7">
      <c r="B1037" s="893" t="str">
        <f>+'2D'!BL10</f>
        <v>BM4021NH</v>
      </c>
      <c r="E1037" s="1753" t="s">
        <v>11007</v>
      </c>
      <c r="G1037" t="str">
        <f>IF('2D'!M10="","##BLANK",'2D'!M10)</f>
        <v>##BLANK</v>
      </c>
    </row>
    <row r="1038" spans="2:7">
      <c r="B1038" s="893" t="str">
        <f>+'2D'!BL11</f>
        <v>BM4019NH</v>
      </c>
      <c r="E1038" s="1753" t="s">
        <v>11007</v>
      </c>
      <c r="G1038" t="str">
        <f>IF('2D'!M11="","##BLANK",'2D'!M11)</f>
        <v>##BLANK</v>
      </c>
    </row>
    <row r="1039" spans="2:7">
      <c r="B1039" s="893" t="str">
        <f>+'2D'!BL12</f>
        <v>BM4018NH</v>
      </c>
      <c r="E1039" s="1753" t="s">
        <v>11007</v>
      </c>
      <c r="G1039">
        <f>IF('2D'!M12="","##BLANK",'2D'!M12)</f>
        <v>0</v>
      </c>
    </row>
    <row r="1040" spans="2:7">
      <c r="B1040" s="893" t="str">
        <f>+'2D'!BL15</f>
        <v>BM4041NH</v>
      </c>
      <c r="E1040" s="1753" t="s">
        <v>11007</v>
      </c>
      <c r="G1040" t="str">
        <f>IF('2D'!M15="","##BLANK",'2D'!M15)</f>
        <v>##BLANK</v>
      </c>
    </row>
    <row r="1041" spans="2:7">
      <c r="B1041" s="893" t="str">
        <f>+'2D'!BL16</f>
        <v>BM4045NH</v>
      </c>
      <c r="E1041" s="1753" t="s">
        <v>11007</v>
      </c>
      <c r="G1041" t="str">
        <f>IF('2D'!M16="","##BLANK",'2D'!M16)</f>
        <v>##BLANK</v>
      </c>
    </row>
    <row r="1042" spans="2:7">
      <c r="B1042" s="893" t="str">
        <f>+'2D'!BL17</f>
        <v>BM4053NH</v>
      </c>
      <c r="E1042" s="1753" t="s">
        <v>11007</v>
      </c>
      <c r="G1042" t="str">
        <f>IF('2D'!M17="","##BLANK",'2D'!M17)</f>
        <v>##BLANK</v>
      </c>
    </row>
    <row r="1043" spans="2:7">
      <c r="B1043" s="893" t="str">
        <f>+'2D'!BL18</f>
        <v>BM4046NH</v>
      </c>
      <c r="E1043" s="1753" t="s">
        <v>11007</v>
      </c>
      <c r="G1043" t="str">
        <f>IF('2D'!M18="","##BLANK",'2D'!M18)</f>
        <v>##BLANK</v>
      </c>
    </row>
    <row r="1044" spans="2:7">
      <c r="B1044" s="893" t="str">
        <f>+'2D'!BL19</f>
        <v>BM4047NH</v>
      </c>
      <c r="E1044" s="1753" t="s">
        <v>11007</v>
      </c>
      <c r="G1044">
        <f>IF('2D'!M19="","##BLANK",'2D'!M19)</f>
        <v>0</v>
      </c>
    </row>
    <row r="1045" spans="2:7">
      <c r="B1045" s="893" t="str">
        <f>+'2D'!BL21</f>
        <v>BM4048NH</v>
      </c>
      <c r="E1045" s="1753" t="s">
        <v>11007</v>
      </c>
      <c r="G1045">
        <f>IF('2D'!M21="","##BLANK",'2D'!M21)</f>
        <v>0</v>
      </c>
    </row>
    <row r="1046" spans="2:7">
      <c r="B1046" s="893" t="str">
        <f>+'2D'!BL22</f>
        <v>BM4049NH</v>
      </c>
      <c r="E1046" s="1753" t="s">
        <v>11007</v>
      </c>
      <c r="G1046">
        <f>IF('2D'!M22="","##BLANK",'2D'!M22)</f>
        <v>0</v>
      </c>
    </row>
    <row r="1047" spans="2:7">
      <c r="B1047" s="893" t="str">
        <f>+'2D'!BL25</f>
        <v>BM4051NH</v>
      </c>
      <c r="E1047" s="1753" t="s">
        <v>11007</v>
      </c>
      <c r="G1047" t="str">
        <f>IF('2D'!M25="","##BLANK",'2D'!M25)</f>
        <v>##BLANK</v>
      </c>
    </row>
    <row r="1048" spans="2:7">
      <c r="B1048" s="893" t="str">
        <f>+'2D'!BL26</f>
        <v>BM334NH</v>
      </c>
      <c r="E1048" s="1753" t="s">
        <v>11007</v>
      </c>
      <c r="G1048" t="str">
        <f>IF('2D'!M26="","##BLANK",'2D'!M26)</f>
        <v>##BLANK</v>
      </c>
    </row>
    <row r="1049" spans="2:7">
      <c r="B1049" s="893" t="str">
        <f>+'2D'!BL27</f>
        <v>BM4052NH</v>
      </c>
      <c r="E1049" s="1753" t="s">
        <v>11007</v>
      </c>
      <c r="G1049">
        <f>IF('2D'!M27="","##BLANK",'2D'!M27)</f>
        <v>0</v>
      </c>
    </row>
    <row r="1050" spans="2:7">
      <c r="B1050" s="893" t="str">
        <f>+'2D'!BM7</f>
        <v>BM4012CTOT</v>
      </c>
      <c r="E1050" s="1753" t="s">
        <v>11007</v>
      </c>
      <c r="G1050">
        <f>IF('2D'!N7="","##BLANK",'2D'!N7)</f>
        <v>0</v>
      </c>
    </row>
    <row r="1051" spans="2:7">
      <c r="B1051" s="893" t="str">
        <f>+'2D'!BM8</f>
        <v>BM4016CTOT</v>
      </c>
      <c r="E1051" s="1753" t="s">
        <v>11007</v>
      </c>
      <c r="G1051">
        <f>IF('2D'!N8="","##BLANK",'2D'!N8)</f>
        <v>0</v>
      </c>
    </row>
    <row r="1052" spans="2:7">
      <c r="B1052" s="893" t="str">
        <f>+'2D'!BM9</f>
        <v>BM4017CTOT</v>
      </c>
      <c r="E1052" s="1753" t="s">
        <v>11007</v>
      </c>
      <c r="G1052">
        <f>IF('2D'!N9="","##BLANK",'2D'!N9)</f>
        <v>0</v>
      </c>
    </row>
    <row r="1053" spans="2:7">
      <c r="B1053" s="893" t="str">
        <f>+'2D'!BM10</f>
        <v>BM4021CTOT</v>
      </c>
      <c r="E1053" s="1753" t="s">
        <v>11007</v>
      </c>
      <c r="G1053">
        <f>IF('2D'!N10="","##BLANK",'2D'!N10)</f>
        <v>0</v>
      </c>
    </row>
    <row r="1054" spans="2:7">
      <c r="B1054" s="893" t="str">
        <f>+'2D'!BM11</f>
        <v>BM4019CTOT</v>
      </c>
      <c r="E1054" s="1753" t="s">
        <v>11007</v>
      </c>
      <c r="G1054">
        <f>IF('2D'!N11="","##BLANK",'2D'!N11)</f>
        <v>0</v>
      </c>
    </row>
    <row r="1055" spans="2:7">
      <c r="B1055" s="893" t="str">
        <f>+'2D'!BM12</f>
        <v>BM4018CTOT</v>
      </c>
      <c r="E1055" s="1753" t="s">
        <v>11007</v>
      </c>
      <c r="G1055">
        <f>IF('2D'!N12="","##BLANK",'2D'!N12)</f>
        <v>0</v>
      </c>
    </row>
    <row r="1056" spans="2:7">
      <c r="B1056" s="893" t="str">
        <f>+'2D'!BM15</f>
        <v>BM041CTOT</v>
      </c>
      <c r="E1056" s="1753" t="s">
        <v>11007</v>
      </c>
      <c r="G1056">
        <f>IF('2D'!N15="","##BLANK",'2D'!N15)</f>
        <v>0</v>
      </c>
    </row>
    <row r="1057" spans="2:7">
      <c r="B1057" s="893" t="str">
        <f>+'2D'!BM16</f>
        <v>BM4045CTOT</v>
      </c>
      <c r="E1057" s="1753" t="s">
        <v>11007</v>
      </c>
      <c r="G1057">
        <f>IF('2D'!N16="","##BLANK",'2D'!N16)</f>
        <v>0</v>
      </c>
    </row>
    <row r="1058" spans="2:7">
      <c r="B1058" s="893" t="str">
        <f>+'2D'!BM17</f>
        <v>BM4053TOT</v>
      </c>
      <c r="E1058" s="1753" t="s">
        <v>11007</v>
      </c>
      <c r="G1058">
        <f>IF('2D'!N17="","##BLANK",'2D'!N17)</f>
        <v>0</v>
      </c>
    </row>
    <row r="1059" spans="2:7">
      <c r="B1059" s="893" t="str">
        <f>+'2D'!BM18</f>
        <v>BM4046CTOT</v>
      </c>
      <c r="E1059" s="1753" t="s">
        <v>11007</v>
      </c>
      <c r="G1059">
        <f>IF('2D'!N18="","##BLANK",'2D'!N18)</f>
        <v>0</v>
      </c>
    </row>
    <row r="1060" spans="2:7">
      <c r="B1060" s="893" t="str">
        <f>+'2D'!BM19</f>
        <v>BM4047CTOT</v>
      </c>
      <c r="E1060" s="1753" t="s">
        <v>11007</v>
      </c>
      <c r="G1060">
        <f>IF('2D'!N19="","##BLANK",'2D'!N19)</f>
        <v>0</v>
      </c>
    </row>
    <row r="1061" spans="2:7">
      <c r="B1061" s="893" t="str">
        <f>+'2D'!BM21</f>
        <v>BM4048CTOT</v>
      </c>
      <c r="E1061" s="1753" t="s">
        <v>11007</v>
      </c>
      <c r="G1061">
        <f>IF('2D'!N21="","##BLANK",'2D'!N21)</f>
        <v>0</v>
      </c>
    </row>
    <row r="1062" spans="2:7">
      <c r="B1062" s="893" t="str">
        <f>+'2D'!BM22</f>
        <v>BM4049CTOT</v>
      </c>
      <c r="E1062" s="1753" t="s">
        <v>11007</v>
      </c>
      <c r="G1062">
        <f>IF('2D'!N22="","##BLANK",'2D'!N22)</f>
        <v>0</v>
      </c>
    </row>
    <row r="1063" spans="2:7">
      <c r="B1063" s="893" t="str">
        <f>+'2D'!BM25</f>
        <v>BM4051CTOT</v>
      </c>
      <c r="E1063" s="1753" t="s">
        <v>11007</v>
      </c>
      <c r="G1063">
        <f>IF('2D'!N25="","##BLANK",'2D'!N25)</f>
        <v>0</v>
      </c>
    </row>
    <row r="1064" spans="2:7">
      <c r="B1064" s="893" t="str">
        <f>+'2D'!BM26</f>
        <v>BM334CTOT</v>
      </c>
      <c r="E1064" s="1753" t="s">
        <v>11007</v>
      </c>
      <c r="G1064">
        <f>IF('2D'!N26="","##BLANK",'2D'!N26)</f>
        <v>0</v>
      </c>
    </row>
    <row r="1065" spans="2:7">
      <c r="B1065" s="893" t="str">
        <f>+'2D'!BM27</f>
        <v>BM4052CTOT</v>
      </c>
      <c r="E1065" s="1753" t="s">
        <v>11007</v>
      </c>
      <c r="G1065">
        <f>IF('2D'!N27="","##BLANK",'2D'!N27)</f>
        <v>0</v>
      </c>
    </row>
    <row r="1066" spans="2:7">
      <c r="B1066" s="893" t="str">
        <f>+'2E'!AF7</f>
        <v>BC11271REV</v>
      </c>
      <c r="E1066" s="1753" t="s">
        <v>11007</v>
      </c>
      <c r="G1066" t="str">
        <f>IF('2E'!G7="","##BLANK",'2E'!G7)</f>
        <v>##BLANK</v>
      </c>
    </row>
    <row r="1067" spans="2:7">
      <c r="B1067" s="893" t="str">
        <f>+'2E'!AF8</f>
        <v>BC11270REV</v>
      </c>
      <c r="E1067" s="1753" t="s">
        <v>11007</v>
      </c>
      <c r="G1067" t="str">
        <f>IF('2E'!G8="","##BLANK",'2E'!G8)</f>
        <v>##BLANK</v>
      </c>
    </row>
    <row r="1068" spans="2:7">
      <c r="B1068" s="893" t="str">
        <f>+'2E'!AF9</f>
        <v>BC11272REV</v>
      </c>
      <c r="E1068" s="1753" t="s">
        <v>11007</v>
      </c>
      <c r="G1068" t="str">
        <f>IF('2E'!G9="","##BLANK",'2E'!G9)</f>
        <v>##BLANK</v>
      </c>
    </row>
    <row r="1069" spans="2:7">
      <c r="B1069" s="893" t="str">
        <f>+'2E'!AF10</f>
        <v>BA1085REVPC</v>
      </c>
      <c r="E1069" s="1753" t="s">
        <v>11007</v>
      </c>
      <c r="G1069" t="str">
        <f>IF('2E'!G10="","##BLANK",'2E'!G10)</f>
        <v>##BLANK</v>
      </c>
    </row>
    <row r="1070" spans="2:7">
      <c r="B1070" s="893" t="str">
        <f>+'2E'!AF11</f>
        <v>BC11273REV</v>
      </c>
      <c r="E1070" s="1753" t="s">
        <v>11007</v>
      </c>
      <c r="G1070" t="str">
        <f>IF('2E'!G11="","##BLANK",'2E'!G11)</f>
        <v>##BLANK</v>
      </c>
    </row>
    <row r="1071" spans="2:7">
      <c r="B1071" s="893" t="str">
        <f>+'2E'!AF12</f>
        <v>BA1085REVNPC</v>
      </c>
      <c r="E1071" s="1753" t="s">
        <v>11007</v>
      </c>
      <c r="G1071" t="str">
        <f>IF('2E'!G12="","##BLANK",'2E'!G12)</f>
        <v>##BLANK</v>
      </c>
    </row>
    <row r="1072" spans="2:7">
      <c r="B1072" s="893" t="str">
        <f>+'2E'!AF13</f>
        <v>BA1090REV</v>
      </c>
      <c r="E1072" s="1753" t="s">
        <v>11007</v>
      </c>
      <c r="G1072">
        <f>IF('2E'!G13="","##BLANK",'2E'!G13)</f>
        <v>0</v>
      </c>
    </row>
    <row r="1073" spans="2:7" s="2146" customFormat="1">
      <c r="B1073" s="1865" t="str">
        <f>+'2E'!AF15</f>
        <v>BC30460WREV</v>
      </c>
      <c r="C1073" s="1382"/>
      <c r="E1073" s="1753" t="s">
        <v>11007</v>
      </c>
      <c r="G1073" s="2146" t="str">
        <f>IF('2E'!G15="","##BLANK",'2E'!G15)</f>
        <v>##BLANK</v>
      </c>
    </row>
    <row r="1074" spans="2:7">
      <c r="B1074" s="893" t="str">
        <f>+'2E'!AF19</f>
        <v>BC11370REV</v>
      </c>
      <c r="E1074" s="1753" t="s">
        <v>11007</v>
      </c>
      <c r="G1074" t="str">
        <f>IF('2E'!G19="","##BLANK",'2E'!G19)</f>
        <v>##BLANK</v>
      </c>
    </row>
    <row r="1075" spans="2:7">
      <c r="B1075" s="893" t="str">
        <f>+'2E'!AF20</f>
        <v>BC11372REV</v>
      </c>
      <c r="E1075" s="1753" t="s">
        <v>11007</v>
      </c>
      <c r="G1075" t="str">
        <f>IF('2E'!G20="","##BLANK",'2E'!G20)</f>
        <v>##BLANK</v>
      </c>
    </row>
    <row r="1076" spans="2:7">
      <c r="B1076" s="893" t="str">
        <f>+'2E'!AF21</f>
        <v>BA2085REVPC</v>
      </c>
      <c r="E1076" s="1753" t="s">
        <v>11007</v>
      </c>
      <c r="G1076" t="str">
        <f>IF('2E'!G21="","##BLANK",'2E'!G21)</f>
        <v>##BLANK</v>
      </c>
    </row>
    <row r="1077" spans="2:7">
      <c r="B1077" s="893" t="str">
        <f>+'2E'!AF22</f>
        <v>BC11373REV</v>
      </c>
      <c r="E1077" s="1753" t="s">
        <v>11007</v>
      </c>
      <c r="G1077" t="str">
        <f>IF('2E'!G22="","##BLANK",'2E'!G22)</f>
        <v>##BLANK</v>
      </c>
    </row>
    <row r="1078" spans="2:7">
      <c r="B1078" s="893" t="str">
        <f>+'2E'!AF23</f>
        <v>BA2085REVNPC</v>
      </c>
      <c r="E1078" s="1753" t="s">
        <v>11007</v>
      </c>
      <c r="G1078" t="str">
        <f>IF('2E'!G23="","##BLANK",'2E'!G23)</f>
        <v>##BLANK</v>
      </c>
    </row>
    <row r="1079" spans="2:7" s="2146" customFormat="1">
      <c r="B1079" s="893" t="str">
        <f>+'2E'!AF24</f>
        <v>BA2090REV</v>
      </c>
      <c r="C1079" s="1382"/>
      <c r="E1079" s="1753" t="s">
        <v>11007</v>
      </c>
      <c r="G1079" s="2146">
        <f>IF('2E'!G24="","##BLANK",'2E'!G24)</f>
        <v>0</v>
      </c>
    </row>
    <row r="1080" spans="2:7" s="2146" customFormat="1">
      <c r="B1080" s="893" t="str">
        <f>+'2E'!AF26</f>
        <v>BC30460WWREV</v>
      </c>
      <c r="C1080" s="1382"/>
      <c r="E1080" s="1753" t="s">
        <v>11007</v>
      </c>
      <c r="G1080" s="2146" t="str">
        <f>IF('2E'!G26="","##BLANK",'2E'!G26)</f>
        <v>##BLANK</v>
      </c>
    </row>
    <row r="1081" spans="2:7">
      <c r="B1081" s="893" t="str">
        <f>+'2E'!AF30</f>
        <v>BC11370TTTREV</v>
      </c>
      <c r="E1081" s="1753" t="s">
        <v>11007</v>
      </c>
      <c r="G1081" t="str">
        <f>IF('2E'!G30="","##BLANK",'2E'!G30)</f>
        <v>##BLANK</v>
      </c>
    </row>
    <row r="1082" spans="2:7">
      <c r="B1082" s="893" t="str">
        <f>+'2E'!AF31</f>
        <v>BC11372TTTREV</v>
      </c>
      <c r="E1082" s="1753" t="s">
        <v>11007</v>
      </c>
      <c r="G1082" t="str">
        <f>IF('2E'!G31="","##BLANK",'2E'!G31)</f>
        <v>##BLANK</v>
      </c>
    </row>
    <row r="1083" spans="2:7">
      <c r="B1083" s="893" t="str">
        <f>+'2E'!AF32</f>
        <v>BA2085TTTREVPC</v>
      </c>
      <c r="E1083" s="1753" t="s">
        <v>11007</v>
      </c>
      <c r="G1083" t="str">
        <f>IF('2E'!G32="","##BLANK",'2E'!G32)</f>
        <v>##BLANK</v>
      </c>
    </row>
    <row r="1084" spans="2:7">
      <c r="B1084" s="893" t="str">
        <f>+'2E'!AF33</f>
        <v>BC11373TTTREV</v>
      </c>
      <c r="E1084" s="1753" t="s">
        <v>11007</v>
      </c>
      <c r="G1084" t="str">
        <f>IF('2E'!G33="","##BLANK",'2E'!G33)</f>
        <v>##BLANK</v>
      </c>
    </row>
    <row r="1085" spans="2:7">
      <c r="B1085" s="893" t="str">
        <f>+'2E'!AF34</f>
        <v>BA2085TTTREVNPC</v>
      </c>
      <c r="E1085" s="1753" t="s">
        <v>11007</v>
      </c>
      <c r="G1085" t="str">
        <f>IF('2E'!G34="","##BLANK",'2E'!G34)</f>
        <v>##BLANK</v>
      </c>
    </row>
    <row r="1086" spans="2:7">
      <c r="B1086" s="893" t="str">
        <f>+'2E'!AF35</f>
        <v>BA2090TTTREV</v>
      </c>
      <c r="E1086" s="1753" t="s">
        <v>11007</v>
      </c>
      <c r="G1086">
        <f>IF('2E'!G35="","##BLANK",'2E'!G35)</f>
        <v>0</v>
      </c>
    </row>
    <row r="1087" spans="2:7" s="2146" customFormat="1">
      <c r="B1087" s="893" t="str">
        <f>+'2E'!AF37</f>
        <v>BC30460TTTREV</v>
      </c>
      <c r="C1087" s="1382"/>
      <c r="E1087" s="1753" t="s">
        <v>11007</v>
      </c>
      <c r="G1087" s="2146" t="str">
        <f>IF('2E'!G37="","##BLANK",'2E'!G37)</f>
        <v>##BLANK</v>
      </c>
    </row>
    <row r="1088" spans="2:7">
      <c r="B1088" s="893" t="str">
        <f>+'2E'!AF43</f>
        <v>BA1090BFWD</v>
      </c>
      <c r="E1088" s="1753" t="s">
        <v>11007</v>
      </c>
      <c r="G1088" t="str">
        <f>IF('2E'!G43="","##BLANK",'2E'!G43)</f>
        <v>##BLANK</v>
      </c>
    </row>
    <row r="1089" spans="2:7">
      <c r="B1089" s="893" t="str">
        <f>+'2E'!AF45</f>
        <v>BA1090AMORT</v>
      </c>
      <c r="E1089" s="1753" t="s">
        <v>11007</v>
      </c>
      <c r="G1089" t="str">
        <f>IF('2E'!G45="","##BLANK",'2E'!G45)</f>
        <v>##BLANK</v>
      </c>
    </row>
    <row r="1090" spans="2:7">
      <c r="B1090" s="893" t="str">
        <f>+'2E'!AF46</f>
        <v>BA1091CFWD</v>
      </c>
      <c r="E1090" s="1753" t="s">
        <v>11007</v>
      </c>
      <c r="G1090">
        <f>IF('2E'!G46="","##BLANK",'2E'!G46)</f>
        <v>0</v>
      </c>
    </row>
    <row r="1091" spans="2:7">
      <c r="B1091" s="893" t="str">
        <f>+'2E'!AF49</f>
        <v>BT39301PW</v>
      </c>
      <c r="E1091" s="1753" t="s">
        <v>11007</v>
      </c>
      <c r="G1091" t="str">
        <f>IF('2E'!G49="","##BLANK",'2E'!G49)</f>
        <v>##BLANK</v>
      </c>
    </row>
    <row r="1092" spans="2:7">
      <c r="B1092" s="893" t="str">
        <f>+'2E'!AG7</f>
        <v>BC11271CAP</v>
      </c>
      <c r="E1092" s="1753" t="s">
        <v>11007</v>
      </c>
      <c r="G1092" t="str">
        <f>IF('2E'!H7="","##BLANK",'2E'!H7)</f>
        <v>##BLANK</v>
      </c>
    </row>
    <row r="1093" spans="2:7">
      <c r="B1093" s="893" t="str">
        <f>+'2E'!AG8</f>
        <v>BC11270CAP</v>
      </c>
      <c r="E1093" s="1753" t="s">
        <v>11007</v>
      </c>
      <c r="G1093" t="str">
        <f>IF('2E'!H8="","##BLANK",'2E'!H8)</f>
        <v>##BLANK</v>
      </c>
    </row>
    <row r="1094" spans="2:7">
      <c r="B1094" s="893" t="str">
        <f>+'2E'!AG9</f>
        <v>BC11272CAP</v>
      </c>
      <c r="E1094" s="1753" t="s">
        <v>11007</v>
      </c>
      <c r="G1094" t="str">
        <f>IF('2E'!H9="","##BLANK",'2E'!H9)</f>
        <v>##BLANK</v>
      </c>
    </row>
    <row r="1095" spans="2:7">
      <c r="B1095" s="893" t="str">
        <f>+'2E'!AG10</f>
        <v>BA1086CAPPC</v>
      </c>
      <c r="E1095" s="1753" t="s">
        <v>11007</v>
      </c>
      <c r="G1095" t="str">
        <f>IF('2E'!H10="","##BLANK",'2E'!H10)</f>
        <v>##BLANK</v>
      </c>
    </row>
    <row r="1096" spans="2:7">
      <c r="B1096" s="893" t="str">
        <f>+'2E'!AG11</f>
        <v>BC11273CAP</v>
      </c>
      <c r="E1096" s="1753" t="s">
        <v>11007</v>
      </c>
      <c r="G1096" t="str">
        <f>IF('2E'!H11="","##BLANK",'2E'!H11)</f>
        <v>##BLANK</v>
      </c>
    </row>
    <row r="1097" spans="2:7">
      <c r="B1097" s="893" t="str">
        <f>+'2E'!AG12</f>
        <v>BA1086CAPNPC</v>
      </c>
      <c r="E1097" s="1753" t="s">
        <v>11007</v>
      </c>
      <c r="G1097" t="str">
        <f>IF('2E'!H12="","##BLANK",'2E'!H12)</f>
        <v>##BLANK</v>
      </c>
    </row>
    <row r="1098" spans="2:7">
      <c r="B1098" s="893" t="str">
        <f>+'2E'!AG13</f>
        <v>BA1091CAP</v>
      </c>
      <c r="E1098" s="1753" t="s">
        <v>11007</v>
      </c>
      <c r="G1098">
        <f>IF('2E'!H13="","##BLANK",'2E'!H13)</f>
        <v>0</v>
      </c>
    </row>
    <row r="1099" spans="2:7">
      <c r="B1099" s="893" t="str">
        <f>+'2E'!AG15</f>
        <v>BC30460WCAP</v>
      </c>
      <c r="E1099" s="1753" t="s">
        <v>11007</v>
      </c>
      <c r="G1099" t="str">
        <f>IF('2E'!H15="","##BLANK",'2E'!H15)</f>
        <v>##BLANK</v>
      </c>
    </row>
    <row r="1100" spans="2:7">
      <c r="B1100" s="893" t="str">
        <f>+'2E'!AG19</f>
        <v>BC11370CAP</v>
      </c>
      <c r="E1100" s="1753" t="s">
        <v>11007</v>
      </c>
      <c r="G1100" t="str">
        <f>IF('2E'!H19="","##BLANK",'2E'!H19)</f>
        <v>##BLANK</v>
      </c>
    </row>
    <row r="1101" spans="2:7">
      <c r="B1101" s="893" t="str">
        <f>+'2E'!AG20</f>
        <v>BC11372CAP</v>
      </c>
      <c r="E1101" s="1753" t="s">
        <v>11007</v>
      </c>
      <c r="G1101" t="str">
        <f>IF('2E'!H20="","##BLANK",'2E'!H20)</f>
        <v>##BLANK</v>
      </c>
    </row>
    <row r="1102" spans="2:7">
      <c r="B1102" s="893" t="str">
        <f>+'2E'!AG21</f>
        <v>BA2086CAPPC</v>
      </c>
      <c r="E1102" s="1753" t="s">
        <v>11007</v>
      </c>
      <c r="G1102" t="str">
        <f>IF('2E'!H21="","##BLANK",'2E'!H21)</f>
        <v>##BLANK</v>
      </c>
    </row>
    <row r="1103" spans="2:7">
      <c r="B1103" s="893" t="str">
        <f>+'2E'!AG22</f>
        <v>BC11373CAP</v>
      </c>
      <c r="E1103" s="1753" t="s">
        <v>11007</v>
      </c>
      <c r="G1103" t="str">
        <f>IF('2E'!H22="","##BLANK",'2E'!H22)</f>
        <v>##BLANK</v>
      </c>
    </row>
    <row r="1104" spans="2:7">
      <c r="B1104" s="893" t="str">
        <f>+'2E'!AG23</f>
        <v>BA2086CAPNPC</v>
      </c>
      <c r="E1104" s="1753" t="s">
        <v>11007</v>
      </c>
      <c r="G1104" t="str">
        <f>IF('2E'!H23="","##BLANK",'2E'!H23)</f>
        <v>##BLANK</v>
      </c>
    </row>
    <row r="1105" spans="2:7">
      <c r="B1105" s="893" t="str">
        <f>+'2E'!AG24</f>
        <v>BA2091CAP</v>
      </c>
      <c r="E1105" s="1753" t="s">
        <v>11007</v>
      </c>
      <c r="G1105">
        <f>IF('2E'!H24="","##BLANK",'2E'!H24)</f>
        <v>0</v>
      </c>
    </row>
    <row r="1106" spans="2:7">
      <c r="B1106" s="893" t="str">
        <f>+'2E'!AG26</f>
        <v>BC30460WWCAP</v>
      </c>
      <c r="E1106" s="1753" t="s">
        <v>11007</v>
      </c>
      <c r="G1106" t="str">
        <f>IF('2E'!H26="","##BLANK",'2E'!H26)</f>
        <v>##BLANK</v>
      </c>
    </row>
    <row r="1107" spans="2:7">
      <c r="B1107" s="893" t="str">
        <f>+'2E'!AG30</f>
        <v>BC11370TTTCAP</v>
      </c>
      <c r="E1107" s="1753" t="s">
        <v>11007</v>
      </c>
      <c r="G1107" t="str">
        <f>IF('2E'!H30="","##BLANK",'2E'!H30)</f>
        <v>##BLANK</v>
      </c>
    </row>
    <row r="1108" spans="2:7">
      <c r="B1108" s="893" t="str">
        <f>+'2E'!AG31</f>
        <v>BC11372TTTCAP</v>
      </c>
      <c r="E1108" s="1753" t="s">
        <v>11007</v>
      </c>
      <c r="G1108" t="str">
        <f>IF('2E'!H31="","##BLANK",'2E'!H31)</f>
        <v>##BLANK</v>
      </c>
    </row>
    <row r="1109" spans="2:7">
      <c r="B1109" s="893" t="str">
        <f>+'2E'!AG32</f>
        <v>BA2086TTTCAPPC</v>
      </c>
      <c r="E1109" s="1753" t="s">
        <v>11007</v>
      </c>
      <c r="G1109" t="str">
        <f>IF('2E'!H32="","##BLANK",'2E'!H32)</f>
        <v>##BLANK</v>
      </c>
    </row>
    <row r="1110" spans="2:7">
      <c r="B1110" s="893" t="str">
        <f>+'2E'!AG33</f>
        <v>BC11373TTTCAP</v>
      </c>
      <c r="E1110" s="1753" t="s">
        <v>11007</v>
      </c>
      <c r="G1110" t="str">
        <f>IF('2E'!H33="","##BLANK",'2E'!H33)</f>
        <v>##BLANK</v>
      </c>
    </row>
    <row r="1111" spans="2:7">
      <c r="B1111" s="893" t="str">
        <f>+'2E'!AG34</f>
        <v>BA2086TTTCAPNPC</v>
      </c>
      <c r="E1111" s="1753" t="s">
        <v>11007</v>
      </c>
      <c r="G1111" t="str">
        <f>IF('2E'!H34="","##BLANK",'2E'!H34)</f>
        <v>##BLANK</v>
      </c>
    </row>
    <row r="1112" spans="2:7">
      <c r="B1112" s="893" t="str">
        <f>+'2E'!AG35</f>
        <v>BA2091TTTCAP</v>
      </c>
      <c r="E1112" s="1753" t="s">
        <v>11007</v>
      </c>
      <c r="G1112">
        <f>IF('2E'!H35="","##BLANK",'2E'!H35)</f>
        <v>0</v>
      </c>
    </row>
    <row r="1113" spans="2:7">
      <c r="B1113" s="893" t="str">
        <f>+'2E'!AG37</f>
        <v>BC30460TTTCAP</v>
      </c>
      <c r="E1113" s="1753" t="s">
        <v>11007</v>
      </c>
      <c r="G1113" t="str">
        <f>IF('2E'!H37="","##BLANK",'2E'!H37)</f>
        <v>##BLANK</v>
      </c>
    </row>
    <row r="1114" spans="2:7">
      <c r="B1114" s="893" t="str">
        <f>+'2E'!AG43</f>
        <v>BA2090BFWD</v>
      </c>
      <c r="E1114" s="1753" t="s">
        <v>11007</v>
      </c>
      <c r="G1114" t="str">
        <f>IF('2E'!H43="","##BLANK",'2E'!H43)</f>
        <v>##BLANK</v>
      </c>
    </row>
    <row r="1115" spans="2:7">
      <c r="B1115" s="893" t="str">
        <f>+'2E'!AG45</f>
        <v>BA2090AMORT</v>
      </c>
      <c r="E1115" s="1753" t="s">
        <v>11007</v>
      </c>
      <c r="G1115" t="str">
        <f>IF('2E'!H45="","##BLANK",'2E'!H45)</f>
        <v>##BLANK</v>
      </c>
    </row>
    <row r="1116" spans="2:7">
      <c r="B1116" s="893" t="str">
        <f>+'2E'!AG46</f>
        <v>BA2091CFWD</v>
      </c>
      <c r="E1116" s="1753" t="s">
        <v>11007</v>
      </c>
      <c r="G1116">
        <f>IF('2E'!H46="","##BLANK",'2E'!H46)</f>
        <v>0</v>
      </c>
    </row>
    <row r="1117" spans="2:7">
      <c r="B1117" s="893" t="str">
        <f>+'2E'!AG49</f>
        <v>BT39301PS</v>
      </c>
      <c r="E1117" s="1753" t="s">
        <v>11007</v>
      </c>
      <c r="G1117" t="str">
        <f>IF('2E'!H49="","##BLANK",'2E'!H49)</f>
        <v>##BLANK</v>
      </c>
    </row>
    <row r="1118" spans="2:7">
      <c r="B1118" s="893" t="str">
        <f>+'2E'!AH7</f>
        <v>BC11271NET</v>
      </c>
      <c r="E1118" s="1753" t="s">
        <v>11007</v>
      </c>
      <c r="G1118" t="str">
        <f>IF('2E'!I7="","##BLANK",'2E'!I7)</f>
        <v>##BLANK</v>
      </c>
    </row>
    <row r="1119" spans="2:7">
      <c r="B1119" s="893" t="str">
        <f>+'2E'!AH8</f>
        <v>BC11270NET</v>
      </c>
      <c r="E1119" s="1753" t="s">
        <v>11007</v>
      </c>
      <c r="G1119" t="str">
        <f>IF('2E'!I8="","##BLANK",'2E'!I8)</f>
        <v>##BLANK</v>
      </c>
    </row>
    <row r="1120" spans="2:7">
      <c r="B1120" s="893" t="str">
        <f>+'2E'!AH9</f>
        <v>BC11272NET</v>
      </c>
      <c r="E1120" s="1753" t="s">
        <v>11007</v>
      </c>
      <c r="G1120" t="str">
        <f>IF('2E'!I9="","##BLANK",'2E'!I9)</f>
        <v>##BLANK</v>
      </c>
    </row>
    <row r="1121" spans="2:7">
      <c r="B1121" s="893" t="str">
        <f>+'2E'!AH10</f>
        <v>BA1085NETPC</v>
      </c>
      <c r="E1121" s="1753" t="s">
        <v>11007</v>
      </c>
      <c r="G1121" t="str">
        <f>IF('2E'!I10="","##BLANK",'2E'!I10)</f>
        <v>##BLANK</v>
      </c>
    </row>
    <row r="1122" spans="2:7">
      <c r="B1122" s="893" t="str">
        <f>+'2E'!AH11</f>
        <v>BC11273NET</v>
      </c>
      <c r="E1122" s="1753" t="s">
        <v>11007</v>
      </c>
      <c r="G1122" t="str">
        <f>IF('2E'!I11="","##BLANK",'2E'!I11)</f>
        <v>##BLANK</v>
      </c>
    </row>
    <row r="1123" spans="2:7">
      <c r="B1123" s="893" t="str">
        <f>+'2E'!AH12</f>
        <v>BA1085NETNPC</v>
      </c>
      <c r="E1123" s="1753" t="s">
        <v>11007</v>
      </c>
      <c r="G1123" t="str">
        <f>IF('2E'!I12="","##BLANK",'2E'!I12)</f>
        <v>##BLANK</v>
      </c>
    </row>
    <row r="1124" spans="2:7">
      <c r="B1124" s="893" t="str">
        <f>+'2E'!AH13</f>
        <v>BA1090NET</v>
      </c>
      <c r="E1124" s="1753" t="s">
        <v>11007</v>
      </c>
      <c r="G1124">
        <f>IF('2E'!I13="","##BLANK",'2E'!I13)</f>
        <v>0</v>
      </c>
    </row>
    <row r="1125" spans="2:7">
      <c r="B1125" s="893" t="str">
        <f>+'2E'!AH19</f>
        <v>BC11370NET</v>
      </c>
      <c r="E1125" s="1753" t="s">
        <v>11007</v>
      </c>
      <c r="G1125" t="str">
        <f>IF('2E'!I19="","##BLANK",'2E'!I19)</f>
        <v>##BLANK</v>
      </c>
    </row>
    <row r="1126" spans="2:7">
      <c r="B1126" s="893" t="str">
        <f>+'2E'!AH20</f>
        <v>BC11372NET</v>
      </c>
      <c r="E1126" s="1753" t="s">
        <v>11007</v>
      </c>
      <c r="G1126" t="str">
        <f>IF('2E'!I20="","##BLANK",'2E'!I20)</f>
        <v>##BLANK</v>
      </c>
    </row>
    <row r="1127" spans="2:7">
      <c r="B1127" s="893" t="str">
        <f>+'2E'!AH21</f>
        <v>BA2085NETPC</v>
      </c>
      <c r="E1127" s="1753" t="s">
        <v>11007</v>
      </c>
      <c r="G1127" t="str">
        <f>IF('2E'!I21="","##BLANK",'2E'!I21)</f>
        <v>##BLANK</v>
      </c>
    </row>
    <row r="1128" spans="2:7">
      <c r="B1128" s="893" t="str">
        <f>+'2E'!AH22</f>
        <v>BC11373NET</v>
      </c>
      <c r="E1128" s="1753" t="s">
        <v>11007</v>
      </c>
      <c r="G1128" t="str">
        <f>IF('2E'!I22="","##BLANK",'2E'!I22)</f>
        <v>##BLANK</v>
      </c>
    </row>
    <row r="1129" spans="2:7">
      <c r="B1129" s="893" t="str">
        <f>+'2E'!AH23</f>
        <v>BA2085NETNPC</v>
      </c>
      <c r="E1129" s="1753" t="s">
        <v>11007</v>
      </c>
      <c r="G1129" t="str">
        <f>IF('2E'!I23="","##BLANK",'2E'!I23)</f>
        <v>##BLANK</v>
      </c>
    </row>
    <row r="1130" spans="2:7">
      <c r="B1130" s="893" t="str">
        <f>+'2E'!AH24</f>
        <v>BA2090NET</v>
      </c>
      <c r="E1130" s="1753" t="s">
        <v>11007</v>
      </c>
      <c r="G1130">
        <f>IF('2E'!I24="","##BLANK",'2E'!I24)</f>
        <v>0</v>
      </c>
    </row>
    <row r="1131" spans="2:7">
      <c r="B1131" s="893" t="str">
        <f>+'2E'!AH30</f>
        <v>BC11370TTTNET</v>
      </c>
      <c r="E1131" s="1753" t="s">
        <v>11007</v>
      </c>
      <c r="G1131" t="str">
        <f>IF('2E'!I30="","##BLANK",'2E'!I30)</f>
        <v>##BLANK</v>
      </c>
    </row>
    <row r="1132" spans="2:7">
      <c r="B1132" s="893" t="str">
        <f>+'2E'!AH31</f>
        <v>BC11372TTTNET</v>
      </c>
      <c r="E1132" s="1753" t="s">
        <v>11007</v>
      </c>
      <c r="G1132" t="str">
        <f>IF('2E'!I31="","##BLANK",'2E'!I31)</f>
        <v>##BLANK</v>
      </c>
    </row>
    <row r="1133" spans="2:7">
      <c r="B1133" s="893" t="str">
        <f>+'2E'!AH32</f>
        <v>BA2085TTTNETPC</v>
      </c>
      <c r="E1133" s="1753" t="s">
        <v>11007</v>
      </c>
      <c r="G1133" t="str">
        <f>IF('2E'!I32="","##BLANK",'2E'!I32)</f>
        <v>##BLANK</v>
      </c>
    </row>
    <row r="1134" spans="2:7">
      <c r="B1134" s="893" t="str">
        <f>+'2E'!AH33</f>
        <v>BC11373TTTNET</v>
      </c>
      <c r="E1134" s="1753" t="s">
        <v>11007</v>
      </c>
      <c r="G1134" t="str">
        <f>IF('2E'!I33="","##BLANK",'2E'!I33)</f>
        <v>##BLANK</v>
      </c>
    </row>
    <row r="1135" spans="2:7">
      <c r="B1135" s="893" t="str">
        <f>+'2E'!AH34</f>
        <v>BA2085TTTNETNPC</v>
      </c>
      <c r="E1135" s="1753" t="s">
        <v>11007</v>
      </c>
      <c r="G1135" t="str">
        <f>IF('2E'!I34="","##BLANK",'2E'!I34)</f>
        <v>##BLANK</v>
      </c>
    </row>
    <row r="1136" spans="2:7">
      <c r="B1136" s="893" t="str">
        <f>+'2E'!AH35</f>
        <v>BA2090TTTNET</v>
      </c>
      <c r="E1136" s="1753" t="s">
        <v>11007</v>
      </c>
      <c r="G1136">
        <f>IF('2E'!I35="","##BLANK",'2E'!I35)</f>
        <v>0</v>
      </c>
    </row>
    <row r="1137" spans="2:7">
      <c r="B1137" s="893" t="str">
        <f>+'2E'!AH43</f>
        <v>BA2090TTTBFWD</v>
      </c>
      <c r="E1137" s="1753" t="s">
        <v>11007</v>
      </c>
      <c r="G1137" t="str">
        <f>IF('2E'!I43="","##BLANK",'2E'!I43)</f>
        <v>##BLANK</v>
      </c>
    </row>
    <row r="1138" spans="2:7">
      <c r="B1138" s="893" t="str">
        <f>+'2E'!AH45</f>
        <v>BA2090TTTAMORT</v>
      </c>
      <c r="E1138" s="1753" t="s">
        <v>11007</v>
      </c>
      <c r="G1138" t="str">
        <f>IF('2E'!I45="","##BLANK",'2E'!I45)</f>
        <v>##BLANK</v>
      </c>
    </row>
    <row r="1139" spans="2:7">
      <c r="B1139" s="893" t="str">
        <f>+'2E'!AH46</f>
        <v>BA2091TTTCFWD</v>
      </c>
      <c r="E1139" s="1753" t="s">
        <v>11007</v>
      </c>
      <c r="G1139">
        <f>IF('2E'!I46="","##BLANK",'2E'!I46)</f>
        <v>0</v>
      </c>
    </row>
    <row r="1140" spans="2:7">
      <c r="B1140" s="893" t="str">
        <f>+'2E'!AH49</f>
        <v>BT39301PTTT</v>
      </c>
      <c r="E1140" s="1753" t="s">
        <v>11007</v>
      </c>
      <c r="G1140" t="str">
        <f>IF('2E'!I49="","##BLANK",'2E'!I49)</f>
        <v>##BLANK</v>
      </c>
    </row>
    <row r="1141" spans="2:7">
      <c r="B1141" s="893" t="str">
        <f>+'2E'!AI7</f>
        <v>BC11271</v>
      </c>
      <c r="E1141" s="1753" t="s">
        <v>11007</v>
      </c>
      <c r="G1141">
        <f>IF('2E'!J7="","##BLANK",'2E'!J7)</f>
        <v>0</v>
      </c>
    </row>
    <row r="1142" spans="2:7">
      <c r="B1142" s="893" t="str">
        <f>+'2E'!AI8</f>
        <v>BC11270</v>
      </c>
      <c r="E1142" s="1753" t="s">
        <v>11007</v>
      </c>
      <c r="G1142">
        <f>IF('2E'!J8="","##BLANK",'2E'!J8)</f>
        <v>0</v>
      </c>
    </row>
    <row r="1143" spans="2:7">
      <c r="B1143" s="893" t="str">
        <f>+'2E'!AI9</f>
        <v>BC11272</v>
      </c>
      <c r="E1143" s="1753" t="s">
        <v>11007</v>
      </c>
      <c r="G1143">
        <f>IF('2E'!J9="","##BLANK",'2E'!J9)</f>
        <v>0</v>
      </c>
    </row>
    <row r="1144" spans="2:7">
      <c r="B1144" s="893" t="str">
        <f>+'2E'!AI10</f>
        <v>BA1086PC</v>
      </c>
      <c r="E1144" s="1753" t="s">
        <v>11007</v>
      </c>
      <c r="G1144">
        <f>IF('2E'!J10="","##BLANK",'2E'!J10)</f>
        <v>0</v>
      </c>
    </row>
    <row r="1145" spans="2:7">
      <c r="B1145" s="893" t="str">
        <f>+'2E'!AI11</f>
        <v>BC11273</v>
      </c>
      <c r="E1145" s="1753" t="s">
        <v>11007</v>
      </c>
      <c r="G1145">
        <f>IF('2E'!J11="","##BLANK",'2E'!J11)</f>
        <v>0</v>
      </c>
    </row>
    <row r="1146" spans="2:7">
      <c r="B1146" s="893" t="str">
        <f>+'2E'!AI12</f>
        <v>BA1086NPC</v>
      </c>
      <c r="E1146" s="1753" t="s">
        <v>11007</v>
      </c>
      <c r="G1146">
        <f>IF('2E'!J12="","##BLANK",'2E'!J12)</f>
        <v>0</v>
      </c>
    </row>
    <row r="1147" spans="2:7">
      <c r="B1147" s="893" t="str">
        <f>+'2E'!AI13</f>
        <v>BA1091</v>
      </c>
      <c r="E1147" s="1753" t="s">
        <v>11007</v>
      </c>
      <c r="G1147">
        <f>IF('2E'!J13="","##BLANK",'2E'!J13)</f>
        <v>0</v>
      </c>
    </row>
    <row r="1148" spans="2:7">
      <c r="B1148" s="893" t="str">
        <f>+'2E'!AI15</f>
        <v>BC30460WTOT</v>
      </c>
      <c r="E1148" s="1753" t="s">
        <v>11007</v>
      </c>
      <c r="G1148">
        <f>IF('2E'!J15="","##BLANK",'2E'!J15)</f>
        <v>0</v>
      </c>
    </row>
    <row r="1149" spans="2:7">
      <c r="B1149" s="893" t="str">
        <f>+'2E'!AI19</f>
        <v>BC11370</v>
      </c>
      <c r="E1149" s="1753" t="s">
        <v>11007</v>
      </c>
      <c r="G1149">
        <f>IF('2E'!J19="","##BLANK",'2E'!J19)</f>
        <v>0</v>
      </c>
    </row>
    <row r="1150" spans="2:7">
      <c r="B1150" s="893" t="str">
        <f>+'2E'!AI20</f>
        <v>BC11372</v>
      </c>
      <c r="E1150" s="1753" t="s">
        <v>11007</v>
      </c>
      <c r="G1150">
        <f>IF('2E'!J20="","##BLANK",'2E'!J20)</f>
        <v>0</v>
      </c>
    </row>
    <row r="1151" spans="2:7">
      <c r="B1151" s="893" t="str">
        <f>+'2E'!AI21</f>
        <v>BA2086PC</v>
      </c>
      <c r="E1151" s="1753" t="s">
        <v>11007</v>
      </c>
      <c r="G1151">
        <f>IF('2E'!J21="","##BLANK",'2E'!J21)</f>
        <v>0</v>
      </c>
    </row>
    <row r="1152" spans="2:7">
      <c r="B1152" s="893" t="str">
        <f>+'2E'!AI22</f>
        <v>BC11373</v>
      </c>
      <c r="E1152" s="1753" t="s">
        <v>11007</v>
      </c>
      <c r="G1152">
        <f>IF('2E'!J22="","##BLANK",'2E'!J22)</f>
        <v>0</v>
      </c>
    </row>
    <row r="1153" spans="2:7">
      <c r="B1153" s="893" t="str">
        <f>+'2E'!AI23</f>
        <v>BA2086NPC</v>
      </c>
      <c r="E1153" s="1753" t="s">
        <v>11007</v>
      </c>
      <c r="G1153">
        <f>IF('2E'!J23="","##BLANK",'2E'!J23)</f>
        <v>0</v>
      </c>
    </row>
    <row r="1154" spans="2:7">
      <c r="B1154" s="893" t="str">
        <f>+'2E'!AI24</f>
        <v>BA2091</v>
      </c>
      <c r="E1154" s="1753" t="s">
        <v>11007</v>
      </c>
      <c r="G1154">
        <f>IF('2E'!J24="","##BLANK",'2E'!J24)</f>
        <v>0</v>
      </c>
    </row>
    <row r="1155" spans="2:7">
      <c r="B1155" s="893" t="str">
        <f>+'2E'!AI26</f>
        <v>BC30460WWTOT</v>
      </c>
      <c r="E1155" s="1753" t="s">
        <v>11007</v>
      </c>
      <c r="G1155">
        <f>IF('2E'!J26="","##BLANK",'2E'!J26)</f>
        <v>0</v>
      </c>
    </row>
    <row r="1156" spans="2:7">
      <c r="B1156" s="893" t="str">
        <f>+'2E'!AI30</f>
        <v>BC11370TTT</v>
      </c>
      <c r="E1156" s="1753" t="s">
        <v>11007</v>
      </c>
      <c r="G1156">
        <f>IF('2E'!J30="","##BLANK",'2E'!J30)</f>
        <v>0</v>
      </c>
    </row>
    <row r="1157" spans="2:7">
      <c r="B1157" s="893" t="str">
        <f>+'2E'!AI31</f>
        <v>BC11372TTT</v>
      </c>
      <c r="E1157" s="1753" t="s">
        <v>11007</v>
      </c>
      <c r="G1157">
        <f>IF('2E'!J31="","##BLANK",'2E'!J31)</f>
        <v>0</v>
      </c>
    </row>
    <row r="1158" spans="2:7">
      <c r="B1158" s="893" t="str">
        <f>+'2E'!AI32</f>
        <v>BA2086TTTPC</v>
      </c>
      <c r="E1158" s="1753" t="s">
        <v>11007</v>
      </c>
      <c r="G1158">
        <f>IF('2E'!J32="","##BLANK",'2E'!J32)</f>
        <v>0</v>
      </c>
    </row>
    <row r="1159" spans="2:7">
      <c r="B1159" s="893" t="str">
        <f>+'2E'!AI33</f>
        <v>BC11373TTT</v>
      </c>
      <c r="E1159" s="1753" t="s">
        <v>11007</v>
      </c>
      <c r="G1159">
        <f>IF('2E'!J33="","##BLANK",'2E'!J33)</f>
        <v>0</v>
      </c>
    </row>
    <row r="1160" spans="2:7">
      <c r="B1160" s="893" t="str">
        <f>+'2E'!AI34</f>
        <v>BA2086TTTNPC</v>
      </c>
      <c r="E1160" s="1753" t="s">
        <v>11007</v>
      </c>
      <c r="G1160">
        <f>IF('2E'!J34="","##BLANK",'2E'!J34)</f>
        <v>0</v>
      </c>
    </row>
    <row r="1161" spans="2:7">
      <c r="B1161" s="893" t="str">
        <f>+'2E'!AI35</f>
        <v>BA2091TTT</v>
      </c>
      <c r="E1161" s="1753" t="s">
        <v>11007</v>
      </c>
      <c r="G1161">
        <f>IF('2E'!J35="","##BLANK",'2E'!J35)</f>
        <v>0</v>
      </c>
    </row>
    <row r="1162" spans="2:7">
      <c r="B1162" s="893" t="str">
        <f>+'2E'!AI37</f>
        <v>BC30460TTTTOT</v>
      </c>
      <c r="E1162" s="1753" t="s">
        <v>11007</v>
      </c>
      <c r="G1162">
        <f>IF('2E'!J37="","##BLANK",'2E'!J37)</f>
        <v>0</v>
      </c>
    </row>
    <row r="1163" spans="2:7">
      <c r="B1163" s="893" t="str">
        <f>+'2E'!AI43</f>
        <v>BA3001BFWD</v>
      </c>
      <c r="E1163" s="1753" t="s">
        <v>11007</v>
      </c>
      <c r="G1163">
        <f>IF('2E'!J43="","##BLANK",'2E'!J43)</f>
        <v>0</v>
      </c>
    </row>
    <row r="1164" spans="2:7">
      <c r="B1164" s="893" t="str">
        <f>+'2E'!AI44</f>
        <v>BA3091CAP</v>
      </c>
      <c r="E1164" s="1753" t="s">
        <v>11007</v>
      </c>
      <c r="G1164">
        <f>IF('2E'!J44="","##BLANK",'2E'!J44)</f>
        <v>0</v>
      </c>
    </row>
    <row r="1165" spans="2:7">
      <c r="B1165" s="893" t="str">
        <f>+'2E'!AI45</f>
        <v>BA3001AMORT</v>
      </c>
      <c r="E1165" s="1753" t="s">
        <v>11007</v>
      </c>
      <c r="G1165">
        <f>IF('2E'!J45="","##BLANK",'2E'!J45)</f>
        <v>0</v>
      </c>
    </row>
    <row r="1166" spans="2:7">
      <c r="B1166" s="893" t="str">
        <f>+'2E'!AI46</f>
        <v>BA3091CFWD</v>
      </c>
      <c r="E1166" s="1753" t="s">
        <v>11007</v>
      </c>
      <c r="G1166">
        <f>IF('2E'!J46="","##BLANK",'2E'!J46)</f>
        <v>0</v>
      </c>
    </row>
    <row r="1167" spans="2:7">
      <c r="B1167" s="893" t="str">
        <f>+'2E'!AI49</f>
        <v>BT39301P</v>
      </c>
      <c r="E1167" s="1753" t="s">
        <v>11007</v>
      </c>
      <c r="G1167">
        <f>IF('2E'!J49="","##BLANK",'2E'!J49)</f>
        <v>0</v>
      </c>
    </row>
    <row r="1168" spans="2:7">
      <c r="B1168" s="893" t="str">
        <f>+'2F - SWT'!AD5</f>
        <v>R3017WCR</v>
      </c>
      <c r="E1168" s="1753" t="s">
        <v>11007</v>
      </c>
      <c r="G1168">
        <f>IF('2F - SWT'!E5="","##BLANK",'2F - SWT'!E5)</f>
        <v>11.901</v>
      </c>
    </row>
    <row r="1169" spans="2:7">
      <c r="B1169" s="893" t="str">
        <f>+'2F - SWT'!AD6</f>
        <v>R3019WCR</v>
      </c>
      <c r="E1169" s="1753" t="s">
        <v>11007</v>
      </c>
      <c r="G1169">
        <f>IF('2F - SWT'!E6="","##BLANK",'2F - SWT'!E6)</f>
        <v>1.004</v>
      </c>
    </row>
    <row r="1170" spans="2:7">
      <c r="B1170" s="893" t="str">
        <f>+'2F - SWT'!AD7</f>
        <v>R3021WCR</v>
      </c>
      <c r="E1170" s="1753" t="s">
        <v>11007</v>
      </c>
      <c r="G1170">
        <f>IF('2F - SWT'!E7="","##BLANK",'2F - SWT'!E7)</f>
        <v>77.837999999999994</v>
      </c>
    </row>
    <row r="1171" spans="2:7">
      <c r="B1171" s="893" t="str">
        <f>+'2F - SWT'!AD8</f>
        <v>R3018WCR</v>
      </c>
      <c r="E1171" s="1753" t="s">
        <v>11007</v>
      </c>
      <c r="G1171">
        <f>IF('2F - SWT'!E8="","##BLANK",'2F - SWT'!E8)</f>
        <v>11.359</v>
      </c>
    </row>
    <row r="1172" spans="2:7">
      <c r="B1172" s="893" t="str">
        <f>+'2F - SWT'!AD9</f>
        <v>R3020WCR</v>
      </c>
      <c r="E1172" s="1753" t="s">
        <v>11007</v>
      </c>
      <c r="G1172">
        <f>IF('2F - SWT'!E9="","##BLANK",'2F - SWT'!E9)</f>
        <v>0.69499999999999995</v>
      </c>
    </row>
    <row r="1173" spans="2:7">
      <c r="B1173" s="893" t="str">
        <f>+'2F - SWT'!AD10</f>
        <v>R3022WCR</v>
      </c>
      <c r="E1173" s="1753" t="s">
        <v>11007</v>
      </c>
      <c r="G1173">
        <f>IF('2F - SWT'!E10="","##BLANK",'2F - SWT'!E10)</f>
        <v>261.42200000000003</v>
      </c>
    </row>
    <row r="1174" spans="2:7">
      <c r="B1174" s="893" t="str">
        <f>+'2F - SWT'!AD11</f>
        <v>R3100WCRTOT</v>
      </c>
      <c r="E1174" s="1753" t="s">
        <v>11007</v>
      </c>
      <c r="G1174">
        <f>IF('2F - SWT'!E11="","##BLANK",'2F - SWT'!E11)</f>
        <v>364.21899999999999</v>
      </c>
    </row>
    <row r="1175" spans="2:7">
      <c r="B1175" s="893" t="str">
        <f>+'2F - SWT'!AE5</f>
        <v>R3017RR</v>
      </c>
      <c r="E1175" s="1753" t="s">
        <v>11007</v>
      </c>
      <c r="G1175">
        <f>IF('2F - SWT'!F5="","##BLANK",'2F - SWT'!F5)</f>
        <v>1.2829999999999999</v>
      </c>
    </row>
    <row r="1176" spans="2:7">
      <c r="B1176" s="893" t="str">
        <f>+'2F - SWT'!AE6</f>
        <v>R3019RR</v>
      </c>
      <c r="E1176" s="1753" t="s">
        <v>11007</v>
      </c>
      <c r="G1176">
        <f>IF('2F - SWT'!F6="","##BLANK",'2F - SWT'!F6)</f>
        <v>9.4E-2</v>
      </c>
    </row>
    <row r="1177" spans="2:7">
      <c r="B1177" s="893" t="str">
        <f>+'2F - SWT'!AE7</f>
        <v>R3021RR</v>
      </c>
      <c r="E1177" s="1753" t="s">
        <v>11007</v>
      </c>
      <c r="G1177">
        <f>IF('2F - SWT'!F7="","##BLANK",'2F - SWT'!F7)</f>
        <v>5.274</v>
      </c>
    </row>
    <row r="1178" spans="2:7">
      <c r="B1178" s="893" t="str">
        <f>+'2F - SWT'!AE8</f>
        <v>R3018RR</v>
      </c>
      <c r="E1178" s="1753" t="s">
        <v>11007</v>
      </c>
      <c r="G1178">
        <f>IF('2F - SWT'!F8="","##BLANK",'2F - SWT'!F8)</f>
        <v>1.38</v>
      </c>
    </row>
    <row r="1179" spans="2:7">
      <c r="B1179" s="893" t="str">
        <f>+'2F - SWT'!AE9</f>
        <v>R3020RR</v>
      </c>
      <c r="E1179" s="1753" t="s">
        <v>11007</v>
      </c>
      <c r="G1179">
        <f>IF('2F - SWT'!F9="","##BLANK",'2F - SWT'!F9)</f>
        <v>7.4999999999999997E-2</v>
      </c>
    </row>
    <row r="1180" spans="2:7">
      <c r="B1180" s="893" t="str">
        <f>+'2F - SWT'!AE10</f>
        <v>R3022RR</v>
      </c>
      <c r="E1180" s="1753" t="s">
        <v>11007</v>
      </c>
      <c r="G1180">
        <f>IF('2F - SWT'!F10="","##BLANK",'2F - SWT'!F10)</f>
        <v>26.884</v>
      </c>
    </row>
    <row r="1181" spans="2:7">
      <c r="B1181" s="893" t="str">
        <f>+'2F - SWT'!AE11</f>
        <v>R3100RRTOT</v>
      </c>
      <c r="E1181" s="1753" t="s">
        <v>11007</v>
      </c>
      <c r="G1181">
        <f>IF('2F - SWT'!F11="","##BLANK",'2F - SWT'!F11)</f>
        <v>34.989999999999995</v>
      </c>
    </row>
    <row r="1182" spans="2:7">
      <c r="B1182" s="893" t="str">
        <f>+'2F - SWT'!AF5</f>
        <v>R3017TR</v>
      </c>
      <c r="E1182" s="1753" t="s">
        <v>11007</v>
      </c>
      <c r="G1182">
        <f>IF('2F - SWT'!G5="","##BLANK",'2F - SWT'!G5)</f>
        <v>13.183999999999999</v>
      </c>
    </row>
    <row r="1183" spans="2:7">
      <c r="B1183" s="893" t="str">
        <f>+'2F - SWT'!AF6</f>
        <v>R3019TR</v>
      </c>
      <c r="E1183" s="1753" t="s">
        <v>11007</v>
      </c>
      <c r="G1183">
        <f>IF('2F - SWT'!G6="","##BLANK",'2F - SWT'!G6)</f>
        <v>1.0980000000000001</v>
      </c>
    </row>
    <row r="1184" spans="2:7">
      <c r="B1184" s="893" t="str">
        <f>+'2F - SWT'!AF7</f>
        <v>R3021TR</v>
      </c>
      <c r="E1184" s="1753" t="s">
        <v>11007</v>
      </c>
      <c r="G1184">
        <f>IF('2F - SWT'!G7="","##BLANK",'2F - SWT'!G7)</f>
        <v>83.111999999999995</v>
      </c>
    </row>
    <row r="1185" spans="2:7">
      <c r="B1185" s="893" t="str">
        <f>+'2F - SWT'!AF8</f>
        <v>R3018TR</v>
      </c>
      <c r="E1185" s="1753" t="s">
        <v>11007</v>
      </c>
      <c r="G1185">
        <f>IF('2F - SWT'!G8="","##BLANK",'2F - SWT'!G8)</f>
        <v>12.739000000000001</v>
      </c>
    </row>
    <row r="1186" spans="2:7">
      <c r="B1186" s="893" t="str">
        <f>+'2F - SWT'!AF9</f>
        <v>R3020TR</v>
      </c>
      <c r="E1186" s="1753" t="s">
        <v>11007</v>
      </c>
      <c r="G1186">
        <f>IF('2F - SWT'!G9="","##BLANK",'2F - SWT'!G9)</f>
        <v>0.76999999999999991</v>
      </c>
    </row>
    <row r="1187" spans="2:7">
      <c r="B1187" s="893" t="str">
        <f>+'2F - SWT'!AF10</f>
        <v>R3022TR</v>
      </c>
      <c r="E1187" s="1753" t="s">
        <v>11007</v>
      </c>
      <c r="G1187">
        <f>IF('2F - SWT'!G10="","##BLANK",'2F - SWT'!G10)</f>
        <v>288.30600000000004</v>
      </c>
    </row>
    <row r="1188" spans="2:7">
      <c r="B1188" s="893" t="str">
        <f>+'2F - SWT'!AF11</f>
        <v>R3100TRTOT</v>
      </c>
      <c r="E1188" s="1753" t="s">
        <v>11007</v>
      </c>
      <c r="G1188">
        <f>IF('2F - SWT'!G11="","##BLANK",'2F - SWT'!G11)</f>
        <v>399.20900000000006</v>
      </c>
    </row>
    <row r="1189" spans="2:7">
      <c r="B1189" s="893" t="str">
        <f>+'2F - SWT'!AG5</f>
        <v>R3017</v>
      </c>
      <c r="E1189" s="1753" t="s">
        <v>11007</v>
      </c>
      <c r="G1189">
        <f>IF('2F - SWT'!H5="","##BLANK",'2F - SWT'!H5)</f>
        <v>31.321000000000002</v>
      </c>
    </row>
    <row r="1190" spans="2:7">
      <c r="B1190" s="893" t="str">
        <f>+'2F - SWT'!AG6</f>
        <v>R3019</v>
      </c>
      <c r="E1190" s="1753" t="s">
        <v>11007</v>
      </c>
      <c r="G1190">
        <f>IF('2F - SWT'!H6="","##BLANK",'2F - SWT'!H6)</f>
        <v>2.2389999999999999</v>
      </c>
    </row>
    <row r="1191" spans="2:7">
      <c r="B1191" s="893" t="str">
        <f>+'2F - SWT'!AG7</f>
        <v>R3021</v>
      </c>
      <c r="E1191" s="1753" t="s">
        <v>11007</v>
      </c>
      <c r="G1191">
        <f>IF('2F - SWT'!H7="","##BLANK",'2F - SWT'!H7)</f>
        <v>103.80200000000001</v>
      </c>
    </row>
    <row r="1192" spans="2:7">
      <c r="B1192" s="893" t="str">
        <f>+'2F - SWT'!AG8</f>
        <v>R3018</v>
      </c>
      <c r="E1192" s="1753" t="s">
        <v>11007</v>
      </c>
      <c r="G1192">
        <f>IF('2F - SWT'!H8="","##BLANK",'2F - SWT'!H8)</f>
        <v>32.741999999999997</v>
      </c>
    </row>
    <row r="1193" spans="2:7">
      <c r="B1193" s="893" t="str">
        <f>+'2F - SWT'!AG9</f>
        <v>R3020</v>
      </c>
      <c r="E1193" s="1753" t="s">
        <v>11007</v>
      </c>
      <c r="G1193">
        <f>IF('2F - SWT'!H9="","##BLANK",'2F - SWT'!H9)</f>
        <v>2.625</v>
      </c>
    </row>
    <row r="1194" spans="2:7">
      <c r="B1194" s="893" t="str">
        <f>+'2F - SWT'!AG10</f>
        <v>R3022</v>
      </c>
      <c r="E1194" s="1753" t="s">
        <v>11007</v>
      </c>
      <c r="G1194">
        <f>IF('2F - SWT'!H10="","##BLANK",'2F - SWT'!H10)</f>
        <v>594.37099999999998</v>
      </c>
    </row>
    <row r="1195" spans="2:7">
      <c r="B1195" s="893" t="str">
        <f>+'2F - SWT'!AG11</f>
        <v>R3100TOT</v>
      </c>
      <c r="E1195" s="1753" t="s">
        <v>11007</v>
      </c>
      <c r="G1195">
        <f>IF('2F - SWT'!H11="","##BLANK",'2F - SWT'!H11)</f>
        <v>767.1</v>
      </c>
    </row>
    <row r="1196" spans="2:7">
      <c r="B1196" s="893" t="str">
        <f>+'2F - SWT'!AH5</f>
        <v>R3017RPC</v>
      </c>
      <c r="E1196" s="1753" t="s">
        <v>11007</v>
      </c>
      <c r="G1196">
        <f>IF('2F - SWT'!I5="","##BLANK",'2F - SWT'!I5)</f>
        <v>40.962932218000695</v>
      </c>
    </row>
    <row r="1197" spans="2:7">
      <c r="B1197" s="893" t="str">
        <f>+'2F - SWT'!AH6</f>
        <v>R3019RPC</v>
      </c>
      <c r="E1197" s="1753" t="s">
        <v>11007</v>
      </c>
      <c r="G1197">
        <f>IF('2F - SWT'!I6="","##BLANK",'2F - SWT'!I6)</f>
        <v>41.983028137561412</v>
      </c>
    </row>
    <row r="1198" spans="2:7">
      <c r="B1198" s="893" t="str">
        <f>+'2F - SWT'!AH7</f>
        <v>R3021RPC</v>
      </c>
      <c r="E1198" s="1753" t="s">
        <v>11007</v>
      </c>
      <c r="G1198">
        <f>IF('2F - SWT'!I7="","##BLANK",'2F - SWT'!I7)</f>
        <v>50.808269590181304</v>
      </c>
    </row>
    <row r="1199" spans="2:7">
      <c r="B1199" s="893" t="str">
        <f>+'2F - SWT'!AH8</f>
        <v>R3018RPC</v>
      </c>
      <c r="E1199" s="1753" t="s">
        <v>11007</v>
      </c>
      <c r="G1199">
        <f>IF('2F - SWT'!I8="","##BLANK",'2F - SWT'!I8)</f>
        <v>42.147700201575958</v>
      </c>
    </row>
    <row r="1200" spans="2:7">
      <c r="B1200" s="893" t="str">
        <f>+'2F - SWT'!AH9</f>
        <v>R3020RPC</v>
      </c>
      <c r="E1200" s="1753" t="s">
        <v>11007</v>
      </c>
      <c r="G1200">
        <f>IF('2F - SWT'!I9="","##BLANK",'2F - SWT'!I9)</f>
        <v>28.571428571428569</v>
      </c>
    </row>
    <row r="1201" spans="2:7">
      <c r="B1201" s="893" t="str">
        <f>+'2F - SWT'!AH10</f>
        <v>R3022RPC</v>
      </c>
      <c r="E1201" s="1753" t="s">
        <v>11007</v>
      </c>
      <c r="G1201">
        <f>IF('2F - SWT'!I10="","##BLANK",'2F - SWT'!I10)</f>
        <v>45.231008915307108</v>
      </c>
    </row>
    <row r="1202" spans="2:7">
      <c r="B1202" s="893" t="str">
        <f>+'2F - SWT'!AH11</f>
        <v>R3100RPCTOT</v>
      </c>
      <c r="E1202" s="1753" t="s">
        <v>11007</v>
      </c>
      <c r="G1202">
        <f>IF('2F - SWT'!I11="","##BLANK",'2F - SWT'!I11)</f>
        <v>45.613348976665357</v>
      </c>
    </row>
    <row r="1203" spans="2:7">
      <c r="B1203" s="893" t="str">
        <f>+'2G'!AD6</f>
        <v>CR1001WWCR</v>
      </c>
      <c r="E1203" s="1753" t="s">
        <v>11007</v>
      </c>
      <c r="G1203" t="str">
        <f>IF('2G'!E6="","##BLANK",'2G'!E6)</f>
        <v>##BLANK</v>
      </c>
    </row>
    <row r="1204" spans="2:7">
      <c r="B1204" s="893" t="str">
        <f>+'2G'!AD9</f>
        <v>CR1002WWCR</v>
      </c>
      <c r="E1204" s="1753" t="s">
        <v>11007</v>
      </c>
      <c r="G1204" t="str">
        <f>IF('2G'!E9="","##BLANK",'2G'!E9)</f>
        <v>##BLANK</v>
      </c>
    </row>
    <row r="1205" spans="2:7">
      <c r="B1205" s="893" t="str">
        <f>+'2G'!AD10</f>
        <v>CR1003WWCR</v>
      </c>
      <c r="E1205" s="1753" t="s">
        <v>11007</v>
      </c>
      <c r="G1205" t="str">
        <f>IF('2G'!E10="","##BLANK",'2G'!E10)</f>
        <v>##BLANK</v>
      </c>
    </row>
    <row r="1206" spans="2:7">
      <c r="B1206" s="893" t="str">
        <f>+'2G'!AD11</f>
        <v>CR1004WWCR</v>
      </c>
      <c r="E1206" s="1753" t="s">
        <v>11007</v>
      </c>
      <c r="G1206" t="str">
        <f>IF('2G'!E11="","##BLANK",'2G'!E11)</f>
        <v>##BLANK</v>
      </c>
    </row>
    <row r="1207" spans="2:7">
      <c r="B1207" s="893" t="str">
        <f>+'2G'!AD12</f>
        <v>CR1005WWCR</v>
      </c>
      <c r="E1207" s="1753" t="s">
        <v>11007</v>
      </c>
      <c r="G1207" t="str">
        <f>IF('2G'!E12="","##BLANK",'2G'!E12)</f>
        <v>##BLANK</v>
      </c>
    </row>
    <row r="1208" spans="2:7">
      <c r="B1208" s="893" t="str">
        <f>+'2G'!AD13</f>
        <v>CR1006WWCR</v>
      </c>
      <c r="E1208" s="1753" t="s">
        <v>11007</v>
      </c>
      <c r="G1208" t="str">
        <f>IF('2G'!E13="","##BLANK",'2G'!E13)</f>
        <v>##BLANK</v>
      </c>
    </row>
    <row r="1209" spans="2:7">
      <c r="B1209" s="893" t="str">
        <f>+'2G'!AD14</f>
        <v>CR1007WWCR</v>
      </c>
      <c r="E1209" s="1753" t="s">
        <v>11007</v>
      </c>
      <c r="G1209" t="str">
        <f>IF('2G'!E14="","##BLANK",'2G'!E14)</f>
        <v>##BLANK</v>
      </c>
    </row>
    <row r="1210" spans="2:7">
      <c r="B1210" s="893" t="str">
        <f>+'2G'!AD15</f>
        <v>CR1008WWCR</v>
      </c>
      <c r="E1210" s="1753" t="s">
        <v>11007</v>
      </c>
      <c r="G1210" t="str">
        <f>IF('2G'!E15="","##BLANK",'2G'!E15)</f>
        <v>##BLANK</v>
      </c>
    </row>
    <row r="1211" spans="2:7">
      <c r="B1211" s="893" t="str">
        <f>+'2G'!AD16</f>
        <v>CR1009WWCR</v>
      </c>
      <c r="E1211" s="1753" t="s">
        <v>11007</v>
      </c>
      <c r="G1211" t="str">
        <f>IF('2G'!E16="","##BLANK",'2G'!E16)</f>
        <v>##BLANK</v>
      </c>
    </row>
    <row r="1212" spans="2:7">
      <c r="B1212" s="893" t="str">
        <f>+'2G'!AD17</f>
        <v>CR1010WWCR</v>
      </c>
      <c r="E1212" s="1753" t="s">
        <v>11007</v>
      </c>
      <c r="G1212" t="str">
        <f>IF('2G'!E17="","##BLANK",'2G'!E17)</f>
        <v>##BLANK</v>
      </c>
    </row>
    <row r="1213" spans="2:7">
      <c r="B1213" s="893" t="str">
        <f>+'2G'!AD18</f>
        <v>CR1011WWCR</v>
      </c>
      <c r="E1213" s="1753" t="s">
        <v>11007</v>
      </c>
      <c r="G1213" t="str">
        <f>IF('2G'!E18="","##BLANK",'2G'!E18)</f>
        <v>##BLANK</v>
      </c>
    </row>
    <row r="1214" spans="2:7">
      <c r="B1214" s="893" t="str">
        <f>+'2G'!AD19</f>
        <v>CR1012WWCR</v>
      </c>
      <c r="E1214" s="1753" t="s">
        <v>11007</v>
      </c>
      <c r="G1214" t="str">
        <f>IF('2G'!E19="","##BLANK",'2G'!E19)</f>
        <v>##BLANK</v>
      </c>
    </row>
    <row r="1215" spans="2:7">
      <c r="B1215" s="893" t="str">
        <f>+'2G'!AD20</f>
        <v>CR1013WWCR</v>
      </c>
      <c r="E1215" s="1753" t="s">
        <v>11007</v>
      </c>
      <c r="G1215" t="str">
        <f>IF('2G'!E20="","##BLANK",'2G'!E20)</f>
        <v>##BLANK</v>
      </c>
    </row>
    <row r="1216" spans="2:7">
      <c r="B1216" s="893" t="str">
        <f>+'2G'!AD21</f>
        <v>CR1014WWCR</v>
      </c>
      <c r="E1216" s="1753" t="s">
        <v>11007</v>
      </c>
      <c r="G1216" t="str">
        <f>IF('2G'!E21="","##BLANK",'2G'!E21)</f>
        <v>##BLANK</v>
      </c>
    </row>
    <row r="1217" spans="2:7">
      <c r="B1217" s="893" t="str">
        <f>+'2G'!AD22</f>
        <v>CR1015WWCR</v>
      </c>
      <c r="E1217" s="1753" t="s">
        <v>11007</v>
      </c>
      <c r="G1217" t="str">
        <f>IF('2G'!E22="","##BLANK",'2G'!E22)</f>
        <v>##BLANK</v>
      </c>
    </row>
    <row r="1218" spans="2:7">
      <c r="B1218" s="893" t="str">
        <f>+'2G'!AD23</f>
        <v>CR1016WWCR</v>
      </c>
      <c r="E1218" s="1753" t="s">
        <v>11007</v>
      </c>
      <c r="G1218" t="str">
        <f>IF('2G'!E23="","##BLANK",'2G'!E23)</f>
        <v>##BLANK</v>
      </c>
    </row>
    <row r="1219" spans="2:7">
      <c r="B1219" s="893" t="str">
        <f>+'2G'!AD24</f>
        <v>CR1017WWCR</v>
      </c>
      <c r="E1219" s="1753" t="s">
        <v>11007</v>
      </c>
      <c r="G1219" t="str">
        <f>IF('2G'!E24="","##BLANK",'2G'!E24)</f>
        <v>##BLANK</v>
      </c>
    </row>
    <row r="1220" spans="2:7">
      <c r="B1220" s="893" t="str">
        <f>+'2G'!AD25</f>
        <v>CR1018WWCR</v>
      </c>
      <c r="E1220" s="1753" t="s">
        <v>11007</v>
      </c>
      <c r="G1220" t="str">
        <f>IF('2G'!E25="","##BLANK",'2G'!E25)</f>
        <v>##BLANK</v>
      </c>
    </row>
    <row r="1221" spans="2:7">
      <c r="B1221" s="893" t="str">
        <f>+'2G'!AD26</f>
        <v>CR1019WWCR</v>
      </c>
      <c r="E1221" s="1753" t="s">
        <v>11007</v>
      </c>
      <c r="G1221" t="str">
        <f>IF('2G'!E26="","##BLANK",'2G'!E26)</f>
        <v>##BLANK</v>
      </c>
    </row>
    <row r="1222" spans="2:7">
      <c r="B1222" s="893" t="str">
        <f>+'2G'!AD27</f>
        <v>CR1020WWCR</v>
      </c>
      <c r="E1222" s="1753" t="s">
        <v>11007</v>
      </c>
      <c r="G1222" t="str">
        <f>IF('2G'!E27="","##BLANK",'2G'!E27)</f>
        <v>##BLANK</v>
      </c>
    </row>
    <row r="1223" spans="2:7">
      <c r="B1223" s="893" t="str">
        <f>+'2G'!AD28</f>
        <v>CR1025WWCR</v>
      </c>
      <c r="E1223" s="1753" t="s">
        <v>11007</v>
      </c>
      <c r="G1223">
        <f>IF('2G'!E28="","##BLANK",'2G'!E28)</f>
        <v>0</v>
      </c>
    </row>
    <row r="1224" spans="2:7">
      <c r="B1224" s="893" t="str">
        <f>+'2G'!AD30</f>
        <v>CR1030WWCR</v>
      </c>
      <c r="E1224" s="1753" t="s">
        <v>11007</v>
      </c>
      <c r="G1224">
        <f>IF('2G'!E30="","##BLANK",'2G'!E30)</f>
        <v>0</v>
      </c>
    </row>
    <row r="1225" spans="2:7">
      <c r="B1225" s="893" t="str">
        <f>+'2G'!AE6</f>
        <v>CR1001WRR</v>
      </c>
      <c r="E1225" s="1753" t="s">
        <v>11007</v>
      </c>
      <c r="G1225" t="str">
        <f>IF('2G'!F6="","##BLANK",'2G'!F6)</f>
        <v>##BLANK</v>
      </c>
    </row>
    <row r="1226" spans="2:7">
      <c r="B1226" s="893" t="str">
        <f>+'2G'!AE9</f>
        <v>CR1002WRR</v>
      </c>
      <c r="E1226" s="1753" t="s">
        <v>11007</v>
      </c>
      <c r="G1226" t="str">
        <f>IF('2G'!F9="","##BLANK",'2G'!F9)</f>
        <v>##BLANK</v>
      </c>
    </row>
    <row r="1227" spans="2:7">
      <c r="B1227" s="893" t="str">
        <f>+'2G'!AE10</f>
        <v>CR1003WRR</v>
      </c>
      <c r="E1227" s="1753" t="s">
        <v>11007</v>
      </c>
      <c r="G1227" t="str">
        <f>IF('2G'!F10="","##BLANK",'2G'!F10)</f>
        <v>##BLANK</v>
      </c>
    </row>
    <row r="1228" spans="2:7">
      <c r="B1228" s="893" t="str">
        <f>+'2G'!AE11</f>
        <v>CR1004WRR</v>
      </c>
      <c r="E1228" s="1753" t="s">
        <v>11007</v>
      </c>
      <c r="G1228" t="str">
        <f>IF('2G'!F11="","##BLANK",'2G'!F11)</f>
        <v>##BLANK</v>
      </c>
    </row>
    <row r="1229" spans="2:7">
      <c r="B1229" s="893" t="str">
        <f>+'2G'!AE12</f>
        <v>CR1005WRR</v>
      </c>
      <c r="E1229" s="1753" t="s">
        <v>11007</v>
      </c>
      <c r="G1229" t="str">
        <f>IF('2G'!F12="","##BLANK",'2G'!F12)</f>
        <v>##BLANK</v>
      </c>
    </row>
    <row r="1230" spans="2:7">
      <c r="B1230" s="893" t="str">
        <f>+'2G'!AE13</f>
        <v>CR1006WRR</v>
      </c>
      <c r="E1230" s="1753" t="s">
        <v>11007</v>
      </c>
      <c r="G1230" t="str">
        <f>IF('2G'!F13="","##BLANK",'2G'!F13)</f>
        <v>##BLANK</v>
      </c>
    </row>
    <row r="1231" spans="2:7">
      <c r="B1231" s="893" t="str">
        <f>+'2G'!AE14</f>
        <v>CR1007WRR</v>
      </c>
      <c r="E1231" s="1753" t="s">
        <v>11007</v>
      </c>
      <c r="G1231" t="str">
        <f>IF('2G'!F14="","##BLANK",'2G'!F14)</f>
        <v>##BLANK</v>
      </c>
    </row>
    <row r="1232" spans="2:7">
      <c r="B1232" s="893" t="str">
        <f>+'2G'!AE15</f>
        <v>CR1008WRR</v>
      </c>
      <c r="E1232" s="1753" t="s">
        <v>11007</v>
      </c>
      <c r="G1232" t="str">
        <f>IF('2G'!F15="","##BLANK",'2G'!F15)</f>
        <v>##BLANK</v>
      </c>
    </row>
    <row r="1233" spans="2:7">
      <c r="B1233" s="893" t="str">
        <f>+'2G'!AE16</f>
        <v>CR1009WRR</v>
      </c>
      <c r="E1233" s="1753" t="s">
        <v>11007</v>
      </c>
      <c r="G1233" t="str">
        <f>IF('2G'!F16="","##BLANK",'2G'!F16)</f>
        <v>##BLANK</v>
      </c>
    </row>
    <row r="1234" spans="2:7">
      <c r="B1234" s="893" t="str">
        <f>+'2G'!AE17</f>
        <v>CR1010WRR</v>
      </c>
      <c r="E1234" s="1753" t="s">
        <v>11007</v>
      </c>
      <c r="G1234" t="str">
        <f>IF('2G'!F17="","##BLANK",'2G'!F17)</f>
        <v>##BLANK</v>
      </c>
    </row>
    <row r="1235" spans="2:7">
      <c r="B1235" s="893" t="str">
        <f>+'2G'!AE18</f>
        <v>CR1011WRR</v>
      </c>
      <c r="E1235" s="1753" t="s">
        <v>11007</v>
      </c>
      <c r="G1235" t="str">
        <f>IF('2G'!F18="","##BLANK",'2G'!F18)</f>
        <v>##BLANK</v>
      </c>
    </row>
    <row r="1236" spans="2:7">
      <c r="B1236" s="893" t="str">
        <f>+'2G'!AE19</f>
        <v>CR1012WRR</v>
      </c>
      <c r="E1236" s="1753" t="s">
        <v>11007</v>
      </c>
      <c r="G1236" t="str">
        <f>IF('2G'!F19="","##BLANK",'2G'!F19)</f>
        <v>##BLANK</v>
      </c>
    </row>
    <row r="1237" spans="2:7">
      <c r="B1237" s="893" t="str">
        <f>+'2G'!AE20</f>
        <v>CR1013WRR</v>
      </c>
      <c r="E1237" s="1753" t="s">
        <v>11007</v>
      </c>
      <c r="G1237" t="str">
        <f>IF('2G'!F20="","##BLANK",'2G'!F20)</f>
        <v>##BLANK</v>
      </c>
    </row>
    <row r="1238" spans="2:7">
      <c r="B1238" s="893" t="str">
        <f>+'2G'!AE21</f>
        <v>CR1014WRR</v>
      </c>
      <c r="E1238" s="1753" t="s">
        <v>11007</v>
      </c>
      <c r="G1238" t="str">
        <f>IF('2G'!F21="","##BLANK",'2G'!F21)</f>
        <v>##BLANK</v>
      </c>
    </row>
    <row r="1239" spans="2:7">
      <c r="B1239" s="893" t="str">
        <f>+'2G'!AE22</f>
        <v>CR1015WRR</v>
      </c>
      <c r="E1239" s="1753" t="s">
        <v>11007</v>
      </c>
      <c r="G1239" t="str">
        <f>IF('2G'!F22="","##BLANK",'2G'!F22)</f>
        <v>##BLANK</v>
      </c>
    </row>
    <row r="1240" spans="2:7">
      <c r="B1240" s="893" t="str">
        <f>+'2G'!AE23</f>
        <v>CR1016WRR</v>
      </c>
      <c r="E1240" s="1753" t="s">
        <v>11007</v>
      </c>
      <c r="G1240" t="str">
        <f>IF('2G'!F23="","##BLANK",'2G'!F23)</f>
        <v>##BLANK</v>
      </c>
    </row>
    <row r="1241" spans="2:7">
      <c r="B1241" s="893" t="str">
        <f>+'2G'!AE24</f>
        <v>CR1017WRR</v>
      </c>
      <c r="E1241" s="1753" t="s">
        <v>11007</v>
      </c>
      <c r="G1241" t="str">
        <f>IF('2G'!F24="","##BLANK",'2G'!F24)</f>
        <v>##BLANK</v>
      </c>
    </row>
    <row r="1242" spans="2:7">
      <c r="B1242" s="893" t="str">
        <f>+'2G'!AE25</f>
        <v>CR1018WRR</v>
      </c>
      <c r="E1242" s="1753" t="s">
        <v>11007</v>
      </c>
      <c r="G1242" t="str">
        <f>IF('2G'!F25="","##BLANK",'2G'!F25)</f>
        <v>##BLANK</v>
      </c>
    </row>
    <row r="1243" spans="2:7">
      <c r="B1243" s="893" t="str">
        <f>+'2G'!AE26</f>
        <v>CR1019WRR</v>
      </c>
      <c r="E1243" s="1753" t="s">
        <v>11007</v>
      </c>
      <c r="G1243" t="str">
        <f>IF('2G'!F26="","##BLANK",'2G'!F26)</f>
        <v>##BLANK</v>
      </c>
    </row>
    <row r="1244" spans="2:7">
      <c r="B1244" s="893" t="str">
        <f>+'2G'!AE27</f>
        <v>CR1020WRR</v>
      </c>
      <c r="E1244" s="1753" t="s">
        <v>11007</v>
      </c>
      <c r="G1244" t="str">
        <f>IF('2G'!F27="","##BLANK",'2G'!F27)</f>
        <v>##BLANK</v>
      </c>
    </row>
    <row r="1245" spans="2:7">
      <c r="B1245" s="893" t="str">
        <f>+'2G'!AE28</f>
        <v>CR1025WRR</v>
      </c>
      <c r="E1245" s="1753" t="s">
        <v>11007</v>
      </c>
      <c r="G1245">
        <f>IF('2G'!F28="","##BLANK",'2G'!F28)</f>
        <v>0</v>
      </c>
    </row>
    <row r="1246" spans="2:7">
      <c r="B1246" s="893" t="str">
        <f>+'2G'!AE30</f>
        <v>CR1030WRR</v>
      </c>
      <c r="E1246" s="1753" t="s">
        <v>11007</v>
      </c>
      <c r="G1246">
        <f>IF('2G'!F30="","##BLANK",'2G'!F30)</f>
        <v>0</v>
      </c>
    </row>
    <row r="1247" spans="2:7">
      <c r="B1247" s="893" t="str">
        <f>+'2G'!AF6</f>
        <v>CR1001WTR</v>
      </c>
      <c r="E1247" s="1753" t="s">
        <v>11007</v>
      </c>
      <c r="G1247">
        <f>IF('2G'!G6="","##BLANK",'2G'!G6)</f>
        <v>0</v>
      </c>
    </row>
    <row r="1248" spans="2:7">
      <c r="B1248" s="893" t="str">
        <f>+'2G'!AF9</f>
        <v>CR1002WTR</v>
      </c>
      <c r="E1248" s="1753" t="s">
        <v>11007</v>
      </c>
      <c r="G1248">
        <f>IF('2G'!G9="","##BLANK",'2G'!G9)</f>
        <v>0</v>
      </c>
    </row>
    <row r="1249" spans="2:7">
      <c r="B1249" s="893" t="str">
        <f>+'2G'!AF10</f>
        <v>CR1003WTR</v>
      </c>
      <c r="E1249" s="1753" t="s">
        <v>11007</v>
      </c>
      <c r="G1249">
        <f>IF('2G'!G10="","##BLANK",'2G'!G10)</f>
        <v>0</v>
      </c>
    </row>
    <row r="1250" spans="2:7">
      <c r="B1250" s="893" t="str">
        <f>+'2G'!AF11</f>
        <v>CR1004WTR</v>
      </c>
      <c r="E1250" s="1753" t="s">
        <v>11007</v>
      </c>
      <c r="G1250">
        <f>IF('2G'!G11="","##BLANK",'2G'!G11)</f>
        <v>0</v>
      </c>
    </row>
    <row r="1251" spans="2:7">
      <c r="B1251" s="893" t="str">
        <f>+'2G'!AF12</f>
        <v>CR1005WTR</v>
      </c>
      <c r="E1251" s="1753" t="s">
        <v>11007</v>
      </c>
      <c r="G1251">
        <f>IF('2G'!G12="","##BLANK",'2G'!G12)</f>
        <v>0</v>
      </c>
    </row>
    <row r="1252" spans="2:7">
      <c r="B1252" s="893" t="str">
        <f>+'2G'!AF13</f>
        <v>CR1006WTR</v>
      </c>
      <c r="E1252" s="1753" t="s">
        <v>11007</v>
      </c>
      <c r="G1252">
        <f>IF('2G'!G13="","##BLANK",'2G'!G13)</f>
        <v>0</v>
      </c>
    </row>
    <row r="1253" spans="2:7">
      <c r="B1253" s="893" t="str">
        <f>+'2G'!AF14</f>
        <v>CR1007WTR</v>
      </c>
      <c r="E1253" s="1753" t="s">
        <v>11007</v>
      </c>
      <c r="G1253">
        <f>IF('2G'!G14="","##BLANK",'2G'!G14)</f>
        <v>0</v>
      </c>
    </row>
    <row r="1254" spans="2:7">
      <c r="B1254" s="893" t="str">
        <f>+'2G'!AF15</f>
        <v>CR1008WTR</v>
      </c>
      <c r="E1254" s="1753" t="s">
        <v>11007</v>
      </c>
      <c r="G1254">
        <f>IF('2G'!G15="","##BLANK",'2G'!G15)</f>
        <v>0</v>
      </c>
    </row>
    <row r="1255" spans="2:7">
      <c r="B1255" s="893" t="str">
        <f>+'2G'!AF16</f>
        <v>CR1009WTR</v>
      </c>
      <c r="E1255" s="1753" t="s">
        <v>11007</v>
      </c>
      <c r="G1255">
        <f>IF('2G'!G16="","##BLANK",'2G'!G16)</f>
        <v>0</v>
      </c>
    </row>
    <row r="1256" spans="2:7">
      <c r="B1256" s="893" t="str">
        <f>+'2G'!AF17</f>
        <v>CR1010WTR</v>
      </c>
      <c r="E1256" s="1753" t="s">
        <v>11007</v>
      </c>
      <c r="G1256">
        <f>IF('2G'!G17="","##BLANK",'2G'!G17)</f>
        <v>0</v>
      </c>
    </row>
    <row r="1257" spans="2:7">
      <c r="B1257" s="893" t="str">
        <f>+'2G'!AF18</f>
        <v>CR1011WTR</v>
      </c>
      <c r="E1257" s="1753" t="s">
        <v>11007</v>
      </c>
      <c r="G1257">
        <f>IF('2G'!G18="","##BLANK",'2G'!G18)</f>
        <v>0</v>
      </c>
    </row>
    <row r="1258" spans="2:7">
      <c r="B1258" s="893" t="str">
        <f>+'2G'!AF19</f>
        <v>CR1012WTR</v>
      </c>
      <c r="E1258" s="1753" t="s">
        <v>11007</v>
      </c>
      <c r="G1258">
        <f>IF('2G'!G19="","##BLANK",'2G'!G19)</f>
        <v>0</v>
      </c>
    </row>
    <row r="1259" spans="2:7">
      <c r="B1259" s="893" t="str">
        <f>+'2G'!AF20</f>
        <v>CR1013WTR</v>
      </c>
      <c r="E1259" s="1753" t="s">
        <v>11007</v>
      </c>
      <c r="G1259">
        <f>IF('2G'!G20="","##BLANK",'2G'!G20)</f>
        <v>0</v>
      </c>
    </row>
    <row r="1260" spans="2:7">
      <c r="B1260" s="893" t="str">
        <f>+'2G'!AF21</f>
        <v>CR1014WTR</v>
      </c>
      <c r="E1260" s="1753" t="s">
        <v>11007</v>
      </c>
      <c r="G1260">
        <f>IF('2G'!G21="","##BLANK",'2G'!G21)</f>
        <v>0</v>
      </c>
    </row>
    <row r="1261" spans="2:7">
      <c r="B1261" s="893" t="str">
        <f>+'2G'!AF22</f>
        <v>CR1015WTR</v>
      </c>
      <c r="E1261" s="1753" t="s">
        <v>11007</v>
      </c>
      <c r="G1261">
        <f>IF('2G'!G22="","##BLANK",'2G'!G22)</f>
        <v>0</v>
      </c>
    </row>
    <row r="1262" spans="2:7">
      <c r="B1262" s="893" t="str">
        <f>+'2G'!AF23</f>
        <v>CR1016WTR</v>
      </c>
      <c r="E1262" s="1753" t="s">
        <v>11007</v>
      </c>
      <c r="G1262">
        <f>IF('2G'!G23="","##BLANK",'2G'!G23)</f>
        <v>0</v>
      </c>
    </row>
    <row r="1263" spans="2:7">
      <c r="B1263" s="893" t="str">
        <f>+'2G'!AF24</f>
        <v>CR1017WTR</v>
      </c>
      <c r="E1263" s="1753" t="s">
        <v>11007</v>
      </c>
      <c r="G1263">
        <f>IF('2G'!G24="","##BLANK",'2G'!G24)</f>
        <v>0</v>
      </c>
    </row>
    <row r="1264" spans="2:7">
      <c r="B1264" s="893" t="str">
        <f>+'2G'!AF25</f>
        <v>CR1018WTR</v>
      </c>
      <c r="E1264" s="1753" t="s">
        <v>11007</v>
      </c>
      <c r="G1264">
        <f>IF('2G'!G25="","##BLANK",'2G'!G25)</f>
        <v>0</v>
      </c>
    </row>
    <row r="1265" spans="2:7">
      <c r="B1265" s="893" t="str">
        <f>+'2G'!AF26</f>
        <v>CR1019WTR</v>
      </c>
      <c r="E1265" s="1753" t="s">
        <v>11007</v>
      </c>
      <c r="G1265">
        <f>IF('2G'!G26="","##BLANK",'2G'!G26)</f>
        <v>0</v>
      </c>
    </row>
    <row r="1266" spans="2:7">
      <c r="B1266" s="893" t="str">
        <f>+'2G'!AF27</f>
        <v>CR1020WTR</v>
      </c>
      <c r="E1266" s="1753" t="s">
        <v>11007</v>
      </c>
      <c r="G1266">
        <f>IF('2G'!G27="","##BLANK",'2G'!G27)</f>
        <v>0</v>
      </c>
    </row>
    <row r="1267" spans="2:7">
      <c r="B1267" s="893" t="str">
        <f>+'2G'!AF28</f>
        <v>CR1025WTR</v>
      </c>
      <c r="E1267" s="1753" t="s">
        <v>11007</v>
      </c>
      <c r="G1267">
        <f>IF('2G'!G28="","##BLANK",'2G'!G28)</f>
        <v>0</v>
      </c>
    </row>
    <row r="1268" spans="2:7">
      <c r="B1268" s="893" t="str">
        <f>+'2G'!AF30</f>
        <v>CR1030WTR</v>
      </c>
      <c r="E1268" s="1753" t="s">
        <v>11007</v>
      </c>
      <c r="G1268">
        <f>IF('2G'!G30="","##BLANK",'2G'!G30)</f>
        <v>0</v>
      </c>
    </row>
    <row r="1269" spans="2:7">
      <c r="B1269" s="893" t="str">
        <f>+'2G'!AG6</f>
        <v>CR1041WCO</v>
      </c>
      <c r="E1269" s="1753" t="s">
        <v>11007</v>
      </c>
      <c r="G1269" t="str">
        <f>IF('2G'!H6="","##BLANK",'2G'!H6)</f>
        <v>##BLANK</v>
      </c>
    </row>
    <row r="1270" spans="2:7">
      <c r="B1270" s="893" t="str">
        <f>+'2G'!AG9</f>
        <v>CR1042WCO</v>
      </c>
      <c r="E1270" s="1753" t="s">
        <v>11007</v>
      </c>
      <c r="G1270" t="str">
        <f>IF('2G'!H9="","##BLANK",'2G'!H9)</f>
        <v>##BLANK</v>
      </c>
    </row>
    <row r="1271" spans="2:7">
      <c r="B1271" s="893" t="str">
        <f>+'2G'!AG10</f>
        <v>CR1043WCO</v>
      </c>
      <c r="E1271" s="1753" t="s">
        <v>11007</v>
      </c>
      <c r="G1271" t="str">
        <f>IF('2G'!H10="","##BLANK",'2G'!H10)</f>
        <v>##BLANK</v>
      </c>
    </row>
    <row r="1272" spans="2:7">
      <c r="B1272" s="893" t="str">
        <f>+'2G'!AG11</f>
        <v>CR1044WCO</v>
      </c>
      <c r="E1272" s="1753" t="s">
        <v>11007</v>
      </c>
      <c r="G1272" t="str">
        <f>IF('2G'!H11="","##BLANK",'2G'!H11)</f>
        <v>##BLANK</v>
      </c>
    </row>
    <row r="1273" spans="2:7">
      <c r="B1273" s="893" t="str">
        <f>+'2G'!AG12</f>
        <v>CR1045WCO</v>
      </c>
      <c r="E1273" s="1753" t="s">
        <v>11007</v>
      </c>
      <c r="G1273" t="str">
        <f>IF('2G'!H12="","##BLANK",'2G'!H12)</f>
        <v>##BLANK</v>
      </c>
    </row>
    <row r="1274" spans="2:7">
      <c r="B1274" s="893" t="str">
        <f>+'2G'!AG13</f>
        <v>CR1046WCO</v>
      </c>
      <c r="E1274" s="1753" t="s">
        <v>11007</v>
      </c>
      <c r="G1274" t="str">
        <f>IF('2G'!H13="","##BLANK",'2G'!H13)</f>
        <v>##BLANK</v>
      </c>
    </row>
    <row r="1275" spans="2:7">
      <c r="B1275" s="893" t="str">
        <f>+'2G'!AG14</f>
        <v>CR1047WCO</v>
      </c>
      <c r="E1275" s="1753" t="s">
        <v>11007</v>
      </c>
      <c r="G1275" t="str">
        <f>IF('2G'!H14="","##BLANK",'2G'!H14)</f>
        <v>##BLANK</v>
      </c>
    </row>
    <row r="1276" spans="2:7">
      <c r="B1276" s="893" t="str">
        <f>+'2G'!AG15</f>
        <v>CR1048WCO</v>
      </c>
      <c r="E1276" s="1753" t="s">
        <v>11007</v>
      </c>
      <c r="G1276" t="str">
        <f>IF('2G'!H15="","##BLANK",'2G'!H15)</f>
        <v>##BLANK</v>
      </c>
    </row>
    <row r="1277" spans="2:7">
      <c r="B1277" s="893" t="str">
        <f>+'2G'!AG16</f>
        <v>CR1049WCO</v>
      </c>
      <c r="E1277" s="1753" t="s">
        <v>11007</v>
      </c>
      <c r="G1277" t="str">
        <f>IF('2G'!H16="","##BLANK",'2G'!H16)</f>
        <v>##BLANK</v>
      </c>
    </row>
    <row r="1278" spans="2:7">
      <c r="B1278" s="893" t="str">
        <f>+'2G'!AG17</f>
        <v>CR1050WCO</v>
      </c>
      <c r="E1278" s="1753" t="s">
        <v>11007</v>
      </c>
      <c r="G1278" t="str">
        <f>IF('2G'!H17="","##BLANK",'2G'!H17)</f>
        <v>##BLANK</v>
      </c>
    </row>
    <row r="1279" spans="2:7">
      <c r="B1279" s="893" t="str">
        <f>+'2G'!AG18</f>
        <v>CR1051WCO</v>
      </c>
      <c r="E1279" s="1753" t="s">
        <v>11007</v>
      </c>
      <c r="G1279" t="str">
        <f>IF('2G'!H18="","##BLANK",'2G'!H18)</f>
        <v>##BLANK</v>
      </c>
    </row>
    <row r="1280" spans="2:7">
      <c r="B1280" s="893" t="str">
        <f>+'2G'!AG19</f>
        <v>CR1052WCO</v>
      </c>
      <c r="E1280" s="1753" t="s">
        <v>11007</v>
      </c>
      <c r="G1280" t="str">
        <f>IF('2G'!H19="","##BLANK",'2G'!H19)</f>
        <v>##BLANK</v>
      </c>
    </row>
    <row r="1281" spans="2:7">
      <c r="B1281" s="893" t="str">
        <f>+'2G'!AG20</f>
        <v>CR1053WCO</v>
      </c>
      <c r="E1281" s="1753" t="s">
        <v>11007</v>
      </c>
      <c r="G1281" t="str">
        <f>IF('2G'!H20="","##BLANK",'2G'!H20)</f>
        <v>##BLANK</v>
      </c>
    </row>
    <row r="1282" spans="2:7">
      <c r="B1282" s="893" t="str">
        <f>+'2G'!AG21</f>
        <v>CR1054WCO</v>
      </c>
      <c r="E1282" s="1753" t="s">
        <v>11007</v>
      </c>
      <c r="G1282" t="str">
        <f>IF('2G'!H21="","##BLANK",'2G'!H21)</f>
        <v>##BLANK</v>
      </c>
    </row>
    <row r="1283" spans="2:7">
      <c r="B1283" s="893" t="str">
        <f>+'2G'!AG22</f>
        <v>CR1055WCO</v>
      </c>
      <c r="E1283" s="1753" t="s">
        <v>11007</v>
      </c>
      <c r="G1283" t="str">
        <f>IF('2G'!H22="","##BLANK",'2G'!H22)</f>
        <v>##BLANK</v>
      </c>
    </row>
    <row r="1284" spans="2:7">
      <c r="B1284" s="893" t="str">
        <f>+'2G'!AG23</f>
        <v>CR1056WCO</v>
      </c>
      <c r="E1284" s="1753" t="s">
        <v>11007</v>
      </c>
      <c r="G1284" t="str">
        <f>IF('2G'!H23="","##BLANK",'2G'!H23)</f>
        <v>##BLANK</v>
      </c>
    </row>
    <row r="1285" spans="2:7">
      <c r="B1285" s="893" t="str">
        <f>+'2G'!AG24</f>
        <v>CR1057WCO</v>
      </c>
      <c r="E1285" s="1753" t="s">
        <v>11007</v>
      </c>
      <c r="G1285" t="str">
        <f>IF('2G'!H24="","##BLANK",'2G'!H24)</f>
        <v>##BLANK</v>
      </c>
    </row>
    <row r="1286" spans="2:7">
      <c r="B1286" s="893" t="str">
        <f>+'2G'!AG25</f>
        <v>CR1058WCO</v>
      </c>
      <c r="E1286" s="1753" t="s">
        <v>11007</v>
      </c>
      <c r="G1286" t="str">
        <f>IF('2G'!H25="","##BLANK",'2G'!H25)</f>
        <v>##BLANK</v>
      </c>
    </row>
    <row r="1287" spans="2:7">
      <c r="B1287" s="893" t="str">
        <f>+'2G'!AG26</f>
        <v>CR1059WCO</v>
      </c>
      <c r="E1287" s="1753" t="s">
        <v>11007</v>
      </c>
      <c r="G1287" t="str">
        <f>IF('2G'!H26="","##BLANK",'2G'!H26)</f>
        <v>##BLANK</v>
      </c>
    </row>
    <row r="1288" spans="2:7">
      <c r="B1288" s="893" t="str">
        <f>+'2G'!AG27</f>
        <v>CR1060WCO</v>
      </c>
      <c r="E1288" s="1753" t="s">
        <v>11007</v>
      </c>
      <c r="G1288" t="str">
        <f>IF('2G'!H27="","##BLANK",'2G'!H27)</f>
        <v>##BLANK</v>
      </c>
    </row>
    <row r="1289" spans="2:7">
      <c r="B1289" s="893" t="str">
        <f>+'2G'!AG28</f>
        <v>CR1065WCO</v>
      </c>
      <c r="E1289" s="1753" t="s">
        <v>11007</v>
      </c>
      <c r="G1289">
        <f>IF('2G'!H28="","##BLANK",'2G'!H28)</f>
        <v>0</v>
      </c>
    </row>
    <row r="1290" spans="2:7">
      <c r="B1290" s="893" t="str">
        <f>+'2G'!AG30</f>
        <v>CR1066WCO</v>
      </c>
      <c r="E1290" s="1753" t="s">
        <v>11007</v>
      </c>
      <c r="G1290">
        <f>IF('2G'!H30="","##BLANK",'2G'!H30)</f>
        <v>0</v>
      </c>
    </row>
    <row r="1291" spans="2:7" s="2146" customFormat="1">
      <c r="B1291" s="893" t="str">
        <f>+'2G'!AG34</f>
        <v>CR1030WCU</v>
      </c>
      <c r="C1291" s="1382"/>
      <c r="E1291" s="1753" t="s">
        <v>11007</v>
      </c>
      <c r="G1291" s="2146" t="str">
        <f>IF('2G'!H34="","##BLANK",'2G'!H34)</f>
        <v>##BLANK</v>
      </c>
    </row>
    <row r="1292" spans="2:7">
      <c r="B1292" s="893" t="str">
        <f>+'2G'!AH6</f>
        <v>CR1041WRPC</v>
      </c>
      <c r="E1292" s="1753" t="s">
        <v>11007</v>
      </c>
      <c r="G1292">
        <f>IF('2G'!I6="","##BLANK",'2G'!I6)</f>
        <v>0</v>
      </c>
    </row>
    <row r="1293" spans="2:7">
      <c r="B1293" s="893" t="str">
        <f>+'2G'!AH9</f>
        <v>CR1042WRPC</v>
      </c>
      <c r="E1293" s="1753" t="s">
        <v>11007</v>
      </c>
      <c r="G1293">
        <f>IF('2G'!I9="","##BLANK",'2G'!I9)</f>
        <v>0</v>
      </c>
    </row>
    <row r="1294" spans="2:7">
      <c r="B1294" s="893" t="str">
        <f>+'2G'!AH10</f>
        <v>CR1043WRPC</v>
      </c>
      <c r="E1294" s="1753" t="s">
        <v>11007</v>
      </c>
      <c r="G1294">
        <f>IF('2G'!I10="","##BLANK",'2G'!I10)</f>
        <v>0</v>
      </c>
    </row>
    <row r="1295" spans="2:7">
      <c r="B1295" s="893" t="str">
        <f>+'2G'!AH11</f>
        <v>CR1044WRPC</v>
      </c>
      <c r="E1295" s="1753" t="s">
        <v>11007</v>
      </c>
      <c r="G1295">
        <f>IF('2G'!I11="","##BLANK",'2G'!I11)</f>
        <v>0</v>
      </c>
    </row>
    <row r="1296" spans="2:7">
      <c r="B1296" s="893" t="str">
        <f>+'2G'!AH12</f>
        <v>CR1045WRPC</v>
      </c>
      <c r="E1296" s="1753" t="s">
        <v>11007</v>
      </c>
      <c r="G1296">
        <f>IF('2G'!I12="","##BLANK",'2G'!I12)</f>
        <v>0</v>
      </c>
    </row>
    <row r="1297" spans="2:7">
      <c r="B1297" s="893" t="str">
        <f>+'2G'!AH13</f>
        <v>CR1046WRPC</v>
      </c>
      <c r="E1297" s="1753" t="s">
        <v>11007</v>
      </c>
      <c r="G1297">
        <f>IF('2G'!I13="","##BLANK",'2G'!I13)</f>
        <v>0</v>
      </c>
    </row>
    <row r="1298" spans="2:7">
      <c r="B1298" s="893" t="str">
        <f>+'2G'!AH14</f>
        <v>CR1047WRPC</v>
      </c>
      <c r="E1298" s="1753" t="s">
        <v>11007</v>
      </c>
      <c r="G1298">
        <f>IF('2G'!I14="","##BLANK",'2G'!I14)</f>
        <v>0</v>
      </c>
    </row>
    <row r="1299" spans="2:7">
      <c r="B1299" s="893" t="str">
        <f>+'2G'!AH15</f>
        <v>CR1048WRPC</v>
      </c>
      <c r="E1299" s="1753" t="s">
        <v>11007</v>
      </c>
      <c r="G1299">
        <f>IF('2G'!I15="","##BLANK",'2G'!I15)</f>
        <v>0</v>
      </c>
    </row>
    <row r="1300" spans="2:7">
      <c r="B1300" s="893" t="str">
        <f>+'2G'!AH16</f>
        <v>CR1049WRPC</v>
      </c>
      <c r="E1300" s="1753" t="s">
        <v>11007</v>
      </c>
      <c r="G1300">
        <f>IF('2G'!I16="","##BLANK",'2G'!I16)</f>
        <v>0</v>
      </c>
    </row>
    <row r="1301" spans="2:7">
      <c r="B1301" s="893" t="str">
        <f>+'2G'!AH17</f>
        <v>CR1050WRPC</v>
      </c>
      <c r="E1301" s="1753" t="s">
        <v>11007</v>
      </c>
      <c r="G1301">
        <f>IF('2G'!I17="","##BLANK",'2G'!I17)</f>
        <v>0</v>
      </c>
    </row>
    <row r="1302" spans="2:7">
      <c r="B1302" s="893" t="str">
        <f>+'2G'!AH18</f>
        <v>CR1051WRPC</v>
      </c>
      <c r="E1302" s="1753" t="s">
        <v>11007</v>
      </c>
      <c r="G1302">
        <f>IF('2G'!I18="","##BLANK",'2G'!I18)</f>
        <v>0</v>
      </c>
    </row>
    <row r="1303" spans="2:7">
      <c r="B1303" s="893" t="str">
        <f>+'2G'!AH19</f>
        <v>CR1052WRPC</v>
      </c>
      <c r="E1303" s="1753" t="s">
        <v>11007</v>
      </c>
      <c r="G1303">
        <f>IF('2G'!I19="","##BLANK",'2G'!I19)</f>
        <v>0</v>
      </c>
    </row>
    <row r="1304" spans="2:7">
      <c r="B1304" s="893" t="str">
        <f>+'2G'!AH20</f>
        <v>CR1053WRPC</v>
      </c>
      <c r="E1304" s="1753" t="s">
        <v>11007</v>
      </c>
      <c r="G1304">
        <f>IF('2G'!I20="","##BLANK",'2G'!I20)</f>
        <v>0</v>
      </c>
    </row>
    <row r="1305" spans="2:7">
      <c r="B1305" s="893" t="str">
        <f>+'2G'!AH21</f>
        <v>CR1054WRPC</v>
      </c>
      <c r="E1305" s="1753" t="s">
        <v>11007</v>
      </c>
      <c r="G1305">
        <f>IF('2G'!I21="","##BLANK",'2G'!I21)</f>
        <v>0</v>
      </c>
    </row>
    <row r="1306" spans="2:7">
      <c r="B1306" s="893" t="str">
        <f>+'2G'!AH22</f>
        <v>CR1055WRPC</v>
      </c>
      <c r="E1306" s="1753" t="s">
        <v>11007</v>
      </c>
      <c r="G1306">
        <f>IF('2G'!I22="","##BLANK",'2G'!I22)</f>
        <v>0</v>
      </c>
    </row>
    <row r="1307" spans="2:7">
      <c r="B1307" s="893" t="str">
        <f>+'2G'!AH23</f>
        <v>CR1056WRPC</v>
      </c>
      <c r="E1307" s="1753" t="s">
        <v>11007</v>
      </c>
      <c r="G1307">
        <f>IF('2G'!I23="","##BLANK",'2G'!I23)</f>
        <v>0</v>
      </c>
    </row>
    <row r="1308" spans="2:7">
      <c r="B1308" s="893" t="str">
        <f>+'2G'!AH24</f>
        <v>CR1057WRPC</v>
      </c>
      <c r="E1308" s="1753" t="s">
        <v>11007</v>
      </c>
      <c r="G1308">
        <f>IF('2G'!I24="","##BLANK",'2G'!I24)</f>
        <v>0</v>
      </c>
    </row>
    <row r="1309" spans="2:7">
      <c r="B1309" s="893" t="str">
        <f>+'2G'!AH25</f>
        <v>CR1058WRPC</v>
      </c>
      <c r="E1309" s="1753" t="s">
        <v>11007</v>
      </c>
      <c r="G1309">
        <f>IF('2G'!I25="","##BLANK",'2G'!I25)</f>
        <v>0</v>
      </c>
    </row>
    <row r="1310" spans="2:7">
      <c r="B1310" s="893" t="str">
        <f>+'2G'!AH26</f>
        <v>CR1059WRPC</v>
      </c>
      <c r="E1310" s="1753" t="s">
        <v>11007</v>
      </c>
      <c r="G1310">
        <f>IF('2G'!I26="","##BLANK",'2G'!I26)</f>
        <v>0</v>
      </c>
    </row>
    <row r="1311" spans="2:7">
      <c r="B1311" s="893" t="str">
        <f>+'2G'!AH27</f>
        <v>CR1060WRPC</v>
      </c>
      <c r="E1311" s="1753" t="s">
        <v>11007</v>
      </c>
      <c r="G1311">
        <f>IF('2G'!I27="","##BLANK",'2G'!I27)</f>
        <v>0</v>
      </c>
    </row>
    <row r="1312" spans="2:7">
      <c r="B1312" s="893" t="str">
        <f>+'2G'!AH28</f>
        <v>CR1065WRPC</v>
      </c>
      <c r="E1312" s="1753" t="s">
        <v>11007</v>
      </c>
      <c r="G1312">
        <f>IF('2G'!I28="","##BLANK",'2G'!I28)</f>
        <v>0</v>
      </c>
    </row>
    <row r="1313" spans="2:7">
      <c r="B1313" s="893" t="str">
        <f>+'2G'!AH30</f>
        <v>CR1066WRPC</v>
      </c>
      <c r="E1313" s="1753" t="s">
        <v>11007</v>
      </c>
      <c r="G1313">
        <f>IF('2G'!I30="","##BLANK",'2G'!I30)</f>
        <v>0</v>
      </c>
    </row>
    <row r="1314" spans="2:7">
      <c r="B1314" s="1846" t="str">
        <f>+'2G'!AH34</f>
        <v>CR1030WRPC</v>
      </c>
      <c r="E1314" s="1753" t="s">
        <v>11007</v>
      </c>
      <c r="G1314">
        <f>IF('2G'!I34="","##BLANK",'2G'!I34)</f>
        <v>0</v>
      </c>
    </row>
    <row r="1315" spans="2:7">
      <c r="B1315" s="893" t="str">
        <f>+'2H'!AD6</f>
        <v>CR1001SWCR</v>
      </c>
      <c r="E1315" s="1753" t="s">
        <v>11007</v>
      </c>
      <c r="G1315" t="str">
        <f>IF('2H'!E6="","##BLANK",'2H'!E6)</f>
        <v>##BLANK</v>
      </c>
    </row>
    <row r="1316" spans="2:7">
      <c r="B1316" s="893" t="str">
        <f>+'2H'!AD9</f>
        <v>CR1002SWCR</v>
      </c>
      <c r="E1316" s="1753" t="s">
        <v>11007</v>
      </c>
      <c r="G1316" t="str">
        <f>IF('2H'!E9="","##BLANK",'2H'!E9)</f>
        <v>##BLANK</v>
      </c>
    </row>
    <row r="1317" spans="2:7">
      <c r="B1317" s="893" t="str">
        <f>+'2H'!AD10</f>
        <v>CR1003SWCR</v>
      </c>
      <c r="E1317" s="1753" t="s">
        <v>11007</v>
      </c>
      <c r="G1317" t="str">
        <f>IF('2H'!E10="","##BLANK",'2H'!E10)</f>
        <v>##BLANK</v>
      </c>
    </row>
    <row r="1318" spans="2:7">
      <c r="B1318" s="893" t="str">
        <f>+'2H'!AD11</f>
        <v>CR1004SWCR</v>
      </c>
      <c r="E1318" s="1753" t="s">
        <v>11007</v>
      </c>
      <c r="G1318" t="str">
        <f>IF('2H'!E11="","##BLANK",'2H'!E11)</f>
        <v>##BLANK</v>
      </c>
    </row>
    <row r="1319" spans="2:7">
      <c r="B1319" s="893" t="str">
        <f>+'2H'!AD12</f>
        <v>CR1005SWCR</v>
      </c>
      <c r="E1319" s="1753" t="s">
        <v>11007</v>
      </c>
      <c r="G1319" t="str">
        <f>IF('2H'!E12="","##BLANK",'2H'!E12)</f>
        <v>##BLANK</v>
      </c>
    </row>
    <row r="1320" spans="2:7">
      <c r="B1320" s="893" t="str">
        <f>+'2H'!AD13</f>
        <v>CR1006SWCR</v>
      </c>
      <c r="E1320" s="1753" t="s">
        <v>11007</v>
      </c>
      <c r="G1320" t="str">
        <f>IF('2H'!E13="","##BLANK",'2H'!E13)</f>
        <v>##BLANK</v>
      </c>
    </row>
    <row r="1321" spans="2:7">
      <c r="B1321" s="893" t="str">
        <f>+'2H'!AD14</f>
        <v>CR1007SWCR</v>
      </c>
      <c r="E1321" s="1753" t="s">
        <v>11007</v>
      </c>
      <c r="G1321" t="str">
        <f>IF('2H'!E14="","##BLANK",'2H'!E14)</f>
        <v>##BLANK</v>
      </c>
    </row>
    <row r="1322" spans="2:7">
      <c r="B1322" s="893" t="str">
        <f>+'2H'!AD15</f>
        <v>CR1008SWCR</v>
      </c>
      <c r="E1322" s="1753" t="s">
        <v>11007</v>
      </c>
      <c r="G1322" t="str">
        <f>IF('2H'!E15="","##BLANK",'2H'!E15)</f>
        <v>##BLANK</v>
      </c>
    </row>
    <row r="1323" spans="2:7">
      <c r="B1323" s="893" t="str">
        <f>+'2H'!AD16</f>
        <v>CR1009SWCR</v>
      </c>
      <c r="E1323" s="1753" t="s">
        <v>11007</v>
      </c>
      <c r="G1323" t="str">
        <f>IF('2H'!E16="","##BLANK",'2H'!E16)</f>
        <v>##BLANK</v>
      </c>
    </row>
    <row r="1324" spans="2:7">
      <c r="B1324" s="893" t="str">
        <f>+'2H'!AD17</f>
        <v>CR1010SWCR</v>
      </c>
      <c r="E1324" s="1753" t="s">
        <v>11007</v>
      </c>
      <c r="G1324" t="str">
        <f>IF('2H'!E17="","##BLANK",'2H'!E17)</f>
        <v>##BLANK</v>
      </c>
    </row>
    <row r="1325" spans="2:7">
      <c r="B1325" s="893" t="str">
        <f>+'2H'!AD18</f>
        <v>CR1011SWCR</v>
      </c>
      <c r="E1325" s="1753" t="s">
        <v>11007</v>
      </c>
      <c r="G1325" t="str">
        <f>IF('2H'!E18="","##BLANK",'2H'!E18)</f>
        <v>##BLANK</v>
      </c>
    </row>
    <row r="1326" spans="2:7">
      <c r="B1326" s="893" t="str">
        <f>+'2H'!AD19</f>
        <v>CR1012SWCR</v>
      </c>
      <c r="E1326" s="1753" t="s">
        <v>11007</v>
      </c>
      <c r="G1326" t="str">
        <f>IF('2H'!E19="","##BLANK",'2H'!E19)</f>
        <v>##BLANK</v>
      </c>
    </row>
    <row r="1327" spans="2:7">
      <c r="B1327" s="893" t="str">
        <f>+'2H'!AD20</f>
        <v>CR1013SWCR</v>
      </c>
      <c r="E1327" s="1753" t="s">
        <v>11007</v>
      </c>
      <c r="G1327" t="str">
        <f>IF('2H'!E20="","##BLANK",'2H'!E20)</f>
        <v>##BLANK</v>
      </c>
    </row>
    <row r="1328" spans="2:7">
      <c r="B1328" s="893" t="str">
        <f>+'2H'!AD21</f>
        <v>CR1014SWCR</v>
      </c>
      <c r="E1328" s="1753" t="s">
        <v>11007</v>
      </c>
      <c r="G1328" t="str">
        <f>IF('2H'!E21="","##BLANK",'2H'!E21)</f>
        <v>##BLANK</v>
      </c>
    </row>
    <row r="1329" spans="2:7">
      <c r="B1329" s="893" t="str">
        <f>+'2H'!AD22</f>
        <v>CR1015SWCR</v>
      </c>
      <c r="E1329" s="1753" t="s">
        <v>11007</v>
      </c>
      <c r="G1329" t="str">
        <f>IF('2H'!E22="","##BLANK",'2H'!E22)</f>
        <v>##BLANK</v>
      </c>
    </row>
    <row r="1330" spans="2:7">
      <c r="B1330" s="893" t="str">
        <f>+'2H'!AD23</f>
        <v>CR1016SWCR</v>
      </c>
      <c r="E1330" s="1753" t="s">
        <v>11007</v>
      </c>
      <c r="G1330" t="str">
        <f>IF('2H'!E23="","##BLANK",'2H'!E23)</f>
        <v>##BLANK</v>
      </c>
    </row>
    <row r="1331" spans="2:7">
      <c r="B1331" s="893" t="str">
        <f>+'2H'!AD24</f>
        <v>CR1017SWCR</v>
      </c>
      <c r="E1331" s="1753" t="s">
        <v>11007</v>
      </c>
      <c r="G1331" t="str">
        <f>IF('2H'!E24="","##BLANK",'2H'!E24)</f>
        <v>##BLANK</v>
      </c>
    </row>
    <row r="1332" spans="2:7">
      <c r="B1332" s="893" t="str">
        <f>+'2H'!AD25</f>
        <v>CR1018SWCR</v>
      </c>
      <c r="E1332" s="1753" t="s">
        <v>11007</v>
      </c>
      <c r="G1332" t="str">
        <f>IF('2H'!E25="","##BLANK",'2H'!E25)</f>
        <v>##BLANK</v>
      </c>
    </row>
    <row r="1333" spans="2:7">
      <c r="B1333" s="893" t="str">
        <f>+'2H'!AD26</f>
        <v>CR1019SWCR</v>
      </c>
      <c r="E1333" s="1753" t="s">
        <v>11007</v>
      </c>
      <c r="G1333" t="str">
        <f>IF('2H'!E26="","##BLANK",'2H'!E26)</f>
        <v>##BLANK</v>
      </c>
    </row>
    <row r="1334" spans="2:7">
      <c r="B1334" s="893" t="str">
        <f>+'2H'!AD27</f>
        <v>CR1020SWCR</v>
      </c>
      <c r="E1334" s="1753" t="s">
        <v>11007</v>
      </c>
      <c r="G1334" t="str">
        <f>IF('2H'!E27="","##BLANK",'2H'!E27)</f>
        <v>##BLANK</v>
      </c>
    </row>
    <row r="1335" spans="2:7">
      <c r="B1335" s="893" t="str">
        <f>+'2H'!AD28</f>
        <v>CR1021SWCR</v>
      </c>
      <c r="E1335" s="1753" t="s">
        <v>11007</v>
      </c>
      <c r="G1335" t="str">
        <f>IF('2H'!E28="","##BLANK",'2H'!E28)</f>
        <v>##BLANK</v>
      </c>
    </row>
    <row r="1336" spans="2:7">
      <c r="B1336" s="893" t="str">
        <f>+'2H'!AD29</f>
        <v>CR1022SWCR</v>
      </c>
      <c r="E1336" s="1753" t="s">
        <v>11007</v>
      </c>
      <c r="G1336" t="str">
        <f>IF('2H'!E29="","##BLANK",'2H'!E29)</f>
        <v>##BLANK</v>
      </c>
    </row>
    <row r="1337" spans="2:7">
      <c r="B1337" s="893" t="str">
        <f>+'2H'!AD30</f>
        <v>CR1023SWCR</v>
      </c>
      <c r="E1337" s="1753" t="s">
        <v>11007</v>
      </c>
      <c r="G1337" t="str">
        <f>IF('2H'!E30="","##BLANK",'2H'!E30)</f>
        <v>##BLANK</v>
      </c>
    </row>
    <row r="1338" spans="2:7">
      <c r="B1338" s="893" t="str">
        <f>+'2H'!AD31</f>
        <v>CR1025SWCR</v>
      </c>
      <c r="E1338" s="1753" t="s">
        <v>11007</v>
      </c>
      <c r="G1338">
        <f>IF('2H'!E31="","##BLANK",'2H'!E31)</f>
        <v>0</v>
      </c>
    </row>
    <row r="1339" spans="2:7">
      <c r="B1339" s="893" t="str">
        <f>+'2H'!AD33</f>
        <v>CR1030SWCR</v>
      </c>
      <c r="E1339" s="1753" t="s">
        <v>11007</v>
      </c>
      <c r="G1339">
        <f>IF('2H'!E33="","##BLANK",'2H'!E33)</f>
        <v>0</v>
      </c>
    </row>
    <row r="1340" spans="2:7">
      <c r="B1340" s="893" t="str">
        <f>+'2H'!AE6</f>
        <v>CR1001SRR</v>
      </c>
      <c r="E1340" s="1753" t="s">
        <v>11007</v>
      </c>
      <c r="G1340" t="str">
        <f>IF('2H'!F6="","##BLANK",'2H'!F6)</f>
        <v>##BLANK</v>
      </c>
    </row>
    <row r="1341" spans="2:7">
      <c r="B1341" s="893" t="str">
        <f>+'2H'!AE9</f>
        <v>CR1002SRR</v>
      </c>
      <c r="E1341" s="1753" t="s">
        <v>11007</v>
      </c>
      <c r="G1341" t="str">
        <f>IF('2H'!F9="","##BLANK",'2H'!F9)</f>
        <v>##BLANK</v>
      </c>
    </row>
    <row r="1342" spans="2:7">
      <c r="B1342" s="893" t="str">
        <f>+'2H'!AE10</f>
        <v>CR1003SRR</v>
      </c>
      <c r="E1342" s="1753" t="s">
        <v>11007</v>
      </c>
      <c r="G1342" t="str">
        <f>IF('2H'!F10="","##BLANK",'2H'!F10)</f>
        <v>##BLANK</v>
      </c>
    </row>
    <row r="1343" spans="2:7">
      <c r="B1343" s="893" t="str">
        <f>+'2H'!AE11</f>
        <v>CR1004SRR</v>
      </c>
      <c r="E1343" s="1753" t="s">
        <v>11007</v>
      </c>
      <c r="G1343" t="str">
        <f>IF('2H'!F11="","##BLANK",'2H'!F11)</f>
        <v>##BLANK</v>
      </c>
    </row>
    <row r="1344" spans="2:7">
      <c r="B1344" s="893" t="str">
        <f>+'2H'!AE12</f>
        <v>CR1005SRR</v>
      </c>
      <c r="E1344" s="1753" t="s">
        <v>11007</v>
      </c>
      <c r="G1344" t="str">
        <f>IF('2H'!F12="","##BLANK",'2H'!F12)</f>
        <v>##BLANK</v>
      </c>
    </row>
    <row r="1345" spans="2:7">
      <c r="B1345" s="893" t="str">
        <f>+'2H'!AE13</f>
        <v>CR1006SRR</v>
      </c>
      <c r="E1345" s="1753" t="s">
        <v>11007</v>
      </c>
      <c r="G1345" t="str">
        <f>IF('2H'!F13="","##BLANK",'2H'!F13)</f>
        <v>##BLANK</v>
      </c>
    </row>
    <row r="1346" spans="2:7">
      <c r="B1346" s="893" t="str">
        <f>+'2H'!AE14</f>
        <v>CR1007SRR</v>
      </c>
      <c r="E1346" s="1753" t="s">
        <v>11007</v>
      </c>
      <c r="G1346" t="str">
        <f>IF('2H'!F14="","##BLANK",'2H'!F14)</f>
        <v>##BLANK</v>
      </c>
    </row>
    <row r="1347" spans="2:7">
      <c r="B1347" s="893" t="str">
        <f>+'2H'!AE15</f>
        <v>CR1008SRR</v>
      </c>
      <c r="E1347" s="1753" t="s">
        <v>11007</v>
      </c>
      <c r="G1347" t="str">
        <f>IF('2H'!F15="","##BLANK",'2H'!F15)</f>
        <v>##BLANK</v>
      </c>
    </row>
    <row r="1348" spans="2:7">
      <c r="B1348" s="893" t="str">
        <f>+'2H'!AE16</f>
        <v>CR1009SRR</v>
      </c>
      <c r="E1348" s="1753" t="s">
        <v>11007</v>
      </c>
      <c r="G1348" t="str">
        <f>IF('2H'!F16="","##BLANK",'2H'!F16)</f>
        <v>##BLANK</v>
      </c>
    </row>
    <row r="1349" spans="2:7">
      <c r="B1349" s="893" t="str">
        <f>+'2H'!AE17</f>
        <v>CR1010SRR</v>
      </c>
      <c r="E1349" s="1753" t="s">
        <v>11007</v>
      </c>
      <c r="G1349" t="str">
        <f>IF('2H'!F17="","##BLANK",'2H'!F17)</f>
        <v>##BLANK</v>
      </c>
    </row>
    <row r="1350" spans="2:7">
      <c r="B1350" s="893" t="str">
        <f>+'2H'!AE18</f>
        <v>CR1011SRR</v>
      </c>
      <c r="E1350" s="1753" t="s">
        <v>11007</v>
      </c>
      <c r="G1350" t="str">
        <f>IF('2H'!F18="","##BLANK",'2H'!F18)</f>
        <v>##BLANK</v>
      </c>
    </row>
    <row r="1351" spans="2:7">
      <c r="B1351" s="893" t="str">
        <f>+'2H'!AE19</f>
        <v>CR1012SRR</v>
      </c>
      <c r="E1351" s="1753" t="s">
        <v>11007</v>
      </c>
      <c r="G1351" t="str">
        <f>IF('2H'!F19="","##BLANK",'2H'!F19)</f>
        <v>##BLANK</v>
      </c>
    </row>
    <row r="1352" spans="2:7">
      <c r="B1352" s="893" t="str">
        <f>+'2H'!AE20</f>
        <v>CR1013SRR</v>
      </c>
      <c r="E1352" s="1753" t="s">
        <v>11007</v>
      </c>
      <c r="G1352" t="str">
        <f>IF('2H'!F20="","##BLANK",'2H'!F20)</f>
        <v>##BLANK</v>
      </c>
    </row>
    <row r="1353" spans="2:7">
      <c r="B1353" s="893" t="str">
        <f>+'2H'!AE21</f>
        <v>CR1014SRR</v>
      </c>
      <c r="E1353" s="1753" t="s">
        <v>11007</v>
      </c>
      <c r="G1353" t="str">
        <f>IF('2H'!F21="","##BLANK",'2H'!F21)</f>
        <v>##BLANK</v>
      </c>
    </row>
    <row r="1354" spans="2:7">
      <c r="B1354" s="893" t="str">
        <f>+'2H'!AE22</f>
        <v>CR1015SRR</v>
      </c>
      <c r="E1354" s="1753" t="s">
        <v>11007</v>
      </c>
      <c r="G1354" t="str">
        <f>IF('2H'!F22="","##BLANK",'2H'!F22)</f>
        <v>##BLANK</v>
      </c>
    </row>
    <row r="1355" spans="2:7">
      <c r="B1355" s="893" t="str">
        <f>+'2H'!AE23</f>
        <v>CR1016SRR</v>
      </c>
      <c r="E1355" s="1753" t="s">
        <v>11007</v>
      </c>
      <c r="G1355" t="str">
        <f>IF('2H'!F23="","##BLANK",'2H'!F23)</f>
        <v>##BLANK</v>
      </c>
    </row>
    <row r="1356" spans="2:7">
      <c r="B1356" s="893" t="str">
        <f>+'2H'!AE24</f>
        <v>CR1017SRR</v>
      </c>
      <c r="E1356" s="1753" t="s">
        <v>11007</v>
      </c>
      <c r="G1356" t="str">
        <f>IF('2H'!F24="","##BLANK",'2H'!F24)</f>
        <v>##BLANK</v>
      </c>
    </row>
    <row r="1357" spans="2:7">
      <c r="B1357" s="893" t="str">
        <f>+'2H'!AE25</f>
        <v>CR1018SRR</v>
      </c>
      <c r="E1357" s="1753" t="s">
        <v>11007</v>
      </c>
      <c r="G1357" t="str">
        <f>IF('2H'!F25="","##BLANK",'2H'!F25)</f>
        <v>##BLANK</v>
      </c>
    </row>
    <row r="1358" spans="2:7">
      <c r="B1358" s="893" t="str">
        <f>+'2H'!AE26</f>
        <v>CR1019SRR</v>
      </c>
      <c r="E1358" s="1753" t="s">
        <v>11007</v>
      </c>
      <c r="G1358" t="str">
        <f>IF('2H'!F26="","##BLANK",'2H'!F26)</f>
        <v>##BLANK</v>
      </c>
    </row>
    <row r="1359" spans="2:7">
      <c r="B1359" s="893" t="str">
        <f>+'2H'!AE27</f>
        <v>CR1020SRR</v>
      </c>
      <c r="E1359" s="1753" t="s">
        <v>11007</v>
      </c>
      <c r="G1359" t="str">
        <f>IF('2H'!F27="","##BLANK",'2H'!F27)</f>
        <v>##BLANK</v>
      </c>
    </row>
    <row r="1360" spans="2:7">
      <c r="B1360" s="893" t="str">
        <f>+'2H'!AE28</f>
        <v>CR1021SRR</v>
      </c>
      <c r="E1360" s="1753" t="s">
        <v>11007</v>
      </c>
      <c r="G1360" t="str">
        <f>IF('2H'!F28="","##BLANK",'2H'!F28)</f>
        <v>##BLANK</v>
      </c>
    </row>
    <row r="1361" spans="2:7">
      <c r="B1361" s="893" t="str">
        <f>+'2H'!AE29</f>
        <v>CR1022SRR</v>
      </c>
      <c r="E1361" s="1753" t="s">
        <v>11007</v>
      </c>
      <c r="G1361" t="str">
        <f>IF('2H'!F29="","##BLANK",'2H'!F29)</f>
        <v>##BLANK</v>
      </c>
    </row>
    <row r="1362" spans="2:7">
      <c r="B1362" s="893" t="str">
        <f>+'2H'!AE30</f>
        <v>CR1023SRR</v>
      </c>
      <c r="E1362" s="1753" t="s">
        <v>11007</v>
      </c>
      <c r="G1362" t="str">
        <f>IF('2H'!F30="","##BLANK",'2H'!F30)</f>
        <v>##BLANK</v>
      </c>
    </row>
    <row r="1363" spans="2:7">
      <c r="B1363" s="893" t="str">
        <f>+'2H'!AE31</f>
        <v>CR1025SRR</v>
      </c>
      <c r="E1363" s="1753" t="s">
        <v>11007</v>
      </c>
      <c r="G1363">
        <f>IF('2H'!F31="","##BLANK",'2H'!F31)</f>
        <v>0</v>
      </c>
    </row>
    <row r="1364" spans="2:7">
      <c r="B1364" s="893" t="str">
        <f>+'2H'!AE33</f>
        <v>CR1030SRR</v>
      </c>
      <c r="E1364" s="1753" t="s">
        <v>11007</v>
      </c>
      <c r="G1364">
        <f>IF('2H'!F33="","##BLANK",'2H'!F33)</f>
        <v>0</v>
      </c>
    </row>
    <row r="1365" spans="2:7">
      <c r="B1365" s="893" t="str">
        <f>+'2H'!AF6</f>
        <v>CR1001STR</v>
      </c>
      <c r="E1365" s="1753" t="s">
        <v>11007</v>
      </c>
      <c r="G1365">
        <f>IF('2H'!G6="","##BLANK",'2H'!G6)</f>
        <v>0</v>
      </c>
    </row>
    <row r="1366" spans="2:7">
      <c r="B1366" s="893" t="str">
        <f>+'2H'!AF9</f>
        <v>CR1002STR</v>
      </c>
      <c r="E1366" s="1753" t="s">
        <v>11007</v>
      </c>
      <c r="G1366">
        <f>IF('2H'!G9="","##BLANK",'2H'!G9)</f>
        <v>0</v>
      </c>
    </row>
    <row r="1367" spans="2:7">
      <c r="B1367" s="893" t="str">
        <f>+'2H'!AF10</f>
        <v>CR1003STR</v>
      </c>
      <c r="E1367" s="1753" t="s">
        <v>11007</v>
      </c>
      <c r="G1367">
        <f>IF('2H'!G10="","##BLANK",'2H'!G10)</f>
        <v>0</v>
      </c>
    </row>
    <row r="1368" spans="2:7">
      <c r="B1368" s="893" t="str">
        <f>+'2H'!AF11</f>
        <v>CR1004STR</v>
      </c>
      <c r="E1368" s="1753" t="s">
        <v>11007</v>
      </c>
      <c r="G1368">
        <f>IF('2H'!G11="","##BLANK",'2H'!G11)</f>
        <v>0</v>
      </c>
    </row>
    <row r="1369" spans="2:7">
      <c r="B1369" s="893" t="str">
        <f>+'2H'!AF12</f>
        <v>CR1005STR</v>
      </c>
      <c r="E1369" s="1753" t="s">
        <v>11007</v>
      </c>
      <c r="G1369">
        <f>IF('2H'!G12="","##BLANK",'2H'!G12)</f>
        <v>0</v>
      </c>
    </row>
    <row r="1370" spans="2:7">
      <c r="B1370" s="893" t="str">
        <f>+'2H'!AF13</f>
        <v>CR1006STR</v>
      </c>
      <c r="E1370" s="1753" t="s">
        <v>11007</v>
      </c>
      <c r="G1370">
        <f>IF('2H'!G13="","##BLANK",'2H'!G13)</f>
        <v>0</v>
      </c>
    </row>
    <row r="1371" spans="2:7">
      <c r="B1371" s="893" t="str">
        <f>+'2H'!AF14</f>
        <v>CR1007STR</v>
      </c>
      <c r="E1371" s="1753" t="s">
        <v>11007</v>
      </c>
      <c r="G1371">
        <f>IF('2H'!G14="","##BLANK",'2H'!G14)</f>
        <v>0</v>
      </c>
    </row>
    <row r="1372" spans="2:7">
      <c r="B1372" s="893" t="str">
        <f>+'2H'!AF15</f>
        <v>CR1008STR</v>
      </c>
      <c r="E1372" s="1753" t="s">
        <v>11007</v>
      </c>
      <c r="G1372">
        <f>IF('2H'!G15="","##BLANK",'2H'!G15)</f>
        <v>0</v>
      </c>
    </row>
    <row r="1373" spans="2:7">
      <c r="B1373" s="893" t="str">
        <f>+'2H'!AF16</f>
        <v>CR1009STR</v>
      </c>
      <c r="E1373" s="1753" t="s">
        <v>11007</v>
      </c>
      <c r="G1373">
        <f>IF('2H'!G16="","##BLANK",'2H'!G16)</f>
        <v>0</v>
      </c>
    </row>
    <row r="1374" spans="2:7">
      <c r="B1374" s="893" t="str">
        <f>+'2H'!AF17</f>
        <v>CR1010STR</v>
      </c>
      <c r="E1374" s="1753" t="s">
        <v>11007</v>
      </c>
      <c r="G1374">
        <f>IF('2H'!G17="","##BLANK",'2H'!G17)</f>
        <v>0</v>
      </c>
    </row>
    <row r="1375" spans="2:7">
      <c r="B1375" s="893" t="str">
        <f>+'2H'!AF18</f>
        <v>CR1011STR</v>
      </c>
      <c r="E1375" s="1753" t="s">
        <v>11007</v>
      </c>
      <c r="G1375">
        <f>IF('2H'!G18="","##BLANK",'2H'!G18)</f>
        <v>0</v>
      </c>
    </row>
    <row r="1376" spans="2:7">
      <c r="B1376" s="893" t="str">
        <f>+'2H'!AF19</f>
        <v>CR1012STR</v>
      </c>
      <c r="E1376" s="1753" t="s">
        <v>11007</v>
      </c>
      <c r="G1376">
        <f>IF('2H'!G19="","##BLANK",'2H'!G19)</f>
        <v>0</v>
      </c>
    </row>
    <row r="1377" spans="2:7">
      <c r="B1377" s="893" t="str">
        <f>+'2H'!AF20</f>
        <v>CR1013STR</v>
      </c>
      <c r="E1377" s="1753" t="s">
        <v>11007</v>
      </c>
      <c r="G1377">
        <f>IF('2H'!G20="","##BLANK",'2H'!G20)</f>
        <v>0</v>
      </c>
    </row>
    <row r="1378" spans="2:7">
      <c r="B1378" s="893" t="str">
        <f>+'2H'!AF21</f>
        <v>CR1014STR</v>
      </c>
      <c r="E1378" s="1753" t="s">
        <v>11007</v>
      </c>
      <c r="G1378">
        <f>IF('2H'!G21="","##BLANK",'2H'!G21)</f>
        <v>0</v>
      </c>
    </row>
    <row r="1379" spans="2:7">
      <c r="B1379" s="893" t="str">
        <f>+'2H'!AF22</f>
        <v>CR1015STR</v>
      </c>
      <c r="E1379" s="1753" t="s">
        <v>11007</v>
      </c>
      <c r="G1379">
        <f>IF('2H'!G22="","##BLANK",'2H'!G22)</f>
        <v>0</v>
      </c>
    </row>
    <row r="1380" spans="2:7">
      <c r="B1380" s="893" t="str">
        <f>+'2H'!AF23</f>
        <v>CR1016STR</v>
      </c>
      <c r="E1380" s="1753" t="s">
        <v>11007</v>
      </c>
      <c r="G1380">
        <f>IF('2H'!G23="","##BLANK",'2H'!G23)</f>
        <v>0</v>
      </c>
    </row>
    <row r="1381" spans="2:7">
      <c r="B1381" s="893" t="str">
        <f>+'2H'!AF24</f>
        <v>CR1017STR</v>
      </c>
      <c r="E1381" s="1753" t="s">
        <v>11007</v>
      </c>
      <c r="G1381">
        <f>IF('2H'!G24="","##BLANK",'2H'!G24)</f>
        <v>0</v>
      </c>
    </row>
    <row r="1382" spans="2:7">
      <c r="B1382" s="893" t="str">
        <f>+'2H'!AF25</f>
        <v>CR1018STR</v>
      </c>
      <c r="E1382" s="1753" t="s">
        <v>11007</v>
      </c>
      <c r="G1382">
        <f>IF('2H'!G25="","##BLANK",'2H'!G25)</f>
        <v>0</v>
      </c>
    </row>
    <row r="1383" spans="2:7">
      <c r="B1383" s="893" t="str">
        <f>+'2H'!AF26</f>
        <v>CR1019STR</v>
      </c>
      <c r="E1383" s="1753" t="s">
        <v>11007</v>
      </c>
      <c r="G1383">
        <f>IF('2H'!G26="","##BLANK",'2H'!G26)</f>
        <v>0</v>
      </c>
    </row>
    <row r="1384" spans="2:7">
      <c r="B1384" s="893" t="str">
        <f>+'2H'!AF27</f>
        <v>CR1020STR</v>
      </c>
      <c r="E1384" s="1753" t="s">
        <v>11007</v>
      </c>
      <c r="G1384">
        <f>IF('2H'!G27="","##BLANK",'2H'!G27)</f>
        <v>0</v>
      </c>
    </row>
    <row r="1385" spans="2:7">
      <c r="B1385" s="893" t="str">
        <f>+'2H'!AF28</f>
        <v>CR1021STR</v>
      </c>
      <c r="E1385" s="1753" t="s">
        <v>11007</v>
      </c>
      <c r="G1385">
        <f>IF('2H'!G28="","##BLANK",'2H'!G28)</f>
        <v>0</v>
      </c>
    </row>
    <row r="1386" spans="2:7">
      <c r="B1386" s="893" t="str">
        <f>+'2H'!AF29</f>
        <v>CR1022STR</v>
      </c>
      <c r="E1386" s="1753" t="s">
        <v>11007</v>
      </c>
      <c r="G1386">
        <f>IF('2H'!G29="","##BLANK",'2H'!G29)</f>
        <v>0</v>
      </c>
    </row>
    <row r="1387" spans="2:7">
      <c r="B1387" s="893" t="str">
        <f>+'2H'!AF30</f>
        <v>CR1023STR</v>
      </c>
      <c r="E1387" s="1753" t="s">
        <v>11007</v>
      </c>
      <c r="G1387">
        <f>IF('2H'!G30="","##BLANK",'2H'!G30)</f>
        <v>0</v>
      </c>
    </row>
    <row r="1388" spans="2:7">
      <c r="B1388" s="893" t="str">
        <f>+'2H'!AF31</f>
        <v>CR1025STR</v>
      </c>
      <c r="E1388" s="1753" t="s">
        <v>11007</v>
      </c>
      <c r="G1388">
        <f>IF('2H'!G31="","##BLANK",'2H'!G31)</f>
        <v>0</v>
      </c>
    </row>
    <row r="1389" spans="2:7">
      <c r="B1389" s="893" t="str">
        <f>+'2H'!AF33</f>
        <v>CR1030STR</v>
      </c>
      <c r="E1389" s="1753" t="s">
        <v>11007</v>
      </c>
      <c r="G1389">
        <f>IF('2H'!G33="","##BLANK",'2H'!G33)</f>
        <v>0</v>
      </c>
    </row>
    <row r="1390" spans="2:7">
      <c r="B1390" s="893" t="str">
        <f>+'2H'!AG6</f>
        <v>CR1041SCO</v>
      </c>
      <c r="E1390" s="1753" t="s">
        <v>11007</v>
      </c>
      <c r="G1390" t="str">
        <f>IF('2H'!H6="","##BLANK",'2H'!H6)</f>
        <v>##BLANK</v>
      </c>
    </row>
    <row r="1391" spans="2:7">
      <c r="B1391" s="893" t="str">
        <f>+'2H'!AG9</f>
        <v>CR1042SCO</v>
      </c>
      <c r="E1391" s="1753" t="s">
        <v>11007</v>
      </c>
      <c r="G1391" t="str">
        <f>IF('2H'!H9="","##BLANK",'2H'!H9)</f>
        <v>##BLANK</v>
      </c>
    </row>
    <row r="1392" spans="2:7">
      <c r="B1392" s="893" t="str">
        <f>+'2H'!AG10</f>
        <v>CR1043SCO</v>
      </c>
      <c r="E1392" s="1753" t="s">
        <v>11007</v>
      </c>
      <c r="G1392" t="str">
        <f>IF('2H'!H10="","##BLANK",'2H'!H10)</f>
        <v>##BLANK</v>
      </c>
    </row>
    <row r="1393" spans="2:7">
      <c r="B1393" s="893" t="str">
        <f>+'2H'!AG11</f>
        <v>CR1044SCO</v>
      </c>
      <c r="E1393" s="1753" t="s">
        <v>11007</v>
      </c>
      <c r="G1393" t="str">
        <f>IF('2H'!H11="","##BLANK",'2H'!H11)</f>
        <v>##BLANK</v>
      </c>
    </row>
    <row r="1394" spans="2:7">
      <c r="B1394" s="893" t="str">
        <f>+'2H'!AG12</f>
        <v>CR1045SCO</v>
      </c>
      <c r="E1394" s="1753" t="s">
        <v>11007</v>
      </c>
      <c r="G1394" t="str">
        <f>IF('2H'!H12="","##BLANK",'2H'!H12)</f>
        <v>##BLANK</v>
      </c>
    </row>
    <row r="1395" spans="2:7">
      <c r="B1395" s="893" t="str">
        <f>+'2H'!AG13</f>
        <v>CR1046SCO</v>
      </c>
      <c r="E1395" s="1753" t="s">
        <v>11007</v>
      </c>
      <c r="G1395" t="str">
        <f>IF('2H'!H13="","##BLANK",'2H'!H13)</f>
        <v>##BLANK</v>
      </c>
    </row>
    <row r="1396" spans="2:7">
      <c r="B1396" s="893" t="str">
        <f>+'2H'!AG14</f>
        <v>CR1047SCO</v>
      </c>
      <c r="E1396" s="1753" t="s">
        <v>11007</v>
      </c>
      <c r="G1396" t="str">
        <f>IF('2H'!H14="","##BLANK",'2H'!H14)</f>
        <v>##BLANK</v>
      </c>
    </row>
    <row r="1397" spans="2:7">
      <c r="B1397" s="893" t="str">
        <f>+'2H'!AG15</f>
        <v>CR1048SCO</v>
      </c>
      <c r="E1397" s="1753" t="s">
        <v>11007</v>
      </c>
      <c r="G1397" t="str">
        <f>IF('2H'!H15="","##BLANK",'2H'!H15)</f>
        <v>##BLANK</v>
      </c>
    </row>
    <row r="1398" spans="2:7">
      <c r="B1398" s="893" t="str">
        <f>+'2H'!AG16</f>
        <v>CR1049SCO</v>
      </c>
      <c r="E1398" s="1753" t="s">
        <v>11007</v>
      </c>
      <c r="G1398" t="str">
        <f>IF('2H'!H16="","##BLANK",'2H'!H16)</f>
        <v>##BLANK</v>
      </c>
    </row>
    <row r="1399" spans="2:7">
      <c r="B1399" s="893" t="str">
        <f>+'2H'!AG17</f>
        <v>CR1050SCO</v>
      </c>
      <c r="E1399" s="1753" t="s">
        <v>11007</v>
      </c>
      <c r="G1399" t="str">
        <f>IF('2H'!H17="","##BLANK",'2H'!H17)</f>
        <v>##BLANK</v>
      </c>
    </row>
    <row r="1400" spans="2:7">
      <c r="B1400" s="893" t="str">
        <f>+'2H'!AG18</f>
        <v>CR1051SCO</v>
      </c>
      <c r="E1400" s="1753" t="s">
        <v>11007</v>
      </c>
      <c r="G1400" t="str">
        <f>IF('2H'!H18="","##BLANK",'2H'!H18)</f>
        <v>##BLANK</v>
      </c>
    </row>
    <row r="1401" spans="2:7">
      <c r="B1401" s="893" t="str">
        <f>+'2H'!AG19</f>
        <v>CR1052SCO</v>
      </c>
      <c r="E1401" s="1753" t="s">
        <v>11007</v>
      </c>
      <c r="G1401" t="str">
        <f>IF('2H'!H19="","##BLANK",'2H'!H19)</f>
        <v>##BLANK</v>
      </c>
    </row>
    <row r="1402" spans="2:7">
      <c r="B1402" s="893" t="str">
        <f>+'2H'!AG20</f>
        <v>CR1053SCO</v>
      </c>
      <c r="E1402" s="1753" t="s">
        <v>11007</v>
      </c>
      <c r="G1402" t="str">
        <f>IF('2H'!H20="","##BLANK",'2H'!H20)</f>
        <v>##BLANK</v>
      </c>
    </row>
    <row r="1403" spans="2:7">
      <c r="B1403" s="893" t="str">
        <f>+'2H'!AG21</f>
        <v>CR1054SCO</v>
      </c>
      <c r="E1403" s="1753" t="s">
        <v>11007</v>
      </c>
      <c r="G1403" t="str">
        <f>IF('2H'!H21="","##BLANK",'2H'!H21)</f>
        <v>##BLANK</v>
      </c>
    </row>
    <row r="1404" spans="2:7">
      <c r="B1404" s="893" t="str">
        <f>+'2H'!AG22</f>
        <v>CR1055SCO</v>
      </c>
      <c r="E1404" s="1753" t="s">
        <v>11007</v>
      </c>
      <c r="G1404" t="str">
        <f>IF('2H'!H22="","##BLANK",'2H'!H22)</f>
        <v>##BLANK</v>
      </c>
    </row>
    <row r="1405" spans="2:7">
      <c r="B1405" s="893" t="str">
        <f>+'2H'!AG23</f>
        <v>CR1056SCO</v>
      </c>
      <c r="E1405" s="1753" t="s">
        <v>11007</v>
      </c>
      <c r="G1405" t="str">
        <f>IF('2H'!H23="","##BLANK",'2H'!H23)</f>
        <v>##BLANK</v>
      </c>
    </row>
    <row r="1406" spans="2:7">
      <c r="B1406" s="893" t="str">
        <f>+'2H'!AG24</f>
        <v>CR1057SCO</v>
      </c>
      <c r="E1406" s="1753" t="s">
        <v>11007</v>
      </c>
      <c r="G1406" t="str">
        <f>IF('2H'!H24="","##BLANK",'2H'!H24)</f>
        <v>##BLANK</v>
      </c>
    </row>
    <row r="1407" spans="2:7">
      <c r="B1407" s="893" t="str">
        <f>+'2H'!AG25</f>
        <v>CR1058SCO</v>
      </c>
      <c r="E1407" s="1753" t="s">
        <v>11007</v>
      </c>
      <c r="G1407" t="str">
        <f>IF('2H'!H25="","##BLANK",'2H'!H25)</f>
        <v>##BLANK</v>
      </c>
    </row>
    <row r="1408" spans="2:7">
      <c r="B1408" s="893" t="str">
        <f>+'2H'!AG26</f>
        <v>CR1059SCO</v>
      </c>
      <c r="E1408" s="1753" t="s">
        <v>11007</v>
      </c>
      <c r="G1408" t="str">
        <f>IF('2H'!H26="","##BLANK",'2H'!H26)</f>
        <v>##BLANK</v>
      </c>
    </row>
    <row r="1409" spans="2:7">
      <c r="B1409" s="893" t="str">
        <f>+'2H'!AG27</f>
        <v>CR1060SCO</v>
      </c>
      <c r="E1409" s="1753" t="s">
        <v>11007</v>
      </c>
      <c r="G1409" t="str">
        <f>IF('2H'!H27="","##BLANK",'2H'!H27)</f>
        <v>##BLANK</v>
      </c>
    </row>
    <row r="1410" spans="2:7">
      <c r="B1410" s="893" t="str">
        <f>+'2H'!AG28</f>
        <v>CR1061SCO</v>
      </c>
      <c r="E1410" s="1753" t="s">
        <v>11007</v>
      </c>
      <c r="G1410" t="str">
        <f>IF('2H'!H28="","##BLANK",'2H'!H28)</f>
        <v>##BLANK</v>
      </c>
    </row>
    <row r="1411" spans="2:7">
      <c r="B1411" s="893" t="str">
        <f>+'2H'!AG29</f>
        <v>CR1062SCO</v>
      </c>
      <c r="E1411" s="1753" t="s">
        <v>11007</v>
      </c>
      <c r="G1411" t="str">
        <f>IF('2H'!H29="","##BLANK",'2H'!H29)</f>
        <v>##BLANK</v>
      </c>
    </row>
    <row r="1412" spans="2:7">
      <c r="B1412" s="893" t="str">
        <f>+'2H'!AG30</f>
        <v>CR1063SCO</v>
      </c>
      <c r="E1412" s="1753" t="s">
        <v>11007</v>
      </c>
      <c r="G1412" t="str">
        <f>IF('2H'!H30="","##BLANK",'2H'!H30)</f>
        <v>##BLANK</v>
      </c>
    </row>
    <row r="1413" spans="2:7">
      <c r="B1413" s="893" t="str">
        <f>+'2H'!AG31</f>
        <v>CR1065SCO</v>
      </c>
      <c r="E1413" s="1753" t="s">
        <v>11007</v>
      </c>
      <c r="G1413">
        <f>IF('2H'!H31="","##BLANK",'2H'!H31)</f>
        <v>0</v>
      </c>
    </row>
    <row r="1414" spans="2:7">
      <c r="B1414" s="893" t="str">
        <f>+'2H'!AG33</f>
        <v>CR1066SCO</v>
      </c>
      <c r="E1414" s="1753" t="s">
        <v>11007</v>
      </c>
      <c r="G1414">
        <f>IF('2H'!H33="","##BLANK",'2H'!H33)</f>
        <v>0</v>
      </c>
    </row>
    <row r="1415" spans="2:7">
      <c r="B1415" s="893" t="str">
        <f>+'2H'!AG37</f>
        <v>CR1030SCU</v>
      </c>
      <c r="E1415" s="1753" t="s">
        <v>11007</v>
      </c>
      <c r="G1415" t="str">
        <f>IF('2H'!H37="","##BLANK",'2H'!H37)</f>
        <v>##BLANK</v>
      </c>
    </row>
    <row r="1416" spans="2:7">
      <c r="B1416" s="893" t="str">
        <f>+'2H'!AH6</f>
        <v>CR1041SRPC</v>
      </c>
      <c r="E1416" s="1753" t="s">
        <v>11007</v>
      </c>
      <c r="G1416">
        <f>IF('2H'!I6="","##BLANK",'2H'!I6)</f>
        <v>0</v>
      </c>
    </row>
    <row r="1417" spans="2:7">
      <c r="B1417" s="893" t="str">
        <f>+'2H'!AH9</f>
        <v>CR1042SRPC</v>
      </c>
      <c r="E1417" s="1753" t="s">
        <v>11007</v>
      </c>
      <c r="G1417">
        <f>IF('2H'!I9="","##BLANK",'2H'!I9)</f>
        <v>0</v>
      </c>
    </row>
    <row r="1418" spans="2:7">
      <c r="B1418" s="893" t="str">
        <f>+'2H'!AH10</f>
        <v>CR1043SRPC</v>
      </c>
      <c r="E1418" s="1753" t="s">
        <v>11007</v>
      </c>
      <c r="G1418">
        <f>IF('2H'!I10="","##BLANK",'2H'!I10)</f>
        <v>0</v>
      </c>
    </row>
    <row r="1419" spans="2:7">
      <c r="B1419" s="893" t="str">
        <f>+'2H'!AH11</f>
        <v>CR1044SRPC</v>
      </c>
      <c r="E1419" s="1753" t="s">
        <v>11007</v>
      </c>
      <c r="G1419">
        <f>IF('2H'!I11="","##BLANK",'2H'!I11)</f>
        <v>0</v>
      </c>
    </row>
    <row r="1420" spans="2:7">
      <c r="B1420" s="893" t="str">
        <f>+'2H'!AH12</f>
        <v>CR1045SRPC</v>
      </c>
      <c r="E1420" s="1753" t="s">
        <v>11007</v>
      </c>
      <c r="G1420">
        <f>IF('2H'!I12="","##BLANK",'2H'!I12)</f>
        <v>0</v>
      </c>
    </row>
    <row r="1421" spans="2:7">
      <c r="B1421" s="893" t="str">
        <f>+'2H'!AH13</f>
        <v>CR1046SRPC</v>
      </c>
      <c r="E1421" s="1753" t="s">
        <v>11007</v>
      </c>
      <c r="G1421">
        <f>IF('2H'!I13="","##BLANK",'2H'!I13)</f>
        <v>0</v>
      </c>
    </row>
    <row r="1422" spans="2:7">
      <c r="B1422" s="893" t="str">
        <f>+'2H'!AH14</f>
        <v>CR1047SRPC</v>
      </c>
      <c r="E1422" s="1753" t="s">
        <v>11007</v>
      </c>
      <c r="G1422">
        <f>IF('2H'!I14="","##BLANK",'2H'!I14)</f>
        <v>0</v>
      </c>
    </row>
    <row r="1423" spans="2:7">
      <c r="B1423" s="893" t="str">
        <f>+'2H'!AH15</f>
        <v>CR1048SRPC</v>
      </c>
      <c r="E1423" s="1753" t="s">
        <v>11007</v>
      </c>
      <c r="G1423">
        <f>IF('2H'!I15="","##BLANK",'2H'!I15)</f>
        <v>0</v>
      </c>
    </row>
    <row r="1424" spans="2:7">
      <c r="B1424" s="893" t="str">
        <f>+'2H'!AH16</f>
        <v>CR1049SRPC</v>
      </c>
      <c r="E1424" s="1753" t="s">
        <v>11007</v>
      </c>
      <c r="G1424">
        <f>IF('2H'!I16="","##BLANK",'2H'!I16)</f>
        <v>0</v>
      </c>
    </row>
    <row r="1425" spans="2:7">
      <c r="B1425" s="893" t="str">
        <f>+'2H'!AH17</f>
        <v>CR1050SRPC</v>
      </c>
      <c r="E1425" s="1753" t="s">
        <v>11007</v>
      </c>
      <c r="G1425">
        <f>IF('2H'!I17="","##BLANK",'2H'!I17)</f>
        <v>0</v>
      </c>
    </row>
    <row r="1426" spans="2:7">
      <c r="B1426" s="893" t="str">
        <f>+'2H'!AH18</f>
        <v>CR1051SRPC</v>
      </c>
      <c r="E1426" s="1753" t="s">
        <v>11007</v>
      </c>
      <c r="G1426">
        <f>IF('2H'!I18="","##BLANK",'2H'!I18)</f>
        <v>0</v>
      </c>
    </row>
    <row r="1427" spans="2:7">
      <c r="B1427" s="893" t="str">
        <f>+'2H'!AH19</f>
        <v>CR1052SRPC</v>
      </c>
      <c r="E1427" s="1753" t="s">
        <v>11007</v>
      </c>
      <c r="G1427">
        <f>IF('2H'!I19="","##BLANK",'2H'!I19)</f>
        <v>0</v>
      </c>
    </row>
    <row r="1428" spans="2:7">
      <c r="B1428" s="893" t="str">
        <f>+'2H'!AH20</f>
        <v>CR1053SRPC</v>
      </c>
      <c r="E1428" s="1753" t="s">
        <v>11007</v>
      </c>
      <c r="G1428">
        <f>IF('2H'!I20="","##BLANK",'2H'!I20)</f>
        <v>0</v>
      </c>
    </row>
    <row r="1429" spans="2:7">
      <c r="B1429" s="893" t="str">
        <f>+'2H'!AH21</f>
        <v>CR1054SRPC</v>
      </c>
      <c r="E1429" s="1753" t="s">
        <v>11007</v>
      </c>
      <c r="G1429">
        <f>IF('2H'!I21="","##BLANK",'2H'!I21)</f>
        <v>0</v>
      </c>
    </row>
    <row r="1430" spans="2:7">
      <c r="B1430" s="893" t="str">
        <f>+'2H'!AH22</f>
        <v>CR1055SRPC</v>
      </c>
      <c r="E1430" s="1753" t="s">
        <v>11007</v>
      </c>
      <c r="G1430">
        <f>IF('2H'!I22="","##BLANK",'2H'!I22)</f>
        <v>0</v>
      </c>
    </row>
    <row r="1431" spans="2:7">
      <c r="B1431" s="893" t="str">
        <f>+'2H'!AH23</f>
        <v>CR1056SRPC</v>
      </c>
      <c r="E1431" s="1753" t="s">
        <v>11007</v>
      </c>
      <c r="G1431">
        <f>IF('2H'!I23="","##BLANK",'2H'!I23)</f>
        <v>0</v>
      </c>
    </row>
    <row r="1432" spans="2:7">
      <c r="B1432" s="893" t="str">
        <f>+'2H'!AH24</f>
        <v>CR1057SRPC</v>
      </c>
      <c r="E1432" s="1753" t="s">
        <v>11007</v>
      </c>
      <c r="G1432">
        <f>IF('2H'!I24="","##BLANK",'2H'!I24)</f>
        <v>0</v>
      </c>
    </row>
    <row r="1433" spans="2:7">
      <c r="B1433" s="893" t="str">
        <f>+'2H'!AH25</f>
        <v>CR1058SRPC</v>
      </c>
      <c r="E1433" s="1753" t="s">
        <v>11007</v>
      </c>
      <c r="G1433">
        <f>IF('2H'!I25="","##BLANK",'2H'!I25)</f>
        <v>0</v>
      </c>
    </row>
    <row r="1434" spans="2:7">
      <c r="B1434" s="893" t="str">
        <f>+'2H'!AH26</f>
        <v>CR1059SRPC</v>
      </c>
      <c r="E1434" s="1753" t="s">
        <v>11007</v>
      </c>
      <c r="G1434">
        <f>IF('2H'!I26="","##BLANK",'2H'!I26)</f>
        <v>0</v>
      </c>
    </row>
    <row r="1435" spans="2:7">
      <c r="B1435" s="893" t="str">
        <f>+'2H'!AH27</f>
        <v>CR1060SRPC</v>
      </c>
      <c r="E1435" s="1753" t="s">
        <v>11007</v>
      </c>
      <c r="G1435">
        <f>IF('2H'!I27="","##BLANK",'2H'!I27)</f>
        <v>0</v>
      </c>
    </row>
    <row r="1436" spans="2:7">
      <c r="B1436" s="893" t="str">
        <f>+'2H'!AH28</f>
        <v>CR1061SRPC</v>
      </c>
      <c r="E1436" s="1753" t="s">
        <v>11007</v>
      </c>
      <c r="G1436">
        <f>IF('2H'!I28="","##BLANK",'2H'!I28)</f>
        <v>0</v>
      </c>
    </row>
    <row r="1437" spans="2:7">
      <c r="B1437" s="893" t="str">
        <f>+'2H'!AH29</f>
        <v>CR1062SRPC</v>
      </c>
      <c r="E1437" s="1753" t="s">
        <v>11007</v>
      </c>
      <c r="G1437">
        <f>IF('2H'!I29="","##BLANK",'2H'!I29)</f>
        <v>0</v>
      </c>
    </row>
    <row r="1438" spans="2:7">
      <c r="B1438" s="893" t="str">
        <f>+'2H'!AH30</f>
        <v>CR1063SRPC</v>
      </c>
      <c r="E1438" s="1753" t="s">
        <v>11007</v>
      </c>
      <c r="G1438">
        <f>IF('2H'!I30="","##BLANK",'2H'!I30)</f>
        <v>0</v>
      </c>
    </row>
    <row r="1439" spans="2:7">
      <c r="B1439" s="893" t="str">
        <f>+'2H'!AH31</f>
        <v>CR1065SRPC</v>
      </c>
      <c r="E1439" s="1753" t="s">
        <v>11007</v>
      </c>
      <c r="G1439">
        <f>IF('2H'!I31="","##BLANK",'2H'!I31)</f>
        <v>0</v>
      </c>
    </row>
    <row r="1440" spans="2:7">
      <c r="B1440" s="893" t="str">
        <f>+'2H'!AH33</f>
        <v>CR1066SRPC</v>
      </c>
      <c r="E1440" s="1753" t="s">
        <v>11007</v>
      </c>
      <c r="G1440">
        <f>IF('2H'!I33="","##BLANK",'2H'!I33)</f>
        <v>0</v>
      </c>
    </row>
    <row r="1441" spans="2:7">
      <c r="B1441" s="1846" t="str">
        <f>+'2H'!AH37</f>
        <v>CR1030SRPC</v>
      </c>
      <c r="E1441" s="1753" t="s">
        <v>11007</v>
      </c>
      <c r="G1441">
        <f>IF('2H'!I37="","##BLANK",'2H'!I37)</f>
        <v>0</v>
      </c>
    </row>
    <row r="1442" spans="2:7">
      <c r="B1442" s="893" t="str">
        <f>+'2I - SWT'!BI6</f>
        <v>CR581</v>
      </c>
      <c r="E1442" s="1753" t="s">
        <v>11007</v>
      </c>
      <c r="G1442">
        <f>IF('2I - SWT'!G6="","##BLANK",'2I - SWT'!G6)</f>
        <v>40.063000000000002</v>
      </c>
    </row>
    <row r="1443" spans="2:7">
      <c r="B1443" s="893" t="str">
        <f>+'2I - SWT'!BI7</f>
        <v>CR582</v>
      </c>
      <c r="E1443" s="1753" t="s">
        <v>11007</v>
      </c>
      <c r="G1443">
        <f>IF('2I - SWT'!G7="","##BLANK",'2I - SWT'!G7)</f>
        <v>107.956</v>
      </c>
    </row>
    <row r="1444" spans="2:7">
      <c r="B1444" s="893" t="str">
        <f>+'2I - SWT'!BI8</f>
        <v>W9008HH</v>
      </c>
      <c r="E1444" s="1753" t="s">
        <v>11007</v>
      </c>
      <c r="G1444">
        <f>IF('2I - SWT'!G8="","##BLANK",'2I - SWT'!G8)</f>
        <v>0</v>
      </c>
    </row>
    <row r="1445" spans="2:7">
      <c r="B1445" s="893" t="str">
        <f>+'2I - SWT'!BI9</f>
        <v>BR586</v>
      </c>
      <c r="E1445" s="1753" t="s">
        <v>11007</v>
      </c>
      <c r="G1445">
        <f>IF('2I - SWT'!G9="","##BLANK",'2I - SWT'!G9)</f>
        <v>148.01900000000001</v>
      </c>
    </row>
    <row r="1446" spans="2:7">
      <c r="B1446" s="893" t="str">
        <f>+'2I - SWT'!BI12</f>
        <v>CR881</v>
      </c>
      <c r="E1446" s="1753" t="s">
        <v>11007</v>
      </c>
      <c r="G1446">
        <f>IF('2I - SWT'!G12="","##BLANK",'2I - SWT'!G12)</f>
        <v>50.679000000000002</v>
      </c>
    </row>
    <row r="1447" spans="2:7">
      <c r="B1447" s="893" t="str">
        <f>+'2I - SWT'!BI13</f>
        <v>CR882</v>
      </c>
      <c r="E1447" s="1753" t="s">
        <v>11007</v>
      </c>
      <c r="G1447">
        <f>IF('2I - SWT'!G13="","##BLANK",'2I - SWT'!G13)</f>
        <v>165.52</v>
      </c>
    </row>
    <row r="1448" spans="2:7">
      <c r="B1448" s="893" t="str">
        <f>+'2I - SWT'!BI14</f>
        <v>S9008HH</v>
      </c>
      <c r="E1448" s="1753" t="s">
        <v>11007</v>
      </c>
      <c r="G1448">
        <f>IF('2I - SWT'!G14="","##BLANK",'2I - SWT'!G14)</f>
        <v>0</v>
      </c>
    </row>
    <row r="1449" spans="2:7">
      <c r="B1449" s="893" t="str">
        <f>+'2I - SWT'!BI15</f>
        <v>BR886</v>
      </c>
      <c r="E1449" s="1753" t="s">
        <v>11007</v>
      </c>
      <c r="G1449">
        <f>IF('2I - SWT'!G15="","##BLANK",'2I - SWT'!G15)</f>
        <v>216.19900000000001</v>
      </c>
    </row>
    <row r="1450" spans="2:7">
      <c r="B1450" s="893" t="str">
        <f>+'2I - SWT'!BI18</f>
        <v>BR881TTT</v>
      </c>
      <c r="E1450" s="1753" t="s">
        <v>11007</v>
      </c>
      <c r="G1450" t="str">
        <f>IF('2I - SWT'!G18="","##BLANK",'2I - SWT'!G18)</f>
        <v>##BLANK</v>
      </c>
    </row>
    <row r="1451" spans="2:7">
      <c r="B1451" s="893" t="str">
        <f>+'2I - SWT'!BI19</f>
        <v>BR882TTT</v>
      </c>
      <c r="E1451" s="1753" t="s">
        <v>11007</v>
      </c>
      <c r="G1451" t="str">
        <f>IF('2I - SWT'!G19="","##BLANK",'2I - SWT'!G19)</f>
        <v>##BLANK</v>
      </c>
    </row>
    <row r="1452" spans="2:7">
      <c r="B1452" s="893" t="str">
        <f>+'2I - SWT'!BI20</f>
        <v>S9008HHTTT</v>
      </c>
      <c r="E1452" s="1753" t="s">
        <v>11007</v>
      </c>
      <c r="G1452" t="str">
        <f>IF('2I - SWT'!G20="","##BLANK",'2I - SWT'!G20)</f>
        <v>##BLANK</v>
      </c>
    </row>
    <row r="1453" spans="2:7">
      <c r="B1453" s="893" t="str">
        <f>+'2I - SWT'!BI21</f>
        <v>BR886TTT</v>
      </c>
      <c r="E1453" s="1753" t="s">
        <v>11007</v>
      </c>
      <c r="G1453">
        <f>IF('2I - SWT'!G21="","##BLANK",'2I - SWT'!G21)</f>
        <v>0</v>
      </c>
    </row>
    <row r="1454" spans="2:7">
      <c r="B1454" s="893" t="str">
        <f>+'2I - SWT'!BI23</f>
        <v>BR986</v>
      </c>
      <c r="E1454" s="1753" t="s">
        <v>11007</v>
      </c>
      <c r="G1454">
        <f>IF('2I - SWT'!G23="","##BLANK",'2I - SWT'!G23)</f>
        <v>364.21800000000002</v>
      </c>
    </row>
    <row r="1455" spans="2:7">
      <c r="B1455" s="893" t="str">
        <f>+'2I - SWT'!BI26</f>
        <v>A19002RRH</v>
      </c>
      <c r="E1455" s="1753" t="s">
        <v>11007</v>
      </c>
      <c r="G1455">
        <f>IF('2I - SWT'!G26="","##BLANK",'2I - SWT'!G26)</f>
        <v>6.6509999999999998</v>
      </c>
    </row>
    <row r="1456" spans="2:7">
      <c r="B1456" s="893" t="str">
        <f>+'2I - SWT'!BI27</f>
        <v>A19003RRH</v>
      </c>
      <c r="E1456" s="1753" t="s">
        <v>11007</v>
      </c>
      <c r="G1456">
        <f>IF('2I - SWT'!G27="","##BLANK",'2I - SWT'!G27)</f>
        <v>28.338999999999999</v>
      </c>
    </row>
    <row r="1457" spans="2:8">
      <c r="B1457" s="893" t="str">
        <f>+'2I - SWT'!BI28</f>
        <v>A19039RRH</v>
      </c>
      <c r="E1457" s="1753" t="s">
        <v>11007</v>
      </c>
      <c r="G1457">
        <f>IF('2I - SWT'!G28="","##BLANK",'2I - SWT'!G28)</f>
        <v>0</v>
      </c>
    </row>
    <row r="1458" spans="2:8">
      <c r="B1458" s="893" t="str">
        <f>+'2I - SWT'!BI29</f>
        <v>A19004RRH</v>
      </c>
      <c r="E1458" s="1753" t="s">
        <v>11007</v>
      </c>
      <c r="G1458">
        <f>IF('2I - SWT'!G29="","##BLANK",'2I - SWT'!G29)</f>
        <v>34.989999999999995</v>
      </c>
    </row>
    <row r="1459" spans="2:8">
      <c r="B1459" s="893" t="str">
        <f>+'2I - SWT'!BI44</f>
        <v>BR589PC</v>
      </c>
      <c r="C1459" s="893"/>
      <c r="E1459" s="1753" t="s">
        <v>11007</v>
      </c>
      <c r="G1459">
        <f>IF('2I - SWT'!G44="","##BLANK",'2I - SWT'!G44)</f>
        <v>204.97300000000001</v>
      </c>
      <c r="H1459" s="893"/>
    </row>
    <row r="1460" spans="2:8">
      <c r="B1460" s="893" t="str">
        <f>+'2I - SWT'!BI45</f>
        <v>BC11274</v>
      </c>
      <c r="C1460" s="893"/>
      <c r="E1460" s="1753" t="s">
        <v>11007</v>
      </c>
      <c r="G1460">
        <f>IF('2I - SWT'!G45="","##BLANK",'2I - SWT'!G45)</f>
        <v>8.9149999999999991</v>
      </c>
      <c r="H1460" s="893"/>
    </row>
    <row r="1461" spans="2:8">
      <c r="B1461" s="893" t="str">
        <f>+'2I - SWT'!BI46</f>
        <v>W9014</v>
      </c>
      <c r="C1461" s="893"/>
      <c r="E1461" s="1753" t="s">
        <v>11007</v>
      </c>
      <c r="G1461">
        <f>IF('2I - SWT'!G46="","##BLANK",'2I - SWT'!G46)</f>
        <v>213.88800000000001</v>
      </c>
      <c r="H1461" s="893"/>
    </row>
    <row r="1462" spans="2:8">
      <c r="B1462" s="893" t="str">
        <f>+'2I - SWT'!BI48</f>
        <v>CRW001</v>
      </c>
      <c r="C1462" s="893"/>
      <c r="E1462" s="1753" t="s">
        <v>11007</v>
      </c>
      <c r="G1462">
        <f>IF('2I - SWT'!G48="","##BLANK",'2I - SWT'!G48)</f>
        <v>210.65925799999999</v>
      </c>
      <c r="H1462" s="893"/>
    </row>
    <row r="1463" spans="2:8">
      <c r="B1463" s="893" t="str">
        <f>+'2I - SWT'!BI49</f>
        <v>CRW008</v>
      </c>
      <c r="C1463" s="893"/>
      <c r="E1463" s="1753" t="s">
        <v>11007</v>
      </c>
      <c r="G1463">
        <f>IF('2I - SWT'!G49="","##BLANK",'2I - SWT'!G49)</f>
        <v>1.54</v>
      </c>
      <c r="H1463" s="893"/>
    </row>
    <row r="1464" spans="2:8">
      <c r="B1464" s="893" t="str">
        <f>+'2I - SWT'!BI50</f>
        <v>CRW009</v>
      </c>
      <c r="E1464" s="1753" t="s">
        <v>11007</v>
      </c>
      <c r="G1464">
        <f>IF('2I - SWT'!G50="","##BLANK",'2I - SWT'!G50)</f>
        <v>-7.375</v>
      </c>
      <c r="H1464" s="893"/>
    </row>
    <row r="1465" spans="2:8">
      <c r="B1465" s="893" t="str">
        <f>+'2I - SWT'!BI51</f>
        <v>CRW010</v>
      </c>
      <c r="E1465" s="1753" t="s">
        <v>11007</v>
      </c>
      <c r="G1465">
        <f>IF('2I - SWT'!G51="","##BLANK",'2I - SWT'!G51)</f>
        <v>204.82425799999999</v>
      </c>
      <c r="H1465" s="893"/>
    </row>
    <row r="1466" spans="2:8">
      <c r="B1466" s="893" t="str">
        <f>+'2I - SWT'!BI53</f>
        <v>CRW002</v>
      </c>
      <c r="E1466" s="1753" t="s">
        <v>11007</v>
      </c>
      <c r="G1466">
        <f>IF('2I - SWT'!G53="","##BLANK",'2I - SWT'!G53)</f>
        <v>9.0637420000000191</v>
      </c>
      <c r="H1466" s="893"/>
    </row>
    <row r="1467" spans="2:8">
      <c r="B1467" s="893" t="str">
        <f>+'2I - SWT'!BJ6</f>
        <v>CR583</v>
      </c>
      <c r="E1467" s="1753" t="s">
        <v>11007</v>
      </c>
      <c r="G1467">
        <f>IF('2I - SWT'!H6="","##BLANK",'2I - SWT'!H6)</f>
        <v>1.2070000000000001</v>
      </c>
      <c r="H1467" s="893"/>
    </row>
    <row r="1468" spans="2:8">
      <c r="B1468" s="893" t="str">
        <f>+'2I - SWT'!BJ7</f>
        <v>CR584</v>
      </c>
      <c r="E1468" s="1753" t="s">
        <v>11007</v>
      </c>
      <c r="G1468">
        <f>IF('2I - SWT'!H7="","##BLANK",'2I - SWT'!H7)</f>
        <v>55.747</v>
      </c>
      <c r="H1468" s="893"/>
    </row>
    <row r="1469" spans="2:8">
      <c r="B1469" s="893" t="str">
        <f>+'2I - SWT'!BJ8</f>
        <v>W9008NHH</v>
      </c>
      <c r="E1469" s="1753" t="s">
        <v>11007</v>
      </c>
      <c r="G1469">
        <f>IF('2I - SWT'!H8="","##BLANK",'2I - SWT'!H8)</f>
        <v>0</v>
      </c>
      <c r="H1469" s="893"/>
    </row>
    <row r="1470" spans="2:8">
      <c r="B1470" s="893" t="str">
        <f>+'2I - SWT'!BJ9</f>
        <v>BR588</v>
      </c>
      <c r="E1470" s="1753" t="s">
        <v>11007</v>
      </c>
      <c r="G1470">
        <f>IF('2I - SWT'!H9="","##BLANK",'2I - SWT'!H9)</f>
        <v>56.954000000000001</v>
      </c>
      <c r="H1470" s="893"/>
    </row>
    <row r="1471" spans="2:8">
      <c r="B1471" s="893" t="str">
        <f>+'2I - SWT'!BJ12</f>
        <v>CR883</v>
      </c>
      <c r="E1471" s="1753" t="s">
        <v>11007</v>
      </c>
      <c r="G1471">
        <f>IF('2I - SWT'!H12="","##BLANK",'2I - SWT'!H12)</f>
        <v>1.98</v>
      </c>
      <c r="H1471" s="893"/>
    </row>
    <row r="1472" spans="2:8">
      <c r="B1472" s="893" t="str">
        <f>+'2I - SWT'!BJ13</f>
        <v>CR884</v>
      </c>
      <c r="E1472" s="1753" t="s">
        <v>11007</v>
      </c>
      <c r="G1472">
        <f>IF('2I - SWT'!H13="","##BLANK",'2I - SWT'!H13)</f>
        <v>59.704000000000001</v>
      </c>
      <c r="H1472" s="893"/>
    </row>
    <row r="1473" spans="2:8">
      <c r="B1473" s="893" t="str">
        <f>+'2I - SWT'!BJ14</f>
        <v>S9008NHH</v>
      </c>
      <c r="E1473" s="1753" t="s">
        <v>11007</v>
      </c>
      <c r="G1473">
        <f>IF('2I - SWT'!H14="","##BLANK",'2I - SWT'!H14)</f>
        <v>0</v>
      </c>
      <c r="H1473" s="893"/>
    </row>
    <row r="1474" spans="2:8">
      <c r="B1474" s="893" t="str">
        <f>+'2I - SWT'!BJ15</f>
        <v>BR888</v>
      </c>
      <c r="E1474" s="1753" t="s">
        <v>11007</v>
      </c>
      <c r="G1474">
        <f>IF('2I - SWT'!H15="","##BLANK",'2I - SWT'!H15)</f>
        <v>61.683999999999997</v>
      </c>
      <c r="H1474" s="893"/>
    </row>
    <row r="1475" spans="2:8">
      <c r="B1475" s="893" t="str">
        <f>+'2I - SWT'!BJ18</f>
        <v>BR883TTT</v>
      </c>
      <c r="E1475" s="1753" t="s">
        <v>11007</v>
      </c>
      <c r="G1475" t="str">
        <f>IF('2I - SWT'!H18="","##BLANK",'2I - SWT'!H18)</f>
        <v>##BLANK</v>
      </c>
      <c r="H1475" s="893"/>
    </row>
    <row r="1476" spans="2:8">
      <c r="B1476" s="893" t="str">
        <f>+'2I - SWT'!BJ19</f>
        <v>BR884TTT</v>
      </c>
      <c r="E1476" s="1753" t="s">
        <v>11007</v>
      </c>
      <c r="G1476" t="str">
        <f>IF('2I - SWT'!H19="","##BLANK",'2I - SWT'!H19)</f>
        <v>##BLANK</v>
      </c>
      <c r="H1476" s="893"/>
    </row>
    <row r="1477" spans="2:8">
      <c r="B1477" s="893" t="str">
        <f>+'2I - SWT'!BJ20</f>
        <v>S9008NHHTTT</v>
      </c>
      <c r="E1477" s="1753" t="s">
        <v>11007</v>
      </c>
      <c r="G1477" t="str">
        <f>IF('2I - SWT'!H20="","##BLANK",'2I - SWT'!H20)</f>
        <v>##BLANK</v>
      </c>
      <c r="H1477" s="893"/>
    </row>
    <row r="1478" spans="2:8">
      <c r="B1478" s="893" t="str">
        <f>+'2I - SWT'!BJ21</f>
        <v>BR888TTT</v>
      </c>
      <c r="E1478" s="1753" t="s">
        <v>11007</v>
      </c>
      <c r="G1478">
        <f>IF('2I - SWT'!H21="","##BLANK",'2I - SWT'!H21)</f>
        <v>0</v>
      </c>
    </row>
    <row r="1479" spans="2:8">
      <c r="B1479" s="893" t="str">
        <f>+'2I - SWT'!BJ23</f>
        <v>BR988</v>
      </c>
      <c r="E1479" s="1753" t="s">
        <v>11007</v>
      </c>
      <c r="G1479">
        <f>IF('2I - SWT'!H23="","##BLANK",'2I - SWT'!H23)</f>
        <v>118.63800000000001</v>
      </c>
    </row>
    <row r="1480" spans="2:8">
      <c r="B1480" s="893" t="str">
        <f>+'2I - SWT'!BJ26</f>
        <v>A19002RRNH</v>
      </c>
      <c r="E1480" s="1753" t="s">
        <v>11007</v>
      </c>
      <c r="G1480">
        <f>IF('2I - SWT'!H26="","##BLANK",'2I - SWT'!H26)</f>
        <v>0</v>
      </c>
    </row>
    <row r="1481" spans="2:8">
      <c r="B1481" s="893" t="str">
        <f>+'2I - SWT'!BJ27</f>
        <v>A19003RRNH</v>
      </c>
      <c r="E1481" s="1753" t="s">
        <v>11007</v>
      </c>
      <c r="G1481">
        <f>IF('2I - SWT'!H27="","##BLANK",'2I - SWT'!H27)</f>
        <v>0</v>
      </c>
      <c r="H1481" s="893"/>
    </row>
    <row r="1482" spans="2:8">
      <c r="B1482" s="893" t="str">
        <f>+'2I - SWT'!BJ28</f>
        <v>A19039RRNH</v>
      </c>
      <c r="E1482" s="1753" t="s">
        <v>11007</v>
      </c>
      <c r="G1482">
        <f>IF('2I - SWT'!H28="","##BLANK",'2I - SWT'!H28)</f>
        <v>0</v>
      </c>
    </row>
    <row r="1483" spans="2:8">
      <c r="B1483" s="893" t="str">
        <f>+'2I - SWT'!BJ29</f>
        <v>A19004RRNH</v>
      </c>
      <c r="E1483" s="1753" t="s">
        <v>11007</v>
      </c>
      <c r="G1483">
        <f>IF('2I - SWT'!H29="","##BLANK",'2I - SWT'!H29)</f>
        <v>0</v>
      </c>
    </row>
    <row r="1484" spans="2:8">
      <c r="B1484" s="893" t="str">
        <f>+'2I - SWT'!BJ44</f>
        <v>BR689PC</v>
      </c>
      <c r="E1484" s="1753" t="s">
        <v>11007</v>
      </c>
      <c r="G1484">
        <f>IF('2I - SWT'!H44="","##BLANK",'2I - SWT'!H44)</f>
        <v>277.88300000000004</v>
      </c>
    </row>
    <row r="1485" spans="2:8">
      <c r="B1485" s="893" t="str">
        <f>+'2I - SWT'!BJ45</f>
        <v>BC11374</v>
      </c>
      <c r="E1485" s="1753" t="s">
        <v>11007</v>
      </c>
      <c r="G1485">
        <f>IF('2I - SWT'!H45="","##BLANK",'2I - SWT'!H45)</f>
        <v>6.4569999999999999</v>
      </c>
    </row>
    <row r="1486" spans="2:8">
      <c r="B1486" s="893" t="str">
        <f>+'2I - SWT'!BJ46</f>
        <v>S9014</v>
      </c>
      <c r="E1486" s="1753" t="s">
        <v>11007</v>
      </c>
      <c r="G1486">
        <f>IF('2I - SWT'!H46="","##BLANK",'2I - SWT'!H46)</f>
        <v>284.34000000000003</v>
      </c>
    </row>
    <row r="1487" spans="2:8">
      <c r="B1487" s="893" t="str">
        <f>+'2I - SWT'!BJ48</f>
        <v>CRS001</v>
      </c>
      <c r="E1487" s="1753" t="s">
        <v>11007</v>
      </c>
      <c r="G1487">
        <f>IF('2I - SWT'!H48="","##BLANK",'2I - SWT'!H48)</f>
        <v>282.36650599999996</v>
      </c>
    </row>
    <row r="1488" spans="2:8">
      <c r="B1488" s="893" t="str">
        <f>+'2I - SWT'!BJ49</f>
        <v>CRS008</v>
      </c>
      <c r="E1488" s="1753" t="s">
        <v>11007</v>
      </c>
      <c r="G1488">
        <f>IF('2I - SWT'!H49="","##BLANK",'2I - SWT'!H49)</f>
        <v>-4.5199999999999996</v>
      </c>
      <c r="H1488" s="893"/>
    </row>
    <row r="1489" spans="2:8">
      <c r="B1489" s="893" t="str">
        <f>+'2I - SWT'!BJ50</f>
        <v>CRS009</v>
      </c>
      <c r="E1489" s="1753" t="s">
        <v>11007</v>
      </c>
      <c r="G1489">
        <f>IF('2I - SWT'!H50="","##BLANK",'2I - SWT'!H50)</f>
        <v>-4.3959999999999999</v>
      </c>
      <c r="H1489" s="893"/>
    </row>
    <row r="1490" spans="2:8">
      <c r="B1490" s="893" t="str">
        <f>+'2I - SWT'!BJ51</f>
        <v>CRS010</v>
      </c>
      <c r="E1490" s="1753" t="s">
        <v>11007</v>
      </c>
      <c r="G1490">
        <f>IF('2I - SWT'!H51="","##BLANK",'2I - SWT'!H51)</f>
        <v>273.45050599999996</v>
      </c>
    </row>
    <row r="1491" spans="2:8">
      <c r="B1491" s="893" t="str">
        <f>+'2I - SWT'!BJ53</f>
        <v>CRS002</v>
      </c>
      <c r="E1491" s="1753" t="s">
        <v>11007</v>
      </c>
      <c r="G1491">
        <f>IF('2I - SWT'!H53="","##BLANK",'2I - SWT'!H53)</f>
        <v>10.88949400000007</v>
      </c>
    </row>
    <row r="1492" spans="2:8">
      <c r="B1492" s="893" t="str">
        <f>+'2I - SWT'!BK6</f>
        <v>CR585</v>
      </c>
      <c r="E1492" s="1753" t="s">
        <v>11007</v>
      </c>
      <c r="G1492">
        <f>IF('2I - SWT'!I6="","##BLANK",'2I - SWT'!I6)</f>
        <v>41.27</v>
      </c>
    </row>
    <row r="1493" spans="2:8">
      <c r="B1493" s="893" t="str">
        <f>+'2I - SWT'!BK7</f>
        <v>CR586</v>
      </c>
      <c r="E1493" s="1753" t="s">
        <v>11007</v>
      </c>
      <c r="G1493">
        <f>IF('2I - SWT'!I7="","##BLANK",'2I - SWT'!I7)</f>
        <v>163.703</v>
      </c>
    </row>
    <row r="1494" spans="2:8">
      <c r="B1494" s="893" t="str">
        <f>+'2I - SWT'!BK8</f>
        <v>W9008WW</v>
      </c>
      <c r="E1494" s="1753" t="s">
        <v>11007</v>
      </c>
      <c r="G1494">
        <f>IF('2I - SWT'!I8="","##BLANK",'2I - SWT'!I8)</f>
        <v>0</v>
      </c>
    </row>
    <row r="1495" spans="2:8">
      <c r="B1495" s="893" t="str">
        <f>+'2I - SWT'!BK9</f>
        <v>BR589</v>
      </c>
      <c r="E1495" s="1753" t="s">
        <v>11007</v>
      </c>
      <c r="G1495">
        <f>IF('2I - SWT'!I9="","##BLANK",'2I - SWT'!I9)</f>
        <v>204.97300000000001</v>
      </c>
    </row>
    <row r="1496" spans="2:8">
      <c r="B1496" s="893" t="str">
        <f>+'2I - SWT'!BK12</f>
        <v>CR885</v>
      </c>
      <c r="E1496" s="1753" t="s">
        <v>11007</v>
      </c>
      <c r="G1496">
        <f>IF('2I - SWT'!I12="","##BLANK",'2I - SWT'!I12)</f>
        <v>52.658999999999999</v>
      </c>
    </row>
    <row r="1497" spans="2:8">
      <c r="B1497" s="893" t="str">
        <f>+'2I - SWT'!BK13</f>
        <v>CR886</v>
      </c>
      <c r="E1497" s="1753" t="s">
        <v>11007</v>
      </c>
      <c r="G1497">
        <f>IF('2I - SWT'!I13="","##BLANK",'2I - SWT'!I13)</f>
        <v>225.22400000000002</v>
      </c>
    </row>
    <row r="1498" spans="2:8">
      <c r="B1498" s="893" t="str">
        <f>+'2I - SWT'!BK14</f>
        <v>S9008WS</v>
      </c>
      <c r="E1498" s="1753" t="s">
        <v>11007</v>
      </c>
      <c r="G1498">
        <f>IF('2I - SWT'!I14="","##BLANK",'2I - SWT'!I14)</f>
        <v>0</v>
      </c>
    </row>
    <row r="1499" spans="2:8">
      <c r="B1499" s="893" t="str">
        <f>+'2I - SWT'!BK15</f>
        <v>BR689</v>
      </c>
      <c r="E1499" s="1753" t="s">
        <v>11007</v>
      </c>
      <c r="G1499">
        <f>IF('2I - SWT'!I15="","##BLANK",'2I - SWT'!I15)</f>
        <v>277.88300000000004</v>
      </c>
    </row>
    <row r="1500" spans="2:8">
      <c r="B1500" s="893" t="str">
        <f>+'2I - SWT'!BK18</f>
        <v>BO1130TTT</v>
      </c>
      <c r="E1500" s="1753" t="s">
        <v>11007</v>
      </c>
      <c r="G1500">
        <f>IF('2I - SWT'!I18="","##BLANK",'2I - SWT'!I18)</f>
        <v>0</v>
      </c>
    </row>
    <row r="1501" spans="2:8">
      <c r="B1501" s="893" t="str">
        <f>+'2I - SWT'!BK19</f>
        <v>BO1120TTT</v>
      </c>
      <c r="E1501" s="1753" t="s">
        <v>11007</v>
      </c>
      <c r="G1501">
        <f>IF('2I - SWT'!I19="","##BLANK",'2I - SWT'!I19)</f>
        <v>0</v>
      </c>
    </row>
    <row r="1502" spans="2:8">
      <c r="B1502" s="893" t="str">
        <f>+'2I - SWT'!BK20</f>
        <v>S9008WSTTT</v>
      </c>
      <c r="E1502" s="1753" t="s">
        <v>11007</v>
      </c>
      <c r="G1502">
        <f>IF('2I - SWT'!I20="","##BLANK",'2I - SWT'!I20)</f>
        <v>0</v>
      </c>
    </row>
    <row r="1503" spans="2:8">
      <c r="B1503" s="893" t="str">
        <f>+'2I - SWT'!BK21</f>
        <v>BR689TTT</v>
      </c>
      <c r="E1503" s="1753" t="s">
        <v>11007</v>
      </c>
      <c r="G1503">
        <f>IF('2I - SWT'!I21="","##BLANK",'2I - SWT'!I21)</f>
        <v>0</v>
      </c>
    </row>
    <row r="1504" spans="2:8">
      <c r="B1504" s="893" t="str">
        <f>+'2I - SWT'!BK23</f>
        <v>BR989</v>
      </c>
      <c r="E1504" s="1753" t="s">
        <v>11007</v>
      </c>
      <c r="G1504">
        <f>IF('2I - SWT'!I23="","##BLANK",'2I - SWT'!I23)</f>
        <v>482.85600000000005</v>
      </c>
    </row>
    <row r="1505" spans="2:7">
      <c r="B1505" s="893" t="str">
        <f>+'2I - SWT'!BK26</f>
        <v>A19002RRA</v>
      </c>
      <c r="E1505" s="1753" t="s">
        <v>11007</v>
      </c>
      <c r="G1505">
        <f>IF('2I - SWT'!I26="","##BLANK",'2I - SWT'!I26)</f>
        <v>6.6509999999999998</v>
      </c>
    </row>
    <row r="1506" spans="2:7">
      <c r="B1506" s="893" t="str">
        <f>+'2I - SWT'!BK27</f>
        <v>A19003RRA</v>
      </c>
      <c r="E1506" s="1753" t="s">
        <v>11007</v>
      </c>
      <c r="G1506">
        <f>IF('2I - SWT'!I27="","##BLANK",'2I - SWT'!I27)</f>
        <v>28.338999999999999</v>
      </c>
    </row>
    <row r="1507" spans="2:7">
      <c r="B1507" s="893" t="str">
        <f>+'2I - SWT'!BK28</f>
        <v>A19039RRA</v>
      </c>
      <c r="E1507" s="1753" t="s">
        <v>11007</v>
      </c>
      <c r="G1507">
        <f>IF('2I - SWT'!I28="","##BLANK",'2I - SWT'!I28)</f>
        <v>0</v>
      </c>
    </row>
    <row r="1508" spans="2:7">
      <c r="B1508" s="893" t="str">
        <f>+'2I - SWT'!BK29</f>
        <v>A19004RRA</v>
      </c>
      <c r="E1508" s="1753" t="s">
        <v>11007</v>
      </c>
      <c r="G1508">
        <f>IF('2I - SWT'!I29="","##BLANK",'2I - SWT'!I29)</f>
        <v>34.989999999999995</v>
      </c>
    </row>
    <row r="1509" spans="2:7">
      <c r="B1509" s="893" t="str">
        <f>+'2I - SWT'!BK32</f>
        <v>BM340NPCW</v>
      </c>
      <c r="E1509" s="1753" t="s">
        <v>11007</v>
      </c>
      <c r="G1509">
        <f>IF('2I - SWT'!I32="","##BLANK",'2I - SWT'!I32)</f>
        <v>8.8999999999999996E-2</v>
      </c>
    </row>
    <row r="1510" spans="2:7">
      <c r="B1510" s="893" t="str">
        <f>+'2I - SWT'!BK33</f>
        <v>BM340NPCWW</v>
      </c>
      <c r="E1510" s="1753" t="s">
        <v>11007</v>
      </c>
      <c r="G1510">
        <f>IF('2I - SWT'!I33="","##BLANK",'2I - SWT'!I33)</f>
        <v>0</v>
      </c>
    </row>
    <row r="1511" spans="2:7">
      <c r="B1511" s="893" t="str">
        <f>+'2I - SWT'!BK34</f>
        <v>A19039NPC</v>
      </c>
      <c r="E1511" s="1753" t="s">
        <v>11007</v>
      </c>
      <c r="G1511">
        <f>IF('2I - SWT'!I34="","##BLANK",'2I - SWT'!I34)</f>
        <v>3.9009999999999998</v>
      </c>
    </row>
    <row r="1512" spans="2:7">
      <c r="B1512" s="893" t="str">
        <f>+'2I - SWT'!BK37</f>
        <v>BR973NPC</v>
      </c>
      <c r="E1512" s="1753" t="s">
        <v>11007</v>
      </c>
      <c r="G1512">
        <f>IF('2I - SWT'!I37="","##BLANK",'2I - SWT'!I37)</f>
        <v>0</v>
      </c>
    </row>
    <row r="1513" spans="2:7">
      <c r="B1513" s="893" t="str">
        <f>+'2I - SWT'!BK39</f>
        <v>BO1183</v>
      </c>
      <c r="E1513" s="1753" t="s">
        <v>11007</v>
      </c>
      <c r="G1513">
        <f>IF('2I - SWT'!I39="","##BLANK",'2I - SWT'!I39)</f>
        <v>521.83600000000001</v>
      </c>
    </row>
    <row r="1514" spans="2:7">
      <c r="B1514" s="893" t="str">
        <f>+'2I - SWT'!BK44</f>
        <v>BR689TTTPC</v>
      </c>
      <c r="E1514" s="1753" t="s">
        <v>11007</v>
      </c>
      <c r="G1514">
        <f>IF('2I - SWT'!I44="","##BLANK",'2I - SWT'!I44)</f>
        <v>0</v>
      </c>
    </row>
    <row r="1515" spans="2:7">
      <c r="B1515" s="893" t="str">
        <f>+'2I - SWT'!BK45</f>
        <v>BC11374TTT</v>
      </c>
      <c r="E1515" s="1753" t="s">
        <v>11007</v>
      </c>
      <c r="G1515">
        <f>IF('2I - SWT'!I45="","##BLANK",'2I - SWT'!I45)</f>
        <v>0</v>
      </c>
    </row>
    <row r="1516" spans="2:7">
      <c r="B1516" s="893" t="str">
        <f>+'2I - SWT'!BK46</f>
        <v>S9014TTT</v>
      </c>
      <c r="E1516" s="1753" t="s">
        <v>11007</v>
      </c>
      <c r="G1516">
        <f>IF('2I - SWT'!I46="","##BLANK",'2I - SWT'!I46)</f>
        <v>0</v>
      </c>
    </row>
    <row r="1517" spans="2:7">
      <c r="B1517" s="893" t="str">
        <f>+'2I - SWT'!BK48</f>
        <v>CRS001TTT</v>
      </c>
      <c r="E1517" s="1753" t="s">
        <v>11007</v>
      </c>
      <c r="G1517">
        <f>IF('2I - SWT'!I48="","##BLANK",'2I - SWT'!I48)</f>
        <v>0</v>
      </c>
    </row>
    <row r="1518" spans="2:7">
      <c r="B1518" s="893" t="str">
        <f>+'2I - SWT'!BK49</f>
        <v>CRS008TTT</v>
      </c>
      <c r="E1518" s="1753" t="s">
        <v>11007</v>
      </c>
      <c r="G1518">
        <f>IF('2I - SWT'!I49="","##BLANK",'2I - SWT'!I49)</f>
        <v>0</v>
      </c>
    </row>
    <row r="1519" spans="2:7">
      <c r="B1519" s="893" t="str">
        <f>+'2I - SWT'!BK50</f>
        <v>CRS009TTT</v>
      </c>
      <c r="E1519" s="1753" t="s">
        <v>11007</v>
      </c>
      <c r="G1519">
        <f>IF('2I - SWT'!I50="","##BLANK",'2I - SWT'!I50)</f>
        <v>0</v>
      </c>
    </row>
    <row r="1520" spans="2:7">
      <c r="B1520" s="893" t="str">
        <f>+'2I - SWT'!BK51</f>
        <v>CRS010TTT</v>
      </c>
      <c r="E1520" s="1753" t="s">
        <v>11007</v>
      </c>
      <c r="G1520">
        <f>IF('2I - SWT'!I51="","##BLANK",'2I - SWT'!I51)</f>
        <v>0</v>
      </c>
    </row>
    <row r="1521" spans="2:7">
      <c r="B1521" s="893" t="str">
        <f>+'2I - SWT'!BK53</f>
        <v>CRS002TTT</v>
      </c>
      <c r="E1521" s="1753" t="s">
        <v>11007</v>
      </c>
      <c r="G1521">
        <f>IF('2I - SWT'!I53="","##BLANK",'2I - SWT'!I53)</f>
        <v>0</v>
      </c>
    </row>
    <row r="1522" spans="2:7">
      <c r="B1522" s="893" t="str">
        <f>+'2I - SWT'!BL44</f>
        <v>BR989PC</v>
      </c>
      <c r="E1522" s="1753" t="s">
        <v>11007</v>
      </c>
      <c r="G1522">
        <f>IF('2I - SWT'!J44="","##BLANK",'2I - SWT'!J44)</f>
        <v>482.85600000000005</v>
      </c>
    </row>
    <row r="1523" spans="2:7">
      <c r="B1523" s="893" t="str">
        <f>+'2I - SWT'!BL45</f>
        <v>BC11474</v>
      </c>
      <c r="E1523" s="1753" t="s">
        <v>11007</v>
      </c>
      <c r="G1523">
        <f>IF('2I - SWT'!J45="","##BLANK",'2I - SWT'!J45)</f>
        <v>15.372</v>
      </c>
    </row>
    <row r="1524" spans="2:7">
      <c r="B1524" s="893" t="str">
        <f>+'2I - SWT'!BL46</f>
        <v>T9014</v>
      </c>
      <c r="E1524" s="1753" t="s">
        <v>11007</v>
      </c>
      <c r="G1524">
        <f>IF('2I - SWT'!J46="","##BLANK",'2I - SWT'!J46)</f>
        <v>498.22800000000007</v>
      </c>
    </row>
    <row r="1525" spans="2:7">
      <c r="B1525" s="893" t="str">
        <f>+'2I - SWT'!BL48</f>
        <v>CRT001</v>
      </c>
      <c r="E1525" s="1753" t="s">
        <v>11007</v>
      </c>
      <c r="G1525">
        <f>IF('2I - SWT'!J48="","##BLANK",'2I - SWT'!J48)</f>
        <v>493.02576399999998</v>
      </c>
    </row>
    <row r="1526" spans="2:7">
      <c r="B1526" s="893" t="str">
        <f>+'2I - SWT'!BL49</f>
        <v>CRT008</v>
      </c>
      <c r="E1526" s="1753" t="s">
        <v>11007</v>
      </c>
      <c r="G1526">
        <f>IF('2I - SWT'!J49="","##BLANK",'2I - SWT'!J49)</f>
        <v>-2.9799999999999995</v>
      </c>
    </row>
    <row r="1527" spans="2:7">
      <c r="B1527" s="893" t="str">
        <f>+'2I - SWT'!BL50</f>
        <v>CRT009</v>
      </c>
      <c r="E1527" s="1753" t="s">
        <v>11007</v>
      </c>
      <c r="G1527">
        <f>IF('2I - SWT'!J50="","##BLANK",'2I - SWT'!J50)</f>
        <v>-11.771000000000001</v>
      </c>
    </row>
    <row r="1528" spans="2:7">
      <c r="B1528" s="893" t="str">
        <f>+'2I - SWT'!BL51</f>
        <v>CRT010</v>
      </c>
      <c r="E1528" s="1753" t="s">
        <v>11007</v>
      </c>
      <c r="G1528">
        <f>IF('2I - SWT'!J51="","##BLANK",'2I - SWT'!J51)</f>
        <v>478.27476399999995</v>
      </c>
    </row>
    <row r="1529" spans="2:7">
      <c r="B1529" s="893" t="str">
        <f>+'2I - SWT'!BL53</f>
        <v>CRT002</v>
      </c>
      <c r="E1529" s="1753" t="s">
        <v>11007</v>
      </c>
      <c r="G1529">
        <f>IF('2I - SWT'!J53="","##BLANK",'2I - SWT'!J53)</f>
        <v>19.953236000000118</v>
      </c>
    </row>
    <row r="1530" spans="2:7">
      <c r="B1530" s="893" t="str">
        <f>+'2J'!AF6</f>
        <v>BC30449DT</v>
      </c>
      <c r="E1530" s="1753" t="s">
        <v>11007</v>
      </c>
      <c r="G1530" t="str">
        <f>IF('2J'!G6="","##BLANK",'2J'!G6)</f>
        <v>##BLANK</v>
      </c>
    </row>
    <row r="1531" spans="2:7">
      <c r="B1531" s="893" t="str">
        <f>+'2J'!AF7</f>
        <v>BC30449PS</v>
      </c>
      <c r="E1531" s="1753" t="s">
        <v>11007</v>
      </c>
      <c r="G1531" t="str">
        <f>IF('2J'!G7="","##BLANK",'2J'!G7)</f>
        <v>##BLANK</v>
      </c>
    </row>
    <row r="1532" spans="2:7">
      <c r="B1532" s="893" t="str">
        <f>+'2J'!AF8</f>
        <v>BC30449O</v>
      </c>
      <c r="E1532" s="1753" t="s">
        <v>11007</v>
      </c>
      <c r="G1532" t="str">
        <f>IF('2J'!G8="","##BLANK",'2J'!G8)</f>
        <v>##BLANK</v>
      </c>
    </row>
    <row r="1533" spans="2:7">
      <c r="B1533" s="893" t="str">
        <f>+'2J'!AF9</f>
        <v>BC30449TWDT</v>
      </c>
      <c r="E1533" s="1753" t="s">
        <v>11007</v>
      </c>
      <c r="G1533">
        <f>IF('2J'!G9="","##BLANK",'2J'!G9)</f>
        <v>0</v>
      </c>
    </row>
    <row r="1534" spans="2:7">
      <c r="B1534" s="893" t="str">
        <f>+'2J'!AF12</f>
        <v>BC30849FC</v>
      </c>
      <c r="E1534" s="1753" t="s">
        <v>11007</v>
      </c>
      <c r="G1534" t="str">
        <f>IF('2J'!G12="","##BLANK",'2J'!G12)</f>
        <v>##BLANK</v>
      </c>
    </row>
    <row r="1535" spans="2:7">
      <c r="B1535" s="893" t="str">
        <f>+'2J'!AF13</f>
        <v>BC30849SW</v>
      </c>
      <c r="E1535" s="1753" t="s">
        <v>11007</v>
      </c>
      <c r="G1535" t="str">
        <f>IF('2J'!G13="","##BLANK",'2J'!G13)</f>
        <v>##BLANK</v>
      </c>
    </row>
    <row r="1536" spans="2:7">
      <c r="B1536" s="893" t="str">
        <f>+'2J'!AF14</f>
        <v>BC30849PS</v>
      </c>
      <c r="E1536" s="1753" t="s">
        <v>11007</v>
      </c>
      <c r="G1536" t="str">
        <f>IF('2J'!G14="","##BLANK",'2J'!G14)</f>
        <v>##BLANK</v>
      </c>
    </row>
    <row r="1537" spans="2:7">
      <c r="B1537" s="893" t="str">
        <f>+'2J'!AF15</f>
        <v>BC30849O</v>
      </c>
      <c r="E1537" s="1753" t="s">
        <v>11007</v>
      </c>
      <c r="G1537" t="str">
        <f>IF('2J'!G15="","##BLANK",'2J'!G15)</f>
        <v>##BLANK</v>
      </c>
    </row>
    <row r="1538" spans="2:7">
      <c r="B1538" s="893" t="str">
        <f>+'2J'!AF16</f>
        <v>BC30849SCT</v>
      </c>
      <c r="E1538" s="1753" t="s">
        <v>11007</v>
      </c>
      <c r="G1538">
        <f>IF('2J'!G16="","##BLANK",'2J'!G16)</f>
        <v>0</v>
      </c>
    </row>
    <row r="1539" spans="2:7">
      <c r="B1539" s="893" t="str">
        <f>+'2J'!AG6</f>
        <v>BC30449DTM</v>
      </c>
      <c r="E1539" s="1753" t="s">
        <v>11007</v>
      </c>
      <c r="G1539" t="str">
        <f>IF('2J'!H6="","##BLANK",'2J'!H6)</f>
        <v>##BLANK</v>
      </c>
    </row>
    <row r="1540" spans="2:7">
      <c r="B1540" s="893" t="str">
        <f>+'2J'!AG7</f>
        <v>BC30449PSM</v>
      </c>
      <c r="E1540" s="1753" t="s">
        <v>11007</v>
      </c>
      <c r="G1540" t="str">
        <f>IF('2J'!H7="","##BLANK",'2J'!H7)</f>
        <v>##BLANK</v>
      </c>
    </row>
    <row r="1541" spans="2:7">
      <c r="B1541" s="893" t="str">
        <f>+'2J'!AG8</f>
        <v>BC30449OM</v>
      </c>
      <c r="E1541" s="1753" t="s">
        <v>11007</v>
      </c>
      <c r="G1541" t="str">
        <f>IF('2J'!H8="","##BLANK",'2J'!H8)</f>
        <v>##BLANK</v>
      </c>
    </row>
    <row r="1542" spans="2:7">
      <c r="B1542" s="893" t="str">
        <f>+'2J'!AG9</f>
        <v>BC30449TM</v>
      </c>
      <c r="E1542" s="1753" t="s">
        <v>11007</v>
      </c>
      <c r="G1542">
        <f>IF('2J'!H9="","##BLANK",'2J'!H9)</f>
        <v>0</v>
      </c>
    </row>
    <row r="1543" spans="2:7">
      <c r="B1543" s="893" t="str">
        <f>+'2J'!AG12</f>
        <v>BC30849FCM</v>
      </c>
      <c r="E1543" s="1753" t="s">
        <v>11007</v>
      </c>
      <c r="G1543" t="str">
        <f>IF('2J'!H12="","##BLANK",'2J'!H12)</f>
        <v>##BLANK</v>
      </c>
    </row>
    <row r="1544" spans="2:7">
      <c r="B1544" s="893" t="str">
        <f>+'2J'!AG13</f>
        <v>BC30849SWM</v>
      </c>
      <c r="E1544" s="1753" t="s">
        <v>11007</v>
      </c>
      <c r="G1544" t="str">
        <f>IF('2J'!H13="","##BLANK",'2J'!H13)</f>
        <v>##BLANK</v>
      </c>
    </row>
    <row r="1545" spans="2:7">
      <c r="B1545" s="893" t="str">
        <f>+'2J'!AG14</f>
        <v>BC30849PSM</v>
      </c>
      <c r="E1545" s="1753" t="s">
        <v>11007</v>
      </c>
      <c r="G1545" t="str">
        <f>IF('2J'!H14="","##BLANK",'2J'!H14)</f>
        <v>##BLANK</v>
      </c>
    </row>
    <row r="1546" spans="2:7">
      <c r="B1546" s="893" t="str">
        <f>+'2J'!AG15</f>
        <v>BC30849OM</v>
      </c>
      <c r="E1546" s="1753" t="s">
        <v>11007</v>
      </c>
      <c r="G1546" t="str">
        <f>IF('2J'!H15="","##BLANK",'2J'!H15)</f>
        <v>##BLANK</v>
      </c>
    </row>
    <row r="1547" spans="2:7">
      <c r="B1547" s="893" t="str">
        <f>+'2J'!AG16</f>
        <v>BC30849SCTM</v>
      </c>
      <c r="E1547" s="1753" t="s">
        <v>11007</v>
      </c>
      <c r="G1547">
        <f>IF('2J'!H16="","##BLANK",'2J'!H16)</f>
        <v>0</v>
      </c>
    </row>
    <row r="1548" spans="2:7">
      <c r="B1548" s="893" t="str">
        <f>+'2K'!Z7</f>
        <v>BC11270DIS</v>
      </c>
      <c r="E1548" s="1753" t="s">
        <v>11007</v>
      </c>
      <c r="G1548" t="str">
        <f>IF('2K'!G7="","##BLANK",'2K'!G7)</f>
        <v>##BLANK</v>
      </c>
    </row>
    <row r="1549" spans="2:7">
      <c r="B1549" s="893" t="str">
        <f>+'2K'!Z8</f>
        <v>BC11270GROSS</v>
      </c>
      <c r="E1549" s="1753" t="s">
        <v>11007</v>
      </c>
      <c r="G1549">
        <f>IF('2K'!G8="","##BLANK",'2K'!G8)</f>
        <v>0</v>
      </c>
    </row>
    <row r="1550" spans="2:7">
      <c r="B1550" s="893" t="str">
        <f>+'2K'!Z14</f>
        <v>BC11270VARCFWD</v>
      </c>
      <c r="E1550" s="1753" t="s">
        <v>11007</v>
      </c>
      <c r="G1550">
        <f>IF('2K'!G14="","##BLANK",'2K'!G14)</f>
        <v>0</v>
      </c>
    </row>
    <row r="1551" spans="2:7">
      <c r="B1551" s="893" t="str">
        <f>+'2K'!AA7</f>
        <v>BC11370DIS</v>
      </c>
      <c r="E1551" s="1753" t="s">
        <v>11007</v>
      </c>
      <c r="G1551" t="str">
        <f>IF('2K'!H7="","##BLANK",'2K'!H7)</f>
        <v>##BLANK</v>
      </c>
    </row>
    <row r="1552" spans="2:7">
      <c r="B1552" s="893" t="str">
        <f>+'2K'!AA8</f>
        <v>BC11370GROSS</v>
      </c>
      <c r="E1552" s="1753" t="s">
        <v>11007</v>
      </c>
      <c r="G1552">
        <f>IF('2K'!H8="","##BLANK",'2K'!H8)</f>
        <v>0</v>
      </c>
    </row>
    <row r="1553" spans="2:7">
      <c r="B1553" s="893" t="str">
        <f>+'2K'!AA14</f>
        <v>BC11370VARCFWD</v>
      </c>
      <c r="E1553" s="1753" t="s">
        <v>11007</v>
      </c>
      <c r="G1553">
        <f>IF('2K'!H14="","##BLANK",'2K'!H14)</f>
        <v>0</v>
      </c>
    </row>
    <row r="1554" spans="2:7" s="2146" customFormat="1">
      <c r="B1554" s="1865" t="str">
        <f>+'2K'!AB6</f>
        <v>BC11470</v>
      </c>
      <c r="C1554" s="1382"/>
      <c r="E1554" s="1753" t="s">
        <v>11007</v>
      </c>
      <c r="G1554" s="2146">
        <f>IF('2K'!I6="","##BLANK",'2K'!I6)</f>
        <v>0</v>
      </c>
    </row>
    <row r="1555" spans="2:7">
      <c r="B1555" s="1865" t="str">
        <f>+'2K'!AB7</f>
        <v>BC11470DIS</v>
      </c>
      <c r="E1555" s="1753" t="s">
        <v>11007</v>
      </c>
      <c r="G1555">
        <f>IF('2K'!I7="","##BLANK",'2K'!I7)</f>
        <v>0</v>
      </c>
    </row>
    <row r="1556" spans="2:7">
      <c r="B1556" s="1865" t="str">
        <f>+'2K'!AB8</f>
        <v>BC11470GROSS</v>
      </c>
      <c r="E1556" s="1753" t="s">
        <v>11007</v>
      </c>
      <c r="G1556">
        <f>IF('2K'!I8="","##BLANK",'2K'!I8)</f>
        <v>0</v>
      </c>
    </row>
    <row r="1557" spans="2:7">
      <c r="B1557" s="1865" t="str">
        <f>+'2K'!AB11</f>
        <v>BC11470VARBFWD</v>
      </c>
      <c r="E1557" s="1753" t="s">
        <v>11007</v>
      </c>
      <c r="G1557">
        <f>IF('2K'!I11="","##BLANK",'2K'!I11)</f>
        <v>0</v>
      </c>
    </row>
    <row r="1558" spans="2:7">
      <c r="B1558" s="1865" t="str">
        <f>+'2K'!AB13</f>
        <v>BC11470NRC</v>
      </c>
      <c r="E1558" s="1753" t="s">
        <v>11007</v>
      </c>
      <c r="G1558">
        <f>IF('2K'!I13="","##BLANK",'2K'!I13)</f>
        <v>0</v>
      </c>
    </row>
    <row r="1559" spans="2:7">
      <c r="B1559" s="1865" t="str">
        <f>+'2K'!AB14</f>
        <v>BC11470VARCFWD</v>
      </c>
      <c r="E1559" s="1753" t="s">
        <v>11007</v>
      </c>
      <c r="G1559">
        <f>IF('2K'!I14="","##BLANK",'2K'!I14)</f>
        <v>0</v>
      </c>
    </row>
    <row r="1560" spans="2:7">
      <c r="B1560" s="2324" t="str">
        <f>'3D - SWT'!AE7</f>
        <v>SIMAMP6_QL1</v>
      </c>
      <c r="E1560" s="1753" t="s">
        <v>11007</v>
      </c>
      <c r="G1560">
        <f>IF('3D - SWT'!F7="","##BLANK",'3D - SWT'!F7)</f>
        <v>4.49</v>
      </c>
    </row>
    <row r="1561" spans="2:7">
      <c r="B1561" s="2324" t="str">
        <f>'3D - SWT'!AE8</f>
        <v>SIMAMP6_QL2</v>
      </c>
      <c r="E1561" s="1753" t="s">
        <v>11007</v>
      </c>
      <c r="G1561">
        <f>IF('3D - SWT'!F8="","##BLANK",'3D - SWT'!F8)</f>
        <v>4.53</v>
      </c>
    </row>
    <row r="1562" spans="2:7">
      <c r="B1562" s="2324" t="str">
        <f>'3D - SWT'!AE9</f>
        <v>SIMAMP6_QL3</v>
      </c>
      <c r="E1562" s="1753" t="s">
        <v>11007</v>
      </c>
      <c r="G1562">
        <f>IF('3D - SWT'!F9="","##BLANK",'3D - SWT'!F9)</f>
        <v>4.67</v>
      </c>
    </row>
    <row r="1563" spans="2:7">
      <c r="B1563" s="2324" t="str">
        <f>'3D - SWT'!AE10</f>
        <v>SIMAMP6_QL4</v>
      </c>
      <c r="E1563" s="1753" t="s">
        <v>11007</v>
      </c>
      <c r="G1563">
        <f>IF('3D - SWT'!F10="","##BLANK",'3D - SWT'!F10)</f>
        <v>4.57</v>
      </c>
    </row>
    <row r="1564" spans="2:7">
      <c r="B1564" s="2324" t="str">
        <f>'3D - SWT'!AE11</f>
        <v>SIMAMP6_QLS</v>
      </c>
      <c r="E1564" s="1753" t="s">
        <v>11007</v>
      </c>
      <c r="G1564">
        <f>IF('3D - SWT'!F11="","##BLANK",'3D - SWT'!F11)</f>
        <v>66.75</v>
      </c>
    </row>
    <row r="1565" spans="2:7">
      <c r="B1565" s="2324" t="str">
        <f>'3D - SWT'!AE12</f>
        <v>SIMAMP6_CS</v>
      </c>
      <c r="E1565" s="1753" t="s">
        <v>11007</v>
      </c>
      <c r="G1565">
        <f>IF('3D - SWT'!F12="","##BLANK",'3D - SWT'!F12)</f>
        <v>82.66</v>
      </c>
    </row>
    <row r="1566" spans="2:7">
      <c r="B1566" s="2324" t="str">
        <f>'3D - SWT'!AE13</f>
        <v>SIMAMP6_QNS</v>
      </c>
      <c r="E1566" s="1753" t="s">
        <v>11007</v>
      </c>
      <c r="G1566">
        <f>IF('3D - SWT'!F13="","##BLANK",'3D - SWT'!F13)</f>
        <v>20.867000000000001</v>
      </c>
    </row>
    <row r="1567" spans="2:7">
      <c r="B1567" s="2324" t="str">
        <f>'3D - SWT'!AE14</f>
        <v>KI001U</v>
      </c>
      <c r="E1567" s="1753" t="s">
        <v>11007</v>
      </c>
      <c r="G1567">
        <f>IF('3D - SWT'!F14="","##BLANK",'3D - SWT'!F14)</f>
        <v>87.617000000000004</v>
      </c>
    </row>
    <row r="1568" spans="2:7">
      <c r="B1568" s="893" t="str">
        <f>+'4A - SWT'!AF8</f>
        <v>WHV001U</v>
      </c>
      <c r="E1568" s="1753" t="s">
        <v>11007</v>
      </c>
      <c r="G1568">
        <f>IF('4A - SWT'!G8="","##BLANK",'4A - SWT'!G8)</f>
        <v>5.7389999999999999</v>
      </c>
    </row>
    <row r="1569" spans="2:8">
      <c r="B1569" s="893" t="str">
        <f>+'4A - SWT'!AF9</f>
        <v>BN2304</v>
      </c>
      <c r="E1569" s="1753" t="s">
        <v>11007</v>
      </c>
      <c r="G1569">
        <f>IF('4A - SWT'!G9="","##BLANK",'4A - SWT'!G9)</f>
        <v>212.25695836723742</v>
      </c>
    </row>
    <row r="1570" spans="2:8">
      <c r="B1570" s="893" t="str">
        <f>+'4A - SWT'!AF15</f>
        <v>BN2370</v>
      </c>
      <c r="E1570" s="1753" t="s">
        <v>11007</v>
      </c>
      <c r="G1570">
        <f>IF('4A - SWT'!G15="","##BLANK",'4A - SWT'!G15)</f>
        <v>5.3999999999999999E-2</v>
      </c>
    </row>
    <row r="1571" spans="2:8">
      <c r="B1571" s="893" t="str">
        <f>+'4A - SWT'!AF16</f>
        <v>BN2360</v>
      </c>
      <c r="E1571" s="1753" t="s">
        <v>11007</v>
      </c>
      <c r="G1571">
        <f>IF('4A - SWT'!G16="","##BLANK",'4A - SWT'!G16)</f>
        <v>0</v>
      </c>
    </row>
    <row r="1572" spans="2:8">
      <c r="B1572" s="893" t="str">
        <f>+'4A - SWT'!AF17</f>
        <v>BN1000</v>
      </c>
      <c r="C1572" s="893"/>
      <c r="E1572" s="1753" t="s">
        <v>11007</v>
      </c>
      <c r="G1572">
        <f>IF('4A - SWT'!G17="","##BLANK",'4A - SWT'!G17)</f>
        <v>466.56872474185229</v>
      </c>
      <c r="H1572" s="893"/>
    </row>
    <row r="1573" spans="2:8">
      <c r="B1573" s="893" t="str">
        <f>+'4A - SWT'!AG8</f>
        <v>WHV001M</v>
      </c>
      <c r="E1573" s="1753" t="s">
        <v>11007</v>
      </c>
      <c r="G1573">
        <f>IF('4A - SWT'!H8="","##BLANK",'4A - SWT'!H8)</f>
        <v>4.2750000000000004</v>
      </c>
    </row>
    <row r="1574" spans="2:8">
      <c r="B1574" s="893" t="str">
        <f>+'4A - SWT'!AG9</f>
        <v>BN2305</v>
      </c>
      <c r="E1574" s="1753" t="s">
        <v>11007</v>
      </c>
      <c r="G1574">
        <f>IF('4A - SWT'!H9="","##BLANK",'4A - SWT'!H9)</f>
        <v>140.34060182681787</v>
      </c>
    </row>
    <row r="1575" spans="2:8">
      <c r="B1575" s="893" t="str">
        <f>+'4A - SWT'!AG15</f>
        <v>BN2370S</v>
      </c>
      <c r="E1575" s="1753" t="s">
        <v>11007</v>
      </c>
      <c r="G1575">
        <f>IF('4A - SWT'!H15="","##BLANK",'4A - SWT'!H15)</f>
        <v>0</v>
      </c>
    </row>
    <row r="1576" spans="2:8">
      <c r="B1576" s="893" t="str">
        <f>+'4A - SWT'!AG16</f>
        <v>BN2360S</v>
      </c>
      <c r="E1576" s="1753" t="s">
        <v>11007</v>
      </c>
      <c r="G1576">
        <f>IF('4A - SWT'!H16="","##BLANK",'4A - SWT'!H16)</f>
        <v>0</v>
      </c>
    </row>
    <row r="1577" spans="2:8">
      <c r="B1577" s="893" t="str">
        <f>+'4B'!AJ7</f>
        <v>W3026MT</v>
      </c>
      <c r="E1577" s="1753" t="s">
        <v>11007</v>
      </c>
      <c r="G1577">
        <f>IF('4B'!G7="","##BLANK",'4B'!G7)</f>
        <v>0</v>
      </c>
    </row>
    <row r="1578" spans="2:8">
      <c r="B1578" s="893" t="str">
        <f>+'4B'!AJ10</f>
        <v>CRW004</v>
      </c>
      <c r="E1578" s="1753" t="s">
        <v>11007</v>
      </c>
      <c r="G1578" t="str">
        <f>IF('4B'!G10="","##BLANK",'4B'!G10)</f>
        <v>##BLANK</v>
      </c>
    </row>
    <row r="1579" spans="2:8">
      <c r="B1579" s="893" t="str">
        <f>+'4B'!AJ11</f>
        <v>CRW003</v>
      </c>
      <c r="E1579" s="1753" t="s">
        <v>11007</v>
      </c>
      <c r="G1579" t="str">
        <f>IF('4B'!G11="","##BLANK",'4B'!G11)</f>
        <v>##BLANK</v>
      </c>
    </row>
    <row r="1580" spans="2:8">
      <c r="B1580" s="893" t="str">
        <f>+'4B'!AJ12</f>
        <v>CRW005</v>
      </c>
      <c r="E1580" s="1753" t="s">
        <v>11007</v>
      </c>
      <c r="G1580" t="str">
        <f>IF('4B'!G12="","##BLANK",'4B'!G12)</f>
        <v>##BLANK</v>
      </c>
    </row>
    <row r="1581" spans="2:8">
      <c r="B1581" s="893" t="str">
        <f>+'4B'!AJ13</f>
        <v>CRW006</v>
      </c>
      <c r="E1581" s="1753" t="s">
        <v>11007</v>
      </c>
      <c r="G1581">
        <f>IF('4B'!G13="","##BLANK",'4B'!G13)</f>
        <v>0</v>
      </c>
    </row>
    <row r="1582" spans="2:8">
      <c r="B1582" s="893" t="str">
        <f>+'4B'!AJ16</f>
        <v>CRW011</v>
      </c>
      <c r="E1582" s="1753" t="s">
        <v>11007</v>
      </c>
      <c r="G1582" t="str">
        <f>IF('4B'!G16="","##BLANK",'4B'!G16)</f>
        <v>##BLANK</v>
      </c>
    </row>
    <row r="1583" spans="2:8">
      <c r="B1583" s="893" t="str">
        <f>+'4B'!AJ19</f>
        <v>CRW012</v>
      </c>
      <c r="E1583" s="1753" t="s">
        <v>11007</v>
      </c>
      <c r="G1583">
        <f>IF('4B'!G19="","##BLANK",'4B'!G19)</f>
        <v>0</v>
      </c>
    </row>
    <row r="1584" spans="2:8">
      <c r="B1584" s="893" t="str">
        <f>+'4B'!AJ20</f>
        <v>CRW013</v>
      </c>
      <c r="E1584" s="1753" t="s">
        <v>11007</v>
      </c>
      <c r="G1584" t="str">
        <f>IF('4B'!G20="","##BLANK",'4B'!G20)</f>
        <v>##BLANK</v>
      </c>
    </row>
    <row r="1585" spans="2:7">
      <c r="B1585" s="893" t="str">
        <f>+'4B'!AJ23</f>
        <v>CRW014</v>
      </c>
      <c r="E1585" s="1753" t="s">
        <v>11007</v>
      </c>
      <c r="G1585" t="str">
        <f>IF('4B'!G23="","##BLANK",'4B'!G23)</f>
        <v>##BLANK</v>
      </c>
    </row>
    <row r="1586" spans="2:7">
      <c r="B1586" s="893" t="str">
        <f>+'4B'!AK7</f>
        <v>S3040MT</v>
      </c>
      <c r="E1586" s="1753" t="s">
        <v>11007</v>
      </c>
      <c r="G1586">
        <f>IF('4B'!H7="","##BLANK",'4B'!H7)</f>
        <v>0</v>
      </c>
    </row>
    <row r="1587" spans="2:7">
      <c r="B1587" s="893" t="str">
        <f>+'4B'!AK10</f>
        <v>CRS004</v>
      </c>
      <c r="E1587" s="1753" t="s">
        <v>11007</v>
      </c>
      <c r="G1587" t="str">
        <f>IF('4B'!H10="","##BLANK",'4B'!H10)</f>
        <v>##BLANK</v>
      </c>
    </row>
    <row r="1588" spans="2:7">
      <c r="B1588" s="893" t="str">
        <f>+'4B'!AK11</f>
        <v>CRS003</v>
      </c>
      <c r="E1588" s="1753" t="s">
        <v>11007</v>
      </c>
      <c r="G1588" t="str">
        <f>IF('4B'!H11="","##BLANK",'4B'!H11)</f>
        <v>##BLANK</v>
      </c>
    </row>
    <row r="1589" spans="2:7">
      <c r="B1589" s="893" t="str">
        <f>+'4B'!AK12</f>
        <v>CRS005</v>
      </c>
      <c r="E1589" s="1753" t="s">
        <v>11007</v>
      </c>
      <c r="G1589" t="str">
        <f>IF('4B'!H12="","##BLANK",'4B'!H12)</f>
        <v>##BLANK</v>
      </c>
    </row>
    <row r="1590" spans="2:7">
      <c r="B1590" s="893" t="str">
        <f>+'4B'!AK13</f>
        <v>CRS006</v>
      </c>
      <c r="E1590" s="1753" t="s">
        <v>11007</v>
      </c>
      <c r="G1590">
        <f>IF('4B'!H13="","##BLANK",'4B'!H13)</f>
        <v>0</v>
      </c>
    </row>
    <row r="1591" spans="2:7">
      <c r="B1591" s="893" t="str">
        <f>+'4B'!AK16</f>
        <v>CRS011</v>
      </c>
      <c r="E1591" s="1753" t="s">
        <v>11007</v>
      </c>
      <c r="G1591" t="str">
        <f>IF('4B'!H16="","##BLANK",'4B'!H16)</f>
        <v>##BLANK</v>
      </c>
    </row>
    <row r="1592" spans="2:7">
      <c r="B1592" s="893" t="str">
        <f>+'4B'!AK19</f>
        <v>CRS012</v>
      </c>
      <c r="E1592" s="1753" t="s">
        <v>11007</v>
      </c>
      <c r="G1592">
        <f>IF('4B'!H19="","##BLANK",'4B'!H19)</f>
        <v>0</v>
      </c>
    </row>
    <row r="1593" spans="2:7">
      <c r="B1593" s="893" t="str">
        <f>+'4B'!AK20</f>
        <v>CRS013</v>
      </c>
      <c r="E1593" s="1753" t="s">
        <v>11007</v>
      </c>
      <c r="G1593" t="str">
        <f>IF('4B'!H20="","##BLANK",'4B'!H20)</f>
        <v>##BLANK</v>
      </c>
    </row>
    <row r="1594" spans="2:7">
      <c r="B1594" s="893" t="str">
        <f>+'4B'!AK23</f>
        <v>CRS014</v>
      </c>
      <c r="E1594" s="1753" t="s">
        <v>11007</v>
      </c>
      <c r="G1594" t="str">
        <f>IF('4B'!H23="","##BLANK",'4B'!H23)</f>
        <v>##BLANK</v>
      </c>
    </row>
    <row r="1595" spans="2:7">
      <c r="B1595" s="893" t="str">
        <f>+'4B'!AL10</f>
        <v>CRS004TTT</v>
      </c>
      <c r="E1595" s="1753" t="s">
        <v>11007</v>
      </c>
      <c r="G1595" t="str">
        <f>IF('4B'!I10="","##BLANK",'4B'!I10)</f>
        <v>##BLANK</v>
      </c>
    </row>
    <row r="1596" spans="2:7">
      <c r="B1596" s="893" t="str">
        <f>+'4B'!AL11</f>
        <v>CRS003TTT</v>
      </c>
      <c r="E1596" s="1753" t="s">
        <v>11007</v>
      </c>
      <c r="G1596" t="str">
        <f>IF('4B'!I11="","##BLANK",'4B'!I11)</f>
        <v>##BLANK</v>
      </c>
    </row>
    <row r="1597" spans="2:7">
      <c r="B1597" s="893" t="str">
        <f>+'4B'!AL12</f>
        <v>CRS005TTT</v>
      </c>
      <c r="E1597" s="1753" t="s">
        <v>11007</v>
      </c>
      <c r="G1597" t="str">
        <f>IF('4B'!I12="","##BLANK",'4B'!I12)</f>
        <v>##BLANK</v>
      </c>
    </row>
    <row r="1598" spans="2:7">
      <c r="B1598" s="893" t="str">
        <f>+'4B'!AL13</f>
        <v>CRS006TTT</v>
      </c>
      <c r="E1598" s="1753" t="s">
        <v>11007</v>
      </c>
      <c r="G1598">
        <f>IF('4B'!I13="","##BLANK",'4B'!I13)</f>
        <v>0</v>
      </c>
    </row>
    <row r="1599" spans="2:7">
      <c r="B1599" s="893" t="str">
        <f>+'4B'!AL16</f>
        <v>CRS011TTT</v>
      </c>
      <c r="E1599" s="1753" t="s">
        <v>11007</v>
      </c>
      <c r="G1599" t="str">
        <f>IF('4B'!I16="","##BLANK",'4B'!I16)</f>
        <v>##BLANK</v>
      </c>
    </row>
    <row r="1600" spans="2:7">
      <c r="B1600" s="893" t="str">
        <f>+'4B'!AL19</f>
        <v>CRS012TTT</v>
      </c>
      <c r="E1600" s="1753" t="s">
        <v>11007</v>
      </c>
      <c r="G1600">
        <f>IF('4B'!I19="","##BLANK",'4B'!I19)</f>
        <v>0</v>
      </c>
    </row>
    <row r="1601" spans="2:7">
      <c r="B1601" s="893" t="str">
        <f>+'4B'!AL20</f>
        <v>CRS013TTT</v>
      </c>
      <c r="E1601" s="1753" t="s">
        <v>11007</v>
      </c>
      <c r="G1601" t="str">
        <f>IF('4B'!I20="","##BLANK",'4B'!I20)</f>
        <v>##BLANK</v>
      </c>
    </row>
    <row r="1602" spans="2:7">
      <c r="B1602" s="893" t="str">
        <f>+'4B'!AL23</f>
        <v>CRS014TTT</v>
      </c>
      <c r="E1602" s="1753" t="s">
        <v>11007</v>
      </c>
      <c r="G1602" t="str">
        <f>IF('4B'!I23="","##BLANK",'4B'!I23)</f>
        <v>##BLANK</v>
      </c>
    </row>
    <row r="1603" spans="2:7">
      <c r="B1603" s="893" t="str">
        <f>+'4B'!AM7</f>
        <v>W3026MTCUM</v>
      </c>
      <c r="E1603" s="1753" t="s">
        <v>11007</v>
      </c>
      <c r="G1603" s="675" t="str">
        <f>IF('4B'!J7="","##BLANK",'4B'!J7)</f>
        <v>##BLANK</v>
      </c>
    </row>
    <row r="1604" spans="2:7">
      <c r="B1604" s="893" t="str">
        <f>+'4B'!AM10</f>
        <v>CRW004CUM</v>
      </c>
      <c r="E1604" s="1753" t="s">
        <v>11007</v>
      </c>
      <c r="G1604" t="str">
        <f>IF('4B'!J10="","##BLANK",'4B'!J10)</f>
        <v>##BLANK</v>
      </c>
    </row>
    <row r="1605" spans="2:7">
      <c r="B1605" s="893" t="str">
        <f>+'4B'!AM11</f>
        <v>CRW003CUM</v>
      </c>
      <c r="E1605" s="1753" t="s">
        <v>11007</v>
      </c>
      <c r="G1605" t="str">
        <f>IF('4B'!J11="","##BLANK",'4B'!J11)</f>
        <v>##BLANK</v>
      </c>
    </row>
    <row r="1606" spans="2:7">
      <c r="B1606" s="893" t="str">
        <f>+'4B'!AM12</f>
        <v>CRW005CUM</v>
      </c>
      <c r="E1606" s="1753" t="s">
        <v>11007</v>
      </c>
      <c r="G1606" t="str">
        <f>IF('4B'!J12="","##BLANK",'4B'!J12)</f>
        <v>##BLANK</v>
      </c>
    </row>
    <row r="1607" spans="2:7">
      <c r="B1607" s="893" t="str">
        <f>+'4B'!AM13</f>
        <v>CRW006CUM</v>
      </c>
      <c r="E1607" s="1753" t="s">
        <v>11007</v>
      </c>
      <c r="G1607">
        <f>IF('4B'!J13="","##BLANK",'4B'!J13)</f>
        <v>0</v>
      </c>
    </row>
    <row r="1608" spans="2:7">
      <c r="B1608" s="893" t="str">
        <f>+'4B'!AM16</f>
        <v>CRW011CUM</v>
      </c>
      <c r="E1608" s="1753" t="s">
        <v>11007</v>
      </c>
      <c r="G1608" t="str">
        <f>IF('4B'!J16="","##BLANK",'4B'!J16)</f>
        <v>##BLANK</v>
      </c>
    </row>
    <row r="1609" spans="2:7">
      <c r="B1609" s="893" t="str">
        <f>+'4B'!AM19</f>
        <v>CRW012CUM</v>
      </c>
      <c r="E1609" s="1753" t="s">
        <v>11007</v>
      </c>
      <c r="G1609">
        <f>IF('4B'!J19="","##BLANK",'4B'!J19)</f>
        <v>0</v>
      </c>
    </row>
    <row r="1610" spans="2:7">
      <c r="B1610" s="893" t="str">
        <f>+'4B'!AM20</f>
        <v>CRW013CUM</v>
      </c>
      <c r="E1610" s="1753" t="s">
        <v>11007</v>
      </c>
      <c r="G1610" t="str">
        <f>IF('4B'!J20="","##BLANK",'4B'!J20)</f>
        <v>##BLANK</v>
      </c>
    </row>
    <row r="1611" spans="2:7">
      <c r="B1611" s="893" t="str">
        <f>+'4B'!AM23</f>
        <v>CRW014CUM</v>
      </c>
      <c r="E1611" s="1753" t="s">
        <v>11007</v>
      </c>
      <c r="G1611" t="str">
        <f>IF('4B'!J23="","##BLANK",'4B'!J23)</f>
        <v>##BLANK</v>
      </c>
    </row>
    <row r="1612" spans="2:7">
      <c r="B1612" s="893" t="str">
        <f>+'4B'!AN7</f>
        <v>S3040MTCUM</v>
      </c>
      <c r="E1612" s="1753" t="s">
        <v>11007</v>
      </c>
      <c r="G1612" t="str">
        <f>IF('4B'!K7="","##BLANK",'4B'!K7)</f>
        <v>##BLANK</v>
      </c>
    </row>
    <row r="1613" spans="2:7">
      <c r="B1613" s="893" t="str">
        <f>+'4B'!AN10</f>
        <v>CRS004CUM</v>
      </c>
      <c r="E1613" s="1753" t="s">
        <v>11007</v>
      </c>
      <c r="G1613" t="str">
        <f>IF('4B'!K10="","##BLANK",'4B'!K10)</f>
        <v>##BLANK</v>
      </c>
    </row>
    <row r="1614" spans="2:7">
      <c r="B1614" s="893" t="str">
        <f>+'4B'!AN11</f>
        <v>CRS003CUM</v>
      </c>
      <c r="E1614" s="1753" t="s">
        <v>11007</v>
      </c>
      <c r="G1614" t="str">
        <f>IF('4B'!K11="","##BLANK",'4B'!K11)</f>
        <v>##BLANK</v>
      </c>
    </row>
    <row r="1615" spans="2:7">
      <c r="B1615" s="893" t="str">
        <f>+'4B'!AN12</f>
        <v>CRS005CUM</v>
      </c>
      <c r="E1615" s="1753" t="s">
        <v>11007</v>
      </c>
      <c r="G1615" t="str">
        <f>IF('4B'!K12="","##BLANK",'4B'!K12)</f>
        <v>##BLANK</v>
      </c>
    </row>
    <row r="1616" spans="2:7">
      <c r="B1616" s="893" t="str">
        <f>+'4B'!AN13</f>
        <v>CRS006CUM</v>
      </c>
      <c r="E1616" s="1753" t="s">
        <v>11007</v>
      </c>
      <c r="G1616">
        <f>IF('4B'!K13="","##BLANK",'4B'!K13)</f>
        <v>0</v>
      </c>
    </row>
    <row r="1617" spans="2:7">
      <c r="B1617" s="893" t="str">
        <f>+'4B'!AN16</f>
        <v>CRS011CUM</v>
      </c>
      <c r="E1617" s="1753" t="s">
        <v>11007</v>
      </c>
      <c r="G1617" t="str">
        <f>IF('4B'!K16="","##BLANK",'4B'!K16)</f>
        <v>##BLANK</v>
      </c>
    </row>
    <row r="1618" spans="2:7">
      <c r="B1618" s="893" t="str">
        <f>+'4B'!AN19</f>
        <v>CRS012CUM</v>
      </c>
      <c r="E1618" s="1753" t="s">
        <v>11007</v>
      </c>
      <c r="G1618">
        <f>IF('4B'!K19="","##BLANK",'4B'!K19)</f>
        <v>0</v>
      </c>
    </row>
    <row r="1619" spans="2:7">
      <c r="B1619" s="893" t="str">
        <f>+'4B'!AN20</f>
        <v>CRS013CUM</v>
      </c>
      <c r="E1619" s="1753" t="s">
        <v>11007</v>
      </c>
      <c r="G1619" t="str">
        <f>IF('4B'!K20="","##BLANK",'4B'!K20)</f>
        <v>##BLANK</v>
      </c>
    </row>
    <row r="1620" spans="2:7">
      <c r="B1620" s="893" t="str">
        <f>+'4B'!AN23</f>
        <v>CRS014CUM</v>
      </c>
      <c r="E1620" s="1753" t="s">
        <v>11007</v>
      </c>
      <c r="G1620" t="str">
        <f>IF('4B'!K23="","##BLANK",'4B'!K23)</f>
        <v>##BLANK</v>
      </c>
    </row>
    <row r="1621" spans="2:7">
      <c r="B1621" s="893" t="str">
        <f>+'4B'!AO7</f>
        <v>S3040TOTTTTCUM</v>
      </c>
      <c r="E1621" s="1753" t="s">
        <v>11007</v>
      </c>
      <c r="G1621" t="str">
        <f>IF('4B'!L7="","##BLANK",'4B'!L7)</f>
        <v>##BLANK</v>
      </c>
    </row>
    <row r="1622" spans="2:7">
      <c r="B1622" s="893" t="str">
        <f>+'4B'!AO10</f>
        <v>CRS004TTTCUM</v>
      </c>
      <c r="E1622" s="1753" t="s">
        <v>11007</v>
      </c>
      <c r="G1622" t="str">
        <f>IF('4B'!L10="","##BLANK",'4B'!L10)</f>
        <v>##BLANK</v>
      </c>
    </row>
    <row r="1623" spans="2:7">
      <c r="B1623" s="893" t="str">
        <f>+'4B'!AO11</f>
        <v>CRS003TTTCUM</v>
      </c>
      <c r="E1623" s="1753" t="s">
        <v>11007</v>
      </c>
      <c r="G1623" t="str">
        <f>IF('4B'!L11="","##BLANK",'4B'!L11)</f>
        <v>##BLANK</v>
      </c>
    </row>
    <row r="1624" spans="2:7">
      <c r="B1624" s="893" t="str">
        <f>+'4B'!AO12</f>
        <v>CRS005TTTCUM</v>
      </c>
      <c r="E1624" s="1753" t="s">
        <v>11007</v>
      </c>
      <c r="G1624" t="str">
        <f>IF('4B'!L12="","##BLANK",'4B'!L12)</f>
        <v>##BLANK</v>
      </c>
    </row>
    <row r="1625" spans="2:7">
      <c r="B1625" s="893" t="str">
        <f>+'4B'!AO13</f>
        <v>CRS006TTTCUM</v>
      </c>
      <c r="E1625" s="1753" t="s">
        <v>11007</v>
      </c>
      <c r="G1625">
        <f>IF('4B'!L13="","##BLANK",'4B'!L13)</f>
        <v>0</v>
      </c>
    </row>
    <row r="1626" spans="2:7">
      <c r="B1626" s="893" t="str">
        <f>+'4B'!AO16</f>
        <v>CRS011TTTCUM</v>
      </c>
      <c r="E1626" s="1753" t="s">
        <v>11007</v>
      </c>
      <c r="G1626" t="str">
        <f>IF('4B'!L16="","##BLANK",'4B'!L16)</f>
        <v>##BLANK</v>
      </c>
    </row>
    <row r="1627" spans="2:7">
      <c r="B1627" s="893" t="str">
        <f>+'4B'!AO19</f>
        <v>CRS012TTTCUM</v>
      </c>
      <c r="E1627" s="1753" t="s">
        <v>11007</v>
      </c>
      <c r="G1627">
        <f>IF('4B'!L19="","##BLANK",'4B'!L19)</f>
        <v>0</v>
      </c>
    </row>
    <row r="1628" spans="2:7">
      <c r="B1628" s="893" t="str">
        <f>+'4B'!AO20</f>
        <v>CRS013TTTCUM</v>
      </c>
      <c r="E1628" s="1753" t="s">
        <v>11007</v>
      </c>
      <c r="G1628" t="str">
        <f>IF('4B'!L20="","##BLANK",'4B'!L20)</f>
        <v>##BLANK</v>
      </c>
    </row>
    <row r="1629" spans="2:7">
      <c r="B1629" s="893" t="str">
        <f>+'4B'!AO23</f>
        <v>CRS014TTTCUM</v>
      </c>
      <c r="E1629" s="1753" t="s">
        <v>11007</v>
      </c>
      <c r="G1629" t="str">
        <f>IF('4B'!L23="","##BLANK",'4B'!L23)</f>
        <v>##BLANK</v>
      </c>
    </row>
    <row r="1630" spans="2:7">
      <c r="B1630" s="893" t="str">
        <f>+'4C'!AH6</f>
        <v>RCT00587WT</v>
      </c>
      <c r="E1630" s="1753" t="s">
        <v>11007</v>
      </c>
      <c r="G1630" t="str">
        <f>IF('4C'!G6="","##BLANK",'4C'!G6)</f>
        <v>##BLANK</v>
      </c>
    </row>
    <row r="1631" spans="2:7">
      <c r="B1631" s="893" t="str">
        <f>+'4C'!AH7</f>
        <v>RCT00587WTC</v>
      </c>
      <c r="E1631" s="1753" t="s">
        <v>11007</v>
      </c>
      <c r="G1631" t="str">
        <f>IF('4C'!G7="","##BLANK",'4C'!G7)</f>
        <v>##BLANK</v>
      </c>
    </row>
    <row r="1632" spans="2:7">
      <c r="B1632" s="893" t="str">
        <f>+'4C'!AH8</f>
        <v>RCT00587WTCR</v>
      </c>
      <c r="E1632" s="1753" t="s">
        <v>11007</v>
      </c>
      <c r="G1632" t="str">
        <f>IF('4C'!G8="","##BLANK",'4C'!G8)</f>
        <v>##BLANK</v>
      </c>
    </row>
    <row r="1633" spans="2:7">
      <c r="B1633" s="893" t="str">
        <f>+'4C'!AH9</f>
        <v>RCT00588W</v>
      </c>
      <c r="E1633" s="1753" t="s">
        <v>11007</v>
      </c>
      <c r="G1633" t="str">
        <f>IF('4C'!G9="","##BLANK",'4C'!G9)</f>
        <v>##BLANK</v>
      </c>
    </row>
    <row r="1634" spans="2:7">
      <c r="B1634" s="893" t="str">
        <f>+'4C'!AH10</f>
        <v>RCT00586W</v>
      </c>
      <c r="E1634" s="1753" t="s">
        <v>11007</v>
      </c>
      <c r="G1634" t="str">
        <f>IF('4C'!G10="","##BLANK",'4C'!G10)</f>
        <v>##BLANK</v>
      </c>
    </row>
    <row r="1635" spans="2:7">
      <c r="B1635" s="893" t="str">
        <f>+'4C'!AH11</f>
        <v>RCT00589W</v>
      </c>
      <c r="E1635" s="1753" t="s">
        <v>11007</v>
      </c>
      <c r="G1635">
        <f>IF('4C'!G11="","##BLANK",'4C'!G11)</f>
        <v>0</v>
      </c>
    </row>
    <row r="1636" spans="2:7">
      <c r="B1636" s="893" t="str">
        <f>+'4C'!AI6</f>
        <v>RCT00587WWT</v>
      </c>
      <c r="E1636" s="1753" t="s">
        <v>11007</v>
      </c>
      <c r="G1636" t="str">
        <f>IF('4C'!H6="","##BLANK",'4C'!H6)</f>
        <v>##BLANK</v>
      </c>
    </row>
    <row r="1637" spans="2:7">
      <c r="B1637" s="893" t="str">
        <f>+'4C'!AI7</f>
        <v>RCT00587WWTC</v>
      </c>
      <c r="E1637" s="1753" t="s">
        <v>11007</v>
      </c>
      <c r="G1637" t="str">
        <f>IF('4C'!H7="","##BLANK",'4C'!H7)</f>
        <v>##BLANK</v>
      </c>
    </row>
    <row r="1638" spans="2:7">
      <c r="B1638" s="893" t="str">
        <f>+'4C'!AI8</f>
        <v>RCT00587WWTCR</v>
      </c>
      <c r="E1638" s="1753" t="s">
        <v>11007</v>
      </c>
      <c r="G1638" t="str">
        <f>IF('4C'!H8="","##BLANK",'4C'!H8)</f>
        <v>##BLANK</v>
      </c>
    </row>
    <row r="1639" spans="2:7">
      <c r="B1639" s="893" t="str">
        <f>+'4C'!AI9</f>
        <v>RCT00588WW</v>
      </c>
      <c r="E1639" s="1753" t="s">
        <v>11007</v>
      </c>
      <c r="G1639" t="str">
        <f>IF('4C'!H9="","##BLANK",'4C'!H9)</f>
        <v>##BLANK</v>
      </c>
    </row>
    <row r="1640" spans="2:7">
      <c r="B1640" s="893" t="str">
        <f>+'4C'!AI10</f>
        <v>RCT00586WW</v>
      </c>
      <c r="E1640" s="1753" t="s">
        <v>11007</v>
      </c>
      <c r="G1640" t="str">
        <f>IF('4C'!H10="","##BLANK",'4C'!H10)</f>
        <v>##BLANK</v>
      </c>
    </row>
    <row r="1641" spans="2:7">
      <c r="B1641" s="893" t="str">
        <f>+'4C'!AI11</f>
        <v>RCT00589WW</v>
      </c>
      <c r="E1641" s="1753" t="s">
        <v>11007</v>
      </c>
      <c r="G1641">
        <f>IF('4C'!H11="","##BLANK",'4C'!H11)</f>
        <v>0</v>
      </c>
    </row>
    <row r="1642" spans="2:7">
      <c r="B1642" s="893" t="str">
        <f>+'4C'!AJ6</f>
        <v>RCT00587TTTT</v>
      </c>
      <c r="E1642" s="1753" t="s">
        <v>11007</v>
      </c>
      <c r="G1642" t="str">
        <f>IF('4C'!I6="","##BLANK",'4C'!I6)</f>
        <v>##BLANK</v>
      </c>
    </row>
    <row r="1643" spans="2:7">
      <c r="B1643" s="893" t="str">
        <f>+'4C'!AJ7</f>
        <v>RCT00587TTTTC</v>
      </c>
      <c r="E1643" s="1753" t="s">
        <v>11007</v>
      </c>
      <c r="G1643" t="str">
        <f>IF('4C'!I7="","##BLANK",'4C'!I7)</f>
        <v>##BLANK</v>
      </c>
    </row>
    <row r="1644" spans="2:7">
      <c r="B1644" s="893" t="str">
        <f>+'4C'!AJ8</f>
        <v>RCT00587TTTTCR</v>
      </c>
      <c r="E1644" s="1753" t="s">
        <v>11007</v>
      </c>
      <c r="G1644" t="str">
        <f>IF('4C'!I8="","##BLANK",'4C'!I8)</f>
        <v>##BLANK</v>
      </c>
    </row>
    <row r="1645" spans="2:7">
      <c r="B1645" s="893" t="str">
        <f>+'4C'!AJ9</f>
        <v>RCT00588TTT</v>
      </c>
      <c r="E1645" s="1753" t="s">
        <v>11007</v>
      </c>
      <c r="G1645" t="str">
        <f>IF('4C'!I9="","##BLANK",'4C'!I9)</f>
        <v>##BLANK</v>
      </c>
    </row>
    <row r="1646" spans="2:7">
      <c r="B1646" s="893" t="str">
        <f>+'4C'!AJ10</f>
        <v>RCT00586TTT</v>
      </c>
      <c r="E1646" s="1753" t="s">
        <v>11007</v>
      </c>
      <c r="G1646" t="str">
        <f>IF('4C'!I10="","##BLANK",'4C'!I10)</f>
        <v>##BLANK</v>
      </c>
    </row>
    <row r="1647" spans="2:7">
      <c r="B1647" s="893" t="str">
        <f>+'4C'!AJ11</f>
        <v>RCT00589TTT</v>
      </c>
      <c r="E1647" s="1753" t="s">
        <v>11007</v>
      </c>
      <c r="G1647">
        <f>IF('4C'!I11="","##BLANK",'4C'!I11)</f>
        <v>0</v>
      </c>
    </row>
    <row r="1648" spans="2:7">
      <c r="B1648" s="893" t="str">
        <f>+'4D'!BF7</f>
        <v>BM102AL</v>
      </c>
      <c r="E1648" s="1753" t="s">
        <v>11007</v>
      </c>
      <c r="G1648" t="str">
        <f>IF('4D'!G7="","##BLANK",'4D'!G7)</f>
        <v>##BLANK</v>
      </c>
    </row>
    <row r="1649" spans="2:7">
      <c r="B1649" s="893" t="str">
        <f>+'4D'!BF8</f>
        <v>BM336AL</v>
      </c>
      <c r="E1649" s="1753" t="s">
        <v>11007</v>
      </c>
      <c r="G1649" t="str">
        <f>IF('4D'!G8="","##BLANK",'4D'!G8)</f>
        <v>##BLANK</v>
      </c>
    </row>
    <row r="1650" spans="2:7">
      <c r="B1650" s="893" t="str">
        <f>+'4D'!BF9</f>
        <v>BM131AL</v>
      </c>
      <c r="E1650" s="1753" t="s">
        <v>11007</v>
      </c>
      <c r="G1650" t="str">
        <f>IF('4D'!G9="","##BLANK",'4D'!G9)</f>
        <v>##BLANK</v>
      </c>
    </row>
    <row r="1651" spans="2:7">
      <c r="B1651" s="893" t="str">
        <f>+'4D'!BF10</f>
        <v>BM140AL</v>
      </c>
      <c r="E1651" s="1753" t="s">
        <v>11007</v>
      </c>
      <c r="G1651" t="str">
        <f>IF('4D'!G10="","##BLANK",'4D'!G10)</f>
        <v>##BLANK</v>
      </c>
    </row>
    <row r="1652" spans="2:7">
      <c r="B1652" s="893" t="str">
        <f>+'4D'!BF11</f>
        <v>BM339ALIR</v>
      </c>
      <c r="E1652" s="1753" t="s">
        <v>11007</v>
      </c>
      <c r="G1652" t="str">
        <f>IF('4D'!G11="","##BLANK",'4D'!G11)</f>
        <v>##BLANK</v>
      </c>
    </row>
    <row r="1653" spans="2:7">
      <c r="B1653" s="893" t="str">
        <f>+'4D'!BF12</f>
        <v>BM339ALNIR</v>
      </c>
      <c r="E1653" s="1753" t="s">
        <v>11007</v>
      </c>
      <c r="G1653" t="str">
        <f>IF('4D'!G12="","##BLANK",'4D'!G12)</f>
        <v>##BLANK</v>
      </c>
    </row>
    <row r="1654" spans="2:7">
      <c r="B1654" s="893" t="str">
        <f>+'4D'!BF13</f>
        <v>BM339ALER</v>
      </c>
      <c r="E1654" s="1753" t="s">
        <v>11007</v>
      </c>
      <c r="G1654" t="str">
        <f>IF('4D'!G13="","##BLANK",'4D'!G13)</f>
        <v>##BLANK</v>
      </c>
    </row>
    <row r="1655" spans="2:7">
      <c r="B1655" s="893" t="str">
        <f>+'4D'!BF14</f>
        <v>BM317AL</v>
      </c>
      <c r="E1655" s="1753" t="s">
        <v>11007</v>
      </c>
      <c r="G1655" t="str">
        <f>IF('4D'!G14="","##BLANK",'4D'!G14)</f>
        <v>##BLANK</v>
      </c>
    </row>
    <row r="1656" spans="2:7">
      <c r="B1656" s="893" t="str">
        <f>+'4D'!BF15</f>
        <v>BM319AL</v>
      </c>
      <c r="E1656" s="1753" t="s">
        <v>11007</v>
      </c>
      <c r="G1656">
        <f>IF('4D'!G15="","##BLANK",'4D'!G15)</f>
        <v>0</v>
      </c>
    </row>
    <row r="1657" spans="2:7">
      <c r="B1657" s="893" t="str">
        <f>+'4D'!BF17</f>
        <v>BM323AL</v>
      </c>
      <c r="E1657" s="1753" t="s">
        <v>11007</v>
      </c>
      <c r="G1657" t="str">
        <f>IF('4D'!G17="","##BLANK",'4D'!G17)</f>
        <v>##BLANK</v>
      </c>
    </row>
    <row r="1658" spans="2:7">
      <c r="B1658" s="893" t="str">
        <f>+'4D'!BF18</f>
        <v>BM351AL</v>
      </c>
      <c r="E1658" s="1753" t="s">
        <v>11007</v>
      </c>
      <c r="G1658">
        <f>IF('4D'!G18="","##BLANK",'4D'!G18)</f>
        <v>0</v>
      </c>
    </row>
    <row r="1659" spans="2:7">
      <c r="B1659" s="893" t="str">
        <f>+'4D'!BF21</f>
        <v>BC30445AL</v>
      </c>
      <c r="E1659" s="1753" t="s">
        <v>11007</v>
      </c>
      <c r="G1659" t="str">
        <f>IF('4D'!G21="","##BLANK",'4D'!G21)</f>
        <v>##BLANK</v>
      </c>
    </row>
    <row r="1660" spans="2:7">
      <c r="B1660" s="893" t="str">
        <f>+'4D'!BF22</f>
        <v>CW00036AL</v>
      </c>
      <c r="E1660" s="1753" t="s">
        <v>11007</v>
      </c>
      <c r="G1660" t="str">
        <f>IF('4D'!G22="","##BLANK",'4D'!G22)</f>
        <v>##BLANK</v>
      </c>
    </row>
    <row r="1661" spans="2:7">
      <c r="B1661" s="893" t="str">
        <f>+'4D'!BF23</f>
        <v>BC30444AL</v>
      </c>
      <c r="E1661" s="1753" t="s">
        <v>11007</v>
      </c>
      <c r="G1661" t="str">
        <f>IF('4D'!G23="","##BLANK",'4D'!G23)</f>
        <v>##BLANK</v>
      </c>
    </row>
    <row r="1662" spans="2:7">
      <c r="B1662" s="893" t="str">
        <f>+'4D'!BF24</f>
        <v>CW00037AL</v>
      </c>
      <c r="E1662" s="1753" t="s">
        <v>11007</v>
      </c>
      <c r="G1662" t="str">
        <f>IF('4D'!G24="","##BLANK",'4D'!G24)</f>
        <v>##BLANK</v>
      </c>
    </row>
    <row r="1663" spans="2:7">
      <c r="B1663" s="893" t="str">
        <f>+'4D'!BF25</f>
        <v>BC30449AL</v>
      </c>
      <c r="E1663" s="1753" t="s">
        <v>11007</v>
      </c>
      <c r="G1663" t="str">
        <f>IF('4D'!G25="","##BLANK",'4D'!G25)</f>
        <v>##BLANK</v>
      </c>
    </row>
    <row r="1664" spans="2:7">
      <c r="B1664" s="893" t="str">
        <f>+'4D'!BF26</f>
        <v>BC30498AL</v>
      </c>
      <c r="E1664" s="1753" t="s">
        <v>11007</v>
      </c>
      <c r="G1664">
        <f>IF('4D'!G26="","##BLANK",'4D'!G26)</f>
        <v>0</v>
      </c>
    </row>
    <row r="1665" spans="2:7">
      <c r="B1665" s="893" t="str">
        <f>+'4D'!BF27</f>
        <v>BM333AL</v>
      </c>
      <c r="E1665" s="1753" t="s">
        <v>11007</v>
      </c>
      <c r="G1665" t="str">
        <f>IF('4D'!G27="","##BLANK",'4D'!G27)</f>
        <v>##BLANK</v>
      </c>
    </row>
    <row r="1666" spans="2:7">
      <c r="B1666" s="893" t="str">
        <f>+'4D'!BF28</f>
        <v>BA1070AL</v>
      </c>
      <c r="E1666" s="1753" t="s">
        <v>11007</v>
      </c>
      <c r="G1666">
        <f>IF('4D'!G28="","##BLANK",'4D'!G28)</f>
        <v>0</v>
      </c>
    </row>
    <row r="1667" spans="2:7">
      <c r="B1667" s="893" t="str">
        <f>+'4D'!BF31</f>
        <v>BA1071AL</v>
      </c>
      <c r="E1667" s="1753" t="s">
        <v>11007</v>
      </c>
      <c r="G1667" t="str">
        <f>IF('4D'!G31="","##BLANK",'4D'!G31)</f>
        <v>##BLANK</v>
      </c>
    </row>
    <row r="1668" spans="2:7">
      <c r="B1668" s="893" t="str">
        <f>+'4D'!BF33</f>
        <v>BM325AL</v>
      </c>
      <c r="E1668" s="1753" t="s">
        <v>11007</v>
      </c>
      <c r="G1668">
        <f>IF('4D'!G33="","##BLANK",'4D'!G33)</f>
        <v>0</v>
      </c>
    </row>
    <row r="1669" spans="2:7">
      <c r="B1669" s="893" t="str">
        <f>+'4D'!BF36</f>
        <v>CR00558AL</v>
      </c>
      <c r="E1669" s="1753" t="s">
        <v>11007</v>
      </c>
      <c r="G1669" t="str">
        <f>IF('4D'!G36="","##BLANK",'4D'!G36)</f>
        <v>##BLANK</v>
      </c>
    </row>
    <row r="1670" spans="2:7">
      <c r="B1670" s="893" t="str">
        <f>+'4D'!BF37</f>
        <v>CR00561AL</v>
      </c>
      <c r="E1670" s="1753" t="s">
        <v>11007</v>
      </c>
      <c r="G1670" t="str">
        <f>IF('4D'!G37="","##BLANK",'4D'!G37)</f>
        <v>##BLANK</v>
      </c>
    </row>
    <row r="1671" spans="2:7">
      <c r="B1671" s="893" t="str">
        <f>+'4D'!BF39</f>
        <v>W3026AL</v>
      </c>
      <c r="E1671" s="1753" t="s">
        <v>11007</v>
      </c>
      <c r="G1671">
        <f>IF('4D'!G39="","##BLANK",'4D'!G39)</f>
        <v>0</v>
      </c>
    </row>
    <row r="1672" spans="2:7">
      <c r="B1672" s="893" t="str">
        <f>+'4D'!BF42</f>
        <v>CRASAL005</v>
      </c>
      <c r="E1672" s="1753" t="s">
        <v>11007</v>
      </c>
      <c r="G1672" t="str">
        <f>IF('4D'!G42="","##BLANK",'4D'!G42)</f>
        <v>##BLANK</v>
      </c>
    </row>
    <row r="1673" spans="2:7">
      <c r="B1673" s="893" t="str">
        <f>+'4D'!BF48</f>
        <v>CRASAL006</v>
      </c>
      <c r="E1673" s="1753" t="s">
        <v>11007</v>
      </c>
      <c r="G1673">
        <f>IF('4D'!G48="","##BLANK",'4D'!G48)</f>
        <v>0</v>
      </c>
    </row>
    <row r="1674" spans="2:7">
      <c r="B1674" s="893" t="str">
        <f>+'4D'!BF49</f>
        <v>BN2590AL</v>
      </c>
      <c r="E1674" s="1753" t="s">
        <v>11007</v>
      </c>
      <c r="G1674" t="str">
        <f>IF('4D'!G49="","##BLANK",'4D'!G49)</f>
        <v>##BLANK</v>
      </c>
    </row>
    <row r="1675" spans="2:7">
      <c r="B1675" s="893" t="str">
        <f>+'4D'!BF50</f>
        <v>BN2591AL</v>
      </c>
      <c r="E1675" s="1753" t="s">
        <v>11007</v>
      </c>
      <c r="G1675">
        <f>IF('4D'!G50="","##BLANK",'4D'!G50)</f>
        <v>0</v>
      </c>
    </row>
    <row r="1676" spans="2:7">
      <c r="B1676" s="893" t="str">
        <f>+'4D'!BG7</f>
        <v>BM102RWA</v>
      </c>
      <c r="E1676" s="1753" t="s">
        <v>11007</v>
      </c>
      <c r="G1676" t="str">
        <f>IF('4D'!H7="","##BLANK",'4D'!H7)</f>
        <v>##BLANK</v>
      </c>
    </row>
    <row r="1677" spans="2:7">
      <c r="B1677" s="893" t="str">
        <f>+'4D'!BG8</f>
        <v>BM336RWA</v>
      </c>
      <c r="E1677" s="1753" t="s">
        <v>11007</v>
      </c>
      <c r="G1677" t="str">
        <f>IF('4D'!H8="","##BLANK",'4D'!H8)</f>
        <v>##BLANK</v>
      </c>
    </row>
    <row r="1678" spans="2:7">
      <c r="B1678" s="893" t="str">
        <f>+'4D'!BG9</f>
        <v>BM131RWA</v>
      </c>
      <c r="E1678" s="1753" t="s">
        <v>11007</v>
      </c>
      <c r="G1678" t="str">
        <f>IF('4D'!H9="","##BLANK",'4D'!H9)</f>
        <v>##BLANK</v>
      </c>
    </row>
    <row r="1679" spans="2:7">
      <c r="B1679" s="893" t="str">
        <f>+'4D'!BG10</f>
        <v>BM140RWA</v>
      </c>
      <c r="E1679" s="1753" t="s">
        <v>11007</v>
      </c>
      <c r="G1679" t="str">
        <f>IF('4D'!H10="","##BLANK",'4D'!H10)</f>
        <v>##BLANK</v>
      </c>
    </row>
    <row r="1680" spans="2:7">
      <c r="B1680" s="893" t="str">
        <f>+'4D'!BG11</f>
        <v>BM339RWAIR</v>
      </c>
      <c r="E1680" s="1753" t="s">
        <v>11007</v>
      </c>
      <c r="G1680" t="str">
        <f>IF('4D'!H11="","##BLANK",'4D'!H11)</f>
        <v>##BLANK</v>
      </c>
    </row>
    <row r="1681" spans="2:7">
      <c r="B1681" s="893" t="str">
        <f>+'4D'!BG12</f>
        <v>BM339RWANIR</v>
      </c>
      <c r="E1681" s="1753" t="s">
        <v>11007</v>
      </c>
      <c r="G1681" t="str">
        <f>IF('4D'!H12="","##BLANK",'4D'!H12)</f>
        <v>##BLANK</v>
      </c>
    </row>
    <row r="1682" spans="2:7">
      <c r="B1682" s="893" t="str">
        <f>+'4D'!BG13</f>
        <v>BM339RWAER</v>
      </c>
      <c r="E1682" s="1753" t="s">
        <v>11007</v>
      </c>
      <c r="G1682" t="str">
        <f>IF('4D'!H13="","##BLANK",'4D'!H13)</f>
        <v>##BLANK</v>
      </c>
    </row>
    <row r="1683" spans="2:7">
      <c r="B1683" s="893" t="str">
        <f>+'4D'!BG14</f>
        <v>BM317RWA</v>
      </c>
      <c r="E1683" s="1753" t="s">
        <v>11007</v>
      </c>
      <c r="G1683" t="str">
        <f>IF('4D'!H14="","##BLANK",'4D'!H14)</f>
        <v>##BLANK</v>
      </c>
    </row>
    <row r="1684" spans="2:7">
      <c r="B1684" s="893" t="str">
        <f>+'4D'!BG15</f>
        <v>BM319RWA</v>
      </c>
      <c r="E1684" s="1753" t="s">
        <v>11007</v>
      </c>
      <c r="G1684">
        <f>IF('4D'!H15="","##BLANK",'4D'!H15)</f>
        <v>0</v>
      </c>
    </row>
    <row r="1685" spans="2:7">
      <c r="B1685" s="893" t="str">
        <f>+'4D'!BG17</f>
        <v>BM323RWA</v>
      </c>
      <c r="E1685" s="1753" t="s">
        <v>11007</v>
      </c>
      <c r="G1685" t="str">
        <f>IF('4D'!H17="","##BLANK",'4D'!H17)</f>
        <v>##BLANK</v>
      </c>
    </row>
    <row r="1686" spans="2:7">
      <c r="B1686" s="893" t="str">
        <f>+'4D'!BG18</f>
        <v>BM351RWA</v>
      </c>
      <c r="E1686" s="1753" t="s">
        <v>11007</v>
      </c>
      <c r="G1686">
        <f>IF('4D'!H18="","##BLANK",'4D'!H18)</f>
        <v>0</v>
      </c>
    </row>
    <row r="1687" spans="2:7">
      <c r="B1687" s="893" t="str">
        <f>+'4D'!BG21</f>
        <v>BC30445RWA</v>
      </c>
      <c r="E1687" s="1753" t="s">
        <v>11007</v>
      </c>
      <c r="G1687" t="str">
        <f>IF('4D'!H21="","##BLANK",'4D'!H21)</f>
        <v>##BLANK</v>
      </c>
    </row>
    <row r="1688" spans="2:7">
      <c r="B1688" s="893" t="str">
        <f>+'4D'!BG22</f>
        <v>CW00036RWA</v>
      </c>
      <c r="E1688" s="1753" t="s">
        <v>11007</v>
      </c>
      <c r="G1688" t="str">
        <f>IF('4D'!H22="","##BLANK",'4D'!H22)</f>
        <v>##BLANK</v>
      </c>
    </row>
    <row r="1689" spans="2:7">
      <c r="B1689" s="893" t="str">
        <f>+'4D'!BG23</f>
        <v>BC30444RWA</v>
      </c>
      <c r="E1689" s="1753" t="s">
        <v>11007</v>
      </c>
      <c r="G1689" t="str">
        <f>IF('4D'!H23="","##BLANK",'4D'!H23)</f>
        <v>##BLANK</v>
      </c>
    </row>
    <row r="1690" spans="2:7">
      <c r="B1690" s="893" t="str">
        <f>+'4D'!BG24</f>
        <v>CW00037RWA</v>
      </c>
      <c r="E1690" s="1753" t="s">
        <v>11007</v>
      </c>
      <c r="G1690" t="str">
        <f>IF('4D'!H24="","##BLANK",'4D'!H24)</f>
        <v>##BLANK</v>
      </c>
    </row>
    <row r="1691" spans="2:7">
      <c r="B1691" s="893" t="str">
        <f>+'4D'!BG25</f>
        <v>BC30449RWA</v>
      </c>
      <c r="E1691" s="1753" t="s">
        <v>11007</v>
      </c>
      <c r="G1691" t="str">
        <f>IF('4D'!H25="","##BLANK",'4D'!H25)</f>
        <v>##BLANK</v>
      </c>
    </row>
    <row r="1692" spans="2:7">
      <c r="B1692" s="893" t="str">
        <f>+'4D'!BG26</f>
        <v>BC30498RWA</v>
      </c>
      <c r="E1692" s="1753" t="s">
        <v>11007</v>
      </c>
      <c r="G1692">
        <f>IF('4D'!H26="","##BLANK",'4D'!H26)</f>
        <v>0</v>
      </c>
    </row>
    <row r="1693" spans="2:7">
      <c r="B1693" s="893" t="str">
        <f>+'4D'!BG27</f>
        <v>BM333RWA</v>
      </c>
      <c r="E1693" s="1753" t="s">
        <v>11007</v>
      </c>
      <c r="G1693" t="str">
        <f>IF('4D'!H27="","##BLANK",'4D'!H27)</f>
        <v>##BLANK</v>
      </c>
    </row>
    <row r="1694" spans="2:7">
      <c r="B1694" s="893" t="str">
        <f>+'4D'!BG28</f>
        <v>BA1070RWA</v>
      </c>
      <c r="E1694" s="1753" t="s">
        <v>11007</v>
      </c>
      <c r="G1694">
        <f>IF('4D'!H28="","##BLANK",'4D'!H28)</f>
        <v>0</v>
      </c>
    </row>
    <row r="1695" spans="2:7">
      <c r="B1695" s="893" t="str">
        <f>+'4D'!BG31</f>
        <v>BA1071RWA</v>
      </c>
      <c r="E1695" s="1753" t="s">
        <v>11007</v>
      </c>
      <c r="G1695" t="str">
        <f>IF('4D'!H31="","##BLANK",'4D'!H31)</f>
        <v>##BLANK</v>
      </c>
    </row>
    <row r="1696" spans="2:7">
      <c r="B1696" s="893" t="str">
        <f>+'4D'!BG33</f>
        <v>BM325RWA</v>
      </c>
      <c r="E1696" s="1753" t="s">
        <v>11007</v>
      </c>
      <c r="G1696">
        <f>IF('4D'!H33="","##BLANK",'4D'!H33)</f>
        <v>0</v>
      </c>
    </row>
    <row r="1697" spans="2:7">
      <c r="B1697" s="893" t="str">
        <f>+'4D'!BG36</f>
        <v>CR00558RWA</v>
      </c>
      <c r="E1697" s="1753" t="s">
        <v>11007</v>
      </c>
      <c r="G1697" t="str">
        <f>IF('4D'!H36="","##BLANK",'4D'!H36)</f>
        <v>##BLANK</v>
      </c>
    </row>
    <row r="1698" spans="2:7">
      <c r="B1698" s="893" t="str">
        <f>+'4D'!BG37</f>
        <v>CR00561RWA</v>
      </c>
      <c r="E1698" s="1753" t="s">
        <v>11007</v>
      </c>
      <c r="G1698" t="str">
        <f>IF('4D'!H37="","##BLANK",'4D'!H37)</f>
        <v>##BLANK</v>
      </c>
    </row>
    <row r="1699" spans="2:7">
      <c r="B1699" s="893" t="str">
        <f>+'4D'!BG39</f>
        <v>W3026RWA</v>
      </c>
      <c r="E1699" s="1753" t="s">
        <v>11007</v>
      </c>
      <c r="G1699">
        <f>IF('4D'!H39="","##BLANK",'4D'!H39)</f>
        <v>0</v>
      </c>
    </row>
    <row r="1700" spans="2:7">
      <c r="B1700" s="893" t="str">
        <f>+'4D'!BG43</f>
        <v>CRASREA005</v>
      </c>
      <c r="E1700" s="1753" t="s">
        <v>11007</v>
      </c>
      <c r="G1700" t="str">
        <f>IF('4D'!H43="","##BLANK",'4D'!H43)</f>
        <v>##BLANK</v>
      </c>
    </row>
    <row r="1701" spans="2:7">
      <c r="B1701" s="893" t="str">
        <f>+'4D'!BG48</f>
        <v>CRASRWA006</v>
      </c>
      <c r="E1701" s="1753" t="s">
        <v>11007</v>
      </c>
      <c r="G1701">
        <f>IF('4D'!H48="","##BLANK",'4D'!H48)</f>
        <v>0</v>
      </c>
    </row>
    <row r="1702" spans="2:7">
      <c r="B1702" s="893" t="str">
        <f>+'4D'!BG49</f>
        <v>BN2590RWA</v>
      </c>
      <c r="E1702" s="1753" t="s">
        <v>11007</v>
      </c>
      <c r="G1702" t="str">
        <f>IF('4D'!H49="","##BLANK",'4D'!H49)</f>
        <v>##BLANK</v>
      </c>
    </row>
    <row r="1703" spans="2:7">
      <c r="B1703" s="893" t="str">
        <f>+'4D'!BG50</f>
        <v>BN2591RWA</v>
      </c>
      <c r="E1703" s="1753" t="s">
        <v>11007</v>
      </c>
      <c r="G1703">
        <f>IF('4D'!H50="","##BLANK",'4D'!H50)</f>
        <v>0</v>
      </c>
    </row>
    <row r="1704" spans="2:7">
      <c r="B1704" s="893" t="str">
        <f>+'4D'!BH7</f>
        <v>BM202RWT</v>
      </c>
      <c r="E1704" s="1753" t="s">
        <v>11007</v>
      </c>
      <c r="G1704" t="str">
        <f>IF('4D'!I7="","##BLANK",'4D'!I7)</f>
        <v>##BLANK</v>
      </c>
    </row>
    <row r="1705" spans="2:7">
      <c r="B1705" s="893" t="str">
        <f>+'4D'!BH8</f>
        <v>BM336RWT</v>
      </c>
      <c r="E1705" s="1753" t="s">
        <v>11007</v>
      </c>
      <c r="G1705" t="str">
        <f>IF('4D'!I8="","##BLANK",'4D'!I8)</f>
        <v>##BLANK</v>
      </c>
    </row>
    <row r="1706" spans="2:7">
      <c r="B1706" s="893" t="str">
        <f>+'4D'!BH9</f>
        <v>BM231RWT</v>
      </c>
      <c r="E1706" s="1753" t="s">
        <v>11007</v>
      </c>
      <c r="G1706" t="str">
        <f>IF('4D'!I9="","##BLANK",'4D'!I9)</f>
        <v>##BLANK</v>
      </c>
    </row>
    <row r="1707" spans="2:7">
      <c r="B1707" s="893" t="str">
        <f>+'4D'!BH10</f>
        <v>BM240RWT</v>
      </c>
      <c r="E1707" s="1753" t="s">
        <v>11007</v>
      </c>
      <c r="G1707" t="str">
        <f>IF('4D'!I10="","##BLANK",'4D'!I10)</f>
        <v>##BLANK</v>
      </c>
    </row>
    <row r="1708" spans="2:7">
      <c r="B1708" s="893" t="str">
        <f>+'4D'!BH11</f>
        <v>BM339RWTIR</v>
      </c>
      <c r="E1708" s="1753" t="s">
        <v>11007</v>
      </c>
      <c r="G1708" t="str">
        <f>IF('4D'!I11="","##BLANK",'4D'!I11)</f>
        <v>##BLANK</v>
      </c>
    </row>
    <row r="1709" spans="2:7">
      <c r="B1709" s="893" t="str">
        <f>+'4D'!BH12</f>
        <v>BM339RWTNIR</v>
      </c>
      <c r="E1709" s="1753" t="s">
        <v>11007</v>
      </c>
      <c r="G1709" t="str">
        <f>IF('4D'!I12="","##BLANK",'4D'!I12)</f>
        <v>##BLANK</v>
      </c>
    </row>
    <row r="1710" spans="2:7">
      <c r="B1710" s="893" t="str">
        <f>+'4D'!BH13</f>
        <v>BM339RWTER</v>
      </c>
      <c r="E1710" s="1753" t="s">
        <v>11007</v>
      </c>
      <c r="G1710" t="str">
        <f>IF('4D'!I13="","##BLANK",'4D'!I13)</f>
        <v>##BLANK</v>
      </c>
    </row>
    <row r="1711" spans="2:7">
      <c r="B1711" s="893" t="str">
        <f>+'4D'!BH14</f>
        <v>BM317RWT</v>
      </c>
      <c r="E1711" s="1753" t="s">
        <v>11007</v>
      </c>
      <c r="G1711" t="str">
        <f>IF('4D'!I14="","##BLANK",'4D'!I14)</f>
        <v>##BLANK</v>
      </c>
    </row>
    <row r="1712" spans="2:7">
      <c r="B1712" s="893" t="str">
        <f>+'4D'!BH15</f>
        <v>BM319RWT</v>
      </c>
      <c r="E1712" s="1753" t="s">
        <v>11007</v>
      </c>
      <c r="G1712">
        <f>IF('4D'!I15="","##BLANK",'4D'!I15)</f>
        <v>0</v>
      </c>
    </row>
    <row r="1713" spans="2:7">
      <c r="B1713" s="893" t="str">
        <f>+'4D'!BH17</f>
        <v>BM323RWT</v>
      </c>
      <c r="E1713" s="1753" t="s">
        <v>11007</v>
      </c>
      <c r="G1713" t="str">
        <f>IF('4D'!I17="","##BLANK",'4D'!I17)</f>
        <v>##BLANK</v>
      </c>
    </row>
    <row r="1714" spans="2:7">
      <c r="B1714" s="893" t="str">
        <f>+'4D'!BH18</f>
        <v>BM351RWT</v>
      </c>
      <c r="E1714" s="1753" t="s">
        <v>11007</v>
      </c>
      <c r="G1714">
        <f>IF('4D'!I18="","##BLANK",'4D'!I18)</f>
        <v>0</v>
      </c>
    </row>
    <row r="1715" spans="2:7">
      <c r="B1715" s="893" t="str">
        <f>+'4D'!BH21</f>
        <v>BC30445RWT</v>
      </c>
      <c r="E1715" s="1753" t="s">
        <v>11007</v>
      </c>
      <c r="G1715" t="str">
        <f>IF('4D'!I21="","##BLANK",'4D'!I21)</f>
        <v>##BLANK</v>
      </c>
    </row>
    <row r="1716" spans="2:7">
      <c r="B1716" s="893" t="str">
        <f>+'4D'!BH22</f>
        <v>CW00036RWT</v>
      </c>
      <c r="E1716" s="1753" t="s">
        <v>11007</v>
      </c>
      <c r="G1716" t="str">
        <f>IF('4D'!I22="","##BLANK",'4D'!I22)</f>
        <v>##BLANK</v>
      </c>
    </row>
    <row r="1717" spans="2:7">
      <c r="B1717" s="893" t="str">
        <f>+'4D'!BH23</f>
        <v>BC30444RWT</v>
      </c>
      <c r="E1717" s="1753" t="s">
        <v>11007</v>
      </c>
      <c r="G1717" t="str">
        <f>IF('4D'!I23="","##BLANK",'4D'!I23)</f>
        <v>##BLANK</v>
      </c>
    </row>
    <row r="1718" spans="2:7">
      <c r="B1718" s="893" t="str">
        <f>+'4D'!BH24</f>
        <v>CW00037RWT</v>
      </c>
      <c r="E1718" s="1753" t="s">
        <v>11007</v>
      </c>
      <c r="G1718" t="str">
        <f>IF('4D'!I24="","##BLANK",'4D'!I24)</f>
        <v>##BLANK</v>
      </c>
    </row>
    <row r="1719" spans="2:7">
      <c r="B1719" s="893" t="str">
        <f>+'4D'!BH25</f>
        <v>BC30449RWT</v>
      </c>
      <c r="E1719" s="1753" t="s">
        <v>11007</v>
      </c>
      <c r="G1719" t="str">
        <f>IF('4D'!I25="","##BLANK",'4D'!I25)</f>
        <v>##BLANK</v>
      </c>
    </row>
    <row r="1720" spans="2:7">
      <c r="B1720" s="893" t="str">
        <f>+'4D'!BH26</f>
        <v>BC30498RWT</v>
      </c>
      <c r="E1720" s="1753" t="s">
        <v>11007</v>
      </c>
      <c r="G1720">
        <f>IF('4D'!I26="","##BLANK",'4D'!I26)</f>
        <v>0</v>
      </c>
    </row>
    <row r="1721" spans="2:7">
      <c r="B1721" s="893" t="str">
        <f>+'4D'!BH27</f>
        <v>BM333RWT</v>
      </c>
      <c r="E1721" s="1753" t="s">
        <v>11007</v>
      </c>
      <c r="G1721" t="str">
        <f>IF('4D'!I27="","##BLANK",'4D'!I27)</f>
        <v>##BLANK</v>
      </c>
    </row>
    <row r="1722" spans="2:7">
      <c r="B1722" s="893" t="str">
        <f>+'4D'!BH28</f>
        <v>BA1070RWT</v>
      </c>
      <c r="E1722" s="1753" t="s">
        <v>11007</v>
      </c>
      <c r="G1722">
        <f>IF('4D'!I28="","##BLANK",'4D'!I28)</f>
        <v>0</v>
      </c>
    </row>
    <row r="1723" spans="2:7">
      <c r="B1723" s="893" t="str">
        <f>+'4D'!BH31</f>
        <v>BA1071RWT</v>
      </c>
      <c r="E1723" s="1753" t="s">
        <v>11007</v>
      </c>
      <c r="G1723" t="str">
        <f>IF('4D'!I31="","##BLANK",'4D'!I31)</f>
        <v>##BLANK</v>
      </c>
    </row>
    <row r="1724" spans="2:7">
      <c r="B1724" s="893" t="str">
        <f>+'4D'!BH33</f>
        <v>BM325RWT</v>
      </c>
      <c r="E1724" s="1753" t="s">
        <v>11007</v>
      </c>
      <c r="G1724">
        <f>IF('4D'!I33="","##BLANK",'4D'!I33)</f>
        <v>0</v>
      </c>
    </row>
    <row r="1725" spans="2:7">
      <c r="B1725" s="893" t="str">
        <f>+'4D'!BH36</f>
        <v>CR00558RWT</v>
      </c>
      <c r="E1725" s="1753" t="s">
        <v>11007</v>
      </c>
      <c r="G1725" t="str">
        <f>IF('4D'!I36="","##BLANK",'4D'!I36)</f>
        <v>##BLANK</v>
      </c>
    </row>
    <row r="1726" spans="2:7">
      <c r="B1726" s="893" t="str">
        <f>+'4D'!BH37</f>
        <v>CR00561RWT</v>
      </c>
      <c r="E1726" s="1753" t="s">
        <v>11007</v>
      </c>
      <c r="G1726" t="str">
        <f>IF('4D'!I37="","##BLANK",'4D'!I37)</f>
        <v>##BLANK</v>
      </c>
    </row>
    <row r="1727" spans="2:7">
      <c r="B1727" s="893" t="str">
        <f>+'4D'!BH39</f>
        <v>W3026RWT</v>
      </c>
      <c r="E1727" s="1753" t="s">
        <v>11007</v>
      </c>
      <c r="G1727">
        <f>IF('4D'!I39="","##BLANK",'4D'!I39)</f>
        <v>0</v>
      </c>
    </row>
    <row r="1728" spans="2:7">
      <c r="B1728" s="893" t="str">
        <f>+'4D'!BH44</f>
        <v>CRASRWT005</v>
      </c>
      <c r="E1728" s="1753" t="s">
        <v>11007</v>
      </c>
      <c r="G1728" t="str">
        <f>IF('4D'!I44="","##BLANK",'4D'!I44)</f>
        <v>##BLANK</v>
      </c>
    </row>
    <row r="1729" spans="2:7">
      <c r="B1729" s="893" t="str">
        <f>+'4D'!BH48</f>
        <v>CRASRWT006</v>
      </c>
      <c r="E1729" s="1753" t="s">
        <v>11007</v>
      </c>
      <c r="G1729">
        <f>IF('4D'!I48="","##BLANK",'4D'!I48)</f>
        <v>0</v>
      </c>
    </row>
    <row r="1730" spans="2:7">
      <c r="B1730" s="893" t="str">
        <f>+'4D'!BH49</f>
        <v>BN2590RWT</v>
      </c>
      <c r="E1730" s="1753" t="s">
        <v>11007</v>
      </c>
      <c r="G1730" t="str">
        <f>IF('4D'!I49="","##BLANK",'4D'!I49)</f>
        <v>##BLANK</v>
      </c>
    </row>
    <row r="1731" spans="2:7">
      <c r="B1731" s="893" t="str">
        <f>+'4D'!BH50</f>
        <v>BN2591RWT</v>
      </c>
      <c r="E1731" s="1753" t="s">
        <v>11007</v>
      </c>
      <c r="G1731">
        <f>IF('4D'!I50="","##BLANK",'4D'!I50)</f>
        <v>0</v>
      </c>
    </row>
    <row r="1732" spans="2:7">
      <c r="B1732" s="893" t="str">
        <f>+'4D'!BI7</f>
        <v>BM202RWS</v>
      </c>
      <c r="E1732" s="1753" t="s">
        <v>11007</v>
      </c>
      <c r="G1732" t="str">
        <f>IF('4D'!J7="","##BLANK",'4D'!J7)</f>
        <v>##BLANK</v>
      </c>
    </row>
    <row r="1733" spans="2:7">
      <c r="B1733" s="893" t="str">
        <f>+'4D'!BI8</f>
        <v>BM336RWS</v>
      </c>
      <c r="E1733" s="1753" t="s">
        <v>11007</v>
      </c>
      <c r="G1733" t="str">
        <f>IF('4D'!J8="","##BLANK",'4D'!J8)</f>
        <v>##BLANK</v>
      </c>
    </row>
    <row r="1734" spans="2:7">
      <c r="B1734" s="893" t="str">
        <f>+'4D'!BI9</f>
        <v>BM231RWS</v>
      </c>
      <c r="E1734" s="1753" t="s">
        <v>11007</v>
      </c>
      <c r="G1734" t="str">
        <f>IF('4D'!J9="","##BLANK",'4D'!J9)</f>
        <v>##BLANK</v>
      </c>
    </row>
    <row r="1735" spans="2:7">
      <c r="B1735" s="893" t="str">
        <f>+'4D'!BI10</f>
        <v>BM240RWS</v>
      </c>
      <c r="E1735" s="1753" t="s">
        <v>11007</v>
      </c>
      <c r="G1735" t="str">
        <f>IF('4D'!J10="","##BLANK",'4D'!J10)</f>
        <v>##BLANK</v>
      </c>
    </row>
    <row r="1736" spans="2:7">
      <c r="B1736" s="893" t="str">
        <f>+'4D'!BI11</f>
        <v>BM339RWSIR</v>
      </c>
      <c r="E1736" s="1753" t="s">
        <v>11007</v>
      </c>
      <c r="G1736" t="str">
        <f>IF('4D'!J11="","##BLANK",'4D'!J11)</f>
        <v>##BLANK</v>
      </c>
    </row>
    <row r="1737" spans="2:7">
      <c r="B1737" s="893" t="str">
        <f>+'4D'!BI12</f>
        <v>BM339RWSNIR</v>
      </c>
      <c r="E1737" s="1753" t="s">
        <v>11007</v>
      </c>
      <c r="G1737" t="str">
        <f>IF('4D'!J12="","##BLANK",'4D'!J12)</f>
        <v>##BLANK</v>
      </c>
    </row>
    <row r="1738" spans="2:7">
      <c r="B1738" s="893" t="str">
        <f>+'4D'!BI13</f>
        <v>BM339RWSER</v>
      </c>
      <c r="E1738" s="1753" t="s">
        <v>11007</v>
      </c>
      <c r="G1738" t="str">
        <f>IF('4D'!J13="","##BLANK",'4D'!J13)</f>
        <v>##BLANK</v>
      </c>
    </row>
    <row r="1739" spans="2:7">
      <c r="B1739" s="893" t="str">
        <f>+'4D'!BI14</f>
        <v>BM317RWS</v>
      </c>
      <c r="E1739" s="1753" t="s">
        <v>11007</v>
      </c>
      <c r="G1739" t="str">
        <f>IF('4D'!J14="","##BLANK",'4D'!J14)</f>
        <v>##BLANK</v>
      </c>
    </row>
    <row r="1740" spans="2:7">
      <c r="B1740" s="893" t="str">
        <f>+'4D'!BI15</f>
        <v>BM319RWS</v>
      </c>
      <c r="E1740" s="1753" t="s">
        <v>11007</v>
      </c>
      <c r="G1740">
        <f>IF('4D'!J15="","##BLANK",'4D'!J15)</f>
        <v>0</v>
      </c>
    </row>
    <row r="1741" spans="2:7">
      <c r="B1741" s="893" t="str">
        <f>+'4D'!BI17</f>
        <v>BM323RWS</v>
      </c>
      <c r="E1741" s="1753" t="s">
        <v>11007</v>
      </c>
      <c r="G1741" t="str">
        <f>IF('4D'!J17="","##BLANK",'4D'!J17)</f>
        <v>##BLANK</v>
      </c>
    </row>
    <row r="1742" spans="2:7">
      <c r="B1742" s="893" t="str">
        <f>+'4D'!BI18</f>
        <v>BM351RWS</v>
      </c>
      <c r="E1742" s="1753" t="s">
        <v>11007</v>
      </c>
      <c r="G1742">
        <f>IF('4D'!J18="","##BLANK",'4D'!J18)</f>
        <v>0</v>
      </c>
    </row>
    <row r="1743" spans="2:7">
      <c r="B1743" s="893" t="str">
        <f>+'4D'!BI21</f>
        <v>BC30445RWS</v>
      </c>
      <c r="E1743" s="1753" t="s">
        <v>11007</v>
      </c>
      <c r="G1743" t="str">
        <f>IF('4D'!J21="","##BLANK",'4D'!J21)</f>
        <v>##BLANK</v>
      </c>
    </row>
    <row r="1744" spans="2:7">
      <c r="B1744" s="893" t="str">
        <f>+'4D'!BI22</f>
        <v>CW00036RWS</v>
      </c>
      <c r="E1744" s="1753" t="s">
        <v>11007</v>
      </c>
      <c r="G1744" t="str">
        <f>IF('4D'!J22="","##BLANK",'4D'!J22)</f>
        <v>##BLANK</v>
      </c>
    </row>
    <row r="1745" spans="2:7">
      <c r="B1745" s="893" t="str">
        <f>+'4D'!BI23</f>
        <v>BC30444RWS</v>
      </c>
      <c r="E1745" s="1753" t="s">
        <v>11007</v>
      </c>
      <c r="G1745" t="str">
        <f>IF('4D'!J23="","##BLANK",'4D'!J23)</f>
        <v>##BLANK</v>
      </c>
    </row>
    <row r="1746" spans="2:7">
      <c r="B1746" s="893" t="str">
        <f>+'4D'!BI24</f>
        <v>CW00037RWS</v>
      </c>
      <c r="E1746" s="1753" t="s">
        <v>11007</v>
      </c>
      <c r="G1746" t="str">
        <f>IF('4D'!J24="","##BLANK",'4D'!J24)</f>
        <v>##BLANK</v>
      </c>
    </row>
    <row r="1747" spans="2:7">
      <c r="B1747" s="893" t="str">
        <f>+'4D'!BI25</f>
        <v>BC30449RWS</v>
      </c>
      <c r="E1747" s="1753" t="s">
        <v>11007</v>
      </c>
      <c r="G1747" t="str">
        <f>IF('4D'!J25="","##BLANK",'4D'!J25)</f>
        <v>##BLANK</v>
      </c>
    </row>
    <row r="1748" spans="2:7">
      <c r="B1748" s="893" t="str">
        <f>+'4D'!BI26</f>
        <v>BC30498RWS</v>
      </c>
      <c r="E1748" s="1753" t="s">
        <v>11007</v>
      </c>
      <c r="G1748">
        <f>IF('4D'!J26="","##BLANK",'4D'!J26)</f>
        <v>0</v>
      </c>
    </row>
    <row r="1749" spans="2:7">
      <c r="B1749" s="893" t="str">
        <f>+'4D'!BI27</f>
        <v>BM333RWS</v>
      </c>
      <c r="E1749" s="1753" t="s">
        <v>11007</v>
      </c>
      <c r="G1749" t="str">
        <f>IF('4D'!J27="","##BLANK",'4D'!J27)</f>
        <v>##BLANK</v>
      </c>
    </row>
    <row r="1750" spans="2:7">
      <c r="B1750" s="893" t="str">
        <f>+'4D'!BI28</f>
        <v>BA1070RWS</v>
      </c>
      <c r="E1750" s="1753" t="s">
        <v>11007</v>
      </c>
      <c r="G1750">
        <f>IF('4D'!J28="","##BLANK",'4D'!J28)</f>
        <v>0</v>
      </c>
    </row>
    <row r="1751" spans="2:7">
      <c r="B1751" s="893" t="str">
        <f>+'4D'!BI31</f>
        <v>BA1071RWS</v>
      </c>
      <c r="E1751" s="1753" t="s">
        <v>11007</v>
      </c>
      <c r="G1751" t="str">
        <f>IF('4D'!J31="","##BLANK",'4D'!J31)</f>
        <v>##BLANK</v>
      </c>
    </row>
    <row r="1752" spans="2:7">
      <c r="B1752" s="893" t="str">
        <f>+'4D'!BI33</f>
        <v>BM325RWS</v>
      </c>
      <c r="E1752" s="1753" t="s">
        <v>11007</v>
      </c>
      <c r="G1752">
        <f>IF('4D'!J33="","##BLANK",'4D'!J33)</f>
        <v>0</v>
      </c>
    </row>
    <row r="1753" spans="2:7">
      <c r="B1753" s="893" t="str">
        <f>+'4D'!BI36</f>
        <v>CR00558RWS</v>
      </c>
      <c r="E1753" s="1753" t="s">
        <v>11007</v>
      </c>
      <c r="G1753" t="str">
        <f>IF('4D'!J36="","##BLANK",'4D'!J36)</f>
        <v>##BLANK</v>
      </c>
    </row>
    <row r="1754" spans="2:7">
      <c r="B1754" s="893" t="str">
        <f>+'4D'!BI37</f>
        <v>CR00561RWS</v>
      </c>
      <c r="E1754" s="1753" t="s">
        <v>11007</v>
      </c>
      <c r="G1754" t="str">
        <f>IF('4D'!J37="","##BLANK",'4D'!J37)</f>
        <v>##BLANK</v>
      </c>
    </row>
    <row r="1755" spans="2:7">
      <c r="B1755" s="893" t="str">
        <f>+'4D'!BI39</f>
        <v>W3026RWS</v>
      </c>
      <c r="E1755" s="1753" t="s">
        <v>11007</v>
      </c>
      <c r="G1755">
        <f>IF('4D'!J39="","##BLANK",'4D'!J39)</f>
        <v>0</v>
      </c>
    </row>
    <row r="1756" spans="2:7">
      <c r="B1756" s="893" t="str">
        <f>+'4D'!BI45</f>
        <v>CRASRWS005</v>
      </c>
      <c r="E1756" s="1753" t="s">
        <v>11007</v>
      </c>
      <c r="G1756" t="str">
        <f>IF('4D'!J45="","##BLANK",'4D'!J45)</f>
        <v>##BLANK</v>
      </c>
    </row>
    <row r="1757" spans="2:7">
      <c r="B1757" s="893" t="str">
        <f>+'4D'!BI48</f>
        <v>CRASRWS006</v>
      </c>
      <c r="E1757" s="1753" t="s">
        <v>11007</v>
      </c>
      <c r="G1757">
        <f>IF('4D'!J48="","##BLANK",'4D'!J48)</f>
        <v>0</v>
      </c>
    </row>
    <row r="1758" spans="2:7">
      <c r="B1758" s="893" t="str">
        <f>+'4D'!BI49</f>
        <v>BN2590RWS</v>
      </c>
      <c r="E1758" s="1753" t="s">
        <v>11007</v>
      </c>
      <c r="G1758" t="str">
        <f>IF('4D'!J49="","##BLANK",'4D'!J49)</f>
        <v>##BLANK</v>
      </c>
    </row>
    <row r="1759" spans="2:7">
      <c r="B1759" s="893" t="str">
        <f>+'4D'!BI50</f>
        <v>BN2591RWS</v>
      </c>
      <c r="E1759" s="1753" t="s">
        <v>11007</v>
      </c>
      <c r="G1759">
        <f>IF('4D'!J50="","##BLANK",'4D'!J50)</f>
        <v>0</v>
      </c>
    </row>
    <row r="1760" spans="2:7">
      <c r="B1760" s="893" t="str">
        <f>+'4D'!BJ7</f>
        <v>BM102WT</v>
      </c>
      <c r="E1760" s="1753" t="s">
        <v>11007</v>
      </c>
      <c r="G1760" t="str">
        <f>IF('4D'!K7="","##BLANK",'4D'!K7)</f>
        <v>##BLANK</v>
      </c>
    </row>
    <row r="1761" spans="2:7">
      <c r="B1761" s="893" t="str">
        <f>+'4D'!BJ8</f>
        <v>BM336WT</v>
      </c>
      <c r="E1761" s="1753" t="s">
        <v>11007</v>
      </c>
      <c r="G1761" t="str">
        <f>IF('4D'!K8="","##BLANK",'4D'!K8)</f>
        <v>##BLANK</v>
      </c>
    </row>
    <row r="1762" spans="2:7">
      <c r="B1762" s="893" t="str">
        <f>+'4D'!BJ9</f>
        <v>BM131WT</v>
      </c>
      <c r="E1762" s="1753" t="s">
        <v>11007</v>
      </c>
      <c r="G1762" t="str">
        <f>IF('4D'!K9="","##BLANK",'4D'!K9)</f>
        <v>##BLANK</v>
      </c>
    </row>
    <row r="1763" spans="2:7">
      <c r="B1763" s="893" t="str">
        <f>+'4D'!BJ10</f>
        <v>BM140WT</v>
      </c>
      <c r="E1763" s="1753" t="s">
        <v>11007</v>
      </c>
      <c r="G1763" t="str">
        <f>IF('4D'!K10="","##BLANK",'4D'!K10)</f>
        <v>##BLANK</v>
      </c>
    </row>
    <row r="1764" spans="2:7">
      <c r="B1764" s="893" t="str">
        <f>+'4D'!BJ11</f>
        <v>BM339WTIR</v>
      </c>
      <c r="E1764" s="1753" t="s">
        <v>11007</v>
      </c>
      <c r="G1764" t="str">
        <f>IF('4D'!K11="","##BLANK",'4D'!K11)</f>
        <v>##BLANK</v>
      </c>
    </row>
    <row r="1765" spans="2:7">
      <c r="B1765" s="893" t="str">
        <f>+'4D'!BJ12</f>
        <v>BM339WTNIR</v>
      </c>
      <c r="E1765" s="1753" t="s">
        <v>11007</v>
      </c>
      <c r="G1765" t="str">
        <f>IF('4D'!K12="","##BLANK",'4D'!K12)</f>
        <v>##BLANK</v>
      </c>
    </row>
    <row r="1766" spans="2:7">
      <c r="B1766" s="893" t="str">
        <f>+'4D'!BJ13</f>
        <v>BM339WTER</v>
      </c>
      <c r="E1766" s="1753" t="s">
        <v>11007</v>
      </c>
      <c r="G1766" t="str">
        <f>IF('4D'!K13="","##BLANK",'4D'!K13)</f>
        <v>##BLANK</v>
      </c>
    </row>
    <row r="1767" spans="2:7">
      <c r="B1767" s="893" t="str">
        <f>+'4D'!BJ14</f>
        <v>BM317WT</v>
      </c>
      <c r="E1767" s="1753" t="s">
        <v>11007</v>
      </c>
      <c r="G1767" t="str">
        <f>IF('4D'!K14="","##BLANK",'4D'!K14)</f>
        <v>##BLANK</v>
      </c>
    </row>
    <row r="1768" spans="2:7">
      <c r="B1768" s="893" t="str">
        <f>+'4D'!BJ15</f>
        <v>BM319WT</v>
      </c>
      <c r="E1768" s="1753" t="s">
        <v>11007</v>
      </c>
      <c r="G1768">
        <f>IF('4D'!K15="","##BLANK",'4D'!K15)</f>
        <v>0</v>
      </c>
    </row>
    <row r="1769" spans="2:7">
      <c r="B1769" s="893" t="str">
        <f>+'4D'!BJ17</f>
        <v>BM323WT</v>
      </c>
      <c r="E1769" s="1753" t="s">
        <v>11007</v>
      </c>
      <c r="G1769" t="str">
        <f>IF('4D'!K17="","##BLANK",'4D'!K17)</f>
        <v>##BLANK</v>
      </c>
    </row>
    <row r="1770" spans="2:7">
      <c r="B1770" s="893" t="str">
        <f>+'4D'!BJ18</f>
        <v>BM351WT</v>
      </c>
      <c r="E1770" s="1753" t="s">
        <v>11007</v>
      </c>
      <c r="G1770">
        <f>IF('4D'!K18="","##BLANK",'4D'!K18)</f>
        <v>0</v>
      </c>
    </row>
    <row r="1771" spans="2:7">
      <c r="B1771" s="893" t="str">
        <f>+'4D'!BJ21</f>
        <v>BC30445WT</v>
      </c>
      <c r="E1771" s="1753" t="s">
        <v>11007</v>
      </c>
      <c r="G1771" t="str">
        <f>IF('4D'!K21="","##BLANK",'4D'!K21)</f>
        <v>##BLANK</v>
      </c>
    </row>
    <row r="1772" spans="2:7">
      <c r="B1772" s="893" t="str">
        <f>+'4D'!BJ22</f>
        <v>CW00036WT</v>
      </c>
      <c r="E1772" s="1753" t="s">
        <v>11007</v>
      </c>
      <c r="G1772" t="str">
        <f>IF('4D'!K22="","##BLANK",'4D'!K22)</f>
        <v>##BLANK</v>
      </c>
    </row>
    <row r="1773" spans="2:7">
      <c r="B1773" s="893" t="str">
        <f>+'4D'!BJ23</f>
        <v>BC30444WT</v>
      </c>
      <c r="E1773" s="1753" t="s">
        <v>11007</v>
      </c>
      <c r="G1773" t="str">
        <f>IF('4D'!K23="","##BLANK",'4D'!K23)</f>
        <v>##BLANK</v>
      </c>
    </row>
    <row r="1774" spans="2:7">
      <c r="B1774" s="893" t="str">
        <f>+'4D'!BJ24</f>
        <v>CW00037WT</v>
      </c>
      <c r="E1774" s="1753" t="s">
        <v>11007</v>
      </c>
      <c r="G1774" t="str">
        <f>IF('4D'!K24="","##BLANK",'4D'!K24)</f>
        <v>##BLANK</v>
      </c>
    </row>
    <row r="1775" spans="2:7">
      <c r="B1775" s="893" t="str">
        <f>+'4D'!BJ25</f>
        <v>BC30449WT</v>
      </c>
      <c r="E1775" s="1753" t="s">
        <v>11007</v>
      </c>
      <c r="G1775" t="str">
        <f>IF('4D'!K25="","##BLANK",'4D'!K25)</f>
        <v>##BLANK</v>
      </c>
    </row>
    <row r="1776" spans="2:7">
      <c r="B1776" s="893" t="str">
        <f>+'4D'!BJ26</f>
        <v>BC30498WT</v>
      </c>
      <c r="E1776" s="1753" t="s">
        <v>11007</v>
      </c>
      <c r="G1776">
        <f>IF('4D'!K26="","##BLANK",'4D'!K26)</f>
        <v>0</v>
      </c>
    </row>
    <row r="1777" spans="2:7">
      <c r="B1777" s="893" t="str">
        <f>+'4D'!BJ27</f>
        <v>BM333WT</v>
      </c>
      <c r="E1777" s="1753" t="s">
        <v>11007</v>
      </c>
      <c r="G1777" t="str">
        <f>IF('4D'!K27="","##BLANK",'4D'!K27)</f>
        <v>##BLANK</v>
      </c>
    </row>
    <row r="1778" spans="2:7">
      <c r="B1778" s="893" t="str">
        <f>+'4D'!BJ28</f>
        <v>BA1070WT</v>
      </c>
      <c r="E1778" s="1753" t="s">
        <v>11007</v>
      </c>
      <c r="G1778">
        <f>IF('4D'!K28="","##BLANK",'4D'!K28)</f>
        <v>0</v>
      </c>
    </row>
    <row r="1779" spans="2:7">
      <c r="B1779" s="893" t="str">
        <f>+'4D'!BJ31</f>
        <v>BA1071WT</v>
      </c>
      <c r="E1779" s="1753" t="s">
        <v>11007</v>
      </c>
      <c r="G1779" t="str">
        <f>IF('4D'!K31="","##BLANK",'4D'!K31)</f>
        <v>##BLANK</v>
      </c>
    </row>
    <row r="1780" spans="2:7">
      <c r="B1780" s="893" t="str">
        <f>+'4D'!BJ33</f>
        <v>BM325WT</v>
      </c>
      <c r="E1780" s="1753" t="s">
        <v>11007</v>
      </c>
      <c r="G1780">
        <f>IF('4D'!K33="","##BLANK",'4D'!K33)</f>
        <v>0</v>
      </c>
    </row>
    <row r="1781" spans="2:7">
      <c r="B1781" s="893" t="str">
        <f>+'4D'!BJ36</f>
        <v>CR00558WT</v>
      </c>
      <c r="E1781" s="1753" t="s">
        <v>11007</v>
      </c>
      <c r="G1781" t="str">
        <f>IF('4D'!K36="","##BLANK",'4D'!K36)</f>
        <v>##BLANK</v>
      </c>
    </row>
    <row r="1782" spans="2:7">
      <c r="B1782" s="893" t="str">
        <f>+'4D'!BJ37</f>
        <v>CR00561WT</v>
      </c>
      <c r="E1782" s="1753" t="s">
        <v>11007</v>
      </c>
      <c r="G1782" t="str">
        <f>IF('4D'!K37="","##BLANK",'4D'!K37)</f>
        <v>##BLANK</v>
      </c>
    </row>
    <row r="1783" spans="2:7">
      <c r="B1783" s="893" t="str">
        <f>+'4D'!BJ39</f>
        <v>W3026WT</v>
      </c>
      <c r="E1783" s="1753" t="s">
        <v>11007</v>
      </c>
      <c r="G1783">
        <f>IF('4D'!K39="","##BLANK",'4D'!K39)</f>
        <v>0</v>
      </c>
    </row>
    <row r="1784" spans="2:7">
      <c r="B1784" s="893" t="str">
        <f>+'4D'!BJ46</f>
        <v>CRASWT001D</v>
      </c>
      <c r="D1784" s="2146"/>
      <c r="E1784" s="1753" t="s">
        <v>11007</v>
      </c>
      <c r="G1784" t="str">
        <f>IF('4D'!K46="","##BLANK",'4D'!K46)</f>
        <v>##BLANK</v>
      </c>
    </row>
    <row r="1785" spans="2:7">
      <c r="B1785" s="893" t="str">
        <f>+'4D'!BJ48</f>
        <v>CRASWT001C</v>
      </c>
      <c r="D1785" s="2146"/>
      <c r="E1785" s="1753" t="s">
        <v>11007</v>
      </c>
      <c r="G1785">
        <f>IF('4D'!K48="","##BLANK",'4D'!K48)</f>
        <v>0</v>
      </c>
    </row>
    <row r="1786" spans="2:7">
      <c r="B1786" s="893" t="str">
        <f>+'4D'!BJ49</f>
        <v>BN2590WT</v>
      </c>
      <c r="D1786" s="2146"/>
      <c r="E1786" s="1753" t="s">
        <v>11007</v>
      </c>
      <c r="G1786" t="str">
        <f>IF('4D'!K49="","##BLANK",'4D'!K49)</f>
        <v>##BLANK</v>
      </c>
    </row>
    <row r="1787" spans="2:7">
      <c r="B1787" s="893" t="str">
        <f>+'4D'!BJ50</f>
        <v>BN2591WT</v>
      </c>
      <c r="D1787" s="2146"/>
      <c r="E1787" s="1753" t="s">
        <v>11007</v>
      </c>
      <c r="G1787">
        <f>IF('4D'!K50="","##BLANK",'4D'!K50)</f>
        <v>0</v>
      </c>
    </row>
    <row r="1788" spans="2:7">
      <c r="B1788" s="893" t="str">
        <f>+'4D'!BK7</f>
        <v>BM202TWD</v>
      </c>
      <c r="D1788" s="2146"/>
      <c r="E1788" s="1753" t="s">
        <v>11007</v>
      </c>
      <c r="G1788" t="str">
        <f>IF('4D'!L7="","##BLANK",'4D'!L7)</f>
        <v>##BLANK</v>
      </c>
    </row>
    <row r="1789" spans="2:7">
      <c r="B1789" s="893" t="str">
        <f>+'4D'!BK8</f>
        <v>BM336TWD</v>
      </c>
      <c r="E1789" s="1753" t="s">
        <v>11007</v>
      </c>
      <c r="G1789" t="str">
        <f>IF('4D'!L8="","##BLANK",'4D'!L8)</f>
        <v>##BLANK</v>
      </c>
    </row>
    <row r="1790" spans="2:7">
      <c r="B1790" s="893" t="str">
        <f>+'4D'!BK9</f>
        <v>BM231TWD</v>
      </c>
      <c r="E1790" s="1753" t="s">
        <v>11007</v>
      </c>
      <c r="G1790" t="str">
        <f>IF('4D'!L9="","##BLANK",'4D'!L9)</f>
        <v>##BLANK</v>
      </c>
    </row>
    <row r="1791" spans="2:7">
      <c r="B1791" s="893" t="str">
        <f>+'4D'!BK10</f>
        <v>BM240TWD</v>
      </c>
      <c r="E1791" s="1753" t="s">
        <v>11007</v>
      </c>
      <c r="G1791" t="str">
        <f>IF('4D'!L10="","##BLANK",'4D'!L10)</f>
        <v>##BLANK</v>
      </c>
    </row>
    <row r="1792" spans="2:7">
      <c r="B1792" s="893" t="str">
        <f>+'4D'!BK11</f>
        <v>BM339TWDIR</v>
      </c>
      <c r="E1792" s="1753" t="s">
        <v>11007</v>
      </c>
      <c r="G1792" t="str">
        <f>IF('4D'!L11="","##BLANK",'4D'!L11)</f>
        <v>##BLANK</v>
      </c>
    </row>
    <row r="1793" spans="2:7">
      <c r="B1793" s="893" t="str">
        <f>+'4D'!BK12</f>
        <v>BM339TWDNIR</v>
      </c>
      <c r="E1793" s="1753" t="s">
        <v>11007</v>
      </c>
      <c r="G1793" t="str">
        <f>IF('4D'!L12="","##BLANK",'4D'!L12)</f>
        <v>##BLANK</v>
      </c>
    </row>
    <row r="1794" spans="2:7">
      <c r="B1794" s="893" t="str">
        <f>+'4D'!BK13</f>
        <v>BM339TWDER</v>
      </c>
      <c r="E1794" s="1753" t="s">
        <v>11007</v>
      </c>
      <c r="G1794" t="str">
        <f>IF('4D'!L13="","##BLANK",'4D'!L13)</f>
        <v>##BLANK</v>
      </c>
    </row>
    <row r="1795" spans="2:7">
      <c r="B1795" s="893" t="str">
        <f>+'4D'!BK14</f>
        <v>BM317TWD</v>
      </c>
      <c r="E1795" s="1753" t="s">
        <v>11007</v>
      </c>
      <c r="G1795" t="str">
        <f>IF('4D'!L14="","##BLANK",'4D'!L14)</f>
        <v>##BLANK</v>
      </c>
    </row>
    <row r="1796" spans="2:7">
      <c r="B1796" s="893" t="str">
        <f>+'4D'!BK15</f>
        <v>BM319TWD</v>
      </c>
      <c r="E1796" s="1753" t="s">
        <v>11007</v>
      </c>
      <c r="G1796">
        <f>IF('4D'!L15="","##BLANK",'4D'!L15)</f>
        <v>0</v>
      </c>
    </row>
    <row r="1797" spans="2:7">
      <c r="B1797" s="893" t="str">
        <f>+'4D'!BK17</f>
        <v>BM323TWD</v>
      </c>
      <c r="E1797" s="1753" t="s">
        <v>11007</v>
      </c>
      <c r="G1797" t="str">
        <f>IF('4D'!L17="","##BLANK",'4D'!L17)</f>
        <v>##BLANK</v>
      </c>
    </row>
    <row r="1798" spans="2:7">
      <c r="B1798" s="893" t="str">
        <f>+'4D'!BK18</f>
        <v>BM351TWD</v>
      </c>
      <c r="E1798" s="1753" t="s">
        <v>11007</v>
      </c>
      <c r="G1798">
        <f>IF('4D'!L18="","##BLANK",'4D'!L18)</f>
        <v>0</v>
      </c>
    </row>
    <row r="1799" spans="2:7">
      <c r="B1799" s="893" t="str">
        <f>+'4D'!BK21</f>
        <v>BC30445TWD</v>
      </c>
      <c r="E1799" s="1753" t="s">
        <v>11007</v>
      </c>
      <c r="G1799" t="str">
        <f>IF('4D'!L21="","##BLANK",'4D'!L21)</f>
        <v>##BLANK</v>
      </c>
    </row>
    <row r="1800" spans="2:7">
      <c r="B1800" s="893" t="str">
        <f>+'4D'!BK22</f>
        <v>CW00036TWD</v>
      </c>
      <c r="E1800" s="1753" t="s">
        <v>11007</v>
      </c>
      <c r="G1800" t="str">
        <f>IF('4D'!L22="","##BLANK",'4D'!L22)</f>
        <v>##BLANK</v>
      </c>
    </row>
    <row r="1801" spans="2:7">
      <c r="B1801" s="893" t="str">
        <f>+'4D'!BK23</f>
        <v>BC30444TWD</v>
      </c>
      <c r="E1801" s="1753" t="s">
        <v>11007</v>
      </c>
      <c r="G1801" t="str">
        <f>IF('4D'!L23="","##BLANK",'4D'!L23)</f>
        <v>##BLANK</v>
      </c>
    </row>
    <row r="1802" spans="2:7">
      <c r="B1802" s="893" t="str">
        <f>+'4D'!BK24</f>
        <v>CW00037TWD</v>
      </c>
      <c r="E1802" s="1753" t="s">
        <v>11007</v>
      </c>
      <c r="G1802" t="str">
        <f>IF('4D'!L24="","##BLANK",'4D'!L24)</f>
        <v>##BLANK</v>
      </c>
    </row>
    <row r="1803" spans="2:7">
      <c r="B1803" s="893" t="str">
        <f>+'4D'!BK25</f>
        <v>BC30449TWD</v>
      </c>
      <c r="E1803" s="1753" t="s">
        <v>11007</v>
      </c>
      <c r="G1803" t="str">
        <f>IF('4D'!L25="","##BLANK",'4D'!L25)</f>
        <v>##BLANK</v>
      </c>
    </row>
    <row r="1804" spans="2:7">
      <c r="B1804" s="893" t="str">
        <f>+'4D'!BK26</f>
        <v>BC30498TWD</v>
      </c>
      <c r="E1804" s="1753" t="s">
        <v>11007</v>
      </c>
      <c r="G1804">
        <f>IF('4D'!L26="","##BLANK",'4D'!L26)</f>
        <v>0</v>
      </c>
    </row>
    <row r="1805" spans="2:7">
      <c r="B1805" s="893" t="str">
        <f>+'4D'!BK27</f>
        <v>BM333TWD</v>
      </c>
      <c r="E1805" s="1753" t="s">
        <v>11007</v>
      </c>
      <c r="G1805" t="str">
        <f>IF('4D'!L27="","##BLANK",'4D'!L27)</f>
        <v>##BLANK</v>
      </c>
    </row>
    <row r="1806" spans="2:7">
      <c r="B1806" s="893" t="str">
        <f>+'4D'!BK28</f>
        <v>BA1070TWD</v>
      </c>
      <c r="E1806" s="1753" t="s">
        <v>11007</v>
      </c>
      <c r="G1806">
        <f>IF('4D'!L28="","##BLANK",'4D'!L28)</f>
        <v>0</v>
      </c>
    </row>
    <row r="1807" spans="2:7">
      <c r="B1807" s="893" t="str">
        <f>+'4D'!BK31</f>
        <v>BA1071TWD</v>
      </c>
      <c r="E1807" s="1753" t="s">
        <v>11007</v>
      </c>
      <c r="G1807" t="str">
        <f>IF('4D'!L31="","##BLANK",'4D'!L31)</f>
        <v>##BLANK</v>
      </c>
    </row>
    <row r="1808" spans="2:7">
      <c r="B1808" s="893" t="str">
        <f>+'4D'!BK33</f>
        <v>BM325TWD</v>
      </c>
      <c r="E1808" s="1753" t="s">
        <v>11007</v>
      </c>
      <c r="G1808">
        <f>IF('4D'!L33="","##BLANK",'4D'!L33)</f>
        <v>0</v>
      </c>
    </row>
    <row r="1809" spans="2:7">
      <c r="B1809" s="893" t="str">
        <f>+'4D'!BK36</f>
        <v>CR00558TWD</v>
      </c>
      <c r="E1809" s="1753" t="s">
        <v>11007</v>
      </c>
      <c r="G1809" t="str">
        <f>IF('4D'!L36="","##BLANK",'4D'!L36)</f>
        <v>##BLANK</v>
      </c>
    </row>
    <row r="1810" spans="2:7">
      <c r="B1810" s="893" t="str">
        <f>+'4D'!BK37</f>
        <v>CR00561TWD</v>
      </c>
      <c r="E1810" s="1753" t="s">
        <v>11007</v>
      </c>
      <c r="G1810" t="str">
        <f>IF('4D'!L37="","##BLANK",'4D'!L37)</f>
        <v>##BLANK</v>
      </c>
    </row>
    <row r="1811" spans="2:7">
      <c r="B1811" s="893" t="str">
        <f>+'4D'!BK39</f>
        <v>W3026TWD</v>
      </c>
      <c r="E1811" s="1753" t="s">
        <v>11007</v>
      </c>
      <c r="G1811">
        <f>IF('4D'!L39="","##BLANK",'4D'!L39)</f>
        <v>0</v>
      </c>
    </row>
    <row r="1812" spans="2:7">
      <c r="B1812" s="893" t="str">
        <f>+'4D'!BK47</f>
        <v>CRASTWD005</v>
      </c>
      <c r="E1812" s="1753" t="s">
        <v>11007</v>
      </c>
      <c r="G1812" t="str">
        <f>IF('4D'!L47="","##BLANK",'4D'!L47)</f>
        <v>##BLANK</v>
      </c>
    </row>
    <row r="1813" spans="2:7">
      <c r="B1813" s="893" t="str">
        <f>+'4D'!BK48</f>
        <v>CRASTWD006</v>
      </c>
      <c r="E1813" s="1753" t="s">
        <v>11007</v>
      </c>
      <c r="G1813">
        <f>IF('4D'!L48="","##BLANK",'4D'!L48)</f>
        <v>0</v>
      </c>
    </row>
    <row r="1814" spans="2:7">
      <c r="B1814" s="893" t="str">
        <f>+'4D'!BK49</f>
        <v>BN2590TWD</v>
      </c>
      <c r="E1814" s="1753" t="s">
        <v>11007</v>
      </c>
      <c r="G1814" t="str">
        <f>IF('4D'!L49="","##BLANK",'4D'!L49)</f>
        <v>##BLANK</v>
      </c>
    </row>
    <row r="1815" spans="2:7">
      <c r="B1815" s="893" t="str">
        <f>+'4D'!BK50</f>
        <v>BN2591TWD</v>
      </c>
      <c r="E1815" s="1753" t="s">
        <v>11007</v>
      </c>
      <c r="G1815">
        <f>IF('4D'!L50="","##BLANK",'4D'!L50)</f>
        <v>0</v>
      </c>
    </row>
    <row r="1816" spans="2:7">
      <c r="B1816" s="893" t="str">
        <f>+'4D'!BL7</f>
        <v>BM302TAS</v>
      </c>
      <c r="E1816" s="1753" t="s">
        <v>11007</v>
      </c>
      <c r="G1816">
        <f>IF('4D'!M7="","##BLANK",'4D'!M7)</f>
        <v>0</v>
      </c>
    </row>
    <row r="1817" spans="2:7">
      <c r="B1817" s="893" t="str">
        <f>+'4D'!BL8</f>
        <v>BM336TAS</v>
      </c>
      <c r="E1817" s="1753" t="s">
        <v>11007</v>
      </c>
      <c r="G1817">
        <f>IF('4D'!M8="","##BLANK",'4D'!M8)</f>
        <v>0</v>
      </c>
    </row>
    <row r="1818" spans="2:7">
      <c r="B1818" s="893" t="str">
        <f>+'4D'!BL9</f>
        <v>BM331TAS</v>
      </c>
      <c r="E1818" s="1753" t="s">
        <v>11007</v>
      </c>
      <c r="G1818">
        <f>IF('4D'!M9="","##BLANK",'4D'!M9)</f>
        <v>0</v>
      </c>
    </row>
    <row r="1819" spans="2:7">
      <c r="B1819" s="893" t="str">
        <f>+'4D'!BL10</f>
        <v>BM340TAS</v>
      </c>
      <c r="E1819" s="1753" t="s">
        <v>11007</v>
      </c>
      <c r="G1819">
        <f>IF('4D'!M10="","##BLANK",'4D'!M10)</f>
        <v>0</v>
      </c>
    </row>
    <row r="1820" spans="2:7">
      <c r="B1820" s="893" t="str">
        <f>+'4D'!BL11</f>
        <v>BM339TASIR</v>
      </c>
      <c r="E1820" s="1753" t="s">
        <v>11007</v>
      </c>
      <c r="G1820">
        <f>IF('4D'!M11="","##BLANK",'4D'!M11)</f>
        <v>0</v>
      </c>
    </row>
    <row r="1821" spans="2:7">
      <c r="B1821" s="893" t="str">
        <f>+'4D'!BL12</f>
        <v>BM339TASNIR</v>
      </c>
      <c r="E1821" s="1753" t="s">
        <v>11007</v>
      </c>
      <c r="G1821">
        <f>IF('4D'!M12="","##BLANK",'4D'!M12)</f>
        <v>0</v>
      </c>
    </row>
    <row r="1822" spans="2:7">
      <c r="B1822" s="893" t="str">
        <f>+'4D'!BL13</f>
        <v>BM339TASER</v>
      </c>
      <c r="E1822" s="1753" t="s">
        <v>11007</v>
      </c>
      <c r="G1822">
        <f>IF('4D'!M13="","##BLANK",'4D'!M13)</f>
        <v>0</v>
      </c>
    </row>
    <row r="1823" spans="2:7">
      <c r="B1823" s="893" t="str">
        <f>+'4D'!BL14</f>
        <v>BM317TAS</v>
      </c>
      <c r="E1823" s="1753" t="s">
        <v>11007</v>
      </c>
      <c r="G1823">
        <f>IF('4D'!M14="","##BLANK",'4D'!M14)</f>
        <v>0</v>
      </c>
    </row>
    <row r="1824" spans="2:7">
      <c r="B1824" s="893" t="str">
        <f>+'4D'!BL15</f>
        <v>BM319TAS</v>
      </c>
      <c r="E1824" s="1753" t="s">
        <v>11007</v>
      </c>
      <c r="G1824">
        <f>IF('4D'!M15="","##BLANK",'4D'!M15)</f>
        <v>0</v>
      </c>
    </row>
    <row r="1825" spans="2:7">
      <c r="B1825" s="893" t="str">
        <f>+'4D'!BL17</f>
        <v>BM323TAS</v>
      </c>
      <c r="E1825" s="1753" t="s">
        <v>11007</v>
      </c>
      <c r="G1825">
        <f>IF('4D'!M17="","##BLANK",'4D'!M17)</f>
        <v>0</v>
      </c>
    </row>
    <row r="1826" spans="2:7">
      <c r="B1826" s="893" t="str">
        <f>+'4D'!BL18</f>
        <v>BM351TAS</v>
      </c>
      <c r="E1826" s="1753" t="s">
        <v>11007</v>
      </c>
      <c r="G1826">
        <f>IF('4D'!M18="","##BLANK",'4D'!M18)</f>
        <v>0</v>
      </c>
    </row>
    <row r="1827" spans="2:7">
      <c r="B1827" s="893" t="str">
        <f>+'4D'!BL21</f>
        <v>BC30445</v>
      </c>
      <c r="E1827" s="1753" t="s">
        <v>11007</v>
      </c>
      <c r="G1827">
        <f>IF('4D'!M21="","##BLANK",'4D'!M21)</f>
        <v>0</v>
      </c>
    </row>
    <row r="1828" spans="2:7">
      <c r="B1828" s="893" t="str">
        <f>+'4D'!BL22</f>
        <v>CW00036</v>
      </c>
      <c r="E1828" s="1753" t="s">
        <v>11007</v>
      </c>
      <c r="G1828">
        <f>IF('4D'!M22="","##BLANK",'4D'!M22)</f>
        <v>0</v>
      </c>
    </row>
    <row r="1829" spans="2:7">
      <c r="B1829" s="893" t="str">
        <f>+'4D'!BL23</f>
        <v>BC30444TAS</v>
      </c>
      <c r="E1829" s="1753" t="s">
        <v>11007</v>
      </c>
      <c r="G1829">
        <f>IF('4D'!M23="","##BLANK",'4D'!M23)</f>
        <v>0</v>
      </c>
    </row>
    <row r="1830" spans="2:7">
      <c r="B1830" s="893" t="str">
        <f>+'4D'!BL24</f>
        <v>CW00037TAS</v>
      </c>
      <c r="E1830" s="1753" t="s">
        <v>11007</v>
      </c>
      <c r="G1830">
        <f>IF('4D'!M24="","##BLANK",'4D'!M24)</f>
        <v>0</v>
      </c>
    </row>
    <row r="1831" spans="2:7">
      <c r="B1831" s="893" t="str">
        <f>+'4D'!BL25</f>
        <v>BC30449</v>
      </c>
      <c r="E1831" s="1753" t="s">
        <v>11007</v>
      </c>
      <c r="G1831">
        <f>IF('4D'!M25="","##BLANK",'4D'!M25)</f>
        <v>0</v>
      </c>
    </row>
    <row r="1832" spans="2:7">
      <c r="B1832" s="893" t="str">
        <f>+'4D'!BL26</f>
        <v>BC30498TAS</v>
      </c>
      <c r="E1832" s="1753" t="s">
        <v>11007</v>
      </c>
      <c r="G1832">
        <f>IF('4D'!M26="","##BLANK",'4D'!M26)</f>
        <v>0</v>
      </c>
    </row>
    <row r="1833" spans="2:7">
      <c r="B1833" s="893" t="str">
        <f>+'4D'!BL27</f>
        <v>BM333TAS</v>
      </c>
      <c r="E1833" s="1753" t="s">
        <v>11007</v>
      </c>
      <c r="G1833">
        <f>IF('4D'!M27="","##BLANK",'4D'!M27)</f>
        <v>0</v>
      </c>
    </row>
    <row r="1834" spans="2:7">
      <c r="B1834" s="893" t="str">
        <f>+'4D'!BL28</f>
        <v>BA1070TAS</v>
      </c>
      <c r="E1834" s="1753" t="s">
        <v>11007</v>
      </c>
      <c r="G1834">
        <f>IF('4D'!M28="","##BLANK",'4D'!M28)</f>
        <v>0</v>
      </c>
    </row>
    <row r="1835" spans="2:7">
      <c r="B1835" s="893" t="str">
        <f>+'4D'!BL31</f>
        <v>BA1071TAS</v>
      </c>
      <c r="E1835" s="1753" t="s">
        <v>11007</v>
      </c>
      <c r="G1835">
        <f>IF('4D'!M31="","##BLANK",'4D'!M31)</f>
        <v>0</v>
      </c>
    </row>
    <row r="1836" spans="2:7">
      <c r="B1836" s="893" t="str">
        <f>+'4D'!BL33</f>
        <v>BM325TAS</v>
      </c>
      <c r="E1836" s="1753" t="s">
        <v>11007</v>
      </c>
      <c r="G1836">
        <f>IF('4D'!M33="","##BLANK",'4D'!M33)</f>
        <v>0</v>
      </c>
    </row>
    <row r="1837" spans="2:7">
      <c r="B1837" s="893" t="str">
        <f>+'4D'!BL36</f>
        <v>CR00558TOT</v>
      </c>
      <c r="E1837" s="1753" t="s">
        <v>11007</v>
      </c>
      <c r="G1837">
        <f>IF('4D'!M36="","##BLANK",'4D'!M36)</f>
        <v>0</v>
      </c>
    </row>
    <row r="1838" spans="2:7">
      <c r="B1838" s="893" t="str">
        <f>+'4D'!BL37</f>
        <v>CR00561TOT</v>
      </c>
      <c r="E1838" s="1753" t="s">
        <v>11007</v>
      </c>
      <c r="G1838">
        <f>IF('4D'!M37="","##BLANK",'4D'!M37)</f>
        <v>0</v>
      </c>
    </row>
    <row r="1839" spans="2:7">
      <c r="B1839" s="893" t="str">
        <f>+'4D'!BL39</f>
        <v>W3026TOT</v>
      </c>
      <c r="E1839" s="1753" t="s">
        <v>11007</v>
      </c>
      <c r="G1839">
        <f>IF('4D'!M39="","##BLANK",'4D'!M39)</f>
        <v>0</v>
      </c>
    </row>
    <row r="1840" spans="2:7">
      <c r="B1840" s="893" t="str">
        <f>+'4E'!BF7</f>
        <v>BM402F</v>
      </c>
      <c r="E1840" s="1753" t="s">
        <v>11007</v>
      </c>
      <c r="G1840" t="str">
        <f>IF('4E'!G7="","##BLANK",'4E'!G7)</f>
        <v>##BLANK</v>
      </c>
    </row>
    <row r="1841" spans="2:7">
      <c r="B1841" s="893" t="str">
        <f>+'4E'!BF8</f>
        <v>BM836F</v>
      </c>
      <c r="E1841" s="1753" t="s">
        <v>11007</v>
      </c>
      <c r="G1841" t="str">
        <f>IF('4E'!G8="","##BLANK",'4E'!G8)</f>
        <v>##BLANK</v>
      </c>
    </row>
    <row r="1842" spans="2:7">
      <c r="B1842" s="893" t="str">
        <f>+'4E'!BF9</f>
        <v>BM131F</v>
      </c>
      <c r="E1842" s="1753" t="s">
        <v>11007</v>
      </c>
      <c r="G1842" t="str">
        <f>IF('4E'!G9="","##BLANK",'4E'!G9)</f>
        <v>##BLANK</v>
      </c>
    </row>
    <row r="1843" spans="2:7">
      <c r="B1843" s="893" t="str">
        <f>+'4E'!BF10</f>
        <v>BM140F</v>
      </c>
      <c r="E1843" s="1753" t="s">
        <v>11007</v>
      </c>
      <c r="G1843" t="str">
        <f>IF('4E'!G10="","##BLANK",'4E'!G10)</f>
        <v>##BLANK</v>
      </c>
    </row>
    <row r="1844" spans="2:7">
      <c r="B1844" s="893" t="str">
        <f>+'4E'!BF11</f>
        <v>BM839FIR</v>
      </c>
      <c r="E1844" s="1753" t="s">
        <v>11007</v>
      </c>
      <c r="G1844" t="str">
        <f>IF('4E'!G11="","##BLANK",'4E'!G11)</f>
        <v>##BLANK</v>
      </c>
    </row>
    <row r="1845" spans="2:7">
      <c r="B1845" s="893" t="str">
        <f>+'4E'!BF12</f>
        <v>BM839FNIR</v>
      </c>
      <c r="E1845" s="1753" t="s">
        <v>11007</v>
      </c>
      <c r="G1845" t="str">
        <f>IF('4E'!G12="","##BLANK",'4E'!G12)</f>
        <v>##BLANK</v>
      </c>
    </row>
    <row r="1846" spans="2:7">
      <c r="B1846" s="893" t="str">
        <f>+'4E'!BF13</f>
        <v>BM839FER</v>
      </c>
      <c r="E1846" s="1753" t="s">
        <v>11007</v>
      </c>
      <c r="G1846" t="str">
        <f>IF('4E'!G13="","##BLANK",'4E'!G13)</f>
        <v>##BLANK</v>
      </c>
    </row>
    <row r="1847" spans="2:7">
      <c r="B1847" s="893" t="str">
        <f>+'4E'!BF14</f>
        <v>BM817F</v>
      </c>
      <c r="E1847" s="1753" t="s">
        <v>11007</v>
      </c>
      <c r="G1847" t="str">
        <f>IF('4E'!G14="","##BLANK",'4E'!G14)</f>
        <v>##BLANK</v>
      </c>
    </row>
    <row r="1848" spans="2:7">
      <c r="B1848" s="893" t="str">
        <f>+'4E'!BF15</f>
        <v>BM844F</v>
      </c>
      <c r="E1848" s="1753" t="s">
        <v>11007</v>
      </c>
      <c r="G1848">
        <f>IF('4E'!G15="","##BLANK",'4E'!G15)</f>
        <v>0</v>
      </c>
    </row>
    <row r="1849" spans="2:7">
      <c r="B1849" s="893" t="str">
        <f>+'4E'!BF17</f>
        <v>BM823F</v>
      </c>
      <c r="E1849" s="1753" t="s">
        <v>11007</v>
      </c>
      <c r="G1849" t="str">
        <f>IF('4E'!G17="","##BLANK",'4E'!G17)</f>
        <v>##BLANK</v>
      </c>
    </row>
    <row r="1850" spans="2:7">
      <c r="B1850" s="893" t="str">
        <f>+'4E'!BF18</f>
        <v>BM850F</v>
      </c>
      <c r="E1850" s="1753" t="s">
        <v>11007</v>
      </c>
      <c r="G1850">
        <f>IF('4E'!G18="","##BLANK",'4E'!G18)</f>
        <v>0</v>
      </c>
    </row>
    <row r="1851" spans="2:7">
      <c r="B1851" s="893" t="str">
        <f>+'4E'!BF21</f>
        <v>BC30945F</v>
      </c>
      <c r="E1851" s="1753" t="s">
        <v>11007</v>
      </c>
      <c r="G1851" t="str">
        <f>IF('4E'!G21="","##BLANK",'4E'!G21)</f>
        <v>##BLANK</v>
      </c>
    </row>
    <row r="1852" spans="2:7">
      <c r="B1852" s="893" t="str">
        <f>+'4E'!BF22</f>
        <v>CS00036F</v>
      </c>
      <c r="E1852" s="1753" t="s">
        <v>11007</v>
      </c>
      <c r="G1852" t="str">
        <f>IF('4E'!G22="","##BLANK",'4E'!G22)</f>
        <v>##BLANK</v>
      </c>
    </row>
    <row r="1853" spans="2:7">
      <c r="B1853" s="893" t="str">
        <f>+'4E'!BF23</f>
        <v>BC30944F</v>
      </c>
      <c r="E1853" s="1753" t="s">
        <v>11007</v>
      </c>
      <c r="G1853" t="str">
        <f>IF('4E'!G23="","##BLANK",'4E'!G23)</f>
        <v>##BLANK</v>
      </c>
    </row>
    <row r="1854" spans="2:7">
      <c r="B1854" s="893" t="str">
        <f>+'4E'!BF24</f>
        <v>CS00037F</v>
      </c>
      <c r="E1854" s="1753" t="s">
        <v>11007</v>
      </c>
      <c r="G1854" t="str">
        <f>IF('4E'!G24="","##BLANK",'4E'!G24)</f>
        <v>##BLANK</v>
      </c>
    </row>
    <row r="1855" spans="2:7">
      <c r="B1855" s="893" t="str">
        <f>+'4E'!BF25</f>
        <v>BC30849F</v>
      </c>
      <c r="E1855" s="1753" t="s">
        <v>11007</v>
      </c>
      <c r="G1855" t="str">
        <f>IF('4E'!G25="","##BLANK",'4E'!G25)</f>
        <v>##BLANK</v>
      </c>
    </row>
    <row r="1856" spans="2:7">
      <c r="B1856" s="893" t="str">
        <f>+'4E'!BF26</f>
        <v>BC30998F</v>
      </c>
      <c r="E1856" s="1753" t="s">
        <v>11007</v>
      </c>
      <c r="G1856">
        <f>IF('4E'!G26="","##BLANK",'4E'!G26)</f>
        <v>0</v>
      </c>
    </row>
    <row r="1857" spans="2:7">
      <c r="B1857" s="893" t="str">
        <f>+'4E'!BF27</f>
        <v>BM833F</v>
      </c>
      <c r="E1857" s="1753" t="s">
        <v>11007</v>
      </c>
      <c r="G1857" t="str">
        <f>IF('4E'!G27="","##BLANK",'4E'!G27)</f>
        <v>##BLANK</v>
      </c>
    </row>
    <row r="1858" spans="2:7">
      <c r="B1858" s="893" t="str">
        <f>+'4E'!BF28</f>
        <v>BA2120F</v>
      </c>
      <c r="E1858" s="1753" t="s">
        <v>11007</v>
      </c>
      <c r="G1858">
        <f>IF('4E'!G28="","##BLANK",'4E'!G28)</f>
        <v>0</v>
      </c>
    </row>
    <row r="1859" spans="2:7">
      <c r="B1859" s="893" t="str">
        <f>+'4E'!BF31</f>
        <v>BA2121F</v>
      </c>
      <c r="E1859" s="1753" t="s">
        <v>11007</v>
      </c>
      <c r="G1859" t="str">
        <f>IF('4E'!G31="","##BLANK",'4E'!G31)</f>
        <v>##BLANK</v>
      </c>
    </row>
    <row r="1860" spans="2:7">
      <c r="B1860" s="893" t="str">
        <f>+'4E'!BF33</f>
        <v>BM825F</v>
      </c>
      <c r="E1860" s="1753" t="s">
        <v>11007</v>
      </c>
      <c r="G1860">
        <f>IF('4E'!G33="","##BLANK",'4E'!G33)</f>
        <v>0</v>
      </c>
    </row>
    <row r="1861" spans="2:7">
      <c r="B1861" s="893" t="str">
        <f>+'4E'!BF36</f>
        <v>CR00559F</v>
      </c>
      <c r="E1861" s="1753" t="s">
        <v>11007</v>
      </c>
      <c r="G1861" t="str">
        <f>IF('4E'!G36="","##BLANK",'4E'!G36)</f>
        <v>##BLANK</v>
      </c>
    </row>
    <row r="1862" spans="2:7">
      <c r="B1862" s="893" t="str">
        <f>+'4E'!BF37</f>
        <v>CR00562F</v>
      </c>
      <c r="E1862" s="1753" t="s">
        <v>11007</v>
      </c>
      <c r="G1862" t="str">
        <f>IF('4E'!G37="","##BLANK",'4E'!G37)</f>
        <v>##BLANK</v>
      </c>
    </row>
    <row r="1863" spans="2:7">
      <c r="B1863" s="893" t="str">
        <f>+'4E'!BF39</f>
        <v>S3040F</v>
      </c>
      <c r="E1863" s="1753" t="s">
        <v>11007</v>
      </c>
      <c r="G1863">
        <f>IF('4E'!G39="","##BLANK",'4E'!G39)</f>
        <v>0</v>
      </c>
    </row>
    <row r="1864" spans="2:7">
      <c r="B1864" s="893" t="str">
        <f>+'4E'!BF42</f>
        <v>CRASF005</v>
      </c>
      <c r="E1864" s="1753" t="s">
        <v>11007</v>
      </c>
      <c r="G1864" t="str">
        <f>IF('4E'!G42="","##BLANK",'4E'!G42)</f>
        <v>##BLANK</v>
      </c>
    </row>
    <row r="1865" spans="2:7">
      <c r="B1865" s="893" t="str">
        <f>+'4E'!BF50</f>
        <v>CRASF006</v>
      </c>
      <c r="E1865" s="1753" t="s">
        <v>11007</v>
      </c>
      <c r="G1865">
        <f>IF('4E'!G50="","##BLANK",'4E'!G50)</f>
        <v>0</v>
      </c>
    </row>
    <row r="1866" spans="2:7">
      <c r="B1866" s="893" t="str">
        <f>+'4E'!BF51</f>
        <v>BN2630F</v>
      </c>
      <c r="E1866" s="1753" t="s">
        <v>11007</v>
      </c>
      <c r="G1866" t="str">
        <f>IF('4E'!G51="","##BLANK",'4E'!G51)</f>
        <v>##BLANK</v>
      </c>
    </row>
    <row r="1867" spans="2:7">
      <c r="B1867" s="893" t="str">
        <f>+'4E'!BF52</f>
        <v>BN2631F</v>
      </c>
      <c r="E1867" s="1753" t="s">
        <v>11007</v>
      </c>
      <c r="G1867">
        <f>IF('4E'!G52="","##BLANK",'4E'!G52)</f>
        <v>0</v>
      </c>
    </row>
    <row r="1868" spans="2:7">
      <c r="B1868" s="893" t="str">
        <f>+'4E'!BG7</f>
        <v>BM402SWD</v>
      </c>
      <c r="E1868" s="1753" t="s">
        <v>11007</v>
      </c>
      <c r="G1868" t="str">
        <f>IF('4E'!H7="","##BLANK",'4E'!H7)</f>
        <v>##BLANK</v>
      </c>
    </row>
    <row r="1869" spans="2:7">
      <c r="B1869" s="893" t="str">
        <f>+'4E'!BG8</f>
        <v>BM836SWD</v>
      </c>
      <c r="E1869" s="1753" t="s">
        <v>11007</v>
      </c>
      <c r="G1869" t="str">
        <f>IF('4E'!H8="","##BLANK",'4E'!H8)</f>
        <v>##BLANK</v>
      </c>
    </row>
    <row r="1870" spans="2:7">
      <c r="B1870" s="893" t="str">
        <f>+'4E'!BG9</f>
        <v>BM131SWD</v>
      </c>
      <c r="E1870" s="1753" t="s">
        <v>11007</v>
      </c>
      <c r="G1870" t="str">
        <f>IF('4E'!H9="","##BLANK",'4E'!H9)</f>
        <v>##BLANK</v>
      </c>
    </row>
    <row r="1871" spans="2:7">
      <c r="B1871" s="893" t="str">
        <f>+'4E'!BG10</f>
        <v>BM140SWD</v>
      </c>
      <c r="E1871" s="1753" t="s">
        <v>11007</v>
      </c>
      <c r="G1871" t="str">
        <f>IF('4E'!H10="","##BLANK",'4E'!H10)</f>
        <v>##BLANK</v>
      </c>
    </row>
    <row r="1872" spans="2:7">
      <c r="B1872" s="893" t="str">
        <f>+'4E'!BG11</f>
        <v>BM839SWDIR</v>
      </c>
      <c r="E1872" s="1753" t="s">
        <v>11007</v>
      </c>
      <c r="G1872" t="str">
        <f>IF('4E'!H11="","##BLANK",'4E'!H11)</f>
        <v>##BLANK</v>
      </c>
    </row>
    <row r="1873" spans="2:7">
      <c r="B1873" s="893" t="str">
        <f>+'4E'!BG12</f>
        <v>BM839SWDNIR</v>
      </c>
      <c r="E1873" s="1753" t="s">
        <v>11007</v>
      </c>
      <c r="G1873" t="str">
        <f>IF('4E'!H12="","##BLANK",'4E'!H12)</f>
        <v>##BLANK</v>
      </c>
    </row>
    <row r="1874" spans="2:7">
      <c r="B1874" s="893" t="str">
        <f>+'4E'!BG13</f>
        <v>BM839SWDER</v>
      </c>
      <c r="E1874" s="1753" t="s">
        <v>11007</v>
      </c>
      <c r="G1874" t="str">
        <f>IF('4E'!H13="","##BLANK",'4E'!H13)</f>
        <v>##BLANK</v>
      </c>
    </row>
    <row r="1875" spans="2:7">
      <c r="B1875" s="893" t="str">
        <f>+'4E'!BG14</f>
        <v>BM817SWD</v>
      </c>
      <c r="E1875" s="1753" t="s">
        <v>11007</v>
      </c>
      <c r="G1875" t="str">
        <f>IF('4E'!H14="","##BLANK",'4E'!H14)</f>
        <v>##BLANK</v>
      </c>
    </row>
    <row r="1876" spans="2:7">
      <c r="B1876" s="893" t="str">
        <f>+'4E'!BG15</f>
        <v>BM844SWD</v>
      </c>
      <c r="E1876" s="1753" t="s">
        <v>11007</v>
      </c>
      <c r="G1876">
        <f>IF('4E'!H15="","##BLANK",'4E'!H15)</f>
        <v>0</v>
      </c>
    </row>
    <row r="1877" spans="2:7">
      <c r="B1877" s="893" t="str">
        <f>+'4E'!BG17</f>
        <v>BM823SWD</v>
      </c>
      <c r="E1877" s="1753" t="s">
        <v>11007</v>
      </c>
      <c r="G1877" t="str">
        <f>IF('4E'!H17="","##BLANK",'4E'!H17)</f>
        <v>##BLANK</v>
      </c>
    </row>
    <row r="1878" spans="2:7">
      <c r="B1878" s="893" t="str">
        <f>+'4E'!BG18</f>
        <v>BM850SWD</v>
      </c>
      <c r="E1878" s="1753" t="s">
        <v>11007</v>
      </c>
      <c r="G1878">
        <f>IF('4E'!H18="","##BLANK",'4E'!H18)</f>
        <v>0</v>
      </c>
    </row>
    <row r="1879" spans="2:7">
      <c r="B1879" s="893" t="str">
        <f>+'4E'!BG21</f>
        <v>BC30945SWD</v>
      </c>
      <c r="E1879" s="1753" t="s">
        <v>11007</v>
      </c>
      <c r="G1879" t="str">
        <f>IF('4E'!H21="","##BLANK",'4E'!H21)</f>
        <v>##BLANK</v>
      </c>
    </row>
    <row r="1880" spans="2:7">
      <c r="B1880" s="893" t="str">
        <f>+'4E'!BG22</f>
        <v>CS00036SWD</v>
      </c>
      <c r="E1880" s="1753" t="s">
        <v>11007</v>
      </c>
      <c r="G1880" t="str">
        <f>IF('4E'!H22="","##BLANK",'4E'!H22)</f>
        <v>##BLANK</v>
      </c>
    </row>
    <row r="1881" spans="2:7">
      <c r="B1881" s="893" t="str">
        <f>+'4E'!BG23</f>
        <v>BC30944SWD</v>
      </c>
      <c r="E1881" s="1753" t="s">
        <v>11007</v>
      </c>
      <c r="G1881" t="str">
        <f>IF('4E'!H23="","##BLANK",'4E'!H23)</f>
        <v>##BLANK</v>
      </c>
    </row>
    <row r="1882" spans="2:7">
      <c r="B1882" s="893" t="str">
        <f>+'4E'!BG24</f>
        <v>CS00037SWD</v>
      </c>
      <c r="E1882" s="1753" t="s">
        <v>11007</v>
      </c>
      <c r="G1882" t="str">
        <f>IF('4E'!H24="","##BLANK",'4E'!H24)</f>
        <v>##BLANK</v>
      </c>
    </row>
    <row r="1883" spans="2:7">
      <c r="B1883" s="893" t="str">
        <f>+'4E'!BG25</f>
        <v>BC30849SWD</v>
      </c>
      <c r="E1883" s="1753" t="s">
        <v>11007</v>
      </c>
      <c r="G1883" t="str">
        <f>IF('4E'!H25="","##BLANK",'4E'!H25)</f>
        <v>##BLANK</v>
      </c>
    </row>
    <row r="1884" spans="2:7">
      <c r="B1884" s="893" t="str">
        <f>+'4E'!BG26</f>
        <v>BC30998SWD</v>
      </c>
      <c r="E1884" s="1753" t="s">
        <v>11007</v>
      </c>
      <c r="G1884">
        <f>IF('4E'!H26="","##BLANK",'4E'!H26)</f>
        <v>0</v>
      </c>
    </row>
    <row r="1885" spans="2:7">
      <c r="B1885" s="893" t="str">
        <f>+'4E'!BG27</f>
        <v>BM833SWD</v>
      </c>
      <c r="E1885" s="1753" t="s">
        <v>11007</v>
      </c>
      <c r="G1885" t="str">
        <f>IF('4E'!H27="","##BLANK",'4E'!H27)</f>
        <v>##BLANK</v>
      </c>
    </row>
    <row r="1886" spans="2:7">
      <c r="B1886" s="893" t="str">
        <f>+'4E'!BG28</f>
        <v>BA2120SWD</v>
      </c>
      <c r="E1886" s="1753" t="s">
        <v>11007</v>
      </c>
      <c r="G1886">
        <f>IF('4E'!H28="","##BLANK",'4E'!H28)</f>
        <v>0</v>
      </c>
    </row>
    <row r="1887" spans="2:7">
      <c r="B1887" s="893" t="str">
        <f>+'4E'!BG31</f>
        <v>BA2121SWD</v>
      </c>
      <c r="E1887" s="1753" t="s">
        <v>11007</v>
      </c>
      <c r="G1887" t="str">
        <f>IF('4E'!H31="","##BLANK",'4E'!H31)</f>
        <v>##BLANK</v>
      </c>
    </row>
    <row r="1888" spans="2:7">
      <c r="B1888" s="893" t="str">
        <f>+'4E'!BG33</f>
        <v>BM825SWD</v>
      </c>
      <c r="E1888" s="1753" t="s">
        <v>11007</v>
      </c>
      <c r="G1888">
        <f>IF('4E'!H33="","##BLANK",'4E'!H33)</f>
        <v>0</v>
      </c>
    </row>
    <row r="1889" spans="2:7">
      <c r="B1889" s="893" t="str">
        <f>+'4E'!BG36</f>
        <v>CR00559SWD</v>
      </c>
      <c r="E1889" s="1753" t="s">
        <v>11007</v>
      </c>
      <c r="G1889" t="str">
        <f>IF('4E'!H36="","##BLANK",'4E'!H36)</f>
        <v>##BLANK</v>
      </c>
    </row>
    <row r="1890" spans="2:7">
      <c r="B1890" s="893" t="str">
        <f>+'4E'!BG37</f>
        <v>CR00562SWD</v>
      </c>
      <c r="E1890" s="1753" t="s">
        <v>11007</v>
      </c>
      <c r="G1890" t="str">
        <f>IF('4E'!H37="","##BLANK",'4E'!H37)</f>
        <v>##BLANK</v>
      </c>
    </row>
    <row r="1891" spans="2:7">
      <c r="B1891" s="893" t="str">
        <f>+'4E'!BG39</f>
        <v>S3040SWD</v>
      </c>
      <c r="E1891" s="1753" t="s">
        <v>11007</v>
      </c>
      <c r="G1891">
        <f>IF('4E'!H39="","##BLANK",'4E'!H39)</f>
        <v>0</v>
      </c>
    </row>
    <row r="1892" spans="2:7">
      <c r="B1892" s="893" t="str">
        <f>+'4E'!BG43</f>
        <v>CRASSWD005</v>
      </c>
      <c r="E1892" s="1753" t="s">
        <v>11007</v>
      </c>
      <c r="G1892" t="str">
        <f>IF('4E'!H43="","##BLANK",'4E'!H43)</f>
        <v>##BLANK</v>
      </c>
    </row>
    <row r="1893" spans="2:7">
      <c r="B1893" s="893" t="str">
        <f>+'4E'!BG50</f>
        <v>CRASSWD006</v>
      </c>
      <c r="E1893" s="1753" t="s">
        <v>11007</v>
      </c>
      <c r="G1893">
        <f>IF('4E'!H50="","##BLANK",'4E'!H50)</f>
        <v>0</v>
      </c>
    </row>
    <row r="1894" spans="2:7">
      <c r="B1894" s="893" t="str">
        <f>+'4E'!BG51</f>
        <v>BN2630SWD</v>
      </c>
      <c r="E1894" s="1753" t="s">
        <v>11007</v>
      </c>
      <c r="G1894" t="str">
        <f>IF('4E'!H51="","##BLANK",'4E'!H51)</f>
        <v>##BLANK</v>
      </c>
    </row>
    <row r="1895" spans="2:7">
      <c r="B1895" s="893" t="str">
        <f>+'4E'!BG52</f>
        <v>BN2631SWD</v>
      </c>
      <c r="E1895" s="1753" t="s">
        <v>11007</v>
      </c>
      <c r="G1895">
        <f>IF('4E'!H52="","##BLANK",'4E'!H52)</f>
        <v>0</v>
      </c>
    </row>
    <row r="1896" spans="2:7">
      <c r="B1896" s="893" t="str">
        <f>+'4E'!BH7</f>
        <v>BM402HD</v>
      </c>
      <c r="E1896" s="1753" t="s">
        <v>11007</v>
      </c>
      <c r="G1896" t="str">
        <f>IF('4E'!I7="","##BLANK",'4E'!I7)</f>
        <v>##BLANK</v>
      </c>
    </row>
    <row r="1897" spans="2:7">
      <c r="B1897" s="893" t="str">
        <f>+'4E'!BH8</f>
        <v>BM836HD</v>
      </c>
      <c r="E1897" s="1753" t="s">
        <v>11007</v>
      </c>
      <c r="G1897" t="str">
        <f>IF('4E'!I8="","##BLANK",'4E'!I8)</f>
        <v>##BLANK</v>
      </c>
    </row>
    <row r="1898" spans="2:7">
      <c r="B1898" s="893" t="str">
        <f>+'4E'!BH9</f>
        <v>BM131HD</v>
      </c>
      <c r="E1898" s="1753" t="s">
        <v>11007</v>
      </c>
      <c r="G1898" t="str">
        <f>IF('4E'!I9="","##BLANK",'4E'!I9)</f>
        <v>##BLANK</v>
      </c>
    </row>
    <row r="1899" spans="2:7">
      <c r="B1899" s="893" t="str">
        <f>+'4E'!BH10</f>
        <v>BM140HD</v>
      </c>
      <c r="E1899" s="1753" t="s">
        <v>11007</v>
      </c>
      <c r="G1899" t="str">
        <f>IF('4E'!I10="","##BLANK",'4E'!I10)</f>
        <v>##BLANK</v>
      </c>
    </row>
    <row r="1900" spans="2:7">
      <c r="B1900" s="893" t="str">
        <f>+'4E'!BH11</f>
        <v>BM839HDIR</v>
      </c>
      <c r="E1900" s="1753" t="s">
        <v>11007</v>
      </c>
      <c r="G1900" t="str">
        <f>IF('4E'!I11="","##BLANK",'4E'!I11)</f>
        <v>##BLANK</v>
      </c>
    </row>
    <row r="1901" spans="2:7">
      <c r="B1901" s="893" t="str">
        <f>+'4E'!BH12</f>
        <v>BM839HDNIR</v>
      </c>
      <c r="E1901" s="1753" t="s">
        <v>11007</v>
      </c>
      <c r="G1901" t="str">
        <f>IF('4E'!I12="","##BLANK",'4E'!I12)</f>
        <v>##BLANK</v>
      </c>
    </row>
    <row r="1902" spans="2:7">
      <c r="B1902" s="893" t="str">
        <f>+'4E'!BH13</f>
        <v>BM839HDER</v>
      </c>
      <c r="E1902" s="1753" t="s">
        <v>11007</v>
      </c>
      <c r="G1902" t="str">
        <f>IF('4E'!I13="","##BLANK",'4E'!I13)</f>
        <v>##BLANK</v>
      </c>
    </row>
    <row r="1903" spans="2:7">
      <c r="B1903" s="893" t="str">
        <f>+'4E'!BH14</f>
        <v>BM817HD</v>
      </c>
      <c r="E1903" s="1753" t="s">
        <v>11007</v>
      </c>
      <c r="G1903" t="str">
        <f>IF('4E'!I14="","##BLANK",'4E'!I14)</f>
        <v>##BLANK</v>
      </c>
    </row>
    <row r="1904" spans="2:7">
      <c r="B1904" s="893" t="str">
        <f>+'4E'!BH15</f>
        <v>BM844HD</v>
      </c>
      <c r="E1904" s="1753" t="s">
        <v>11007</v>
      </c>
      <c r="G1904">
        <f>IF('4E'!I15="","##BLANK",'4E'!I15)</f>
        <v>0</v>
      </c>
    </row>
    <row r="1905" spans="2:7">
      <c r="B1905" s="893" t="str">
        <f>+'4E'!BH17</f>
        <v>BM823HD</v>
      </c>
      <c r="E1905" s="1753" t="s">
        <v>11007</v>
      </c>
      <c r="G1905" t="str">
        <f>IF('4E'!I17="","##BLANK",'4E'!I17)</f>
        <v>##BLANK</v>
      </c>
    </row>
    <row r="1906" spans="2:7">
      <c r="B1906" s="893" t="str">
        <f>+'4E'!BH18</f>
        <v>BM850HD</v>
      </c>
      <c r="E1906" s="1753" t="s">
        <v>11007</v>
      </c>
      <c r="G1906">
        <f>IF('4E'!I18="","##BLANK",'4E'!I18)</f>
        <v>0</v>
      </c>
    </row>
    <row r="1907" spans="2:7">
      <c r="B1907" s="893" t="str">
        <f>+'4E'!BH21</f>
        <v>BC30945HD</v>
      </c>
      <c r="E1907" s="1753" t="s">
        <v>11007</v>
      </c>
      <c r="G1907" t="str">
        <f>IF('4E'!I21="","##BLANK",'4E'!I21)</f>
        <v>##BLANK</v>
      </c>
    </row>
    <row r="1908" spans="2:7">
      <c r="B1908" s="893" t="str">
        <f>+'4E'!BH22</f>
        <v>CS00036HD</v>
      </c>
      <c r="E1908" s="1753" t="s">
        <v>11007</v>
      </c>
      <c r="G1908" t="str">
        <f>IF('4E'!I22="","##BLANK",'4E'!I22)</f>
        <v>##BLANK</v>
      </c>
    </row>
    <row r="1909" spans="2:7">
      <c r="B1909" s="893" t="str">
        <f>+'4E'!BH23</f>
        <v>BC30944HD</v>
      </c>
      <c r="E1909" s="1753" t="s">
        <v>11007</v>
      </c>
      <c r="G1909" t="str">
        <f>IF('4E'!I23="","##BLANK",'4E'!I23)</f>
        <v>##BLANK</v>
      </c>
    </row>
    <row r="1910" spans="2:7">
      <c r="B1910" s="893" t="str">
        <f>+'4E'!BH24</f>
        <v>CS00037HD</v>
      </c>
      <c r="E1910" s="1753" t="s">
        <v>11007</v>
      </c>
      <c r="G1910" t="str">
        <f>IF('4E'!I24="","##BLANK",'4E'!I24)</f>
        <v>##BLANK</v>
      </c>
    </row>
    <row r="1911" spans="2:7">
      <c r="B1911" s="893" t="str">
        <f>+'4E'!BH25</f>
        <v>BC30849HD</v>
      </c>
      <c r="E1911" s="1753" t="s">
        <v>11007</v>
      </c>
      <c r="G1911" t="str">
        <f>IF('4E'!I25="","##BLANK",'4E'!I25)</f>
        <v>##BLANK</v>
      </c>
    </row>
    <row r="1912" spans="2:7">
      <c r="B1912" s="893" t="str">
        <f>+'4E'!BH26</f>
        <v>BC30998HD</v>
      </c>
      <c r="E1912" s="1753" t="s">
        <v>11007</v>
      </c>
      <c r="G1912">
        <f>IF('4E'!I26="","##BLANK",'4E'!I26)</f>
        <v>0</v>
      </c>
    </row>
    <row r="1913" spans="2:7">
      <c r="B1913" s="893" t="str">
        <f>+'4E'!BH27</f>
        <v>BM833HD</v>
      </c>
      <c r="E1913" s="1753" t="s">
        <v>11007</v>
      </c>
      <c r="G1913" t="str">
        <f>IF('4E'!I27="","##BLANK",'4E'!I27)</f>
        <v>##BLANK</v>
      </c>
    </row>
    <row r="1914" spans="2:7">
      <c r="B1914" s="893" t="str">
        <f>+'4E'!BH28</f>
        <v>BA2120HD</v>
      </c>
      <c r="E1914" s="1753" t="s">
        <v>11007</v>
      </c>
      <c r="G1914">
        <f>IF('4E'!I28="","##BLANK",'4E'!I28)</f>
        <v>0</v>
      </c>
    </row>
    <row r="1915" spans="2:7">
      <c r="B1915" s="893" t="str">
        <f>+'4E'!BH31</f>
        <v>BA2121HD</v>
      </c>
      <c r="E1915" s="1753" t="s">
        <v>11007</v>
      </c>
      <c r="G1915" t="str">
        <f>IF('4E'!I31="","##BLANK",'4E'!I31)</f>
        <v>##BLANK</v>
      </c>
    </row>
    <row r="1916" spans="2:7">
      <c r="B1916" s="893" t="str">
        <f>+'4E'!BH33</f>
        <v>BM825HD</v>
      </c>
      <c r="E1916" s="1753" t="s">
        <v>11007</v>
      </c>
      <c r="G1916">
        <f>IF('4E'!I33="","##BLANK",'4E'!I33)</f>
        <v>0</v>
      </c>
    </row>
    <row r="1917" spans="2:7">
      <c r="B1917" s="893" t="str">
        <f>+'4E'!BH36</f>
        <v>CR00559HD</v>
      </c>
      <c r="E1917" s="1753" t="s">
        <v>11007</v>
      </c>
      <c r="G1917" t="str">
        <f>IF('4E'!I36="","##BLANK",'4E'!I36)</f>
        <v>##BLANK</v>
      </c>
    </row>
    <row r="1918" spans="2:7">
      <c r="B1918" s="893" t="str">
        <f>+'4E'!BH37</f>
        <v>CR00562HD</v>
      </c>
      <c r="E1918" s="1753" t="s">
        <v>11007</v>
      </c>
      <c r="G1918" t="str">
        <f>IF('4E'!I37="","##BLANK",'4E'!I37)</f>
        <v>##BLANK</v>
      </c>
    </row>
    <row r="1919" spans="2:7">
      <c r="B1919" s="893" t="str">
        <f>+'4E'!BH39</f>
        <v>S3040HD</v>
      </c>
      <c r="E1919" s="1753" t="s">
        <v>11007</v>
      </c>
      <c r="G1919">
        <f>IF('4E'!I39="","##BLANK",'4E'!I39)</f>
        <v>0</v>
      </c>
    </row>
    <row r="1920" spans="2:7">
      <c r="B1920" s="893" t="str">
        <f>+'4E'!BH44</f>
        <v>CRASHD005</v>
      </c>
      <c r="E1920" s="1753" t="s">
        <v>11007</v>
      </c>
      <c r="G1920" t="str">
        <f>IF('4E'!I44="","##BLANK",'4E'!I44)</f>
        <v>##BLANK</v>
      </c>
    </row>
    <row r="1921" spans="2:7">
      <c r="B1921" s="893" t="str">
        <f>+'4E'!BH50</f>
        <v>CRASHD006</v>
      </c>
      <c r="E1921" s="1753" t="s">
        <v>11007</v>
      </c>
      <c r="G1921">
        <f>IF('4E'!I50="","##BLANK",'4E'!I50)</f>
        <v>0</v>
      </c>
    </row>
    <row r="1922" spans="2:7">
      <c r="B1922" s="893" t="str">
        <f>+'4E'!BH51</f>
        <v>BN2630HD</v>
      </c>
      <c r="E1922" s="1753" t="s">
        <v>11007</v>
      </c>
      <c r="G1922" t="str">
        <f>IF('4E'!I51="","##BLANK",'4E'!I51)</f>
        <v>##BLANK</v>
      </c>
    </row>
    <row r="1923" spans="2:7">
      <c r="B1923" s="893" t="str">
        <f>+'4E'!BH52</f>
        <v>BN2631HD</v>
      </c>
      <c r="E1923" s="1753" t="s">
        <v>11007</v>
      </c>
      <c r="G1923">
        <f>IF('4E'!I52="","##BLANK",'4E'!I52)</f>
        <v>0</v>
      </c>
    </row>
    <row r="1924" spans="2:7">
      <c r="B1924" s="893" t="str">
        <f>+'4E'!BI7</f>
        <v>BM502STD</v>
      </c>
      <c r="E1924" s="1753" t="s">
        <v>11007</v>
      </c>
      <c r="G1924" t="str">
        <f>IF('4E'!J7="","##BLANK",'4E'!J7)</f>
        <v>##BLANK</v>
      </c>
    </row>
    <row r="1925" spans="2:7">
      <c r="B1925" s="893" t="str">
        <f>+'4E'!BI8</f>
        <v>BM836STD</v>
      </c>
      <c r="E1925" s="1753" t="s">
        <v>11007</v>
      </c>
      <c r="G1925" t="str">
        <f>IF('4E'!J8="","##BLANK",'4E'!J8)</f>
        <v>##BLANK</v>
      </c>
    </row>
    <row r="1926" spans="2:7">
      <c r="B1926" s="893" t="str">
        <f>+'4E'!BI9</f>
        <v>BM231STD</v>
      </c>
      <c r="E1926" s="1753" t="s">
        <v>11007</v>
      </c>
      <c r="G1926" t="str">
        <f>IF('4E'!J9="","##BLANK",'4E'!J9)</f>
        <v>##BLANK</v>
      </c>
    </row>
    <row r="1927" spans="2:7">
      <c r="B1927" s="893" t="str">
        <f>+'4E'!BI10</f>
        <v>BM140STD</v>
      </c>
      <c r="E1927" s="1753" t="s">
        <v>11007</v>
      </c>
      <c r="G1927" t="str">
        <f>IF('4E'!J10="","##BLANK",'4E'!J10)</f>
        <v>##BLANK</v>
      </c>
    </row>
    <row r="1928" spans="2:7">
      <c r="B1928" s="893" t="str">
        <f>+'4E'!BI11</f>
        <v>BM839STDIR</v>
      </c>
      <c r="E1928" s="1753" t="s">
        <v>11007</v>
      </c>
      <c r="G1928" t="str">
        <f>IF('4E'!J11="","##BLANK",'4E'!J11)</f>
        <v>##BLANK</v>
      </c>
    </row>
    <row r="1929" spans="2:7">
      <c r="B1929" s="893" t="str">
        <f>+'4E'!BI12</f>
        <v>BM839STDNIR</v>
      </c>
      <c r="E1929" s="1753" t="s">
        <v>11007</v>
      </c>
      <c r="G1929" t="str">
        <f>IF('4E'!J12="","##BLANK",'4E'!J12)</f>
        <v>##BLANK</v>
      </c>
    </row>
    <row r="1930" spans="2:7">
      <c r="B1930" s="893" t="str">
        <f>+'4E'!BI13</f>
        <v>BM839STDER</v>
      </c>
      <c r="E1930" s="1753" t="s">
        <v>11007</v>
      </c>
      <c r="G1930" t="str">
        <f>IF('4E'!J13="","##BLANK",'4E'!J13)</f>
        <v>##BLANK</v>
      </c>
    </row>
    <row r="1931" spans="2:7">
      <c r="B1931" s="893" t="str">
        <f>+'4E'!BI14</f>
        <v>BM817STD</v>
      </c>
      <c r="E1931" s="1753" t="s">
        <v>11007</v>
      </c>
      <c r="G1931" t="str">
        <f>IF('4E'!J14="","##BLANK",'4E'!J14)</f>
        <v>##BLANK</v>
      </c>
    </row>
    <row r="1932" spans="2:7">
      <c r="B1932" s="893" t="str">
        <f>+'4E'!BI15</f>
        <v>BM844STD</v>
      </c>
      <c r="E1932" s="1753" t="s">
        <v>11007</v>
      </c>
      <c r="G1932">
        <f>IF('4E'!J15="","##BLANK",'4E'!J15)</f>
        <v>0</v>
      </c>
    </row>
    <row r="1933" spans="2:7">
      <c r="B1933" s="893" t="str">
        <f>+'4E'!BI17</f>
        <v>BM823STD</v>
      </c>
      <c r="E1933" s="1753" t="s">
        <v>11007</v>
      </c>
      <c r="G1933" t="str">
        <f>IF('4E'!J17="","##BLANK",'4E'!J17)</f>
        <v>##BLANK</v>
      </c>
    </row>
    <row r="1934" spans="2:7">
      <c r="B1934" s="893" t="str">
        <f>+'4E'!BI18</f>
        <v>BM850STD</v>
      </c>
      <c r="E1934" s="1753" t="s">
        <v>11007</v>
      </c>
      <c r="G1934">
        <f>IF('4E'!J18="","##BLANK",'4E'!J18)</f>
        <v>0</v>
      </c>
    </row>
    <row r="1935" spans="2:7">
      <c r="B1935" s="893" t="str">
        <f>+'4E'!BI21</f>
        <v>BC30945STD</v>
      </c>
      <c r="E1935" s="1753" t="s">
        <v>11007</v>
      </c>
      <c r="G1935" t="str">
        <f>IF('4E'!J21="","##BLANK",'4E'!J21)</f>
        <v>##BLANK</v>
      </c>
    </row>
    <row r="1936" spans="2:7">
      <c r="B1936" s="893" t="str">
        <f>+'4E'!BI22</f>
        <v>CS00036STD</v>
      </c>
      <c r="E1936" s="1753" t="s">
        <v>11007</v>
      </c>
      <c r="G1936" t="str">
        <f>IF('4E'!J22="","##BLANK",'4E'!J22)</f>
        <v>##BLANK</v>
      </c>
    </row>
    <row r="1937" spans="2:7">
      <c r="B1937" s="893" t="str">
        <f>+'4E'!BI23</f>
        <v>BC30944STD</v>
      </c>
      <c r="E1937" s="1753" t="s">
        <v>11007</v>
      </c>
      <c r="G1937" t="str">
        <f>IF('4E'!J23="","##BLANK",'4E'!J23)</f>
        <v>##BLANK</v>
      </c>
    </row>
    <row r="1938" spans="2:7">
      <c r="B1938" s="893" t="str">
        <f>+'4E'!BI24</f>
        <v>CS00037STD</v>
      </c>
      <c r="E1938" s="1753" t="s">
        <v>11007</v>
      </c>
      <c r="G1938" t="str">
        <f>IF('4E'!J24="","##BLANK",'4E'!J24)</f>
        <v>##BLANK</v>
      </c>
    </row>
    <row r="1939" spans="2:7">
      <c r="B1939" s="893" t="str">
        <f>+'4E'!BI25</f>
        <v>BC30849STD</v>
      </c>
      <c r="E1939" s="1753" t="s">
        <v>11007</v>
      </c>
      <c r="G1939" t="str">
        <f>IF('4E'!J25="","##BLANK",'4E'!J25)</f>
        <v>##BLANK</v>
      </c>
    </row>
    <row r="1940" spans="2:7">
      <c r="B1940" s="893" t="str">
        <f>+'4E'!BI26</f>
        <v>BC30998STD</v>
      </c>
      <c r="E1940" s="1753" t="s">
        <v>11007</v>
      </c>
      <c r="G1940">
        <f>IF('4E'!J26="","##BLANK",'4E'!J26)</f>
        <v>0</v>
      </c>
    </row>
    <row r="1941" spans="2:7">
      <c r="B1941" s="893" t="str">
        <f>+'4E'!BI27</f>
        <v>BM833STD</v>
      </c>
      <c r="E1941" s="1753" t="s">
        <v>11007</v>
      </c>
      <c r="G1941" t="str">
        <f>IF('4E'!J27="","##BLANK",'4E'!J27)</f>
        <v>##BLANK</v>
      </c>
    </row>
    <row r="1942" spans="2:7">
      <c r="B1942" s="893" t="str">
        <f>+'4E'!BI28</f>
        <v>BA2120STD</v>
      </c>
      <c r="E1942" s="1753" t="s">
        <v>11007</v>
      </c>
      <c r="G1942">
        <f>IF('4E'!J28="","##BLANK",'4E'!J28)</f>
        <v>0</v>
      </c>
    </row>
    <row r="1943" spans="2:7">
      <c r="B1943" s="893" t="str">
        <f>+'4E'!BI31</f>
        <v>BA2121STD</v>
      </c>
      <c r="E1943" s="1753" t="s">
        <v>11007</v>
      </c>
      <c r="G1943" t="str">
        <f>IF('4E'!J31="","##BLANK",'4E'!J31)</f>
        <v>##BLANK</v>
      </c>
    </row>
    <row r="1944" spans="2:7">
      <c r="B1944" s="893" t="str">
        <f>+'4E'!BI33</f>
        <v>BM825STD</v>
      </c>
      <c r="E1944" s="1753" t="s">
        <v>11007</v>
      </c>
      <c r="G1944">
        <f>IF('4E'!J33="","##BLANK",'4E'!J33)</f>
        <v>0</v>
      </c>
    </row>
    <row r="1945" spans="2:7">
      <c r="B1945" s="893" t="str">
        <f>+'4E'!BI36</f>
        <v>CR00559STD</v>
      </c>
      <c r="E1945" s="1753" t="s">
        <v>11007</v>
      </c>
      <c r="G1945" t="str">
        <f>IF('4E'!J36="","##BLANK",'4E'!J36)</f>
        <v>##BLANK</v>
      </c>
    </row>
    <row r="1946" spans="2:7">
      <c r="B1946" s="893" t="str">
        <f>+'4E'!BI37</f>
        <v>CR00562STD</v>
      </c>
      <c r="E1946" s="1753" t="s">
        <v>11007</v>
      </c>
      <c r="G1946" t="str">
        <f>IF('4E'!J37="","##BLANK",'4E'!J37)</f>
        <v>##BLANK</v>
      </c>
    </row>
    <row r="1947" spans="2:7">
      <c r="B1947" s="893" t="str">
        <f>+'4E'!BI39</f>
        <v>S3040STD</v>
      </c>
      <c r="E1947" s="1753" t="s">
        <v>11007</v>
      </c>
      <c r="G1947">
        <f>IF('4E'!J39="","##BLANK",'4E'!J39)</f>
        <v>0</v>
      </c>
    </row>
    <row r="1948" spans="2:7">
      <c r="B1948" s="893" t="str">
        <f>+'4E'!BI45</f>
        <v>CRSTSERV01D</v>
      </c>
      <c r="E1948" s="1753" t="s">
        <v>11007</v>
      </c>
      <c r="G1948" t="str">
        <f>IF('4E'!J45="","##BLANK",'4E'!J45)</f>
        <v>##BLANK</v>
      </c>
    </row>
    <row r="1949" spans="2:7">
      <c r="B1949" s="893" t="str">
        <f>+'4E'!BI50</f>
        <v>CRSTSERV01C</v>
      </c>
      <c r="E1949" s="1753" t="s">
        <v>11007</v>
      </c>
      <c r="G1949">
        <f>IF('4E'!J50="","##BLANK",'4E'!J50)</f>
        <v>0</v>
      </c>
    </row>
    <row r="1950" spans="2:7">
      <c r="B1950" s="893" t="str">
        <f>+'4E'!BI51</f>
        <v>BN2630STD</v>
      </c>
      <c r="E1950" s="1753" t="s">
        <v>11007</v>
      </c>
      <c r="G1950" t="str">
        <f>IF('4E'!J51="","##BLANK",'4E'!J51)</f>
        <v>##BLANK</v>
      </c>
    </row>
    <row r="1951" spans="2:7">
      <c r="B1951" s="893" t="str">
        <f>+'4E'!BI52</f>
        <v>BN2631STD</v>
      </c>
      <c r="E1951" s="1753" t="s">
        <v>11007</v>
      </c>
      <c r="G1951">
        <f>IF('4E'!J52="","##BLANK",'4E'!J52)</f>
        <v>0</v>
      </c>
    </row>
    <row r="1952" spans="2:7">
      <c r="B1952" s="893" t="str">
        <f>+'4E'!BJ7</f>
        <v>BM502SLT</v>
      </c>
      <c r="E1952" s="1753" t="s">
        <v>11007</v>
      </c>
      <c r="G1952" t="str">
        <f>IF('4E'!K7="","##BLANK",'4E'!K7)</f>
        <v>##BLANK</v>
      </c>
    </row>
    <row r="1953" spans="2:7">
      <c r="B1953" s="893" t="str">
        <f>+'4E'!BJ8</f>
        <v>BM836SLT</v>
      </c>
      <c r="E1953" s="1753" t="s">
        <v>11007</v>
      </c>
      <c r="G1953" t="str">
        <f>IF('4E'!K8="","##BLANK",'4E'!K8)</f>
        <v>##BLANK</v>
      </c>
    </row>
    <row r="1954" spans="2:7">
      <c r="B1954" s="893" t="str">
        <f>+'4E'!BJ9</f>
        <v>BM231SLT</v>
      </c>
      <c r="E1954" s="1753" t="s">
        <v>11007</v>
      </c>
      <c r="G1954" t="str">
        <f>IF('4E'!K9="","##BLANK",'4E'!K9)</f>
        <v>##BLANK</v>
      </c>
    </row>
    <row r="1955" spans="2:7">
      <c r="B1955" s="893" t="str">
        <f>+'4E'!BJ10</f>
        <v>BM140SLT</v>
      </c>
      <c r="E1955" s="1753" t="s">
        <v>11007</v>
      </c>
      <c r="G1955" t="str">
        <f>IF('4E'!K10="","##BLANK",'4E'!K10)</f>
        <v>##BLANK</v>
      </c>
    </row>
    <row r="1956" spans="2:7">
      <c r="B1956" s="893" t="str">
        <f>+'4E'!BJ11</f>
        <v>BM839SLTIR</v>
      </c>
      <c r="E1956" s="1753" t="s">
        <v>11007</v>
      </c>
      <c r="G1956" t="str">
        <f>IF('4E'!K11="","##BLANK",'4E'!K11)</f>
        <v>##BLANK</v>
      </c>
    </row>
    <row r="1957" spans="2:7">
      <c r="B1957" s="893" t="str">
        <f>+'4E'!BJ12</f>
        <v>BM839SLTNIR</v>
      </c>
      <c r="E1957" s="1753" t="s">
        <v>11007</v>
      </c>
      <c r="G1957" t="str">
        <f>IF('4E'!K12="","##BLANK",'4E'!K12)</f>
        <v>##BLANK</v>
      </c>
    </row>
    <row r="1958" spans="2:7">
      <c r="B1958" s="893" t="str">
        <f>+'4E'!BJ13</f>
        <v>BM839SLTER</v>
      </c>
      <c r="E1958" s="1753" t="s">
        <v>11007</v>
      </c>
      <c r="G1958" t="str">
        <f>IF('4E'!K13="","##BLANK",'4E'!K13)</f>
        <v>##BLANK</v>
      </c>
    </row>
    <row r="1959" spans="2:7">
      <c r="B1959" s="893" t="str">
        <f>+'4E'!BJ14</f>
        <v>BM817SLT</v>
      </c>
      <c r="E1959" s="1753" t="s">
        <v>11007</v>
      </c>
      <c r="G1959" t="str">
        <f>IF('4E'!K14="","##BLANK",'4E'!K14)</f>
        <v>##BLANK</v>
      </c>
    </row>
    <row r="1960" spans="2:7">
      <c r="B1960" s="893" t="str">
        <f>+'4E'!BJ15</f>
        <v>BM844SLT</v>
      </c>
      <c r="E1960" s="1753" t="s">
        <v>11007</v>
      </c>
      <c r="G1960">
        <f>IF('4E'!K15="","##BLANK",'4E'!K15)</f>
        <v>0</v>
      </c>
    </row>
    <row r="1961" spans="2:7">
      <c r="B1961" s="893" t="str">
        <f>+'4E'!BJ17</f>
        <v>BM823SLT</v>
      </c>
      <c r="E1961" s="1753" t="s">
        <v>11007</v>
      </c>
      <c r="G1961" t="str">
        <f>IF('4E'!K17="","##BLANK",'4E'!K17)</f>
        <v>##BLANK</v>
      </c>
    </row>
    <row r="1962" spans="2:7">
      <c r="B1962" s="893" t="str">
        <f>+'4E'!BJ18</f>
        <v>BM850SLT</v>
      </c>
      <c r="E1962" s="1753" t="s">
        <v>11007</v>
      </c>
      <c r="G1962">
        <f>IF('4E'!K18="","##BLANK",'4E'!K18)</f>
        <v>0</v>
      </c>
    </row>
    <row r="1963" spans="2:7">
      <c r="B1963" s="893" t="str">
        <f>+'4E'!BJ21</f>
        <v>BC30945SLT</v>
      </c>
      <c r="E1963" s="1753" t="s">
        <v>11007</v>
      </c>
      <c r="G1963" t="str">
        <f>IF('4E'!K21="","##BLANK",'4E'!K21)</f>
        <v>##BLANK</v>
      </c>
    </row>
    <row r="1964" spans="2:7">
      <c r="B1964" s="893" t="str">
        <f>+'4E'!BJ22</f>
        <v>CS00036SLT</v>
      </c>
      <c r="E1964" s="1753" t="s">
        <v>11007</v>
      </c>
      <c r="G1964" t="str">
        <f>IF('4E'!K22="","##BLANK",'4E'!K22)</f>
        <v>##BLANK</v>
      </c>
    </row>
    <row r="1965" spans="2:7">
      <c r="B1965" s="893" t="str">
        <f>+'4E'!BJ23</f>
        <v>BC30944SLT</v>
      </c>
      <c r="E1965" s="1753" t="s">
        <v>11007</v>
      </c>
      <c r="G1965" t="str">
        <f>IF('4E'!K23="","##BLANK",'4E'!K23)</f>
        <v>##BLANK</v>
      </c>
    </row>
    <row r="1966" spans="2:7">
      <c r="B1966" s="893" t="str">
        <f>+'4E'!BJ24</f>
        <v>CS00037SLT</v>
      </c>
      <c r="E1966" s="1753" t="s">
        <v>11007</v>
      </c>
      <c r="G1966" t="str">
        <f>IF('4E'!K24="","##BLANK",'4E'!K24)</f>
        <v>##BLANK</v>
      </c>
    </row>
    <row r="1967" spans="2:7">
      <c r="B1967" s="893" t="str">
        <f>+'4E'!BJ25</f>
        <v>BC30849SLT</v>
      </c>
      <c r="E1967" s="1753" t="s">
        <v>11007</v>
      </c>
      <c r="G1967" t="str">
        <f>IF('4E'!K25="","##BLANK",'4E'!K25)</f>
        <v>##BLANK</v>
      </c>
    </row>
    <row r="1968" spans="2:7">
      <c r="B1968" s="893" t="str">
        <f>+'4E'!BJ26</f>
        <v>BC30998SLT</v>
      </c>
      <c r="E1968" s="1753" t="s">
        <v>11007</v>
      </c>
      <c r="G1968">
        <f>IF('4E'!K26="","##BLANK",'4E'!K26)</f>
        <v>0</v>
      </c>
    </row>
    <row r="1969" spans="2:7">
      <c r="B1969" s="893" t="str">
        <f>+'4E'!BJ27</f>
        <v>BM833SLT</v>
      </c>
      <c r="E1969" s="1753" t="s">
        <v>11007</v>
      </c>
      <c r="G1969" t="str">
        <f>IF('4E'!K27="","##BLANK",'4E'!K27)</f>
        <v>##BLANK</v>
      </c>
    </row>
    <row r="1970" spans="2:7">
      <c r="B1970" s="893" t="str">
        <f>+'4E'!BJ28</f>
        <v>BA2120SLT</v>
      </c>
      <c r="E1970" s="1753" t="s">
        <v>11007</v>
      </c>
      <c r="G1970">
        <f>IF('4E'!K28="","##BLANK",'4E'!K28)</f>
        <v>0</v>
      </c>
    </row>
    <row r="1971" spans="2:7">
      <c r="B1971" s="893" t="str">
        <f>+'4E'!BJ31</f>
        <v>BA2121SLT</v>
      </c>
      <c r="E1971" s="1753" t="s">
        <v>11007</v>
      </c>
      <c r="G1971" t="str">
        <f>IF('4E'!K31="","##BLANK",'4E'!K31)</f>
        <v>##BLANK</v>
      </c>
    </row>
    <row r="1972" spans="2:7">
      <c r="B1972" s="893" t="str">
        <f>+'4E'!BJ33</f>
        <v>BM825SLT</v>
      </c>
      <c r="E1972" s="1753" t="s">
        <v>11007</v>
      </c>
      <c r="G1972">
        <f>IF('4E'!K33="","##BLANK",'4E'!K33)</f>
        <v>0</v>
      </c>
    </row>
    <row r="1973" spans="2:7">
      <c r="B1973" s="893" t="str">
        <f>+'4E'!BJ36</f>
        <v>CR00559SLT</v>
      </c>
      <c r="E1973" s="1753" t="s">
        <v>11007</v>
      </c>
      <c r="G1973" t="str">
        <f>IF('4E'!K36="","##BLANK",'4E'!K36)</f>
        <v>##BLANK</v>
      </c>
    </row>
    <row r="1974" spans="2:7">
      <c r="B1974" s="893" t="str">
        <f>+'4E'!BJ37</f>
        <v>CR00562SLT</v>
      </c>
      <c r="E1974" s="1753" t="s">
        <v>11007</v>
      </c>
      <c r="G1974" t="str">
        <f>IF('4E'!K37="","##BLANK",'4E'!K37)</f>
        <v>##BLANK</v>
      </c>
    </row>
    <row r="1975" spans="2:7">
      <c r="B1975" s="893" t="str">
        <f>+'4E'!BJ39</f>
        <v>S3040SLT</v>
      </c>
      <c r="E1975" s="1753" t="s">
        <v>11007</v>
      </c>
      <c r="G1975">
        <f>IF('4E'!K39="","##BLANK",'4E'!K39)</f>
        <v>0</v>
      </c>
    </row>
    <row r="1976" spans="2:7">
      <c r="B1976" s="893" t="str">
        <f>+'4E'!BJ46</f>
        <v>CRASLT005</v>
      </c>
      <c r="E1976" s="1753" t="s">
        <v>11007</v>
      </c>
      <c r="G1976" t="str">
        <f>IF('4E'!K46="","##BLANK",'4E'!K46)</f>
        <v>##BLANK</v>
      </c>
    </row>
    <row r="1977" spans="2:7">
      <c r="B1977" s="893" t="str">
        <f>+'4E'!BJ50</f>
        <v>CRASLT006</v>
      </c>
      <c r="E1977" s="1753" t="s">
        <v>11007</v>
      </c>
      <c r="G1977">
        <f>IF('4E'!K50="","##BLANK",'4E'!K50)</f>
        <v>0</v>
      </c>
    </row>
    <row r="1978" spans="2:7">
      <c r="B1978" s="893" t="str">
        <f>+'4E'!BJ51</f>
        <v>BN2630SLT</v>
      </c>
      <c r="E1978" s="1753" t="s">
        <v>11007</v>
      </c>
      <c r="G1978" t="str">
        <f>IF('4E'!K51="","##BLANK",'4E'!K51)</f>
        <v>##BLANK</v>
      </c>
    </row>
    <row r="1979" spans="2:7">
      <c r="B1979" s="893" t="str">
        <f>+'4E'!BJ52</f>
        <v>BN2631SLT</v>
      </c>
      <c r="E1979" s="1753" t="s">
        <v>11007</v>
      </c>
      <c r="G1979">
        <f>IF('4E'!K52="","##BLANK",'4E'!K52)</f>
        <v>0</v>
      </c>
    </row>
    <row r="1980" spans="2:7">
      <c r="B1980" s="893" t="str">
        <f>+'4E'!BK7</f>
        <v>BM602STP</v>
      </c>
      <c r="E1980" s="1753" t="s">
        <v>11007</v>
      </c>
      <c r="G1980" t="str">
        <f>IF('4E'!L7="","##BLANK",'4E'!L7)</f>
        <v>##BLANK</v>
      </c>
    </row>
    <row r="1981" spans="2:7">
      <c r="B1981" s="893" t="str">
        <f>+'4E'!BK8</f>
        <v>BM836STP</v>
      </c>
      <c r="E1981" s="1753" t="s">
        <v>11007</v>
      </c>
      <c r="G1981" t="str">
        <f>IF('4E'!L8="","##BLANK",'4E'!L8)</f>
        <v>##BLANK</v>
      </c>
    </row>
    <row r="1982" spans="2:7">
      <c r="B1982" s="893" t="str">
        <f>+'4E'!BK9</f>
        <v>BM631STP</v>
      </c>
      <c r="E1982" s="1753" t="s">
        <v>11007</v>
      </c>
      <c r="G1982" t="str">
        <f>IF('4E'!L9="","##BLANK",'4E'!L9)</f>
        <v>##BLANK</v>
      </c>
    </row>
    <row r="1983" spans="2:7">
      <c r="B1983" s="893" t="str">
        <f>+'4E'!BK10</f>
        <v>BM140STP</v>
      </c>
      <c r="E1983" s="1753" t="s">
        <v>11007</v>
      </c>
      <c r="G1983" t="str">
        <f>IF('4E'!L10="","##BLANK",'4E'!L10)</f>
        <v>##BLANK</v>
      </c>
    </row>
    <row r="1984" spans="2:7">
      <c r="B1984" s="893" t="str">
        <f>+'4E'!BK11</f>
        <v>BM839STPIR</v>
      </c>
      <c r="E1984" s="1753" t="s">
        <v>11007</v>
      </c>
      <c r="G1984" t="str">
        <f>IF('4E'!L11="","##BLANK",'4E'!L11)</f>
        <v>##BLANK</v>
      </c>
    </row>
    <row r="1985" spans="2:7">
      <c r="B1985" s="893" t="str">
        <f>+'4E'!BK12</f>
        <v>BM839STPNIR</v>
      </c>
      <c r="E1985" s="1753" t="s">
        <v>11007</v>
      </c>
      <c r="G1985" t="str">
        <f>IF('4E'!L12="","##BLANK",'4E'!L12)</f>
        <v>##BLANK</v>
      </c>
    </row>
    <row r="1986" spans="2:7">
      <c r="B1986" s="893" t="str">
        <f>+'4E'!BK13</f>
        <v>BM839STPER</v>
      </c>
      <c r="E1986" s="1753" t="s">
        <v>11007</v>
      </c>
      <c r="G1986" t="str">
        <f>IF('4E'!L13="","##BLANK",'4E'!L13)</f>
        <v>##BLANK</v>
      </c>
    </row>
    <row r="1987" spans="2:7">
      <c r="B1987" s="893" t="str">
        <f>+'4E'!BK14</f>
        <v>BM817STP</v>
      </c>
      <c r="E1987" s="1753" t="s">
        <v>11007</v>
      </c>
      <c r="G1987" t="str">
        <f>IF('4E'!L14="","##BLANK",'4E'!L14)</f>
        <v>##BLANK</v>
      </c>
    </row>
    <row r="1988" spans="2:7">
      <c r="B1988" s="893" t="str">
        <f>+'4E'!BK15</f>
        <v>BM844STP</v>
      </c>
      <c r="E1988" s="1753" t="s">
        <v>11007</v>
      </c>
      <c r="G1988">
        <f>IF('4E'!L15="","##BLANK",'4E'!L15)</f>
        <v>0</v>
      </c>
    </row>
    <row r="1989" spans="2:7">
      <c r="B1989" s="893" t="str">
        <f>+'4E'!BK17</f>
        <v>BM823STP</v>
      </c>
      <c r="E1989" s="1753" t="s">
        <v>11007</v>
      </c>
      <c r="G1989" t="str">
        <f>IF('4E'!L17="","##BLANK",'4E'!L17)</f>
        <v>##BLANK</v>
      </c>
    </row>
    <row r="1990" spans="2:7">
      <c r="B1990" s="893" t="str">
        <f>+'4E'!BK18</f>
        <v>BM850STP</v>
      </c>
      <c r="E1990" s="1753" t="s">
        <v>11007</v>
      </c>
      <c r="G1990">
        <f>IF('4E'!L18="","##BLANK",'4E'!L18)</f>
        <v>0</v>
      </c>
    </row>
    <row r="1991" spans="2:7">
      <c r="B1991" s="893" t="str">
        <f>+'4E'!BK21</f>
        <v>BC30945STP</v>
      </c>
      <c r="E1991" s="1753" t="s">
        <v>11007</v>
      </c>
      <c r="G1991" t="str">
        <f>IF('4E'!L21="","##BLANK",'4E'!L21)</f>
        <v>##BLANK</v>
      </c>
    </row>
    <row r="1992" spans="2:7">
      <c r="B1992" s="893" t="str">
        <f>+'4E'!BK22</f>
        <v>CS00036STP</v>
      </c>
      <c r="E1992" s="1753" t="s">
        <v>11007</v>
      </c>
      <c r="G1992" t="str">
        <f>IF('4E'!L22="","##BLANK",'4E'!L22)</f>
        <v>##BLANK</v>
      </c>
    </row>
    <row r="1993" spans="2:7">
      <c r="B1993" s="893" t="str">
        <f>+'4E'!BK23</f>
        <v>BC30944STP</v>
      </c>
      <c r="E1993" s="1753" t="s">
        <v>11007</v>
      </c>
      <c r="G1993" t="str">
        <f>IF('4E'!L23="","##BLANK",'4E'!L23)</f>
        <v>##BLANK</v>
      </c>
    </row>
    <row r="1994" spans="2:7">
      <c r="B1994" s="893" t="str">
        <f>+'4E'!BK24</f>
        <v>CS00037STP</v>
      </c>
      <c r="E1994" s="1753" t="s">
        <v>11007</v>
      </c>
      <c r="G1994" t="str">
        <f>IF('4E'!L24="","##BLANK",'4E'!L24)</f>
        <v>##BLANK</v>
      </c>
    </row>
    <row r="1995" spans="2:7">
      <c r="B1995" s="893" t="str">
        <f>+'4E'!BK25</f>
        <v>BC30849STP</v>
      </c>
      <c r="E1995" s="1753" t="s">
        <v>11007</v>
      </c>
      <c r="G1995" t="str">
        <f>IF('4E'!L25="","##BLANK",'4E'!L25)</f>
        <v>##BLANK</v>
      </c>
    </row>
    <row r="1996" spans="2:7">
      <c r="B1996" s="893" t="str">
        <f>+'4E'!BK26</f>
        <v>BC30998STP</v>
      </c>
      <c r="E1996" s="1753" t="s">
        <v>11007</v>
      </c>
      <c r="G1996">
        <f>IF('4E'!L26="","##BLANK",'4E'!L26)</f>
        <v>0</v>
      </c>
    </row>
    <row r="1997" spans="2:7">
      <c r="B1997" s="893" t="str">
        <f>+'4E'!BK27</f>
        <v>BM833STP</v>
      </c>
      <c r="E1997" s="1753" t="s">
        <v>11007</v>
      </c>
      <c r="G1997" t="str">
        <f>IF('4E'!L27="","##BLANK",'4E'!L27)</f>
        <v>##BLANK</v>
      </c>
    </row>
    <row r="1998" spans="2:7">
      <c r="B1998" s="893" t="str">
        <f>+'4E'!BK28</f>
        <v>BA2120STP</v>
      </c>
      <c r="E1998" s="1753" t="s">
        <v>11007</v>
      </c>
      <c r="G1998">
        <f>IF('4E'!L28="","##BLANK",'4E'!L28)</f>
        <v>0</v>
      </c>
    </row>
    <row r="1999" spans="2:7">
      <c r="B1999" s="893" t="str">
        <f>+'4E'!BK31</f>
        <v>BA2121STP</v>
      </c>
      <c r="E1999" s="1753" t="s">
        <v>11007</v>
      </c>
      <c r="G1999" t="str">
        <f>IF('4E'!L31="","##BLANK",'4E'!L31)</f>
        <v>##BLANK</v>
      </c>
    </row>
    <row r="2000" spans="2:7">
      <c r="B2000" s="893" t="str">
        <f>+'4E'!BK33</f>
        <v>BM825STP</v>
      </c>
      <c r="E2000" s="1753" t="s">
        <v>11007</v>
      </c>
      <c r="G2000">
        <f>IF('4E'!L33="","##BLANK",'4E'!L33)</f>
        <v>0</v>
      </c>
    </row>
    <row r="2001" spans="2:7">
      <c r="B2001" s="893" t="str">
        <f>+'4E'!BK36</f>
        <v>CR00559STP</v>
      </c>
      <c r="E2001" s="1753" t="s">
        <v>11007</v>
      </c>
      <c r="G2001" t="str">
        <f>IF('4E'!L36="","##BLANK",'4E'!L36)</f>
        <v>##BLANK</v>
      </c>
    </row>
    <row r="2002" spans="2:7">
      <c r="B2002" s="893" t="str">
        <f>+'4E'!BK37</f>
        <v>CR00562STP</v>
      </c>
      <c r="E2002" s="1753" t="s">
        <v>11007</v>
      </c>
      <c r="G2002" t="str">
        <f>IF('4E'!L37="","##BLANK",'4E'!L37)</f>
        <v>##BLANK</v>
      </c>
    </row>
    <row r="2003" spans="2:7">
      <c r="B2003" s="893" t="str">
        <f>+'4E'!BK39</f>
        <v>S3040STP</v>
      </c>
      <c r="E2003" s="1753" t="s">
        <v>11007</v>
      </c>
      <c r="G2003">
        <f>IF('4E'!L39="","##BLANK",'4E'!L39)</f>
        <v>0</v>
      </c>
    </row>
    <row r="2004" spans="2:7">
      <c r="B2004" s="893" t="str">
        <f>+'4E'!BK47</f>
        <v>CRASST005</v>
      </c>
      <c r="E2004" s="1753" t="s">
        <v>11007</v>
      </c>
      <c r="G2004" t="str">
        <f>IF('4E'!L47="","##BLANK",'4E'!L47)</f>
        <v>##BLANK</v>
      </c>
    </row>
    <row r="2005" spans="2:7">
      <c r="B2005" s="893" t="str">
        <f>+'4E'!BK50</f>
        <v>CRASST006</v>
      </c>
      <c r="E2005" s="1753" t="s">
        <v>11007</v>
      </c>
      <c r="G2005">
        <f>IF('4E'!L50="","##BLANK",'4E'!L50)</f>
        <v>0</v>
      </c>
    </row>
    <row r="2006" spans="2:7">
      <c r="B2006" s="893" t="str">
        <f>+'4E'!BK51</f>
        <v>BN2630STP</v>
      </c>
      <c r="E2006" s="1753" t="s">
        <v>11007</v>
      </c>
      <c r="G2006" t="str">
        <f>IF('4E'!L51="","##BLANK",'4E'!L51)</f>
        <v>##BLANK</v>
      </c>
    </row>
    <row r="2007" spans="2:7">
      <c r="B2007" s="893" t="str">
        <f>+'4E'!BK52</f>
        <v>BN2631STP</v>
      </c>
      <c r="E2007" s="1753" t="s">
        <v>11007</v>
      </c>
      <c r="G2007">
        <f>IF('4E'!L52="","##BLANK",'4E'!L52)</f>
        <v>0</v>
      </c>
    </row>
    <row r="2008" spans="2:7">
      <c r="B2008" s="893" t="str">
        <f>+'4E'!BL7</f>
        <v>BM602SDT</v>
      </c>
      <c r="E2008" s="1753" t="s">
        <v>11007</v>
      </c>
      <c r="G2008" t="str">
        <f>IF('4E'!M7="","##BLANK",'4E'!M7)</f>
        <v>##BLANK</v>
      </c>
    </row>
    <row r="2009" spans="2:7">
      <c r="B2009" s="893" t="str">
        <f>+'4E'!BL8</f>
        <v>BM836SDT</v>
      </c>
      <c r="E2009" s="1753" t="s">
        <v>11007</v>
      </c>
      <c r="G2009" t="str">
        <f>IF('4E'!M8="","##BLANK",'4E'!M8)</f>
        <v>##BLANK</v>
      </c>
    </row>
    <row r="2010" spans="2:7">
      <c r="B2010" s="893" t="str">
        <f>+'4E'!BL9</f>
        <v>BM631SDT</v>
      </c>
      <c r="E2010" s="1753" t="s">
        <v>11007</v>
      </c>
      <c r="G2010" t="str">
        <f>IF('4E'!M9="","##BLANK",'4E'!M9)</f>
        <v>##BLANK</v>
      </c>
    </row>
    <row r="2011" spans="2:7">
      <c r="B2011" s="893" t="str">
        <f>+'4E'!BL10</f>
        <v>BM140SDT</v>
      </c>
      <c r="E2011" s="1753" t="s">
        <v>11007</v>
      </c>
      <c r="G2011" t="str">
        <f>IF('4E'!M10="","##BLANK",'4E'!M10)</f>
        <v>##BLANK</v>
      </c>
    </row>
    <row r="2012" spans="2:7">
      <c r="B2012" s="893" t="str">
        <f>+'4E'!BL11</f>
        <v>BM839SDTIR</v>
      </c>
      <c r="E2012" s="1753" t="s">
        <v>11007</v>
      </c>
      <c r="G2012" t="str">
        <f>IF('4E'!M11="","##BLANK",'4E'!M11)</f>
        <v>##BLANK</v>
      </c>
    </row>
    <row r="2013" spans="2:7">
      <c r="B2013" s="893" t="str">
        <f>+'4E'!BL12</f>
        <v>BM839SDTNIR</v>
      </c>
      <c r="E2013" s="1753" t="s">
        <v>11007</v>
      </c>
      <c r="G2013" t="str">
        <f>IF('4E'!M12="","##BLANK",'4E'!M12)</f>
        <v>##BLANK</v>
      </c>
    </row>
    <row r="2014" spans="2:7">
      <c r="B2014" s="893" t="str">
        <f>+'4E'!BL13</f>
        <v>BM839SDTER</v>
      </c>
      <c r="E2014" s="1753" t="s">
        <v>11007</v>
      </c>
      <c r="G2014" t="str">
        <f>IF('4E'!M13="","##BLANK",'4E'!M13)</f>
        <v>##BLANK</v>
      </c>
    </row>
    <row r="2015" spans="2:7">
      <c r="B2015" s="893" t="str">
        <f>+'4E'!BL14</f>
        <v>BM817SDT</v>
      </c>
      <c r="E2015" s="1753" t="s">
        <v>11007</v>
      </c>
      <c r="G2015" t="str">
        <f>IF('4E'!M14="","##BLANK",'4E'!M14)</f>
        <v>##BLANK</v>
      </c>
    </row>
    <row r="2016" spans="2:7">
      <c r="B2016" s="893" t="str">
        <f>+'4E'!BL15</f>
        <v>BM844SDT</v>
      </c>
      <c r="E2016" s="1753" t="s">
        <v>11007</v>
      </c>
      <c r="G2016">
        <f>IF('4E'!M15="","##BLANK",'4E'!M15)</f>
        <v>0</v>
      </c>
    </row>
    <row r="2017" spans="2:7">
      <c r="B2017" s="893" t="str">
        <f>+'4E'!BL17</f>
        <v>BM823SDT</v>
      </c>
      <c r="E2017" s="1753" t="s">
        <v>11007</v>
      </c>
      <c r="G2017" t="str">
        <f>IF('4E'!M17="","##BLANK",'4E'!M17)</f>
        <v>##BLANK</v>
      </c>
    </row>
    <row r="2018" spans="2:7">
      <c r="B2018" s="893" t="str">
        <f>+'4E'!BL18</f>
        <v>BM850SDT</v>
      </c>
      <c r="E2018" s="1753" t="s">
        <v>11007</v>
      </c>
      <c r="G2018">
        <f>IF('4E'!M18="","##BLANK",'4E'!M18)</f>
        <v>0</v>
      </c>
    </row>
    <row r="2019" spans="2:7">
      <c r="B2019" s="893" t="str">
        <f>+'4E'!BL21</f>
        <v>BC30945SDT</v>
      </c>
      <c r="E2019" s="1753" t="s">
        <v>11007</v>
      </c>
      <c r="G2019" t="str">
        <f>IF('4E'!M21="","##BLANK",'4E'!M21)</f>
        <v>##BLANK</v>
      </c>
    </row>
    <row r="2020" spans="2:7">
      <c r="B2020" s="893" t="str">
        <f>+'4E'!BL22</f>
        <v>CS00036SDT</v>
      </c>
      <c r="E2020" s="1753" t="s">
        <v>11007</v>
      </c>
      <c r="G2020" t="str">
        <f>IF('4E'!M22="","##BLANK",'4E'!M22)</f>
        <v>##BLANK</v>
      </c>
    </row>
    <row r="2021" spans="2:7">
      <c r="B2021" s="893" t="str">
        <f>+'4E'!BL23</f>
        <v>BC30944SDT</v>
      </c>
      <c r="E2021" s="1753" t="s">
        <v>11007</v>
      </c>
      <c r="G2021" t="str">
        <f>IF('4E'!M23="","##BLANK",'4E'!M23)</f>
        <v>##BLANK</v>
      </c>
    </row>
    <row r="2022" spans="2:7">
      <c r="B2022" s="893" t="str">
        <f>+'4E'!BL24</f>
        <v>CS00037SDT</v>
      </c>
      <c r="E2022" s="1753" t="s">
        <v>11007</v>
      </c>
      <c r="G2022" t="str">
        <f>IF('4E'!M24="","##BLANK",'4E'!M24)</f>
        <v>##BLANK</v>
      </c>
    </row>
    <row r="2023" spans="2:7">
      <c r="B2023" s="893" t="str">
        <f>+'4E'!BL25</f>
        <v>BC30849SDT</v>
      </c>
      <c r="E2023" s="1753" t="s">
        <v>11007</v>
      </c>
      <c r="G2023" t="str">
        <f>IF('4E'!M25="","##BLANK",'4E'!M25)</f>
        <v>##BLANK</v>
      </c>
    </row>
    <row r="2024" spans="2:7">
      <c r="B2024" s="893" t="str">
        <f>+'4E'!BL26</f>
        <v>BC30998SDT</v>
      </c>
      <c r="E2024" s="1753" t="s">
        <v>11007</v>
      </c>
      <c r="G2024">
        <f>IF('4E'!M26="","##BLANK",'4E'!M26)</f>
        <v>0</v>
      </c>
    </row>
    <row r="2025" spans="2:7">
      <c r="B2025" s="893" t="str">
        <f>+'4E'!BL27</f>
        <v>BM833SDT</v>
      </c>
      <c r="E2025" s="1753" t="s">
        <v>11007</v>
      </c>
      <c r="G2025" t="str">
        <f>IF('4E'!M27="","##BLANK",'4E'!M27)</f>
        <v>##BLANK</v>
      </c>
    </row>
    <row r="2026" spans="2:7">
      <c r="B2026" s="893" t="str">
        <f>+'4E'!BL28</f>
        <v>BA2120SDT</v>
      </c>
      <c r="E2026" s="1753" t="s">
        <v>11007</v>
      </c>
      <c r="G2026">
        <f>IF('4E'!M28="","##BLANK",'4E'!M28)</f>
        <v>0</v>
      </c>
    </row>
    <row r="2027" spans="2:7">
      <c r="B2027" s="893" t="str">
        <f>+'4E'!BL31</f>
        <v>BA2121SDT</v>
      </c>
      <c r="E2027" s="1753" t="s">
        <v>11007</v>
      </c>
      <c r="G2027" t="str">
        <f>IF('4E'!M31="","##BLANK",'4E'!M31)</f>
        <v>##BLANK</v>
      </c>
    </row>
    <row r="2028" spans="2:7">
      <c r="B2028" s="893" t="str">
        <f>+'4E'!BL33</f>
        <v>BM825SDT</v>
      </c>
      <c r="E2028" s="1753" t="s">
        <v>11007</v>
      </c>
      <c r="G2028">
        <f>IF('4E'!M33="","##BLANK",'4E'!M33)</f>
        <v>0</v>
      </c>
    </row>
    <row r="2029" spans="2:7">
      <c r="B2029" s="893" t="str">
        <f>+'4E'!BL36</f>
        <v>CR00559SDT</v>
      </c>
      <c r="E2029" s="1753" t="s">
        <v>11007</v>
      </c>
      <c r="G2029" t="str">
        <f>IF('4E'!M36="","##BLANK",'4E'!M36)</f>
        <v>##BLANK</v>
      </c>
    </row>
    <row r="2030" spans="2:7">
      <c r="B2030" s="893" t="str">
        <f>+'4E'!BL37</f>
        <v>CR00562SDT</v>
      </c>
      <c r="D2030" s="2146"/>
      <c r="E2030" s="1753" t="s">
        <v>11007</v>
      </c>
      <c r="G2030" t="str">
        <f>IF('4E'!M37="","##BLANK",'4E'!M37)</f>
        <v>##BLANK</v>
      </c>
    </row>
    <row r="2031" spans="2:7">
      <c r="B2031" s="893" t="str">
        <f>+'4E'!BL39</f>
        <v>S3040SDT</v>
      </c>
      <c r="D2031" s="2146"/>
      <c r="E2031" s="1753" t="s">
        <v>11007</v>
      </c>
      <c r="G2031">
        <f>IF('4E'!M39="","##BLANK",'4E'!M39)</f>
        <v>0</v>
      </c>
    </row>
    <row r="2032" spans="2:7">
      <c r="B2032" s="893" t="str">
        <f>+'4E'!BL48</f>
        <v>CRASSTS005</v>
      </c>
      <c r="D2032" s="2146"/>
      <c r="E2032" s="1753" t="s">
        <v>11007</v>
      </c>
      <c r="G2032" t="str">
        <f>IF('4E'!M48="","##BLANK",'4E'!M48)</f>
        <v>##BLANK</v>
      </c>
    </row>
    <row r="2033" spans="2:7">
      <c r="B2033" s="893" t="str">
        <f>+'4E'!BL50</f>
        <v>CRASSTS006</v>
      </c>
      <c r="D2033" s="2146"/>
      <c r="E2033" s="1753" t="s">
        <v>11007</v>
      </c>
      <c r="G2033">
        <f>IF('4E'!M50="","##BLANK",'4E'!M50)</f>
        <v>0</v>
      </c>
    </row>
    <row r="2034" spans="2:7">
      <c r="B2034" s="893" t="str">
        <f>+'4E'!BL51</f>
        <v>BN2630SDT</v>
      </c>
      <c r="D2034" s="2146"/>
      <c r="E2034" s="1753" t="s">
        <v>11007</v>
      </c>
      <c r="G2034" t="str">
        <f>IF('4E'!M51="","##BLANK",'4E'!M51)</f>
        <v>##BLANK</v>
      </c>
    </row>
    <row r="2035" spans="2:7">
      <c r="B2035" s="893" t="str">
        <f>+'4E'!BL52</f>
        <v>BN2631SDT</v>
      </c>
      <c r="D2035" s="2146"/>
      <c r="E2035" s="1753" t="s">
        <v>11007</v>
      </c>
      <c r="G2035">
        <f>IF('4E'!M52="","##BLANK",'4E'!M52)</f>
        <v>0</v>
      </c>
    </row>
    <row r="2036" spans="2:7">
      <c r="B2036" s="893" t="str">
        <f>+'4E'!BM7</f>
        <v>BM602SDD</v>
      </c>
      <c r="D2036" s="2146"/>
      <c r="E2036" s="1753" t="s">
        <v>11007</v>
      </c>
      <c r="G2036" t="str">
        <f>IF('4E'!N7="","##BLANK",'4E'!N7)</f>
        <v>##BLANK</v>
      </c>
    </row>
    <row r="2037" spans="2:7">
      <c r="B2037" s="893" t="str">
        <f>+'4E'!BM8</f>
        <v>BM836SDD</v>
      </c>
      <c r="D2037" s="2146"/>
      <c r="E2037" s="1753" t="s">
        <v>11007</v>
      </c>
      <c r="G2037" t="str">
        <f>IF('4E'!N8="","##BLANK",'4E'!N8)</f>
        <v>##BLANK</v>
      </c>
    </row>
    <row r="2038" spans="2:7">
      <c r="B2038" s="893" t="str">
        <f>+'4E'!BM9</f>
        <v>BM631SDD</v>
      </c>
      <c r="D2038" s="2146"/>
      <c r="E2038" s="1753" t="s">
        <v>11007</v>
      </c>
      <c r="G2038" t="str">
        <f>IF('4E'!N9="","##BLANK",'4E'!N9)</f>
        <v>##BLANK</v>
      </c>
    </row>
    <row r="2039" spans="2:7">
      <c r="B2039" s="893" t="str">
        <f>+'4E'!BM10</f>
        <v>BM140SDD</v>
      </c>
      <c r="D2039" s="2146"/>
      <c r="E2039" s="1753" t="s">
        <v>11007</v>
      </c>
      <c r="G2039" t="str">
        <f>IF('4E'!N10="","##BLANK",'4E'!N10)</f>
        <v>##BLANK</v>
      </c>
    </row>
    <row r="2040" spans="2:7">
      <c r="B2040" s="893" t="str">
        <f>+'4E'!BM11</f>
        <v>BM839SDDIR</v>
      </c>
      <c r="E2040" s="1753" t="s">
        <v>11007</v>
      </c>
      <c r="G2040" t="str">
        <f>IF('4E'!N11="","##BLANK",'4E'!N11)</f>
        <v>##BLANK</v>
      </c>
    </row>
    <row r="2041" spans="2:7">
      <c r="B2041" s="893" t="str">
        <f>+'4E'!BM12</f>
        <v>BM839SDDNIR</v>
      </c>
      <c r="E2041" s="1753" t="s">
        <v>11007</v>
      </c>
      <c r="G2041" t="str">
        <f>IF('4E'!N12="","##BLANK",'4E'!N12)</f>
        <v>##BLANK</v>
      </c>
    </row>
    <row r="2042" spans="2:7">
      <c r="B2042" s="893" t="str">
        <f>+'4E'!BM13</f>
        <v>BM839SDDER</v>
      </c>
      <c r="E2042" s="1753" t="s">
        <v>11007</v>
      </c>
      <c r="G2042" t="str">
        <f>IF('4E'!N13="","##BLANK",'4E'!N13)</f>
        <v>##BLANK</v>
      </c>
    </row>
    <row r="2043" spans="2:7">
      <c r="B2043" s="893" t="str">
        <f>+'4E'!BM14</f>
        <v>BM817SDD</v>
      </c>
      <c r="E2043" s="1753" t="s">
        <v>11007</v>
      </c>
      <c r="G2043" t="str">
        <f>IF('4E'!N14="","##BLANK",'4E'!N14)</f>
        <v>##BLANK</v>
      </c>
    </row>
    <row r="2044" spans="2:7">
      <c r="B2044" s="893" t="str">
        <f>+'4E'!BM15</f>
        <v>BM844SDD</v>
      </c>
      <c r="E2044" s="1753" t="s">
        <v>11007</v>
      </c>
      <c r="G2044">
        <f>IF('4E'!N15="","##BLANK",'4E'!N15)</f>
        <v>0</v>
      </c>
    </row>
    <row r="2045" spans="2:7">
      <c r="B2045" s="893" t="str">
        <f>+'4E'!BM17</f>
        <v>BM823SDD</v>
      </c>
      <c r="E2045" s="1753" t="s">
        <v>11007</v>
      </c>
      <c r="G2045" t="str">
        <f>IF('4E'!N17="","##BLANK",'4E'!N17)</f>
        <v>##BLANK</v>
      </c>
    </row>
    <row r="2046" spans="2:7">
      <c r="B2046" s="893" t="str">
        <f>+'4E'!BM18</f>
        <v>BM850SDD</v>
      </c>
      <c r="E2046" s="1753" t="s">
        <v>11007</v>
      </c>
      <c r="G2046">
        <f>IF('4E'!N18="","##BLANK",'4E'!N18)</f>
        <v>0</v>
      </c>
    </row>
    <row r="2047" spans="2:7">
      <c r="B2047" s="893" t="str">
        <f>+'4E'!BM21</f>
        <v>BC30945SDD</v>
      </c>
      <c r="E2047" s="1753" t="s">
        <v>11007</v>
      </c>
      <c r="G2047" t="str">
        <f>IF('4E'!N21="","##BLANK",'4E'!N21)</f>
        <v>##BLANK</v>
      </c>
    </row>
    <row r="2048" spans="2:7">
      <c r="B2048" s="893" t="str">
        <f>+'4E'!BM22</f>
        <v>CS00036SDD</v>
      </c>
      <c r="E2048" s="1753" t="s">
        <v>11007</v>
      </c>
      <c r="G2048" t="str">
        <f>IF('4E'!N22="","##BLANK",'4E'!N22)</f>
        <v>##BLANK</v>
      </c>
    </row>
    <row r="2049" spans="2:7">
      <c r="B2049" s="893" t="str">
        <f>+'4E'!BM23</f>
        <v>BC30944SDD</v>
      </c>
      <c r="E2049" s="1753" t="s">
        <v>11007</v>
      </c>
      <c r="G2049" t="str">
        <f>IF('4E'!N23="","##BLANK",'4E'!N23)</f>
        <v>##BLANK</v>
      </c>
    </row>
    <row r="2050" spans="2:7">
      <c r="B2050" s="893" t="str">
        <f>+'4E'!BM24</f>
        <v>CS00037SDD</v>
      </c>
      <c r="E2050" s="1753" t="s">
        <v>11007</v>
      </c>
      <c r="G2050" t="str">
        <f>IF('4E'!N24="","##BLANK",'4E'!N24)</f>
        <v>##BLANK</v>
      </c>
    </row>
    <row r="2051" spans="2:7">
      <c r="B2051" s="893" t="str">
        <f>+'4E'!BM25</f>
        <v>BC30849SDD</v>
      </c>
      <c r="E2051" s="1753" t="s">
        <v>11007</v>
      </c>
      <c r="G2051" t="str">
        <f>IF('4E'!N25="","##BLANK",'4E'!N25)</f>
        <v>##BLANK</v>
      </c>
    </row>
    <row r="2052" spans="2:7">
      <c r="B2052" s="893" t="str">
        <f>+'4E'!BM26</f>
        <v>BC30998SDD</v>
      </c>
      <c r="E2052" s="1753" t="s">
        <v>11007</v>
      </c>
      <c r="G2052">
        <f>IF('4E'!N26="","##BLANK",'4E'!N26)</f>
        <v>0</v>
      </c>
    </row>
    <row r="2053" spans="2:7">
      <c r="B2053" s="893" t="str">
        <f>+'4E'!BM27</f>
        <v>BM833SDD</v>
      </c>
      <c r="E2053" s="1753" t="s">
        <v>11007</v>
      </c>
      <c r="G2053" t="str">
        <f>IF('4E'!N27="","##BLANK",'4E'!N27)</f>
        <v>##BLANK</v>
      </c>
    </row>
    <row r="2054" spans="2:7">
      <c r="B2054" s="893" t="str">
        <f>+'4E'!BM28</f>
        <v>BA2120SDD</v>
      </c>
      <c r="E2054" s="1753" t="s">
        <v>11007</v>
      </c>
      <c r="G2054">
        <f>IF('4E'!N28="","##BLANK",'4E'!N28)</f>
        <v>0</v>
      </c>
    </row>
    <row r="2055" spans="2:7">
      <c r="B2055" s="893" t="str">
        <f>+'4E'!BM31</f>
        <v>BA2121SDD</v>
      </c>
      <c r="E2055" s="1753" t="s">
        <v>11007</v>
      </c>
      <c r="G2055" t="str">
        <f>IF('4E'!N31="","##BLANK",'4E'!N31)</f>
        <v>##BLANK</v>
      </c>
    </row>
    <row r="2056" spans="2:7">
      <c r="B2056" s="893" t="str">
        <f>+'4E'!BM33</f>
        <v>BM825SDD</v>
      </c>
      <c r="E2056" s="1753" t="s">
        <v>11007</v>
      </c>
      <c r="G2056">
        <f>IF('4E'!N33="","##BLANK",'4E'!N33)</f>
        <v>0</v>
      </c>
    </row>
    <row r="2057" spans="2:7">
      <c r="B2057" s="893" t="str">
        <f>+'4E'!BM36</f>
        <v>CR00559SDD</v>
      </c>
      <c r="E2057" s="1753" t="s">
        <v>11007</v>
      </c>
      <c r="G2057" t="str">
        <f>IF('4E'!N36="","##BLANK",'4E'!N36)</f>
        <v>##BLANK</v>
      </c>
    </row>
    <row r="2058" spans="2:7">
      <c r="B2058" s="893" t="str">
        <f>+'4E'!BM37</f>
        <v>CR00562SDD</v>
      </c>
      <c r="E2058" s="1753" t="s">
        <v>11007</v>
      </c>
      <c r="G2058" t="str">
        <f>IF('4E'!N37="","##BLANK",'4E'!N37)</f>
        <v>##BLANK</v>
      </c>
    </row>
    <row r="2059" spans="2:7">
      <c r="B2059" s="893" t="str">
        <f>+'4E'!BM39</f>
        <v>S3040SDD</v>
      </c>
      <c r="E2059" s="1753" t="s">
        <v>11007</v>
      </c>
      <c r="G2059">
        <f>IF('4E'!N39="","##BLANK",'4E'!N39)</f>
        <v>0</v>
      </c>
    </row>
    <row r="2060" spans="2:7">
      <c r="B2060" s="893" t="str">
        <f>+'4E'!BM49</f>
        <v>CRSDSERV01D</v>
      </c>
      <c r="E2060" s="1753" t="s">
        <v>11007</v>
      </c>
      <c r="G2060" t="str">
        <f>IF('4E'!N49="","##BLANK",'4E'!N49)</f>
        <v>##BLANK</v>
      </c>
    </row>
    <row r="2061" spans="2:7">
      <c r="B2061" s="893" t="str">
        <f>+'4E'!BM50</f>
        <v>CRSDSERV01C</v>
      </c>
      <c r="E2061" s="1753" t="s">
        <v>11007</v>
      </c>
      <c r="G2061">
        <f>IF('4E'!N50="","##BLANK",'4E'!N50)</f>
        <v>0</v>
      </c>
    </row>
    <row r="2062" spans="2:7">
      <c r="B2062" s="893" t="str">
        <f>+'4E'!BM51</f>
        <v>BN2630SDD</v>
      </c>
      <c r="E2062" s="1753" t="s">
        <v>11007</v>
      </c>
      <c r="G2062" t="str">
        <f>IF('4E'!N51="","##BLANK",'4E'!N51)</f>
        <v>##BLANK</v>
      </c>
    </row>
    <row r="2063" spans="2:7">
      <c r="B2063" s="893" t="str">
        <f>+'4E'!BM52</f>
        <v>BN2631SDD</v>
      </c>
      <c r="E2063" s="1753" t="s">
        <v>11007</v>
      </c>
      <c r="G2063">
        <f>IF('4E'!N52="","##BLANK",'4E'!N52)</f>
        <v>0</v>
      </c>
    </row>
    <row r="2064" spans="2:7">
      <c r="B2064" s="893" t="str">
        <f>+'4E'!BN7</f>
        <v>BM802TAS</v>
      </c>
      <c r="E2064" s="1753" t="s">
        <v>11007</v>
      </c>
      <c r="G2064">
        <f>IF('4E'!O7="","##BLANK",'4E'!O7)</f>
        <v>0</v>
      </c>
    </row>
    <row r="2065" spans="2:7">
      <c r="B2065" s="893" t="str">
        <f>+'4E'!BN8</f>
        <v>BM836TAS</v>
      </c>
      <c r="E2065" s="1753" t="s">
        <v>11007</v>
      </c>
      <c r="G2065">
        <f>IF('4E'!O8="","##BLANK",'4E'!O8)</f>
        <v>0</v>
      </c>
    </row>
    <row r="2066" spans="2:7">
      <c r="B2066" s="893" t="str">
        <f>+'4E'!BN9</f>
        <v>BM831TAS</v>
      </c>
      <c r="E2066" s="1753" t="s">
        <v>11007</v>
      </c>
      <c r="G2066">
        <f>IF('4E'!O9="","##BLANK",'4E'!O9)</f>
        <v>0</v>
      </c>
    </row>
    <row r="2067" spans="2:7">
      <c r="B2067" s="893" t="str">
        <f>+'4E'!BN10</f>
        <v>BM140TAS</v>
      </c>
      <c r="E2067" s="1753" t="s">
        <v>11007</v>
      </c>
      <c r="G2067">
        <f>IF('4E'!O10="","##BLANK",'4E'!O10)</f>
        <v>0</v>
      </c>
    </row>
    <row r="2068" spans="2:7">
      <c r="B2068" s="893" t="str">
        <f>+'4E'!BN11</f>
        <v>BM839TASIR</v>
      </c>
      <c r="E2068" s="1753" t="s">
        <v>11007</v>
      </c>
      <c r="G2068">
        <f>IF('4E'!O11="","##BLANK",'4E'!O11)</f>
        <v>0</v>
      </c>
    </row>
    <row r="2069" spans="2:7">
      <c r="B2069" s="893" t="str">
        <f>+'4E'!BN12</f>
        <v>BM839TASNIR</v>
      </c>
      <c r="E2069" s="1753" t="s">
        <v>11007</v>
      </c>
      <c r="G2069">
        <f>IF('4E'!O12="","##BLANK",'4E'!O12)</f>
        <v>0</v>
      </c>
    </row>
    <row r="2070" spans="2:7">
      <c r="B2070" s="893" t="str">
        <f>+'4E'!BN13</f>
        <v>BM839TASER</v>
      </c>
      <c r="E2070" s="1753" t="s">
        <v>11007</v>
      </c>
      <c r="G2070">
        <f>IF('4E'!O13="","##BLANK",'4E'!O13)</f>
        <v>0</v>
      </c>
    </row>
    <row r="2071" spans="2:7">
      <c r="B2071" s="893" t="str">
        <f>+'4E'!BN14</f>
        <v>BM817TAS</v>
      </c>
      <c r="E2071" s="1753" t="s">
        <v>11007</v>
      </c>
      <c r="G2071">
        <f>IF('4E'!O14="","##BLANK",'4E'!O14)</f>
        <v>0</v>
      </c>
    </row>
    <row r="2072" spans="2:7">
      <c r="B2072" s="893" t="str">
        <f>+'4E'!BN15</f>
        <v>BM844TAS</v>
      </c>
      <c r="E2072" s="1753" t="s">
        <v>11007</v>
      </c>
      <c r="G2072">
        <f>IF('4E'!O15="","##BLANK",'4E'!O15)</f>
        <v>0</v>
      </c>
    </row>
    <row r="2073" spans="2:7">
      <c r="B2073" s="893" t="str">
        <f>+'4E'!BN17</f>
        <v>BM823TAS</v>
      </c>
      <c r="E2073" s="1753" t="s">
        <v>11007</v>
      </c>
      <c r="G2073">
        <f>IF('4E'!O17="","##BLANK",'4E'!O17)</f>
        <v>0</v>
      </c>
    </row>
    <row r="2074" spans="2:7">
      <c r="B2074" s="893" t="str">
        <f>+'4E'!BN18</f>
        <v>BM850TAS</v>
      </c>
      <c r="E2074" s="1753" t="s">
        <v>11007</v>
      </c>
      <c r="G2074">
        <f>IF('4E'!O18="","##BLANK",'4E'!O18)</f>
        <v>0</v>
      </c>
    </row>
    <row r="2075" spans="2:7">
      <c r="B2075" s="893" t="str">
        <f>+'4E'!BN21</f>
        <v>BC30945</v>
      </c>
      <c r="E2075" s="1753" t="s">
        <v>11007</v>
      </c>
      <c r="G2075">
        <f>IF('4E'!O21="","##BLANK",'4E'!O21)</f>
        <v>0</v>
      </c>
    </row>
    <row r="2076" spans="2:7">
      <c r="B2076" s="893" t="str">
        <f>+'4E'!BN22</f>
        <v>CS00036</v>
      </c>
      <c r="E2076" s="1753" t="s">
        <v>11007</v>
      </c>
      <c r="G2076">
        <f>IF('4E'!O22="","##BLANK",'4E'!O22)</f>
        <v>0</v>
      </c>
    </row>
    <row r="2077" spans="2:7">
      <c r="B2077" s="893" t="str">
        <f>+'4E'!BN23</f>
        <v>BC30944TAS</v>
      </c>
      <c r="E2077" s="1753" t="s">
        <v>11007</v>
      </c>
      <c r="G2077">
        <f>IF('4E'!O23="","##BLANK",'4E'!O23)</f>
        <v>0</v>
      </c>
    </row>
    <row r="2078" spans="2:7">
      <c r="B2078" s="893" t="str">
        <f>+'4E'!BN24</f>
        <v>CS00037TAS</v>
      </c>
      <c r="E2078" s="1753" t="s">
        <v>11007</v>
      </c>
      <c r="G2078">
        <f>IF('4E'!O24="","##BLANK",'4E'!O24)</f>
        <v>0</v>
      </c>
    </row>
    <row r="2079" spans="2:7">
      <c r="B2079" s="893" t="str">
        <f>+'4E'!BN25</f>
        <v>BC30849</v>
      </c>
      <c r="E2079" s="1753" t="s">
        <v>11007</v>
      </c>
      <c r="G2079">
        <f>IF('4E'!O25="","##BLANK",'4E'!O25)</f>
        <v>0</v>
      </c>
    </row>
    <row r="2080" spans="2:7">
      <c r="B2080" s="893" t="str">
        <f>+'4E'!BN26</f>
        <v>BC30998TAS</v>
      </c>
      <c r="E2080" s="1753" t="s">
        <v>11007</v>
      </c>
      <c r="G2080">
        <f>IF('4E'!O26="","##BLANK",'4E'!O26)</f>
        <v>0</v>
      </c>
    </row>
    <row r="2081" spans="2:7">
      <c r="B2081" s="893" t="str">
        <f>+'4E'!BN27</f>
        <v>BM833TAS</v>
      </c>
      <c r="E2081" s="1753" t="s">
        <v>11007</v>
      </c>
      <c r="G2081">
        <f>IF('4E'!O27="","##BLANK",'4E'!O27)</f>
        <v>0</v>
      </c>
    </row>
    <row r="2082" spans="2:7">
      <c r="B2082" s="893" t="str">
        <f>+'4E'!BN28</f>
        <v>BA2120TAS</v>
      </c>
      <c r="E2082" s="1753" t="s">
        <v>11007</v>
      </c>
      <c r="G2082">
        <f>IF('4E'!O28="","##BLANK",'4E'!O28)</f>
        <v>0</v>
      </c>
    </row>
    <row r="2083" spans="2:7">
      <c r="B2083" s="893" t="str">
        <f>+'4E'!BN31</f>
        <v>BA2121TAS</v>
      </c>
      <c r="E2083" s="1753" t="s">
        <v>11007</v>
      </c>
      <c r="G2083">
        <f>IF('4E'!O31="","##BLANK",'4E'!O31)</f>
        <v>0</v>
      </c>
    </row>
    <row r="2084" spans="2:7">
      <c r="B2084" s="893" t="str">
        <f>+'4E'!BN33</f>
        <v>BM825TAS</v>
      </c>
      <c r="E2084" s="1753" t="s">
        <v>11007</v>
      </c>
      <c r="G2084">
        <f>IF('4E'!O33="","##BLANK",'4E'!O33)</f>
        <v>0</v>
      </c>
    </row>
    <row r="2085" spans="2:7">
      <c r="B2085" s="893" t="str">
        <f>+'4E'!BN36</f>
        <v>CR00559TOT</v>
      </c>
      <c r="E2085" s="1753" t="s">
        <v>11007</v>
      </c>
      <c r="G2085">
        <f>IF('4E'!O36="","##BLANK",'4E'!O36)</f>
        <v>0</v>
      </c>
    </row>
    <row r="2086" spans="2:7">
      <c r="B2086" s="893" t="str">
        <f>+'4E'!BN37</f>
        <v>CR00562TOT</v>
      </c>
      <c r="E2086" s="1753" t="s">
        <v>11007</v>
      </c>
      <c r="G2086">
        <f>IF('4E'!O37="","##BLANK",'4E'!O37)</f>
        <v>0</v>
      </c>
    </row>
    <row r="2087" spans="2:7">
      <c r="B2087" s="893" t="str">
        <f>+'4E'!BN39</f>
        <v>S3040TOT</v>
      </c>
      <c r="E2087" s="1753" t="s">
        <v>11007</v>
      </c>
      <c r="G2087">
        <f>IF('4E'!O39="","##BLANK",'4E'!O39)</f>
        <v>0</v>
      </c>
    </row>
    <row r="2088" spans="2:7">
      <c r="B2088" s="893" t="str">
        <f>+'4F'!BF7</f>
        <v>BM9030UWO</v>
      </c>
      <c r="E2088" s="1753" t="s">
        <v>11007</v>
      </c>
      <c r="G2088" t="str">
        <f>IF('4F'!G7="","##BLANK",'4F'!G7)</f>
        <v>##BLANK</v>
      </c>
    </row>
    <row r="2089" spans="2:7">
      <c r="B2089" s="893" t="str">
        <f>+'4F'!BF8</f>
        <v>BM9002UWO</v>
      </c>
      <c r="E2089" s="1753" t="s">
        <v>11007</v>
      </c>
      <c r="G2089" t="str">
        <f>IF('4F'!G8="","##BLANK",'4F'!G8)</f>
        <v>##BLANK</v>
      </c>
    </row>
    <row r="2090" spans="2:7">
      <c r="B2090" s="893" t="str">
        <f>+'4F'!BF9</f>
        <v>BM9003UWO</v>
      </c>
      <c r="E2090" s="1753" t="s">
        <v>11007</v>
      </c>
      <c r="G2090" t="str">
        <f>IF('4F'!G9="","##BLANK",'4F'!G9)</f>
        <v>##BLANK</v>
      </c>
    </row>
    <row r="2091" spans="2:7">
      <c r="B2091" s="893" t="str">
        <f>+'4F'!BF11</f>
        <v>BM9033UWO</v>
      </c>
      <c r="E2091" s="1753" t="s">
        <v>11007</v>
      </c>
      <c r="G2091" t="str">
        <f>IF('4F'!G11="","##BLANK",'4F'!G11)</f>
        <v>##BLANK</v>
      </c>
    </row>
    <row r="2092" spans="2:7">
      <c r="B2092" s="893" t="str">
        <f>+'4F'!BF12</f>
        <v>BM9021UWO</v>
      </c>
      <c r="E2092" s="1753" t="s">
        <v>11007</v>
      </c>
      <c r="G2092">
        <f>IF('4F'!G12="","##BLANK",'4F'!G12)</f>
        <v>0</v>
      </c>
    </row>
    <row r="2093" spans="2:7">
      <c r="B2093" s="893" t="str">
        <f>+'4F'!BF14</f>
        <v>BM9022UWO</v>
      </c>
      <c r="E2093" s="1753" t="s">
        <v>11007</v>
      </c>
      <c r="G2093" t="str">
        <f>IF('4F'!G14="","##BLANK",'4F'!G14)</f>
        <v>##BLANK</v>
      </c>
    </row>
    <row r="2094" spans="2:7">
      <c r="B2094" s="893" t="str">
        <f>+'4F'!BF15</f>
        <v>BM9023UWO</v>
      </c>
      <c r="E2094" s="1753" t="s">
        <v>11007</v>
      </c>
      <c r="G2094">
        <f>IF('4F'!G15="","##BLANK",'4F'!G15)</f>
        <v>0</v>
      </c>
    </row>
    <row r="2095" spans="2:7">
      <c r="B2095" s="893" t="str">
        <f>+'4F'!BF17</f>
        <v>BM4290EXUWO</v>
      </c>
      <c r="E2095" s="1753" t="s">
        <v>11007</v>
      </c>
      <c r="G2095" t="str">
        <f>IF('4F'!G17="","##BLANK",'4F'!G17)</f>
        <v>##BLANK</v>
      </c>
    </row>
    <row r="2096" spans="2:7">
      <c r="B2096" s="893" t="str">
        <f>+'4F'!BF18</f>
        <v>BM4290AQUWO</v>
      </c>
      <c r="E2096" s="1753" t="s">
        <v>11007</v>
      </c>
      <c r="G2096" t="str">
        <f>IF('4F'!G18="","##BLANK",'4F'!G18)</f>
        <v>##BLANK</v>
      </c>
    </row>
    <row r="2097" spans="2:7">
      <c r="B2097" s="893" t="str">
        <f>+'4F'!BF19</f>
        <v>BM9027EXUWO</v>
      </c>
      <c r="E2097" s="1753" t="s">
        <v>11007</v>
      </c>
      <c r="G2097" t="str">
        <f>IF('4F'!G19="","##BLANK",'4F'!G19)</f>
        <v>##BLANK</v>
      </c>
    </row>
    <row r="2098" spans="2:7">
      <c r="B2098" s="893" t="str">
        <f>+'4F'!BF20</f>
        <v>BM9027AQUWO</v>
      </c>
      <c r="E2098" s="1753" t="s">
        <v>11007</v>
      </c>
      <c r="G2098" t="str">
        <f>IF('4F'!G20="","##BLANK",'4F'!G20)</f>
        <v>##BLANK</v>
      </c>
    </row>
    <row r="2099" spans="2:7">
      <c r="B2099" s="893" t="str">
        <f>+'4F'!BF21</f>
        <v>BM9029UWO</v>
      </c>
      <c r="E2099" s="1753" t="s">
        <v>11007</v>
      </c>
      <c r="G2099">
        <f>IF('4F'!G21="","##BLANK",'4F'!G21)</f>
        <v>0</v>
      </c>
    </row>
    <row r="2100" spans="2:7">
      <c r="B2100" s="893" t="str">
        <f>+'4F'!BF23</f>
        <v>BM4017UWO</v>
      </c>
      <c r="E2100" s="1753" t="s">
        <v>11007</v>
      </c>
      <c r="G2100" t="str">
        <f>IF('4F'!G23="","##BLANK",'4F'!G23)</f>
        <v>##BLANK</v>
      </c>
    </row>
    <row r="2101" spans="2:7">
      <c r="B2101" s="893" t="str">
        <f>+'4F'!BG7</f>
        <v>BM9030USO</v>
      </c>
      <c r="E2101" s="1753" t="s">
        <v>11007</v>
      </c>
      <c r="G2101" t="str">
        <f>IF('4F'!H7="","##BLANK",'4F'!H7)</f>
        <v>##BLANK</v>
      </c>
    </row>
    <row r="2102" spans="2:7">
      <c r="B2102" s="893" t="str">
        <f>+'4F'!BG8</f>
        <v>BM9002USO</v>
      </c>
      <c r="E2102" s="1753" t="s">
        <v>11007</v>
      </c>
      <c r="G2102" t="str">
        <f>IF('4F'!H8="","##BLANK",'4F'!H8)</f>
        <v>##BLANK</v>
      </c>
    </row>
    <row r="2103" spans="2:7">
      <c r="B2103" s="893" t="str">
        <f>+'4F'!BG9</f>
        <v>BM9003USO</v>
      </c>
      <c r="E2103" s="1753" t="s">
        <v>11007</v>
      </c>
      <c r="G2103" t="str">
        <f>IF('4F'!H9="","##BLANK",'4F'!H9)</f>
        <v>##BLANK</v>
      </c>
    </row>
    <row r="2104" spans="2:7">
      <c r="B2104" s="893" t="str">
        <f>+'4F'!BG11</f>
        <v>BM9033USO</v>
      </c>
      <c r="E2104" s="1753" t="s">
        <v>11007</v>
      </c>
      <c r="G2104" t="str">
        <f>IF('4F'!H11="","##BLANK",'4F'!H11)</f>
        <v>##BLANK</v>
      </c>
    </row>
    <row r="2105" spans="2:7">
      <c r="B2105" s="893" t="str">
        <f>+'4F'!BG12</f>
        <v>BM9021USO</v>
      </c>
      <c r="E2105" s="1753" t="s">
        <v>11007</v>
      </c>
      <c r="G2105">
        <f>IF('4F'!H12="","##BLANK",'4F'!H12)</f>
        <v>0</v>
      </c>
    </row>
    <row r="2106" spans="2:7">
      <c r="B2106" s="893" t="str">
        <f>+'4F'!BG14</f>
        <v>BM9022USO</v>
      </c>
      <c r="E2106" s="1753" t="s">
        <v>11007</v>
      </c>
      <c r="G2106" t="str">
        <f>IF('4F'!H14="","##BLANK",'4F'!H14)</f>
        <v>##BLANK</v>
      </c>
    </row>
    <row r="2107" spans="2:7">
      <c r="B2107" s="893" t="str">
        <f>+'4F'!BG15</f>
        <v>BM9023USO</v>
      </c>
      <c r="E2107" s="1753" t="s">
        <v>11007</v>
      </c>
      <c r="G2107">
        <f>IF('4F'!H15="","##BLANK",'4F'!H15)</f>
        <v>0</v>
      </c>
    </row>
    <row r="2108" spans="2:7">
      <c r="B2108" s="893" t="str">
        <f>+'4F'!BG17</f>
        <v>BM4290EXUSO</v>
      </c>
      <c r="E2108" s="1753" t="s">
        <v>11007</v>
      </c>
      <c r="G2108" t="str">
        <f>IF('4F'!H17="","##BLANK",'4F'!H17)</f>
        <v>##BLANK</v>
      </c>
    </row>
    <row r="2109" spans="2:7">
      <c r="B2109" s="893" t="str">
        <f>+'4F'!BG18</f>
        <v>BM4290AQUSO</v>
      </c>
      <c r="E2109" s="1753" t="s">
        <v>11007</v>
      </c>
      <c r="G2109" t="str">
        <f>IF('4F'!H18="","##BLANK",'4F'!H18)</f>
        <v>##BLANK</v>
      </c>
    </row>
    <row r="2110" spans="2:7">
      <c r="B2110" s="893" t="str">
        <f>+'4F'!BG19</f>
        <v>BM9027EXUSO</v>
      </c>
      <c r="E2110" s="1753" t="s">
        <v>11007</v>
      </c>
      <c r="G2110" t="str">
        <f>IF('4F'!H19="","##BLANK",'4F'!H19)</f>
        <v>##BLANK</v>
      </c>
    </row>
    <row r="2111" spans="2:7">
      <c r="B2111" s="893" t="str">
        <f>+'4F'!BG20</f>
        <v>BM9027AQUSO</v>
      </c>
      <c r="E2111" s="1753" t="s">
        <v>11007</v>
      </c>
      <c r="G2111" t="str">
        <f>IF('4F'!H20="","##BLANK",'4F'!H20)</f>
        <v>##BLANK</v>
      </c>
    </row>
    <row r="2112" spans="2:7">
      <c r="B2112" s="893" t="str">
        <f>+'4F'!BG21</f>
        <v>BM9029USO</v>
      </c>
      <c r="E2112" s="1753" t="s">
        <v>11007</v>
      </c>
      <c r="G2112">
        <f>IF('4F'!H21="","##BLANK",'4F'!H21)</f>
        <v>0</v>
      </c>
    </row>
    <row r="2113" spans="2:7">
      <c r="B2113" s="893" t="str">
        <f>+'4F'!BG23</f>
        <v>BM4017USO</v>
      </c>
      <c r="E2113" s="1753" t="s">
        <v>11007</v>
      </c>
      <c r="G2113" t="str">
        <f>IF('4F'!H23="","##BLANK",'4F'!H23)</f>
        <v>##BLANK</v>
      </c>
    </row>
    <row r="2114" spans="2:7">
      <c r="B2114" s="893" t="str">
        <f>+'4F'!BH7</f>
        <v>BM9030UWS</v>
      </c>
      <c r="E2114" s="1753" t="s">
        <v>11007</v>
      </c>
      <c r="G2114" t="str">
        <f>IF('4F'!I7="","##BLANK",'4F'!I7)</f>
        <v>##BLANK</v>
      </c>
    </row>
    <row r="2115" spans="2:7">
      <c r="B2115" s="893" t="str">
        <f>+'4F'!BH8</f>
        <v>BM9002UWS</v>
      </c>
      <c r="E2115" s="1753" t="s">
        <v>11007</v>
      </c>
      <c r="G2115" t="str">
        <f>IF('4F'!I8="","##BLANK",'4F'!I8)</f>
        <v>##BLANK</v>
      </c>
    </row>
    <row r="2116" spans="2:7">
      <c r="B2116" s="893" t="str">
        <f>+'4F'!BH9</f>
        <v>BM9003UWS</v>
      </c>
      <c r="E2116" s="1753" t="s">
        <v>11007</v>
      </c>
      <c r="G2116" t="str">
        <f>IF('4F'!I9="","##BLANK",'4F'!I9)</f>
        <v>##BLANK</v>
      </c>
    </row>
    <row r="2117" spans="2:7">
      <c r="B2117" s="893" t="str">
        <f>+'4F'!BH11</f>
        <v>BM9033UWS</v>
      </c>
      <c r="E2117" s="1753" t="s">
        <v>11007</v>
      </c>
      <c r="G2117" t="str">
        <f>IF('4F'!I11="","##BLANK",'4F'!I11)</f>
        <v>##BLANK</v>
      </c>
    </row>
    <row r="2118" spans="2:7">
      <c r="B2118" s="893" t="str">
        <f>+'4F'!BH12</f>
        <v>BM9021UWS</v>
      </c>
      <c r="E2118" s="1753" t="s">
        <v>11007</v>
      </c>
      <c r="G2118">
        <f>IF('4F'!I12="","##BLANK",'4F'!I12)</f>
        <v>0</v>
      </c>
    </row>
    <row r="2119" spans="2:7">
      <c r="B2119" s="893" t="str">
        <f>+'4F'!BH14</f>
        <v>BM9022UWS</v>
      </c>
      <c r="E2119" s="1753" t="s">
        <v>11007</v>
      </c>
      <c r="G2119" t="str">
        <f>IF('4F'!I14="","##BLANK",'4F'!I14)</f>
        <v>##BLANK</v>
      </c>
    </row>
    <row r="2120" spans="2:7">
      <c r="B2120" s="893" t="str">
        <f>+'4F'!BH15</f>
        <v>BM9023UWS</v>
      </c>
      <c r="E2120" s="1753" t="s">
        <v>11007</v>
      </c>
      <c r="G2120">
        <f>IF('4F'!I15="","##BLANK",'4F'!I15)</f>
        <v>0</v>
      </c>
    </row>
    <row r="2121" spans="2:7">
      <c r="B2121" s="893" t="str">
        <f>+'4F'!BH17</f>
        <v>BM4290EXUWS</v>
      </c>
      <c r="E2121" s="1753" t="s">
        <v>11007</v>
      </c>
      <c r="G2121" t="str">
        <f>IF('4F'!I17="","##BLANK",'4F'!I17)</f>
        <v>##BLANK</v>
      </c>
    </row>
    <row r="2122" spans="2:7">
      <c r="B2122" s="893" t="str">
        <f>+'4F'!BH18</f>
        <v>BM4290AQUWS</v>
      </c>
      <c r="E2122" s="1753" t="s">
        <v>11007</v>
      </c>
      <c r="G2122" t="str">
        <f>IF('4F'!I18="","##BLANK",'4F'!I18)</f>
        <v>##BLANK</v>
      </c>
    </row>
    <row r="2123" spans="2:7">
      <c r="B2123" s="893" t="str">
        <f>+'4F'!BH19</f>
        <v>BM9027EXUWS</v>
      </c>
      <c r="E2123" s="1753" t="s">
        <v>11007</v>
      </c>
      <c r="G2123" t="str">
        <f>IF('4F'!I19="","##BLANK",'4F'!I19)</f>
        <v>##BLANK</v>
      </c>
    </row>
    <row r="2124" spans="2:7">
      <c r="B2124" s="893" t="str">
        <f>+'4F'!BH20</f>
        <v>BM9027AQUWS</v>
      </c>
      <c r="E2124" s="1753" t="s">
        <v>11007</v>
      </c>
      <c r="G2124" t="str">
        <f>IF('4F'!I20="","##BLANK",'4F'!I20)</f>
        <v>##BLANK</v>
      </c>
    </row>
    <row r="2125" spans="2:7">
      <c r="B2125" s="893" t="str">
        <f>+'4F'!BH21</f>
        <v>BM9029UWS</v>
      </c>
      <c r="E2125" s="1753" t="s">
        <v>11007</v>
      </c>
      <c r="G2125">
        <f>IF('4F'!I21="","##BLANK",'4F'!I21)</f>
        <v>0</v>
      </c>
    </row>
    <row r="2126" spans="2:7">
      <c r="B2126" s="893" t="str">
        <f>+'4F'!BH23</f>
        <v>BM4017UWS</v>
      </c>
      <c r="E2126" s="1753" t="s">
        <v>11007</v>
      </c>
      <c r="G2126" t="str">
        <f>IF('4F'!I23="","##BLANK",'4F'!I23)</f>
        <v>##BLANK</v>
      </c>
    </row>
    <row r="2127" spans="2:7">
      <c r="B2127" s="893" t="str">
        <f>+'4F'!BI7</f>
        <v>BM9030UTOT</v>
      </c>
      <c r="E2127" s="1753" t="s">
        <v>11007</v>
      </c>
      <c r="G2127">
        <f>IF('4F'!J7="","##BLANK",'4F'!J7)</f>
        <v>0</v>
      </c>
    </row>
    <row r="2128" spans="2:7">
      <c r="B2128" s="893" t="str">
        <f>+'4F'!BI8</f>
        <v>BM9002UTOT</v>
      </c>
      <c r="E2128" s="1753" t="s">
        <v>11007</v>
      </c>
      <c r="G2128">
        <f>IF('4F'!J8="","##BLANK",'4F'!J8)</f>
        <v>0</v>
      </c>
    </row>
    <row r="2129" spans="2:7">
      <c r="B2129" s="893" t="str">
        <f>+'4F'!BI9</f>
        <v>BM9003UTOT</v>
      </c>
      <c r="E2129" s="1753" t="s">
        <v>11007</v>
      </c>
      <c r="G2129">
        <f>IF('4F'!J9="","##BLANK",'4F'!J9)</f>
        <v>0</v>
      </c>
    </row>
    <row r="2130" spans="2:7">
      <c r="B2130" s="893" t="str">
        <f>+'4F'!BI11</f>
        <v>BM9033UTOT</v>
      </c>
      <c r="E2130" s="1753" t="s">
        <v>11007</v>
      </c>
      <c r="G2130">
        <f>IF('4F'!J11="","##BLANK",'4F'!J11)</f>
        <v>0</v>
      </c>
    </row>
    <row r="2131" spans="2:7">
      <c r="B2131" s="893" t="str">
        <f>+'4F'!BI12</f>
        <v>BM9021UTOT</v>
      </c>
      <c r="E2131" s="1753" t="s">
        <v>11007</v>
      </c>
      <c r="G2131">
        <f>IF('4F'!J12="","##BLANK",'4F'!J12)</f>
        <v>0</v>
      </c>
    </row>
    <row r="2132" spans="2:7">
      <c r="B2132" s="893" t="str">
        <f>+'4F'!BI14</f>
        <v>BM9022UTOT</v>
      </c>
      <c r="E2132" s="1753" t="s">
        <v>11007</v>
      </c>
      <c r="G2132">
        <f>IF('4F'!J14="","##BLANK",'4F'!J14)</f>
        <v>0</v>
      </c>
    </row>
    <row r="2133" spans="2:7">
      <c r="B2133" s="893" t="str">
        <f>+'4F'!BI15</f>
        <v>BM9023UTOT</v>
      </c>
      <c r="E2133" s="1753" t="s">
        <v>11007</v>
      </c>
      <c r="G2133">
        <f>IF('4F'!J15="","##BLANK",'4F'!J15)</f>
        <v>0</v>
      </c>
    </row>
    <row r="2134" spans="2:7">
      <c r="B2134" s="893" t="str">
        <f>+'4F'!BI17</f>
        <v>BM4290EXUTOT</v>
      </c>
      <c r="E2134" s="1753" t="s">
        <v>11007</v>
      </c>
      <c r="G2134">
        <f>IF('4F'!J17="","##BLANK",'4F'!J17)</f>
        <v>0</v>
      </c>
    </row>
    <row r="2135" spans="2:7">
      <c r="B2135" s="893" t="str">
        <f>+'4F'!BI18</f>
        <v>BM4290AQUTOT</v>
      </c>
      <c r="E2135" s="1753" t="s">
        <v>11007</v>
      </c>
      <c r="G2135">
        <f>IF('4F'!J18="","##BLANK",'4F'!J18)</f>
        <v>0</v>
      </c>
    </row>
    <row r="2136" spans="2:7">
      <c r="B2136" s="893" t="str">
        <f>+'4F'!BI19</f>
        <v>BM9027EXUTOT</v>
      </c>
      <c r="E2136" s="1753" t="s">
        <v>11007</v>
      </c>
      <c r="G2136">
        <f>IF('4F'!J19="","##BLANK",'4F'!J19)</f>
        <v>0</v>
      </c>
    </row>
    <row r="2137" spans="2:7">
      <c r="B2137" s="893" t="str">
        <f>+'4F'!BI20</f>
        <v>BM9027AQUTOT</v>
      </c>
      <c r="E2137" s="1753" t="s">
        <v>11007</v>
      </c>
      <c r="G2137">
        <f>IF('4F'!J20="","##BLANK",'4F'!J20)</f>
        <v>0</v>
      </c>
    </row>
    <row r="2138" spans="2:7">
      <c r="B2138" s="893" t="str">
        <f>+'4F'!BI21</f>
        <v>BM9029UTOT</v>
      </c>
      <c r="E2138" s="1753" t="s">
        <v>11007</v>
      </c>
      <c r="G2138">
        <f>IF('4F'!J21="","##BLANK",'4F'!J21)</f>
        <v>0</v>
      </c>
    </row>
    <row r="2139" spans="2:7">
      <c r="B2139" s="893" t="str">
        <f>+'4F'!BI23</f>
        <v>BM4017UTOT</v>
      </c>
      <c r="E2139" s="1753" t="s">
        <v>11007</v>
      </c>
      <c r="G2139">
        <f>IF('4F'!J23="","##BLANK",'4F'!J23)</f>
        <v>0</v>
      </c>
    </row>
    <row r="2140" spans="2:7">
      <c r="B2140" s="893" t="str">
        <f>+'4F'!BJ7</f>
        <v>BM9030MWO</v>
      </c>
      <c r="E2140" s="1753" t="s">
        <v>11007</v>
      </c>
      <c r="G2140" t="str">
        <f>IF('4F'!K7="","##BLANK",'4F'!K7)</f>
        <v>##BLANK</v>
      </c>
    </row>
    <row r="2141" spans="2:7">
      <c r="B2141" s="893" t="str">
        <f>+'4F'!BJ8</f>
        <v>BM9002MWO</v>
      </c>
      <c r="E2141" s="1753" t="s">
        <v>11007</v>
      </c>
      <c r="G2141" t="str">
        <f>IF('4F'!K8="","##BLANK",'4F'!K8)</f>
        <v>##BLANK</v>
      </c>
    </row>
    <row r="2142" spans="2:7">
      <c r="B2142" s="893" t="str">
        <f>+'4F'!BJ9</f>
        <v>BM9003MWO</v>
      </c>
      <c r="E2142" s="1753" t="s">
        <v>11007</v>
      </c>
      <c r="G2142" t="str">
        <f>IF('4F'!K9="","##BLANK",'4F'!K9)</f>
        <v>##BLANK</v>
      </c>
    </row>
    <row r="2143" spans="2:7">
      <c r="B2143" s="893" t="str">
        <f>+'4F'!BJ11</f>
        <v>BM9033MWO</v>
      </c>
      <c r="E2143" s="1753" t="s">
        <v>11007</v>
      </c>
      <c r="G2143" t="str">
        <f>IF('4F'!K11="","##BLANK",'4F'!K11)</f>
        <v>##BLANK</v>
      </c>
    </row>
    <row r="2144" spans="2:7">
      <c r="B2144" s="893" t="str">
        <f>+'4F'!BJ12</f>
        <v>BM9021MWO</v>
      </c>
      <c r="E2144" s="1753" t="s">
        <v>11007</v>
      </c>
      <c r="G2144">
        <f>IF('4F'!K12="","##BLANK",'4F'!K12)</f>
        <v>0</v>
      </c>
    </row>
    <row r="2145" spans="2:7">
      <c r="B2145" s="893" t="str">
        <f>+'4F'!BJ14</f>
        <v>BM9022MWO</v>
      </c>
      <c r="E2145" s="1753" t="s">
        <v>11007</v>
      </c>
      <c r="G2145" t="str">
        <f>IF('4F'!K14="","##BLANK",'4F'!K14)</f>
        <v>##BLANK</v>
      </c>
    </row>
    <row r="2146" spans="2:7">
      <c r="B2146" s="893" t="str">
        <f>+'4F'!BJ15</f>
        <v>BM9023MWO</v>
      </c>
      <c r="E2146" s="1753" t="s">
        <v>11007</v>
      </c>
      <c r="G2146">
        <f>IF('4F'!K15="","##BLANK",'4F'!K15)</f>
        <v>0</v>
      </c>
    </row>
    <row r="2147" spans="2:7">
      <c r="B2147" s="893" t="str">
        <f>+'4F'!BJ17</f>
        <v>BM4290EXMWO</v>
      </c>
      <c r="E2147" s="1753" t="s">
        <v>11007</v>
      </c>
      <c r="G2147" t="str">
        <f>IF('4F'!K17="","##BLANK",'4F'!K17)</f>
        <v>##BLANK</v>
      </c>
    </row>
    <row r="2148" spans="2:7">
      <c r="B2148" s="893" t="str">
        <f>+'4F'!BJ18</f>
        <v>BM4290AQMWO</v>
      </c>
      <c r="E2148" s="1753" t="s">
        <v>11007</v>
      </c>
      <c r="G2148" t="str">
        <f>IF('4F'!K18="","##BLANK",'4F'!K18)</f>
        <v>##BLANK</v>
      </c>
    </row>
    <row r="2149" spans="2:7">
      <c r="B2149" s="893" t="str">
        <f>+'4F'!BJ19</f>
        <v>BM9027EXMWO</v>
      </c>
      <c r="E2149" s="1753" t="s">
        <v>11007</v>
      </c>
      <c r="G2149" t="str">
        <f>IF('4F'!K19="","##BLANK",'4F'!K19)</f>
        <v>##BLANK</v>
      </c>
    </row>
    <row r="2150" spans="2:7">
      <c r="B2150" s="893" t="str">
        <f>+'4F'!BJ20</f>
        <v>BM9027AQMWO</v>
      </c>
      <c r="E2150" s="1753" t="s">
        <v>11007</v>
      </c>
      <c r="G2150" t="str">
        <f>IF('4F'!K20="","##BLANK",'4F'!K20)</f>
        <v>##BLANK</v>
      </c>
    </row>
    <row r="2151" spans="2:7">
      <c r="B2151" s="893" t="str">
        <f>+'4F'!BJ21</f>
        <v>BM9029MWO</v>
      </c>
      <c r="E2151" s="1753" t="s">
        <v>11007</v>
      </c>
      <c r="G2151">
        <f>IF('4F'!K21="","##BLANK",'4F'!K21)</f>
        <v>0</v>
      </c>
    </row>
    <row r="2152" spans="2:7">
      <c r="B2152" s="893" t="str">
        <f>+'4F'!BJ23</f>
        <v>BM4017MWO</v>
      </c>
      <c r="E2152" s="1753" t="s">
        <v>11007</v>
      </c>
      <c r="G2152" t="str">
        <f>IF('4F'!K23="","##BLANK",'4F'!K23)</f>
        <v>##BLANK</v>
      </c>
    </row>
    <row r="2153" spans="2:7">
      <c r="B2153" s="893" t="str">
        <f>+'4F'!BK7</f>
        <v>BM9030MSO</v>
      </c>
      <c r="E2153" s="1753" t="s">
        <v>11007</v>
      </c>
      <c r="G2153" t="str">
        <f>IF('4F'!L7="","##BLANK",'4F'!L7)</f>
        <v>##BLANK</v>
      </c>
    </row>
    <row r="2154" spans="2:7">
      <c r="B2154" s="893" t="str">
        <f>+'4F'!BK8</f>
        <v>BM9002MSO</v>
      </c>
      <c r="E2154" s="1753" t="s">
        <v>11007</v>
      </c>
      <c r="G2154" t="str">
        <f>IF('4F'!L8="","##BLANK",'4F'!L8)</f>
        <v>##BLANK</v>
      </c>
    </row>
    <row r="2155" spans="2:7">
      <c r="B2155" s="893" t="str">
        <f>+'4F'!BK9</f>
        <v>BM9003MSO</v>
      </c>
      <c r="E2155" s="1753" t="s">
        <v>11007</v>
      </c>
      <c r="G2155" t="str">
        <f>IF('4F'!L9="","##BLANK",'4F'!L9)</f>
        <v>##BLANK</v>
      </c>
    </row>
    <row r="2156" spans="2:7">
      <c r="B2156" s="893" t="str">
        <f>+'4F'!BK11</f>
        <v>BM9033MSO</v>
      </c>
      <c r="E2156" s="1753" t="s">
        <v>11007</v>
      </c>
      <c r="G2156" t="str">
        <f>IF('4F'!L11="","##BLANK",'4F'!L11)</f>
        <v>##BLANK</v>
      </c>
    </row>
    <row r="2157" spans="2:7">
      <c r="B2157" s="893" t="str">
        <f>+'4F'!BK12</f>
        <v>BM9021MSO</v>
      </c>
      <c r="E2157" s="1753" t="s">
        <v>11007</v>
      </c>
      <c r="G2157">
        <f>IF('4F'!L12="","##BLANK",'4F'!L12)</f>
        <v>0</v>
      </c>
    </row>
    <row r="2158" spans="2:7">
      <c r="B2158" s="893" t="str">
        <f>+'4F'!BK14</f>
        <v>BM9022MSO</v>
      </c>
      <c r="E2158" s="1753" t="s">
        <v>11007</v>
      </c>
      <c r="G2158" t="str">
        <f>IF('4F'!L14="","##BLANK",'4F'!L14)</f>
        <v>##BLANK</v>
      </c>
    </row>
    <row r="2159" spans="2:7">
      <c r="B2159" s="893" t="str">
        <f>+'4F'!BK15</f>
        <v>BM9023MSO</v>
      </c>
      <c r="E2159" s="1753" t="s">
        <v>11007</v>
      </c>
      <c r="G2159">
        <f>IF('4F'!L15="","##BLANK",'4F'!L15)</f>
        <v>0</v>
      </c>
    </row>
    <row r="2160" spans="2:7">
      <c r="B2160" s="893" t="str">
        <f>+'4F'!BK17</f>
        <v>BM4290EXMSO</v>
      </c>
      <c r="E2160" s="1753" t="s">
        <v>11007</v>
      </c>
      <c r="G2160" t="str">
        <f>IF('4F'!L17="","##BLANK",'4F'!L17)</f>
        <v>##BLANK</v>
      </c>
    </row>
    <row r="2161" spans="2:7">
      <c r="B2161" s="893" t="str">
        <f>+'4F'!BK18</f>
        <v>BM4290AQMSO</v>
      </c>
      <c r="E2161" s="1753" t="s">
        <v>11007</v>
      </c>
      <c r="G2161" t="str">
        <f>IF('4F'!L18="","##BLANK",'4F'!L18)</f>
        <v>##BLANK</v>
      </c>
    </row>
    <row r="2162" spans="2:7">
      <c r="B2162" s="893" t="str">
        <f>+'4F'!BK19</f>
        <v>BM9027EXMSO</v>
      </c>
      <c r="E2162" s="1753" t="s">
        <v>11007</v>
      </c>
      <c r="G2162" t="str">
        <f>IF('4F'!L19="","##BLANK",'4F'!L19)</f>
        <v>##BLANK</v>
      </c>
    </row>
    <row r="2163" spans="2:7">
      <c r="B2163" s="893" t="str">
        <f>+'4F'!BK20</f>
        <v>BM9027AQMSO</v>
      </c>
      <c r="E2163" s="1753" t="s">
        <v>11007</v>
      </c>
      <c r="G2163" t="str">
        <f>IF('4F'!L20="","##BLANK",'4F'!L20)</f>
        <v>##BLANK</v>
      </c>
    </row>
    <row r="2164" spans="2:7">
      <c r="B2164" s="893" t="str">
        <f>+'4F'!BK21</f>
        <v>BM9029MSO</v>
      </c>
      <c r="E2164" s="1753" t="s">
        <v>11007</v>
      </c>
      <c r="G2164">
        <f>IF('4F'!L21="","##BLANK",'4F'!L21)</f>
        <v>0</v>
      </c>
    </row>
    <row r="2165" spans="2:7">
      <c r="B2165" s="893" t="str">
        <f>+'4F'!BK23</f>
        <v>BM4017MSO</v>
      </c>
      <c r="E2165" s="1753" t="s">
        <v>11007</v>
      </c>
      <c r="G2165" t="str">
        <f>IF('4F'!L23="","##BLANK",'4F'!L23)</f>
        <v>##BLANK</v>
      </c>
    </row>
    <row r="2166" spans="2:7">
      <c r="B2166" s="893" t="str">
        <f>+'4F'!BL7</f>
        <v>BM9030MWS</v>
      </c>
      <c r="E2166" s="1753" t="s">
        <v>11007</v>
      </c>
      <c r="G2166" t="str">
        <f>IF('4F'!M7="","##BLANK",'4F'!M7)</f>
        <v>##BLANK</v>
      </c>
    </row>
    <row r="2167" spans="2:7">
      <c r="B2167" s="893" t="str">
        <f>+'4F'!BL8</f>
        <v>BM9002MWS</v>
      </c>
      <c r="E2167" s="1753" t="s">
        <v>11007</v>
      </c>
      <c r="G2167" t="str">
        <f>IF('4F'!M8="","##BLANK",'4F'!M8)</f>
        <v>##BLANK</v>
      </c>
    </row>
    <row r="2168" spans="2:7">
      <c r="B2168" s="893" t="str">
        <f>+'4F'!BL9</f>
        <v>BM9003MWS</v>
      </c>
      <c r="E2168" s="1753" t="s">
        <v>11007</v>
      </c>
      <c r="G2168" t="str">
        <f>IF('4F'!M9="","##BLANK",'4F'!M9)</f>
        <v>##BLANK</v>
      </c>
    </row>
    <row r="2169" spans="2:7">
      <c r="B2169" s="893" t="str">
        <f>+'4F'!BL11</f>
        <v>BM9033MWS</v>
      </c>
      <c r="E2169" s="1753" t="s">
        <v>11007</v>
      </c>
      <c r="G2169" t="str">
        <f>IF('4F'!M11="","##BLANK",'4F'!M11)</f>
        <v>##BLANK</v>
      </c>
    </row>
    <row r="2170" spans="2:7">
      <c r="B2170" s="893" t="str">
        <f>+'4F'!BL12</f>
        <v>BM9021MWS</v>
      </c>
      <c r="E2170" s="1753" t="s">
        <v>11007</v>
      </c>
      <c r="G2170">
        <f>IF('4F'!M12="","##BLANK",'4F'!M12)</f>
        <v>0</v>
      </c>
    </row>
    <row r="2171" spans="2:7">
      <c r="B2171" s="893" t="str">
        <f>+'4F'!BL14</f>
        <v>BM9022MWS</v>
      </c>
      <c r="E2171" s="1753" t="s">
        <v>11007</v>
      </c>
      <c r="G2171" t="str">
        <f>IF('4F'!M14="","##BLANK",'4F'!M14)</f>
        <v>##BLANK</v>
      </c>
    </row>
    <row r="2172" spans="2:7">
      <c r="B2172" s="893" t="str">
        <f>+'4F'!BL15</f>
        <v>BM9023MWS</v>
      </c>
      <c r="E2172" s="1753" t="s">
        <v>11007</v>
      </c>
      <c r="G2172">
        <f>IF('4F'!M15="","##BLANK",'4F'!M15)</f>
        <v>0</v>
      </c>
    </row>
    <row r="2173" spans="2:7">
      <c r="B2173" s="893" t="str">
        <f>+'4F'!BL17</f>
        <v>BM4290EXMWS</v>
      </c>
      <c r="E2173" s="1753" t="s">
        <v>11007</v>
      </c>
      <c r="G2173" t="str">
        <f>IF('4F'!M17="","##BLANK",'4F'!M17)</f>
        <v>##BLANK</v>
      </c>
    </row>
    <row r="2174" spans="2:7">
      <c r="B2174" s="893" t="str">
        <f>+'4F'!BL18</f>
        <v>BM4290AQMWS</v>
      </c>
      <c r="E2174" s="1753" t="s">
        <v>11007</v>
      </c>
      <c r="G2174" t="str">
        <f>IF('4F'!M18="","##BLANK",'4F'!M18)</f>
        <v>##BLANK</v>
      </c>
    </row>
    <row r="2175" spans="2:7">
      <c r="B2175" s="893" t="str">
        <f>+'4F'!BL19</f>
        <v>BM9027EXMWS</v>
      </c>
      <c r="E2175" s="1753" t="s">
        <v>11007</v>
      </c>
      <c r="G2175" t="str">
        <f>IF('4F'!M19="","##BLANK",'4F'!M19)</f>
        <v>##BLANK</v>
      </c>
    </row>
    <row r="2176" spans="2:7">
      <c r="B2176" s="893" t="str">
        <f>+'4F'!BL20</f>
        <v>BM9027AQMWS</v>
      </c>
      <c r="E2176" s="1753" t="s">
        <v>11007</v>
      </c>
      <c r="G2176" t="str">
        <f>IF('4F'!M20="","##BLANK",'4F'!M20)</f>
        <v>##BLANK</v>
      </c>
    </row>
    <row r="2177" spans="2:7">
      <c r="B2177" s="893" t="str">
        <f>+'4F'!BL21</f>
        <v>BM9029MWS</v>
      </c>
      <c r="E2177" s="1753" t="s">
        <v>11007</v>
      </c>
      <c r="G2177">
        <f>IF('4F'!M21="","##BLANK",'4F'!M21)</f>
        <v>0</v>
      </c>
    </row>
    <row r="2178" spans="2:7">
      <c r="B2178" s="893" t="str">
        <f>+'4F'!BL23</f>
        <v>BM4017MWS</v>
      </c>
      <c r="E2178" s="1753" t="s">
        <v>11007</v>
      </c>
      <c r="G2178" t="str">
        <f>IF('4F'!M23="","##BLANK",'4F'!M23)</f>
        <v>##BLANK</v>
      </c>
    </row>
    <row r="2179" spans="2:7">
      <c r="B2179" s="893" t="str">
        <f>+'4F'!BM7</f>
        <v>BM9030MTOT</v>
      </c>
      <c r="E2179" s="1753" t="s">
        <v>11007</v>
      </c>
      <c r="G2179">
        <f>IF('4F'!N7="","##BLANK",'4F'!N7)</f>
        <v>0</v>
      </c>
    </row>
    <row r="2180" spans="2:7">
      <c r="B2180" s="893" t="str">
        <f>+'4F'!BM8</f>
        <v>BM9002MTOT</v>
      </c>
      <c r="E2180" s="1753" t="s">
        <v>11007</v>
      </c>
      <c r="G2180">
        <f>IF('4F'!N8="","##BLANK",'4F'!N8)</f>
        <v>0</v>
      </c>
    </row>
    <row r="2181" spans="2:7">
      <c r="B2181" s="893" t="str">
        <f>+'4F'!BM9</f>
        <v>BM9003MTOT</v>
      </c>
      <c r="E2181" s="1753" t="s">
        <v>11007</v>
      </c>
      <c r="G2181">
        <f>IF('4F'!N9="","##BLANK",'4F'!N9)</f>
        <v>0</v>
      </c>
    </row>
    <row r="2182" spans="2:7">
      <c r="B2182" s="893" t="str">
        <f>+'4F'!BM11</f>
        <v>BM9033MTOT</v>
      </c>
      <c r="E2182" s="1753" t="s">
        <v>11007</v>
      </c>
      <c r="G2182">
        <f>IF('4F'!N11="","##BLANK",'4F'!N11)</f>
        <v>0</v>
      </c>
    </row>
    <row r="2183" spans="2:7">
      <c r="B2183" s="893" t="str">
        <f>+'4F'!BM12</f>
        <v>BM9021MTOT</v>
      </c>
      <c r="E2183" s="1753" t="s">
        <v>11007</v>
      </c>
      <c r="G2183">
        <f>IF('4F'!N12="","##BLANK",'4F'!N12)</f>
        <v>0</v>
      </c>
    </row>
    <row r="2184" spans="2:7">
      <c r="B2184" s="893" t="str">
        <f>+'4F'!BM14</f>
        <v>BM9022MTOT</v>
      </c>
      <c r="E2184" s="1753" t="s">
        <v>11007</v>
      </c>
      <c r="G2184">
        <f>IF('4F'!N14="","##BLANK",'4F'!N14)</f>
        <v>0</v>
      </c>
    </row>
    <row r="2185" spans="2:7">
      <c r="B2185" s="893" t="str">
        <f>+'4F'!BM15</f>
        <v>BM9023MTOT</v>
      </c>
      <c r="E2185" s="1753" t="s">
        <v>11007</v>
      </c>
      <c r="G2185">
        <f>IF('4F'!N15="","##BLANK",'4F'!N15)</f>
        <v>0</v>
      </c>
    </row>
    <row r="2186" spans="2:7">
      <c r="B2186" s="893" t="str">
        <f>+'4F'!BM17</f>
        <v>BM4290EXMTOT</v>
      </c>
      <c r="E2186" s="1753" t="s">
        <v>11007</v>
      </c>
      <c r="G2186">
        <f>IF('4F'!N17="","##BLANK",'4F'!N17)</f>
        <v>0</v>
      </c>
    </row>
    <row r="2187" spans="2:7">
      <c r="B2187" s="893" t="str">
        <f>+'4F'!BM18</f>
        <v>BM4290AQMTOT</v>
      </c>
      <c r="E2187" s="1753" t="s">
        <v>11007</v>
      </c>
      <c r="G2187">
        <f>IF('4F'!N18="","##BLANK",'4F'!N18)</f>
        <v>0</v>
      </c>
    </row>
    <row r="2188" spans="2:7">
      <c r="B2188" s="893" t="str">
        <f>+'4F'!BM19</f>
        <v>BM9027EXMTOT</v>
      </c>
      <c r="E2188" s="1753" t="s">
        <v>11007</v>
      </c>
      <c r="G2188">
        <f>IF('4F'!N19="","##BLANK",'4F'!N19)</f>
        <v>0</v>
      </c>
    </row>
    <row r="2189" spans="2:7">
      <c r="B2189" s="893" t="str">
        <f>+'4F'!BM20</f>
        <v>BM9027AQMTOT</v>
      </c>
      <c r="E2189" s="1753" t="s">
        <v>11007</v>
      </c>
      <c r="G2189">
        <f>IF('4F'!N20="","##BLANK",'4F'!N20)</f>
        <v>0</v>
      </c>
    </row>
    <row r="2190" spans="2:7">
      <c r="B2190" s="893" t="str">
        <f>+'4F'!BM21</f>
        <v>BM9029MTOT</v>
      </c>
      <c r="E2190" s="1753" t="s">
        <v>11007</v>
      </c>
      <c r="G2190">
        <f>IF('4F'!N21="","##BLANK",'4F'!N21)</f>
        <v>0</v>
      </c>
    </row>
    <row r="2191" spans="2:7">
      <c r="B2191" s="893" t="str">
        <f>+'4F'!BM23</f>
        <v>BM4017MTOT</v>
      </c>
      <c r="E2191" s="1753" t="s">
        <v>11007</v>
      </c>
      <c r="G2191">
        <f>IF('4F'!N23="","##BLANK",'4F'!N23)</f>
        <v>0</v>
      </c>
    </row>
    <row r="2192" spans="2:7">
      <c r="B2192" s="893" t="str">
        <f>+'4F'!BN7</f>
        <v>BM9030</v>
      </c>
      <c r="E2192" s="1753" t="s">
        <v>11007</v>
      </c>
      <c r="G2192">
        <f>IF('4F'!O7="","##BLANK",'4F'!O7)</f>
        <v>0</v>
      </c>
    </row>
    <row r="2193" spans="2:7">
      <c r="B2193" s="893" t="str">
        <f>+'4F'!BN8</f>
        <v>BM9002</v>
      </c>
      <c r="E2193" s="1753" t="s">
        <v>11007</v>
      </c>
      <c r="G2193">
        <f>IF('4F'!O8="","##BLANK",'4F'!O8)</f>
        <v>0</v>
      </c>
    </row>
    <row r="2194" spans="2:7">
      <c r="B2194" s="893" t="str">
        <f>+'4F'!BN9</f>
        <v>BM9003</v>
      </c>
      <c r="E2194" s="1753" t="s">
        <v>11007</v>
      </c>
      <c r="G2194">
        <f>IF('4F'!O9="","##BLANK",'4F'!O9)</f>
        <v>0</v>
      </c>
    </row>
    <row r="2195" spans="2:7">
      <c r="B2195" s="893" t="str">
        <f>+'4F'!BN11</f>
        <v>BM9033</v>
      </c>
      <c r="E2195" s="1753" t="s">
        <v>11007</v>
      </c>
      <c r="G2195">
        <f>IF('4F'!O11="","##BLANK",'4F'!O11)</f>
        <v>0</v>
      </c>
    </row>
    <row r="2196" spans="2:7">
      <c r="B2196" s="893" t="str">
        <f>+'4F'!BN12</f>
        <v>BM9021</v>
      </c>
      <c r="E2196" s="1753" t="s">
        <v>11007</v>
      </c>
      <c r="G2196">
        <f>IF('4F'!O12="","##BLANK",'4F'!O12)</f>
        <v>0</v>
      </c>
    </row>
    <row r="2197" spans="2:7">
      <c r="B2197" s="893" t="str">
        <f>+'4F'!BN14</f>
        <v>BM9022</v>
      </c>
      <c r="E2197" s="1753" t="s">
        <v>11007</v>
      </c>
      <c r="G2197">
        <f>IF('4F'!O14="","##BLANK",'4F'!O14)</f>
        <v>0</v>
      </c>
    </row>
    <row r="2198" spans="2:7">
      <c r="B2198" s="893" t="str">
        <f>+'4F'!BN15</f>
        <v>BM9023</v>
      </c>
      <c r="E2198" s="1753" t="s">
        <v>11007</v>
      </c>
      <c r="G2198">
        <f>IF('4F'!O15="","##BLANK",'4F'!O15)</f>
        <v>0</v>
      </c>
    </row>
    <row r="2199" spans="2:7">
      <c r="B2199" s="893" t="str">
        <f>+'4F'!BN17</f>
        <v>BM4290EX</v>
      </c>
      <c r="E2199" s="1753" t="s">
        <v>11007</v>
      </c>
      <c r="G2199">
        <f>IF('4F'!O17="","##BLANK",'4F'!O17)</f>
        <v>0</v>
      </c>
    </row>
    <row r="2200" spans="2:7">
      <c r="B2200" s="893" t="str">
        <f>+'4F'!BN18</f>
        <v>BM4290AQ</v>
      </c>
      <c r="E2200" s="1753" t="s">
        <v>11007</v>
      </c>
      <c r="G2200">
        <f>IF('4F'!O18="","##BLANK",'4F'!O18)</f>
        <v>0</v>
      </c>
    </row>
    <row r="2201" spans="2:7">
      <c r="B2201" s="893" t="str">
        <f>+'4F'!BN19</f>
        <v>BM9027EX</v>
      </c>
      <c r="E2201" s="1753" t="s">
        <v>11007</v>
      </c>
      <c r="G2201">
        <f>IF('4F'!O19="","##BLANK",'4F'!O19)</f>
        <v>0</v>
      </c>
    </row>
    <row r="2202" spans="2:7">
      <c r="B2202" s="893" t="str">
        <f>+'4F'!BN20</f>
        <v>BM9027AQ</v>
      </c>
      <c r="E2202" s="1753" t="s">
        <v>11007</v>
      </c>
      <c r="G2202">
        <f>IF('4F'!O20="","##BLANK",'4F'!O20)</f>
        <v>0</v>
      </c>
    </row>
    <row r="2203" spans="2:7">
      <c r="B2203" s="893" t="str">
        <f>+'4F'!BN21</f>
        <v>BM9029</v>
      </c>
      <c r="E2203" s="1753" t="s">
        <v>11007</v>
      </c>
      <c r="G2203">
        <f>IF('4F'!O21="","##BLANK",'4F'!O21)</f>
        <v>0</v>
      </c>
    </row>
    <row r="2204" spans="2:7">
      <c r="B2204" s="893" t="str">
        <f>+'4F'!BN23</f>
        <v>BM4017</v>
      </c>
      <c r="E2204" s="1753" t="s">
        <v>11007</v>
      </c>
      <c r="G2204">
        <f>IF('4F'!O23="","##BLANK",'4F'!O23)</f>
        <v>0</v>
      </c>
    </row>
    <row r="2205" spans="2:7">
      <c r="B2205" s="893" t="str">
        <f>+'4F'!BN26</f>
        <v>R3006</v>
      </c>
      <c r="E2205" s="1753" t="s">
        <v>11007</v>
      </c>
      <c r="G2205" t="str">
        <f>IF('4F'!O26="","##BLANK",'4F'!O26)</f>
        <v>##BLANK</v>
      </c>
    </row>
    <row r="2206" spans="2:7">
      <c r="B2206" s="893" t="str">
        <f>+'4F'!BN27</f>
        <v>R3007</v>
      </c>
      <c r="E2206" s="1753" t="s">
        <v>11007</v>
      </c>
      <c r="G2206" t="str">
        <f>IF('4F'!O27="","##BLANK",'4F'!O27)</f>
        <v>##BLANK</v>
      </c>
    </row>
    <row r="2207" spans="2:7">
      <c r="B2207" s="893" t="str">
        <f>+'4F'!BN28</f>
        <v>R3008</v>
      </c>
      <c r="E2207" s="1753" t="s">
        <v>11007</v>
      </c>
      <c r="G2207">
        <f>IF('4F'!O28="","##BLANK",'4F'!O28)</f>
        <v>0</v>
      </c>
    </row>
    <row r="2208" spans="2:7">
      <c r="B2208" s="893" t="str">
        <f>+'4F'!BN29</f>
        <v>R3009</v>
      </c>
      <c r="E2208" s="1753" t="s">
        <v>11007</v>
      </c>
      <c r="G2208" t="str">
        <f>IF('4F'!O29="","##BLANK",'4F'!O29)</f>
        <v>##BLANK</v>
      </c>
    </row>
    <row r="2209" spans="2:7">
      <c r="B2209" s="893" t="str">
        <f>+'4F'!BN30</f>
        <v>R3010</v>
      </c>
      <c r="E2209" s="1753" t="s">
        <v>11007</v>
      </c>
      <c r="G2209" t="str">
        <f>IF('4F'!O30="","##BLANK",'4F'!O30)</f>
        <v>##BLANK</v>
      </c>
    </row>
    <row r="2210" spans="2:7">
      <c r="B2210" s="893" t="str">
        <f>+'4F'!BN31</f>
        <v>R3011</v>
      </c>
      <c r="E2210" s="1753" t="s">
        <v>11007</v>
      </c>
      <c r="G2210">
        <f>IF('4F'!O31="","##BLANK",'4F'!O31)</f>
        <v>0</v>
      </c>
    </row>
    <row r="2211" spans="2:7">
      <c r="B2211" s="893" t="str">
        <f>+'4G'!AH5</f>
        <v>W9010</v>
      </c>
      <c r="E2211" s="1753" t="s">
        <v>11007</v>
      </c>
      <c r="G2211">
        <f>IF('4G'!G5="","##BLANK",'4G'!G5)</f>
        <v>0</v>
      </c>
    </row>
    <row r="2212" spans="2:7">
      <c r="B2212" s="893" t="str">
        <f>+'4G'!AH6</f>
        <v>BM351TASN</v>
      </c>
      <c r="E2212" s="1753" t="s">
        <v>11007</v>
      </c>
      <c r="G2212">
        <f>IF('4G'!G6="","##BLANK",'4G'!G6)</f>
        <v>0</v>
      </c>
    </row>
    <row r="2213" spans="2:7">
      <c r="B2213" s="893" t="str">
        <f>+'4G'!AH7</f>
        <v>BM349TAS</v>
      </c>
      <c r="E2213" s="1753" t="s">
        <v>11007</v>
      </c>
      <c r="G2213" t="str">
        <f>IF('4G'!G7="","##BLANK",'4G'!G7)</f>
        <v>##BLANK</v>
      </c>
    </row>
    <row r="2214" spans="2:7">
      <c r="B2214" s="893" t="str">
        <f>+'4G'!AH9</f>
        <v>BO3166WPL</v>
      </c>
      <c r="E2214" s="1753" t="s">
        <v>11007</v>
      </c>
      <c r="G2214">
        <f>IF('4G'!G9="","##BLANK",'4G'!G9)</f>
        <v>0</v>
      </c>
    </row>
    <row r="2215" spans="2:7">
      <c r="B2215" s="893" t="str">
        <f>+'4G'!AH11</f>
        <v>A10007WW</v>
      </c>
      <c r="E2215" s="1753" t="s">
        <v>11007</v>
      </c>
      <c r="G2215" t="str">
        <f>IF('4G'!G11="","##BLANK",'4G'!G11)</f>
        <v>##BLANK</v>
      </c>
    </row>
    <row r="2216" spans="2:7">
      <c r="B2216" s="893" t="str">
        <f>+'4G'!AH12</f>
        <v>A10008WW</v>
      </c>
      <c r="E2216" s="1753" t="s">
        <v>11007</v>
      </c>
      <c r="G2216" t="str">
        <f>IF('4G'!G12="","##BLANK",'4G'!G12)</f>
        <v>##BLANK</v>
      </c>
    </row>
    <row r="2217" spans="2:7">
      <c r="B2217" s="893" t="str">
        <f>+'4G'!AH13</f>
        <v>A10009WW</v>
      </c>
      <c r="E2217" s="1753" t="s">
        <v>11007</v>
      </c>
      <c r="G2217" t="str">
        <f>IF('4G'!G13="","##BLANK",'4G'!G13)</f>
        <v>##BLANK</v>
      </c>
    </row>
    <row r="2218" spans="2:7">
      <c r="B2218" s="893" t="str">
        <f>+'4G'!AH14</f>
        <v>A10010WW</v>
      </c>
      <c r="E2218" s="1753" t="s">
        <v>11007</v>
      </c>
      <c r="G2218" t="str">
        <f>IF('4G'!G14="","##BLANK",'4G'!G14)</f>
        <v>##BLANK</v>
      </c>
    </row>
    <row r="2219" spans="2:7">
      <c r="B2219" s="893" t="str">
        <f>+'4G'!AH15</f>
        <v>A10011WW</v>
      </c>
      <c r="E2219" s="1753" t="s">
        <v>11007</v>
      </c>
      <c r="G2219">
        <f>IF('4G'!G15="","##BLANK",'4G'!G15)</f>
        <v>0</v>
      </c>
    </row>
    <row r="2220" spans="2:7">
      <c r="B2220" s="893" t="str">
        <f>+'4G'!AH17</f>
        <v>A10012WW</v>
      </c>
      <c r="E2220" s="1753" t="s">
        <v>11007</v>
      </c>
      <c r="G2220" t="str">
        <f>IF('4G'!G17="","##BLANK",'4G'!G17)</f>
        <v>##BLANK</v>
      </c>
    </row>
    <row r="2221" spans="2:7">
      <c r="B2221" s="893" t="str">
        <f>+'4G'!AH18</f>
        <v>A10013WW</v>
      </c>
      <c r="E2221" s="1753" t="s">
        <v>11007</v>
      </c>
      <c r="G2221">
        <f>IF('4G'!G18="","##BLANK",'4G'!G18)</f>
        <v>0</v>
      </c>
    </row>
    <row r="2222" spans="2:7">
      <c r="B2222" s="893" t="str">
        <f>+'4G'!AI5</f>
        <v>S9010</v>
      </c>
      <c r="E2222" s="1753" t="s">
        <v>11007</v>
      </c>
      <c r="G2222">
        <f>IF('4G'!H5="","##BLANK",'4G'!H5)</f>
        <v>0</v>
      </c>
    </row>
    <row r="2223" spans="2:7">
      <c r="B2223" s="893" t="str">
        <f>+'4G'!AI6</f>
        <v>BM850TASN</v>
      </c>
      <c r="E2223" s="1753" t="s">
        <v>11007</v>
      </c>
      <c r="G2223">
        <f>IF('4G'!H6="","##BLANK",'4G'!H6)</f>
        <v>0</v>
      </c>
    </row>
    <row r="2224" spans="2:7">
      <c r="B2224" s="893" t="str">
        <f>+'4G'!AI7</f>
        <v>BM815TAS</v>
      </c>
      <c r="E2224" s="1753" t="s">
        <v>11007</v>
      </c>
      <c r="G2224" t="str">
        <f>IF('4G'!H7="","##BLANK",'4G'!H7)</f>
        <v>##BLANK</v>
      </c>
    </row>
    <row r="2225" spans="2:7">
      <c r="B2225" s="893" t="str">
        <f>+'4G'!AI9</f>
        <v>BO3166SPL</v>
      </c>
      <c r="E2225" s="1753" t="s">
        <v>11007</v>
      </c>
      <c r="G2225">
        <f>IF('4G'!H9="","##BLANK",'4G'!H9)</f>
        <v>0</v>
      </c>
    </row>
    <row r="2226" spans="2:7">
      <c r="B2226" s="893" t="str">
        <f>+'4G'!AI11</f>
        <v>A10007WS</v>
      </c>
      <c r="E2226" s="1753" t="s">
        <v>11007</v>
      </c>
      <c r="G2226" t="str">
        <f>IF('4G'!H11="","##BLANK",'4G'!H11)</f>
        <v>##BLANK</v>
      </c>
    </row>
    <row r="2227" spans="2:7">
      <c r="B2227" s="893" t="str">
        <f>+'4G'!AI12</f>
        <v>A10008WS</v>
      </c>
      <c r="E2227" s="1753" t="s">
        <v>11007</v>
      </c>
      <c r="G2227" t="str">
        <f>IF('4G'!H12="","##BLANK",'4G'!H12)</f>
        <v>##BLANK</v>
      </c>
    </row>
    <row r="2228" spans="2:7">
      <c r="B2228" s="893" t="str">
        <f>+'4G'!AI13</f>
        <v>A10009WS</v>
      </c>
      <c r="E2228" s="1753" t="s">
        <v>11007</v>
      </c>
      <c r="G2228" t="str">
        <f>IF('4G'!H13="","##BLANK",'4G'!H13)</f>
        <v>##BLANK</v>
      </c>
    </row>
    <row r="2229" spans="2:7">
      <c r="B2229" s="893" t="str">
        <f>+'4G'!AI14</f>
        <v>A10010WS</v>
      </c>
      <c r="E2229" s="1753" t="s">
        <v>11007</v>
      </c>
      <c r="G2229" t="str">
        <f>IF('4G'!H14="","##BLANK",'4G'!H14)</f>
        <v>##BLANK</v>
      </c>
    </row>
    <row r="2230" spans="2:7">
      <c r="B2230" s="893" t="str">
        <f>+'4G'!AI15</f>
        <v>A10011WS</v>
      </c>
      <c r="E2230" s="1753" t="s">
        <v>11007</v>
      </c>
      <c r="G2230">
        <f>IF('4G'!H15="","##BLANK",'4G'!H15)</f>
        <v>0</v>
      </c>
    </row>
    <row r="2231" spans="2:7">
      <c r="B2231" s="893" t="str">
        <f>+'4G'!AI17</f>
        <v>A10012WS</v>
      </c>
      <c r="E2231" s="1753" t="s">
        <v>11007</v>
      </c>
      <c r="G2231" t="str">
        <f>IF('4G'!H17="","##BLANK",'4G'!H17)</f>
        <v>##BLANK</v>
      </c>
    </row>
    <row r="2232" spans="2:7">
      <c r="B2232" s="893" t="str">
        <f>+'4G'!AI18</f>
        <v>A10013WS</v>
      </c>
      <c r="E2232" s="1753" t="s">
        <v>11007</v>
      </c>
      <c r="G2232">
        <f>IF('4G'!H18="","##BLANK",'4G'!H18)</f>
        <v>0</v>
      </c>
    </row>
    <row r="2233" spans="2:7">
      <c r="B2233" s="893" t="str">
        <f>+'4G'!AJ5</f>
        <v>S9010TTT</v>
      </c>
      <c r="E2233" s="1753" t="s">
        <v>11007</v>
      </c>
      <c r="G2233">
        <f>IF('4G'!I5="","##BLANK",'4G'!I5)</f>
        <v>0</v>
      </c>
    </row>
    <row r="2234" spans="2:7">
      <c r="B2234" s="893" t="str">
        <f>+'4G'!AJ6</f>
        <v>BM850TTTN</v>
      </c>
      <c r="E2234" s="1753" t="s">
        <v>11007</v>
      </c>
      <c r="G2234">
        <f>IF('4G'!I6="","##BLANK",'4G'!I6)</f>
        <v>0</v>
      </c>
    </row>
    <row r="2235" spans="2:7">
      <c r="B2235" s="893" t="str">
        <f>+'4G'!AJ7</f>
        <v>BM815TASTTT</v>
      </c>
      <c r="E2235" s="1753" t="s">
        <v>11007</v>
      </c>
      <c r="G2235" t="str">
        <f>IF('4G'!I7="","##BLANK",'4G'!I7)</f>
        <v>##BLANK</v>
      </c>
    </row>
    <row r="2236" spans="2:7">
      <c r="B2236" s="893" t="str">
        <f>+'4G'!AJ9</f>
        <v>BO3166SPLTTT</v>
      </c>
      <c r="E2236" s="1753" t="s">
        <v>11007</v>
      </c>
      <c r="G2236">
        <f>IF('4G'!I9="","##BLANK",'4G'!I9)</f>
        <v>0</v>
      </c>
    </row>
    <row r="2237" spans="2:7">
      <c r="B2237" s="893" t="str">
        <f>+'4G'!AJ11</f>
        <v>A10007WSTTT</v>
      </c>
      <c r="E2237" s="1753" t="s">
        <v>11007</v>
      </c>
      <c r="G2237" t="str">
        <f>IF('4G'!I11="","##BLANK",'4G'!I11)</f>
        <v>##BLANK</v>
      </c>
    </row>
    <row r="2238" spans="2:7">
      <c r="B2238" s="893" t="str">
        <f>+'4G'!AJ12</f>
        <v>A10008WSTTT</v>
      </c>
      <c r="E2238" s="1753" t="s">
        <v>11007</v>
      </c>
      <c r="G2238" t="str">
        <f>IF('4G'!I12="","##BLANK",'4G'!I12)</f>
        <v>##BLANK</v>
      </c>
    </row>
    <row r="2239" spans="2:7">
      <c r="B2239" s="893" t="str">
        <f>+'4G'!AJ13</f>
        <v>A10009WSTTT</v>
      </c>
      <c r="E2239" s="1753" t="s">
        <v>11007</v>
      </c>
      <c r="G2239" t="str">
        <f>IF('4G'!I13="","##BLANK",'4G'!I13)</f>
        <v>##BLANK</v>
      </c>
    </row>
    <row r="2240" spans="2:7">
      <c r="B2240" s="893" t="str">
        <f>+'4G'!AJ14</f>
        <v>A10010WSTTT</v>
      </c>
      <c r="E2240" s="1753" t="s">
        <v>11007</v>
      </c>
      <c r="G2240" t="str">
        <f>IF('4G'!I14="","##BLANK",'4G'!I14)</f>
        <v>##BLANK</v>
      </c>
    </row>
    <row r="2241" spans="2:7">
      <c r="B2241" s="893" t="str">
        <f>+'4G'!AJ15</f>
        <v>A10011WSTTT</v>
      </c>
      <c r="E2241" s="1753" t="s">
        <v>11007</v>
      </c>
      <c r="G2241">
        <f>IF('4G'!I15="","##BLANK",'4G'!I15)</f>
        <v>0</v>
      </c>
    </row>
    <row r="2242" spans="2:7">
      <c r="B2242" s="893" t="str">
        <f>+'4G'!AJ17</f>
        <v>A10012WSTTT</v>
      </c>
      <c r="E2242" s="1753" t="s">
        <v>11007</v>
      </c>
      <c r="G2242" t="str">
        <f>IF('4G'!I17="","##BLANK",'4G'!I17)</f>
        <v>##BLANK</v>
      </c>
    </row>
    <row r="2243" spans="2:7">
      <c r="B2243" s="893" t="str">
        <f>+'4G'!AJ18</f>
        <v>A10013WSTTT</v>
      </c>
      <c r="E2243" s="1753" t="s">
        <v>11007</v>
      </c>
      <c r="G2243">
        <f>IF('4G'!I18="","##BLANK",'4G'!I18)</f>
        <v>0</v>
      </c>
    </row>
    <row r="2244" spans="2:7">
      <c r="B2244" s="893" t="str">
        <f>+'4G'!AK5</f>
        <v>T9010</v>
      </c>
      <c r="E2244" s="1753" t="s">
        <v>11007</v>
      </c>
      <c r="G2244">
        <f>IF('4G'!J5="","##BLANK",'4G'!J5)</f>
        <v>0</v>
      </c>
    </row>
    <row r="2245" spans="2:7">
      <c r="B2245" s="893" t="str">
        <f>+'4G'!AK6</f>
        <v>BM924TAS</v>
      </c>
      <c r="E2245" s="1753" t="s">
        <v>11007</v>
      </c>
      <c r="G2245">
        <f>IF('4G'!J6="","##BLANK",'4G'!J6)</f>
        <v>0</v>
      </c>
    </row>
    <row r="2246" spans="2:7">
      <c r="B2246" s="893" t="str">
        <f>+'4G'!AK7</f>
        <v>BM915TAS</v>
      </c>
      <c r="E2246" s="1753" t="s">
        <v>11007</v>
      </c>
      <c r="G2246">
        <f>IF('4G'!J7="","##BLANK",'4G'!J7)</f>
        <v>0</v>
      </c>
    </row>
    <row r="2247" spans="2:7">
      <c r="B2247" s="893" t="str">
        <f>+'4G'!AK8</f>
        <v>A10005</v>
      </c>
      <c r="E2247" s="1753" t="s">
        <v>11007</v>
      </c>
      <c r="G2247">
        <f>IF('4G'!J8="","##BLANK",'4G'!J8)</f>
        <v>0</v>
      </c>
    </row>
    <row r="2248" spans="2:7">
      <c r="B2248" s="893" t="str">
        <f>+'4G'!AK9</f>
        <v>BO3166PL</v>
      </c>
      <c r="E2248" s="1753" t="s">
        <v>11007</v>
      </c>
      <c r="G2248">
        <f>IF('4G'!J9="","##BLANK",'4G'!J9)</f>
        <v>0</v>
      </c>
    </row>
    <row r="2249" spans="2:7">
      <c r="B2249" s="893" t="str">
        <f>+'4G'!AK11</f>
        <v>A10007</v>
      </c>
      <c r="E2249" s="1753" t="s">
        <v>11007</v>
      </c>
      <c r="G2249">
        <f>IF('4G'!J11="","##BLANK",'4G'!J11)</f>
        <v>0</v>
      </c>
    </row>
    <row r="2250" spans="2:7">
      <c r="B2250" s="893" t="str">
        <f>+'4G'!AK12</f>
        <v>A10008</v>
      </c>
      <c r="E2250" s="1753" t="s">
        <v>11007</v>
      </c>
      <c r="G2250">
        <f>IF('4G'!J12="","##BLANK",'4G'!J12)</f>
        <v>0</v>
      </c>
    </row>
    <row r="2251" spans="2:7">
      <c r="B2251" s="893" t="str">
        <f>+'4G'!AK13</f>
        <v>A10009</v>
      </c>
      <c r="E2251" s="1753" t="s">
        <v>11007</v>
      </c>
      <c r="G2251">
        <f>IF('4G'!J13="","##BLANK",'4G'!J13)</f>
        <v>0</v>
      </c>
    </row>
    <row r="2252" spans="2:7">
      <c r="B2252" s="893" t="str">
        <f>+'4G'!AK14</f>
        <v>A10010</v>
      </c>
      <c r="E2252" s="1753" t="s">
        <v>11007</v>
      </c>
      <c r="G2252">
        <f>IF('4G'!J14="","##BLANK",'4G'!J14)</f>
        <v>0</v>
      </c>
    </row>
    <row r="2253" spans="2:7">
      <c r="B2253" s="893" t="str">
        <f>+'4G'!AK15</f>
        <v>A10011</v>
      </c>
      <c r="E2253" s="1753" t="s">
        <v>11007</v>
      </c>
      <c r="G2253">
        <f>IF('4G'!J15="","##BLANK",'4G'!J15)</f>
        <v>0</v>
      </c>
    </row>
    <row r="2254" spans="2:7">
      <c r="B2254" s="893" t="str">
        <f>+'4G'!AK17</f>
        <v>A10012</v>
      </c>
      <c r="E2254" s="1753" t="s">
        <v>11007</v>
      </c>
      <c r="G2254">
        <f>IF('4G'!J17="","##BLANK",'4G'!J17)</f>
        <v>0</v>
      </c>
    </row>
    <row r="2255" spans="2:7">
      <c r="B2255" s="893" t="str">
        <f>+'4G'!AK18</f>
        <v>A10013</v>
      </c>
      <c r="E2255" s="1753" t="s">
        <v>11007</v>
      </c>
      <c r="G2255">
        <f>IF('4G'!J18="","##BLANK",'4G'!J18)</f>
        <v>0</v>
      </c>
    </row>
    <row r="2256" spans="2:7">
      <c r="B2256" s="893" t="str">
        <f>'4H'!AH8</f>
        <v>RCT00600</v>
      </c>
      <c r="E2256" s="1753" t="s">
        <v>11007</v>
      </c>
      <c r="G2256">
        <f>IF('4H'!G8="","##BLANK",'4H'!G8)</f>
        <v>0</v>
      </c>
    </row>
    <row r="2257" spans="2:7">
      <c r="B2257" s="893" t="str">
        <f>'4H'!AH10</f>
        <v>T19004PT</v>
      </c>
      <c r="E2257" s="1753" t="s">
        <v>11007</v>
      </c>
      <c r="G2257" t="str">
        <f>IF('4H'!G10="","##BLANK",'4H'!G10)</f>
        <v>##BLANK</v>
      </c>
    </row>
    <row r="2258" spans="2:7">
      <c r="B2258" s="893" t="str">
        <f>'4H'!AH11</f>
        <v>T19004</v>
      </c>
      <c r="E2258" s="1753" t="s">
        <v>11007</v>
      </c>
      <c r="G2258" t="str">
        <f>IF('4H'!G11="","##BLANK",'4H'!G11)</f>
        <v>##BLANK</v>
      </c>
    </row>
    <row r="2259" spans="2:7" s="2146" customFormat="1">
      <c r="B2259" s="2722" t="str">
        <f>'4H'!AI11</f>
        <v>T19004AMP</v>
      </c>
      <c r="C2259" s="1382"/>
      <c r="E2259" s="1753" t="s">
        <v>11007</v>
      </c>
      <c r="G2259" s="2146" t="str">
        <f>IF('4H'!H11="","##BLANK",'4H'!H11)</f>
        <v>##BLANK</v>
      </c>
    </row>
    <row r="2260" spans="2:7">
      <c r="B2260" s="893" t="str">
        <f>'4H'!AH12</f>
        <v>CR1050</v>
      </c>
      <c r="E2260" s="1753" t="s">
        <v>11007</v>
      </c>
      <c r="G2260" t="str">
        <f>IF('4H'!G12="","##BLANK",'4H'!G12)</f>
        <v>##BLANK</v>
      </c>
    </row>
    <row r="2261" spans="2:7">
      <c r="B2261" s="893" t="str">
        <f>'4H'!AH13</f>
        <v>R5004HH</v>
      </c>
      <c r="E2261" s="1753" t="s">
        <v>11007</v>
      </c>
      <c r="G2261">
        <f>IF('4H'!G13="","##BLANK",'4H'!G13)</f>
        <v>8.7648544117352373E-2</v>
      </c>
    </row>
    <row r="2262" spans="2:7">
      <c r="B2262" s="893" t="str">
        <f>'4H'!AH14</f>
        <v>R5004NH</v>
      </c>
      <c r="E2262" s="1753" t="s">
        <v>11007</v>
      </c>
      <c r="G2262">
        <f>IF('4H'!G14="","##BLANK",'4H'!G14)</f>
        <v>5.9891665044935027E-17</v>
      </c>
    </row>
    <row r="2263" spans="2:7">
      <c r="B2263" s="893" t="str">
        <f>'4H'!AH15</f>
        <v>A8012FM</v>
      </c>
      <c r="E2263" s="1753" t="s">
        <v>11007</v>
      </c>
      <c r="G2263" t="str">
        <f>IF('4H'!G15="","##BLANK",'4H'!G15)</f>
        <v>##BLANK</v>
      </c>
    </row>
    <row r="2264" spans="2:7">
      <c r="B2264" s="893" t="str">
        <f>'4H'!AH16</f>
        <v>CR19006</v>
      </c>
      <c r="E2264" s="1753" t="s">
        <v>11007</v>
      </c>
      <c r="G2264" t="str">
        <f>IF('4H'!G16="","##BLANK",'4H'!G16)</f>
        <v>##BLANK</v>
      </c>
    </row>
    <row r="2265" spans="2:7">
      <c r="B2265" s="893" t="str">
        <f>'4H'!AH17</f>
        <v>CR2610</v>
      </c>
      <c r="E2265" s="1753" t="s">
        <v>11007</v>
      </c>
      <c r="G2265" t="str">
        <f>IF('4H'!G17="","##BLANK",'4H'!G17)</f>
        <v>##BLANK</v>
      </c>
    </row>
    <row r="2266" spans="2:7">
      <c r="B2266" s="893" t="str">
        <f>'4H'!AH18</f>
        <v>A14025</v>
      </c>
      <c r="E2266" s="1753" t="s">
        <v>11007</v>
      </c>
      <c r="G2266">
        <f>IF('4H'!G18="","##BLANK",'4H'!G18)</f>
        <v>0</v>
      </c>
    </row>
    <row r="2267" spans="2:7">
      <c r="B2267" s="893" t="str">
        <f>'4H'!AH19</f>
        <v>CR1051</v>
      </c>
      <c r="E2267" s="1753" t="s">
        <v>11007</v>
      </c>
      <c r="G2267" t="str">
        <f>IF('4H'!G19="","##BLANK",'4H'!G19)</f>
        <v>##BLANK</v>
      </c>
    </row>
    <row r="2268" spans="2:7">
      <c r="B2268" s="893" t="str">
        <f>'4H'!AH20</f>
        <v>CR1052</v>
      </c>
      <c r="E2268" s="1753" t="s">
        <v>11007</v>
      </c>
      <c r="G2268" t="str">
        <f>IF('4H'!G20="","##BLANK",'4H'!G20)</f>
        <v>##BLANK</v>
      </c>
    </row>
    <row r="2269" spans="2:7">
      <c r="B2269" s="893" t="str">
        <f>'4H'!AH21</f>
        <v>CR1053</v>
      </c>
      <c r="E2269" s="1753" t="s">
        <v>11007</v>
      </c>
      <c r="G2269">
        <f>IF('4H'!G21="","##BLANK",'4H'!G21)</f>
        <v>0</v>
      </c>
    </row>
    <row r="2270" spans="2:7">
      <c r="B2270" s="893" t="str">
        <f>'4H'!AH22</f>
        <v>CR1054</v>
      </c>
      <c r="E2270" s="1753" t="s">
        <v>11007</v>
      </c>
      <c r="G2270" t="str">
        <f>IF('4H'!G22="","##BLANK",'4H'!G22)</f>
        <v>##BLANK</v>
      </c>
    </row>
    <row r="2271" spans="2:7">
      <c r="B2271" s="893" t="str">
        <f>'4H'!AH23</f>
        <v>CR1055</v>
      </c>
      <c r="E2271" s="1753" t="s">
        <v>11007</v>
      </c>
      <c r="G2271">
        <f>IF('4H'!G23="","##BLANK",'4H'!G23)</f>
        <v>0</v>
      </c>
    </row>
    <row r="2272" spans="2:7">
      <c r="B2272" s="893" t="str">
        <f>'4H'!AH24</f>
        <v>CR1056</v>
      </c>
      <c r="E2272" s="1753" t="s">
        <v>11007</v>
      </c>
      <c r="G2272">
        <f>IF('4H'!G24="","##BLANK",'4H'!G24)</f>
        <v>0</v>
      </c>
    </row>
    <row r="2273" spans="2:7">
      <c r="B2273" s="893" t="str">
        <f>'4H'!AH28</f>
        <v>CR1057</v>
      </c>
      <c r="E2273" s="1753" t="s">
        <v>11007</v>
      </c>
      <c r="G2273">
        <f>IF('4H'!G28="","##BLANK",'4H'!G28)</f>
        <v>0</v>
      </c>
    </row>
    <row r="2274" spans="2:7">
      <c r="B2274" s="893" t="str">
        <f>'4H'!AH31</f>
        <v>CR1066</v>
      </c>
      <c r="E2274" s="1753" t="s">
        <v>11007</v>
      </c>
      <c r="G2274" t="str">
        <f>IF('4H'!G31="","##BLANK",'4H'!G31)</f>
        <v>##BLANK</v>
      </c>
    </row>
    <row r="2275" spans="2:7">
      <c r="B2275" s="893" t="str">
        <f>'4H'!AH32</f>
        <v>CR1067</v>
      </c>
      <c r="E2275" s="1753" t="s">
        <v>11007</v>
      </c>
      <c r="G2275" t="str">
        <f>IF('4H'!G32="","##BLANK",'4H'!G32)</f>
        <v>##BLANK</v>
      </c>
    </row>
    <row r="2276" spans="2:7">
      <c r="B2276" s="893" t="str">
        <f>'4H'!AH33</f>
        <v>CR1068</v>
      </c>
      <c r="E2276" s="1753" t="s">
        <v>11007</v>
      </c>
      <c r="G2276" t="str">
        <f>IF('4H'!G33="","##BLANK",'4H'!G33)</f>
        <v>##BLANK</v>
      </c>
    </row>
    <row r="2277" spans="2:7">
      <c r="B2277" s="893" t="str">
        <f>'4H'!AH34</f>
        <v>CR1069</v>
      </c>
      <c r="E2277" s="1753" t="s">
        <v>11007</v>
      </c>
      <c r="G2277" t="str">
        <f>IF('4H'!G34="","##BLANK",'4H'!G34)</f>
        <v>##BLANK</v>
      </c>
    </row>
    <row r="2278" spans="2:7">
      <c r="B2278" s="893" t="str">
        <f>'4H'!AH35</f>
        <v>CR1070</v>
      </c>
      <c r="E2278" s="1753" t="s">
        <v>11007</v>
      </c>
      <c r="G2278" t="str">
        <f>IF('4H'!G35="","##BLANK",'4H'!G35)</f>
        <v>##BLANK</v>
      </c>
    </row>
    <row r="2279" spans="2:7" s="2146" customFormat="1">
      <c r="B2279" s="893" t="str">
        <f>'4H'!AH36</f>
        <v>CR1073</v>
      </c>
      <c r="C2279" s="1382"/>
      <c r="E2279" s="1753" t="s">
        <v>11007</v>
      </c>
      <c r="G2279" s="2146" t="str">
        <f>IF('4H'!G36="","##BLANK",'4H'!G36)</f>
        <v>##BLANK</v>
      </c>
    </row>
    <row r="2280" spans="2:7">
      <c r="B2280" s="893" t="str">
        <f>'4H'!AH37</f>
        <v>CR1071</v>
      </c>
      <c r="E2280" s="1753" t="s">
        <v>11007</v>
      </c>
      <c r="G2280">
        <f>IF('4H'!G37="","##BLANK",'4H'!G37)</f>
        <v>0</v>
      </c>
    </row>
    <row r="2281" spans="2:7">
      <c r="B2281" s="893" t="str">
        <f>'4H'!AH40</f>
        <v>CR1058</v>
      </c>
      <c r="E2281" s="1753" t="s">
        <v>11007</v>
      </c>
      <c r="G2281">
        <f>IF('4H'!G40="","##BLANK",'4H'!G40)</f>
        <v>0</v>
      </c>
    </row>
    <row r="2282" spans="2:7">
      <c r="B2282" s="893" t="str">
        <f>'4H'!AH41</f>
        <v>CR1059</v>
      </c>
      <c r="E2282" s="1753" t="s">
        <v>11007</v>
      </c>
      <c r="G2282">
        <f>IF('4H'!G41="","##BLANK",'4H'!G41)</f>
        <v>0</v>
      </c>
    </row>
    <row r="2283" spans="2:7">
      <c r="B2283" s="893" t="str">
        <f>'4H'!AH42</f>
        <v>CR1060</v>
      </c>
      <c r="E2283" s="1753" t="s">
        <v>11007</v>
      </c>
      <c r="G2283">
        <f>IF('4H'!G42="","##BLANK",'4H'!G42)</f>
        <v>0</v>
      </c>
    </row>
    <row r="2284" spans="2:7">
      <c r="B2284" s="893" t="str">
        <f>'4H'!AH43</f>
        <v>CR1061</v>
      </c>
      <c r="E2284" s="1753" t="s">
        <v>11007</v>
      </c>
      <c r="G2284" t="str">
        <f>IF('4H'!G43="","##BLANK",'4H'!G43)</f>
        <v>##BLANK</v>
      </c>
    </row>
    <row r="2285" spans="2:7">
      <c r="B2285" s="893" t="str">
        <f>'4H'!AH44</f>
        <v>CR1062</v>
      </c>
      <c r="E2285" s="1753" t="s">
        <v>11007</v>
      </c>
      <c r="G2285" t="str">
        <f>IF('4H'!G44="","##BLANK",'4H'!G44)</f>
        <v>##BLANK</v>
      </c>
    </row>
    <row r="2286" spans="2:7">
      <c r="B2286" s="893" t="str">
        <f>'4H'!AH45</f>
        <v>CR1063</v>
      </c>
      <c r="E2286" s="1753" t="s">
        <v>11007</v>
      </c>
      <c r="G2286" t="str">
        <f>IF('4H'!G45="","##BLANK",'4H'!G45)</f>
        <v>##BLANK</v>
      </c>
    </row>
    <row r="2287" spans="2:7">
      <c r="B2287" s="893" t="str">
        <f>'4H'!AH46</f>
        <v>CR1064</v>
      </c>
      <c r="E2287" s="1753" t="s">
        <v>11007</v>
      </c>
      <c r="G2287" t="str">
        <f>IF('4H'!G46="","##BLANK",'4H'!G46)</f>
        <v>##BLANK</v>
      </c>
    </row>
    <row r="2288" spans="2:7">
      <c r="B2288" s="893" t="str">
        <f>'4H'!AH47</f>
        <v>CR1065</v>
      </c>
      <c r="E2288" s="1753" t="s">
        <v>11007</v>
      </c>
      <c r="G2288" t="str">
        <f>IF('4H'!G47="","##BLANK",'4H'!G47)</f>
        <v>##BLANK</v>
      </c>
    </row>
    <row r="2289" spans="2:7">
      <c r="B2289" s="893" t="str">
        <f>'4H'!AI31</f>
        <v>CR1076</v>
      </c>
      <c r="E2289" s="1753" t="s">
        <v>11007</v>
      </c>
      <c r="G2289" t="str">
        <f>IF('4H'!H31="","##BLANK",'4H'!H31)</f>
        <v>##BLANK</v>
      </c>
    </row>
    <row r="2290" spans="2:7">
      <c r="B2290" s="893" t="str">
        <f>'4H'!AI32</f>
        <v>CR1077</v>
      </c>
      <c r="E2290" s="1753" t="s">
        <v>11007</v>
      </c>
      <c r="G2290" t="str">
        <f>IF('4H'!H32="","##BLANK",'4H'!H32)</f>
        <v>##BLANK</v>
      </c>
    </row>
    <row r="2291" spans="2:7">
      <c r="B2291" s="893" t="str">
        <f>'4H'!AI33</f>
        <v>CR1078</v>
      </c>
      <c r="E2291" s="1753" t="s">
        <v>11007</v>
      </c>
      <c r="G2291" t="str">
        <f>IF('4H'!H33="","##BLANK",'4H'!H33)</f>
        <v>##BLANK</v>
      </c>
    </row>
    <row r="2292" spans="2:7">
      <c r="B2292" s="893" t="str">
        <f>'4H'!AI34</f>
        <v>CR1079</v>
      </c>
      <c r="E2292" s="1753" t="s">
        <v>11007</v>
      </c>
      <c r="G2292" t="str">
        <f>IF('4H'!H34="","##BLANK",'4H'!H34)</f>
        <v>##BLANK</v>
      </c>
    </row>
    <row r="2293" spans="2:7">
      <c r="B2293" s="893" t="str">
        <f>'4H'!AI35</f>
        <v>CR1080</v>
      </c>
      <c r="E2293" s="1753" t="s">
        <v>11007</v>
      </c>
      <c r="G2293" t="str">
        <f>IF('4H'!H35="","##BLANK",'4H'!H35)</f>
        <v>##BLANK</v>
      </c>
    </row>
    <row r="2294" spans="2:7" s="2146" customFormat="1">
      <c r="B2294" s="893" t="str">
        <f>'4H'!AI36</f>
        <v>CR1083</v>
      </c>
      <c r="C2294" s="1382"/>
      <c r="E2294" s="1753" t="s">
        <v>11007</v>
      </c>
      <c r="G2294" s="2146" t="str">
        <f>IF('4H'!H36="","##BLANK",'4H'!H36)</f>
        <v>##BLANK</v>
      </c>
    </row>
    <row r="2295" spans="2:7">
      <c r="B2295" s="893" t="str">
        <f>'4H'!AI37</f>
        <v>CR1081</v>
      </c>
      <c r="E2295" s="1753" t="s">
        <v>11007</v>
      </c>
      <c r="G2295">
        <f>IF('4H'!H37="","##BLANK",'4H'!H37)</f>
        <v>0</v>
      </c>
    </row>
    <row r="2296" spans="2:7">
      <c r="B2296" s="893" t="str">
        <f>'4I'!BF8</f>
        <v>CR2021N1</v>
      </c>
      <c r="E2296" s="1753" t="s">
        <v>11007</v>
      </c>
      <c r="G2296" t="str">
        <f>IF('4I'!G8="","##BLANK",'4I'!G8)</f>
        <v>##BLANK</v>
      </c>
    </row>
    <row r="2297" spans="2:7">
      <c r="B2297" s="893" t="str">
        <f>'4I'!BF9</f>
        <v>CR2022N1</v>
      </c>
      <c r="E2297" s="1753" t="s">
        <v>11007</v>
      </c>
      <c r="G2297" t="str">
        <f>IF('4I'!G9="","##BLANK",'4I'!G9)</f>
        <v>##BLANK</v>
      </c>
    </row>
    <row r="2298" spans="2:7">
      <c r="B2298" s="893" t="str">
        <f>'4I'!BF10</f>
        <v>CR2023N1</v>
      </c>
      <c r="E2298" s="1753" t="s">
        <v>11007</v>
      </c>
      <c r="G2298" t="str">
        <f>IF('4I'!G10="","##BLANK",'4I'!G10)</f>
        <v>##BLANK</v>
      </c>
    </row>
    <row r="2299" spans="2:7">
      <c r="B2299" s="893" t="str">
        <f>'4I'!BF11</f>
        <v>CR2024N1</v>
      </c>
      <c r="E2299" s="1753" t="s">
        <v>11007</v>
      </c>
      <c r="G2299" t="str">
        <f>IF('4I'!G11="","##BLANK",'4I'!G11)</f>
        <v>##BLANK</v>
      </c>
    </row>
    <row r="2300" spans="2:7">
      <c r="B2300" s="893" t="str">
        <f>'4I'!BF12</f>
        <v>CR2025N1</v>
      </c>
      <c r="E2300" s="1753" t="s">
        <v>11007</v>
      </c>
      <c r="G2300" t="str">
        <f>IF('4I'!G12="","##BLANK",'4I'!G12)</f>
        <v>##BLANK</v>
      </c>
    </row>
    <row r="2301" spans="2:7">
      <c r="B2301" s="893" t="str">
        <f>'4I'!BF13</f>
        <v>CR2026N1</v>
      </c>
      <c r="E2301" s="1753" t="s">
        <v>11007</v>
      </c>
      <c r="G2301" t="str">
        <f>IF('4I'!G13="","##BLANK",'4I'!G13)</f>
        <v>##BLANK</v>
      </c>
    </row>
    <row r="2302" spans="2:7">
      <c r="B2302" s="893" t="str">
        <f>'4I'!BF14</f>
        <v>CR2027N1</v>
      </c>
      <c r="E2302" s="1753" t="s">
        <v>11007</v>
      </c>
      <c r="G2302">
        <f>IF('4I'!G14="","##BLANK",'4I'!G14)</f>
        <v>0</v>
      </c>
    </row>
    <row r="2303" spans="2:7">
      <c r="B2303" s="893" t="str">
        <f>'4I'!BF17</f>
        <v>CR2005N1</v>
      </c>
      <c r="E2303" s="1753" t="s">
        <v>11007</v>
      </c>
      <c r="G2303" t="str">
        <f>IF('4I'!G17="","##BLANK",'4I'!G17)</f>
        <v>##BLANK</v>
      </c>
    </row>
    <row r="2304" spans="2:7">
      <c r="B2304" s="893" t="str">
        <f>'4I'!BF18</f>
        <v>CR2006N1</v>
      </c>
      <c r="E2304" s="1753" t="s">
        <v>11007</v>
      </c>
      <c r="G2304" t="str">
        <f>IF('4I'!G18="","##BLANK",'4I'!G18)</f>
        <v>##BLANK</v>
      </c>
    </row>
    <row r="2305" spans="2:7">
      <c r="B2305" s="893" t="str">
        <f>'4I'!BF19</f>
        <v>CR2007N1</v>
      </c>
      <c r="E2305" s="1753" t="s">
        <v>11007</v>
      </c>
      <c r="G2305" t="str">
        <f>IF('4I'!G19="","##BLANK",'4I'!G19)</f>
        <v>##BLANK</v>
      </c>
    </row>
    <row r="2306" spans="2:7">
      <c r="B2306" s="893" t="str">
        <f>'4I'!BF20</f>
        <v>CR2008N1</v>
      </c>
      <c r="E2306" s="1753" t="s">
        <v>11007</v>
      </c>
      <c r="G2306" t="str">
        <f>IF('4I'!G20="","##BLANK",'4I'!G20)</f>
        <v>##BLANK</v>
      </c>
    </row>
    <row r="2307" spans="2:7">
      <c r="B2307" s="893" t="str">
        <f>'4I'!BF21</f>
        <v>CR2009N1</v>
      </c>
      <c r="E2307" s="1753" t="s">
        <v>11007</v>
      </c>
      <c r="G2307">
        <f>IF('4I'!G21="","##BLANK",'4I'!G21)</f>
        <v>0</v>
      </c>
    </row>
    <row r="2308" spans="2:7">
      <c r="B2308" s="893" t="str">
        <f>'4I'!BF24</f>
        <v>CR20010N1</v>
      </c>
      <c r="E2308" s="1753" t="s">
        <v>11007</v>
      </c>
      <c r="G2308" t="str">
        <f>IF('4I'!G24="","##BLANK",'4I'!G24)</f>
        <v>##BLANK</v>
      </c>
    </row>
    <row r="2309" spans="2:7">
      <c r="B2309" s="893" t="str">
        <f>'4I'!BF25</f>
        <v>CR20011N1</v>
      </c>
      <c r="E2309" s="1753" t="s">
        <v>11007</v>
      </c>
      <c r="G2309" t="str">
        <f>IF('4I'!G25="","##BLANK",'4I'!G25)</f>
        <v>##BLANK</v>
      </c>
    </row>
    <row r="2310" spans="2:7">
      <c r="B2310" s="893" t="str">
        <f>'4I'!BF26</f>
        <v>CR20012N1</v>
      </c>
      <c r="E2310" s="1753" t="s">
        <v>11007</v>
      </c>
      <c r="G2310" t="str">
        <f>IF('4I'!G26="","##BLANK",'4I'!G26)</f>
        <v>##BLANK</v>
      </c>
    </row>
    <row r="2311" spans="2:7">
      <c r="B2311" s="893" t="str">
        <f>'4I'!BF27</f>
        <v>CR20013N1</v>
      </c>
      <c r="E2311" s="1753" t="s">
        <v>11007</v>
      </c>
      <c r="G2311" t="str">
        <f>IF('4I'!G27="","##BLANK",'4I'!G27)</f>
        <v>##BLANK</v>
      </c>
    </row>
    <row r="2312" spans="2:7">
      <c r="B2312" s="893" t="str">
        <f>'4I'!BF28</f>
        <v>CR20014N1</v>
      </c>
      <c r="E2312" s="1753" t="s">
        <v>11007</v>
      </c>
      <c r="G2312">
        <f>IF('4I'!G28="","##BLANK",'4I'!G28)</f>
        <v>0</v>
      </c>
    </row>
    <row r="2313" spans="2:7">
      <c r="B2313" s="893" t="str">
        <f>'4I'!BF31</f>
        <v>CR20015N1</v>
      </c>
      <c r="E2313" s="1753" t="s">
        <v>11007</v>
      </c>
      <c r="G2313" t="str">
        <f>IF('4I'!G31="","##BLANK",'4I'!G31)</f>
        <v>##BLANK</v>
      </c>
    </row>
    <row r="2314" spans="2:7">
      <c r="B2314" s="893" t="str">
        <f>'4I'!BF32</f>
        <v>CR20016N1</v>
      </c>
      <c r="E2314" s="1753" t="s">
        <v>11007</v>
      </c>
      <c r="G2314" t="str">
        <f>IF('4I'!G32="","##BLANK",'4I'!G32)</f>
        <v>##BLANK</v>
      </c>
    </row>
    <row r="2315" spans="2:7">
      <c r="B2315" s="893" t="str">
        <f>'4I'!BF33</f>
        <v>CR20017N1</v>
      </c>
      <c r="E2315" s="1753" t="s">
        <v>11007</v>
      </c>
      <c r="G2315" t="str">
        <f>IF('4I'!G33="","##BLANK",'4I'!G33)</f>
        <v>##BLANK</v>
      </c>
    </row>
    <row r="2316" spans="2:7">
      <c r="B2316" s="893" t="str">
        <f>'4I'!BF37</f>
        <v>CR20018N1</v>
      </c>
      <c r="E2316" s="1753" t="s">
        <v>11007</v>
      </c>
      <c r="G2316" t="str">
        <f>IF('4I'!G37="","##BLANK",'4I'!G37)</f>
        <v>##BLANK</v>
      </c>
    </row>
    <row r="2317" spans="2:7">
      <c r="B2317" s="893" t="str">
        <f>'4I'!BF38</f>
        <v>CR20019N1</v>
      </c>
      <c r="E2317" s="1753" t="s">
        <v>11007</v>
      </c>
      <c r="G2317">
        <f>IF('4I'!G38="","##BLANK",'4I'!G38)</f>
        <v>0</v>
      </c>
    </row>
    <row r="2318" spans="2:7">
      <c r="B2318" s="893" t="str">
        <f>'4I'!BF41</f>
        <v>CR2028N1</v>
      </c>
      <c r="E2318" s="1753" t="s">
        <v>11007</v>
      </c>
      <c r="G2318" t="str">
        <f>IF('4I'!G41="","##BLANK",'4I'!G41)</f>
        <v>##BLANK</v>
      </c>
    </row>
    <row r="2319" spans="2:7">
      <c r="B2319" s="893" t="str">
        <f>'4I'!BF44</f>
        <v>CR20020N1</v>
      </c>
      <c r="E2319" s="1753" t="s">
        <v>11007</v>
      </c>
      <c r="G2319">
        <f>IF('4I'!G44="","##BLANK",'4I'!G44)</f>
        <v>0</v>
      </c>
    </row>
    <row r="2320" spans="2:7">
      <c r="B2320" s="893" t="str">
        <f>'4I'!BG8</f>
        <v>CR2021N2</v>
      </c>
      <c r="E2320" s="1753" t="s">
        <v>11007</v>
      </c>
      <c r="G2320" t="str">
        <f>IF('4I'!H8="","##BLANK",'4I'!H8)</f>
        <v>##BLANK</v>
      </c>
    </row>
    <row r="2321" spans="2:7">
      <c r="B2321" s="893" t="str">
        <f>'4I'!BG9</f>
        <v>CR2022N2</v>
      </c>
      <c r="E2321" s="1753" t="s">
        <v>11007</v>
      </c>
      <c r="G2321" t="str">
        <f>IF('4I'!H9="","##BLANK",'4I'!H9)</f>
        <v>##BLANK</v>
      </c>
    </row>
    <row r="2322" spans="2:7">
      <c r="B2322" s="893" t="str">
        <f>'4I'!BG10</f>
        <v>CR2023N2</v>
      </c>
      <c r="E2322" s="1753" t="s">
        <v>11007</v>
      </c>
      <c r="G2322" t="str">
        <f>IF('4I'!H10="","##BLANK",'4I'!H10)</f>
        <v>##BLANK</v>
      </c>
    </row>
    <row r="2323" spans="2:7">
      <c r="B2323" s="893" t="str">
        <f>'4I'!BG11</f>
        <v>CR2024N2</v>
      </c>
      <c r="E2323" s="1753" t="s">
        <v>11007</v>
      </c>
      <c r="G2323" t="str">
        <f>IF('4I'!H11="","##BLANK",'4I'!H11)</f>
        <v>##BLANK</v>
      </c>
    </row>
    <row r="2324" spans="2:7">
      <c r="B2324" s="893" t="str">
        <f>'4I'!BG12</f>
        <v>CR2025N2</v>
      </c>
      <c r="E2324" s="1753" t="s">
        <v>11007</v>
      </c>
      <c r="G2324" t="str">
        <f>IF('4I'!H12="","##BLANK",'4I'!H12)</f>
        <v>##BLANK</v>
      </c>
    </row>
    <row r="2325" spans="2:7">
      <c r="B2325" s="893" t="str">
        <f>'4I'!BG13</f>
        <v>CR2026N2</v>
      </c>
      <c r="E2325" s="1753" t="s">
        <v>11007</v>
      </c>
      <c r="G2325" t="str">
        <f>IF('4I'!H13="","##BLANK",'4I'!H13)</f>
        <v>##BLANK</v>
      </c>
    </row>
    <row r="2326" spans="2:7">
      <c r="B2326" s="893" t="str">
        <f>'4I'!BG14</f>
        <v>CR2027N2</v>
      </c>
      <c r="E2326" s="1753" t="s">
        <v>11007</v>
      </c>
      <c r="G2326">
        <f>IF('4I'!H14="","##BLANK",'4I'!H14)</f>
        <v>0</v>
      </c>
    </row>
    <row r="2327" spans="2:7">
      <c r="B2327" s="893" t="str">
        <f>'4I'!BG17</f>
        <v>CR2005N2</v>
      </c>
      <c r="E2327" s="1753" t="s">
        <v>11007</v>
      </c>
      <c r="G2327" t="str">
        <f>IF('4I'!H17="","##BLANK",'4I'!H17)</f>
        <v>##BLANK</v>
      </c>
    </row>
    <row r="2328" spans="2:7">
      <c r="B2328" s="893" t="str">
        <f>'4I'!BG18</f>
        <v>CR2006N2</v>
      </c>
      <c r="E2328" s="1753" t="s">
        <v>11007</v>
      </c>
      <c r="G2328" t="str">
        <f>IF('4I'!H18="","##BLANK",'4I'!H18)</f>
        <v>##BLANK</v>
      </c>
    </row>
    <row r="2329" spans="2:7">
      <c r="B2329" s="893" t="str">
        <f>'4I'!BG19</f>
        <v>CR2007N2</v>
      </c>
      <c r="E2329" s="1753" t="s">
        <v>11007</v>
      </c>
      <c r="G2329" t="str">
        <f>IF('4I'!H19="","##BLANK",'4I'!H19)</f>
        <v>##BLANK</v>
      </c>
    </row>
    <row r="2330" spans="2:7">
      <c r="B2330" s="893" t="str">
        <f>'4I'!BG20</f>
        <v>CR2008N2</v>
      </c>
      <c r="E2330" s="1753" t="s">
        <v>11007</v>
      </c>
      <c r="G2330" t="str">
        <f>IF('4I'!H20="","##BLANK",'4I'!H20)</f>
        <v>##BLANK</v>
      </c>
    </row>
    <row r="2331" spans="2:7">
      <c r="B2331" s="893" t="str">
        <f>'4I'!BG21</f>
        <v>CR2009N2</v>
      </c>
      <c r="E2331" s="1753" t="s">
        <v>11007</v>
      </c>
      <c r="G2331">
        <f>IF('4I'!H21="","##BLANK",'4I'!H21)</f>
        <v>0</v>
      </c>
    </row>
    <row r="2332" spans="2:7">
      <c r="B2332" s="893" t="str">
        <f>'4I'!BG24</f>
        <v>CR20010N2</v>
      </c>
      <c r="E2332" s="1753" t="s">
        <v>11007</v>
      </c>
      <c r="G2332" t="str">
        <f>IF('4I'!H24="","##BLANK",'4I'!H24)</f>
        <v>##BLANK</v>
      </c>
    </row>
    <row r="2333" spans="2:7">
      <c r="B2333" s="893" t="str">
        <f>'4I'!BG25</f>
        <v>CR20011N2</v>
      </c>
      <c r="E2333" s="1753" t="s">
        <v>11007</v>
      </c>
      <c r="G2333" t="str">
        <f>IF('4I'!H25="","##BLANK",'4I'!H25)</f>
        <v>##BLANK</v>
      </c>
    </row>
    <row r="2334" spans="2:7">
      <c r="B2334" s="893" t="str">
        <f>'4I'!BG26</f>
        <v>CR20012N2</v>
      </c>
      <c r="E2334" s="1753" t="s">
        <v>11007</v>
      </c>
      <c r="G2334" t="str">
        <f>IF('4I'!H26="","##BLANK",'4I'!H26)</f>
        <v>##BLANK</v>
      </c>
    </row>
    <row r="2335" spans="2:7">
      <c r="B2335" s="893" t="str">
        <f>'4I'!BG27</f>
        <v>CR20013N2</v>
      </c>
      <c r="E2335" s="1753" t="s">
        <v>11007</v>
      </c>
      <c r="G2335" t="str">
        <f>IF('4I'!H27="","##BLANK",'4I'!H27)</f>
        <v>##BLANK</v>
      </c>
    </row>
    <row r="2336" spans="2:7">
      <c r="B2336" s="893" t="str">
        <f>'4I'!BG28</f>
        <v>CR20014N2</v>
      </c>
      <c r="E2336" s="1753" t="s">
        <v>11007</v>
      </c>
      <c r="G2336">
        <f>IF('4I'!H28="","##BLANK",'4I'!H28)</f>
        <v>0</v>
      </c>
    </row>
    <row r="2337" spans="2:7">
      <c r="B2337" s="893" t="str">
        <f>'4I'!BG31</f>
        <v>CR20015N2</v>
      </c>
      <c r="E2337" s="1753" t="s">
        <v>11007</v>
      </c>
      <c r="G2337" t="str">
        <f>IF('4I'!H31="","##BLANK",'4I'!H31)</f>
        <v>##BLANK</v>
      </c>
    </row>
    <row r="2338" spans="2:7">
      <c r="B2338" s="893" t="str">
        <f>'4I'!BG32</f>
        <v>CR20016N2</v>
      </c>
      <c r="E2338" s="1753" t="s">
        <v>11007</v>
      </c>
      <c r="G2338" t="str">
        <f>IF('4I'!H32="","##BLANK",'4I'!H32)</f>
        <v>##BLANK</v>
      </c>
    </row>
    <row r="2339" spans="2:7">
      <c r="B2339" s="893" t="str">
        <f>'4I'!BG33</f>
        <v>CR20017N2</v>
      </c>
      <c r="E2339" s="1753" t="s">
        <v>11007</v>
      </c>
      <c r="G2339" t="str">
        <f>IF('4I'!H33="","##BLANK",'4I'!H33)</f>
        <v>##BLANK</v>
      </c>
    </row>
    <row r="2340" spans="2:7">
      <c r="B2340" s="893" t="str">
        <f>'4I'!BG37</f>
        <v>CR20018N2</v>
      </c>
      <c r="E2340" s="1753" t="s">
        <v>11007</v>
      </c>
      <c r="G2340" t="str">
        <f>IF('4I'!H37="","##BLANK",'4I'!H37)</f>
        <v>##BLANK</v>
      </c>
    </row>
    <row r="2341" spans="2:7">
      <c r="B2341" s="893" t="str">
        <f>'4I'!BG38</f>
        <v>CR20019N2</v>
      </c>
      <c r="E2341" s="1753" t="s">
        <v>11007</v>
      </c>
      <c r="G2341">
        <f>IF('4I'!H38="","##BLANK",'4I'!H38)</f>
        <v>0</v>
      </c>
    </row>
    <row r="2342" spans="2:7">
      <c r="B2342" s="893" t="str">
        <f>'4I'!BG41</f>
        <v>CR2028N2</v>
      </c>
      <c r="E2342" s="1753" t="s">
        <v>11007</v>
      </c>
      <c r="G2342" t="str">
        <f>IF('4I'!H41="","##BLANK",'4I'!H41)</f>
        <v>##BLANK</v>
      </c>
    </row>
    <row r="2343" spans="2:7">
      <c r="B2343" s="893" t="str">
        <f>'4I'!BG44</f>
        <v>CR20020N2</v>
      </c>
      <c r="E2343" s="1753" t="s">
        <v>11007</v>
      </c>
      <c r="G2343">
        <f>IF('4I'!H44="","##BLANK",'4I'!H44)</f>
        <v>0</v>
      </c>
    </row>
    <row r="2344" spans="2:7">
      <c r="B2344" s="893" t="str">
        <f>'4I'!BH8</f>
        <v>CR2021N5</v>
      </c>
      <c r="E2344" s="1753" t="s">
        <v>11007</v>
      </c>
      <c r="G2344" t="str">
        <f>IF('4I'!I8="","##BLANK",'4I'!I8)</f>
        <v>##BLANK</v>
      </c>
    </row>
    <row r="2345" spans="2:7">
      <c r="B2345" s="893" t="str">
        <f>'4I'!BH9</f>
        <v>CR2022N5</v>
      </c>
      <c r="E2345" s="1753" t="s">
        <v>11007</v>
      </c>
      <c r="G2345" t="str">
        <f>IF('4I'!I9="","##BLANK",'4I'!I9)</f>
        <v>##BLANK</v>
      </c>
    </row>
    <row r="2346" spans="2:7">
      <c r="B2346" s="893" t="str">
        <f>'4I'!BH10</f>
        <v>CR2023N5</v>
      </c>
      <c r="E2346" s="1753" t="s">
        <v>11007</v>
      </c>
      <c r="G2346" t="str">
        <f>IF('4I'!I10="","##BLANK",'4I'!I10)</f>
        <v>##BLANK</v>
      </c>
    </row>
    <row r="2347" spans="2:7">
      <c r="B2347" s="893" t="str">
        <f>'4I'!BH11</f>
        <v>CR2024N5</v>
      </c>
      <c r="E2347" s="1753" t="s">
        <v>11007</v>
      </c>
      <c r="G2347" t="str">
        <f>IF('4I'!I11="","##BLANK",'4I'!I11)</f>
        <v>##BLANK</v>
      </c>
    </row>
    <row r="2348" spans="2:7">
      <c r="B2348" s="893" t="str">
        <f>'4I'!BH12</f>
        <v>CR2025N5</v>
      </c>
      <c r="E2348" s="1753" t="s">
        <v>11007</v>
      </c>
      <c r="G2348" t="str">
        <f>IF('4I'!I12="","##BLANK",'4I'!I12)</f>
        <v>##BLANK</v>
      </c>
    </row>
    <row r="2349" spans="2:7">
      <c r="B2349" s="893" t="str">
        <f>'4I'!BH13</f>
        <v>CR2026N5</v>
      </c>
      <c r="E2349" s="1753" t="s">
        <v>11007</v>
      </c>
      <c r="G2349" t="str">
        <f>IF('4I'!I13="","##BLANK",'4I'!I13)</f>
        <v>##BLANK</v>
      </c>
    </row>
    <row r="2350" spans="2:7">
      <c r="B2350" s="893" t="str">
        <f>'4I'!BH14</f>
        <v>CR2027N5</v>
      </c>
      <c r="E2350" s="1753" t="s">
        <v>11007</v>
      </c>
      <c r="G2350">
        <f>IF('4I'!I14="","##BLANK",'4I'!I14)</f>
        <v>0</v>
      </c>
    </row>
    <row r="2351" spans="2:7">
      <c r="B2351" s="893" t="str">
        <f>'4I'!BH17</f>
        <v>CR2005N5</v>
      </c>
      <c r="E2351" s="1753" t="s">
        <v>11007</v>
      </c>
      <c r="G2351" t="str">
        <f>IF('4I'!I17="","##BLANK",'4I'!I17)</f>
        <v>##BLANK</v>
      </c>
    </row>
    <row r="2352" spans="2:7">
      <c r="B2352" s="893" t="str">
        <f>'4I'!BH18</f>
        <v>CR2006N5</v>
      </c>
      <c r="E2352" s="1753" t="s">
        <v>11007</v>
      </c>
      <c r="G2352" t="str">
        <f>IF('4I'!I18="","##BLANK",'4I'!I18)</f>
        <v>##BLANK</v>
      </c>
    </row>
    <row r="2353" spans="2:7">
      <c r="B2353" s="893" t="str">
        <f>'4I'!BH19</f>
        <v>CR2007N5</v>
      </c>
      <c r="E2353" s="1753" t="s">
        <v>11007</v>
      </c>
      <c r="G2353" t="str">
        <f>IF('4I'!I19="","##BLANK",'4I'!I19)</f>
        <v>##BLANK</v>
      </c>
    </row>
    <row r="2354" spans="2:7">
      <c r="B2354" s="893" t="str">
        <f>'4I'!BH20</f>
        <v>CR2008N5</v>
      </c>
      <c r="E2354" s="1753" t="s">
        <v>11007</v>
      </c>
      <c r="G2354" t="str">
        <f>IF('4I'!I20="","##BLANK",'4I'!I20)</f>
        <v>##BLANK</v>
      </c>
    </row>
    <row r="2355" spans="2:7">
      <c r="B2355" s="893" t="str">
        <f>'4I'!BH21</f>
        <v>CR2009N5</v>
      </c>
      <c r="E2355" s="1753" t="s">
        <v>11007</v>
      </c>
      <c r="G2355">
        <f>IF('4I'!I21="","##BLANK",'4I'!I21)</f>
        <v>0</v>
      </c>
    </row>
    <row r="2356" spans="2:7">
      <c r="B2356" s="893" t="str">
        <f>'4I'!BH24</f>
        <v>CR20010N5</v>
      </c>
      <c r="E2356" s="1753" t="s">
        <v>11007</v>
      </c>
      <c r="G2356" t="str">
        <f>IF('4I'!I24="","##BLANK",'4I'!I24)</f>
        <v>##BLANK</v>
      </c>
    </row>
    <row r="2357" spans="2:7">
      <c r="B2357" s="893" t="str">
        <f>'4I'!BH25</f>
        <v>CR20011N5</v>
      </c>
      <c r="E2357" s="1753" t="s">
        <v>11007</v>
      </c>
      <c r="G2357" t="str">
        <f>IF('4I'!I25="","##BLANK",'4I'!I25)</f>
        <v>##BLANK</v>
      </c>
    </row>
    <row r="2358" spans="2:7">
      <c r="B2358" s="893" t="str">
        <f>'4I'!BH26</f>
        <v>CR20012N5</v>
      </c>
      <c r="E2358" s="1753" t="s">
        <v>11007</v>
      </c>
      <c r="G2358" t="str">
        <f>IF('4I'!I26="","##BLANK",'4I'!I26)</f>
        <v>##BLANK</v>
      </c>
    </row>
    <row r="2359" spans="2:7">
      <c r="B2359" s="893" t="str">
        <f>'4I'!BH27</f>
        <v>CR20013N5</v>
      </c>
      <c r="E2359" s="1753" t="s">
        <v>11007</v>
      </c>
      <c r="G2359" t="str">
        <f>IF('4I'!I27="","##BLANK",'4I'!I27)</f>
        <v>##BLANK</v>
      </c>
    </row>
    <row r="2360" spans="2:7">
      <c r="B2360" s="893" t="str">
        <f>'4I'!BH28</f>
        <v>CR20014N5</v>
      </c>
      <c r="E2360" s="1753" t="s">
        <v>11007</v>
      </c>
      <c r="G2360">
        <f>IF('4I'!I28="","##BLANK",'4I'!I28)</f>
        <v>0</v>
      </c>
    </row>
    <row r="2361" spans="2:7">
      <c r="B2361" s="893" t="str">
        <f>'4I'!BH31</f>
        <v>CR20015N5</v>
      </c>
      <c r="E2361" s="1753" t="s">
        <v>11007</v>
      </c>
      <c r="G2361" t="str">
        <f>IF('4I'!I31="","##BLANK",'4I'!I31)</f>
        <v>##BLANK</v>
      </c>
    </row>
    <row r="2362" spans="2:7">
      <c r="B2362" s="893" t="str">
        <f>'4I'!BH32</f>
        <v>CR20016N5</v>
      </c>
      <c r="E2362" s="1753" t="s">
        <v>11007</v>
      </c>
      <c r="G2362" t="str">
        <f>IF('4I'!I32="","##BLANK",'4I'!I32)</f>
        <v>##BLANK</v>
      </c>
    </row>
    <row r="2363" spans="2:7">
      <c r="B2363" s="893" t="str">
        <f>'4I'!BH33</f>
        <v>CR20017N5</v>
      </c>
      <c r="E2363" s="1753" t="s">
        <v>11007</v>
      </c>
      <c r="G2363" t="str">
        <f>IF('4I'!I33="","##BLANK",'4I'!I33)</f>
        <v>##BLANK</v>
      </c>
    </row>
    <row r="2364" spans="2:7">
      <c r="B2364" s="893" t="str">
        <f>'4I'!BH37</f>
        <v>CR20018N5</v>
      </c>
      <c r="E2364" s="1753" t="s">
        <v>11007</v>
      </c>
      <c r="G2364" t="str">
        <f>IF('4I'!I37="","##BLANK",'4I'!I37)</f>
        <v>##BLANK</v>
      </c>
    </row>
    <row r="2365" spans="2:7">
      <c r="B2365" s="893" t="str">
        <f>'4I'!BH38</f>
        <v>CR20019N5</v>
      </c>
      <c r="E2365" s="1753" t="s">
        <v>11007</v>
      </c>
      <c r="G2365">
        <f>IF('4I'!I38="","##BLANK",'4I'!I38)</f>
        <v>0</v>
      </c>
    </row>
    <row r="2366" spans="2:7">
      <c r="B2366" s="893" t="str">
        <f>'4I'!BH41</f>
        <v>CR2028N5</v>
      </c>
      <c r="E2366" s="1753" t="s">
        <v>11007</v>
      </c>
      <c r="G2366" t="str">
        <f>IF('4I'!I41="","##BLANK",'4I'!I41)</f>
        <v>##BLANK</v>
      </c>
    </row>
    <row r="2367" spans="2:7">
      <c r="B2367" s="893" t="str">
        <f>'4I'!BH44</f>
        <v>CR20020N5</v>
      </c>
      <c r="E2367" s="1753" t="s">
        <v>11007</v>
      </c>
      <c r="G2367">
        <f>IF('4I'!I44="","##BLANK",'4I'!I44)</f>
        <v>0</v>
      </c>
    </row>
    <row r="2368" spans="2:7">
      <c r="B2368" s="893" t="str">
        <f>'4I'!BI8</f>
        <v>CR2021N6</v>
      </c>
      <c r="E2368" s="1753" t="s">
        <v>11007</v>
      </c>
      <c r="G2368">
        <f>IF('4I'!J8="","##BLANK",'4I'!J8)</f>
        <v>0</v>
      </c>
    </row>
    <row r="2369" spans="2:7">
      <c r="B2369" s="893" t="str">
        <f>'4I'!BI9</f>
        <v>CR2022N6</v>
      </c>
      <c r="E2369" s="1753" t="s">
        <v>11007</v>
      </c>
      <c r="G2369">
        <f>IF('4I'!J9="","##BLANK",'4I'!J9)</f>
        <v>0</v>
      </c>
    </row>
    <row r="2370" spans="2:7">
      <c r="B2370" s="893" t="str">
        <f>'4I'!BI10</f>
        <v>CR2023N6</v>
      </c>
      <c r="E2370" s="1753" t="s">
        <v>11007</v>
      </c>
      <c r="G2370">
        <f>IF('4I'!J10="","##BLANK",'4I'!J10)</f>
        <v>0</v>
      </c>
    </row>
    <row r="2371" spans="2:7">
      <c r="B2371" s="893" t="str">
        <f>'4I'!BI11</f>
        <v>CR2024N6</v>
      </c>
      <c r="E2371" s="1753" t="s">
        <v>11007</v>
      </c>
      <c r="G2371">
        <f>IF('4I'!J11="","##BLANK",'4I'!J11)</f>
        <v>0</v>
      </c>
    </row>
    <row r="2372" spans="2:7">
      <c r="B2372" s="893" t="str">
        <f>'4I'!BI12</f>
        <v>CR2025N6</v>
      </c>
      <c r="E2372" s="1753" t="s">
        <v>11007</v>
      </c>
      <c r="G2372">
        <f>IF('4I'!J12="","##BLANK",'4I'!J12)</f>
        <v>0</v>
      </c>
    </row>
    <row r="2373" spans="2:7">
      <c r="B2373" s="893" t="str">
        <f>'4I'!BI13</f>
        <v>CR2026N6</v>
      </c>
      <c r="E2373" s="1753" t="s">
        <v>11007</v>
      </c>
      <c r="G2373">
        <f>IF('4I'!J13="","##BLANK",'4I'!J13)</f>
        <v>0</v>
      </c>
    </row>
    <row r="2374" spans="2:7">
      <c r="B2374" s="893" t="str">
        <f>'4I'!BI14</f>
        <v>CR2027N6</v>
      </c>
      <c r="E2374" s="1753" t="s">
        <v>11007</v>
      </c>
      <c r="G2374">
        <f>IF('4I'!J14="","##BLANK",'4I'!J14)</f>
        <v>0</v>
      </c>
    </row>
    <row r="2375" spans="2:7">
      <c r="B2375" s="893" t="str">
        <f>'4I'!BI17</f>
        <v>CR2005N6</v>
      </c>
      <c r="E2375" s="1753" t="s">
        <v>11007</v>
      </c>
      <c r="G2375">
        <f>IF('4I'!J17="","##BLANK",'4I'!J17)</f>
        <v>0</v>
      </c>
    </row>
    <row r="2376" spans="2:7">
      <c r="B2376" s="893" t="str">
        <f>'4I'!BI18</f>
        <v>CR2006N6</v>
      </c>
      <c r="E2376" s="1753" t="s">
        <v>11007</v>
      </c>
      <c r="G2376">
        <f>IF('4I'!J18="","##BLANK",'4I'!J18)</f>
        <v>0</v>
      </c>
    </row>
    <row r="2377" spans="2:7">
      <c r="B2377" s="893" t="str">
        <f>'4I'!BI19</f>
        <v>CR2007N6</v>
      </c>
      <c r="E2377" s="1753" t="s">
        <v>11007</v>
      </c>
      <c r="G2377">
        <f>IF('4I'!J19="","##BLANK",'4I'!J19)</f>
        <v>0</v>
      </c>
    </row>
    <row r="2378" spans="2:7">
      <c r="B2378" s="893" t="str">
        <f>'4I'!BI20</f>
        <v>CR2008N6</v>
      </c>
      <c r="E2378" s="1753" t="s">
        <v>11007</v>
      </c>
      <c r="G2378">
        <f>IF('4I'!J20="","##BLANK",'4I'!J20)</f>
        <v>0</v>
      </c>
    </row>
    <row r="2379" spans="2:7">
      <c r="B2379" s="893" t="str">
        <f>'4I'!BI21</f>
        <v>CR2009N6</v>
      </c>
      <c r="E2379" s="1753" t="s">
        <v>11007</v>
      </c>
      <c r="G2379">
        <f>IF('4I'!J21="","##BLANK",'4I'!J21)</f>
        <v>0</v>
      </c>
    </row>
    <row r="2380" spans="2:7">
      <c r="B2380" s="893" t="str">
        <f>'4I'!BI24</f>
        <v>CR20010N6</v>
      </c>
      <c r="E2380" s="1753" t="s">
        <v>11007</v>
      </c>
      <c r="G2380">
        <f>IF('4I'!J24="","##BLANK",'4I'!J24)</f>
        <v>0</v>
      </c>
    </row>
    <row r="2381" spans="2:7">
      <c r="B2381" s="893" t="str">
        <f>'4I'!BI25</f>
        <v>CR20011N6</v>
      </c>
      <c r="E2381" s="1753" t="s">
        <v>11007</v>
      </c>
      <c r="G2381">
        <f>IF('4I'!J25="","##BLANK",'4I'!J25)</f>
        <v>0</v>
      </c>
    </row>
    <row r="2382" spans="2:7">
      <c r="B2382" s="893" t="str">
        <f>'4I'!BI26</f>
        <v>CR20012N6</v>
      </c>
      <c r="E2382" s="1753" t="s">
        <v>11007</v>
      </c>
      <c r="G2382">
        <f>IF('4I'!J26="","##BLANK",'4I'!J26)</f>
        <v>0</v>
      </c>
    </row>
    <row r="2383" spans="2:7">
      <c r="B2383" s="893" t="str">
        <f>'4I'!BI27</f>
        <v>CR20013N6</v>
      </c>
      <c r="E2383" s="1753" t="s">
        <v>11007</v>
      </c>
      <c r="G2383">
        <f>IF('4I'!J27="","##BLANK",'4I'!J27)</f>
        <v>0</v>
      </c>
    </row>
    <row r="2384" spans="2:7">
      <c r="B2384" s="893" t="str">
        <f>'4I'!BI28</f>
        <v>CR20014N6</v>
      </c>
      <c r="E2384" s="1753" t="s">
        <v>11007</v>
      </c>
      <c r="G2384">
        <f>IF('4I'!J28="","##BLANK",'4I'!J28)</f>
        <v>0</v>
      </c>
    </row>
    <row r="2385" spans="2:7">
      <c r="B2385" s="893" t="str">
        <f>'4I'!BI31</f>
        <v>CR20015N6</v>
      </c>
      <c r="E2385" s="1753" t="s">
        <v>11007</v>
      </c>
      <c r="G2385">
        <f>IF('4I'!J31="","##BLANK",'4I'!J31)</f>
        <v>0</v>
      </c>
    </row>
    <row r="2386" spans="2:7">
      <c r="B2386" s="893" t="str">
        <f>'4I'!BI32</f>
        <v>CR20016N6</v>
      </c>
      <c r="E2386" s="1753" t="s">
        <v>11007</v>
      </c>
      <c r="G2386">
        <f>IF('4I'!J32="","##BLANK",'4I'!J32)</f>
        <v>0</v>
      </c>
    </row>
    <row r="2387" spans="2:7">
      <c r="B2387" s="893" t="str">
        <f>'4I'!BI33</f>
        <v>CR20017N6</v>
      </c>
      <c r="E2387" s="1753" t="s">
        <v>11007</v>
      </c>
      <c r="G2387">
        <f>IF('4I'!J33="","##BLANK",'4I'!J33)</f>
        <v>0</v>
      </c>
    </row>
    <row r="2388" spans="2:7">
      <c r="B2388" s="893" t="str">
        <f>'4I'!BI37</f>
        <v>CR20018N6</v>
      </c>
      <c r="E2388" s="1753" t="s">
        <v>11007</v>
      </c>
      <c r="G2388">
        <f>IF('4I'!J37="","##BLANK",'4I'!J37)</f>
        <v>0</v>
      </c>
    </row>
    <row r="2389" spans="2:7">
      <c r="B2389" s="893" t="str">
        <f>'4I'!BI38</f>
        <v>CR20019N6</v>
      </c>
      <c r="E2389" s="1753" t="s">
        <v>11007</v>
      </c>
      <c r="G2389">
        <f>IF('4I'!J38="","##BLANK",'4I'!J38)</f>
        <v>0</v>
      </c>
    </row>
    <row r="2390" spans="2:7">
      <c r="B2390" s="893" t="str">
        <f>'4I'!BI41</f>
        <v>CR2028N6</v>
      </c>
      <c r="E2390" s="1753" t="s">
        <v>11007</v>
      </c>
      <c r="G2390">
        <f>IF('4I'!J41="","##BLANK",'4I'!J41)</f>
        <v>0</v>
      </c>
    </row>
    <row r="2391" spans="2:7">
      <c r="B2391" s="893" t="str">
        <f>'4I'!BI44</f>
        <v>CR20020N6</v>
      </c>
      <c r="E2391" s="1753" t="s">
        <v>11007</v>
      </c>
      <c r="G2391">
        <f>IF('4I'!J44="","##BLANK",'4I'!J44)</f>
        <v>0</v>
      </c>
    </row>
    <row r="2392" spans="2:7">
      <c r="B2392" s="893" t="str">
        <f>'4I'!BJ8</f>
        <v>CR2021MM</v>
      </c>
      <c r="E2392" s="1753" t="s">
        <v>11007</v>
      </c>
      <c r="G2392" t="str">
        <f>IF('4I'!K8="","##BLANK",'4I'!K8)</f>
        <v>##BLANK</v>
      </c>
    </row>
    <row r="2393" spans="2:7">
      <c r="B2393" s="893" t="str">
        <f>'4I'!BJ9</f>
        <v>CR2022MM</v>
      </c>
      <c r="E2393" s="1753" t="s">
        <v>11007</v>
      </c>
      <c r="G2393" t="str">
        <f>IF('4I'!K9="","##BLANK",'4I'!K9)</f>
        <v>##BLANK</v>
      </c>
    </row>
    <row r="2394" spans="2:7">
      <c r="B2394" s="893" t="str">
        <f>'4I'!BJ10</f>
        <v>CR2023MM</v>
      </c>
      <c r="E2394" s="1753" t="s">
        <v>11007</v>
      </c>
      <c r="G2394" t="str">
        <f>IF('4I'!K10="","##BLANK",'4I'!K10)</f>
        <v>##BLANK</v>
      </c>
    </row>
    <row r="2395" spans="2:7">
      <c r="B2395" s="893" t="str">
        <f>'4I'!BJ11</f>
        <v>CR2024MM</v>
      </c>
      <c r="E2395" s="1753" t="s">
        <v>11007</v>
      </c>
      <c r="G2395" t="str">
        <f>IF('4I'!K11="","##BLANK",'4I'!K11)</f>
        <v>##BLANK</v>
      </c>
    </row>
    <row r="2396" spans="2:7">
      <c r="B2396" s="893" t="str">
        <f>'4I'!BJ12</f>
        <v>CR2025MM</v>
      </c>
      <c r="E2396" s="1753" t="s">
        <v>11007</v>
      </c>
      <c r="G2396" t="str">
        <f>IF('4I'!K12="","##BLANK",'4I'!K12)</f>
        <v>##BLANK</v>
      </c>
    </row>
    <row r="2397" spans="2:7">
      <c r="B2397" s="893" t="str">
        <f>'4I'!BJ13</f>
        <v>CR2026MM</v>
      </c>
      <c r="E2397" s="1753" t="s">
        <v>11007</v>
      </c>
      <c r="G2397" t="str">
        <f>IF('4I'!K13="","##BLANK",'4I'!K13)</f>
        <v>##BLANK</v>
      </c>
    </row>
    <row r="2398" spans="2:7">
      <c r="B2398" s="893" t="str">
        <f>'4I'!BJ14</f>
        <v>CR2027MM</v>
      </c>
      <c r="E2398" s="1753" t="s">
        <v>11007</v>
      </c>
      <c r="G2398">
        <f>IF('4I'!K14="","##BLANK",'4I'!K14)</f>
        <v>0</v>
      </c>
    </row>
    <row r="2399" spans="2:7">
      <c r="B2399" s="893" t="str">
        <f>'4I'!BJ17</f>
        <v>CR2005MM</v>
      </c>
      <c r="E2399" s="1753" t="s">
        <v>11007</v>
      </c>
      <c r="G2399" t="str">
        <f>IF('4I'!K17="","##BLANK",'4I'!K17)</f>
        <v>##BLANK</v>
      </c>
    </row>
    <row r="2400" spans="2:7">
      <c r="B2400" s="893" t="str">
        <f>'4I'!BJ18</f>
        <v>CR2006MM</v>
      </c>
      <c r="E2400" s="1753" t="s">
        <v>11007</v>
      </c>
      <c r="G2400" t="str">
        <f>IF('4I'!K18="","##BLANK",'4I'!K18)</f>
        <v>##BLANK</v>
      </c>
    </row>
    <row r="2401" spans="2:7">
      <c r="B2401" s="893" t="str">
        <f>'4I'!BJ19</f>
        <v>CR2007MM</v>
      </c>
      <c r="E2401" s="1753" t="s">
        <v>11007</v>
      </c>
      <c r="G2401" t="str">
        <f>IF('4I'!K19="","##BLANK",'4I'!K19)</f>
        <v>##BLANK</v>
      </c>
    </row>
    <row r="2402" spans="2:7">
      <c r="B2402" s="893" t="str">
        <f>'4I'!BJ20</f>
        <v>CR2008MM</v>
      </c>
      <c r="E2402" s="1753" t="s">
        <v>11007</v>
      </c>
      <c r="G2402" t="str">
        <f>IF('4I'!K20="","##BLANK",'4I'!K20)</f>
        <v>##BLANK</v>
      </c>
    </row>
    <row r="2403" spans="2:7">
      <c r="B2403" s="893" t="str">
        <f>'4I'!BJ21</f>
        <v>CR2009MM</v>
      </c>
      <c r="E2403" s="1753" t="s">
        <v>11007</v>
      </c>
      <c r="G2403">
        <f>IF('4I'!K21="","##BLANK",'4I'!K21)</f>
        <v>0</v>
      </c>
    </row>
    <row r="2404" spans="2:7">
      <c r="B2404" s="893" t="str">
        <f>'4I'!BJ24</f>
        <v>CR20010MM</v>
      </c>
      <c r="E2404" s="1753" t="s">
        <v>11007</v>
      </c>
      <c r="G2404" t="str">
        <f>IF('4I'!K24="","##BLANK",'4I'!K24)</f>
        <v>##BLANK</v>
      </c>
    </row>
    <row r="2405" spans="2:7">
      <c r="B2405" s="893" t="str">
        <f>'4I'!BJ25</f>
        <v>CR20011MM</v>
      </c>
      <c r="E2405" s="1753" t="s">
        <v>11007</v>
      </c>
      <c r="G2405" t="str">
        <f>IF('4I'!K25="","##BLANK",'4I'!K25)</f>
        <v>##BLANK</v>
      </c>
    </row>
    <row r="2406" spans="2:7">
      <c r="B2406" s="893" t="str">
        <f>'4I'!BJ26</f>
        <v>CR20012MM</v>
      </c>
      <c r="E2406" s="1753" t="s">
        <v>11007</v>
      </c>
      <c r="G2406" t="str">
        <f>IF('4I'!K26="","##BLANK",'4I'!K26)</f>
        <v>##BLANK</v>
      </c>
    </row>
    <row r="2407" spans="2:7">
      <c r="B2407" s="893" t="str">
        <f>'4I'!BJ27</f>
        <v>CR20013MM</v>
      </c>
      <c r="E2407" s="1753" t="s">
        <v>11007</v>
      </c>
      <c r="G2407" t="str">
        <f>IF('4I'!K27="","##BLANK",'4I'!K27)</f>
        <v>##BLANK</v>
      </c>
    </row>
    <row r="2408" spans="2:7">
      <c r="B2408" s="893" t="str">
        <f>'4I'!BJ28</f>
        <v>CR20014MM</v>
      </c>
      <c r="E2408" s="1753" t="s">
        <v>11007</v>
      </c>
      <c r="G2408">
        <f>IF('4I'!K28="","##BLANK",'4I'!K28)</f>
        <v>0</v>
      </c>
    </row>
    <row r="2409" spans="2:7">
      <c r="B2409" s="893" t="str">
        <f>'4I'!BJ31</f>
        <v>CR20015MM</v>
      </c>
      <c r="E2409" s="1753" t="s">
        <v>11007</v>
      </c>
      <c r="G2409" t="str">
        <f>IF('4I'!K31="","##BLANK",'4I'!K31)</f>
        <v>##BLANK</v>
      </c>
    </row>
    <row r="2410" spans="2:7">
      <c r="B2410" s="893" t="str">
        <f>'4I'!BJ32</f>
        <v>CR20016MM</v>
      </c>
      <c r="E2410" s="1753" t="s">
        <v>11007</v>
      </c>
      <c r="G2410" t="str">
        <f>IF('4I'!K32="","##BLANK",'4I'!K32)</f>
        <v>##BLANK</v>
      </c>
    </row>
    <row r="2411" spans="2:7">
      <c r="B2411" s="893" t="str">
        <f>'4I'!BJ33</f>
        <v>CR20017MM</v>
      </c>
      <c r="E2411" s="1753" t="s">
        <v>11007</v>
      </c>
      <c r="G2411" t="str">
        <f>IF('4I'!K33="","##BLANK",'4I'!K33)</f>
        <v>##BLANK</v>
      </c>
    </row>
    <row r="2412" spans="2:7">
      <c r="B2412" s="893" t="str">
        <f>'4I'!BJ37</f>
        <v>CR20018MM</v>
      </c>
      <c r="E2412" s="1753" t="s">
        <v>11007</v>
      </c>
      <c r="G2412" t="str">
        <f>IF('4I'!K37="","##BLANK",'4I'!K37)</f>
        <v>##BLANK</v>
      </c>
    </row>
    <row r="2413" spans="2:7">
      <c r="B2413" s="893" t="str">
        <f>'4I'!BJ38</f>
        <v>CR20019MM</v>
      </c>
      <c r="E2413" s="1753" t="s">
        <v>11007</v>
      </c>
      <c r="G2413">
        <f>IF('4I'!K38="","##BLANK",'4I'!K38)</f>
        <v>0</v>
      </c>
    </row>
    <row r="2414" spans="2:7">
      <c r="B2414" s="893" t="str">
        <f>'4I'!BJ41</f>
        <v>CR2028MM</v>
      </c>
      <c r="E2414" s="1753" t="s">
        <v>11007</v>
      </c>
      <c r="G2414" t="str">
        <f>IF('4I'!K41="","##BLANK",'4I'!K41)</f>
        <v>##BLANK</v>
      </c>
    </row>
    <row r="2415" spans="2:7">
      <c r="B2415" s="893" t="str">
        <f>'4I'!BJ44</f>
        <v>CR20020MM</v>
      </c>
      <c r="E2415" s="1753" t="s">
        <v>11007</v>
      </c>
      <c r="G2415">
        <f>IF('4I'!K44="","##BLANK",'4I'!K44)</f>
        <v>0</v>
      </c>
    </row>
    <row r="2416" spans="2:7">
      <c r="B2416" s="893" t="str">
        <f>'4I'!BK8</f>
        <v>CR2021TA</v>
      </c>
      <c r="E2416" s="1753" t="s">
        <v>11007</v>
      </c>
      <c r="G2416" t="str">
        <f>IF('4I'!L8="","##BLANK",'4I'!L8)</f>
        <v>##BLANK</v>
      </c>
    </row>
    <row r="2417" spans="2:7">
      <c r="B2417" s="893" t="str">
        <f>'4I'!BK9</f>
        <v>CR2022TA</v>
      </c>
      <c r="E2417" s="1753" t="s">
        <v>11007</v>
      </c>
      <c r="G2417" t="str">
        <f>IF('4I'!L9="","##BLANK",'4I'!L9)</f>
        <v>##BLANK</v>
      </c>
    </row>
    <row r="2418" spans="2:7">
      <c r="B2418" s="893" t="str">
        <f>'4I'!BK10</f>
        <v>CR2023TA</v>
      </c>
      <c r="E2418" s="1753" t="s">
        <v>11007</v>
      </c>
      <c r="G2418" t="str">
        <f>IF('4I'!L10="","##BLANK",'4I'!L10)</f>
        <v>##BLANK</v>
      </c>
    </row>
    <row r="2419" spans="2:7">
      <c r="B2419" s="893" t="str">
        <f>'4I'!BK11</f>
        <v>CR2024TA</v>
      </c>
      <c r="E2419" s="1753" t="s">
        <v>11007</v>
      </c>
      <c r="G2419" t="str">
        <f>IF('4I'!L11="","##BLANK",'4I'!L11)</f>
        <v>##BLANK</v>
      </c>
    </row>
    <row r="2420" spans="2:7">
      <c r="B2420" s="893" t="str">
        <f>'4I'!BK12</f>
        <v>CR2025TA</v>
      </c>
      <c r="E2420" s="1753" t="s">
        <v>11007</v>
      </c>
      <c r="G2420" t="str">
        <f>IF('4I'!L12="","##BLANK",'4I'!L12)</f>
        <v>##BLANK</v>
      </c>
    </row>
    <row r="2421" spans="2:7">
      <c r="B2421" s="893" t="str">
        <f>'4I'!BK13</f>
        <v>CR2026TA</v>
      </c>
      <c r="E2421" s="1753" t="s">
        <v>11007</v>
      </c>
      <c r="G2421" t="str">
        <f>IF('4I'!L13="","##BLANK",'4I'!L13)</f>
        <v>##BLANK</v>
      </c>
    </row>
    <row r="2422" spans="2:7">
      <c r="B2422" s="893" t="str">
        <f>'4I'!BK14</f>
        <v>CR2027TA</v>
      </c>
      <c r="E2422" s="1753" t="s">
        <v>11007</v>
      </c>
      <c r="G2422">
        <f>IF('4I'!L14="","##BLANK",'4I'!L14)</f>
        <v>0</v>
      </c>
    </row>
    <row r="2423" spans="2:7">
      <c r="B2423" s="893" t="str">
        <f>'4I'!BK17</f>
        <v>CR2005TA</v>
      </c>
      <c r="E2423" s="1753" t="s">
        <v>11007</v>
      </c>
      <c r="G2423" t="str">
        <f>IF('4I'!L17="","##BLANK",'4I'!L17)</f>
        <v>##BLANK</v>
      </c>
    </row>
    <row r="2424" spans="2:7">
      <c r="B2424" s="893" t="str">
        <f>'4I'!BK18</f>
        <v>CR2006TA</v>
      </c>
      <c r="E2424" s="1753" t="s">
        <v>11007</v>
      </c>
      <c r="G2424" t="str">
        <f>IF('4I'!L18="","##BLANK",'4I'!L18)</f>
        <v>##BLANK</v>
      </c>
    </row>
    <row r="2425" spans="2:7">
      <c r="B2425" s="893" t="str">
        <f>'4I'!BK19</f>
        <v>CR2007TA</v>
      </c>
      <c r="E2425" s="1753" t="s">
        <v>11007</v>
      </c>
      <c r="G2425" t="str">
        <f>IF('4I'!L19="","##BLANK",'4I'!L19)</f>
        <v>##BLANK</v>
      </c>
    </row>
    <row r="2426" spans="2:7">
      <c r="B2426" s="893" t="str">
        <f>'4I'!BK20</f>
        <v>CR2008TA</v>
      </c>
      <c r="E2426" s="1753" t="s">
        <v>11007</v>
      </c>
      <c r="G2426" t="str">
        <f>IF('4I'!L20="","##BLANK",'4I'!L20)</f>
        <v>##BLANK</v>
      </c>
    </row>
    <row r="2427" spans="2:7">
      <c r="B2427" s="893" t="str">
        <f>'4I'!BK21</f>
        <v>CR2009TA</v>
      </c>
      <c r="E2427" s="1753" t="s">
        <v>11007</v>
      </c>
      <c r="G2427">
        <f>IF('4I'!L21="","##BLANK",'4I'!L21)</f>
        <v>0</v>
      </c>
    </row>
    <row r="2428" spans="2:7">
      <c r="B2428" s="893" t="str">
        <f>'4I'!BK24</f>
        <v>CR20010TA</v>
      </c>
      <c r="E2428" s="1753" t="s">
        <v>11007</v>
      </c>
      <c r="G2428" t="str">
        <f>IF('4I'!L24="","##BLANK",'4I'!L24)</f>
        <v>##BLANK</v>
      </c>
    </row>
    <row r="2429" spans="2:7">
      <c r="B2429" s="893" t="str">
        <f>'4I'!BK25</f>
        <v>CR20011TA</v>
      </c>
      <c r="E2429" s="1753" t="s">
        <v>11007</v>
      </c>
      <c r="G2429" t="str">
        <f>IF('4I'!L25="","##BLANK",'4I'!L25)</f>
        <v>##BLANK</v>
      </c>
    </row>
    <row r="2430" spans="2:7">
      <c r="B2430" s="893" t="str">
        <f>'4I'!BK26</f>
        <v>CR20012TA</v>
      </c>
      <c r="E2430" s="1753" t="s">
        <v>11007</v>
      </c>
      <c r="G2430" t="str">
        <f>IF('4I'!L26="","##BLANK",'4I'!L26)</f>
        <v>##BLANK</v>
      </c>
    </row>
    <row r="2431" spans="2:7">
      <c r="B2431" s="893" t="str">
        <f>'4I'!BK27</f>
        <v>CR20013TA</v>
      </c>
      <c r="E2431" s="1753" t="s">
        <v>11007</v>
      </c>
      <c r="G2431" t="str">
        <f>IF('4I'!L27="","##BLANK",'4I'!L27)</f>
        <v>##BLANK</v>
      </c>
    </row>
    <row r="2432" spans="2:7">
      <c r="B2432" s="893" t="str">
        <f>'4I'!BK28</f>
        <v>CR20014TA</v>
      </c>
      <c r="E2432" s="1753" t="s">
        <v>11007</v>
      </c>
      <c r="G2432">
        <f>IF('4I'!L28="","##BLANK",'4I'!L28)</f>
        <v>0</v>
      </c>
    </row>
    <row r="2433" spans="2:8">
      <c r="B2433" s="893" t="str">
        <f>'4I'!BK31</f>
        <v>CR20015TA</v>
      </c>
      <c r="E2433" s="1753" t="s">
        <v>11007</v>
      </c>
      <c r="G2433" t="str">
        <f>IF('4I'!L31="","##BLANK",'4I'!L31)</f>
        <v>##BLANK</v>
      </c>
    </row>
    <row r="2434" spans="2:8">
      <c r="B2434" s="893" t="str">
        <f>'4I'!BK32</f>
        <v>CR20016TA</v>
      </c>
      <c r="E2434" s="1753" t="s">
        <v>11007</v>
      </c>
      <c r="G2434" t="str">
        <f>IF('4I'!L32="","##BLANK",'4I'!L32)</f>
        <v>##BLANK</v>
      </c>
    </row>
    <row r="2435" spans="2:8">
      <c r="B2435" s="893" t="str">
        <f>'4I'!BK33</f>
        <v>CR20017TA</v>
      </c>
      <c r="E2435" s="1753" t="s">
        <v>11007</v>
      </c>
      <c r="G2435" t="str">
        <f>IF('4I'!L33="","##BLANK",'4I'!L33)</f>
        <v>##BLANK</v>
      </c>
    </row>
    <row r="2436" spans="2:8">
      <c r="B2436" s="893" t="str">
        <f>'4I'!BK37</f>
        <v>CR20018TA</v>
      </c>
      <c r="E2436" s="1753" t="s">
        <v>11007</v>
      </c>
      <c r="G2436" t="str">
        <f>IF('4I'!L37="","##BLANK",'4I'!L37)</f>
        <v>##BLANK</v>
      </c>
    </row>
    <row r="2437" spans="2:8">
      <c r="B2437" s="893" t="str">
        <f>'4I'!BK38</f>
        <v>CR20019TA</v>
      </c>
      <c r="E2437" s="1753" t="s">
        <v>11007</v>
      </c>
      <c r="G2437">
        <f>IF('4I'!L38="","##BLANK",'4I'!L38)</f>
        <v>0</v>
      </c>
    </row>
    <row r="2438" spans="2:8">
      <c r="B2438" s="893" t="str">
        <f>'4I'!BK41</f>
        <v>CR2028TA</v>
      </c>
      <c r="E2438" s="1753" t="s">
        <v>11007</v>
      </c>
      <c r="G2438" t="str">
        <f>IF('4I'!L41="","##BLANK",'4I'!L41)</f>
        <v>##BLANK</v>
      </c>
    </row>
    <row r="2439" spans="2:8">
      <c r="B2439" s="893" t="str">
        <f>'4I'!BK44</f>
        <v>CR20020TA</v>
      </c>
      <c r="E2439" s="1753" t="s">
        <v>11007</v>
      </c>
      <c r="G2439">
        <f>IF('4I'!L44="","##BLANK",'4I'!L44)</f>
        <v>0</v>
      </c>
    </row>
    <row r="2440" spans="2:8">
      <c r="B2440" s="893" t="str">
        <f>'4I'!BN8</f>
        <v>CR2021IRP</v>
      </c>
      <c r="E2440" s="1753" t="s">
        <v>11007</v>
      </c>
      <c r="G2440" t="str">
        <f>IF('4I'!O8="","##BLANK",'4I'!O8)</f>
        <v>##BLANK</v>
      </c>
    </row>
    <row r="2441" spans="2:8">
      <c r="B2441" s="893" t="str">
        <f>'4I'!BN9</f>
        <v>CR2022IRP</v>
      </c>
      <c r="E2441" s="1753" t="s">
        <v>11007</v>
      </c>
      <c r="G2441" t="str">
        <f>IF('4I'!O9="","##BLANK",'4I'!O9)</f>
        <v>##BLANK</v>
      </c>
    </row>
    <row r="2442" spans="2:8">
      <c r="B2442" s="893" t="str">
        <f>'4I'!BN10</f>
        <v>CR2023IRP</v>
      </c>
      <c r="E2442" s="1753" t="s">
        <v>11007</v>
      </c>
      <c r="G2442" t="str">
        <f>IF('4I'!O10="","##BLANK",'4I'!O10)</f>
        <v>##BLANK</v>
      </c>
    </row>
    <row r="2443" spans="2:8">
      <c r="B2443" s="893" t="str">
        <f>'4I'!BN11</f>
        <v>CR2024IRP</v>
      </c>
      <c r="E2443" s="1753" t="s">
        <v>11007</v>
      </c>
      <c r="G2443" t="str">
        <f>IF('4I'!O11="","##BLANK",'4I'!O11)</f>
        <v>##BLANK</v>
      </c>
    </row>
    <row r="2444" spans="2:8">
      <c r="B2444" s="893" t="str">
        <f>'4I'!BN12</f>
        <v>CR2025IRP</v>
      </c>
      <c r="E2444" s="1753" t="s">
        <v>11007</v>
      </c>
      <c r="G2444" t="str">
        <f>IF('4I'!O12="","##BLANK",'4I'!O12)</f>
        <v>##BLANK</v>
      </c>
    </row>
    <row r="2445" spans="2:8">
      <c r="B2445" s="893" t="str">
        <f>'4I'!BN13</f>
        <v>CR2026IRP</v>
      </c>
      <c r="E2445" s="1753" t="s">
        <v>11007</v>
      </c>
      <c r="G2445" t="str">
        <f>IF('4I'!O13="","##BLANK",'4I'!O13)</f>
        <v>##BLANK</v>
      </c>
    </row>
    <row r="2446" spans="2:8">
      <c r="B2446" s="893" t="str">
        <f>'4I'!BN17</f>
        <v>CR2005IRP</v>
      </c>
      <c r="E2446" s="1753" t="s">
        <v>11007</v>
      </c>
      <c r="G2446" t="str">
        <f>IF('4I'!O17="","##BLANK",'4I'!O17)</f>
        <v>##BLANK</v>
      </c>
      <c r="H2446" s="893"/>
    </row>
    <row r="2447" spans="2:8">
      <c r="B2447" s="893" t="str">
        <f>'4I'!BN18</f>
        <v>CR2006IRP</v>
      </c>
      <c r="E2447" s="1753" t="s">
        <v>11007</v>
      </c>
      <c r="G2447" t="str">
        <f>IF('4I'!O18="","##BLANK",'4I'!O18)</f>
        <v>##BLANK</v>
      </c>
    </row>
    <row r="2448" spans="2:8">
      <c r="B2448" s="893" t="str">
        <f>'4I'!BN19</f>
        <v>CR2007IRP</v>
      </c>
      <c r="E2448" s="1753" t="s">
        <v>11007</v>
      </c>
      <c r="G2448" t="str">
        <f>IF('4I'!O19="","##BLANK",'4I'!O19)</f>
        <v>##BLANK</v>
      </c>
    </row>
    <row r="2449" spans="2:8">
      <c r="B2449" s="893" t="str">
        <f>'4I'!BN20</f>
        <v>CR2008IRP</v>
      </c>
      <c r="E2449" s="1753" t="s">
        <v>11007</v>
      </c>
      <c r="G2449" t="str">
        <f>IF('4I'!O20="","##BLANK",'4I'!O20)</f>
        <v>##BLANK</v>
      </c>
    </row>
    <row r="2450" spans="2:8">
      <c r="B2450" s="893" t="str">
        <f>'4I'!BN24</f>
        <v>CR20010IRP</v>
      </c>
      <c r="E2450" s="1753" t="s">
        <v>11007</v>
      </c>
      <c r="G2450" t="str">
        <f>IF('4I'!O24="","##BLANK",'4I'!O24)</f>
        <v>##BLANK</v>
      </c>
    </row>
    <row r="2451" spans="2:8">
      <c r="B2451" s="893" t="str">
        <f>'4I'!BN25</f>
        <v>CR20011IRP</v>
      </c>
      <c r="E2451" s="1753" t="s">
        <v>11007</v>
      </c>
      <c r="G2451" t="str">
        <f>IF('4I'!O25="","##BLANK",'4I'!O25)</f>
        <v>##BLANK</v>
      </c>
      <c r="H2451" s="893"/>
    </row>
    <row r="2452" spans="2:8">
      <c r="B2452" s="893" t="str">
        <f>'4I'!BN26</f>
        <v>CR20012IRP</v>
      </c>
      <c r="E2452" s="1753" t="s">
        <v>11007</v>
      </c>
      <c r="G2452" t="str">
        <f>IF('4I'!O26="","##BLANK",'4I'!O26)</f>
        <v>##BLANK</v>
      </c>
    </row>
    <row r="2453" spans="2:8">
      <c r="B2453" s="893" t="str">
        <f>'4I'!BN27</f>
        <v>CR20013IRP</v>
      </c>
      <c r="E2453" s="1753" t="s">
        <v>11007</v>
      </c>
      <c r="G2453" t="str">
        <f>IF('4I'!O27="","##BLANK",'4I'!O27)</f>
        <v>##BLANK</v>
      </c>
    </row>
    <row r="2454" spans="2:8">
      <c r="B2454" s="893" t="str">
        <f>'4I'!BN31</f>
        <v>CR20015IRP</v>
      </c>
      <c r="E2454" s="1753" t="s">
        <v>11007</v>
      </c>
      <c r="G2454" t="str">
        <f>IF('4I'!O31="","##BLANK",'4I'!O31)</f>
        <v>##BLANK</v>
      </c>
    </row>
    <row r="2455" spans="2:8">
      <c r="B2455" s="893" t="str">
        <f>'4I'!BN32</f>
        <v>CR20016IRP</v>
      </c>
      <c r="E2455" s="1753" t="s">
        <v>11007</v>
      </c>
      <c r="G2455" t="str">
        <f>IF('4I'!O32="","##BLANK",'4I'!O32)</f>
        <v>##BLANK</v>
      </c>
    </row>
    <row r="2456" spans="2:8">
      <c r="B2456" s="893" t="str">
        <f>'4I'!BN33</f>
        <v>CR20017IRP</v>
      </c>
      <c r="E2456" s="1753" t="s">
        <v>11007</v>
      </c>
      <c r="G2456" t="str">
        <f>IF('4I'!O33="","##BLANK",'4I'!O33)</f>
        <v>##BLANK</v>
      </c>
      <c r="H2456" s="893"/>
    </row>
    <row r="2457" spans="2:8">
      <c r="B2457" s="893" t="str">
        <f>'4I'!BN37</f>
        <v>CR20018IRP</v>
      </c>
      <c r="E2457" s="1753" t="s">
        <v>11007</v>
      </c>
      <c r="G2457" t="str">
        <f>IF('4I'!O37="","##BLANK",'4I'!O37)</f>
        <v>##BLANK</v>
      </c>
    </row>
    <row r="2458" spans="2:8">
      <c r="B2458" s="893" t="str">
        <f>'4I'!BN41</f>
        <v>CR2028IRP</v>
      </c>
      <c r="E2458" s="1753" t="s">
        <v>11007</v>
      </c>
      <c r="G2458" t="str">
        <f>IF('4I'!O41="","##BLANK",'4I'!O41)</f>
        <v>##BLANK</v>
      </c>
    </row>
    <row r="2459" spans="2:8">
      <c r="B2459" s="893" t="str">
        <f>'4I'!BO8</f>
        <v>CR2021IRR</v>
      </c>
      <c r="E2459" s="1753" t="s">
        <v>11007</v>
      </c>
      <c r="G2459" t="str">
        <f>IF('4I'!P8="","##BLANK",'4I'!P8)</f>
        <v>##BLANK</v>
      </c>
    </row>
    <row r="2460" spans="2:8">
      <c r="B2460" s="893" t="str">
        <f>'4I'!BO9</f>
        <v>CR2022IRR</v>
      </c>
      <c r="E2460" s="1753" t="s">
        <v>11007</v>
      </c>
      <c r="G2460" t="str">
        <f>IF('4I'!P9="","##BLANK",'4I'!P9)</f>
        <v>##BLANK</v>
      </c>
    </row>
    <row r="2461" spans="2:8">
      <c r="B2461" s="893" t="str">
        <f>'4I'!BO10</f>
        <v>CR2023IRR</v>
      </c>
      <c r="E2461" s="1753" t="s">
        <v>11007</v>
      </c>
      <c r="G2461" t="str">
        <f>IF('4I'!P10="","##BLANK",'4I'!P10)</f>
        <v>##BLANK</v>
      </c>
      <c r="H2461" s="893"/>
    </row>
    <row r="2462" spans="2:8">
      <c r="B2462" s="893" t="str">
        <f>'4I'!BO11</f>
        <v>CR2024IRR</v>
      </c>
      <c r="E2462" s="1753" t="s">
        <v>11007</v>
      </c>
      <c r="G2462" t="str">
        <f>IF('4I'!P11="","##BLANK",'4I'!P11)</f>
        <v>##BLANK</v>
      </c>
    </row>
    <row r="2463" spans="2:8">
      <c r="B2463" s="893" t="str">
        <f>'4I'!BO12</f>
        <v>CR2025IRR</v>
      </c>
      <c r="E2463" s="1753" t="s">
        <v>11007</v>
      </c>
      <c r="G2463" t="str">
        <f>IF('4I'!P12="","##BLANK",'4I'!P12)</f>
        <v>##BLANK</v>
      </c>
      <c r="H2463" s="893"/>
    </row>
    <row r="2464" spans="2:8">
      <c r="B2464" s="893" t="str">
        <f>'4I'!BO13</f>
        <v>CR2026IRR</v>
      </c>
      <c r="E2464" s="1753" t="s">
        <v>11007</v>
      </c>
      <c r="G2464" t="str">
        <f>IF('4I'!P13="","##BLANK",'4I'!P13)</f>
        <v>##BLANK</v>
      </c>
    </row>
    <row r="2465" spans="2:7">
      <c r="B2465" s="893" t="str">
        <f>'4I'!BO17</f>
        <v>CR2005IRR</v>
      </c>
      <c r="E2465" s="1753" t="s">
        <v>11007</v>
      </c>
      <c r="G2465" t="str">
        <f>IF('4I'!P17="","##BLANK",'4I'!P17)</f>
        <v>##BLANK</v>
      </c>
    </row>
    <row r="2466" spans="2:7">
      <c r="B2466" s="893" t="str">
        <f>'4I'!BO18</f>
        <v>CR2006IRR</v>
      </c>
      <c r="E2466" s="1753" t="s">
        <v>11007</v>
      </c>
      <c r="G2466" t="str">
        <f>IF('4I'!P18="","##BLANK",'4I'!P18)</f>
        <v>##BLANK</v>
      </c>
    </row>
    <row r="2467" spans="2:7">
      <c r="B2467" s="893" t="str">
        <f>'4I'!BO19</f>
        <v>CR2007IRR</v>
      </c>
      <c r="E2467" s="1753" t="s">
        <v>11007</v>
      </c>
      <c r="G2467" t="str">
        <f>IF('4I'!P19="","##BLANK",'4I'!P19)</f>
        <v>##BLANK</v>
      </c>
    </row>
    <row r="2468" spans="2:7">
      <c r="B2468" s="893" t="str">
        <f>'4I'!BO20</f>
        <v>CR2008IRR</v>
      </c>
      <c r="E2468" s="1753" t="s">
        <v>11007</v>
      </c>
      <c r="G2468" t="str">
        <f>IF('4I'!P20="","##BLANK",'4I'!P20)</f>
        <v>##BLANK</v>
      </c>
    </row>
    <row r="2469" spans="2:7">
      <c r="B2469" s="893" t="str">
        <f>'4I'!BO24</f>
        <v>CR20010IRR</v>
      </c>
      <c r="E2469" s="1753" t="s">
        <v>11007</v>
      </c>
      <c r="G2469" t="str">
        <f>IF('4I'!P24="","##BLANK",'4I'!P24)</f>
        <v>##BLANK</v>
      </c>
    </row>
    <row r="2470" spans="2:7">
      <c r="B2470" s="893" t="str">
        <f>'4I'!BO25</f>
        <v>CR20011IRR</v>
      </c>
      <c r="E2470" s="1753" t="s">
        <v>11007</v>
      </c>
      <c r="G2470" t="str">
        <f>IF('4I'!P25="","##BLANK",'4I'!P25)</f>
        <v>##BLANK</v>
      </c>
    </row>
    <row r="2471" spans="2:7">
      <c r="B2471" s="893" t="str">
        <f>'4I'!BO26</f>
        <v>CR20012IRR</v>
      </c>
      <c r="E2471" s="1753" t="s">
        <v>11007</v>
      </c>
      <c r="G2471" t="str">
        <f>IF('4I'!P26="","##BLANK",'4I'!P26)</f>
        <v>##BLANK</v>
      </c>
    </row>
    <row r="2472" spans="2:7">
      <c r="B2472" s="893" t="str">
        <f>'4I'!BO27</f>
        <v>CR20013IRR</v>
      </c>
      <c r="E2472" s="1753" t="s">
        <v>11007</v>
      </c>
      <c r="G2472" t="str">
        <f>IF('4I'!P27="","##BLANK",'4I'!P27)</f>
        <v>##BLANK</v>
      </c>
    </row>
    <row r="2473" spans="2:7">
      <c r="B2473" s="893" t="str">
        <f>'4I'!BO31</f>
        <v>CR20015IRR</v>
      </c>
      <c r="E2473" s="1753" t="s">
        <v>11007</v>
      </c>
      <c r="G2473" t="str">
        <f>IF('4I'!P31="","##BLANK",'4I'!P31)</f>
        <v>##BLANK</v>
      </c>
    </row>
    <row r="2474" spans="2:7">
      <c r="B2474" s="893" t="str">
        <f>'4I'!BO32</f>
        <v>CR20016IRR</v>
      </c>
      <c r="E2474" s="1753" t="s">
        <v>11007</v>
      </c>
      <c r="G2474" t="str">
        <f>IF('4I'!P32="","##BLANK",'4I'!P32)</f>
        <v>##BLANK</v>
      </c>
    </row>
    <row r="2475" spans="2:7">
      <c r="B2475" s="893" t="str">
        <f>'4I'!BO33</f>
        <v>CR20017IRR</v>
      </c>
      <c r="E2475" s="1753" t="s">
        <v>11007</v>
      </c>
      <c r="G2475" t="str">
        <f>IF('4I'!P33="","##BLANK",'4I'!P33)</f>
        <v>##BLANK</v>
      </c>
    </row>
    <row r="2476" spans="2:7">
      <c r="B2476" s="893" t="str">
        <f>'4I'!BO37</f>
        <v>CR20018IRR</v>
      </c>
      <c r="E2476" s="1753" t="s">
        <v>11007</v>
      </c>
      <c r="G2476" t="str">
        <f>IF('4I'!P37="","##BLANK",'4I'!P37)</f>
        <v>##BLANK</v>
      </c>
    </row>
    <row r="2477" spans="2:7">
      <c r="B2477" s="893" t="str">
        <f>'4I'!BO41</f>
        <v>CR2028IRR</v>
      </c>
      <c r="E2477" s="1753" t="s">
        <v>11007</v>
      </c>
      <c r="G2477" t="str">
        <f>IF('4I'!P41="","##BLANK",'4I'!P41)</f>
        <v>##BLANK</v>
      </c>
    </row>
    <row r="2478" spans="2:7">
      <c r="B2478" s="893" t="str">
        <f>+'4J'!AQ7</f>
        <v>WS1001AL</v>
      </c>
      <c r="D2478" s="893"/>
      <c r="E2478" s="1753" t="s">
        <v>11007</v>
      </c>
      <c r="G2478" t="str">
        <f>IF('4J'!G7="","##BLANK",'4J'!G7)</f>
        <v>##BLANK</v>
      </c>
    </row>
    <row r="2479" spans="2:7">
      <c r="B2479" s="893" t="str">
        <f>+'4J'!AQ8</f>
        <v>WS1002AL</v>
      </c>
      <c r="D2479" s="893"/>
      <c r="E2479" s="1753" t="s">
        <v>11007</v>
      </c>
      <c r="G2479" t="str">
        <f>IF('4J'!G8="","##BLANK",'4J'!G8)</f>
        <v>##BLANK</v>
      </c>
    </row>
    <row r="2480" spans="2:7">
      <c r="B2480" s="893" t="str">
        <f>+'4J'!AQ9</f>
        <v>WS1003AL</v>
      </c>
      <c r="D2480" s="893"/>
      <c r="E2480" s="1753" t="s">
        <v>11007</v>
      </c>
      <c r="G2480" t="str">
        <f>IF('4J'!G9="","##BLANK",'4J'!G9)</f>
        <v>##BLANK</v>
      </c>
    </row>
    <row r="2481" spans="2:7">
      <c r="B2481" s="893" t="str">
        <f>+'4J'!AQ10</f>
        <v>WS1004AL</v>
      </c>
      <c r="D2481" s="893"/>
      <c r="E2481" s="1753" t="s">
        <v>11007</v>
      </c>
      <c r="G2481" t="str">
        <f>IF('4J'!G10="","##BLANK",'4J'!G10)</f>
        <v>##BLANK</v>
      </c>
    </row>
    <row r="2482" spans="2:7">
      <c r="B2482" s="893" t="str">
        <f>+'4J'!AQ12</f>
        <v>WS1005AL</v>
      </c>
      <c r="D2482" s="893"/>
      <c r="E2482" s="1753" t="s">
        <v>11007</v>
      </c>
      <c r="G2482" t="str">
        <f>IF('4J'!G12="","##BLANK",'4J'!G12)</f>
        <v>##BLANK</v>
      </c>
    </row>
    <row r="2483" spans="2:7">
      <c r="B2483" s="893" t="str">
        <f>+'4J'!AQ13</f>
        <v>WS1006AL</v>
      </c>
      <c r="D2483" s="893"/>
      <c r="E2483" s="1753" t="s">
        <v>11007</v>
      </c>
      <c r="G2483" t="str">
        <f>IF('4J'!G13="","##BLANK",'4J'!G13)</f>
        <v>##BLANK</v>
      </c>
    </row>
    <row r="2484" spans="2:7">
      <c r="B2484" s="893" t="str">
        <f>+'4J'!AQ14</f>
        <v>WS1007AL</v>
      </c>
      <c r="D2484" s="893"/>
      <c r="E2484" s="1753" t="s">
        <v>11007</v>
      </c>
      <c r="G2484" t="str">
        <f>IF('4J'!G14="","##BLANK",'4J'!G14)</f>
        <v>##BLANK</v>
      </c>
    </row>
    <row r="2485" spans="2:7">
      <c r="B2485" s="893" t="str">
        <f>+'4J'!AQ15</f>
        <v>WS1008AL</v>
      </c>
      <c r="D2485" s="893"/>
      <c r="E2485" s="1753" t="s">
        <v>11007</v>
      </c>
      <c r="G2485" t="str">
        <f>IF('4J'!G15="","##BLANK",'4J'!G15)</f>
        <v>##BLANK</v>
      </c>
    </row>
    <row r="2486" spans="2:7">
      <c r="B2486" s="893" t="str">
        <f>+'4J'!AQ16</f>
        <v>WS1009AL</v>
      </c>
      <c r="D2486" s="893"/>
      <c r="E2486" s="1753" t="s">
        <v>11007</v>
      </c>
      <c r="G2486">
        <f>IF('4J'!G16="","##BLANK",'4J'!G16)</f>
        <v>0</v>
      </c>
    </row>
    <row r="2487" spans="2:7">
      <c r="B2487" s="893" t="str">
        <f>+'4J'!AQ18</f>
        <v>WS1010AL</v>
      </c>
      <c r="D2487" s="893"/>
      <c r="E2487" s="1753" t="s">
        <v>11007</v>
      </c>
      <c r="G2487" t="str">
        <f>IF('4J'!G18="","##BLANK",'4J'!G18)</f>
        <v>##BLANK</v>
      </c>
    </row>
    <row r="2488" spans="2:7">
      <c r="B2488" s="893" t="str">
        <f>+'4J'!AQ19</f>
        <v>WS1011AL</v>
      </c>
      <c r="D2488" s="893"/>
      <c r="E2488" s="1753" t="s">
        <v>11007</v>
      </c>
      <c r="G2488">
        <f>IF('4J'!G19="","##BLANK",'4J'!G19)</f>
        <v>0</v>
      </c>
    </row>
    <row r="2489" spans="2:7">
      <c r="B2489" s="893" t="str">
        <f>+'4J'!AQ22</f>
        <v>WS1012AL</v>
      </c>
      <c r="D2489" s="893"/>
      <c r="E2489" s="1753" t="s">
        <v>11007</v>
      </c>
      <c r="G2489" t="str">
        <f>IF('4J'!G22="","##BLANK",'4J'!G22)</f>
        <v>##BLANK</v>
      </c>
    </row>
    <row r="2490" spans="2:7">
      <c r="B2490" s="893" t="str">
        <f>+'4J'!AQ23</f>
        <v>WS1013AL</v>
      </c>
      <c r="D2490" s="893"/>
      <c r="E2490" s="1753" t="s">
        <v>11007</v>
      </c>
      <c r="G2490" t="str">
        <f>IF('4J'!G23="","##BLANK",'4J'!G23)</f>
        <v>##BLANK</v>
      </c>
    </row>
    <row r="2491" spans="2:7">
      <c r="B2491" s="893" t="str">
        <f>+'4J'!AQ24</f>
        <v>WS1014AL</v>
      </c>
      <c r="D2491" s="893"/>
      <c r="E2491" s="1753" t="s">
        <v>11007</v>
      </c>
      <c r="G2491" t="str">
        <f>IF('4J'!G24="","##BLANK",'4J'!G24)</f>
        <v>##BLANK</v>
      </c>
    </row>
    <row r="2492" spans="2:7">
      <c r="B2492" s="893" t="str">
        <f>+'4J'!AQ25</f>
        <v>WS1015AL</v>
      </c>
      <c r="D2492" s="893"/>
      <c r="E2492" s="1753" t="s">
        <v>11007</v>
      </c>
      <c r="G2492" t="str">
        <f>IF('4J'!G25="","##BLANK",'4J'!G25)</f>
        <v>##BLANK</v>
      </c>
    </row>
    <row r="2493" spans="2:7">
      <c r="B2493" s="893" t="str">
        <f>+'4J'!AQ26</f>
        <v>WS1016AL</v>
      </c>
      <c r="D2493" s="893"/>
      <c r="E2493" s="1753" t="s">
        <v>11007</v>
      </c>
      <c r="G2493" t="str">
        <f>IF('4J'!G26="","##BLANK",'4J'!G26)</f>
        <v>##BLANK</v>
      </c>
    </row>
    <row r="2494" spans="2:7">
      <c r="B2494" s="893" t="str">
        <f>+'4J'!AQ27</f>
        <v>WS1017AL</v>
      </c>
      <c r="D2494" s="893"/>
      <c r="E2494" s="1753" t="s">
        <v>11007</v>
      </c>
      <c r="G2494">
        <f>IF('4J'!G27="","##BLANK",'4J'!G27)</f>
        <v>0</v>
      </c>
    </row>
    <row r="2495" spans="2:7">
      <c r="B2495" s="893" t="str">
        <f>+'4J'!AQ28</f>
        <v>WS1018AL</v>
      </c>
      <c r="D2495" s="893"/>
      <c r="E2495" s="1753" t="s">
        <v>11007</v>
      </c>
      <c r="G2495" t="str">
        <f>IF('4J'!G28="","##BLANK",'4J'!G28)</f>
        <v>##BLANK</v>
      </c>
    </row>
    <row r="2496" spans="2:7">
      <c r="B2496" s="893" t="str">
        <f>+'4J'!AQ29</f>
        <v>WS1019AL</v>
      </c>
      <c r="D2496" s="893"/>
      <c r="E2496" s="1753" t="s">
        <v>11007</v>
      </c>
      <c r="G2496">
        <f>IF('4J'!G29="","##BLANK",'4J'!G29)</f>
        <v>0</v>
      </c>
    </row>
    <row r="2497" spans="2:7">
      <c r="B2497" s="893" t="str">
        <f>+'4J'!AQ30</f>
        <v>WS1020AL</v>
      </c>
      <c r="D2497" s="893"/>
      <c r="E2497" s="1753" t="s">
        <v>11007</v>
      </c>
      <c r="G2497" t="str">
        <f>IF('4J'!G30="","##BLANK",'4J'!G30)</f>
        <v>##BLANK</v>
      </c>
    </row>
    <row r="2498" spans="2:7">
      <c r="B2498" s="893" t="str">
        <f>+'4J'!AQ31</f>
        <v>WS1021AL</v>
      </c>
      <c r="D2498" s="893"/>
      <c r="E2498" s="1753" t="s">
        <v>11007</v>
      </c>
      <c r="G2498">
        <f>IF('4J'!G31="","##BLANK",'4J'!G31)</f>
        <v>0</v>
      </c>
    </row>
    <row r="2499" spans="2:7">
      <c r="B2499" s="893" t="str">
        <f>+'4J'!AQ34</f>
        <v>WS1022AL</v>
      </c>
      <c r="D2499" s="893"/>
      <c r="E2499" s="1753" t="s">
        <v>11007</v>
      </c>
      <c r="G2499" t="str">
        <f>IF('4J'!G34="","##BLANK",'4J'!G34)</f>
        <v>##BLANK</v>
      </c>
    </row>
    <row r="2500" spans="2:7">
      <c r="B2500" s="893" t="str">
        <f>+'4J'!AQ35</f>
        <v>WS1023AL</v>
      </c>
      <c r="D2500" s="893"/>
      <c r="E2500" s="1753" t="s">
        <v>11007</v>
      </c>
      <c r="G2500" t="str">
        <f>IF('4J'!G35="","##BLANK",'4J'!G35)</f>
        <v>##BLANK</v>
      </c>
    </row>
    <row r="2501" spans="2:7">
      <c r="B2501" s="893" t="str">
        <f>+'4J'!AQ36</f>
        <v>WS1024AL</v>
      </c>
      <c r="D2501" s="893"/>
      <c r="E2501" s="1753" t="s">
        <v>11007</v>
      </c>
      <c r="G2501">
        <f>IF('4J'!G36="","##BLANK",'4J'!G36)</f>
        <v>0</v>
      </c>
    </row>
    <row r="2502" spans="2:7">
      <c r="B2502" s="893" t="str">
        <f>+'4J'!AQ39</f>
        <v>BP3357001AL</v>
      </c>
      <c r="D2502" s="893"/>
      <c r="E2502" s="1753" t="s">
        <v>11007</v>
      </c>
      <c r="F2502" s="2146" t="str">
        <f>+'4J'!C$39</f>
        <v>Item 1</v>
      </c>
      <c r="G2502" t="str">
        <f>IF('4J'!G39="","##BLANK",'4J'!G39)</f>
        <v>##BLANK</v>
      </c>
    </row>
    <row r="2503" spans="2:7">
      <c r="B2503" s="893" t="str">
        <f>+'4J'!AQ40</f>
        <v>BP3357002AL</v>
      </c>
      <c r="D2503" s="893"/>
      <c r="E2503" s="1753" t="s">
        <v>11007</v>
      </c>
      <c r="F2503" s="2146" t="str">
        <f>+'4J'!C$40</f>
        <v>Item 2</v>
      </c>
      <c r="G2503" t="str">
        <f>IF('4J'!G40="","##BLANK",'4J'!G40)</f>
        <v>##BLANK</v>
      </c>
    </row>
    <row r="2504" spans="2:7">
      <c r="B2504" s="893" t="str">
        <f>+'4J'!AQ41</f>
        <v>BP3357003AL</v>
      </c>
      <c r="D2504" s="893"/>
      <c r="E2504" s="1753" t="s">
        <v>11007</v>
      </c>
      <c r="F2504" s="2146" t="str">
        <f>+'4J'!C$41</f>
        <v>Item 3</v>
      </c>
      <c r="G2504" t="str">
        <f>IF('4J'!G41="","##BLANK",'4J'!G41)</f>
        <v>##BLANK</v>
      </c>
    </row>
    <row r="2505" spans="2:7">
      <c r="B2505" s="893" t="str">
        <f>+'4J'!AQ42</f>
        <v>BP3357004AL</v>
      </c>
      <c r="D2505" s="893"/>
      <c r="E2505" s="1753" t="s">
        <v>11007</v>
      </c>
      <c r="F2505" s="2146" t="str">
        <f>+'4J'!C$42</f>
        <v>Item 4</v>
      </c>
      <c r="G2505" t="str">
        <f>IF('4J'!G42="","##BLANK",'4J'!G42)</f>
        <v>##BLANK</v>
      </c>
    </row>
    <row r="2506" spans="2:7">
      <c r="B2506" s="893" t="str">
        <f>+'4J'!AQ43</f>
        <v>BP3357005AL</v>
      </c>
      <c r="D2506" s="893"/>
      <c r="E2506" s="1753" t="s">
        <v>11007</v>
      </c>
      <c r="F2506" s="2146" t="str">
        <f>+'4J'!C$43</f>
        <v>Item 5</v>
      </c>
      <c r="G2506" t="str">
        <f>IF('4J'!G43="","##BLANK",'4J'!G43)</f>
        <v>##BLANK</v>
      </c>
    </row>
    <row r="2507" spans="2:7">
      <c r="B2507" s="893" t="str">
        <f>+'4J'!AQ44</f>
        <v>BP3357006AL</v>
      </c>
      <c r="D2507" s="893"/>
      <c r="E2507" s="1753" t="s">
        <v>11007</v>
      </c>
      <c r="F2507" s="2146" t="str">
        <f>+'4J'!C$44</f>
        <v>Item 6</v>
      </c>
      <c r="G2507" t="str">
        <f>IF('4J'!G44="","##BLANK",'4J'!G44)</f>
        <v>##BLANK</v>
      </c>
    </row>
    <row r="2508" spans="2:7">
      <c r="B2508" s="893" t="str">
        <f>+'4J'!AQ45</f>
        <v>BP3357007AL</v>
      </c>
      <c r="D2508" s="893"/>
      <c r="E2508" s="1753" t="s">
        <v>11007</v>
      </c>
      <c r="F2508" s="2146" t="str">
        <f>+'4J'!C$45</f>
        <v>Item 7</v>
      </c>
      <c r="G2508" t="str">
        <f>IF('4J'!G45="","##BLANK",'4J'!G45)</f>
        <v>##BLANK</v>
      </c>
    </row>
    <row r="2509" spans="2:7">
      <c r="B2509" s="893" t="str">
        <f>+'4J'!AQ46</f>
        <v>BP3357008AL</v>
      </c>
      <c r="D2509" s="893"/>
      <c r="E2509" s="1753" t="s">
        <v>11007</v>
      </c>
      <c r="F2509" s="2146" t="str">
        <f>+'4J'!C$46</f>
        <v>Item 8</v>
      </c>
      <c r="G2509" t="str">
        <f>IF('4J'!G46="","##BLANK",'4J'!G46)</f>
        <v>##BLANK</v>
      </c>
    </row>
    <row r="2510" spans="2:7">
      <c r="B2510" s="893" t="str">
        <f>+'4J'!AQ47</f>
        <v>BP3357009AL</v>
      </c>
      <c r="D2510" s="893"/>
      <c r="E2510" s="1753" t="s">
        <v>11007</v>
      </c>
      <c r="F2510" s="2146" t="str">
        <f>+'4J'!C$47</f>
        <v>Item 9</v>
      </c>
      <c r="G2510" t="str">
        <f>IF('4J'!G47="","##BLANK",'4J'!G47)</f>
        <v>##BLANK</v>
      </c>
    </row>
    <row r="2511" spans="2:7">
      <c r="B2511" s="893" t="str">
        <f>+'4J'!AQ48</f>
        <v>BP3357010AL</v>
      </c>
      <c r="D2511" s="893"/>
      <c r="E2511" s="1753" t="s">
        <v>11007</v>
      </c>
      <c r="F2511" s="2146" t="str">
        <f>+'4J'!C$48</f>
        <v>Item 10</v>
      </c>
      <c r="G2511" t="str">
        <f>IF('4J'!G48="","##BLANK",'4J'!G48)</f>
        <v>##BLANK</v>
      </c>
    </row>
    <row r="2512" spans="2:7">
      <c r="B2512" s="893" t="str">
        <f>+'4J'!AQ49</f>
        <v>BP3357020AL</v>
      </c>
      <c r="D2512" s="893"/>
      <c r="E2512" s="1753" t="s">
        <v>11007</v>
      </c>
      <c r="G2512">
        <f>IF('4J'!G49="","##BLANK",'4J'!G49)</f>
        <v>0</v>
      </c>
    </row>
    <row r="2513" spans="2:7">
      <c r="B2513" s="893" t="str">
        <f>+'4J'!AQ52</f>
        <v>W3026TEAL</v>
      </c>
      <c r="D2513" s="893"/>
      <c r="E2513" s="1753" t="s">
        <v>11007</v>
      </c>
      <c r="G2513">
        <f>IF('4J'!G52="","##BLANK",'4J'!G52)</f>
        <v>0</v>
      </c>
    </row>
    <row r="2514" spans="2:7">
      <c r="B2514" s="893" t="str">
        <f>+'4J'!AR7</f>
        <v>WS1001RWA</v>
      </c>
      <c r="D2514" s="893"/>
      <c r="E2514" s="1753" t="s">
        <v>11007</v>
      </c>
      <c r="G2514" t="str">
        <f>IF('4J'!H7="","##BLANK",'4J'!H7)</f>
        <v>##BLANK</v>
      </c>
    </row>
    <row r="2515" spans="2:7">
      <c r="B2515" s="893" t="str">
        <f>+'4J'!AR8</f>
        <v>WS1002RWA</v>
      </c>
      <c r="D2515" s="893"/>
      <c r="E2515" s="1753" t="s">
        <v>11007</v>
      </c>
      <c r="G2515" t="str">
        <f>IF('4J'!H8="","##BLANK",'4J'!H8)</f>
        <v>##BLANK</v>
      </c>
    </row>
    <row r="2516" spans="2:7">
      <c r="B2516" s="893" t="str">
        <f>+'4J'!AR9</f>
        <v>WS1003RWA</v>
      </c>
      <c r="D2516" s="893"/>
      <c r="E2516" s="1753" t="s">
        <v>11007</v>
      </c>
      <c r="G2516" t="str">
        <f>IF('4J'!H9="","##BLANK",'4J'!H9)</f>
        <v>##BLANK</v>
      </c>
    </row>
    <row r="2517" spans="2:7">
      <c r="B2517" s="893" t="str">
        <f>+'4J'!AR10</f>
        <v>WS1004RWA</v>
      </c>
      <c r="D2517" s="893"/>
      <c r="E2517" s="1753" t="s">
        <v>11007</v>
      </c>
      <c r="G2517" t="str">
        <f>IF('4J'!H10="","##BLANK",'4J'!H10)</f>
        <v>##BLANK</v>
      </c>
    </row>
    <row r="2518" spans="2:7">
      <c r="B2518" s="893" t="str">
        <f>+'4J'!AR12</f>
        <v>WS1005RWA</v>
      </c>
      <c r="D2518" s="893"/>
      <c r="E2518" s="1753" t="s">
        <v>11007</v>
      </c>
      <c r="G2518" t="str">
        <f>IF('4J'!H12="","##BLANK",'4J'!H12)</f>
        <v>##BLANK</v>
      </c>
    </row>
    <row r="2519" spans="2:7">
      <c r="B2519" s="893" t="str">
        <f>+'4J'!AR13</f>
        <v>WS1006RWA</v>
      </c>
      <c r="D2519" s="893"/>
      <c r="E2519" s="1753" t="s">
        <v>11007</v>
      </c>
      <c r="G2519" t="str">
        <f>IF('4J'!H13="","##BLANK",'4J'!H13)</f>
        <v>##BLANK</v>
      </c>
    </row>
    <row r="2520" spans="2:7">
      <c r="B2520" s="893" t="str">
        <f>+'4J'!AR14</f>
        <v>WS1007RWA</v>
      </c>
      <c r="D2520" s="893"/>
      <c r="E2520" s="1753" t="s">
        <v>11007</v>
      </c>
      <c r="G2520" t="str">
        <f>IF('4J'!H14="","##BLANK",'4J'!H14)</f>
        <v>##BLANK</v>
      </c>
    </row>
    <row r="2521" spans="2:7">
      <c r="B2521" s="893" t="str">
        <f>+'4J'!AR15</f>
        <v>WS1008RWA</v>
      </c>
      <c r="D2521" s="893"/>
      <c r="E2521" s="1753" t="s">
        <v>11007</v>
      </c>
      <c r="G2521" t="str">
        <f>IF('4J'!H15="","##BLANK",'4J'!H15)</f>
        <v>##BLANK</v>
      </c>
    </row>
    <row r="2522" spans="2:7">
      <c r="B2522" s="893" t="str">
        <f>+'4J'!AR16</f>
        <v>WS1009RWA</v>
      </c>
      <c r="D2522" s="893"/>
      <c r="E2522" s="1753" t="s">
        <v>11007</v>
      </c>
      <c r="G2522">
        <f>IF('4J'!H16="","##BLANK",'4J'!H16)</f>
        <v>0</v>
      </c>
    </row>
    <row r="2523" spans="2:7">
      <c r="B2523" s="893" t="str">
        <f>+'4J'!AR18</f>
        <v>WS1010RWA</v>
      </c>
      <c r="D2523" s="893"/>
      <c r="E2523" s="1753" t="s">
        <v>11007</v>
      </c>
      <c r="G2523" t="str">
        <f>IF('4J'!H18="","##BLANK",'4J'!H18)</f>
        <v>##BLANK</v>
      </c>
    </row>
    <row r="2524" spans="2:7">
      <c r="B2524" s="893" t="str">
        <f>+'4J'!AR19</f>
        <v>WS1011RWA</v>
      </c>
      <c r="D2524" s="893"/>
      <c r="E2524" s="1753" t="s">
        <v>11007</v>
      </c>
      <c r="G2524">
        <f>IF('4J'!H19="","##BLANK",'4J'!H19)</f>
        <v>0</v>
      </c>
    </row>
    <row r="2525" spans="2:7">
      <c r="B2525" s="893" t="str">
        <f>+'4J'!AR22</f>
        <v>WS1012RWA</v>
      </c>
      <c r="D2525" s="893"/>
      <c r="E2525" s="1753" t="s">
        <v>11007</v>
      </c>
      <c r="G2525" t="str">
        <f>IF('4J'!H22="","##BLANK",'4J'!H22)</f>
        <v>##BLANK</v>
      </c>
    </row>
    <row r="2526" spans="2:7">
      <c r="B2526" s="893" t="str">
        <f>+'4J'!AR23</f>
        <v>WS1013RWA</v>
      </c>
      <c r="D2526" s="893"/>
      <c r="E2526" s="1753" t="s">
        <v>11007</v>
      </c>
      <c r="G2526" t="str">
        <f>IF('4J'!H23="","##BLANK",'4J'!H23)</f>
        <v>##BLANK</v>
      </c>
    </row>
    <row r="2527" spans="2:7">
      <c r="B2527" s="893" t="str">
        <f>+'4J'!AR24</f>
        <v>WS1014RWA</v>
      </c>
      <c r="D2527" s="893"/>
      <c r="E2527" s="1753" t="s">
        <v>11007</v>
      </c>
      <c r="G2527" t="str">
        <f>IF('4J'!H24="","##BLANK",'4J'!H24)</f>
        <v>##BLANK</v>
      </c>
    </row>
    <row r="2528" spans="2:7">
      <c r="B2528" s="893" t="str">
        <f>+'4J'!AR25</f>
        <v>WS1015RWA</v>
      </c>
      <c r="D2528" s="893"/>
      <c r="E2528" s="1753" t="s">
        <v>11007</v>
      </c>
      <c r="G2528" t="str">
        <f>IF('4J'!H25="","##BLANK",'4J'!H25)</f>
        <v>##BLANK</v>
      </c>
    </row>
    <row r="2529" spans="2:7">
      <c r="B2529" s="893" t="str">
        <f>+'4J'!AR26</f>
        <v>WS1016RWA</v>
      </c>
      <c r="D2529" s="893"/>
      <c r="E2529" s="1753" t="s">
        <v>11007</v>
      </c>
      <c r="G2529" t="str">
        <f>IF('4J'!H26="","##BLANK",'4J'!H26)</f>
        <v>##BLANK</v>
      </c>
    </row>
    <row r="2530" spans="2:7">
      <c r="B2530" s="893" t="str">
        <f>+'4J'!AR27</f>
        <v>WS1017RWA</v>
      </c>
      <c r="D2530" s="893"/>
      <c r="E2530" s="1753" t="s">
        <v>11007</v>
      </c>
      <c r="G2530">
        <f>IF('4J'!H27="","##BLANK",'4J'!H27)</f>
        <v>0</v>
      </c>
    </row>
    <row r="2531" spans="2:7">
      <c r="B2531" s="893" t="str">
        <f>+'4J'!AR28</f>
        <v>WS1018RWA</v>
      </c>
      <c r="D2531" s="893"/>
      <c r="E2531" s="1753" t="s">
        <v>11007</v>
      </c>
      <c r="G2531" t="str">
        <f>IF('4J'!H28="","##BLANK",'4J'!H28)</f>
        <v>##BLANK</v>
      </c>
    </row>
    <row r="2532" spans="2:7">
      <c r="B2532" s="893" t="str">
        <f>+'4J'!AR29</f>
        <v>WS1019RWA</v>
      </c>
      <c r="D2532" s="893"/>
      <c r="E2532" s="1753" t="s">
        <v>11007</v>
      </c>
      <c r="G2532">
        <f>IF('4J'!H29="","##BLANK",'4J'!H29)</f>
        <v>0</v>
      </c>
    </row>
    <row r="2533" spans="2:7">
      <c r="B2533" s="893" t="str">
        <f>+'4J'!AR30</f>
        <v>WS1020RWA</v>
      </c>
      <c r="D2533" s="893"/>
      <c r="E2533" s="1753" t="s">
        <v>11007</v>
      </c>
      <c r="G2533" t="str">
        <f>IF('4J'!H30="","##BLANK",'4J'!H30)</f>
        <v>##BLANK</v>
      </c>
    </row>
    <row r="2534" spans="2:7">
      <c r="B2534" s="893" t="str">
        <f>+'4J'!AR31</f>
        <v>WS1021RWA</v>
      </c>
      <c r="D2534" s="893"/>
      <c r="E2534" s="1753" t="s">
        <v>11007</v>
      </c>
      <c r="G2534">
        <f>IF('4J'!H31="","##BLANK",'4J'!H31)</f>
        <v>0</v>
      </c>
    </row>
    <row r="2535" spans="2:7">
      <c r="B2535" s="893" t="str">
        <f>+'4J'!AR34</f>
        <v>WS1022RWA</v>
      </c>
      <c r="D2535" s="893"/>
      <c r="E2535" s="1753" t="s">
        <v>11007</v>
      </c>
      <c r="G2535" t="str">
        <f>IF('4J'!H34="","##BLANK",'4J'!H34)</f>
        <v>##BLANK</v>
      </c>
    </row>
    <row r="2536" spans="2:7">
      <c r="B2536" s="893" t="str">
        <f>+'4J'!AR35</f>
        <v>WS1023RWA</v>
      </c>
      <c r="D2536" s="893"/>
      <c r="E2536" s="1753" t="s">
        <v>11007</v>
      </c>
      <c r="G2536" t="str">
        <f>IF('4J'!H35="","##BLANK",'4J'!H35)</f>
        <v>##BLANK</v>
      </c>
    </row>
    <row r="2537" spans="2:7">
      <c r="B2537" s="893" t="str">
        <f>+'4J'!AR36</f>
        <v>WS1024RWA</v>
      </c>
      <c r="D2537" s="893"/>
      <c r="E2537" s="1753" t="s">
        <v>11007</v>
      </c>
      <c r="G2537">
        <f>IF('4J'!H36="","##BLANK",'4J'!H36)</f>
        <v>0</v>
      </c>
    </row>
    <row r="2538" spans="2:7">
      <c r="B2538" s="893" t="str">
        <f>+'4J'!AR39</f>
        <v>BP3357001RWA</v>
      </c>
      <c r="D2538" s="893"/>
      <c r="E2538" s="1753" t="s">
        <v>11007</v>
      </c>
      <c r="F2538" s="2146" t="str">
        <f>+'4J'!C$39</f>
        <v>Item 1</v>
      </c>
      <c r="G2538" t="str">
        <f>IF('4J'!H39="","##BLANK",'4J'!H39)</f>
        <v>##BLANK</v>
      </c>
    </row>
    <row r="2539" spans="2:7">
      <c r="B2539" s="893" t="str">
        <f>+'4J'!AR40</f>
        <v>BP3357002RWA</v>
      </c>
      <c r="D2539" s="893"/>
      <c r="E2539" s="1753" t="s">
        <v>11007</v>
      </c>
      <c r="F2539" s="2146" t="str">
        <f>+'4J'!C$40</f>
        <v>Item 2</v>
      </c>
      <c r="G2539" t="str">
        <f>IF('4J'!H40="","##BLANK",'4J'!H40)</f>
        <v>##BLANK</v>
      </c>
    </row>
    <row r="2540" spans="2:7">
      <c r="B2540" s="893" t="str">
        <f>+'4J'!AR41</f>
        <v>BP3357003RWA</v>
      </c>
      <c r="D2540" s="893"/>
      <c r="E2540" s="1753" t="s">
        <v>11007</v>
      </c>
      <c r="F2540" s="2146" t="str">
        <f>+'4J'!C$41</f>
        <v>Item 3</v>
      </c>
      <c r="G2540" t="str">
        <f>IF('4J'!H41="","##BLANK",'4J'!H41)</f>
        <v>##BLANK</v>
      </c>
    </row>
    <row r="2541" spans="2:7">
      <c r="B2541" s="893" t="str">
        <f>+'4J'!AR42</f>
        <v>BP3357004RWA</v>
      </c>
      <c r="D2541" s="893"/>
      <c r="E2541" s="1753" t="s">
        <v>11007</v>
      </c>
      <c r="F2541" s="2146" t="str">
        <f>+'4J'!C$42</f>
        <v>Item 4</v>
      </c>
      <c r="G2541" t="str">
        <f>IF('4J'!H42="","##BLANK",'4J'!H42)</f>
        <v>##BLANK</v>
      </c>
    </row>
    <row r="2542" spans="2:7">
      <c r="B2542" s="893" t="str">
        <f>+'4J'!AR43</f>
        <v>BP3357005RWA</v>
      </c>
      <c r="D2542" s="893"/>
      <c r="E2542" s="1753" t="s">
        <v>11007</v>
      </c>
      <c r="F2542" s="2146" t="str">
        <f>+'4J'!C$43</f>
        <v>Item 5</v>
      </c>
      <c r="G2542" t="str">
        <f>IF('4J'!H43="","##BLANK",'4J'!H43)</f>
        <v>##BLANK</v>
      </c>
    </row>
    <row r="2543" spans="2:7">
      <c r="B2543" s="893" t="str">
        <f>+'4J'!AR44</f>
        <v>BP3357006RWA</v>
      </c>
      <c r="D2543" s="893"/>
      <c r="E2543" s="1753" t="s">
        <v>11007</v>
      </c>
      <c r="F2543" s="2146" t="str">
        <f>+'4J'!C$44</f>
        <v>Item 6</v>
      </c>
      <c r="G2543" t="str">
        <f>IF('4J'!H44="","##BLANK",'4J'!H44)</f>
        <v>##BLANK</v>
      </c>
    </row>
    <row r="2544" spans="2:7">
      <c r="B2544" s="893" t="str">
        <f>+'4J'!AR45</f>
        <v>BP3357007RWA</v>
      </c>
      <c r="D2544" s="893"/>
      <c r="E2544" s="1753" t="s">
        <v>11007</v>
      </c>
      <c r="F2544" s="2146" t="str">
        <f>+'4J'!C$45</f>
        <v>Item 7</v>
      </c>
      <c r="G2544" t="str">
        <f>IF('4J'!H45="","##BLANK",'4J'!H45)</f>
        <v>##BLANK</v>
      </c>
    </row>
    <row r="2545" spans="2:7">
      <c r="B2545" s="893" t="str">
        <f>+'4J'!AR46</f>
        <v>BP3357008RWA</v>
      </c>
      <c r="D2545" s="893"/>
      <c r="E2545" s="1753" t="s">
        <v>11007</v>
      </c>
      <c r="F2545" s="2146" t="str">
        <f>+'4J'!C$46</f>
        <v>Item 8</v>
      </c>
      <c r="G2545" t="str">
        <f>IF('4J'!H46="","##BLANK",'4J'!H46)</f>
        <v>##BLANK</v>
      </c>
    </row>
    <row r="2546" spans="2:7">
      <c r="B2546" s="893" t="str">
        <f>+'4J'!AR47</f>
        <v>BP3357009RWA</v>
      </c>
      <c r="D2546" s="893"/>
      <c r="E2546" s="1753" t="s">
        <v>11007</v>
      </c>
      <c r="F2546" s="2146" t="str">
        <f>+'4J'!C$47</f>
        <v>Item 9</v>
      </c>
      <c r="G2546" t="str">
        <f>IF('4J'!H47="","##BLANK",'4J'!H47)</f>
        <v>##BLANK</v>
      </c>
    </row>
    <row r="2547" spans="2:7">
      <c r="B2547" s="893" t="str">
        <f>+'4J'!AR48</f>
        <v>BP3357010RWA</v>
      </c>
      <c r="D2547" s="893"/>
      <c r="E2547" s="1753" t="s">
        <v>11007</v>
      </c>
      <c r="F2547" s="2146" t="str">
        <f>+'4J'!C$48</f>
        <v>Item 10</v>
      </c>
      <c r="G2547" t="str">
        <f>IF('4J'!H48="","##BLANK",'4J'!H48)</f>
        <v>##BLANK</v>
      </c>
    </row>
    <row r="2548" spans="2:7">
      <c r="B2548" s="893" t="str">
        <f>+'4J'!AR49</f>
        <v>BP3357020RWA</v>
      </c>
      <c r="D2548" s="893"/>
      <c r="E2548" s="1753" t="s">
        <v>11007</v>
      </c>
      <c r="G2548">
        <f>IF('4J'!H49="","##BLANK",'4J'!H49)</f>
        <v>0</v>
      </c>
    </row>
    <row r="2549" spans="2:7">
      <c r="B2549" s="893" t="str">
        <f>+'4J'!AR52</f>
        <v>W3026TERWA</v>
      </c>
      <c r="D2549" s="893"/>
      <c r="E2549" s="1753" t="s">
        <v>11007</v>
      </c>
      <c r="G2549">
        <f>IF('4J'!H52="","##BLANK",'4J'!H52)</f>
        <v>0</v>
      </c>
    </row>
    <row r="2550" spans="2:7">
      <c r="B2550" s="893" t="str">
        <f>+'4J'!AS7</f>
        <v>WS1001RWT</v>
      </c>
      <c r="D2550" s="893"/>
      <c r="E2550" s="1753" t="s">
        <v>11007</v>
      </c>
      <c r="G2550" t="str">
        <f>IF('4J'!I7="","##BLANK",'4J'!I7)</f>
        <v>##BLANK</v>
      </c>
    </row>
    <row r="2551" spans="2:7">
      <c r="B2551" s="893" t="str">
        <f>+'4J'!AS8</f>
        <v>WS1002RWT</v>
      </c>
      <c r="D2551" s="893"/>
      <c r="E2551" s="1753" t="s">
        <v>11007</v>
      </c>
      <c r="G2551" t="str">
        <f>IF('4J'!I8="","##BLANK",'4J'!I8)</f>
        <v>##BLANK</v>
      </c>
    </row>
    <row r="2552" spans="2:7">
      <c r="B2552" s="893" t="str">
        <f>+'4J'!AS9</f>
        <v>WS1003RWT</v>
      </c>
      <c r="D2552" s="893"/>
      <c r="E2552" s="1753" t="s">
        <v>11007</v>
      </c>
      <c r="G2552" t="str">
        <f>IF('4J'!I9="","##BLANK",'4J'!I9)</f>
        <v>##BLANK</v>
      </c>
    </row>
    <row r="2553" spans="2:7">
      <c r="B2553" s="893" t="str">
        <f>+'4J'!AS10</f>
        <v>WS1004RWT</v>
      </c>
      <c r="D2553" s="893"/>
      <c r="E2553" s="1753" t="s">
        <v>11007</v>
      </c>
      <c r="G2553" t="str">
        <f>IF('4J'!I10="","##BLANK",'4J'!I10)</f>
        <v>##BLANK</v>
      </c>
    </row>
    <row r="2554" spans="2:7">
      <c r="B2554" s="893" t="str">
        <f>+'4J'!AS12</f>
        <v>WS1005RWT</v>
      </c>
      <c r="D2554" s="893"/>
      <c r="E2554" s="1753" t="s">
        <v>11007</v>
      </c>
      <c r="G2554" t="str">
        <f>IF('4J'!I12="","##BLANK",'4J'!I12)</f>
        <v>##BLANK</v>
      </c>
    </row>
    <row r="2555" spans="2:7">
      <c r="B2555" s="893" t="str">
        <f>+'4J'!AS13</f>
        <v>WS1006RWT</v>
      </c>
      <c r="D2555" s="893"/>
      <c r="E2555" s="1753" t="s">
        <v>11007</v>
      </c>
      <c r="G2555" t="str">
        <f>IF('4J'!I13="","##BLANK",'4J'!I13)</f>
        <v>##BLANK</v>
      </c>
    </row>
    <row r="2556" spans="2:7">
      <c r="B2556" s="893" t="str">
        <f>+'4J'!AS14</f>
        <v>WS1007RWT</v>
      </c>
      <c r="D2556" s="893"/>
      <c r="E2556" s="1753" t="s">
        <v>11007</v>
      </c>
      <c r="G2556" t="str">
        <f>IF('4J'!I14="","##BLANK",'4J'!I14)</f>
        <v>##BLANK</v>
      </c>
    </row>
    <row r="2557" spans="2:7">
      <c r="B2557" s="893" t="str">
        <f>+'4J'!AS15</f>
        <v>WS1008RWT</v>
      </c>
      <c r="D2557" s="893"/>
      <c r="E2557" s="1753" t="s">
        <v>11007</v>
      </c>
      <c r="G2557" t="str">
        <f>IF('4J'!I15="","##BLANK",'4J'!I15)</f>
        <v>##BLANK</v>
      </c>
    </row>
    <row r="2558" spans="2:7">
      <c r="B2558" s="893" t="str">
        <f>+'4J'!AS16</f>
        <v>WS1009RWT</v>
      </c>
      <c r="D2558" s="893"/>
      <c r="E2558" s="1753" t="s">
        <v>11007</v>
      </c>
      <c r="G2558">
        <f>IF('4J'!I16="","##BLANK",'4J'!I16)</f>
        <v>0</v>
      </c>
    </row>
    <row r="2559" spans="2:7">
      <c r="B2559" s="893" t="str">
        <f>+'4J'!AS18</f>
        <v>WS1010RWT</v>
      </c>
      <c r="D2559" s="893"/>
      <c r="E2559" s="1753" t="s">
        <v>11007</v>
      </c>
      <c r="G2559" t="str">
        <f>IF('4J'!I18="","##BLANK",'4J'!I18)</f>
        <v>##BLANK</v>
      </c>
    </row>
    <row r="2560" spans="2:7">
      <c r="B2560" s="893" t="str">
        <f>+'4J'!AS19</f>
        <v>WS1011RWT</v>
      </c>
      <c r="D2560" s="893"/>
      <c r="E2560" s="1753" t="s">
        <v>11007</v>
      </c>
      <c r="G2560">
        <f>IF('4J'!I19="","##BLANK",'4J'!I19)</f>
        <v>0</v>
      </c>
    </row>
    <row r="2561" spans="2:7">
      <c r="B2561" s="893" t="str">
        <f>+'4J'!AS22</f>
        <v>WS1012RWT</v>
      </c>
      <c r="D2561" s="893"/>
      <c r="E2561" s="1753" t="s">
        <v>11007</v>
      </c>
      <c r="G2561" t="str">
        <f>IF('4J'!I22="","##BLANK",'4J'!I22)</f>
        <v>##BLANK</v>
      </c>
    </row>
    <row r="2562" spans="2:7">
      <c r="B2562" s="893" t="str">
        <f>+'4J'!AS23</f>
        <v>WS1013RWT</v>
      </c>
      <c r="D2562" s="893"/>
      <c r="E2562" s="1753" t="s">
        <v>11007</v>
      </c>
      <c r="G2562" t="str">
        <f>IF('4J'!I23="","##BLANK",'4J'!I23)</f>
        <v>##BLANK</v>
      </c>
    </row>
    <row r="2563" spans="2:7">
      <c r="B2563" s="893" t="str">
        <f>+'4J'!AS24</f>
        <v>WS1014RWT</v>
      </c>
      <c r="D2563" s="893"/>
      <c r="E2563" s="1753" t="s">
        <v>11007</v>
      </c>
      <c r="G2563" t="str">
        <f>IF('4J'!I24="","##BLANK",'4J'!I24)</f>
        <v>##BLANK</v>
      </c>
    </row>
    <row r="2564" spans="2:7">
      <c r="B2564" s="893" t="str">
        <f>+'4J'!AS25</f>
        <v>WS1015RWT</v>
      </c>
      <c r="D2564" s="893"/>
      <c r="E2564" s="1753" t="s">
        <v>11007</v>
      </c>
      <c r="G2564" t="str">
        <f>IF('4J'!I25="","##BLANK",'4J'!I25)</f>
        <v>##BLANK</v>
      </c>
    </row>
    <row r="2565" spans="2:7">
      <c r="B2565" s="893" t="str">
        <f>+'4J'!AS26</f>
        <v>WS1016RWT</v>
      </c>
      <c r="D2565" s="893"/>
      <c r="E2565" s="1753" t="s">
        <v>11007</v>
      </c>
      <c r="G2565" t="str">
        <f>IF('4J'!I26="","##BLANK",'4J'!I26)</f>
        <v>##BLANK</v>
      </c>
    </row>
    <row r="2566" spans="2:7">
      <c r="B2566" s="893" t="str">
        <f>+'4J'!AS27</f>
        <v>WS1017RWT</v>
      </c>
      <c r="D2566" s="893"/>
      <c r="E2566" s="1753" t="s">
        <v>11007</v>
      </c>
      <c r="G2566">
        <f>IF('4J'!I27="","##BLANK",'4J'!I27)</f>
        <v>0</v>
      </c>
    </row>
    <row r="2567" spans="2:7">
      <c r="B2567" s="893" t="str">
        <f>+'4J'!AS28</f>
        <v>WS1018RWT</v>
      </c>
      <c r="D2567" s="893"/>
      <c r="E2567" s="1753" t="s">
        <v>11007</v>
      </c>
      <c r="G2567" t="str">
        <f>IF('4J'!I28="","##BLANK",'4J'!I28)</f>
        <v>##BLANK</v>
      </c>
    </row>
    <row r="2568" spans="2:7">
      <c r="B2568" s="893" t="str">
        <f>+'4J'!AS29</f>
        <v>WS1019RWT</v>
      </c>
      <c r="D2568" s="893"/>
      <c r="E2568" s="1753" t="s">
        <v>11007</v>
      </c>
      <c r="G2568">
        <f>IF('4J'!I29="","##BLANK",'4J'!I29)</f>
        <v>0</v>
      </c>
    </row>
    <row r="2569" spans="2:7">
      <c r="B2569" s="893" t="str">
        <f>+'4J'!AS30</f>
        <v>WS1020RWT</v>
      </c>
      <c r="D2569" s="893"/>
      <c r="E2569" s="1753" t="s">
        <v>11007</v>
      </c>
      <c r="G2569" t="str">
        <f>IF('4J'!I30="","##BLANK",'4J'!I30)</f>
        <v>##BLANK</v>
      </c>
    </row>
    <row r="2570" spans="2:7">
      <c r="B2570" s="893" t="str">
        <f>+'4J'!AS31</f>
        <v>WS1021RWT</v>
      </c>
      <c r="D2570" s="893"/>
      <c r="E2570" s="1753" t="s">
        <v>11007</v>
      </c>
      <c r="G2570">
        <f>IF('4J'!I31="","##BLANK",'4J'!I31)</f>
        <v>0</v>
      </c>
    </row>
    <row r="2571" spans="2:7">
      <c r="B2571" s="893" t="str">
        <f>+'4J'!AS34</f>
        <v>WS1022RWT</v>
      </c>
      <c r="D2571" s="893"/>
      <c r="E2571" s="1753" t="s">
        <v>11007</v>
      </c>
      <c r="G2571" t="str">
        <f>IF('4J'!I34="","##BLANK",'4J'!I34)</f>
        <v>##BLANK</v>
      </c>
    </row>
    <row r="2572" spans="2:7">
      <c r="B2572" s="893" t="str">
        <f>+'4J'!AS35</f>
        <v>WS1023RWT</v>
      </c>
      <c r="D2572" s="893"/>
      <c r="E2572" s="1753" t="s">
        <v>11007</v>
      </c>
      <c r="G2572" t="str">
        <f>IF('4J'!I35="","##BLANK",'4J'!I35)</f>
        <v>##BLANK</v>
      </c>
    </row>
    <row r="2573" spans="2:7">
      <c r="B2573" s="893" t="str">
        <f>+'4J'!AS36</f>
        <v>WS1024RWT</v>
      </c>
      <c r="D2573" s="893"/>
      <c r="E2573" s="1753" t="s">
        <v>11007</v>
      </c>
      <c r="G2573">
        <f>IF('4J'!I36="","##BLANK",'4J'!I36)</f>
        <v>0</v>
      </c>
    </row>
    <row r="2574" spans="2:7">
      <c r="B2574" s="893" t="str">
        <f>+'4J'!AS39</f>
        <v>BP3357001RWT</v>
      </c>
      <c r="D2574" s="893"/>
      <c r="E2574" s="1753" t="s">
        <v>11007</v>
      </c>
      <c r="F2574" s="2146" t="str">
        <f>+'4J'!C$39</f>
        <v>Item 1</v>
      </c>
      <c r="G2574" t="str">
        <f>IF('4J'!I39="","##BLANK",'4J'!I39)</f>
        <v>##BLANK</v>
      </c>
    </row>
    <row r="2575" spans="2:7">
      <c r="B2575" s="893" t="str">
        <f>+'4J'!AS40</f>
        <v>BP3357002RWT</v>
      </c>
      <c r="D2575" s="893"/>
      <c r="E2575" s="1753" t="s">
        <v>11007</v>
      </c>
      <c r="F2575" s="2146" t="str">
        <f>+'4J'!C$40</f>
        <v>Item 2</v>
      </c>
      <c r="G2575" t="str">
        <f>IF('4J'!I40="","##BLANK",'4J'!I40)</f>
        <v>##BLANK</v>
      </c>
    </row>
    <row r="2576" spans="2:7">
      <c r="B2576" s="893" t="str">
        <f>+'4J'!AS41</f>
        <v>BP3357003RWT</v>
      </c>
      <c r="D2576" s="893"/>
      <c r="E2576" s="1753" t="s">
        <v>11007</v>
      </c>
      <c r="F2576" s="2146" t="str">
        <f>+'4J'!C$41</f>
        <v>Item 3</v>
      </c>
      <c r="G2576" t="str">
        <f>IF('4J'!I41="","##BLANK",'4J'!I41)</f>
        <v>##BLANK</v>
      </c>
    </row>
    <row r="2577" spans="2:7">
      <c r="B2577" s="893" t="str">
        <f>+'4J'!AS42</f>
        <v>BP3357004RWT</v>
      </c>
      <c r="D2577" s="893"/>
      <c r="E2577" s="1753" t="s">
        <v>11007</v>
      </c>
      <c r="F2577" s="2146" t="str">
        <f>+'4J'!C$42</f>
        <v>Item 4</v>
      </c>
      <c r="G2577" t="str">
        <f>IF('4J'!I42="","##BLANK",'4J'!I42)</f>
        <v>##BLANK</v>
      </c>
    </row>
    <row r="2578" spans="2:7">
      <c r="B2578" s="893" t="str">
        <f>+'4J'!AS43</f>
        <v>BP3357005RWT</v>
      </c>
      <c r="D2578" s="893"/>
      <c r="E2578" s="1753" t="s">
        <v>11007</v>
      </c>
      <c r="F2578" s="2146" t="str">
        <f>+'4J'!C$43</f>
        <v>Item 5</v>
      </c>
      <c r="G2578" t="str">
        <f>IF('4J'!I43="","##BLANK",'4J'!I43)</f>
        <v>##BLANK</v>
      </c>
    </row>
    <row r="2579" spans="2:7">
      <c r="B2579" s="893" t="str">
        <f>+'4J'!AS44</f>
        <v>BP3357006RWT</v>
      </c>
      <c r="D2579" s="893"/>
      <c r="E2579" s="1753" t="s">
        <v>11007</v>
      </c>
      <c r="F2579" s="2146" t="str">
        <f>+'4J'!C$44</f>
        <v>Item 6</v>
      </c>
      <c r="G2579" t="str">
        <f>IF('4J'!I44="","##BLANK",'4J'!I44)</f>
        <v>##BLANK</v>
      </c>
    </row>
    <row r="2580" spans="2:7">
      <c r="B2580" s="893" t="str">
        <f>+'4J'!AS45</f>
        <v>BP3357007RWT</v>
      </c>
      <c r="D2580" s="893"/>
      <c r="E2580" s="1753" t="s">
        <v>11007</v>
      </c>
      <c r="F2580" s="2146" t="str">
        <f>+'4J'!C$45</f>
        <v>Item 7</v>
      </c>
      <c r="G2580" t="str">
        <f>IF('4J'!I45="","##BLANK",'4J'!I45)</f>
        <v>##BLANK</v>
      </c>
    </row>
    <row r="2581" spans="2:7">
      <c r="B2581" s="893" t="str">
        <f>+'4J'!AS46</f>
        <v>BP3357008RWT</v>
      </c>
      <c r="D2581" s="893"/>
      <c r="E2581" s="1753" t="s">
        <v>11007</v>
      </c>
      <c r="F2581" s="2146" t="str">
        <f>+'4J'!C$46</f>
        <v>Item 8</v>
      </c>
      <c r="G2581" t="str">
        <f>IF('4J'!I46="","##BLANK",'4J'!I46)</f>
        <v>##BLANK</v>
      </c>
    </row>
    <row r="2582" spans="2:7">
      <c r="B2582" s="893" t="str">
        <f>+'4J'!AS47</f>
        <v>BP3357009RWT</v>
      </c>
      <c r="D2582" s="893"/>
      <c r="E2582" s="1753" t="s">
        <v>11007</v>
      </c>
      <c r="F2582" s="2146" t="str">
        <f>+'4J'!C$47</f>
        <v>Item 9</v>
      </c>
      <c r="G2582" t="str">
        <f>IF('4J'!I47="","##BLANK",'4J'!I47)</f>
        <v>##BLANK</v>
      </c>
    </row>
    <row r="2583" spans="2:7">
      <c r="B2583" s="893" t="str">
        <f>+'4J'!AS48</f>
        <v>BP3357010RWT</v>
      </c>
      <c r="D2583" s="893"/>
      <c r="E2583" s="1753" t="s">
        <v>11007</v>
      </c>
      <c r="F2583" s="2146" t="str">
        <f>+'4J'!C$48</f>
        <v>Item 10</v>
      </c>
      <c r="G2583" t="str">
        <f>IF('4J'!I48="","##BLANK",'4J'!I48)</f>
        <v>##BLANK</v>
      </c>
    </row>
    <row r="2584" spans="2:7">
      <c r="B2584" s="893" t="str">
        <f>+'4J'!AS49</f>
        <v>BP3357020RWT</v>
      </c>
      <c r="D2584" s="893"/>
      <c r="E2584" s="1753" t="s">
        <v>11007</v>
      </c>
      <c r="G2584">
        <f>IF('4J'!I49="","##BLANK",'4J'!I49)</f>
        <v>0</v>
      </c>
    </row>
    <row r="2585" spans="2:7">
      <c r="B2585" s="893" t="str">
        <f>+'4J'!AS52</f>
        <v>W3026TERWT</v>
      </c>
      <c r="D2585" s="893"/>
      <c r="E2585" s="1753" t="s">
        <v>11007</v>
      </c>
      <c r="G2585">
        <f>IF('4J'!I52="","##BLANK",'4J'!I52)</f>
        <v>0</v>
      </c>
    </row>
    <row r="2586" spans="2:7">
      <c r="B2586" s="893" t="str">
        <f>+'4J'!AT7</f>
        <v>WS1001RWS</v>
      </c>
      <c r="D2586" s="893"/>
      <c r="E2586" s="1753" t="s">
        <v>11007</v>
      </c>
      <c r="G2586" t="str">
        <f>IF('4J'!J7="","##BLANK",'4J'!J7)</f>
        <v>##BLANK</v>
      </c>
    </row>
    <row r="2587" spans="2:7">
      <c r="B2587" s="893" t="str">
        <f>+'4J'!AT8</f>
        <v>WS1002RWS</v>
      </c>
      <c r="D2587" s="893"/>
      <c r="E2587" s="1753" t="s">
        <v>11007</v>
      </c>
      <c r="G2587" t="str">
        <f>IF('4J'!J8="","##BLANK",'4J'!J8)</f>
        <v>##BLANK</v>
      </c>
    </row>
    <row r="2588" spans="2:7">
      <c r="B2588" s="893" t="str">
        <f>+'4J'!AT9</f>
        <v>WS1003RWS</v>
      </c>
      <c r="D2588" s="893"/>
      <c r="E2588" s="1753" t="s">
        <v>11007</v>
      </c>
      <c r="G2588" t="str">
        <f>IF('4J'!J9="","##BLANK",'4J'!J9)</f>
        <v>##BLANK</v>
      </c>
    </row>
    <row r="2589" spans="2:7">
      <c r="B2589" s="893" t="str">
        <f>+'4J'!AT10</f>
        <v>WS1004RWS</v>
      </c>
      <c r="D2589" s="893"/>
      <c r="E2589" s="1753" t="s">
        <v>11007</v>
      </c>
      <c r="G2589" t="str">
        <f>IF('4J'!J10="","##BLANK",'4J'!J10)</f>
        <v>##BLANK</v>
      </c>
    </row>
    <row r="2590" spans="2:7">
      <c r="B2590" s="893" t="str">
        <f>+'4J'!AT12</f>
        <v>WS1005RWS</v>
      </c>
      <c r="D2590" s="893"/>
      <c r="E2590" s="1753" t="s">
        <v>11007</v>
      </c>
      <c r="G2590" t="str">
        <f>IF('4J'!J12="","##BLANK",'4J'!J12)</f>
        <v>##BLANK</v>
      </c>
    </row>
    <row r="2591" spans="2:7">
      <c r="B2591" s="893" t="str">
        <f>+'4J'!AT13</f>
        <v>WS1006RWS</v>
      </c>
      <c r="D2591" s="893"/>
      <c r="E2591" s="1753" t="s">
        <v>11007</v>
      </c>
      <c r="G2591" t="str">
        <f>IF('4J'!J13="","##BLANK",'4J'!J13)</f>
        <v>##BLANK</v>
      </c>
    </row>
    <row r="2592" spans="2:7">
      <c r="B2592" s="893" t="str">
        <f>+'4J'!AT14</f>
        <v>WS1007RWS</v>
      </c>
      <c r="D2592" s="893"/>
      <c r="E2592" s="1753" t="s">
        <v>11007</v>
      </c>
      <c r="G2592" t="str">
        <f>IF('4J'!J14="","##BLANK",'4J'!J14)</f>
        <v>##BLANK</v>
      </c>
    </row>
    <row r="2593" spans="2:7">
      <c r="B2593" s="893" t="str">
        <f>+'4J'!AT15</f>
        <v>WS1008RWS</v>
      </c>
      <c r="D2593" s="893"/>
      <c r="E2593" s="1753" t="s">
        <v>11007</v>
      </c>
      <c r="G2593" t="str">
        <f>IF('4J'!J15="","##BLANK",'4J'!J15)</f>
        <v>##BLANK</v>
      </c>
    </row>
    <row r="2594" spans="2:7">
      <c r="B2594" s="893" t="str">
        <f>+'4J'!AT16</f>
        <v>WS1009RWS</v>
      </c>
      <c r="D2594" s="893"/>
      <c r="E2594" s="1753" t="s">
        <v>11007</v>
      </c>
      <c r="G2594">
        <f>IF('4J'!J16="","##BLANK",'4J'!J16)</f>
        <v>0</v>
      </c>
    </row>
    <row r="2595" spans="2:7">
      <c r="B2595" s="893" t="str">
        <f>+'4J'!AT18</f>
        <v>WS1010RWS</v>
      </c>
      <c r="D2595" s="893"/>
      <c r="E2595" s="1753" t="s">
        <v>11007</v>
      </c>
      <c r="G2595" t="str">
        <f>IF('4J'!J18="","##BLANK",'4J'!J18)</f>
        <v>##BLANK</v>
      </c>
    </row>
    <row r="2596" spans="2:7">
      <c r="B2596" s="893" t="str">
        <f>+'4J'!AT19</f>
        <v>WS1011RWS</v>
      </c>
      <c r="D2596" s="893"/>
      <c r="E2596" s="1753" t="s">
        <v>11007</v>
      </c>
      <c r="G2596">
        <f>IF('4J'!J19="","##BLANK",'4J'!J19)</f>
        <v>0</v>
      </c>
    </row>
    <row r="2597" spans="2:7">
      <c r="B2597" s="893" t="str">
        <f>+'4J'!AT22</f>
        <v>WS1012RWS</v>
      </c>
      <c r="D2597" s="893"/>
      <c r="E2597" s="1753" t="s">
        <v>11007</v>
      </c>
      <c r="G2597" t="str">
        <f>IF('4J'!J22="","##BLANK",'4J'!J22)</f>
        <v>##BLANK</v>
      </c>
    </row>
    <row r="2598" spans="2:7">
      <c r="B2598" s="893" t="str">
        <f>+'4J'!AT23</f>
        <v>WS1013RWS</v>
      </c>
      <c r="D2598" s="893"/>
      <c r="E2598" s="1753" t="s">
        <v>11007</v>
      </c>
      <c r="G2598" t="str">
        <f>IF('4J'!J23="","##BLANK",'4J'!J23)</f>
        <v>##BLANK</v>
      </c>
    </row>
    <row r="2599" spans="2:7">
      <c r="B2599" s="893" t="str">
        <f>+'4J'!AT24</f>
        <v>WS1014RWS</v>
      </c>
      <c r="D2599" s="893"/>
      <c r="E2599" s="1753" t="s">
        <v>11007</v>
      </c>
      <c r="G2599" t="str">
        <f>IF('4J'!J24="","##BLANK",'4J'!J24)</f>
        <v>##BLANK</v>
      </c>
    </row>
    <row r="2600" spans="2:7">
      <c r="B2600" s="893" t="str">
        <f>+'4J'!AT25</f>
        <v>WS1015RWS</v>
      </c>
      <c r="D2600" s="893"/>
      <c r="E2600" s="1753" t="s">
        <v>11007</v>
      </c>
      <c r="G2600" t="str">
        <f>IF('4J'!J25="","##BLANK",'4J'!J25)</f>
        <v>##BLANK</v>
      </c>
    </row>
    <row r="2601" spans="2:7">
      <c r="B2601" s="893" t="str">
        <f>+'4J'!AT26</f>
        <v>WS1016RWS</v>
      </c>
      <c r="D2601" s="893"/>
      <c r="E2601" s="1753" t="s">
        <v>11007</v>
      </c>
      <c r="G2601" t="str">
        <f>IF('4J'!J26="","##BLANK",'4J'!J26)</f>
        <v>##BLANK</v>
      </c>
    </row>
    <row r="2602" spans="2:7">
      <c r="B2602" s="893" t="str">
        <f>+'4J'!AT27</f>
        <v>WS1017RWS</v>
      </c>
      <c r="D2602" s="893"/>
      <c r="E2602" s="1753" t="s">
        <v>11007</v>
      </c>
      <c r="G2602">
        <f>IF('4J'!J27="","##BLANK",'4J'!J27)</f>
        <v>0</v>
      </c>
    </row>
    <row r="2603" spans="2:7">
      <c r="B2603" s="893" t="str">
        <f>+'4J'!AT28</f>
        <v>WS1018RWS</v>
      </c>
      <c r="D2603" s="893"/>
      <c r="E2603" s="1753" t="s">
        <v>11007</v>
      </c>
      <c r="G2603" t="str">
        <f>IF('4J'!J28="","##BLANK",'4J'!J28)</f>
        <v>##BLANK</v>
      </c>
    </row>
    <row r="2604" spans="2:7">
      <c r="B2604" s="893" t="str">
        <f>+'4J'!AT29</f>
        <v>WS1019RWS</v>
      </c>
      <c r="D2604" s="893"/>
      <c r="E2604" s="1753" t="s">
        <v>11007</v>
      </c>
      <c r="G2604">
        <f>IF('4J'!J29="","##BLANK",'4J'!J29)</f>
        <v>0</v>
      </c>
    </row>
    <row r="2605" spans="2:7">
      <c r="B2605" s="893" t="str">
        <f>+'4J'!AT30</f>
        <v>WS1020RWS</v>
      </c>
      <c r="D2605" s="893"/>
      <c r="E2605" s="1753" t="s">
        <v>11007</v>
      </c>
      <c r="G2605" t="str">
        <f>IF('4J'!J30="","##BLANK",'4J'!J30)</f>
        <v>##BLANK</v>
      </c>
    </row>
    <row r="2606" spans="2:7">
      <c r="B2606" s="893" t="str">
        <f>+'4J'!AT31</f>
        <v>WS1021RWS</v>
      </c>
      <c r="D2606" s="893"/>
      <c r="E2606" s="1753" t="s">
        <v>11007</v>
      </c>
      <c r="G2606">
        <f>IF('4J'!J31="","##BLANK",'4J'!J31)</f>
        <v>0</v>
      </c>
    </row>
    <row r="2607" spans="2:7">
      <c r="B2607" s="893" t="str">
        <f>+'4J'!AT34</f>
        <v>WS1022RWS</v>
      </c>
      <c r="D2607" s="893"/>
      <c r="E2607" s="1753" t="s">
        <v>11007</v>
      </c>
      <c r="G2607" t="str">
        <f>IF('4J'!J34="","##BLANK",'4J'!J34)</f>
        <v>##BLANK</v>
      </c>
    </row>
    <row r="2608" spans="2:7">
      <c r="B2608" s="893" t="str">
        <f>+'4J'!AT35</f>
        <v>WS1023RWS</v>
      </c>
      <c r="D2608" s="893"/>
      <c r="E2608" s="1753" t="s">
        <v>11007</v>
      </c>
      <c r="G2608" t="str">
        <f>IF('4J'!J35="","##BLANK",'4J'!J35)</f>
        <v>##BLANK</v>
      </c>
    </row>
    <row r="2609" spans="2:7">
      <c r="B2609" s="893" t="str">
        <f>+'4J'!AT36</f>
        <v>WS1024RWS</v>
      </c>
      <c r="D2609" s="893"/>
      <c r="E2609" s="1753" t="s">
        <v>11007</v>
      </c>
      <c r="G2609">
        <f>IF('4J'!J36="","##BLANK",'4J'!J36)</f>
        <v>0</v>
      </c>
    </row>
    <row r="2610" spans="2:7">
      <c r="B2610" s="893" t="str">
        <f>+'4J'!AT39</f>
        <v>BP3357001RWS</v>
      </c>
      <c r="D2610" s="893"/>
      <c r="E2610" s="1753" t="s">
        <v>11007</v>
      </c>
      <c r="F2610" s="2146" t="str">
        <f>+'4J'!C$39</f>
        <v>Item 1</v>
      </c>
      <c r="G2610" t="str">
        <f>IF('4J'!J39="","##BLANK",'4J'!J39)</f>
        <v>##BLANK</v>
      </c>
    </row>
    <row r="2611" spans="2:7">
      <c r="B2611" s="893" t="str">
        <f>+'4J'!AT40</f>
        <v>BP3357002RWS</v>
      </c>
      <c r="D2611" s="893"/>
      <c r="E2611" s="1753" t="s">
        <v>11007</v>
      </c>
      <c r="F2611" s="2146" t="str">
        <f>+'4J'!C$40</f>
        <v>Item 2</v>
      </c>
      <c r="G2611" t="str">
        <f>IF('4J'!J40="","##BLANK",'4J'!J40)</f>
        <v>##BLANK</v>
      </c>
    </row>
    <row r="2612" spans="2:7">
      <c r="B2612" s="893" t="str">
        <f>+'4J'!AT41</f>
        <v>BP3357003RWS</v>
      </c>
      <c r="D2612" s="893"/>
      <c r="E2612" s="1753" t="s">
        <v>11007</v>
      </c>
      <c r="F2612" s="2146" t="str">
        <f>+'4J'!C$41</f>
        <v>Item 3</v>
      </c>
      <c r="G2612" t="str">
        <f>IF('4J'!J41="","##BLANK",'4J'!J41)</f>
        <v>##BLANK</v>
      </c>
    </row>
    <row r="2613" spans="2:7">
      <c r="B2613" s="893" t="str">
        <f>+'4J'!AT42</f>
        <v>BP3357004RWS</v>
      </c>
      <c r="D2613" s="893"/>
      <c r="E2613" s="1753" t="s">
        <v>11007</v>
      </c>
      <c r="F2613" s="2146" t="str">
        <f>+'4J'!C$42</f>
        <v>Item 4</v>
      </c>
      <c r="G2613" t="str">
        <f>IF('4J'!J42="","##BLANK",'4J'!J42)</f>
        <v>##BLANK</v>
      </c>
    </row>
    <row r="2614" spans="2:7">
      <c r="B2614" s="893" t="str">
        <f>+'4J'!AT43</f>
        <v>BP3357005RWS</v>
      </c>
      <c r="D2614" s="893"/>
      <c r="E2614" s="1753" t="s">
        <v>11007</v>
      </c>
      <c r="F2614" s="2146" t="str">
        <f>+'4J'!C$43</f>
        <v>Item 5</v>
      </c>
      <c r="G2614" t="str">
        <f>IF('4J'!J43="","##BLANK",'4J'!J43)</f>
        <v>##BLANK</v>
      </c>
    </row>
    <row r="2615" spans="2:7">
      <c r="B2615" s="893" t="str">
        <f>+'4J'!AT44</f>
        <v>BP3357006RWS</v>
      </c>
      <c r="D2615" s="893"/>
      <c r="E2615" s="1753" t="s">
        <v>11007</v>
      </c>
      <c r="F2615" s="2146" t="str">
        <f>+'4J'!C$44</f>
        <v>Item 6</v>
      </c>
      <c r="G2615" t="str">
        <f>IF('4J'!J44="","##BLANK",'4J'!J44)</f>
        <v>##BLANK</v>
      </c>
    </row>
    <row r="2616" spans="2:7">
      <c r="B2616" s="893" t="str">
        <f>+'4J'!AT45</f>
        <v>BP3357007RWS</v>
      </c>
      <c r="D2616" s="893"/>
      <c r="E2616" s="1753" t="s">
        <v>11007</v>
      </c>
      <c r="F2616" s="2146" t="str">
        <f>+'4J'!C$45</f>
        <v>Item 7</v>
      </c>
      <c r="G2616" t="str">
        <f>IF('4J'!J45="","##BLANK",'4J'!J45)</f>
        <v>##BLANK</v>
      </c>
    </row>
    <row r="2617" spans="2:7">
      <c r="B2617" s="893" t="str">
        <f>+'4J'!AT46</f>
        <v>BP3357008RWS</v>
      </c>
      <c r="D2617" s="893"/>
      <c r="E2617" s="1753" t="s">
        <v>11007</v>
      </c>
      <c r="F2617" s="2146" t="str">
        <f>+'4J'!C$46</f>
        <v>Item 8</v>
      </c>
      <c r="G2617" t="str">
        <f>IF('4J'!J46="","##BLANK",'4J'!J46)</f>
        <v>##BLANK</v>
      </c>
    </row>
    <row r="2618" spans="2:7">
      <c r="B2618" s="893" t="str">
        <f>+'4J'!AT47</f>
        <v>BP3357009RWS</v>
      </c>
      <c r="D2618" s="893"/>
      <c r="E2618" s="1753" t="s">
        <v>11007</v>
      </c>
      <c r="F2618" s="2146" t="str">
        <f>+'4J'!C$47</f>
        <v>Item 9</v>
      </c>
      <c r="G2618" t="str">
        <f>IF('4J'!J47="","##BLANK",'4J'!J47)</f>
        <v>##BLANK</v>
      </c>
    </row>
    <row r="2619" spans="2:7">
      <c r="B2619" s="893" t="str">
        <f>+'4J'!AT48</f>
        <v>BP3357010RWS</v>
      </c>
      <c r="D2619" s="893"/>
      <c r="E2619" s="1753" t="s">
        <v>11007</v>
      </c>
      <c r="F2619" s="2146" t="str">
        <f>+'4J'!C$48</f>
        <v>Item 10</v>
      </c>
      <c r="G2619" t="str">
        <f>IF('4J'!J48="","##BLANK",'4J'!J48)</f>
        <v>##BLANK</v>
      </c>
    </row>
    <row r="2620" spans="2:7">
      <c r="B2620" s="893" t="str">
        <f>+'4J'!AT49</f>
        <v>BP3357020RWS</v>
      </c>
      <c r="D2620" s="893"/>
      <c r="E2620" s="1753" t="s">
        <v>11007</v>
      </c>
      <c r="G2620">
        <f>IF('4J'!J49="","##BLANK",'4J'!J49)</f>
        <v>0</v>
      </c>
    </row>
    <row r="2621" spans="2:7">
      <c r="B2621" s="893" t="str">
        <f>+'4J'!AT52</f>
        <v>W3026TERWS</v>
      </c>
      <c r="D2621" s="893"/>
      <c r="E2621" s="1753" t="s">
        <v>11007</v>
      </c>
      <c r="G2621">
        <f>IF('4J'!J52="","##BLANK",'4J'!J52)</f>
        <v>0</v>
      </c>
    </row>
    <row r="2622" spans="2:7">
      <c r="B2622" s="893" t="str">
        <f>+'4J'!AU7</f>
        <v>WS1001WT</v>
      </c>
      <c r="D2622" s="893"/>
      <c r="E2622" s="1753" t="s">
        <v>11007</v>
      </c>
      <c r="G2622" t="str">
        <f>IF('4J'!K7="","##BLANK",'4J'!K7)</f>
        <v>##BLANK</v>
      </c>
    </row>
    <row r="2623" spans="2:7">
      <c r="B2623" s="893" t="str">
        <f>+'4J'!AU8</f>
        <v>WS1002WT</v>
      </c>
      <c r="D2623" s="893"/>
      <c r="E2623" s="1753" t="s">
        <v>11007</v>
      </c>
      <c r="G2623" t="str">
        <f>IF('4J'!K8="","##BLANK",'4J'!K8)</f>
        <v>##BLANK</v>
      </c>
    </row>
    <row r="2624" spans="2:7">
      <c r="B2624" s="893" t="str">
        <f>+'4J'!AU9</f>
        <v>WS1003WT</v>
      </c>
      <c r="D2624" s="893"/>
      <c r="E2624" s="1753" t="s">
        <v>11007</v>
      </c>
      <c r="G2624" t="str">
        <f>IF('4J'!K9="","##BLANK",'4J'!K9)</f>
        <v>##BLANK</v>
      </c>
    </row>
    <row r="2625" spans="2:7">
      <c r="B2625" s="893" t="str">
        <f>+'4J'!AU10</f>
        <v>WS1004WT</v>
      </c>
      <c r="D2625" s="893"/>
      <c r="E2625" s="1753" t="s">
        <v>11007</v>
      </c>
      <c r="G2625" t="str">
        <f>IF('4J'!K10="","##BLANK",'4J'!K10)</f>
        <v>##BLANK</v>
      </c>
    </row>
    <row r="2626" spans="2:7">
      <c r="B2626" s="893" t="str">
        <f>+'4J'!AU12</f>
        <v>WS1005WT</v>
      </c>
      <c r="D2626" s="893"/>
      <c r="E2626" s="1753" t="s">
        <v>11007</v>
      </c>
      <c r="G2626" t="str">
        <f>IF('4J'!K12="","##BLANK",'4J'!K12)</f>
        <v>##BLANK</v>
      </c>
    </row>
    <row r="2627" spans="2:7">
      <c r="B2627" s="893" t="str">
        <f>+'4J'!AU13</f>
        <v>WS1006WT</v>
      </c>
      <c r="D2627" s="893"/>
      <c r="E2627" s="1753" t="s">
        <v>11007</v>
      </c>
      <c r="G2627" t="str">
        <f>IF('4J'!K13="","##BLANK",'4J'!K13)</f>
        <v>##BLANK</v>
      </c>
    </row>
    <row r="2628" spans="2:7">
      <c r="B2628" s="893" t="str">
        <f>+'4J'!AU14</f>
        <v>WS1007WT</v>
      </c>
      <c r="D2628" s="893"/>
      <c r="E2628" s="1753" t="s">
        <v>11007</v>
      </c>
      <c r="G2628" t="str">
        <f>IF('4J'!K14="","##BLANK",'4J'!K14)</f>
        <v>##BLANK</v>
      </c>
    </row>
    <row r="2629" spans="2:7">
      <c r="B2629" s="893" t="str">
        <f>+'4J'!AU15</f>
        <v>WS1008WT</v>
      </c>
      <c r="D2629" s="893"/>
      <c r="E2629" s="1753" t="s">
        <v>11007</v>
      </c>
      <c r="G2629" t="str">
        <f>IF('4J'!K15="","##BLANK",'4J'!K15)</f>
        <v>##BLANK</v>
      </c>
    </row>
    <row r="2630" spans="2:7">
      <c r="B2630" s="893" t="str">
        <f>+'4J'!AU16</f>
        <v>WS1009WT</v>
      </c>
      <c r="D2630" s="893"/>
      <c r="E2630" s="1753" t="s">
        <v>11007</v>
      </c>
      <c r="G2630">
        <f>IF('4J'!K16="","##BLANK",'4J'!K16)</f>
        <v>0</v>
      </c>
    </row>
    <row r="2631" spans="2:7">
      <c r="B2631" s="893" t="str">
        <f>+'4J'!AU18</f>
        <v>WS1010WT</v>
      </c>
      <c r="D2631" s="893"/>
      <c r="E2631" s="1753" t="s">
        <v>11007</v>
      </c>
      <c r="G2631" t="str">
        <f>IF('4J'!K18="","##BLANK",'4J'!K18)</f>
        <v>##BLANK</v>
      </c>
    </row>
    <row r="2632" spans="2:7">
      <c r="B2632" s="893" t="str">
        <f>+'4J'!AU19</f>
        <v>WS1011WT</v>
      </c>
      <c r="D2632" s="893"/>
      <c r="E2632" s="1753" t="s">
        <v>11007</v>
      </c>
      <c r="G2632">
        <f>IF('4J'!K19="","##BLANK",'4J'!K19)</f>
        <v>0</v>
      </c>
    </row>
    <row r="2633" spans="2:7">
      <c r="B2633" s="893" t="str">
        <f>+'4J'!AU22</f>
        <v>WS1012WT</v>
      </c>
      <c r="D2633" s="893"/>
      <c r="E2633" s="1753" t="s">
        <v>11007</v>
      </c>
      <c r="G2633" t="str">
        <f>IF('4J'!K22="","##BLANK",'4J'!K22)</f>
        <v>##BLANK</v>
      </c>
    </row>
    <row r="2634" spans="2:7">
      <c r="B2634" s="893" t="str">
        <f>+'4J'!AU23</f>
        <v>WS1013WT</v>
      </c>
      <c r="D2634" s="893"/>
      <c r="E2634" s="1753" t="s">
        <v>11007</v>
      </c>
      <c r="G2634" t="str">
        <f>IF('4J'!K23="","##BLANK",'4J'!K23)</f>
        <v>##BLANK</v>
      </c>
    </row>
    <row r="2635" spans="2:7">
      <c r="B2635" s="893" t="str">
        <f>+'4J'!AU24</f>
        <v>WS1014WT</v>
      </c>
      <c r="D2635" s="893"/>
      <c r="E2635" s="1753" t="s">
        <v>11007</v>
      </c>
      <c r="G2635" t="str">
        <f>IF('4J'!K24="","##BLANK",'4J'!K24)</f>
        <v>##BLANK</v>
      </c>
    </row>
    <row r="2636" spans="2:7">
      <c r="B2636" s="893" t="str">
        <f>+'4J'!AU25</f>
        <v>WS1015WT</v>
      </c>
      <c r="D2636" s="893"/>
      <c r="E2636" s="1753" t="s">
        <v>11007</v>
      </c>
      <c r="G2636" t="str">
        <f>IF('4J'!K25="","##BLANK",'4J'!K25)</f>
        <v>##BLANK</v>
      </c>
    </row>
    <row r="2637" spans="2:7">
      <c r="B2637" s="893" t="str">
        <f>+'4J'!AU26</f>
        <v>WS1016WT</v>
      </c>
      <c r="D2637" s="893"/>
      <c r="E2637" s="1753" t="s">
        <v>11007</v>
      </c>
      <c r="G2637" t="str">
        <f>IF('4J'!K26="","##BLANK",'4J'!K26)</f>
        <v>##BLANK</v>
      </c>
    </row>
    <row r="2638" spans="2:7">
      <c r="B2638" s="893" t="str">
        <f>+'4J'!AU27</f>
        <v>WS1017WT</v>
      </c>
      <c r="D2638" s="893"/>
      <c r="E2638" s="1753" t="s">
        <v>11007</v>
      </c>
      <c r="G2638">
        <f>IF('4J'!K27="","##BLANK",'4J'!K27)</f>
        <v>0</v>
      </c>
    </row>
    <row r="2639" spans="2:7">
      <c r="B2639" s="893" t="str">
        <f>+'4J'!AU28</f>
        <v>WS1018WT</v>
      </c>
      <c r="D2639" s="893"/>
      <c r="E2639" s="1753" t="s">
        <v>11007</v>
      </c>
      <c r="G2639" t="str">
        <f>IF('4J'!K28="","##BLANK",'4J'!K28)</f>
        <v>##BLANK</v>
      </c>
    </row>
    <row r="2640" spans="2:7">
      <c r="B2640" s="893" t="str">
        <f>+'4J'!AU29</f>
        <v>WS1019WT</v>
      </c>
      <c r="D2640" s="893"/>
      <c r="E2640" s="1753" t="s">
        <v>11007</v>
      </c>
      <c r="G2640">
        <f>IF('4J'!K29="","##BLANK",'4J'!K29)</f>
        <v>0</v>
      </c>
    </row>
    <row r="2641" spans="2:7">
      <c r="B2641" s="893" t="str">
        <f>+'4J'!AU30</f>
        <v>WS1020WT</v>
      </c>
      <c r="D2641" s="893"/>
      <c r="E2641" s="1753" t="s">
        <v>11007</v>
      </c>
      <c r="G2641" t="str">
        <f>IF('4J'!K30="","##BLANK",'4J'!K30)</f>
        <v>##BLANK</v>
      </c>
    </row>
    <row r="2642" spans="2:7">
      <c r="B2642" s="893" t="str">
        <f>+'4J'!AU31</f>
        <v>WS1021WT</v>
      </c>
      <c r="D2642" s="893"/>
      <c r="E2642" s="1753" t="s">
        <v>11007</v>
      </c>
      <c r="G2642">
        <f>IF('4J'!K31="","##BLANK",'4J'!K31)</f>
        <v>0</v>
      </c>
    </row>
    <row r="2643" spans="2:7">
      <c r="B2643" s="893" t="str">
        <f>+'4J'!AU34</f>
        <v>WS1022WT</v>
      </c>
      <c r="D2643" s="893"/>
      <c r="E2643" s="1753" t="s">
        <v>11007</v>
      </c>
      <c r="G2643" t="str">
        <f>IF('4J'!K34="","##BLANK",'4J'!K34)</f>
        <v>##BLANK</v>
      </c>
    </row>
    <row r="2644" spans="2:7">
      <c r="B2644" s="893" t="str">
        <f>+'4J'!AU35</f>
        <v>WS1023WT</v>
      </c>
      <c r="D2644" s="893"/>
      <c r="E2644" s="1753" t="s">
        <v>11007</v>
      </c>
      <c r="G2644" t="str">
        <f>IF('4J'!K35="","##BLANK",'4J'!K35)</f>
        <v>##BLANK</v>
      </c>
    </row>
    <row r="2645" spans="2:7">
      <c r="B2645" s="893" t="str">
        <f>+'4J'!AU36</f>
        <v>WS1024WT</v>
      </c>
      <c r="D2645" s="893"/>
      <c r="E2645" s="1753" t="s">
        <v>11007</v>
      </c>
      <c r="G2645">
        <f>IF('4J'!K36="","##BLANK",'4J'!K36)</f>
        <v>0</v>
      </c>
    </row>
    <row r="2646" spans="2:7">
      <c r="B2646" s="893" t="str">
        <f>+'4J'!AU39</f>
        <v>BP3357001WT</v>
      </c>
      <c r="D2646" s="893"/>
      <c r="E2646" s="1753" t="s">
        <v>11007</v>
      </c>
      <c r="F2646" s="2146" t="str">
        <f>+'4J'!C$39</f>
        <v>Item 1</v>
      </c>
      <c r="G2646" t="str">
        <f>IF('4J'!K39="","##BLANK",'4J'!K39)</f>
        <v>##BLANK</v>
      </c>
    </row>
    <row r="2647" spans="2:7">
      <c r="B2647" s="893" t="str">
        <f>+'4J'!AU40</f>
        <v>BP3357002WT</v>
      </c>
      <c r="D2647" s="893"/>
      <c r="E2647" s="1753" t="s">
        <v>11007</v>
      </c>
      <c r="F2647" s="2146" t="str">
        <f>+'4J'!C$40</f>
        <v>Item 2</v>
      </c>
      <c r="G2647" t="str">
        <f>IF('4J'!K40="","##BLANK",'4J'!K40)</f>
        <v>##BLANK</v>
      </c>
    </row>
    <row r="2648" spans="2:7">
      <c r="B2648" s="893" t="str">
        <f>+'4J'!AU41</f>
        <v>BP3357003WT</v>
      </c>
      <c r="D2648" s="893"/>
      <c r="E2648" s="1753" t="s">
        <v>11007</v>
      </c>
      <c r="F2648" s="2146" t="str">
        <f>+'4J'!C$41</f>
        <v>Item 3</v>
      </c>
      <c r="G2648" t="str">
        <f>IF('4J'!K41="","##BLANK",'4J'!K41)</f>
        <v>##BLANK</v>
      </c>
    </row>
    <row r="2649" spans="2:7">
      <c r="B2649" s="893" t="str">
        <f>+'4J'!AU42</f>
        <v>BP3357004WT</v>
      </c>
      <c r="D2649" s="893"/>
      <c r="E2649" s="1753" t="s">
        <v>11007</v>
      </c>
      <c r="F2649" s="2146" t="str">
        <f>+'4J'!C$42</f>
        <v>Item 4</v>
      </c>
      <c r="G2649" t="str">
        <f>IF('4J'!K42="","##BLANK",'4J'!K42)</f>
        <v>##BLANK</v>
      </c>
    </row>
    <row r="2650" spans="2:7">
      <c r="B2650" s="893" t="str">
        <f>+'4J'!AU43</f>
        <v>BP3357005WT</v>
      </c>
      <c r="D2650" s="893"/>
      <c r="E2650" s="1753" t="s">
        <v>11007</v>
      </c>
      <c r="F2650" s="2146" t="str">
        <f>+'4J'!C$43</f>
        <v>Item 5</v>
      </c>
      <c r="G2650" t="str">
        <f>IF('4J'!K43="","##BLANK",'4J'!K43)</f>
        <v>##BLANK</v>
      </c>
    </row>
    <row r="2651" spans="2:7">
      <c r="B2651" s="893" t="str">
        <f>+'4J'!AU44</f>
        <v>BP3357006WT</v>
      </c>
      <c r="D2651" s="893"/>
      <c r="E2651" s="1753" t="s">
        <v>11007</v>
      </c>
      <c r="F2651" s="2146" t="str">
        <f>+'4J'!C$44</f>
        <v>Item 6</v>
      </c>
      <c r="G2651" t="str">
        <f>IF('4J'!K44="","##BLANK",'4J'!K44)</f>
        <v>##BLANK</v>
      </c>
    </row>
    <row r="2652" spans="2:7">
      <c r="B2652" s="893" t="str">
        <f>+'4J'!AU45</f>
        <v>BP3357007WT</v>
      </c>
      <c r="D2652" s="893"/>
      <c r="E2652" s="1753" t="s">
        <v>11007</v>
      </c>
      <c r="F2652" s="2146" t="str">
        <f>+'4J'!C$45</f>
        <v>Item 7</v>
      </c>
      <c r="G2652" t="str">
        <f>IF('4J'!K45="","##BLANK",'4J'!K45)</f>
        <v>##BLANK</v>
      </c>
    </row>
    <row r="2653" spans="2:7">
      <c r="B2653" s="893" t="str">
        <f>+'4J'!AU46</f>
        <v>BP3357008WT</v>
      </c>
      <c r="D2653" s="893"/>
      <c r="E2653" s="1753" t="s">
        <v>11007</v>
      </c>
      <c r="F2653" s="2146" t="str">
        <f>+'4J'!C$46</f>
        <v>Item 8</v>
      </c>
      <c r="G2653" t="str">
        <f>IF('4J'!K46="","##BLANK",'4J'!K46)</f>
        <v>##BLANK</v>
      </c>
    </row>
    <row r="2654" spans="2:7">
      <c r="B2654" s="893" t="str">
        <f>+'4J'!AU47</f>
        <v>BP3357009WT</v>
      </c>
      <c r="D2654" s="893"/>
      <c r="E2654" s="1753" t="s">
        <v>11007</v>
      </c>
      <c r="F2654" s="2146" t="str">
        <f>+'4J'!C$47</f>
        <v>Item 9</v>
      </c>
      <c r="G2654" t="str">
        <f>IF('4J'!K47="","##BLANK",'4J'!K47)</f>
        <v>##BLANK</v>
      </c>
    </row>
    <row r="2655" spans="2:7">
      <c r="B2655" s="893" t="str">
        <f>+'4J'!AU48</f>
        <v>BP3357010WT</v>
      </c>
      <c r="D2655" s="893"/>
      <c r="E2655" s="1753" t="s">
        <v>11007</v>
      </c>
      <c r="F2655" s="2146" t="str">
        <f>+'4J'!C$48</f>
        <v>Item 10</v>
      </c>
      <c r="G2655" t="str">
        <f>IF('4J'!K48="","##BLANK",'4J'!K48)</f>
        <v>##BLANK</v>
      </c>
    </row>
    <row r="2656" spans="2:7">
      <c r="B2656" s="893" t="str">
        <f>+'4J'!AU49</f>
        <v>BP3357020WT</v>
      </c>
      <c r="D2656" s="893"/>
      <c r="E2656" s="1753" t="s">
        <v>11007</v>
      </c>
      <c r="G2656">
        <f>IF('4J'!K49="","##BLANK",'4J'!K49)</f>
        <v>0</v>
      </c>
    </row>
    <row r="2657" spans="2:7">
      <c r="B2657" s="893" t="str">
        <f>+'4J'!AU52</f>
        <v>W3026TEWT</v>
      </c>
      <c r="D2657" s="893"/>
      <c r="E2657" s="1753" t="s">
        <v>11007</v>
      </c>
      <c r="G2657">
        <f>IF('4J'!K52="","##BLANK",'4J'!K52)</f>
        <v>0</v>
      </c>
    </row>
    <row r="2658" spans="2:7">
      <c r="B2658" s="893" t="str">
        <f>+'4J'!AV7</f>
        <v>WS1001TWD</v>
      </c>
      <c r="D2658" s="893"/>
      <c r="E2658" s="1753" t="s">
        <v>11007</v>
      </c>
      <c r="G2658" t="str">
        <f>IF('4J'!L7="","##BLANK",'4J'!L7)</f>
        <v>##BLANK</v>
      </c>
    </row>
    <row r="2659" spans="2:7">
      <c r="B2659" s="893" t="str">
        <f>+'4J'!AV8</f>
        <v>WS1002TWD</v>
      </c>
      <c r="D2659" s="893"/>
      <c r="E2659" s="1753" t="s">
        <v>11007</v>
      </c>
      <c r="G2659" t="str">
        <f>IF('4J'!L8="","##BLANK",'4J'!L8)</f>
        <v>##BLANK</v>
      </c>
    </row>
    <row r="2660" spans="2:7">
      <c r="B2660" s="893" t="str">
        <f>+'4J'!AV9</f>
        <v>WS1003TWD</v>
      </c>
      <c r="D2660" s="893"/>
      <c r="E2660" s="1753" t="s">
        <v>11007</v>
      </c>
      <c r="G2660" t="str">
        <f>IF('4J'!L9="","##BLANK",'4J'!L9)</f>
        <v>##BLANK</v>
      </c>
    </row>
    <row r="2661" spans="2:7">
      <c r="B2661" s="893" t="str">
        <f>+'4J'!AV10</f>
        <v>WS1004TWD</v>
      </c>
      <c r="D2661" s="893"/>
      <c r="E2661" s="1753" t="s">
        <v>11007</v>
      </c>
      <c r="G2661" t="str">
        <f>IF('4J'!L10="","##BLANK",'4J'!L10)</f>
        <v>##BLANK</v>
      </c>
    </row>
    <row r="2662" spans="2:7">
      <c r="B2662" s="893" t="str">
        <f>+'4J'!AV12</f>
        <v>WS1005TWD</v>
      </c>
      <c r="D2662" s="893"/>
      <c r="E2662" s="1753" t="s">
        <v>11007</v>
      </c>
      <c r="G2662" t="str">
        <f>IF('4J'!L12="","##BLANK",'4J'!L12)</f>
        <v>##BLANK</v>
      </c>
    </row>
    <row r="2663" spans="2:7">
      <c r="B2663" s="893" t="str">
        <f>+'4J'!AV13</f>
        <v>WS1006TWD</v>
      </c>
      <c r="D2663" s="893"/>
      <c r="E2663" s="1753" t="s">
        <v>11007</v>
      </c>
      <c r="G2663" t="str">
        <f>IF('4J'!L13="","##BLANK",'4J'!L13)</f>
        <v>##BLANK</v>
      </c>
    </row>
    <row r="2664" spans="2:7">
      <c r="B2664" s="893" t="str">
        <f>+'4J'!AV14</f>
        <v>WS1007TWD</v>
      </c>
      <c r="D2664" s="893"/>
      <c r="E2664" s="1753" t="s">
        <v>11007</v>
      </c>
      <c r="G2664" t="str">
        <f>IF('4J'!L14="","##BLANK",'4J'!L14)</f>
        <v>##BLANK</v>
      </c>
    </row>
    <row r="2665" spans="2:7">
      <c r="B2665" s="893" t="str">
        <f>+'4J'!AV15</f>
        <v>WS1008TWD</v>
      </c>
      <c r="D2665" s="893"/>
      <c r="E2665" s="1753" t="s">
        <v>11007</v>
      </c>
      <c r="G2665" t="str">
        <f>IF('4J'!L15="","##BLANK",'4J'!L15)</f>
        <v>##BLANK</v>
      </c>
    </row>
    <row r="2666" spans="2:7">
      <c r="B2666" s="893" t="str">
        <f>+'4J'!AV16</f>
        <v>WS1009TWD</v>
      </c>
      <c r="D2666" s="893"/>
      <c r="E2666" s="1753" t="s">
        <v>11007</v>
      </c>
      <c r="G2666">
        <f>IF('4J'!L16="","##BLANK",'4J'!L16)</f>
        <v>0</v>
      </c>
    </row>
    <row r="2667" spans="2:7">
      <c r="B2667" s="893" t="str">
        <f>+'4J'!AV18</f>
        <v>WS1010TWD</v>
      </c>
      <c r="D2667" s="893"/>
      <c r="E2667" s="1753" t="s">
        <v>11007</v>
      </c>
      <c r="G2667" t="str">
        <f>IF('4J'!L18="","##BLANK",'4J'!L18)</f>
        <v>##BLANK</v>
      </c>
    </row>
    <row r="2668" spans="2:7">
      <c r="B2668" s="893" t="str">
        <f>+'4J'!AV19</f>
        <v>WS1011TWD</v>
      </c>
      <c r="D2668" s="893"/>
      <c r="E2668" s="1753" t="s">
        <v>11007</v>
      </c>
      <c r="G2668">
        <f>IF('4J'!L19="","##BLANK",'4J'!L19)</f>
        <v>0</v>
      </c>
    </row>
    <row r="2669" spans="2:7">
      <c r="B2669" s="893" t="str">
        <f>+'4J'!AV22</f>
        <v>WS1012TWD</v>
      </c>
      <c r="D2669" s="893"/>
      <c r="E2669" s="1753" t="s">
        <v>11007</v>
      </c>
      <c r="G2669" t="str">
        <f>IF('4J'!L22="","##BLANK",'4J'!L22)</f>
        <v>##BLANK</v>
      </c>
    </row>
    <row r="2670" spans="2:7">
      <c r="B2670" s="893" t="str">
        <f>+'4J'!AV23</f>
        <v>WS1013TWD</v>
      </c>
      <c r="D2670" s="893"/>
      <c r="E2670" s="1753" t="s">
        <v>11007</v>
      </c>
      <c r="G2670" t="str">
        <f>IF('4J'!L23="","##BLANK",'4J'!L23)</f>
        <v>##BLANK</v>
      </c>
    </row>
    <row r="2671" spans="2:7">
      <c r="B2671" s="893" t="str">
        <f>+'4J'!AV24</f>
        <v>WS1014TWD</v>
      </c>
      <c r="D2671" s="893"/>
      <c r="E2671" s="1753" t="s">
        <v>11007</v>
      </c>
      <c r="G2671" t="str">
        <f>IF('4J'!L24="","##BLANK",'4J'!L24)</f>
        <v>##BLANK</v>
      </c>
    </row>
    <row r="2672" spans="2:7">
      <c r="B2672" s="893" t="str">
        <f>+'4J'!AV25</f>
        <v>WS1015TWD</v>
      </c>
      <c r="D2672" s="893"/>
      <c r="E2672" s="1753" t="s">
        <v>11007</v>
      </c>
      <c r="G2672" t="str">
        <f>IF('4J'!L25="","##BLANK",'4J'!L25)</f>
        <v>##BLANK</v>
      </c>
    </row>
    <row r="2673" spans="2:7">
      <c r="B2673" s="893" t="str">
        <f>+'4J'!AV26</f>
        <v>WS1016TWD</v>
      </c>
      <c r="D2673" s="893"/>
      <c r="E2673" s="1753" t="s">
        <v>11007</v>
      </c>
      <c r="G2673" t="str">
        <f>IF('4J'!L26="","##BLANK",'4J'!L26)</f>
        <v>##BLANK</v>
      </c>
    </row>
    <row r="2674" spans="2:7">
      <c r="B2674" s="893" t="str">
        <f>+'4J'!AV27</f>
        <v>WS1017TWD</v>
      </c>
      <c r="D2674" s="893"/>
      <c r="E2674" s="1753" t="s">
        <v>11007</v>
      </c>
      <c r="G2674">
        <f>IF('4J'!L27="","##BLANK",'4J'!L27)</f>
        <v>0</v>
      </c>
    </row>
    <row r="2675" spans="2:7">
      <c r="B2675" s="893" t="str">
        <f>+'4J'!AV28</f>
        <v>WS1018TWD</v>
      </c>
      <c r="D2675" s="893"/>
      <c r="E2675" s="1753" t="s">
        <v>11007</v>
      </c>
      <c r="G2675" t="str">
        <f>IF('4J'!L28="","##BLANK",'4J'!L28)</f>
        <v>##BLANK</v>
      </c>
    </row>
    <row r="2676" spans="2:7">
      <c r="B2676" s="893" t="str">
        <f>+'4J'!AV29</f>
        <v>WS1019TWD</v>
      </c>
      <c r="D2676" s="893"/>
      <c r="E2676" s="1753" t="s">
        <v>11007</v>
      </c>
      <c r="G2676">
        <f>IF('4J'!L29="","##BLANK",'4J'!L29)</f>
        <v>0</v>
      </c>
    </row>
    <row r="2677" spans="2:7">
      <c r="B2677" s="893" t="str">
        <f>+'4J'!AV30</f>
        <v>WS1020TWD</v>
      </c>
      <c r="D2677" s="893"/>
      <c r="E2677" s="1753" t="s">
        <v>11007</v>
      </c>
      <c r="G2677" t="str">
        <f>IF('4J'!L30="","##BLANK",'4J'!L30)</f>
        <v>##BLANK</v>
      </c>
    </row>
    <row r="2678" spans="2:7">
      <c r="B2678" s="893" t="str">
        <f>+'4J'!AV31</f>
        <v>WS1021TWD</v>
      </c>
      <c r="D2678" s="893"/>
      <c r="E2678" s="1753" t="s">
        <v>11007</v>
      </c>
      <c r="G2678">
        <f>IF('4J'!L31="","##BLANK",'4J'!L31)</f>
        <v>0</v>
      </c>
    </row>
    <row r="2679" spans="2:7">
      <c r="B2679" s="893" t="str">
        <f>+'4J'!AV34</f>
        <v>WS1022TWD</v>
      </c>
      <c r="D2679" s="893"/>
      <c r="E2679" s="1753" t="s">
        <v>11007</v>
      </c>
      <c r="G2679" t="str">
        <f>IF('4J'!L34="","##BLANK",'4J'!L34)</f>
        <v>##BLANK</v>
      </c>
    </row>
    <row r="2680" spans="2:7">
      <c r="B2680" s="893" t="str">
        <f>+'4J'!AV35</f>
        <v>WS1023TWD</v>
      </c>
      <c r="D2680" s="893"/>
      <c r="E2680" s="1753" t="s">
        <v>11007</v>
      </c>
      <c r="G2680" t="str">
        <f>IF('4J'!L35="","##BLANK",'4J'!L35)</f>
        <v>##BLANK</v>
      </c>
    </row>
    <row r="2681" spans="2:7">
      <c r="B2681" s="893" t="str">
        <f>+'4J'!AV36</f>
        <v>WS1024TWD</v>
      </c>
      <c r="D2681" s="893"/>
      <c r="E2681" s="1753" t="s">
        <v>11007</v>
      </c>
      <c r="G2681">
        <f>IF('4J'!L36="","##BLANK",'4J'!L36)</f>
        <v>0</v>
      </c>
    </row>
    <row r="2682" spans="2:7">
      <c r="B2682" s="893" t="str">
        <f>+'4J'!AV39</f>
        <v>BP3357001TWD</v>
      </c>
      <c r="D2682" s="893"/>
      <c r="E2682" s="1753" t="s">
        <v>11007</v>
      </c>
      <c r="F2682" s="2146" t="str">
        <f>+'4J'!C$39</f>
        <v>Item 1</v>
      </c>
      <c r="G2682" t="str">
        <f>IF('4J'!L39="","##BLANK",'4J'!L39)</f>
        <v>##BLANK</v>
      </c>
    </row>
    <row r="2683" spans="2:7">
      <c r="B2683" s="893" t="str">
        <f>+'4J'!AV40</f>
        <v>BP3357002TWD</v>
      </c>
      <c r="D2683" s="893"/>
      <c r="E2683" s="1753" t="s">
        <v>11007</v>
      </c>
      <c r="F2683" s="2146" t="str">
        <f>+'4J'!C$40</f>
        <v>Item 2</v>
      </c>
      <c r="G2683" t="str">
        <f>IF('4J'!L40="","##BLANK",'4J'!L40)</f>
        <v>##BLANK</v>
      </c>
    </row>
    <row r="2684" spans="2:7">
      <c r="B2684" s="893" t="str">
        <f>+'4J'!AV41</f>
        <v>BP3357003TWD</v>
      </c>
      <c r="D2684" s="893"/>
      <c r="E2684" s="1753" t="s">
        <v>11007</v>
      </c>
      <c r="F2684" s="2146" t="str">
        <f>+'4J'!C$41</f>
        <v>Item 3</v>
      </c>
      <c r="G2684" t="str">
        <f>IF('4J'!L41="","##BLANK",'4J'!L41)</f>
        <v>##BLANK</v>
      </c>
    </row>
    <row r="2685" spans="2:7">
      <c r="B2685" s="893" t="str">
        <f>+'4J'!AV42</f>
        <v>BP3357004TWD</v>
      </c>
      <c r="D2685" s="893"/>
      <c r="E2685" s="1753" t="s">
        <v>11007</v>
      </c>
      <c r="F2685" s="2146" t="str">
        <f>+'4J'!C$42</f>
        <v>Item 4</v>
      </c>
      <c r="G2685" t="str">
        <f>IF('4J'!L42="","##BLANK",'4J'!L42)</f>
        <v>##BLANK</v>
      </c>
    </row>
    <row r="2686" spans="2:7">
      <c r="B2686" s="893" t="str">
        <f>+'4J'!AV43</f>
        <v>BP3357005TWD</v>
      </c>
      <c r="D2686" s="893"/>
      <c r="E2686" s="1753" t="s">
        <v>11007</v>
      </c>
      <c r="F2686" s="2146" t="str">
        <f>+'4J'!C$43</f>
        <v>Item 5</v>
      </c>
      <c r="G2686" t="str">
        <f>IF('4J'!L43="","##BLANK",'4J'!L43)</f>
        <v>##BLANK</v>
      </c>
    </row>
    <row r="2687" spans="2:7">
      <c r="B2687" s="893" t="str">
        <f>+'4J'!AV44</f>
        <v>BP3357006TWD</v>
      </c>
      <c r="D2687" s="893"/>
      <c r="E2687" s="1753" t="s">
        <v>11007</v>
      </c>
      <c r="F2687" s="2146" t="str">
        <f>+'4J'!C$44</f>
        <v>Item 6</v>
      </c>
      <c r="G2687" t="str">
        <f>IF('4J'!L44="","##BLANK",'4J'!L44)</f>
        <v>##BLANK</v>
      </c>
    </row>
    <row r="2688" spans="2:7">
      <c r="B2688" s="893" t="str">
        <f>+'4J'!AV45</f>
        <v>BP3357007TWD</v>
      </c>
      <c r="D2688" s="893"/>
      <c r="E2688" s="1753" t="s">
        <v>11007</v>
      </c>
      <c r="F2688" s="2146" t="str">
        <f>+'4J'!C$45</f>
        <v>Item 7</v>
      </c>
      <c r="G2688" t="str">
        <f>IF('4J'!L45="","##BLANK",'4J'!L45)</f>
        <v>##BLANK</v>
      </c>
    </row>
    <row r="2689" spans="2:7">
      <c r="B2689" s="893" t="str">
        <f>+'4J'!AV46</f>
        <v>BP3357008TWD</v>
      </c>
      <c r="D2689" s="893"/>
      <c r="E2689" s="1753" t="s">
        <v>11007</v>
      </c>
      <c r="F2689" s="2146" t="str">
        <f>+'4J'!C$46</f>
        <v>Item 8</v>
      </c>
      <c r="G2689" t="str">
        <f>IF('4J'!L46="","##BLANK",'4J'!L46)</f>
        <v>##BLANK</v>
      </c>
    </row>
    <row r="2690" spans="2:7">
      <c r="B2690" s="893" t="str">
        <f>+'4J'!AV47</f>
        <v>BP3357009TWD</v>
      </c>
      <c r="D2690" s="893"/>
      <c r="E2690" s="1753" t="s">
        <v>11007</v>
      </c>
      <c r="F2690" s="2146" t="str">
        <f>+'4J'!C$47</f>
        <v>Item 9</v>
      </c>
      <c r="G2690" t="str">
        <f>IF('4J'!L47="","##BLANK",'4J'!L47)</f>
        <v>##BLANK</v>
      </c>
    </row>
    <row r="2691" spans="2:7">
      <c r="B2691" s="893" t="str">
        <f>+'4J'!AV48</f>
        <v>BP3357010TWD</v>
      </c>
      <c r="D2691" s="893"/>
      <c r="E2691" s="1753" t="s">
        <v>11007</v>
      </c>
      <c r="F2691" s="2146" t="str">
        <f>+'4J'!C$48</f>
        <v>Item 10</v>
      </c>
      <c r="G2691" t="str">
        <f>IF('4J'!L48="","##BLANK",'4J'!L48)</f>
        <v>##BLANK</v>
      </c>
    </row>
    <row r="2692" spans="2:7">
      <c r="B2692" s="893" t="str">
        <f>+'4J'!AV49</f>
        <v>BP3357020TWD</v>
      </c>
      <c r="D2692" s="893"/>
      <c r="E2692" s="1753" t="s">
        <v>11007</v>
      </c>
      <c r="G2692">
        <f>IF('4J'!L49="","##BLANK",'4J'!L49)</f>
        <v>0</v>
      </c>
    </row>
    <row r="2693" spans="2:7">
      <c r="B2693" s="893" t="str">
        <f>+'4J'!AV52</f>
        <v>W3026TETWD</v>
      </c>
      <c r="D2693" s="893"/>
      <c r="E2693" s="1753" t="s">
        <v>11007</v>
      </c>
      <c r="G2693">
        <f>IF('4J'!L52="","##BLANK",'4J'!L52)</f>
        <v>0</v>
      </c>
    </row>
    <row r="2694" spans="2:7">
      <c r="B2694" s="893" t="str">
        <f>+'4J'!AW7</f>
        <v>WS1001CAW</v>
      </c>
      <c r="D2694" s="893"/>
      <c r="E2694" s="1753" t="s">
        <v>11007</v>
      </c>
      <c r="G2694">
        <f>IF('4J'!M7="","##BLANK",'4J'!M7)</f>
        <v>0</v>
      </c>
    </row>
    <row r="2695" spans="2:7">
      <c r="B2695" s="893" t="str">
        <f>+'4J'!AW8</f>
        <v>WS1002CAW</v>
      </c>
      <c r="D2695" s="893"/>
      <c r="E2695" s="1753" t="s">
        <v>11007</v>
      </c>
      <c r="G2695">
        <f>IF('4J'!M8="","##BLANK",'4J'!M8)</f>
        <v>0</v>
      </c>
    </row>
    <row r="2696" spans="2:7">
      <c r="B2696" s="893" t="str">
        <f>+'4J'!AW9</f>
        <v>WS1003CAW</v>
      </c>
      <c r="D2696" s="893"/>
      <c r="E2696" s="1753" t="s">
        <v>11007</v>
      </c>
      <c r="G2696">
        <f>IF('4J'!M9="","##BLANK",'4J'!M9)</f>
        <v>0</v>
      </c>
    </row>
    <row r="2697" spans="2:7">
      <c r="B2697" s="893" t="str">
        <f>+'4J'!AW10</f>
        <v>WS1004CAW</v>
      </c>
      <c r="D2697" s="893"/>
      <c r="E2697" s="1753" t="s">
        <v>11007</v>
      </c>
      <c r="G2697">
        <f>IF('4J'!M10="","##BLANK",'4J'!M10)</f>
        <v>0</v>
      </c>
    </row>
    <row r="2698" spans="2:7">
      <c r="B2698" s="893" t="str">
        <f>+'4J'!AW12</f>
        <v>WS1005CAW</v>
      </c>
      <c r="D2698" s="893"/>
      <c r="E2698" s="1753" t="s">
        <v>11007</v>
      </c>
      <c r="G2698">
        <f>IF('4J'!M12="","##BLANK",'4J'!M12)</f>
        <v>0</v>
      </c>
    </row>
    <row r="2699" spans="2:7">
      <c r="B2699" s="893" t="str">
        <f>+'4J'!AW13</f>
        <v>WS1006CAW</v>
      </c>
      <c r="D2699" s="893"/>
      <c r="E2699" s="1753" t="s">
        <v>11007</v>
      </c>
      <c r="G2699">
        <f>IF('4J'!M13="","##BLANK",'4J'!M13)</f>
        <v>0</v>
      </c>
    </row>
    <row r="2700" spans="2:7">
      <c r="B2700" s="893" t="str">
        <f>+'4J'!AW14</f>
        <v>WS1007CAW</v>
      </c>
      <c r="D2700" s="893"/>
      <c r="E2700" s="1753" t="s">
        <v>11007</v>
      </c>
      <c r="G2700">
        <f>IF('4J'!M14="","##BLANK",'4J'!M14)</f>
        <v>0</v>
      </c>
    </row>
    <row r="2701" spans="2:7">
      <c r="B2701" s="893" t="str">
        <f>+'4J'!AW15</f>
        <v>WS1008CAW</v>
      </c>
      <c r="D2701" s="893"/>
      <c r="E2701" s="1753" t="s">
        <v>11007</v>
      </c>
      <c r="G2701">
        <f>IF('4J'!M15="","##BLANK",'4J'!M15)</f>
        <v>0</v>
      </c>
    </row>
    <row r="2702" spans="2:7">
      <c r="B2702" s="893" t="str">
        <f>+'4J'!AW16</f>
        <v>WS1009CAW</v>
      </c>
      <c r="D2702" s="893"/>
      <c r="E2702" s="1753" t="s">
        <v>11007</v>
      </c>
      <c r="G2702">
        <f>IF('4J'!M16="","##BLANK",'4J'!M16)</f>
        <v>0</v>
      </c>
    </row>
    <row r="2703" spans="2:7">
      <c r="B2703" s="893" t="str">
        <f>+'4J'!AW18</f>
        <v>WS1010CAW</v>
      </c>
      <c r="D2703" s="893"/>
      <c r="E2703" s="1753" t="s">
        <v>11007</v>
      </c>
      <c r="G2703">
        <f>IF('4J'!M18="","##BLANK",'4J'!M18)</f>
        <v>0</v>
      </c>
    </row>
    <row r="2704" spans="2:7">
      <c r="B2704" s="893" t="str">
        <f>+'4J'!AW19</f>
        <v>WS1011CAW</v>
      </c>
      <c r="D2704" s="893"/>
      <c r="E2704" s="1753" t="s">
        <v>11007</v>
      </c>
      <c r="G2704">
        <f>IF('4J'!M19="","##BLANK",'4J'!M19)</f>
        <v>0</v>
      </c>
    </row>
    <row r="2705" spans="2:7">
      <c r="B2705" s="893" t="str">
        <f>+'4J'!AW22</f>
        <v>WS1012CAW</v>
      </c>
      <c r="D2705" s="893"/>
      <c r="E2705" s="1753" t="s">
        <v>11007</v>
      </c>
      <c r="G2705">
        <f>IF('4J'!M22="","##BLANK",'4J'!M22)</f>
        <v>0</v>
      </c>
    </row>
    <row r="2706" spans="2:7">
      <c r="B2706" s="893" t="str">
        <f>+'4J'!AW23</f>
        <v>WS1013CAW</v>
      </c>
      <c r="D2706" s="893"/>
      <c r="E2706" s="1753" t="s">
        <v>11007</v>
      </c>
      <c r="G2706">
        <f>IF('4J'!M23="","##BLANK",'4J'!M23)</f>
        <v>0</v>
      </c>
    </row>
    <row r="2707" spans="2:7">
      <c r="B2707" s="893" t="str">
        <f>+'4J'!AW24</f>
        <v>WS1014CAW</v>
      </c>
      <c r="D2707" s="893"/>
      <c r="E2707" s="1753" t="s">
        <v>11007</v>
      </c>
      <c r="G2707">
        <f>IF('4J'!M24="","##BLANK",'4J'!M24)</f>
        <v>0</v>
      </c>
    </row>
    <row r="2708" spans="2:7">
      <c r="B2708" s="893" t="str">
        <f>+'4J'!AW25</f>
        <v>WS1015CAW</v>
      </c>
      <c r="D2708" s="893"/>
      <c r="E2708" s="1753" t="s">
        <v>11007</v>
      </c>
      <c r="G2708">
        <f>IF('4J'!M25="","##BLANK",'4J'!M25)</f>
        <v>0</v>
      </c>
    </row>
    <row r="2709" spans="2:7">
      <c r="B2709" s="893" t="str">
        <f>+'4J'!AW26</f>
        <v>WS1016CAW</v>
      </c>
      <c r="D2709" s="893"/>
      <c r="E2709" s="1753" t="s">
        <v>11007</v>
      </c>
      <c r="G2709">
        <f>IF('4J'!M26="","##BLANK",'4J'!M26)</f>
        <v>0</v>
      </c>
    </row>
    <row r="2710" spans="2:7">
      <c r="B2710" s="893" t="str">
        <f>+'4J'!AW27</f>
        <v>WS1017CAW</v>
      </c>
      <c r="D2710" s="893"/>
      <c r="E2710" s="1753" t="s">
        <v>11007</v>
      </c>
      <c r="G2710">
        <f>IF('4J'!M27="","##BLANK",'4J'!M27)</f>
        <v>0</v>
      </c>
    </row>
    <row r="2711" spans="2:7">
      <c r="B2711" s="893" t="str">
        <f>+'4J'!AW28</f>
        <v>WS1018CAW</v>
      </c>
      <c r="D2711" s="893"/>
      <c r="E2711" s="1753" t="s">
        <v>11007</v>
      </c>
      <c r="G2711">
        <f>IF('4J'!M28="","##BLANK",'4J'!M28)</f>
        <v>0</v>
      </c>
    </row>
    <row r="2712" spans="2:7">
      <c r="B2712" s="893" t="str">
        <f>+'4J'!AW29</f>
        <v>WS1019CAW</v>
      </c>
      <c r="D2712" s="893"/>
      <c r="E2712" s="1753" t="s">
        <v>11007</v>
      </c>
      <c r="G2712">
        <f>IF('4J'!M29="","##BLANK",'4J'!M29)</f>
        <v>0</v>
      </c>
    </row>
    <row r="2713" spans="2:7">
      <c r="B2713" s="893" t="str">
        <f>+'4J'!AW30</f>
        <v>WS1020CAW</v>
      </c>
      <c r="D2713" s="893"/>
      <c r="E2713" s="1753" t="s">
        <v>11007</v>
      </c>
      <c r="G2713">
        <f>IF('4J'!M30="","##BLANK",'4J'!M30)</f>
        <v>0</v>
      </c>
    </row>
    <row r="2714" spans="2:7">
      <c r="B2714" s="893" t="str">
        <f>+'4J'!AW31</f>
        <v>WS1021CAW</v>
      </c>
      <c r="D2714" s="893"/>
      <c r="E2714" s="1753" t="s">
        <v>11007</v>
      </c>
      <c r="G2714">
        <f>IF('4J'!M31="","##BLANK",'4J'!M31)</f>
        <v>0</v>
      </c>
    </row>
    <row r="2715" spans="2:7">
      <c r="B2715" s="893" t="str">
        <f>+'4J'!AW34</f>
        <v>WS1022CAW</v>
      </c>
      <c r="D2715" s="893"/>
      <c r="E2715" s="1753" t="s">
        <v>11007</v>
      </c>
      <c r="G2715">
        <f>IF('4J'!M34="","##BLANK",'4J'!M34)</f>
        <v>0</v>
      </c>
    </row>
    <row r="2716" spans="2:7">
      <c r="B2716" s="893" t="str">
        <f>+'4J'!AW35</f>
        <v>WS1023CAW</v>
      </c>
      <c r="D2716" s="893"/>
      <c r="E2716" s="1753" t="s">
        <v>11007</v>
      </c>
      <c r="G2716">
        <f>IF('4J'!M35="","##BLANK",'4J'!M35)</f>
        <v>0</v>
      </c>
    </row>
    <row r="2717" spans="2:7">
      <c r="B2717" s="893" t="str">
        <f>+'4J'!AW36</f>
        <v>WS1024CAW</v>
      </c>
      <c r="D2717" s="893"/>
      <c r="E2717" s="1753" t="s">
        <v>11007</v>
      </c>
      <c r="G2717">
        <f>IF('4J'!M36="","##BLANK",'4J'!M36)</f>
        <v>0</v>
      </c>
    </row>
    <row r="2718" spans="2:7">
      <c r="B2718" s="893" t="str">
        <f>+'4J'!AW39</f>
        <v>BP3357001CAW</v>
      </c>
      <c r="D2718" s="893"/>
      <c r="E2718" s="1753" t="s">
        <v>11007</v>
      </c>
      <c r="F2718" s="2146" t="str">
        <f>+'4J'!C$39</f>
        <v>Item 1</v>
      </c>
      <c r="G2718">
        <f>IF('4J'!M39="","##BLANK",'4J'!M39)</f>
        <v>0</v>
      </c>
    </row>
    <row r="2719" spans="2:7">
      <c r="B2719" s="893" t="str">
        <f>+'4J'!AW40</f>
        <v>BP3357002CAW</v>
      </c>
      <c r="D2719" s="893"/>
      <c r="E2719" s="1753" t="s">
        <v>11007</v>
      </c>
      <c r="F2719" s="2146" t="str">
        <f>+'4J'!C$40</f>
        <v>Item 2</v>
      </c>
      <c r="G2719">
        <f>IF('4J'!M40="","##BLANK",'4J'!M40)</f>
        <v>0</v>
      </c>
    </row>
    <row r="2720" spans="2:7">
      <c r="B2720" s="893" t="str">
        <f>+'4J'!AW41</f>
        <v>BP3357003CAW</v>
      </c>
      <c r="D2720" s="893"/>
      <c r="E2720" s="1753" t="s">
        <v>11007</v>
      </c>
      <c r="F2720" s="2146" t="str">
        <f>+'4J'!C$41</f>
        <v>Item 3</v>
      </c>
      <c r="G2720">
        <f>IF('4J'!M41="","##BLANK",'4J'!M41)</f>
        <v>0</v>
      </c>
    </row>
    <row r="2721" spans="2:7">
      <c r="B2721" s="893" t="str">
        <f>+'4J'!AW42</f>
        <v>BP3357004CAW</v>
      </c>
      <c r="D2721" s="893"/>
      <c r="E2721" s="1753" t="s">
        <v>11007</v>
      </c>
      <c r="F2721" s="2146" t="str">
        <f>+'4J'!C$42</f>
        <v>Item 4</v>
      </c>
      <c r="G2721">
        <f>IF('4J'!M42="","##BLANK",'4J'!M42)</f>
        <v>0</v>
      </c>
    </row>
    <row r="2722" spans="2:7">
      <c r="B2722" s="893" t="str">
        <f>+'4J'!AW43</f>
        <v>BP3357005CAW</v>
      </c>
      <c r="D2722" s="893"/>
      <c r="E2722" s="1753" t="s">
        <v>11007</v>
      </c>
      <c r="F2722" s="2146" t="str">
        <f>+'4J'!C$43</f>
        <v>Item 5</v>
      </c>
      <c r="G2722">
        <f>IF('4J'!M43="","##BLANK",'4J'!M43)</f>
        <v>0</v>
      </c>
    </row>
    <row r="2723" spans="2:7">
      <c r="B2723" s="893" t="str">
        <f>+'4J'!AW44</f>
        <v>BP3357006CAW</v>
      </c>
      <c r="D2723" s="893"/>
      <c r="E2723" s="1753" t="s">
        <v>11007</v>
      </c>
      <c r="F2723" s="2146" t="str">
        <f>+'4J'!C$44</f>
        <v>Item 6</v>
      </c>
      <c r="G2723">
        <f>IF('4J'!M44="","##BLANK",'4J'!M44)</f>
        <v>0</v>
      </c>
    </row>
    <row r="2724" spans="2:7">
      <c r="B2724" s="893" t="str">
        <f>+'4J'!AW45</f>
        <v>BP3357007CAW</v>
      </c>
      <c r="D2724" s="893"/>
      <c r="E2724" s="1753" t="s">
        <v>11007</v>
      </c>
      <c r="F2724" s="2146" t="str">
        <f>+'4J'!C$45</f>
        <v>Item 7</v>
      </c>
      <c r="G2724">
        <f>IF('4J'!M45="","##BLANK",'4J'!M45)</f>
        <v>0</v>
      </c>
    </row>
    <row r="2725" spans="2:7">
      <c r="B2725" s="893" t="str">
        <f>+'4J'!AW46</f>
        <v>BP3357008CAW</v>
      </c>
      <c r="D2725" s="893"/>
      <c r="E2725" s="1753" t="s">
        <v>11007</v>
      </c>
      <c r="F2725" s="2146" t="str">
        <f>+'4J'!C$46</f>
        <v>Item 8</v>
      </c>
      <c r="G2725">
        <f>IF('4J'!M46="","##BLANK",'4J'!M46)</f>
        <v>0</v>
      </c>
    </row>
    <row r="2726" spans="2:7">
      <c r="B2726" s="893" t="str">
        <f>+'4J'!AW47</f>
        <v>BP3357009CAW</v>
      </c>
      <c r="D2726" s="893"/>
      <c r="E2726" s="1753" t="s">
        <v>11007</v>
      </c>
      <c r="F2726" s="2146" t="str">
        <f>+'4J'!C$47</f>
        <v>Item 9</v>
      </c>
      <c r="G2726">
        <f>IF('4J'!M47="","##BLANK",'4J'!M47)</f>
        <v>0</v>
      </c>
    </row>
    <row r="2727" spans="2:7">
      <c r="B2727" s="893" t="str">
        <f>+'4J'!AW48</f>
        <v>BP3357010CAW</v>
      </c>
      <c r="D2727" s="893"/>
      <c r="E2727" s="1753" t="s">
        <v>11007</v>
      </c>
      <c r="F2727" s="2146" t="str">
        <f>+'4J'!C$48</f>
        <v>Item 10</v>
      </c>
      <c r="G2727">
        <f>IF('4J'!M48="","##BLANK",'4J'!M48)</f>
        <v>0</v>
      </c>
    </row>
    <row r="2728" spans="2:7">
      <c r="B2728" s="893" t="str">
        <f>+'4J'!AW49</f>
        <v>BP3357020CAW</v>
      </c>
      <c r="D2728" s="893"/>
      <c r="E2728" s="1753" t="s">
        <v>11007</v>
      </c>
      <c r="G2728">
        <f>IF('4J'!M49="","##BLANK",'4J'!M49)</f>
        <v>0</v>
      </c>
    </row>
    <row r="2729" spans="2:7">
      <c r="B2729" s="893" t="str">
        <f>+'4J'!AW52</f>
        <v>W3026TECAW</v>
      </c>
      <c r="D2729" s="893"/>
      <c r="E2729" s="1753" t="s">
        <v>11007</v>
      </c>
      <c r="G2729">
        <f>IF('4J'!M52="","##BLANK",'4J'!M52)</f>
        <v>0</v>
      </c>
    </row>
    <row r="2730" spans="2:7">
      <c r="B2730" s="893" t="str">
        <f>+'4K'!AQ7</f>
        <v>WWS1001FL</v>
      </c>
      <c r="E2730" s="1753" t="s">
        <v>11007</v>
      </c>
      <c r="G2730" t="str">
        <f>IF('4K'!G7="","##BLANK",'4K'!G7)</f>
        <v>##BLANK</v>
      </c>
    </row>
    <row r="2731" spans="2:7">
      <c r="B2731" s="893" t="str">
        <f>+'4K'!AQ8</f>
        <v>WWS1002FL</v>
      </c>
      <c r="E2731" s="1753" t="s">
        <v>11007</v>
      </c>
      <c r="G2731" t="str">
        <f>IF('4K'!G8="","##BLANK",'4K'!G8)</f>
        <v>##BLANK</v>
      </c>
    </row>
    <row r="2732" spans="2:7">
      <c r="B2732" s="893" t="str">
        <f>+'4K'!AQ9</f>
        <v>WWS1003FL</v>
      </c>
      <c r="E2732" s="1753" t="s">
        <v>11007</v>
      </c>
      <c r="G2732" t="str">
        <f>IF('4K'!G9="","##BLANK",'4K'!G9)</f>
        <v>##BLANK</v>
      </c>
    </row>
    <row r="2733" spans="2:7">
      <c r="B2733" s="893" t="str">
        <f>+'4K'!AQ10</f>
        <v>WWS1004FL</v>
      </c>
      <c r="E2733" s="1753" t="s">
        <v>11007</v>
      </c>
      <c r="G2733" t="str">
        <f>IF('4K'!G10="","##BLANK",'4K'!G10)</f>
        <v>##BLANK</v>
      </c>
    </row>
    <row r="2734" spans="2:7">
      <c r="B2734" s="893" t="str">
        <f>+'4K'!AQ12</f>
        <v>WWS1005FL</v>
      </c>
      <c r="E2734" s="1753" t="s">
        <v>11007</v>
      </c>
      <c r="G2734" t="str">
        <f>IF('4K'!G12="","##BLANK",'4K'!G12)</f>
        <v>##BLANK</v>
      </c>
    </row>
    <row r="2735" spans="2:7">
      <c r="B2735" s="893" t="str">
        <f>+'4K'!AQ13</f>
        <v>WWS1006FL</v>
      </c>
      <c r="E2735" s="1753" t="s">
        <v>11007</v>
      </c>
      <c r="G2735" t="str">
        <f>IF('4K'!G13="","##BLANK",'4K'!G13)</f>
        <v>##BLANK</v>
      </c>
    </row>
    <row r="2736" spans="2:7">
      <c r="B2736" s="893" t="str">
        <f>+'4K'!AQ14</f>
        <v>WWS1007FL</v>
      </c>
      <c r="E2736" s="1753" t="s">
        <v>11007</v>
      </c>
      <c r="G2736" t="str">
        <f>IF('4K'!G14="","##BLANK",'4K'!G14)</f>
        <v>##BLANK</v>
      </c>
    </row>
    <row r="2737" spans="2:7">
      <c r="B2737" s="893" t="str">
        <f>+'4K'!AQ15</f>
        <v>WWS1008FL</v>
      </c>
      <c r="E2737" s="1753" t="s">
        <v>11007</v>
      </c>
      <c r="G2737" t="str">
        <f>IF('4K'!G15="","##BLANK",'4K'!G15)</f>
        <v>##BLANK</v>
      </c>
    </row>
    <row r="2738" spans="2:7">
      <c r="B2738" s="893" t="str">
        <f>+'4K'!AQ16</f>
        <v>WWS1009FL</v>
      </c>
      <c r="E2738" s="1753" t="s">
        <v>11007</v>
      </c>
      <c r="G2738">
        <f>IF('4K'!G16="","##BLANK",'4K'!G16)</f>
        <v>0</v>
      </c>
    </row>
    <row r="2739" spans="2:7">
      <c r="B2739" s="893" t="str">
        <f>+'4K'!AQ18</f>
        <v>WWS1010FL</v>
      </c>
      <c r="E2739" s="1753" t="s">
        <v>11007</v>
      </c>
      <c r="G2739" t="str">
        <f>IF('4K'!G18="","##BLANK",'4K'!G18)</f>
        <v>##BLANK</v>
      </c>
    </row>
    <row r="2740" spans="2:7">
      <c r="B2740" s="893" t="str">
        <f>+'4K'!AQ19</f>
        <v>WWS1011FL</v>
      </c>
      <c r="E2740" s="1753" t="s">
        <v>11007</v>
      </c>
      <c r="G2740">
        <f>IF('4K'!G19="","##BLANK",'4K'!G19)</f>
        <v>0</v>
      </c>
    </row>
    <row r="2741" spans="2:7">
      <c r="B2741" s="893" t="str">
        <f>+'4K'!AQ22</f>
        <v>WWS1012FL</v>
      </c>
      <c r="E2741" s="1753" t="s">
        <v>11007</v>
      </c>
      <c r="G2741" t="str">
        <f>IF('4K'!G22="","##BLANK",'4K'!G22)</f>
        <v>##BLANK</v>
      </c>
    </row>
    <row r="2742" spans="2:7">
      <c r="B2742" s="893" t="str">
        <f>+'4K'!AQ23</f>
        <v>WWS1013FL</v>
      </c>
      <c r="E2742" s="1753" t="s">
        <v>11007</v>
      </c>
      <c r="G2742" t="str">
        <f>IF('4K'!G23="","##BLANK",'4K'!G23)</f>
        <v>##BLANK</v>
      </c>
    </row>
    <row r="2743" spans="2:7">
      <c r="B2743" s="893" t="str">
        <f>+'4K'!AQ24</f>
        <v>WWS1014FL</v>
      </c>
      <c r="E2743" s="1753" t="s">
        <v>11007</v>
      </c>
      <c r="G2743" t="str">
        <f>IF('4K'!G24="","##BLANK",'4K'!G24)</f>
        <v>##BLANK</v>
      </c>
    </row>
    <row r="2744" spans="2:7">
      <c r="B2744" s="893" t="str">
        <f>+'4K'!AQ25</f>
        <v>WWS1015FL</v>
      </c>
      <c r="E2744" s="1753" t="s">
        <v>11007</v>
      </c>
      <c r="G2744" t="str">
        <f>IF('4K'!G25="","##BLANK",'4K'!G25)</f>
        <v>##BLANK</v>
      </c>
    </row>
    <row r="2745" spans="2:7">
      <c r="B2745" s="893" t="str">
        <f>+'4K'!AQ26</f>
        <v>WWS1016FL</v>
      </c>
      <c r="E2745" s="1753" t="s">
        <v>11007</v>
      </c>
      <c r="G2745" t="str">
        <f>IF('4K'!G26="","##BLANK",'4K'!G26)</f>
        <v>##BLANK</v>
      </c>
    </row>
    <row r="2746" spans="2:7">
      <c r="B2746" s="893" t="str">
        <f>+'4K'!AQ27</f>
        <v>WWS1017FL</v>
      </c>
      <c r="E2746" s="1753" t="s">
        <v>11007</v>
      </c>
      <c r="G2746">
        <f>IF('4K'!G27="","##BLANK",'4K'!G27)</f>
        <v>0</v>
      </c>
    </row>
    <row r="2747" spans="2:7">
      <c r="B2747" s="893" t="str">
        <f>+'4K'!AQ28</f>
        <v>WWS1018FL</v>
      </c>
      <c r="E2747" s="1753" t="s">
        <v>11007</v>
      </c>
      <c r="G2747" t="str">
        <f>IF('4K'!G28="","##BLANK",'4K'!G28)</f>
        <v>##BLANK</v>
      </c>
    </row>
    <row r="2748" spans="2:7">
      <c r="B2748" s="893" t="str">
        <f>+'4K'!AQ29</f>
        <v>WWS1019FL</v>
      </c>
      <c r="E2748" s="1753" t="s">
        <v>11007</v>
      </c>
      <c r="G2748">
        <f>IF('4K'!G29="","##BLANK",'4K'!G29)</f>
        <v>0</v>
      </c>
    </row>
    <row r="2749" spans="2:7">
      <c r="B2749" s="893" t="str">
        <f>+'4K'!AQ30</f>
        <v>WWS1020FL</v>
      </c>
      <c r="E2749" s="1753" t="s">
        <v>11007</v>
      </c>
      <c r="G2749" t="str">
        <f>IF('4K'!G30="","##BLANK",'4K'!G30)</f>
        <v>##BLANK</v>
      </c>
    </row>
    <row r="2750" spans="2:7">
      <c r="B2750" s="893" t="str">
        <f>+'4K'!AQ31</f>
        <v>WWS1021FL</v>
      </c>
      <c r="E2750" s="1753" t="s">
        <v>11007</v>
      </c>
      <c r="G2750">
        <f>IF('4K'!G31="","##BLANK",'4K'!G31)</f>
        <v>0</v>
      </c>
    </row>
    <row r="2751" spans="2:7">
      <c r="B2751" s="893" t="str">
        <f>+'4K'!AQ34</f>
        <v>WWS1022FL</v>
      </c>
      <c r="E2751" s="1753" t="s">
        <v>11007</v>
      </c>
      <c r="G2751" t="str">
        <f>IF('4K'!G34="","##BLANK",'4K'!G34)</f>
        <v>##BLANK</v>
      </c>
    </row>
    <row r="2752" spans="2:7">
      <c r="B2752" s="893" t="str">
        <f>+'4K'!AQ35</f>
        <v>WWS1023FL</v>
      </c>
      <c r="E2752" s="1753" t="s">
        <v>11007</v>
      </c>
      <c r="G2752" t="str">
        <f>IF('4K'!G35="","##BLANK",'4K'!G35)</f>
        <v>##BLANK</v>
      </c>
    </row>
    <row r="2753" spans="2:7">
      <c r="B2753" s="893" t="str">
        <f>+'4K'!AQ36</f>
        <v>WWS1024FL</v>
      </c>
      <c r="E2753" s="1753" t="s">
        <v>11007</v>
      </c>
      <c r="G2753">
        <f>IF('4K'!G36="","##BLANK",'4K'!G36)</f>
        <v>0</v>
      </c>
    </row>
    <row r="2754" spans="2:7">
      <c r="B2754" s="893" t="str">
        <f>+'4K'!AQ39</f>
        <v>BP3357001FL</v>
      </c>
      <c r="E2754" s="1753" t="s">
        <v>11007</v>
      </c>
      <c r="F2754" t="str">
        <f>+'4K'!C$39</f>
        <v>Item 1</v>
      </c>
      <c r="G2754" t="str">
        <f>IF('4K'!G39="","##BLANK",'4K'!G39)</f>
        <v>##BLANK</v>
      </c>
    </row>
    <row r="2755" spans="2:7">
      <c r="B2755" s="893" t="str">
        <f>+'4K'!AQ40</f>
        <v>BP3357002FL</v>
      </c>
      <c r="E2755" s="1753" t="s">
        <v>11007</v>
      </c>
      <c r="F2755" s="2146" t="str">
        <f>+'4K'!C$40</f>
        <v>Item 2</v>
      </c>
      <c r="G2755" t="str">
        <f>IF('4K'!G40="","##BLANK",'4K'!G40)</f>
        <v>##BLANK</v>
      </c>
    </row>
    <row r="2756" spans="2:7">
      <c r="B2756" s="893" t="str">
        <f>+'4K'!AQ41</f>
        <v>BP3357003FL</v>
      </c>
      <c r="E2756" s="1753" t="s">
        <v>11007</v>
      </c>
      <c r="F2756" s="2146" t="str">
        <f>+'4K'!C$41</f>
        <v>Item 3</v>
      </c>
      <c r="G2756" t="str">
        <f>IF('4K'!G41="","##BLANK",'4K'!G41)</f>
        <v>##BLANK</v>
      </c>
    </row>
    <row r="2757" spans="2:7">
      <c r="B2757" s="893" t="str">
        <f>+'4K'!AQ42</f>
        <v>BP3357004FL</v>
      </c>
      <c r="E2757" s="1753" t="s">
        <v>11007</v>
      </c>
      <c r="F2757" s="2146" t="str">
        <f>+'4K'!C$42</f>
        <v>Item 4</v>
      </c>
      <c r="G2757" t="str">
        <f>IF('4K'!G42="","##BLANK",'4K'!G42)</f>
        <v>##BLANK</v>
      </c>
    </row>
    <row r="2758" spans="2:7">
      <c r="B2758" s="893" t="str">
        <f>+'4K'!AQ43</f>
        <v>BP3357005FL</v>
      </c>
      <c r="E2758" s="1753" t="s">
        <v>11007</v>
      </c>
      <c r="F2758" s="2146" t="str">
        <f>+'4K'!C$43</f>
        <v>Item 5</v>
      </c>
      <c r="G2758" t="str">
        <f>IF('4K'!G43="","##BLANK",'4K'!G43)</f>
        <v>##BLANK</v>
      </c>
    </row>
    <row r="2759" spans="2:7">
      <c r="B2759" s="893" t="str">
        <f>+'4K'!AQ44</f>
        <v>BP3357006FL</v>
      </c>
      <c r="E2759" s="1753" t="s">
        <v>11007</v>
      </c>
      <c r="F2759" s="2146" t="str">
        <f>+'4K'!C$44</f>
        <v>Item 6</v>
      </c>
      <c r="G2759" t="str">
        <f>IF('4K'!G44="","##BLANK",'4K'!G44)</f>
        <v>##BLANK</v>
      </c>
    </row>
    <row r="2760" spans="2:7">
      <c r="B2760" s="893" t="str">
        <f>+'4K'!AQ45</f>
        <v>BP3357007FL</v>
      </c>
      <c r="E2760" s="1753" t="s">
        <v>11007</v>
      </c>
      <c r="F2760" s="2146" t="str">
        <f>+'4K'!C$45</f>
        <v>Item 7</v>
      </c>
      <c r="G2760" t="str">
        <f>IF('4K'!G45="","##BLANK",'4K'!G45)</f>
        <v>##BLANK</v>
      </c>
    </row>
    <row r="2761" spans="2:7">
      <c r="B2761" s="893" t="str">
        <f>+'4K'!AQ46</f>
        <v>BP3357008FL</v>
      </c>
      <c r="E2761" s="1753" t="s">
        <v>11007</v>
      </c>
      <c r="F2761" s="2146" t="str">
        <f>+'4K'!C$46</f>
        <v>Item 8</v>
      </c>
      <c r="G2761" t="str">
        <f>IF('4K'!G46="","##BLANK",'4K'!G46)</f>
        <v>##BLANK</v>
      </c>
    </row>
    <row r="2762" spans="2:7">
      <c r="B2762" s="893" t="str">
        <f>+'4K'!AQ47</f>
        <v>BP3357009FL</v>
      </c>
      <c r="E2762" s="1753" t="s">
        <v>11007</v>
      </c>
      <c r="F2762" s="2146" t="str">
        <f>+'4K'!C$47</f>
        <v>Item 9</v>
      </c>
      <c r="G2762" t="str">
        <f>IF('4K'!G47="","##BLANK",'4K'!G47)</f>
        <v>##BLANK</v>
      </c>
    </row>
    <row r="2763" spans="2:7">
      <c r="B2763" s="893" t="str">
        <f>+'4K'!AQ48</f>
        <v>BP3357010FL</v>
      </c>
      <c r="E2763" s="1753" t="s">
        <v>11007</v>
      </c>
      <c r="F2763" s="2146" t="str">
        <f>+'4K'!C$48</f>
        <v>Item 10</v>
      </c>
      <c r="G2763" t="str">
        <f>IF('4K'!G48="","##BLANK",'4K'!G48)</f>
        <v>##BLANK</v>
      </c>
    </row>
    <row r="2764" spans="2:7">
      <c r="B2764" s="893" t="str">
        <f>+'4K'!AQ49</f>
        <v>BP3357020FL</v>
      </c>
      <c r="E2764" s="1753" t="s">
        <v>11007</v>
      </c>
      <c r="F2764" s="2146"/>
      <c r="G2764">
        <f>IF('4K'!G49="","##BLANK",'4K'!G49)</f>
        <v>0</v>
      </c>
    </row>
    <row r="2765" spans="2:7">
      <c r="B2765" s="893" t="str">
        <f>+'4K'!AQ52</f>
        <v>S3040TCAFL</v>
      </c>
      <c r="E2765" s="1753" t="s">
        <v>11007</v>
      </c>
      <c r="G2765">
        <f>IF('4K'!G52="","##BLANK",'4K'!G52)</f>
        <v>0</v>
      </c>
    </row>
    <row r="2766" spans="2:7">
      <c r="B2766" s="893" t="str">
        <f>+'4K'!AR7</f>
        <v>WWS1001SWD</v>
      </c>
      <c r="E2766" s="1753" t="s">
        <v>11007</v>
      </c>
      <c r="G2766" t="str">
        <f>IF('4K'!H7="","##BLANK",'4K'!H7)</f>
        <v>##BLANK</v>
      </c>
    </row>
    <row r="2767" spans="2:7">
      <c r="B2767" s="893" t="str">
        <f>+'4K'!AR8</f>
        <v>WWS1002SWD</v>
      </c>
      <c r="E2767" s="1753" t="s">
        <v>11007</v>
      </c>
      <c r="G2767" t="str">
        <f>IF('4K'!H8="","##BLANK",'4K'!H8)</f>
        <v>##BLANK</v>
      </c>
    </row>
    <row r="2768" spans="2:7">
      <c r="B2768" s="893" t="str">
        <f>+'4K'!AR9</f>
        <v>WWS1003SWD</v>
      </c>
      <c r="E2768" s="1753" t="s">
        <v>11007</v>
      </c>
      <c r="G2768" t="str">
        <f>IF('4K'!H9="","##BLANK",'4K'!H9)</f>
        <v>##BLANK</v>
      </c>
    </row>
    <row r="2769" spans="2:7">
      <c r="B2769" s="893" t="str">
        <f>+'4K'!AR10</f>
        <v>WWS1004SWD</v>
      </c>
      <c r="E2769" s="1753" t="s">
        <v>11007</v>
      </c>
      <c r="G2769" t="str">
        <f>IF('4K'!H10="","##BLANK",'4K'!H10)</f>
        <v>##BLANK</v>
      </c>
    </row>
    <row r="2770" spans="2:7">
      <c r="B2770" s="893" t="str">
        <f>+'4K'!AR12</f>
        <v>WWS1005SWD</v>
      </c>
      <c r="E2770" s="1753" t="s">
        <v>11007</v>
      </c>
      <c r="G2770" t="str">
        <f>IF('4K'!H12="","##BLANK",'4K'!H12)</f>
        <v>##BLANK</v>
      </c>
    </row>
    <row r="2771" spans="2:7">
      <c r="B2771" s="893" t="str">
        <f>+'4K'!AR13</f>
        <v>WWS1006SWD</v>
      </c>
      <c r="E2771" s="1753" t="s">
        <v>11007</v>
      </c>
      <c r="G2771" t="str">
        <f>IF('4K'!H13="","##BLANK",'4K'!H13)</f>
        <v>##BLANK</v>
      </c>
    </row>
    <row r="2772" spans="2:7">
      <c r="B2772" s="893" t="str">
        <f>+'4K'!AR14</f>
        <v>WWS1007SWD</v>
      </c>
      <c r="E2772" s="1753" t="s">
        <v>11007</v>
      </c>
      <c r="G2772" t="str">
        <f>IF('4K'!H14="","##BLANK",'4K'!H14)</f>
        <v>##BLANK</v>
      </c>
    </row>
    <row r="2773" spans="2:7">
      <c r="B2773" s="893" t="str">
        <f>+'4K'!AR15</f>
        <v>WWS1008SWD</v>
      </c>
      <c r="E2773" s="1753" t="s">
        <v>11007</v>
      </c>
      <c r="G2773" t="str">
        <f>IF('4K'!H15="","##BLANK",'4K'!H15)</f>
        <v>##BLANK</v>
      </c>
    </row>
    <row r="2774" spans="2:7">
      <c r="B2774" s="893" t="str">
        <f>+'4K'!AR16</f>
        <v>WWS1009SWD</v>
      </c>
      <c r="E2774" s="1753" t="s">
        <v>11007</v>
      </c>
      <c r="G2774">
        <f>IF('4K'!H16="","##BLANK",'4K'!H16)</f>
        <v>0</v>
      </c>
    </row>
    <row r="2775" spans="2:7">
      <c r="B2775" s="893" t="str">
        <f>+'4K'!AR18</f>
        <v>WWS1010SWD</v>
      </c>
      <c r="E2775" s="1753" t="s">
        <v>11007</v>
      </c>
      <c r="G2775" t="str">
        <f>IF('4K'!H18="","##BLANK",'4K'!H18)</f>
        <v>##BLANK</v>
      </c>
    </row>
    <row r="2776" spans="2:7">
      <c r="B2776" s="893" t="str">
        <f>+'4K'!AR19</f>
        <v>WWS1011SWD</v>
      </c>
      <c r="E2776" s="1753" t="s">
        <v>11007</v>
      </c>
      <c r="G2776">
        <f>IF('4K'!H19="","##BLANK",'4K'!H19)</f>
        <v>0</v>
      </c>
    </row>
    <row r="2777" spans="2:7">
      <c r="B2777" s="893" t="str">
        <f>+'4K'!AR22</f>
        <v>WWS1012SWD</v>
      </c>
      <c r="E2777" s="1753" t="s">
        <v>11007</v>
      </c>
      <c r="G2777" t="str">
        <f>IF('4K'!H22="","##BLANK",'4K'!H22)</f>
        <v>##BLANK</v>
      </c>
    </row>
    <row r="2778" spans="2:7">
      <c r="B2778" s="893" t="str">
        <f>+'4K'!AR23</f>
        <v>WWS1013SWD</v>
      </c>
      <c r="E2778" s="1753" t="s">
        <v>11007</v>
      </c>
      <c r="G2778" t="str">
        <f>IF('4K'!H23="","##BLANK",'4K'!H23)</f>
        <v>##BLANK</v>
      </c>
    </row>
    <row r="2779" spans="2:7">
      <c r="B2779" s="893" t="str">
        <f>+'4K'!AR24</f>
        <v>WWS1014SWD</v>
      </c>
      <c r="E2779" s="1753" t="s">
        <v>11007</v>
      </c>
      <c r="G2779" t="str">
        <f>IF('4K'!H24="","##BLANK",'4K'!H24)</f>
        <v>##BLANK</v>
      </c>
    </row>
    <row r="2780" spans="2:7">
      <c r="B2780" s="893" t="str">
        <f>+'4K'!AR25</f>
        <v>WWS1015SWD</v>
      </c>
      <c r="E2780" s="1753" t="s">
        <v>11007</v>
      </c>
      <c r="G2780" t="str">
        <f>IF('4K'!H25="","##BLANK",'4K'!H25)</f>
        <v>##BLANK</v>
      </c>
    </row>
    <row r="2781" spans="2:7">
      <c r="B2781" s="893" t="str">
        <f>+'4K'!AR26</f>
        <v>WWS1016SWD</v>
      </c>
      <c r="E2781" s="1753" t="s">
        <v>11007</v>
      </c>
      <c r="G2781" t="str">
        <f>IF('4K'!H26="","##BLANK",'4K'!H26)</f>
        <v>##BLANK</v>
      </c>
    </row>
    <row r="2782" spans="2:7">
      <c r="B2782" s="893" t="str">
        <f>+'4K'!AR27</f>
        <v>WWS1017SWD</v>
      </c>
      <c r="E2782" s="1753" t="s">
        <v>11007</v>
      </c>
      <c r="G2782">
        <f>IF('4K'!H27="","##BLANK",'4K'!H27)</f>
        <v>0</v>
      </c>
    </row>
    <row r="2783" spans="2:7">
      <c r="B2783" s="893" t="str">
        <f>+'4K'!AR28</f>
        <v>WWS1018SWD</v>
      </c>
      <c r="E2783" s="1753" t="s">
        <v>11007</v>
      </c>
      <c r="G2783" t="str">
        <f>IF('4K'!H28="","##BLANK",'4K'!H28)</f>
        <v>##BLANK</v>
      </c>
    </row>
    <row r="2784" spans="2:7">
      <c r="B2784" s="893" t="str">
        <f>+'4K'!AR29</f>
        <v>WWS1019SWD</v>
      </c>
      <c r="E2784" s="1753" t="s">
        <v>11007</v>
      </c>
      <c r="G2784">
        <f>IF('4K'!H29="","##BLANK",'4K'!H29)</f>
        <v>0</v>
      </c>
    </row>
    <row r="2785" spans="2:7">
      <c r="B2785" s="893" t="str">
        <f>+'4K'!AR30</f>
        <v>WWS1020SWD</v>
      </c>
      <c r="E2785" s="1753" t="s">
        <v>11007</v>
      </c>
      <c r="G2785" t="str">
        <f>IF('4K'!H30="","##BLANK",'4K'!H30)</f>
        <v>##BLANK</v>
      </c>
    </row>
    <row r="2786" spans="2:7">
      <c r="B2786" s="893" t="str">
        <f>+'4K'!AR31</f>
        <v>WWS1021SWD</v>
      </c>
      <c r="E2786" s="1753" t="s">
        <v>11007</v>
      </c>
      <c r="G2786">
        <f>IF('4K'!H31="","##BLANK",'4K'!H31)</f>
        <v>0</v>
      </c>
    </row>
    <row r="2787" spans="2:7">
      <c r="B2787" s="893" t="str">
        <f>+'4K'!AR34</f>
        <v>WWS1022SWD</v>
      </c>
      <c r="E2787" s="1753" t="s">
        <v>11007</v>
      </c>
      <c r="G2787" t="str">
        <f>IF('4K'!H34="","##BLANK",'4K'!H34)</f>
        <v>##BLANK</v>
      </c>
    </row>
    <row r="2788" spans="2:7">
      <c r="B2788" s="893" t="str">
        <f>+'4K'!AR35</f>
        <v>WWS1023SWD</v>
      </c>
      <c r="E2788" s="1753" t="s">
        <v>11007</v>
      </c>
      <c r="G2788" t="str">
        <f>IF('4K'!H35="","##BLANK",'4K'!H35)</f>
        <v>##BLANK</v>
      </c>
    </row>
    <row r="2789" spans="2:7">
      <c r="B2789" s="893" t="str">
        <f>+'4K'!AR36</f>
        <v>WWS1024SWD</v>
      </c>
      <c r="E2789" s="1753" t="s">
        <v>11007</v>
      </c>
      <c r="G2789">
        <f>IF('4K'!H36="","##BLANK",'4K'!H36)</f>
        <v>0</v>
      </c>
    </row>
    <row r="2790" spans="2:7">
      <c r="B2790" s="893" t="str">
        <f>+'4K'!AR39</f>
        <v>BP3357001SWD</v>
      </c>
      <c r="E2790" s="1753" t="s">
        <v>11007</v>
      </c>
      <c r="F2790" s="2146" t="str">
        <f>+'4K'!C$39</f>
        <v>Item 1</v>
      </c>
      <c r="G2790" t="str">
        <f>IF('4K'!H39="","##BLANK",'4K'!H39)</f>
        <v>##BLANK</v>
      </c>
    </row>
    <row r="2791" spans="2:7">
      <c r="B2791" s="893" t="str">
        <f>+'4K'!AR40</f>
        <v>BP3357002SWD</v>
      </c>
      <c r="E2791" s="1753" t="s">
        <v>11007</v>
      </c>
      <c r="F2791" s="2146" t="str">
        <f>+'4K'!C$40</f>
        <v>Item 2</v>
      </c>
      <c r="G2791" t="str">
        <f>IF('4K'!H40="","##BLANK",'4K'!H40)</f>
        <v>##BLANK</v>
      </c>
    </row>
    <row r="2792" spans="2:7">
      <c r="B2792" s="893" t="str">
        <f>+'4K'!AR41</f>
        <v>BP3357003SWD</v>
      </c>
      <c r="E2792" s="1753" t="s">
        <v>11007</v>
      </c>
      <c r="F2792" s="2146" t="str">
        <f>+'4K'!C$41</f>
        <v>Item 3</v>
      </c>
      <c r="G2792" t="str">
        <f>IF('4K'!H41="","##BLANK",'4K'!H41)</f>
        <v>##BLANK</v>
      </c>
    </row>
    <row r="2793" spans="2:7">
      <c r="B2793" s="893" t="str">
        <f>+'4K'!AR42</f>
        <v>BP3357004SWD</v>
      </c>
      <c r="E2793" s="1753" t="s">
        <v>11007</v>
      </c>
      <c r="F2793" s="2146" t="str">
        <f>+'4K'!C$42</f>
        <v>Item 4</v>
      </c>
      <c r="G2793" t="str">
        <f>IF('4K'!H42="","##BLANK",'4K'!H42)</f>
        <v>##BLANK</v>
      </c>
    </row>
    <row r="2794" spans="2:7">
      <c r="B2794" s="893" t="str">
        <f>+'4K'!AR43</f>
        <v>BP3357005SWD</v>
      </c>
      <c r="E2794" s="1753" t="s">
        <v>11007</v>
      </c>
      <c r="F2794" s="2146" t="str">
        <f>+'4K'!C$43</f>
        <v>Item 5</v>
      </c>
      <c r="G2794" t="str">
        <f>IF('4K'!H43="","##BLANK",'4K'!H43)</f>
        <v>##BLANK</v>
      </c>
    </row>
    <row r="2795" spans="2:7">
      <c r="B2795" s="893" t="str">
        <f>+'4K'!AR44</f>
        <v>BP3357006SWD</v>
      </c>
      <c r="E2795" s="1753" t="s">
        <v>11007</v>
      </c>
      <c r="F2795" s="2146" t="str">
        <f>+'4K'!C$44</f>
        <v>Item 6</v>
      </c>
      <c r="G2795" t="str">
        <f>IF('4K'!H44="","##BLANK",'4K'!H44)</f>
        <v>##BLANK</v>
      </c>
    </row>
    <row r="2796" spans="2:7">
      <c r="B2796" s="893" t="str">
        <f>+'4K'!AR45</f>
        <v>BP3357007SWD</v>
      </c>
      <c r="E2796" s="1753" t="s">
        <v>11007</v>
      </c>
      <c r="F2796" s="2146" t="str">
        <f>+'4K'!C$45</f>
        <v>Item 7</v>
      </c>
      <c r="G2796" t="str">
        <f>IF('4K'!H45="","##BLANK",'4K'!H45)</f>
        <v>##BLANK</v>
      </c>
    </row>
    <row r="2797" spans="2:7">
      <c r="B2797" s="893" t="str">
        <f>+'4K'!AR46</f>
        <v>BP3357008SWD</v>
      </c>
      <c r="E2797" s="1753" t="s">
        <v>11007</v>
      </c>
      <c r="F2797" s="2146" t="str">
        <f>+'4K'!C$46</f>
        <v>Item 8</v>
      </c>
      <c r="G2797" t="str">
        <f>IF('4K'!H46="","##BLANK",'4K'!H46)</f>
        <v>##BLANK</v>
      </c>
    </row>
    <row r="2798" spans="2:7">
      <c r="B2798" s="893" t="str">
        <f>+'4K'!AR47</f>
        <v>BP3357009SWD</v>
      </c>
      <c r="E2798" s="1753" t="s">
        <v>11007</v>
      </c>
      <c r="F2798" s="2146" t="str">
        <f>+'4K'!C$47</f>
        <v>Item 9</v>
      </c>
      <c r="G2798" t="str">
        <f>IF('4K'!H47="","##BLANK",'4K'!H47)</f>
        <v>##BLANK</v>
      </c>
    </row>
    <row r="2799" spans="2:7">
      <c r="B2799" s="893" t="str">
        <f>+'4K'!AR48</f>
        <v>BP3357010SWD</v>
      </c>
      <c r="E2799" s="1753" t="s">
        <v>11007</v>
      </c>
      <c r="F2799" s="2146" t="str">
        <f>+'4K'!C$48</f>
        <v>Item 10</v>
      </c>
      <c r="G2799" t="str">
        <f>IF('4K'!H48="","##BLANK",'4K'!H48)</f>
        <v>##BLANK</v>
      </c>
    </row>
    <row r="2800" spans="2:7">
      <c r="B2800" s="893" t="str">
        <f>+'4K'!AR49</f>
        <v>BP3357020SWD</v>
      </c>
      <c r="E2800" s="1753" t="s">
        <v>11007</v>
      </c>
      <c r="G2800">
        <f>IF('4K'!H49="","##BLANK",'4K'!H49)</f>
        <v>0</v>
      </c>
    </row>
    <row r="2801" spans="2:7">
      <c r="B2801" s="893" t="str">
        <f>+'4K'!AR52</f>
        <v>S3040TCASWD</v>
      </c>
      <c r="E2801" s="1753" t="s">
        <v>11007</v>
      </c>
      <c r="G2801">
        <f>IF('4K'!H52="","##BLANK",'4K'!H52)</f>
        <v>0</v>
      </c>
    </row>
    <row r="2802" spans="2:7">
      <c r="B2802" s="893" t="str">
        <f>+'4K'!AS7</f>
        <v>WWS1001HD</v>
      </c>
      <c r="E2802" s="1753" t="s">
        <v>11007</v>
      </c>
      <c r="G2802" t="str">
        <f>IF('4K'!I7="","##BLANK",'4K'!I7)</f>
        <v>##BLANK</v>
      </c>
    </row>
    <row r="2803" spans="2:7">
      <c r="B2803" s="893" t="str">
        <f>+'4K'!AS8</f>
        <v>WWS1002HD</v>
      </c>
      <c r="E2803" s="1753" t="s">
        <v>11007</v>
      </c>
      <c r="G2803" t="str">
        <f>IF('4K'!I8="","##BLANK",'4K'!I8)</f>
        <v>##BLANK</v>
      </c>
    </row>
    <row r="2804" spans="2:7">
      <c r="B2804" s="893" t="str">
        <f>+'4K'!AS9</f>
        <v>WWS1003HD</v>
      </c>
      <c r="E2804" s="1753" t="s">
        <v>11007</v>
      </c>
      <c r="G2804" t="str">
        <f>IF('4K'!I9="","##BLANK",'4K'!I9)</f>
        <v>##BLANK</v>
      </c>
    </row>
    <row r="2805" spans="2:7">
      <c r="B2805" s="893" t="str">
        <f>+'4K'!AS10</f>
        <v>WWS1004HD</v>
      </c>
      <c r="E2805" s="1753" t="s">
        <v>11007</v>
      </c>
      <c r="G2805" t="str">
        <f>IF('4K'!I10="","##BLANK",'4K'!I10)</f>
        <v>##BLANK</v>
      </c>
    </row>
    <row r="2806" spans="2:7">
      <c r="B2806" s="893" t="str">
        <f>+'4K'!AS12</f>
        <v>WWS1005HD</v>
      </c>
      <c r="E2806" s="1753" t="s">
        <v>11007</v>
      </c>
      <c r="G2806" t="str">
        <f>IF('4K'!I12="","##BLANK",'4K'!I12)</f>
        <v>##BLANK</v>
      </c>
    </row>
    <row r="2807" spans="2:7">
      <c r="B2807" s="893" t="str">
        <f>+'4K'!AS13</f>
        <v>WWS1006HD</v>
      </c>
      <c r="E2807" s="1753" t="s">
        <v>11007</v>
      </c>
      <c r="G2807" t="str">
        <f>IF('4K'!I13="","##BLANK",'4K'!I13)</f>
        <v>##BLANK</v>
      </c>
    </row>
    <row r="2808" spans="2:7">
      <c r="B2808" s="893" t="str">
        <f>+'4K'!AS14</f>
        <v>WWS1007HD</v>
      </c>
      <c r="E2808" s="1753" t="s">
        <v>11007</v>
      </c>
      <c r="G2808" t="str">
        <f>IF('4K'!I14="","##BLANK",'4K'!I14)</f>
        <v>##BLANK</v>
      </c>
    </row>
    <row r="2809" spans="2:7">
      <c r="B2809" s="893" t="str">
        <f>+'4K'!AS15</f>
        <v>WWS1008HD</v>
      </c>
      <c r="E2809" s="1753" t="s">
        <v>11007</v>
      </c>
      <c r="G2809" t="str">
        <f>IF('4K'!I15="","##BLANK",'4K'!I15)</f>
        <v>##BLANK</v>
      </c>
    </row>
    <row r="2810" spans="2:7">
      <c r="B2810" s="893" t="str">
        <f>+'4K'!AS16</f>
        <v>WWS1009HD</v>
      </c>
      <c r="E2810" s="1753" t="s">
        <v>11007</v>
      </c>
      <c r="G2810">
        <f>IF('4K'!I16="","##BLANK",'4K'!I16)</f>
        <v>0</v>
      </c>
    </row>
    <row r="2811" spans="2:7">
      <c r="B2811" s="893" t="str">
        <f>+'4K'!AS18</f>
        <v>WWS1010HD</v>
      </c>
      <c r="E2811" s="1753" t="s">
        <v>11007</v>
      </c>
      <c r="G2811" t="str">
        <f>IF('4K'!I18="","##BLANK",'4K'!I18)</f>
        <v>##BLANK</v>
      </c>
    </row>
    <row r="2812" spans="2:7">
      <c r="B2812" s="893" t="str">
        <f>+'4K'!AS19</f>
        <v>WWS1011HD</v>
      </c>
      <c r="E2812" s="1753" t="s">
        <v>11007</v>
      </c>
      <c r="G2812">
        <f>IF('4K'!I19="","##BLANK",'4K'!I19)</f>
        <v>0</v>
      </c>
    </row>
    <row r="2813" spans="2:7">
      <c r="B2813" s="893" t="str">
        <f>+'4K'!AS22</f>
        <v>WWS1012HD</v>
      </c>
      <c r="E2813" s="1753" t="s">
        <v>11007</v>
      </c>
      <c r="G2813" t="str">
        <f>IF('4K'!I22="","##BLANK",'4K'!I22)</f>
        <v>##BLANK</v>
      </c>
    </row>
    <row r="2814" spans="2:7">
      <c r="B2814" s="893" t="str">
        <f>+'4K'!AS23</f>
        <v>WWS1013HD</v>
      </c>
      <c r="E2814" s="1753" t="s">
        <v>11007</v>
      </c>
      <c r="G2814" t="str">
        <f>IF('4K'!I23="","##BLANK",'4K'!I23)</f>
        <v>##BLANK</v>
      </c>
    </row>
    <row r="2815" spans="2:7">
      <c r="B2815" s="893" t="str">
        <f>+'4K'!AS24</f>
        <v>WWS1014HD</v>
      </c>
      <c r="E2815" s="1753" t="s">
        <v>11007</v>
      </c>
      <c r="G2815" t="str">
        <f>IF('4K'!I24="","##BLANK",'4K'!I24)</f>
        <v>##BLANK</v>
      </c>
    </row>
    <row r="2816" spans="2:7">
      <c r="B2816" s="893" t="str">
        <f>+'4K'!AS25</f>
        <v>WWS1015HD</v>
      </c>
      <c r="E2816" s="1753" t="s">
        <v>11007</v>
      </c>
      <c r="G2816" t="str">
        <f>IF('4K'!I25="","##BLANK",'4K'!I25)</f>
        <v>##BLANK</v>
      </c>
    </row>
    <row r="2817" spans="2:7">
      <c r="B2817" s="893" t="str">
        <f>+'4K'!AS26</f>
        <v>WWS1016HD</v>
      </c>
      <c r="E2817" s="1753" t="s">
        <v>11007</v>
      </c>
      <c r="G2817" t="str">
        <f>IF('4K'!I26="","##BLANK",'4K'!I26)</f>
        <v>##BLANK</v>
      </c>
    </row>
    <row r="2818" spans="2:7">
      <c r="B2818" s="893" t="str">
        <f>+'4K'!AS27</f>
        <v>WWS1017HD</v>
      </c>
      <c r="E2818" s="1753" t="s">
        <v>11007</v>
      </c>
      <c r="G2818">
        <f>IF('4K'!I27="","##BLANK",'4K'!I27)</f>
        <v>0</v>
      </c>
    </row>
    <row r="2819" spans="2:7">
      <c r="B2819" s="893" t="str">
        <f>+'4K'!AS28</f>
        <v>WWS1018HD</v>
      </c>
      <c r="E2819" s="1753" t="s">
        <v>11007</v>
      </c>
      <c r="G2819" t="str">
        <f>IF('4K'!I28="","##BLANK",'4K'!I28)</f>
        <v>##BLANK</v>
      </c>
    </row>
    <row r="2820" spans="2:7">
      <c r="B2820" s="893" t="str">
        <f>+'4K'!AS29</f>
        <v>WWS1019HD</v>
      </c>
      <c r="E2820" s="1753" t="s">
        <v>11007</v>
      </c>
      <c r="G2820">
        <f>IF('4K'!I29="","##BLANK",'4K'!I29)</f>
        <v>0</v>
      </c>
    </row>
    <row r="2821" spans="2:7">
      <c r="B2821" s="893" t="str">
        <f>+'4K'!AS30</f>
        <v>WWS1020HD</v>
      </c>
      <c r="E2821" s="1753" t="s">
        <v>11007</v>
      </c>
      <c r="G2821" t="str">
        <f>IF('4K'!I30="","##BLANK",'4K'!I30)</f>
        <v>##BLANK</v>
      </c>
    </row>
    <row r="2822" spans="2:7">
      <c r="B2822" s="893" t="str">
        <f>+'4K'!AS31</f>
        <v>WWS1021HD</v>
      </c>
      <c r="E2822" s="1753" t="s">
        <v>11007</v>
      </c>
      <c r="G2822">
        <f>IF('4K'!I31="","##BLANK",'4K'!I31)</f>
        <v>0</v>
      </c>
    </row>
    <row r="2823" spans="2:7">
      <c r="B2823" s="893" t="str">
        <f>+'4K'!AS34</f>
        <v>WWS1022HD</v>
      </c>
      <c r="E2823" s="1753" t="s">
        <v>11007</v>
      </c>
      <c r="G2823" t="str">
        <f>IF('4K'!I34="","##BLANK",'4K'!I34)</f>
        <v>##BLANK</v>
      </c>
    </row>
    <row r="2824" spans="2:7">
      <c r="B2824" s="893" t="str">
        <f>+'4K'!AS35</f>
        <v>WWS1023HD</v>
      </c>
      <c r="E2824" s="1753" t="s">
        <v>11007</v>
      </c>
      <c r="G2824" t="str">
        <f>IF('4K'!I35="","##BLANK",'4K'!I35)</f>
        <v>##BLANK</v>
      </c>
    </row>
    <row r="2825" spans="2:7">
      <c r="B2825" s="893" t="str">
        <f>+'4K'!AS36</f>
        <v>WWS1024HD</v>
      </c>
      <c r="E2825" s="1753" t="s">
        <v>11007</v>
      </c>
      <c r="G2825">
        <f>IF('4K'!I36="","##BLANK",'4K'!I36)</f>
        <v>0</v>
      </c>
    </row>
    <row r="2826" spans="2:7">
      <c r="B2826" s="893" t="str">
        <f>+'4K'!AS39</f>
        <v>BP3357001HD</v>
      </c>
      <c r="E2826" s="1753" t="s">
        <v>11007</v>
      </c>
      <c r="F2826" s="2146" t="str">
        <f>+'4K'!C$39</f>
        <v>Item 1</v>
      </c>
      <c r="G2826" t="str">
        <f>IF('4K'!I39="","##BLANK",'4K'!I39)</f>
        <v>##BLANK</v>
      </c>
    </row>
    <row r="2827" spans="2:7">
      <c r="B2827" s="893" t="str">
        <f>+'4K'!AS40</f>
        <v>BP3357002HD</v>
      </c>
      <c r="E2827" s="1753" t="s">
        <v>11007</v>
      </c>
      <c r="F2827" s="2146" t="str">
        <f>+'4K'!C$40</f>
        <v>Item 2</v>
      </c>
      <c r="G2827" t="str">
        <f>IF('4K'!I40="","##BLANK",'4K'!I40)</f>
        <v>##BLANK</v>
      </c>
    </row>
    <row r="2828" spans="2:7">
      <c r="B2828" s="893" t="str">
        <f>+'4K'!AS41</f>
        <v>BP3357003HD</v>
      </c>
      <c r="E2828" s="1753" t="s">
        <v>11007</v>
      </c>
      <c r="F2828" s="2146" t="str">
        <f>+'4K'!C$41</f>
        <v>Item 3</v>
      </c>
      <c r="G2828" t="str">
        <f>IF('4K'!I41="","##BLANK",'4K'!I41)</f>
        <v>##BLANK</v>
      </c>
    </row>
    <row r="2829" spans="2:7">
      <c r="B2829" s="893" t="str">
        <f>+'4K'!AS42</f>
        <v>BP3357004HD</v>
      </c>
      <c r="E2829" s="1753" t="s">
        <v>11007</v>
      </c>
      <c r="F2829" s="2146" t="str">
        <f>+'4K'!C$42</f>
        <v>Item 4</v>
      </c>
      <c r="G2829" t="str">
        <f>IF('4K'!I42="","##BLANK",'4K'!I42)</f>
        <v>##BLANK</v>
      </c>
    </row>
    <row r="2830" spans="2:7">
      <c r="B2830" s="893" t="str">
        <f>+'4K'!AS43</f>
        <v>BP3357005HD</v>
      </c>
      <c r="E2830" s="1753" t="s">
        <v>11007</v>
      </c>
      <c r="F2830" s="2146" t="str">
        <f>+'4K'!C$43</f>
        <v>Item 5</v>
      </c>
      <c r="G2830" t="str">
        <f>IF('4K'!I43="","##BLANK",'4K'!I43)</f>
        <v>##BLANK</v>
      </c>
    </row>
    <row r="2831" spans="2:7">
      <c r="B2831" s="893" t="str">
        <f>+'4K'!AS44</f>
        <v>BP3357006HD</v>
      </c>
      <c r="E2831" s="1753" t="s">
        <v>11007</v>
      </c>
      <c r="F2831" s="2146" t="str">
        <f>+'4K'!C$44</f>
        <v>Item 6</v>
      </c>
      <c r="G2831" t="str">
        <f>IF('4K'!I44="","##BLANK",'4K'!I44)</f>
        <v>##BLANK</v>
      </c>
    </row>
    <row r="2832" spans="2:7">
      <c r="B2832" s="893" t="str">
        <f>+'4K'!AS45</f>
        <v>BP3357007HD</v>
      </c>
      <c r="E2832" s="1753" t="s">
        <v>11007</v>
      </c>
      <c r="F2832" s="2146" t="str">
        <f>+'4K'!C$45</f>
        <v>Item 7</v>
      </c>
      <c r="G2832" t="str">
        <f>IF('4K'!I45="","##BLANK",'4K'!I45)</f>
        <v>##BLANK</v>
      </c>
    </row>
    <row r="2833" spans="2:7">
      <c r="B2833" s="893" t="str">
        <f>+'4K'!AS46</f>
        <v>BP3357008HD</v>
      </c>
      <c r="E2833" s="1753" t="s">
        <v>11007</v>
      </c>
      <c r="F2833" s="2146" t="str">
        <f>+'4K'!C$46</f>
        <v>Item 8</v>
      </c>
      <c r="G2833" t="str">
        <f>IF('4K'!I46="","##BLANK",'4K'!I46)</f>
        <v>##BLANK</v>
      </c>
    </row>
    <row r="2834" spans="2:7">
      <c r="B2834" s="893" t="str">
        <f>+'4K'!AS47</f>
        <v>BP3357009HD</v>
      </c>
      <c r="E2834" s="1753" t="s">
        <v>11007</v>
      </c>
      <c r="F2834" s="2146" t="str">
        <f>+'4K'!C$47</f>
        <v>Item 9</v>
      </c>
      <c r="G2834" t="str">
        <f>IF('4K'!I47="","##BLANK",'4K'!I47)</f>
        <v>##BLANK</v>
      </c>
    </row>
    <row r="2835" spans="2:7">
      <c r="B2835" s="893" t="str">
        <f>+'4K'!AS48</f>
        <v>BP3357010HD</v>
      </c>
      <c r="E2835" s="1753" t="s">
        <v>11007</v>
      </c>
      <c r="F2835" s="2146" t="str">
        <f>+'4K'!C$48</f>
        <v>Item 10</v>
      </c>
      <c r="G2835" t="str">
        <f>IF('4K'!I48="","##BLANK",'4K'!I48)</f>
        <v>##BLANK</v>
      </c>
    </row>
    <row r="2836" spans="2:7">
      <c r="B2836" s="893" t="str">
        <f>+'4K'!AS49</f>
        <v>BP3357020HD</v>
      </c>
      <c r="E2836" s="1753" t="s">
        <v>11007</v>
      </c>
      <c r="G2836">
        <f>IF('4K'!I49="","##BLANK",'4K'!I49)</f>
        <v>0</v>
      </c>
    </row>
    <row r="2837" spans="2:7">
      <c r="B2837" s="893" t="str">
        <f>+'4K'!AS52</f>
        <v>S3040TCAHD</v>
      </c>
      <c r="E2837" s="1753" t="s">
        <v>11007</v>
      </c>
      <c r="G2837">
        <f>IF('4K'!I52="","##BLANK",'4K'!I52)</f>
        <v>0</v>
      </c>
    </row>
    <row r="2838" spans="2:7">
      <c r="B2838" s="893" t="str">
        <f>+'4K'!AT7</f>
        <v>WWS1001STD</v>
      </c>
      <c r="E2838" s="1753" t="s">
        <v>11007</v>
      </c>
      <c r="G2838" t="str">
        <f>IF('4K'!J7="","##BLANK",'4K'!J7)</f>
        <v>##BLANK</v>
      </c>
    </row>
    <row r="2839" spans="2:7">
      <c r="B2839" s="893" t="str">
        <f>+'4K'!AT8</f>
        <v>WWS1002STD</v>
      </c>
      <c r="E2839" s="1753" t="s">
        <v>11007</v>
      </c>
      <c r="G2839" t="str">
        <f>IF('4K'!J8="","##BLANK",'4K'!J8)</f>
        <v>##BLANK</v>
      </c>
    </row>
    <row r="2840" spans="2:7">
      <c r="B2840" s="893" t="str">
        <f>+'4K'!AT9</f>
        <v>WWS1003STD</v>
      </c>
      <c r="E2840" s="1753" t="s">
        <v>11007</v>
      </c>
      <c r="G2840" t="str">
        <f>IF('4K'!J9="","##BLANK",'4K'!J9)</f>
        <v>##BLANK</v>
      </c>
    </row>
    <row r="2841" spans="2:7">
      <c r="B2841" s="893" t="str">
        <f>+'4K'!AT10</f>
        <v>WWS1004STD</v>
      </c>
      <c r="E2841" s="1753" t="s">
        <v>11007</v>
      </c>
      <c r="G2841" t="str">
        <f>IF('4K'!J10="","##BLANK",'4K'!J10)</f>
        <v>##BLANK</v>
      </c>
    </row>
    <row r="2842" spans="2:7">
      <c r="B2842" s="893" t="str">
        <f>+'4K'!AT12</f>
        <v>WWS1005STD</v>
      </c>
      <c r="E2842" s="1753" t="s">
        <v>11007</v>
      </c>
      <c r="G2842" t="str">
        <f>IF('4K'!J12="","##BLANK",'4K'!J12)</f>
        <v>##BLANK</v>
      </c>
    </row>
    <row r="2843" spans="2:7">
      <c r="B2843" s="893" t="str">
        <f>+'4K'!AT13</f>
        <v>WWS1006STD</v>
      </c>
      <c r="E2843" s="1753" t="s">
        <v>11007</v>
      </c>
      <c r="G2843" t="str">
        <f>IF('4K'!J13="","##BLANK",'4K'!J13)</f>
        <v>##BLANK</v>
      </c>
    </row>
    <row r="2844" spans="2:7">
      <c r="B2844" s="893" t="str">
        <f>+'4K'!AT14</f>
        <v>WWS1007STD</v>
      </c>
      <c r="E2844" s="1753" t="s">
        <v>11007</v>
      </c>
      <c r="G2844" t="str">
        <f>IF('4K'!J14="","##BLANK",'4K'!J14)</f>
        <v>##BLANK</v>
      </c>
    </row>
    <row r="2845" spans="2:7">
      <c r="B2845" s="893" t="str">
        <f>+'4K'!AT15</f>
        <v>WWS1008STD</v>
      </c>
      <c r="E2845" s="1753" t="s">
        <v>11007</v>
      </c>
      <c r="G2845" t="str">
        <f>IF('4K'!J15="","##BLANK",'4K'!J15)</f>
        <v>##BLANK</v>
      </c>
    </row>
    <row r="2846" spans="2:7">
      <c r="B2846" s="893" t="str">
        <f>+'4K'!AT16</f>
        <v>WWS1009STD</v>
      </c>
      <c r="E2846" s="1753" t="s">
        <v>11007</v>
      </c>
      <c r="G2846">
        <f>IF('4K'!J16="","##BLANK",'4K'!J16)</f>
        <v>0</v>
      </c>
    </row>
    <row r="2847" spans="2:7">
      <c r="B2847" s="893" t="str">
        <f>+'4K'!AT18</f>
        <v>WWS1010STD</v>
      </c>
      <c r="E2847" s="1753" t="s">
        <v>11007</v>
      </c>
      <c r="G2847" t="str">
        <f>IF('4K'!J18="","##BLANK",'4K'!J18)</f>
        <v>##BLANK</v>
      </c>
    </row>
    <row r="2848" spans="2:7">
      <c r="B2848" s="893" t="str">
        <f>+'4K'!AT19</f>
        <v>WWS1011STD</v>
      </c>
      <c r="E2848" s="1753" t="s">
        <v>11007</v>
      </c>
      <c r="G2848">
        <f>IF('4K'!J19="","##BLANK",'4K'!J19)</f>
        <v>0</v>
      </c>
    </row>
    <row r="2849" spans="2:7">
      <c r="B2849" s="893" t="str">
        <f>+'4K'!AT22</f>
        <v>WWS1012STD</v>
      </c>
      <c r="E2849" s="1753" t="s">
        <v>11007</v>
      </c>
      <c r="G2849" t="str">
        <f>IF('4K'!J22="","##BLANK",'4K'!J22)</f>
        <v>##BLANK</v>
      </c>
    </row>
    <row r="2850" spans="2:7">
      <c r="B2850" s="893" t="str">
        <f>+'4K'!AT23</f>
        <v>WWS1013STD</v>
      </c>
      <c r="E2850" s="1753" t="s">
        <v>11007</v>
      </c>
      <c r="G2850" t="str">
        <f>IF('4K'!J23="","##BLANK",'4K'!J23)</f>
        <v>##BLANK</v>
      </c>
    </row>
    <row r="2851" spans="2:7">
      <c r="B2851" s="893" t="str">
        <f>+'4K'!AT24</f>
        <v>WWS1014STD</v>
      </c>
      <c r="E2851" s="1753" t="s">
        <v>11007</v>
      </c>
      <c r="G2851" t="str">
        <f>IF('4K'!J24="","##BLANK",'4K'!J24)</f>
        <v>##BLANK</v>
      </c>
    </row>
    <row r="2852" spans="2:7">
      <c r="B2852" s="893" t="str">
        <f>+'4K'!AT25</f>
        <v>WWS1015STD</v>
      </c>
      <c r="E2852" s="1753" t="s">
        <v>11007</v>
      </c>
      <c r="G2852" t="str">
        <f>IF('4K'!J25="","##BLANK",'4K'!J25)</f>
        <v>##BLANK</v>
      </c>
    </row>
    <row r="2853" spans="2:7">
      <c r="B2853" s="893" t="str">
        <f>+'4K'!AT26</f>
        <v>WWS1016STD</v>
      </c>
      <c r="E2853" s="1753" t="s">
        <v>11007</v>
      </c>
      <c r="G2853" t="str">
        <f>IF('4K'!J26="","##BLANK",'4K'!J26)</f>
        <v>##BLANK</v>
      </c>
    </row>
    <row r="2854" spans="2:7">
      <c r="B2854" s="893" t="str">
        <f>+'4K'!AT27</f>
        <v>WWS1017STD</v>
      </c>
      <c r="E2854" s="1753" t="s">
        <v>11007</v>
      </c>
      <c r="G2854">
        <f>IF('4K'!J27="","##BLANK",'4K'!J27)</f>
        <v>0</v>
      </c>
    </row>
    <row r="2855" spans="2:7">
      <c r="B2855" s="893" t="str">
        <f>+'4K'!AT28</f>
        <v>WWS1018STD</v>
      </c>
      <c r="E2855" s="1753" t="s">
        <v>11007</v>
      </c>
      <c r="G2855" t="str">
        <f>IF('4K'!J28="","##BLANK",'4K'!J28)</f>
        <v>##BLANK</v>
      </c>
    </row>
    <row r="2856" spans="2:7">
      <c r="B2856" s="893" t="str">
        <f>+'4K'!AT29</f>
        <v>WWS1019STD</v>
      </c>
      <c r="E2856" s="1753" t="s">
        <v>11007</v>
      </c>
      <c r="G2856">
        <f>IF('4K'!J29="","##BLANK",'4K'!J29)</f>
        <v>0</v>
      </c>
    </row>
    <row r="2857" spans="2:7">
      <c r="B2857" s="893" t="str">
        <f>+'4K'!AT30</f>
        <v>WWS1020STD</v>
      </c>
      <c r="E2857" s="1753" t="s">
        <v>11007</v>
      </c>
      <c r="G2857" t="str">
        <f>IF('4K'!J30="","##BLANK",'4K'!J30)</f>
        <v>##BLANK</v>
      </c>
    </row>
    <row r="2858" spans="2:7">
      <c r="B2858" s="893" t="str">
        <f>+'4K'!AT31</f>
        <v>WWS1021STD</v>
      </c>
      <c r="E2858" s="1753" t="s">
        <v>11007</v>
      </c>
      <c r="G2858">
        <f>IF('4K'!J31="","##BLANK",'4K'!J31)</f>
        <v>0</v>
      </c>
    </row>
    <row r="2859" spans="2:7">
      <c r="B2859" s="893" t="str">
        <f>+'4K'!AT34</f>
        <v>WWS1022STD</v>
      </c>
      <c r="E2859" s="1753" t="s">
        <v>11007</v>
      </c>
      <c r="G2859" t="str">
        <f>IF('4K'!J34="","##BLANK",'4K'!J34)</f>
        <v>##BLANK</v>
      </c>
    </row>
    <row r="2860" spans="2:7">
      <c r="B2860" s="893" t="str">
        <f>+'4K'!AT35</f>
        <v>WWS1023STD</v>
      </c>
      <c r="E2860" s="1753" t="s">
        <v>11007</v>
      </c>
      <c r="G2860" t="str">
        <f>IF('4K'!J35="","##BLANK",'4K'!J35)</f>
        <v>##BLANK</v>
      </c>
    </row>
    <row r="2861" spans="2:7">
      <c r="B2861" s="893" t="str">
        <f>+'4K'!AT36</f>
        <v>WWS1024STD</v>
      </c>
      <c r="E2861" s="1753" t="s">
        <v>11007</v>
      </c>
      <c r="G2861">
        <f>IF('4K'!J36="","##BLANK",'4K'!J36)</f>
        <v>0</v>
      </c>
    </row>
    <row r="2862" spans="2:7">
      <c r="B2862" s="893" t="str">
        <f>+'4K'!AT39</f>
        <v>BP3357001STD</v>
      </c>
      <c r="E2862" s="1753" t="s">
        <v>11007</v>
      </c>
      <c r="F2862" s="2146" t="str">
        <f>+'4K'!C$39</f>
        <v>Item 1</v>
      </c>
      <c r="G2862" t="str">
        <f>IF('4K'!J39="","##BLANK",'4K'!J39)</f>
        <v>##BLANK</v>
      </c>
    </row>
    <row r="2863" spans="2:7">
      <c r="B2863" s="893" t="str">
        <f>+'4K'!AT40</f>
        <v>BP3357002STD</v>
      </c>
      <c r="E2863" s="1753" t="s">
        <v>11007</v>
      </c>
      <c r="F2863" s="2146" t="str">
        <f>+'4K'!C$40</f>
        <v>Item 2</v>
      </c>
      <c r="G2863" t="str">
        <f>IF('4K'!J40="","##BLANK",'4K'!J40)</f>
        <v>##BLANK</v>
      </c>
    </row>
    <row r="2864" spans="2:7">
      <c r="B2864" s="893" t="str">
        <f>+'4K'!AT41</f>
        <v>BP3357003STD</v>
      </c>
      <c r="E2864" s="1753" t="s">
        <v>11007</v>
      </c>
      <c r="F2864" s="2146" t="str">
        <f>+'4K'!C$41</f>
        <v>Item 3</v>
      </c>
      <c r="G2864" t="str">
        <f>IF('4K'!J41="","##BLANK",'4K'!J41)</f>
        <v>##BLANK</v>
      </c>
    </row>
    <row r="2865" spans="2:7">
      <c r="B2865" s="893" t="str">
        <f>+'4K'!AT42</f>
        <v>BP3357004STD</v>
      </c>
      <c r="E2865" s="1753" t="s">
        <v>11007</v>
      </c>
      <c r="F2865" s="2146" t="str">
        <f>+'4K'!C$42</f>
        <v>Item 4</v>
      </c>
      <c r="G2865" t="str">
        <f>IF('4K'!J42="","##BLANK",'4K'!J42)</f>
        <v>##BLANK</v>
      </c>
    </row>
    <row r="2866" spans="2:7">
      <c r="B2866" s="893" t="str">
        <f>+'4K'!AT43</f>
        <v>BP3357005STD</v>
      </c>
      <c r="E2866" s="1753" t="s">
        <v>11007</v>
      </c>
      <c r="F2866" s="2146" t="str">
        <f>+'4K'!C$43</f>
        <v>Item 5</v>
      </c>
      <c r="G2866" t="str">
        <f>IF('4K'!J43="","##BLANK",'4K'!J43)</f>
        <v>##BLANK</v>
      </c>
    </row>
    <row r="2867" spans="2:7">
      <c r="B2867" s="893" t="str">
        <f>+'4K'!AT44</f>
        <v>BP3357006STD</v>
      </c>
      <c r="E2867" s="1753" t="s">
        <v>11007</v>
      </c>
      <c r="F2867" s="2146" t="str">
        <f>+'4K'!C$44</f>
        <v>Item 6</v>
      </c>
      <c r="G2867" t="str">
        <f>IF('4K'!J44="","##BLANK",'4K'!J44)</f>
        <v>##BLANK</v>
      </c>
    </row>
    <row r="2868" spans="2:7">
      <c r="B2868" s="893" t="str">
        <f>+'4K'!AT45</f>
        <v>BP3357007STD</v>
      </c>
      <c r="E2868" s="1753" t="s">
        <v>11007</v>
      </c>
      <c r="F2868" s="2146" t="str">
        <f>+'4K'!C$45</f>
        <v>Item 7</v>
      </c>
      <c r="G2868" t="str">
        <f>IF('4K'!J45="","##BLANK",'4K'!J45)</f>
        <v>##BLANK</v>
      </c>
    </row>
    <row r="2869" spans="2:7">
      <c r="B2869" s="893" t="str">
        <f>+'4K'!AT46</f>
        <v>BP3357008STD</v>
      </c>
      <c r="E2869" s="1753" t="s">
        <v>11007</v>
      </c>
      <c r="F2869" s="2146" t="str">
        <f>+'4K'!C$46</f>
        <v>Item 8</v>
      </c>
      <c r="G2869" t="str">
        <f>IF('4K'!J46="","##BLANK",'4K'!J46)</f>
        <v>##BLANK</v>
      </c>
    </row>
    <row r="2870" spans="2:7">
      <c r="B2870" s="893" t="str">
        <f>+'4K'!AT47</f>
        <v>BP3357009STD</v>
      </c>
      <c r="E2870" s="1753" t="s">
        <v>11007</v>
      </c>
      <c r="F2870" s="2146" t="str">
        <f>+'4K'!C$47</f>
        <v>Item 9</v>
      </c>
      <c r="G2870" t="str">
        <f>IF('4K'!J47="","##BLANK",'4K'!J47)</f>
        <v>##BLANK</v>
      </c>
    </row>
    <row r="2871" spans="2:7">
      <c r="B2871" s="893" t="str">
        <f>+'4K'!AT48</f>
        <v>BP3357010STD</v>
      </c>
      <c r="E2871" s="1753" t="s">
        <v>11007</v>
      </c>
      <c r="F2871" s="2146" t="str">
        <f>+'4K'!C$48</f>
        <v>Item 10</v>
      </c>
      <c r="G2871" t="str">
        <f>IF('4K'!J48="","##BLANK",'4K'!J48)</f>
        <v>##BLANK</v>
      </c>
    </row>
    <row r="2872" spans="2:7">
      <c r="B2872" s="893" t="str">
        <f>+'4K'!AT49</f>
        <v>BP3357020STD</v>
      </c>
      <c r="E2872" s="1753" t="s">
        <v>11007</v>
      </c>
      <c r="G2872">
        <f>IF('4K'!J49="","##BLANK",'4K'!J49)</f>
        <v>0</v>
      </c>
    </row>
    <row r="2873" spans="2:7">
      <c r="B2873" s="893" t="str">
        <f>+'4K'!AT52</f>
        <v>S3040TCASTD</v>
      </c>
      <c r="E2873" s="1753" t="s">
        <v>11007</v>
      </c>
      <c r="G2873">
        <f>IF('4K'!J52="","##BLANK",'4K'!J52)</f>
        <v>0</v>
      </c>
    </row>
    <row r="2874" spans="2:7">
      <c r="B2874" s="893" t="str">
        <f>+'4K'!AU7</f>
        <v>WWS1001SLT</v>
      </c>
      <c r="E2874" s="1753" t="s">
        <v>11007</v>
      </c>
      <c r="G2874" t="str">
        <f>IF('4K'!K7="","##BLANK",'4K'!K7)</f>
        <v>##BLANK</v>
      </c>
    </row>
    <row r="2875" spans="2:7">
      <c r="B2875" s="893" t="str">
        <f>+'4K'!AU8</f>
        <v>WWS1002SLT</v>
      </c>
      <c r="E2875" s="1753" t="s">
        <v>11007</v>
      </c>
      <c r="G2875" t="str">
        <f>IF('4K'!K8="","##BLANK",'4K'!K8)</f>
        <v>##BLANK</v>
      </c>
    </row>
    <row r="2876" spans="2:7">
      <c r="B2876" s="893" t="str">
        <f>+'4K'!AU9</f>
        <v>WWS1003SLT</v>
      </c>
      <c r="E2876" s="1753" t="s">
        <v>11007</v>
      </c>
      <c r="G2876" t="str">
        <f>IF('4K'!K9="","##BLANK",'4K'!K9)</f>
        <v>##BLANK</v>
      </c>
    </row>
    <row r="2877" spans="2:7">
      <c r="B2877" s="893" t="str">
        <f>+'4K'!AU10</f>
        <v>WWS1004SLT</v>
      </c>
      <c r="E2877" s="1753" t="s">
        <v>11007</v>
      </c>
      <c r="G2877" t="str">
        <f>IF('4K'!K10="","##BLANK",'4K'!K10)</f>
        <v>##BLANK</v>
      </c>
    </row>
    <row r="2878" spans="2:7">
      <c r="B2878" s="893" t="str">
        <f>+'4K'!AU12</f>
        <v>WWS1005SLT</v>
      </c>
      <c r="E2878" s="1753" t="s">
        <v>11007</v>
      </c>
      <c r="G2878" t="str">
        <f>IF('4K'!K12="","##BLANK",'4K'!K12)</f>
        <v>##BLANK</v>
      </c>
    </row>
    <row r="2879" spans="2:7">
      <c r="B2879" s="893" t="str">
        <f>+'4K'!AU13</f>
        <v>WWS1006SLT</v>
      </c>
      <c r="E2879" s="1753" t="s">
        <v>11007</v>
      </c>
      <c r="G2879" t="str">
        <f>IF('4K'!K13="","##BLANK",'4K'!K13)</f>
        <v>##BLANK</v>
      </c>
    </row>
    <row r="2880" spans="2:7">
      <c r="B2880" s="893" t="str">
        <f>+'4K'!AU14</f>
        <v>WWS1007SLT</v>
      </c>
      <c r="E2880" s="1753" t="s">
        <v>11007</v>
      </c>
      <c r="G2880" t="str">
        <f>IF('4K'!K14="","##BLANK",'4K'!K14)</f>
        <v>##BLANK</v>
      </c>
    </row>
    <row r="2881" spans="2:7">
      <c r="B2881" s="893" t="str">
        <f>+'4K'!AU15</f>
        <v>WWS1008SLT</v>
      </c>
      <c r="E2881" s="1753" t="s">
        <v>11007</v>
      </c>
      <c r="G2881" t="str">
        <f>IF('4K'!K15="","##BLANK",'4K'!K15)</f>
        <v>##BLANK</v>
      </c>
    </row>
    <row r="2882" spans="2:7">
      <c r="B2882" s="893" t="str">
        <f>+'4K'!AU16</f>
        <v>WWS1009SLT</v>
      </c>
      <c r="E2882" s="1753" t="s">
        <v>11007</v>
      </c>
      <c r="G2882">
        <f>IF('4K'!K16="","##BLANK",'4K'!K16)</f>
        <v>0</v>
      </c>
    </row>
    <row r="2883" spans="2:7">
      <c r="B2883" s="893" t="str">
        <f>+'4K'!AU18</f>
        <v>WWS1010SLT</v>
      </c>
      <c r="E2883" s="1753" t="s">
        <v>11007</v>
      </c>
      <c r="G2883" t="str">
        <f>IF('4K'!K18="","##BLANK",'4K'!K18)</f>
        <v>##BLANK</v>
      </c>
    </row>
    <row r="2884" spans="2:7">
      <c r="B2884" s="893" t="str">
        <f>+'4K'!AU19</f>
        <v>WWS1011SLT</v>
      </c>
      <c r="E2884" s="1753" t="s">
        <v>11007</v>
      </c>
      <c r="G2884">
        <f>IF('4K'!K19="","##BLANK",'4K'!K19)</f>
        <v>0</v>
      </c>
    </row>
    <row r="2885" spans="2:7">
      <c r="B2885" s="893" t="str">
        <f>+'4K'!AU22</f>
        <v>WWS1012SLT</v>
      </c>
      <c r="E2885" s="1753" t="s">
        <v>11007</v>
      </c>
      <c r="G2885" t="str">
        <f>IF('4K'!K22="","##BLANK",'4K'!K22)</f>
        <v>##BLANK</v>
      </c>
    </row>
    <row r="2886" spans="2:7">
      <c r="B2886" s="893" t="str">
        <f>+'4K'!AU23</f>
        <v>WWS1013SLT</v>
      </c>
      <c r="E2886" s="1753" t="s">
        <v>11007</v>
      </c>
      <c r="G2886" t="str">
        <f>IF('4K'!K23="","##BLANK",'4K'!K23)</f>
        <v>##BLANK</v>
      </c>
    </row>
    <row r="2887" spans="2:7">
      <c r="B2887" s="893" t="str">
        <f>+'4K'!AU24</f>
        <v>WWS1014SLT</v>
      </c>
      <c r="E2887" s="1753" t="s">
        <v>11007</v>
      </c>
      <c r="G2887" t="str">
        <f>IF('4K'!K24="","##BLANK",'4K'!K24)</f>
        <v>##BLANK</v>
      </c>
    </row>
    <row r="2888" spans="2:7">
      <c r="B2888" s="893" t="str">
        <f>+'4K'!AU25</f>
        <v>WWS1015SLT</v>
      </c>
      <c r="E2888" s="1753" t="s">
        <v>11007</v>
      </c>
      <c r="G2888" t="str">
        <f>IF('4K'!K25="","##BLANK",'4K'!K25)</f>
        <v>##BLANK</v>
      </c>
    </row>
    <row r="2889" spans="2:7">
      <c r="B2889" s="893" t="str">
        <f>+'4K'!AU26</f>
        <v>WWS1016SLT</v>
      </c>
      <c r="E2889" s="1753" t="s">
        <v>11007</v>
      </c>
      <c r="G2889" t="str">
        <f>IF('4K'!K26="","##BLANK",'4K'!K26)</f>
        <v>##BLANK</v>
      </c>
    </row>
    <row r="2890" spans="2:7">
      <c r="B2890" s="893" t="str">
        <f>+'4K'!AU27</f>
        <v>WWS1017SLT</v>
      </c>
      <c r="E2890" s="1753" t="s">
        <v>11007</v>
      </c>
      <c r="G2890">
        <f>IF('4K'!K27="","##BLANK",'4K'!K27)</f>
        <v>0</v>
      </c>
    </row>
    <row r="2891" spans="2:7">
      <c r="B2891" s="893" t="str">
        <f>+'4K'!AU28</f>
        <v>WWS1018SLT</v>
      </c>
      <c r="E2891" s="1753" t="s">
        <v>11007</v>
      </c>
      <c r="G2891" t="str">
        <f>IF('4K'!K28="","##BLANK",'4K'!K28)</f>
        <v>##BLANK</v>
      </c>
    </row>
    <row r="2892" spans="2:7">
      <c r="B2892" s="893" t="str">
        <f>+'4K'!AU29</f>
        <v>WWS1019SLT</v>
      </c>
      <c r="E2892" s="1753" t="s">
        <v>11007</v>
      </c>
      <c r="G2892">
        <f>IF('4K'!K29="","##BLANK",'4K'!K29)</f>
        <v>0</v>
      </c>
    </row>
    <row r="2893" spans="2:7">
      <c r="B2893" s="893" t="str">
        <f>+'4K'!AU30</f>
        <v>WWS1020SLT</v>
      </c>
      <c r="E2893" s="1753" t="s">
        <v>11007</v>
      </c>
      <c r="G2893" t="str">
        <f>IF('4K'!K30="","##BLANK",'4K'!K30)</f>
        <v>##BLANK</v>
      </c>
    </row>
    <row r="2894" spans="2:7">
      <c r="B2894" s="893" t="str">
        <f>+'4K'!AU31</f>
        <v>WWS1021SLT</v>
      </c>
      <c r="E2894" s="1753" t="s">
        <v>11007</v>
      </c>
      <c r="G2894">
        <f>IF('4K'!K31="","##BLANK",'4K'!K31)</f>
        <v>0</v>
      </c>
    </row>
    <row r="2895" spans="2:7">
      <c r="B2895" s="893" t="str">
        <f>+'4K'!AU34</f>
        <v>WWS1022SLT</v>
      </c>
      <c r="E2895" s="1753" t="s">
        <v>11007</v>
      </c>
      <c r="G2895" t="str">
        <f>IF('4K'!K34="","##BLANK",'4K'!K34)</f>
        <v>##BLANK</v>
      </c>
    </row>
    <row r="2896" spans="2:7">
      <c r="B2896" s="893" t="str">
        <f>+'4K'!AU35</f>
        <v>WWS1023SLT</v>
      </c>
      <c r="E2896" s="1753" t="s">
        <v>11007</v>
      </c>
      <c r="G2896" t="str">
        <f>IF('4K'!K35="","##BLANK",'4K'!K35)</f>
        <v>##BLANK</v>
      </c>
    </row>
    <row r="2897" spans="2:7">
      <c r="B2897" s="893" t="str">
        <f>+'4K'!AU36</f>
        <v>WWS1024SLT</v>
      </c>
      <c r="E2897" s="1753" t="s">
        <v>11007</v>
      </c>
      <c r="G2897">
        <f>IF('4K'!K36="","##BLANK",'4K'!K36)</f>
        <v>0</v>
      </c>
    </row>
    <row r="2898" spans="2:7">
      <c r="B2898" s="893" t="str">
        <f>+'4K'!AU39</f>
        <v>BP3357001SLT</v>
      </c>
      <c r="E2898" s="1753" t="s">
        <v>11007</v>
      </c>
      <c r="F2898" s="2146" t="str">
        <f>+'4K'!C$39</f>
        <v>Item 1</v>
      </c>
      <c r="G2898" t="str">
        <f>IF('4K'!K39="","##BLANK",'4K'!K39)</f>
        <v>##BLANK</v>
      </c>
    </row>
    <row r="2899" spans="2:7">
      <c r="B2899" s="893" t="str">
        <f>+'4K'!AU40</f>
        <v>BP3357002SLT</v>
      </c>
      <c r="E2899" s="1753" t="s">
        <v>11007</v>
      </c>
      <c r="F2899" s="2146" t="str">
        <f>+'4K'!C$40</f>
        <v>Item 2</v>
      </c>
      <c r="G2899" t="str">
        <f>IF('4K'!K40="","##BLANK",'4K'!K40)</f>
        <v>##BLANK</v>
      </c>
    </row>
    <row r="2900" spans="2:7">
      <c r="B2900" s="893" t="str">
        <f>+'4K'!AU41</f>
        <v>BP3357003SLT</v>
      </c>
      <c r="E2900" s="1753" t="s">
        <v>11007</v>
      </c>
      <c r="F2900" s="2146" t="str">
        <f>+'4K'!C$41</f>
        <v>Item 3</v>
      </c>
      <c r="G2900" t="str">
        <f>IF('4K'!K41="","##BLANK",'4K'!K41)</f>
        <v>##BLANK</v>
      </c>
    </row>
    <row r="2901" spans="2:7">
      <c r="B2901" s="893" t="str">
        <f>+'4K'!AU42</f>
        <v>BP3357004SLT</v>
      </c>
      <c r="E2901" s="1753" t="s">
        <v>11007</v>
      </c>
      <c r="F2901" s="2146" t="str">
        <f>+'4K'!C$42</f>
        <v>Item 4</v>
      </c>
      <c r="G2901" t="str">
        <f>IF('4K'!K42="","##BLANK",'4K'!K42)</f>
        <v>##BLANK</v>
      </c>
    </row>
    <row r="2902" spans="2:7">
      <c r="B2902" s="893" t="str">
        <f>+'4K'!AU43</f>
        <v>BP3357005SLT</v>
      </c>
      <c r="E2902" s="1753" t="s">
        <v>11007</v>
      </c>
      <c r="F2902" s="2146" t="str">
        <f>+'4K'!C$43</f>
        <v>Item 5</v>
      </c>
      <c r="G2902" t="str">
        <f>IF('4K'!K43="","##BLANK",'4K'!K43)</f>
        <v>##BLANK</v>
      </c>
    </row>
    <row r="2903" spans="2:7">
      <c r="B2903" s="893" t="str">
        <f>+'4K'!AU44</f>
        <v>BP3357006SLT</v>
      </c>
      <c r="E2903" s="1753" t="s">
        <v>11007</v>
      </c>
      <c r="F2903" s="2146" t="str">
        <f>+'4K'!C$44</f>
        <v>Item 6</v>
      </c>
      <c r="G2903" t="str">
        <f>IF('4K'!K44="","##BLANK",'4K'!K44)</f>
        <v>##BLANK</v>
      </c>
    </row>
    <row r="2904" spans="2:7">
      <c r="B2904" s="893" t="str">
        <f>+'4K'!AU45</f>
        <v>BP3357007SLT</v>
      </c>
      <c r="E2904" s="1753" t="s">
        <v>11007</v>
      </c>
      <c r="F2904" s="2146" t="str">
        <f>+'4K'!C$45</f>
        <v>Item 7</v>
      </c>
      <c r="G2904" t="str">
        <f>IF('4K'!K45="","##BLANK",'4K'!K45)</f>
        <v>##BLANK</v>
      </c>
    </row>
    <row r="2905" spans="2:7">
      <c r="B2905" s="893" t="str">
        <f>+'4K'!AU46</f>
        <v>BP3357008SLT</v>
      </c>
      <c r="E2905" s="1753" t="s">
        <v>11007</v>
      </c>
      <c r="F2905" s="2146" t="str">
        <f>+'4K'!C$46</f>
        <v>Item 8</v>
      </c>
      <c r="G2905" t="str">
        <f>IF('4K'!K46="","##BLANK",'4K'!K46)</f>
        <v>##BLANK</v>
      </c>
    </row>
    <row r="2906" spans="2:7">
      <c r="B2906" s="893" t="str">
        <f>+'4K'!AU47</f>
        <v>BP3357009SLT</v>
      </c>
      <c r="E2906" s="1753" t="s">
        <v>11007</v>
      </c>
      <c r="F2906" s="2146" t="str">
        <f>+'4K'!C$47</f>
        <v>Item 9</v>
      </c>
      <c r="G2906" t="str">
        <f>IF('4K'!K47="","##BLANK",'4K'!K47)</f>
        <v>##BLANK</v>
      </c>
    </row>
    <row r="2907" spans="2:7">
      <c r="B2907" s="893" t="str">
        <f>+'4K'!AU48</f>
        <v>BP3357010SLT</v>
      </c>
      <c r="E2907" s="1753" t="s">
        <v>11007</v>
      </c>
      <c r="F2907" s="2146" t="str">
        <f>+'4K'!C$48</f>
        <v>Item 10</v>
      </c>
      <c r="G2907" t="str">
        <f>IF('4K'!K48="","##BLANK",'4K'!K48)</f>
        <v>##BLANK</v>
      </c>
    </row>
    <row r="2908" spans="2:7">
      <c r="B2908" s="893" t="str">
        <f>+'4K'!AU49</f>
        <v>BP3357020SLT</v>
      </c>
      <c r="E2908" s="1753" t="s">
        <v>11007</v>
      </c>
      <c r="G2908">
        <f>IF('4K'!K49="","##BLANK",'4K'!K49)</f>
        <v>0</v>
      </c>
    </row>
    <row r="2909" spans="2:7">
      <c r="B2909" s="893" t="str">
        <f>+'4K'!AU52</f>
        <v>S3040TCASLT</v>
      </c>
      <c r="E2909" s="1753" t="s">
        <v>11007</v>
      </c>
      <c r="G2909">
        <f>IF('4K'!K52="","##BLANK",'4K'!K52)</f>
        <v>0</v>
      </c>
    </row>
    <row r="2910" spans="2:7">
      <c r="B2910" s="893" t="str">
        <f>+'4K'!AV7</f>
        <v>WWS1001STP</v>
      </c>
      <c r="E2910" s="1753" t="s">
        <v>11007</v>
      </c>
      <c r="G2910" t="str">
        <f>IF('4K'!L7="","##BLANK",'4K'!L7)</f>
        <v>##BLANK</v>
      </c>
    </row>
    <row r="2911" spans="2:7">
      <c r="B2911" s="893" t="str">
        <f>+'4K'!AV8</f>
        <v>WWS1002STP</v>
      </c>
      <c r="E2911" s="1753" t="s">
        <v>11007</v>
      </c>
      <c r="G2911" t="str">
        <f>IF('4K'!L8="","##BLANK",'4K'!L8)</f>
        <v>##BLANK</v>
      </c>
    </row>
    <row r="2912" spans="2:7">
      <c r="B2912" s="893" t="str">
        <f>+'4K'!AV9</f>
        <v>WWS1003STP</v>
      </c>
      <c r="E2912" s="1753" t="s">
        <v>11007</v>
      </c>
      <c r="G2912" t="str">
        <f>IF('4K'!L9="","##BLANK",'4K'!L9)</f>
        <v>##BLANK</v>
      </c>
    </row>
    <row r="2913" spans="2:7">
      <c r="B2913" s="893" t="str">
        <f>+'4K'!AV10</f>
        <v>WWS1004STP</v>
      </c>
      <c r="E2913" s="1753" t="s">
        <v>11007</v>
      </c>
      <c r="G2913" t="str">
        <f>IF('4K'!L10="","##BLANK",'4K'!L10)</f>
        <v>##BLANK</v>
      </c>
    </row>
    <row r="2914" spans="2:7">
      <c r="B2914" s="893" t="str">
        <f>+'4K'!AV12</f>
        <v>WWS1005STP</v>
      </c>
      <c r="E2914" s="1753" t="s">
        <v>11007</v>
      </c>
      <c r="G2914" t="str">
        <f>IF('4K'!L12="","##BLANK",'4K'!L12)</f>
        <v>##BLANK</v>
      </c>
    </row>
    <row r="2915" spans="2:7">
      <c r="B2915" s="893" t="str">
        <f>+'4K'!AV13</f>
        <v>WWS1006STP</v>
      </c>
      <c r="E2915" s="1753" t="s">
        <v>11007</v>
      </c>
      <c r="G2915" t="str">
        <f>IF('4K'!L13="","##BLANK",'4K'!L13)</f>
        <v>##BLANK</v>
      </c>
    </row>
    <row r="2916" spans="2:7">
      <c r="B2916" s="893" t="str">
        <f>+'4K'!AV14</f>
        <v>WWS1007STP</v>
      </c>
      <c r="E2916" s="1753" t="s">
        <v>11007</v>
      </c>
      <c r="G2916" t="str">
        <f>IF('4K'!L14="","##BLANK",'4K'!L14)</f>
        <v>##BLANK</v>
      </c>
    </row>
    <row r="2917" spans="2:7">
      <c r="B2917" s="893" t="str">
        <f>+'4K'!AV15</f>
        <v>WWS1008STP</v>
      </c>
      <c r="E2917" s="1753" t="s">
        <v>11007</v>
      </c>
      <c r="G2917" t="str">
        <f>IF('4K'!L15="","##BLANK",'4K'!L15)</f>
        <v>##BLANK</v>
      </c>
    </row>
    <row r="2918" spans="2:7">
      <c r="B2918" s="893" t="str">
        <f>+'4K'!AV16</f>
        <v>WWS1009STP</v>
      </c>
      <c r="E2918" s="1753" t="s">
        <v>11007</v>
      </c>
      <c r="G2918">
        <f>IF('4K'!L16="","##BLANK",'4K'!L16)</f>
        <v>0</v>
      </c>
    </row>
    <row r="2919" spans="2:7">
      <c r="B2919" s="893" t="str">
        <f>+'4K'!AV18</f>
        <v>WWS1010STP</v>
      </c>
      <c r="E2919" s="1753" t="s">
        <v>11007</v>
      </c>
      <c r="G2919" t="str">
        <f>IF('4K'!L18="","##BLANK",'4K'!L18)</f>
        <v>##BLANK</v>
      </c>
    </row>
    <row r="2920" spans="2:7">
      <c r="B2920" s="893" t="str">
        <f>+'4K'!AV19</f>
        <v>WWS1011STP</v>
      </c>
      <c r="E2920" s="1753" t="s">
        <v>11007</v>
      </c>
      <c r="G2920">
        <f>IF('4K'!L19="","##BLANK",'4K'!L19)</f>
        <v>0</v>
      </c>
    </row>
    <row r="2921" spans="2:7">
      <c r="B2921" s="893" t="str">
        <f>+'4K'!AV22</f>
        <v>WWS1012STP</v>
      </c>
      <c r="E2921" s="1753" t="s">
        <v>11007</v>
      </c>
      <c r="G2921" t="str">
        <f>IF('4K'!L22="","##BLANK",'4K'!L22)</f>
        <v>##BLANK</v>
      </c>
    </row>
    <row r="2922" spans="2:7">
      <c r="B2922" s="893" t="str">
        <f>+'4K'!AV23</f>
        <v>WWS1013STP</v>
      </c>
      <c r="E2922" s="1753" t="s">
        <v>11007</v>
      </c>
      <c r="G2922" t="str">
        <f>IF('4K'!L23="","##BLANK",'4K'!L23)</f>
        <v>##BLANK</v>
      </c>
    </row>
    <row r="2923" spans="2:7">
      <c r="B2923" s="893" t="str">
        <f>+'4K'!AV24</f>
        <v>WWS1014STP</v>
      </c>
      <c r="E2923" s="1753" t="s">
        <v>11007</v>
      </c>
      <c r="G2923" t="str">
        <f>IF('4K'!L24="","##BLANK",'4K'!L24)</f>
        <v>##BLANK</v>
      </c>
    </row>
    <row r="2924" spans="2:7">
      <c r="B2924" s="893" t="str">
        <f>+'4K'!AV25</f>
        <v>WWS1015STP</v>
      </c>
      <c r="E2924" s="1753" t="s">
        <v>11007</v>
      </c>
      <c r="G2924" t="str">
        <f>IF('4K'!L25="","##BLANK",'4K'!L25)</f>
        <v>##BLANK</v>
      </c>
    </row>
    <row r="2925" spans="2:7">
      <c r="B2925" s="893" t="str">
        <f>+'4K'!AV26</f>
        <v>WWS1016STP</v>
      </c>
      <c r="E2925" s="1753" t="s">
        <v>11007</v>
      </c>
      <c r="G2925" t="str">
        <f>IF('4K'!L26="","##BLANK",'4K'!L26)</f>
        <v>##BLANK</v>
      </c>
    </row>
    <row r="2926" spans="2:7">
      <c r="B2926" s="893" t="str">
        <f>+'4K'!AV27</f>
        <v>WWS1017STP</v>
      </c>
      <c r="E2926" s="1753" t="s">
        <v>11007</v>
      </c>
      <c r="G2926">
        <f>IF('4K'!L27="","##BLANK",'4K'!L27)</f>
        <v>0</v>
      </c>
    </row>
    <row r="2927" spans="2:7">
      <c r="B2927" s="893" t="str">
        <f>+'4K'!AV28</f>
        <v>WWS1018STP</v>
      </c>
      <c r="E2927" s="1753" t="s">
        <v>11007</v>
      </c>
      <c r="G2927" t="str">
        <f>IF('4K'!L28="","##BLANK",'4K'!L28)</f>
        <v>##BLANK</v>
      </c>
    </row>
    <row r="2928" spans="2:7">
      <c r="B2928" s="893" t="str">
        <f>+'4K'!AV29</f>
        <v>WWS1019STP</v>
      </c>
      <c r="E2928" s="1753" t="s">
        <v>11007</v>
      </c>
      <c r="G2928">
        <f>IF('4K'!L29="","##BLANK",'4K'!L29)</f>
        <v>0</v>
      </c>
    </row>
    <row r="2929" spans="2:7">
      <c r="B2929" s="893" t="str">
        <f>+'4K'!AV30</f>
        <v>WWS1020STP</v>
      </c>
      <c r="E2929" s="1753" t="s">
        <v>11007</v>
      </c>
      <c r="G2929" t="str">
        <f>IF('4K'!L30="","##BLANK",'4K'!L30)</f>
        <v>##BLANK</v>
      </c>
    </row>
    <row r="2930" spans="2:7">
      <c r="B2930" s="893" t="str">
        <f>+'4K'!AV31</f>
        <v>WWS1021STP</v>
      </c>
      <c r="E2930" s="1753" t="s">
        <v>11007</v>
      </c>
      <c r="G2930">
        <f>IF('4K'!L31="","##BLANK",'4K'!L31)</f>
        <v>0</v>
      </c>
    </row>
    <row r="2931" spans="2:7">
      <c r="B2931" s="893" t="str">
        <f>+'4K'!AV34</f>
        <v>WWS1022STP</v>
      </c>
      <c r="E2931" s="1753" t="s">
        <v>11007</v>
      </c>
      <c r="G2931" t="str">
        <f>IF('4K'!L34="","##BLANK",'4K'!L34)</f>
        <v>##BLANK</v>
      </c>
    </row>
    <row r="2932" spans="2:7">
      <c r="B2932" s="893" t="str">
        <f>+'4K'!AV35</f>
        <v>WWS1023STP</v>
      </c>
      <c r="E2932" s="1753" t="s">
        <v>11007</v>
      </c>
      <c r="G2932" t="str">
        <f>IF('4K'!L35="","##BLANK",'4K'!L35)</f>
        <v>##BLANK</v>
      </c>
    </row>
    <row r="2933" spans="2:7">
      <c r="B2933" s="893" t="str">
        <f>+'4K'!AV36</f>
        <v>WWS1024STP</v>
      </c>
      <c r="E2933" s="1753" t="s">
        <v>11007</v>
      </c>
      <c r="G2933">
        <f>IF('4K'!L36="","##BLANK",'4K'!L36)</f>
        <v>0</v>
      </c>
    </row>
    <row r="2934" spans="2:7">
      <c r="B2934" s="893" t="str">
        <f>+'4K'!AV39</f>
        <v>BP3357001STP</v>
      </c>
      <c r="E2934" s="1753" t="s">
        <v>11007</v>
      </c>
      <c r="F2934" s="2146" t="str">
        <f>+'4K'!C$39</f>
        <v>Item 1</v>
      </c>
      <c r="G2934" t="str">
        <f>IF('4K'!L39="","##BLANK",'4K'!L39)</f>
        <v>##BLANK</v>
      </c>
    </row>
    <row r="2935" spans="2:7">
      <c r="B2935" s="893" t="str">
        <f>+'4K'!AV40</f>
        <v>BP3357002STP</v>
      </c>
      <c r="E2935" s="1753" t="s">
        <v>11007</v>
      </c>
      <c r="F2935" s="2146" t="str">
        <f>+'4K'!C$40</f>
        <v>Item 2</v>
      </c>
      <c r="G2935" t="str">
        <f>IF('4K'!L40="","##BLANK",'4K'!L40)</f>
        <v>##BLANK</v>
      </c>
    </row>
    <row r="2936" spans="2:7">
      <c r="B2936" s="893" t="str">
        <f>+'4K'!AV41</f>
        <v>BP3357003STP</v>
      </c>
      <c r="E2936" s="1753" t="s">
        <v>11007</v>
      </c>
      <c r="F2936" s="2146" t="str">
        <f>+'4K'!C$41</f>
        <v>Item 3</v>
      </c>
      <c r="G2936" t="str">
        <f>IF('4K'!L41="","##BLANK",'4K'!L41)</f>
        <v>##BLANK</v>
      </c>
    </row>
    <row r="2937" spans="2:7">
      <c r="B2937" s="893" t="str">
        <f>+'4K'!AV42</f>
        <v>BP3357004STP</v>
      </c>
      <c r="E2937" s="1753" t="s">
        <v>11007</v>
      </c>
      <c r="F2937" s="2146" t="str">
        <f>+'4K'!C$42</f>
        <v>Item 4</v>
      </c>
      <c r="G2937" t="str">
        <f>IF('4K'!L42="","##BLANK",'4K'!L42)</f>
        <v>##BLANK</v>
      </c>
    </row>
    <row r="2938" spans="2:7">
      <c r="B2938" s="893" t="str">
        <f>+'4K'!AV43</f>
        <v>BP3357005STP</v>
      </c>
      <c r="E2938" s="1753" t="s">
        <v>11007</v>
      </c>
      <c r="F2938" s="2146" t="str">
        <f>+'4K'!C$43</f>
        <v>Item 5</v>
      </c>
      <c r="G2938" t="str">
        <f>IF('4K'!L43="","##BLANK",'4K'!L43)</f>
        <v>##BLANK</v>
      </c>
    </row>
    <row r="2939" spans="2:7">
      <c r="B2939" s="893" t="str">
        <f>+'4K'!AV44</f>
        <v>BP3357006STP</v>
      </c>
      <c r="E2939" s="1753" t="s">
        <v>11007</v>
      </c>
      <c r="F2939" s="2146" t="str">
        <f>+'4K'!C$44</f>
        <v>Item 6</v>
      </c>
      <c r="G2939" t="str">
        <f>IF('4K'!L44="","##BLANK",'4K'!L44)</f>
        <v>##BLANK</v>
      </c>
    </row>
    <row r="2940" spans="2:7">
      <c r="B2940" s="893" t="str">
        <f>+'4K'!AV45</f>
        <v>BP3357007STP</v>
      </c>
      <c r="E2940" s="1753" t="s">
        <v>11007</v>
      </c>
      <c r="F2940" s="2146" t="str">
        <f>+'4K'!C$45</f>
        <v>Item 7</v>
      </c>
      <c r="G2940" t="str">
        <f>IF('4K'!L45="","##BLANK",'4K'!L45)</f>
        <v>##BLANK</v>
      </c>
    </row>
    <row r="2941" spans="2:7">
      <c r="B2941" s="893" t="str">
        <f>+'4K'!AV46</f>
        <v>BP3357008STP</v>
      </c>
      <c r="E2941" s="1753" t="s">
        <v>11007</v>
      </c>
      <c r="F2941" s="2146" t="str">
        <f>+'4K'!C$46</f>
        <v>Item 8</v>
      </c>
      <c r="G2941" t="str">
        <f>IF('4K'!L46="","##BLANK",'4K'!L46)</f>
        <v>##BLANK</v>
      </c>
    </row>
    <row r="2942" spans="2:7">
      <c r="B2942" s="893" t="str">
        <f>+'4K'!AV47</f>
        <v>BP3357009STP</v>
      </c>
      <c r="E2942" s="1753" t="s">
        <v>11007</v>
      </c>
      <c r="F2942" s="2146" t="str">
        <f>+'4K'!C$47</f>
        <v>Item 9</v>
      </c>
      <c r="G2942" t="str">
        <f>IF('4K'!L47="","##BLANK",'4K'!L47)</f>
        <v>##BLANK</v>
      </c>
    </row>
    <row r="2943" spans="2:7">
      <c r="B2943" s="893" t="str">
        <f>+'4K'!AV48</f>
        <v>BP3357010STP</v>
      </c>
      <c r="E2943" s="1753" t="s">
        <v>11007</v>
      </c>
      <c r="F2943" s="2146" t="str">
        <f>+'4K'!C$48</f>
        <v>Item 10</v>
      </c>
      <c r="G2943" t="str">
        <f>IF('4K'!L48="","##BLANK",'4K'!L48)</f>
        <v>##BLANK</v>
      </c>
    </row>
    <row r="2944" spans="2:7">
      <c r="B2944" s="893" t="str">
        <f>+'4K'!AV49</f>
        <v>BP3357020STP</v>
      </c>
      <c r="E2944" s="1753" t="s">
        <v>11007</v>
      </c>
      <c r="G2944">
        <f>IF('4K'!L49="","##BLANK",'4K'!L49)</f>
        <v>0</v>
      </c>
    </row>
    <row r="2945" spans="2:7">
      <c r="B2945" s="893" t="str">
        <f>+'4K'!AV52</f>
        <v>S3040TCASTP</v>
      </c>
      <c r="E2945" s="1753" t="s">
        <v>11007</v>
      </c>
      <c r="G2945">
        <f>IF('4K'!L52="","##BLANK",'4K'!L52)</f>
        <v>0</v>
      </c>
    </row>
    <row r="2946" spans="2:7">
      <c r="B2946" s="893" t="str">
        <f>+'4K'!AW7</f>
        <v>WWS1001SDT</v>
      </c>
      <c r="E2946" s="1753" t="s">
        <v>11007</v>
      </c>
      <c r="G2946" t="str">
        <f>IF('4K'!M7="","##BLANK",'4K'!M7)</f>
        <v>##BLANK</v>
      </c>
    </row>
    <row r="2947" spans="2:7">
      <c r="B2947" s="893" t="str">
        <f>+'4K'!AW8</f>
        <v>WWS1002SDT</v>
      </c>
      <c r="E2947" s="1753" t="s">
        <v>11007</v>
      </c>
      <c r="G2947" t="str">
        <f>IF('4K'!M8="","##BLANK",'4K'!M8)</f>
        <v>##BLANK</v>
      </c>
    </row>
    <row r="2948" spans="2:7">
      <c r="B2948" s="893" t="str">
        <f>+'4K'!AW9</f>
        <v>WWS1003SDT</v>
      </c>
      <c r="E2948" s="1753" t="s">
        <v>11007</v>
      </c>
      <c r="G2948" t="str">
        <f>IF('4K'!M9="","##BLANK",'4K'!M9)</f>
        <v>##BLANK</v>
      </c>
    </row>
    <row r="2949" spans="2:7">
      <c r="B2949" s="893" t="str">
        <f>+'4K'!AW10</f>
        <v>WWS1004SDT</v>
      </c>
      <c r="E2949" s="1753" t="s">
        <v>11007</v>
      </c>
      <c r="G2949" t="str">
        <f>IF('4K'!M10="","##BLANK",'4K'!M10)</f>
        <v>##BLANK</v>
      </c>
    </row>
    <row r="2950" spans="2:7">
      <c r="B2950" s="893" t="str">
        <f>+'4K'!AW12</f>
        <v>WWS1005SDT</v>
      </c>
      <c r="E2950" s="1753" t="s">
        <v>11007</v>
      </c>
      <c r="G2950" t="str">
        <f>IF('4K'!M12="","##BLANK",'4K'!M12)</f>
        <v>##BLANK</v>
      </c>
    </row>
    <row r="2951" spans="2:7">
      <c r="B2951" s="893" t="str">
        <f>+'4K'!AW13</f>
        <v>WWS1006SDT</v>
      </c>
      <c r="E2951" s="1753" t="s">
        <v>11007</v>
      </c>
      <c r="G2951" t="str">
        <f>IF('4K'!M13="","##BLANK",'4K'!M13)</f>
        <v>##BLANK</v>
      </c>
    </row>
    <row r="2952" spans="2:7">
      <c r="B2952" s="893" t="str">
        <f>+'4K'!AW14</f>
        <v>WWS1007SDT</v>
      </c>
      <c r="E2952" s="1753" t="s">
        <v>11007</v>
      </c>
      <c r="G2952" t="str">
        <f>IF('4K'!M14="","##BLANK",'4K'!M14)</f>
        <v>##BLANK</v>
      </c>
    </row>
    <row r="2953" spans="2:7">
      <c r="B2953" s="893" t="str">
        <f>+'4K'!AW15</f>
        <v>WWS1008SDT</v>
      </c>
      <c r="E2953" s="1753" t="s">
        <v>11007</v>
      </c>
      <c r="G2953" t="str">
        <f>IF('4K'!M15="","##BLANK",'4K'!M15)</f>
        <v>##BLANK</v>
      </c>
    </row>
    <row r="2954" spans="2:7">
      <c r="B2954" s="893" t="str">
        <f>+'4K'!AW16</f>
        <v>WWS1009SDT</v>
      </c>
      <c r="E2954" s="1753" t="s">
        <v>11007</v>
      </c>
      <c r="G2954">
        <f>IF('4K'!M16="","##BLANK",'4K'!M16)</f>
        <v>0</v>
      </c>
    </row>
    <row r="2955" spans="2:7">
      <c r="B2955" s="893" t="str">
        <f>+'4K'!AW18</f>
        <v>WWS1010SDT</v>
      </c>
      <c r="E2955" s="1753" t="s">
        <v>11007</v>
      </c>
      <c r="G2955" t="str">
        <f>IF('4K'!M18="","##BLANK",'4K'!M18)</f>
        <v>##BLANK</v>
      </c>
    </row>
    <row r="2956" spans="2:7">
      <c r="B2956" s="893" t="str">
        <f>+'4K'!AW19</f>
        <v>WWS1011SDT</v>
      </c>
      <c r="E2956" s="1753" t="s">
        <v>11007</v>
      </c>
      <c r="G2956">
        <f>IF('4K'!M19="","##BLANK",'4K'!M19)</f>
        <v>0</v>
      </c>
    </row>
    <row r="2957" spans="2:7">
      <c r="B2957" s="893" t="str">
        <f>+'4K'!AW22</f>
        <v>WWS1012SDT</v>
      </c>
      <c r="E2957" s="1753" t="s">
        <v>11007</v>
      </c>
      <c r="G2957" t="str">
        <f>IF('4K'!M22="","##BLANK",'4K'!M22)</f>
        <v>##BLANK</v>
      </c>
    </row>
    <row r="2958" spans="2:7">
      <c r="B2958" s="893" t="str">
        <f>+'4K'!AW23</f>
        <v>WWS1013SDT</v>
      </c>
      <c r="E2958" s="1753" t="s">
        <v>11007</v>
      </c>
      <c r="G2958" t="str">
        <f>IF('4K'!M23="","##BLANK",'4K'!M23)</f>
        <v>##BLANK</v>
      </c>
    </row>
    <row r="2959" spans="2:7">
      <c r="B2959" s="893" t="str">
        <f>+'4K'!AW24</f>
        <v>WWS1014SDT</v>
      </c>
      <c r="E2959" s="1753" t="s">
        <v>11007</v>
      </c>
      <c r="G2959" t="str">
        <f>IF('4K'!M24="","##BLANK",'4K'!M24)</f>
        <v>##BLANK</v>
      </c>
    </row>
    <row r="2960" spans="2:7">
      <c r="B2960" s="893" t="str">
        <f>+'4K'!AW25</f>
        <v>WWS1015SDT</v>
      </c>
      <c r="E2960" s="1753" t="s">
        <v>11007</v>
      </c>
      <c r="G2960" t="str">
        <f>IF('4K'!M25="","##BLANK",'4K'!M25)</f>
        <v>##BLANK</v>
      </c>
    </row>
    <row r="2961" spans="2:7">
      <c r="B2961" s="893" t="str">
        <f>+'4K'!AW26</f>
        <v>WWS1016SDT</v>
      </c>
      <c r="E2961" s="1753" t="s">
        <v>11007</v>
      </c>
      <c r="G2961" t="str">
        <f>IF('4K'!M26="","##BLANK",'4K'!M26)</f>
        <v>##BLANK</v>
      </c>
    </row>
    <row r="2962" spans="2:7">
      <c r="B2962" s="893" t="str">
        <f>+'4K'!AW27</f>
        <v>WWS1017SDT</v>
      </c>
      <c r="E2962" s="1753" t="s">
        <v>11007</v>
      </c>
      <c r="G2962">
        <f>IF('4K'!M27="","##BLANK",'4K'!M27)</f>
        <v>0</v>
      </c>
    </row>
    <row r="2963" spans="2:7">
      <c r="B2963" s="893" t="str">
        <f>+'4K'!AW28</f>
        <v>WWS1018SDT</v>
      </c>
      <c r="E2963" s="1753" t="s">
        <v>11007</v>
      </c>
      <c r="G2963" t="str">
        <f>IF('4K'!M28="","##BLANK",'4K'!M28)</f>
        <v>##BLANK</v>
      </c>
    </row>
    <row r="2964" spans="2:7">
      <c r="B2964" s="893" t="str">
        <f>+'4K'!AW29</f>
        <v>WWS1019SDT</v>
      </c>
      <c r="E2964" s="1753" t="s">
        <v>11007</v>
      </c>
      <c r="G2964">
        <f>IF('4K'!M29="","##BLANK",'4K'!M29)</f>
        <v>0</v>
      </c>
    </row>
    <row r="2965" spans="2:7">
      <c r="B2965" s="893" t="str">
        <f>+'4K'!AW30</f>
        <v>WWS1020SDT</v>
      </c>
      <c r="E2965" s="1753" t="s">
        <v>11007</v>
      </c>
      <c r="G2965" t="str">
        <f>IF('4K'!M30="","##BLANK",'4K'!M30)</f>
        <v>##BLANK</v>
      </c>
    </row>
    <row r="2966" spans="2:7">
      <c r="B2966" s="893" t="str">
        <f>+'4K'!AW31</f>
        <v>WWS1021SDT</v>
      </c>
      <c r="E2966" s="1753" t="s">
        <v>11007</v>
      </c>
      <c r="G2966">
        <f>IF('4K'!M31="","##BLANK",'4K'!M31)</f>
        <v>0</v>
      </c>
    </row>
    <row r="2967" spans="2:7">
      <c r="B2967" s="893" t="str">
        <f>+'4K'!AW34</f>
        <v>WWS1022SDT</v>
      </c>
      <c r="E2967" s="1753" t="s">
        <v>11007</v>
      </c>
      <c r="G2967" t="str">
        <f>IF('4K'!M34="","##BLANK",'4K'!M34)</f>
        <v>##BLANK</v>
      </c>
    </row>
    <row r="2968" spans="2:7">
      <c r="B2968" s="893" t="str">
        <f>+'4K'!AW35</f>
        <v>WWS1023SDT</v>
      </c>
      <c r="E2968" s="1753" t="s">
        <v>11007</v>
      </c>
      <c r="G2968" t="str">
        <f>IF('4K'!M35="","##BLANK",'4K'!M35)</f>
        <v>##BLANK</v>
      </c>
    </row>
    <row r="2969" spans="2:7">
      <c r="B2969" s="893" t="str">
        <f>+'4K'!AW36</f>
        <v>WWS1024SDT</v>
      </c>
      <c r="E2969" s="1753" t="s">
        <v>11007</v>
      </c>
      <c r="G2969">
        <f>IF('4K'!M36="","##BLANK",'4K'!M36)</f>
        <v>0</v>
      </c>
    </row>
    <row r="2970" spans="2:7">
      <c r="B2970" s="893" t="str">
        <f>+'4K'!AW39</f>
        <v>BP3357001SDT</v>
      </c>
      <c r="E2970" s="1753" t="s">
        <v>11007</v>
      </c>
      <c r="F2970" s="2146" t="str">
        <f>+'4K'!C$39</f>
        <v>Item 1</v>
      </c>
      <c r="G2970" t="str">
        <f>IF('4K'!M39="","##BLANK",'4K'!M39)</f>
        <v>##BLANK</v>
      </c>
    </row>
    <row r="2971" spans="2:7">
      <c r="B2971" s="893" t="str">
        <f>+'4K'!AW40</f>
        <v>BP3357002SDT</v>
      </c>
      <c r="E2971" s="1753" t="s">
        <v>11007</v>
      </c>
      <c r="F2971" s="2146" t="str">
        <f>+'4K'!C$40</f>
        <v>Item 2</v>
      </c>
      <c r="G2971" t="str">
        <f>IF('4K'!M40="","##BLANK",'4K'!M40)</f>
        <v>##BLANK</v>
      </c>
    </row>
    <row r="2972" spans="2:7">
      <c r="B2972" s="893" t="str">
        <f>+'4K'!AW41</f>
        <v>BP3357003SDT</v>
      </c>
      <c r="E2972" s="1753" t="s">
        <v>11007</v>
      </c>
      <c r="F2972" s="2146" t="str">
        <f>+'4K'!C$41</f>
        <v>Item 3</v>
      </c>
      <c r="G2972" t="str">
        <f>IF('4K'!M41="","##BLANK",'4K'!M41)</f>
        <v>##BLANK</v>
      </c>
    </row>
    <row r="2973" spans="2:7">
      <c r="B2973" s="893" t="str">
        <f>+'4K'!AW42</f>
        <v>BP3357004SDT</v>
      </c>
      <c r="E2973" s="1753" t="s">
        <v>11007</v>
      </c>
      <c r="F2973" s="2146" t="str">
        <f>+'4K'!C$42</f>
        <v>Item 4</v>
      </c>
      <c r="G2973" t="str">
        <f>IF('4K'!M42="","##BLANK",'4K'!M42)</f>
        <v>##BLANK</v>
      </c>
    </row>
    <row r="2974" spans="2:7">
      <c r="B2974" s="893" t="str">
        <f>+'4K'!AW43</f>
        <v>BP3357005SDT</v>
      </c>
      <c r="E2974" s="1753" t="s">
        <v>11007</v>
      </c>
      <c r="F2974" s="2146" t="str">
        <f>+'4K'!C$43</f>
        <v>Item 5</v>
      </c>
      <c r="G2974" t="str">
        <f>IF('4K'!M43="","##BLANK",'4K'!M43)</f>
        <v>##BLANK</v>
      </c>
    </row>
    <row r="2975" spans="2:7">
      <c r="B2975" s="893" t="str">
        <f>+'4K'!AW44</f>
        <v>BP3357006SDT</v>
      </c>
      <c r="E2975" s="1753" t="s">
        <v>11007</v>
      </c>
      <c r="F2975" s="2146" t="str">
        <f>+'4K'!C$44</f>
        <v>Item 6</v>
      </c>
      <c r="G2975" t="str">
        <f>IF('4K'!M44="","##BLANK",'4K'!M44)</f>
        <v>##BLANK</v>
      </c>
    </row>
    <row r="2976" spans="2:7">
      <c r="B2976" s="893" t="str">
        <f>+'4K'!AW45</f>
        <v>BP3357007SDT</v>
      </c>
      <c r="E2976" s="1753" t="s">
        <v>11007</v>
      </c>
      <c r="F2976" s="2146" t="str">
        <f>+'4K'!C$45</f>
        <v>Item 7</v>
      </c>
      <c r="G2976" t="str">
        <f>IF('4K'!M45="","##BLANK",'4K'!M45)</f>
        <v>##BLANK</v>
      </c>
    </row>
    <row r="2977" spans="2:7">
      <c r="B2977" s="893" t="str">
        <f>+'4K'!AW46</f>
        <v>BP3357008SDT</v>
      </c>
      <c r="E2977" s="1753" t="s">
        <v>11007</v>
      </c>
      <c r="F2977" s="2146" t="str">
        <f>+'4K'!C$46</f>
        <v>Item 8</v>
      </c>
      <c r="G2977" t="str">
        <f>IF('4K'!M46="","##BLANK",'4K'!M46)</f>
        <v>##BLANK</v>
      </c>
    </row>
    <row r="2978" spans="2:7">
      <c r="B2978" s="893" t="str">
        <f>+'4K'!AW47</f>
        <v>BP3357009SDT</v>
      </c>
      <c r="E2978" s="1753" t="s">
        <v>11007</v>
      </c>
      <c r="F2978" s="2146" t="str">
        <f>+'4K'!C$47</f>
        <v>Item 9</v>
      </c>
      <c r="G2978" t="str">
        <f>IF('4K'!M47="","##BLANK",'4K'!M47)</f>
        <v>##BLANK</v>
      </c>
    </row>
    <row r="2979" spans="2:7">
      <c r="B2979" s="893" t="str">
        <f>+'4K'!AW48</f>
        <v>BP3357010SDT</v>
      </c>
      <c r="E2979" s="1753" t="s">
        <v>11007</v>
      </c>
      <c r="F2979" s="2146" t="str">
        <f>+'4K'!C$48</f>
        <v>Item 10</v>
      </c>
      <c r="G2979" t="str">
        <f>IF('4K'!M48="","##BLANK",'4K'!M48)</f>
        <v>##BLANK</v>
      </c>
    </row>
    <row r="2980" spans="2:7">
      <c r="B2980" s="893" t="str">
        <f>+'4K'!AW49</f>
        <v>BP3357020SDT</v>
      </c>
      <c r="E2980" s="1753" t="s">
        <v>11007</v>
      </c>
      <c r="G2980">
        <f>IF('4K'!M49="","##BLANK",'4K'!M49)</f>
        <v>0</v>
      </c>
    </row>
    <row r="2981" spans="2:7">
      <c r="B2981" s="893" t="str">
        <f>+'4K'!AW52</f>
        <v>S3040TCASDT</v>
      </c>
      <c r="E2981" s="1753" t="s">
        <v>11007</v>
      </c>
      <c r="G2981">
        <f>IF('4K'!M52="","##BLANK",'4K'!M52)</f>
        <v>0</v>
      </c>
    </row>
    <row r="2982" spans="2:7">
      <c r="B2982" s="893" t="str">
        <f>+'4K'!AX7</f>
        <v>WWS1001SDD</v>
      </c>
      <c r="E2982" s="1753" t="s">
        <v>11007</v>
      </c>
      <c r="G2982" t="str">
        <f>IF('4K'!N7="","##BLANK",'4K'!N7)</f>
        <v>##BLANK</v>
      </c>
    </row>
    <row r="2983" spans="2:7">
      <c r="B2983" s="893" t="str">
        <f>+'4K'!AX8</f>
        <v>WWS1002SDD</v>
      </c>
      <c r="E2983" s="1753" t="s">
        <v>11007</v>
      </c>
      <c r="G2983" t="str">
        <f>IF('4K'!N8="","##BLANK",'4K'!N8)</f>
        <v>##BLANK</v>
      </c>
    </row>
    <row r="2984" spans="2:7">
      <c r="B2984" s="893" t="str">
        <f>+'4K'!AX9</f>
        <v>WWS1003SDD</v>
      </c>
      <c r="E2984" s="1753" t="s">
        <v>11007</v>
      </c>
      <c r="G2984" t="str">
        <f>IF('4K'!N9="","##BLANK",'4K'!N9)</f>
        <v>##BLANK</v>
      </c>
    </row>
    <row r="2985" spans="2:7">
      <c r="B2985" s="893" t="str">
        <f>+'4K'!AX10</f>
        <v>WWS1004SDD</v>
      </c>
      <c r="E2985" s="1753" t="s">
        <v>11007</v>
      </c>
      <c r="G2985" t="str">
        <f>IF('4K'!N10="","##BLANK",'4K'!N10)</f>
        <v>##BLANK</v>
      </c>
    </row>
    <row r="2986" spans="2:7">
      <c r="B2986" s="893" t="str">
        <f>+'4K'!AX12</f>
        <v>WWS1005SDD</v>
      </c>
      <c r="E2986" s="1753" t="s">
        <v>11007</v>
      </c>
      <c r="G2986" t="str">
        <f>IF('4K'!N12="","##BLANK",'4K'!N12)</f>
        <v>##BLANK</v>
      </c>
    </row>
    <row r="2987" spans="2:7">
      <c r="B2987" s="893" t="str">
        <f>+'4K'!AX13</f>
        <v>WWS1006SDD</v>
      </c>
      <c r="E2987" s="1753" t="s">
        <v>11007</v>
      </c>
      <c r="G2987" t="str">
        <f>IF('4K'!N13="","##BLANK",'4K'!N13)</f>
        <v>##BLANK</v>
      </c>
    </row>
    <row r="2988" spans="2:7">
      <c r="B2988" s="893" t="str">
        <f>+'4K'!AX14</f>
        <v>WWS1007SDD</v>
      </c>
      <c r="E2988" s="1753" t="s">
        <v>11007</v>
      </c>
      <c r="G2988" t="str">
        <f>IF('4K'!N14="","##BLANK",'4K'!N14)</f>
        <v>##BLANK</v>
      </c>
    </row>
    <row r="2989" spans="2:7">
      <c r="B2989" s="893" t="str">
        <f>+'4K'!AX15</f>
        <v>WWS1008SDD</v>
      </c>
      <c r="E2989" s="1753" t="s">
        <v>11007</v>
      </c>
      <c r="G2989" t="str">
        <f>IF('4K'!N15="","##BLANK",'4K'!N15)</f>
        <v>##BLANK</v>
      </c>
    </row>
    <row r="2990" spans="2:7">
      <c r="B2990" s="893" t="str">
        <f>+'4K'!AX16</f>
        <v>WWS1009SDD</v>
      </c>
      <c r="E2990" s="1753" t="s">
        <v>11007</v>
      </c>
      <c r="G2990">
        <f>IF('4K'!N16="","##BLANK",'4K'!N16)</f>
        <v>0</v>
      </c>
    </row>
    <row r="2991" spans="2:7">
      <c r="B2991" s="893" t="str">
        <f>+'4K'!AX18</f>
        <v>WWS1010SDD</v>
      </c>
      <c r="E2991" s="1753" t="s">
        <v>11007</v>
      </c>
      <c r="G2991" t="str">
        <f>IF('4K'!N18="","##BLANK",'4K'!N18)</f>
        <v>##BLANK</v>
      </c>
    </row>
    <row r="2992" spans="2:7">
      <c r="B2992" s="893" t="str">
        <f>+'4K'!AX19</f>
        <v>WWS1011SDD</v>
      </c>
      <c r="E2992" s="1753" t="s">
        <v>11007</v>
      </c>
      <c r="G2992">
        <f>IF('4K'!N19="","##BLANK",'4K'!N19)</f>
        <v>0</v>
      </c>
    </row>
    <row r="2993" spans="2:7">
      <c r="B2993" s="893" t="str">
        <f>+'4K'!AX22</f>
        <v>WWS1012SDD</v>
      </c>
      <c r="E2993" s="1753" t="s">
        <v>11007</v>
      </c>
      <c r="G2993" t="str">
        <f>IF('4K'!N22="","##BLANK",'4K'!N22)</f>
        <v>##BLANK</v>
      </c>
    </row>
    <row r="2994" spans="2:7">
      <c r="B2994" s="893" t="str">
        <f>+'4K'!AX23</f>
        <v>WWS1013SDD</v>
      </c>
      <c r="E2994" s="1753" t="s">
        <v>11007</v>
      </c>
      <c r="G2994" t="str">
        <f>IF('4K'!N23="","##BLANK",'4K'!N23)</f>
        <v>##BLANK</v>
      </c>
    </row>
    <row r="2995" spans="2:7">
      <c r="B2995" s="893" t="str">
        <f>+'4K'!AX24</f>
        <v>WWS1014SDD</v>
      </c>
      <c r="E2995" s="1753" t="s">
        <v>11007</v>
      </c>
      <c r="G2995" t="str">
        <f>IF('4K'!N24="","##BLANK",'4K'!N24)</f>
        <v>##BLANK</v>
      </c>
    </row>
    <row r="2996" spans="2:7">
      <c r="B2996" s="893" t="str">
        <f>+'4K'!AX25</f>
        <v>WWS1015SDD</v>
      </c>
      <c r="E2996" s="1753" t="s">
        <v>11007</v>
      </c>
      <c r="G2996" t="str">
        <f>IF('4K'!N25="","##BLANK",'4K'!N25)</f>
        <v>##BLANK</v>
      </c>
    </row>
    <row r="2997" spans="2:7">
      <c r="B2997" s="893" t="str">
        <f>+'4K'!AX26</f>
        <v>WWS1016SDD</v>
      </c>
      <c r="E2997" s="1753" t="s">
        <v>11007</v>
      </c>
      <c r="G2997" t="str">
        <f>IF('4K'!N26="","##BLANK",'4K'!N26)</f>
        <v>##BLANK</v>
      </c>
    </row>
    <row r="2998" spans="2:7">
      <c r="B2998" s="893" t="str">
        <f>+'4K'!AX27</f>
        <v>WWS1017SDD</v>
      </c>
      <c r="E2998" s="1753" t="s">
        <v>11007</v>
      </c>
      <c r="G2998">
        <f>IF('4K'!N27="","##BLANK",'4K'!N27)</f>
        <v>0</v>
      </c>
    </row>
    <row r="2999" spans="2:7">
      <c r="B2999" s="893" t="str">
        <f>+'4K'!AX28</f>
        <v>WWS1018SDD</v>
      </c>
      <c r="E2999" s="1753" t="s">
        <v>11007</v>
      </c>
      <c r="G2999" t="str">
        <f>IF('4K'!N28="","##BLANK",'4K'!N28)</f>
        <v>##BLANK</v>
      </c>
    </row>
    <row r="3000" spans="2:7">
      <c r="B3000" s="893" t="str">
        <f>+'4K'!AX29</f>
        <v>WWS1019SDD</v>
      </c>
      <c r="E3000" s="1753" t="s">
        <v>11007</v>
      </c>
      <c r="G3000">
        <f>IF('4K'!N29="","##BLANK",'4K'!N29)</f>
        <v>0</v>
      </c>
    </row>
    <row r="3001" spans="2:7">
      <c r="B3001" s="893" t="str">
        <f>+'4K'!AX30</f>
        <v>WWS1020SDD</v>
      </c>
      <c r="E3001" s="1753" t="s">
        <v>11007</v>
      </c>
      <c r="G3001" t="str">
        <f>IF('4K'!N30="","##BLANK",'4K'!N30)</f>
        <v>##BLANK</v>
      </c>
    </row>
    <row r="3002" spans="2:7">
      <c r="B3002" s="893" t="str">
        <f>+'4K'!AX31</f>
        <v>WWS1021SDD</v>
      </c>
      <c r="E3002" s="1753" t="s">
        <v>11007</v>
      </c>
      <c r="G3002">
        <f>IF('4K'!N31="","##BLANK",'4K'!N31)</f>
        <v>0</v>
      </c>
    </row>
    <row r="3003" spans="2:7">
      <c r="B3003" s="893" t="str">
        <f>+'4K'!AX34</f>
        <v>WWS1022SDD</v>
      </c>
      <c r="E3003" s="1753" t="s">
        <v>11007</v>
      </c>
      <c r="G3003" t="str">
        <f>IF('4K'!N34="","##BLANK",'4K'!N34)</f>
        <v>##BLANK</v>
      </c>
    </row>
    <row r="3004" spans="2:7">
      <c r="B3004" s="893" t="str">
        <f>+'4K'!AX35</f>
        <v>WWS1023SDD</v>
      </c>
      <c r="E3004" s="1753" t="s">
        <v>11007</v>
      </c>
      <c r="G3004" t="str">
        <f>IF('4K'!N35="","##BLANK",'4K'!N35)</f>
        <v>##BLANK</v>
      </c>
    </row>
    <row r="3005" spans="2:7">
      <c r="B3005" s="893" t="str">
        <f>+'4K'!AX36</f>
        <v>WWS1024SDD</v>
      </c>
      <c r="E3005" s="1753" t="s">
        <v>11007</v>
      </c>
      <c r="G3005">
        <f>IF('4K'!N36="","##BLANK",'4K'!N36)</f>
        <v>0</v>
      </c>
    </row>
    <row r="3006" spans="2:7">
      <c r="B3006" s="893" t="str">
        <f>+'4K'!AX39</f>
        <v>BP3357001SDD</v>
      </c>
      <c r="E3006" s="1753" t="s">
        <v>11007</v>
      </c>
      <c r="F3006" s="2146" t="str">
        <f>+'4K'!C$39</f>
        <v>Item 1</v>
      </c>
      <c r="G3006" t="str">
        <f>IF('4K'!N39="","##BLANK",'4K'!N39)</f>
        <v>##BLANK</v>
      </c>
    </row>
    <row r="3007" spans="2:7">
      <c r="B3007" s="893" t="str">
        <f>+'4K'!AX40</f>
        <v>BP3357002SDD</v>
      </c>
      <c r="E3007" s="1753" t="s">
        <v>11007</v>
      </c>
      <c r="F3007" s="2146" t="str">
        <f>+'4K'!C$40</f>
        <v>Item 2</v>
      </c>
      <c r="G3007" t="str">
        <f>IF('4K'!N40="","##BLANK",'4K'!N40)</f>
        <v>##BLANK</v>
      </c>
    </row>
    <row r="3008" spans="2:7">
      <c r="B3008" s="893" t="str">
        <f>+'4K'!AX41</f>
        <v>BP3357003SDD</v>
      </c>
      <c r="E3008" s="1753" t="s">
        <v>11007</v>
      </c>
      <c r="F3008" s="2146" t="str">
        <f>+'4K'!C$41</f>
        <v>Item 3</v>
      </c>
      <c r="G3008" t="str">
        <f>IF('4K'!N41="","##BLANK",'4K'!N41)</f>
        <v>##BLANK</v>
      </c>
    </row>
    <row r="3009" spans="2:7">
      <c r="B3009" s="893" t="str">
        <f>+'4K'!AX42</f>
        <v>BP3357004SDD</v>
      </c>
      <c r="E3009" s="1753" t="s">
        <v>11007</v>
      </c>
      <c r="F3009" s="2146" t="str">
        <f>+'4K'!C$42</f>
        <v>Item 4</v>
      </c>
      <c r="G3009" t="str">
        <f>IF('4K'!N42="","##BLANK",'4K'!N42)</f>
        <v>##BLANK</v>
      </c>
    </row>
    <row r="3010" spans="2:7">
      <c r="B3010" s="893" t="str">
        <f>+'4K'!AX43</f>
        <v>BP3357005SDD</v>
      </c>
      <c r="E3010" s="1753" t="s">
        <v>11007</v>
      </c>
      <c r="F3010" s="2146" t="str">
        <f>+'4K'!C$43</f>
        <v>Item 5</v>
      </c>
      <c r="G3010" t="str">
        <f>IF('4K'!N43="","##BLANK",'4K'!N43)</f>
        <v>##BLANK</v>
      </c>
    </row>
    <row r="3011" spans="2:7">
      <c r="B3011" s="893" t="str">
        <f>+'4K'!AX44</f>
        <v>BP3357006SDD</v>
      </c>
      <c r="E3011" s="1753" t="s">
        <v>11007</v>
      </c>
      <c r="F3011" s="2146" t="str">
        <f>+'4K'!C$44</f>
        <v>Item 6</v>
      </c>
      <c r="G3011" t="str">
        <f>IF('4K'!N44="","##BLANK",'4K'!N44)</f>
        <v>##BLANK</v>
      </c>
    </row>
    <row r="3012" spans="2:7">
      <c r="B3012" s="893" t="str">
        <f>+'4K'!AX45</f>
        <v>BP3357007SDD</v>
      </c>
      <c r="E3012" s="1753" t="s">
        <v>11007</v>
      </c>
      <c r="F3012" s="2146" t="str">
        <f>+'4K'!C$45</f>
        <v>Item 7</v>
      </c>
      <c r="G3012" t="str">
        <f>IF('4K'!N45="","##BLANK",'4K'!N45)</f>
        <v>##BLANK</v>
      </c>
    </row>
    <row r="3013" spans="2:7">
      <c r="B3013" s="893" t="str">
        <f>+'4K'!AX46</f>
        <v>BP3357008SDD</v>
      </c>
      <c r="E3013" s="1753" t="s">
        <v>11007</v>
      </c>
      <c r="F3013" s="2146" t="str">
        <f>+'4K'!C$46</f>
        <v>Item 8</v>
      </c>
      <c r="G3013" t="str">
        <f>IF('4K'!N46="","##BLANK",'4K'!N46)</f>
        <v>##BLANK</v>
      </c>
    </row>
    <row r="3014" spans="2:7">
      <c r="B3014" s="893" t="str">
        <f>+'4K'!AX47</f>
        <v>BP3357009SDD</v>
      </c>
      <c r="E3014" s="1753" t="s">
        <v>11007</v>
      </c>
      <c r="F3014" s="2146" t="str">
        <f>+'4K'!C$47</f>
        <v>Item 9</v>
      </c>
      <c r="G3014" t="str">
        <f>IF('4K'!N47="","##BLANK",'4K'!N47)</f>
        <v>##BLANK</v>
      </c>
    </row>
    <row r="3015" spans="2:7">
      <c r="B3015" s="893" t="str">
        <f>+'4K'!AX48</f>
        <v>BP3357010SDD</v>
      </c>
      <c r="E3015" s="1753" t="s">
        <v>11007</v>
      </c>
      <c r="F3015" s="2146" t="str">
        <f>+'4K'!C$48</f>
        <v>Item 10</v>
      </c>
      <c r="G3015" t="str">
        <f>IF('4K'!N48="","##BLANK",'4K'!N48)</f>
        <v>##BLANK</v>
      </c>
    </row>
    <row r="3016" spans="2:7">
      <c r="B3016" s="893" t="str">
        <f>+'4K'!AX49</f>
        <v>BP3357020SDD</v>
      </c>
      <c r="E3016" s="1753" t="s">
        <v>11007</v>
      </c>
      <c r="G3016">
        <f>IF('4K'!N49="","##BLANK",'4K'!N49)</f>
        <v>0</v>
      </c>
    </row>
    <row r="3017" spans="2:7">
      <c r="B3017" s="893" t="str">
        <f>+'4K'!AX52</f>
        <v>S3040TCASDD</v>
      </c>
      <c r="E3017" s="1753" t="s">
        <v>11007</v>
      </c>
      <c r="G3017">
        <f>IF('4K'!N52="","##BLANK",'4K'!N52)</f>
        <v>0</v>
      </c>
    </row>
    <row r="3018" spans="2:7">
      <c r="B3018" s="893" t="str">
        <f>+'4K'!AY7</f>
        <v>WWS1001CAS</v>
      </c>
      <c r="E3018" s="1753" t="s">
        <v>11007</v>
      </c>
      <c r="G3018">
        <f>IF('4K'!O7="","##BLANK",'4K'!O7)</f>
        <v>0</v>
      </c>
    </row>
    <row r="3019" spans="2:7">
      <c r="B3019" s="893" t="str">
        <f>+'4K'!AY8</f>
        <v>WWS1002CAS</v>
      </c>
      <c r="E3019" s="1753" t="s">
        <v>11007</v>
      </c>
      <c r="G3019">
        <f>IF('4K'!O8="","##BLANK",'4K'!O8)</f>
        <v>0</v>
      </c>
    </row>
    <row r="3020" spans="2:7">
      <c r="B3020" s="893" t="str">
        <f>+'4K'!AY9</f>
        <v>WWS1003CAS</v>
      </c>
      <c r="E3020" s="1753" t="s">
        <v>11007</v>
      </c>
      <c r="G3020">
        <f>IF('4K'!O9="","##BLANK",'4K'!O9)</f>
        <v>0</v>
      </c>
    </row>
    <row r="3021" spans="2:7">
      <c r="B3021" s="893" t="str">
        <f>+'4K'!AY10</f>
        <v>WWS1004CAS</v>
      </c>
      <c r="E3021" s="1753" t="s">
        <v>11007</v>
      </c>
      <c r="G3021">
        <f>IF('4K'!O10="","##BLANK",'4K'!O10)</f>
        <v>0</v>
      </c>
    </row>
    <row r="3022" spans="2:7">
      <c r="B3022" s="893" t="str">
        <f>+'4K'!AY12</f>
        <v>WWS1005CAS</v>
      </c>
      <c r="E3022" s="1753" t="s">
        <v>11007</v>
      </c>
      <c r="G3022">
        <f>IF('4K'!O12="","##BLANK",'4K'!O12)</f>
        <v>0</v>
      </c>
    </row>
    <row r="3023" spans="2:7">
      <c r="B3023" s="893" t="str">
        <f>+'4K'!AY13</f>
        <v>WWS1006CAS</v>
      </c>
      <c r="E3023" s="1753" t="s">
        <v>11007</v>
      </c>
      <c r="G3023">
        <f>IF('4K'!O13="","##BLANK",'4K'!O13)</f>
        <v>0</v>
      </c>
    </row>
    <row r="3024" spans="2:7">
      <c r="B3024" s="893" t="str">
        <f>+'4K'!AY14</f>
        <v>WWS1007CAS</v>
      </c>
      <c r="E3024" s="1753" t="s">
        <v>11007</v>
      </c>
      <c r="G3024">
        <f>IF('4K'!O14="","##BLANK",'4K'!O14)</f>
        <v>0</v>
      </c>
    </row>
    <row r="3025" spans="2:7">
      <c r="B3025" s="893" t="str">
        <f>+'4K'!AY15</f>
        <v>WWS1008CAS</v>
      </c>
      <c r="E3025" s="1753" t="s">
        <v>11007</v>
      </c>
      <c r="G3025">
        <f>IF('4K'!O15="","##BLANK",'4K'!O15)</f>
        <v>0</v>
      </c>
    </row>
    <row r="3026" spans="2:7">
      <c r="B3026" s="893" t="str">
        <f>+'4K'!AY16</f>
        <v>WWS1009CAS</v>
      </c>
      <c r="E3026" s="1753" t="s">
        <v>11007</v>
      </c>
      <c r="G3026">
        <f>IF('4K'!O16="","##BLANK",'4K'!O16)</f>
        <v>0</v>
      </c>
    </row>
    <row r="3027" spans="2:7">
      <c r="B3027" s="893" t="str">
        <f>+'4K'!AY18</f>
        <v>WWS1010CAS</v>
      </c>
      <c r="E3027" s="1753" t="s">
        <v>11007</v>
      </c>
      <c r="G3027">
        <f>IF('4K'!O18="","##BLANK",'4K'!O18)</f>
        <v>0</v>
      </c>
    </row>
    <row r="3028" spans="2:7">
      <c r="B3028" s="893" t="str">
        <f>+'4K'!AY19</f>
        <v>WWS1011CAS</v>
      </c>
      <c r="E3028" s="1753" t="s">
        <v>11007</v>
      </c>
      <c r="G3028">
        <f>IF('4K'!O19="","##BLANK",'4K'!O19)</f>
        <v>0</v>
      </c>
    </row>
    <row r="3029" spans="2:7">
      <c r="B3029" s="893" t="str">
        <f>+'4K'!AY22</f>
        <v>WWS1012CAS</v>
      </c>
      <c r="E3029" s="1753" t="s">
        <v>11007</v>
      </c>
      <c r="G3029">
        <f>IF('4K'!O22="","##BLANK",'4K'!O22)</f>
        <v>0</v>
      </c>
    </row>
    <row r="3030" spans="2:7">
      <c r="B3030" s="893" t="str">
        <f>+'4K'!AY23</f>
        <v>WWS1013CAS</v>
      </c>
      <c r="E3030" s="1753" t="s">
        <v>11007</v>
      </c>
      <c r="G3030">
        <f>IF('4K'!O23="","##BLANK",'4K'!O23)</f>
        <v>0</v>
      </c>
    </row>
    <row r="3031" spans="2:7">
      <c r="B3031" s="893" t="str">
        <f>+'4K'!AY24</f>
        <v>WWS1014CAS</v>
      </c>
      <c r="E3031" s="1753" t="s">
        <v>11007</v>
      </c>
      <c r="G3031">
        <f>IF('4K'!O24="","##BLANK",'4K'!O24)</f>
        <v>0</v>
      </c>
    </row>
    <row r="3032" spans="2:7">
      <c r="B3032" s="893" t="str">
        <f>+'4K'!AY25</f>
        <v>WWS1015CAS</v>
      </c>
      <c r="E3032" s="1753" t="s">
        <v>11007</v>
      </c>
      <c r="G3032">
        <f>IF('4K'!O25="","##BLANK",'4K'!O25)</f>
        <v>0</v>
      </c>
    </row>
    <row r="3033" spans="2:7">
      <c r="B3033" s="893" t="str">
        <f>+'4K'!AY26</f>
        <v>WWS1016CAS</v>
      </c>
      <c r="E3033" s="1753" t="s">
        <v>11007</v>
      </c>
      <c r="G3033">
        <f>IF('4K'!O26="","##BLANK",'4K'!O26)</f>
        <v>0</v>
      </c>
    </row>
    <row r="3034" spans="2:7">
      <c r="B3034" s="893" t="str">
        <f>+'4K'!AY27</f>
        <v>WWS1017CAS</v>
      </c>
      <c r="E3034" s="1753" t="s">
        <v>11007</v>
      </c>
      <c r="G3034">
        <f>IF('4K'!O27="","##BLANK",'4K'!O27)</f>
        <v>0</v>
      </c>
    </row>
    <row r="3035" spans="2:7">
      <c r="B3035" s="893" t="str">
        <f>+'4K'!AY28</f>
        <v>WWS1018CAS</v>
      </c>
      <c r="E3035" s="1753" t="s">
        <v>11007</v>
      </c>
      <c r="G3035">
        <f>IF('4K'!O28="","##BLANK",'4K'!O28)</f>
        <v>0</v>
      </c>
    </row>
    <row r="3036" spans="2:7">
      <c r="B3036" s="893" t="str">
        <f>+'4K'!AY29</f>
        <v>WWS1019CAS</v>
      </c>
      <c r="E3036" s="1753" t="s">
        <v>11007</v>
      </c>
      <c r="G3036">
        <f>IF('4K'!O29="","##BLANK",'4K'!O29)</f>
        <v>0</v>
      </c>
    </row>
    <row r="3037" spans="2:7">
      <c r="B3037" s="893" t="str">
        <f>+'4K'!AY30</f>
        <v>WWS1020CAS</v>
      </c>
      <c r="E3037" s="1753" t="s">
        <v>11007</v>
      </c>
      <c r="G3037">
        <f>IF('4K'!O30="","##BLANK",'4K'!O30)</f>
        <v>0</v>
      </c>
    </row>
    <row r="3038" spans="2:7">
      <c r="B3038" s="893" t="str">
        <f>+'4K'!AY31</f>
        <v>WWS1021CAS</v>
      </c>
      <c r="E3038" s="1753" t="s">
        <v>11007</v>
      </c>
      <c r="G3038">
        <f>IF('4K'!O31="","##BLANK",'4K'!O31)</f>
        <v>0</v>
      </c>
    </row>
    <row r="3039" spans="2:7">
      <c r="B3039" s="893" t="str">
        <f>+'4K'!AY34</f>
        <v>WWS1022CAS</v>
      </c>
      <c r="E3039" s="1753" t="s">
        <v>11007</v>
      </c>
      <c r="G3039">
        <f>IF('4K'!O34="","##BLANK",'4K'!O34)</f>
        <v>0</v>
      </c>
    </row>
    <row r="3040" spans="2:7">
      <c r="B3040" s="893" t="str">
        <f>+'4K'!AY35</f>
        <v>WWS1023CAS</v>
      </c>
      <c r="E3040" s="1753" t="s">
        <v>11007</v>
      </c>
      <c r="G3040">
        <f>IF('4K'!O35="","##BLANK",'4K'!O35)</f>
        <v>0</v>
      </c>
    </row>
    <row r="3041" spans="2:7">
      <c r="B3041" s="893" t="str">
        <f>+'4K'!AY36</f>
        <v>WWS1024CAS</v>
      </c>
      <c r="E3041" s="1753" t="s">
        <v>11007</v>
      </c>
      <c r="G3041">
        <f>IF('4K'!O36="","##BLANK",'4K'!O36)</f>
        <v>0</v>
      </c>
    </row>
    <row r="3042" spans="2:7">
      <c r="B3042" s="893" t="str">
        <f>+'4K'!AY39</f>
        <v>BP3357001CAS</v>
      </c>
      <c r="E3042" s="1753" t="s">
        <v>11007</v>
      </c>
      <c r="F3042" s="2146" t="str">
        <f>+'4K'!C$39</f>
        <v>Item 1</v>
      </c>
      <c r="G3042">
        <f>IF('4K'!O39="","##BLANK",'4K'!O39)</f>
        <v>0</v>
      </c>
    </row>
    <row r="3043" spans="2:7">
      <c r="B3043" s="893" t="str">
        <f>+'4K'!AY40</f>
        <v>BP3357002CAS</v>
      </c>
      <c r="E3043" s="1753" t="s">
        <v>11007</v>
      </c>
      <c r="F3043" s="2146" t="str">
        <f>+'4K'!C$40</f>
        <v>Item 2</v>
      </c>
      <c r="G3043">
        <f>IF('4K'!O40="","##BLANK",'4K'!O40)</f>
        <v>0</v>
      </c>
    </row>
    <row r="3044" spans="2:7">
      <c r="B3044" s="893" t="str">
        <f>+'4K'!AY41</f>
        <v>BP3357003CAS</v>
      </c>
      <c r="E3044" s="1753" t="s">
        <v>11007</v>
      </c>
      <c r="F3044" s="2146" t="str">
        <f>+'4K'!C$41</f>
        <v>Item 3</v>
      </c>
      <c r="G3044">
        <f>IF('4K'!O41="","##BLANK",'4K'!O41)</f>
        <v>0</v>
      </c>
    </row>
    <row r="3045" spans="2:7">
      <c r="B3045" s="893" t="str">
        <f>+'4K'!AY42</f>
        <v>BP3357004CAS</v>
      </c>
      <c r="E3045" s="1753" t="s">
        <v>11007</v>
      </c>
      <c r="F3045" s="2146" t="str">
        <f>+'4K'!C$42</f>
        <v>Item 4</v>
      </c>
      <c r="G3045">
        <f>IF('4K'!O42="","##BLANK",'4K'!O42)</f>
        <v>0</v>
      </c>
    </row>
    <row r="3046" spans="2:7">
      <c r="B3046" s="893" t="str">
        <f>+'4K'!AY43</f>
        <v>BP3357005CAS</v>
      </c>
      <c r="E3046" s="1753" t="s">
        <v>11007</v>
      </c>
      <c r="F3046" s="2146" t="str">
        <f>+'4K'!C$43</f>
        <v>Item 5</v>
      </c>
      <c r="G3046">
        <f>IF('4K'!O43="","##BLANK",'4K'!O43)</f>
        <v>0</v>
      </c>
    </row>
    <row r="3047" spans="2:7">
      <c r="B3047" s="893" t="str">
        <f>+'4K'!AY44</f>
        <v>BP3357006CAS</v>
      </c>
      <c r="E3047" s="1753" t="s">
        <v>11007</v>
      </c>
      <c r="F3047" s="2146" t="str">
        <f>+'4K'!C$44</f>
        <v>Item 6</v>
      </c>
      <c r="G3047">
        <f>IF('4K'!O44="","##BLANK",'4K'!O44)</f>
        <v>0</v>
      </c>
    </row>
    <row r="3048" spans="2:7">
      <c r="B3048" s="893" t="str">
        <f>+'4K'!AY45</f>
        <v>BP3357007CAS</v>
      </c>
      <c r="E3048" s="1753" t="s">
        <v>11007</v>
      </c>
      <c r="F3048" s="2146" t="str">
        <f>+'4K'!C$45</f>
        <v>Item 7</v>
      </c>
      <c r="G3048">
        <f>IF('4K'!O45="","##BLANK",'4K'!O45)</f>
        <v>0</v>
      </c>
    </row>
    <row r="3049" spans="2:7">
      <c r="B3049" s="893" t="str">
        <f>+'4K'!AY46</f>
        <v>BP3357008CAS</v>
      </c>
      <c r="E3049" s="1753" t="s">
        <v>11007</v>
      </c>
      <c r="F3049" s="2146" t="str">
        <f>+'4K'!C$46</f>
        <v>Item 8</v>
      </c>
      <c r="G3049">
        <f>IF('4K'!O46="","##BLANK",'4K'!O46)</f>
        <v>0</v>
      </c>
    </row>
    <row r="3050" spans="2:7">
      <c r="B3050" s="893" t="str">
        <f>+'4K'!AY47</f>
        <v>BP3357009CAS</v>
      </c>
      <c r="E3050" s="1753" t="s">
        <v>11007</v>
      </c>
      <c r="F3050" s="2146" t="str">
        <f>+'4K'!C$47</f>
        <v>Item 9</v>
      </c>
      <c r="G3050">
        <f>IF('4K'!O47="","##BLANK",'4K'!O47)</f>
        <v>0</v>
      </c>
    </row>
    <row r="3051" spans="2:7">
      <c r="B3051" s="893" t="str">
        <f>+'4K'!AY48</f>
        <v>BP3357010CAS</v>
      </c>
      <c r="E3051" s="1753" t="s">
        <v>11007</v>
      </c>
      <c r="F3051" s="2146" t="str">
        <f>+'4K'!C$48</f>
        <v>Item 10</v>
      </c>
      <c r="G3051">
        <f>IF('4K'!O48="","##BLANK",'4K'!O48)</f>
        <v>0</v>
      </c>
    </row>
    <row r="3052" spans="2:7">
      <c r="B3052" s="893" t="str">
        <f>+'4K'!AY49</f>
        <v>BP3357020CAS</v>
      </c>
      <c r="E3052" s="1753" t="s">
        <v>11007</v>
      </c>
      <c r="G3052">
        <f>IF('4K'!O49="","##BLANK",'4K'!O49)</f>
        <v>0</v>
      </c>
    </row>
    <row r="3053" spans="2:7">
      <c r="B3053" s="893" t="str">
        <f>+'4K'!AY52</f>
        <v>S3040TCACAS</v>
      </c>
      <c r="E3053" s="1753" t="s">
        <v>11007</v>
      </c>
      <c r="G3053">
        <f>IF('4K'!O52="","##BLANK",'4K'!O52)</f>
        <v>0</v>
      </c>
    </row>
    <row r="3054" spans="2:7">
      <c r="B3054" s="893" t="str">
        <f>+'4L'!BB8</f>
        <v>W3001AL</v>
      </c>
      <c r="E3054" s="1753" t="s">
        <v>11007</v>
      </c>
      <c r="G3054" t="str">
        <f>IF('4L'!G8="","##BLANK",'4L'!G8)</f>
        <v>##BLANK</v>
      </c>
    </row>
    <row r="3055" spans="2:7">
      <c r="B3055" s="893" t="str">
        <f>+'4L'!BB9</f>
        <v>WS2002AL</v>
      </c>
      <c r="E3055" s="1753" t="s">
        <v>11007</v>
      </c>
      <c r="G3055" t="str">
        <f>IF('4L'!G9="","##BLANK",'4L'!G9)</f>
        <v>##BLANK</v>
      </c>
    </row>
    <row r="3056" spans="2:7">
      <c r="B3056" s="893" t="str">
        <f>+'4L'!BB10</f>
        <v>WS2003AL</v>
      </c>
      <c r="E3056" s="1753" t="s">
        <v>11007</v>
      </c>
      <c r="G3056" t="str">
        <f>IF('4L'!G10="","##BLANK",'4L'!G10)</f>
        <v>##BLANK</v>
      </c>
    </row>
    <row r="3057" spans="2:7">
      <c r="B3057" s="893" t="str">
        <f>+'4L'!BB11</f>
        <v>W3002AL</v>
      </c>
      <c r="E3057" s="1753" t="s">
        <v>11007</v>
      </c>
      <c r="G3057" t="str">
        <f>IF('4L'!G11="","##BLANK",'4L'!G11)</f>
        <v>##BLANK</v>
      </c>
    </row>
    <row r="3058" spans="2:7">
      <c r="B3058" s="893" t="str">
        <f>+'4L'!BB12</f>
        <v>W3003AL</v>
      </c>
      <c r="E3058" s="1753" t="s">
        <v>11007</v>
      </c>
      <c r="G3058" t="str">
        <f>IF('4L'!G12="","##BLANK",'4L'!G12)</f>
        <v>##BLANK</v>
      </c>
    </row>
    <row r="3059" spans="2:7">
      <c r="B3059" s="893" t="str">
        <f>+'4L'!BB13</f>
        <v>W3006AL</v>
      </c>
      <c r="E3059" s="1753" t="s">
        <v>11007</v>
      </c>
      <c r="G3059" t="str">
        <f>IF('4L'!G13="","##BLANK",'4L'!G13)</f>
        <v>##BLANK</v>
      </c>
    </row>
    <row r="3060" spans="2:7">
      <c r="B3060" s="893" t="str">
        <f>+'4L'!BB14</f>
        <v>W3007SAL</v>
      </c>
      <c r="E3060" s="1753" t="s">
        <v>11007</v>
      </c>
      <c r="G3060" t="str">
        <f>IF('4L'!G14="","##BLANK",'4L'!G14)</f>
        <v>##BLANK</v>
      </c>
    </row>
    <row r="3061" spans="2:7">
      <c r="B3061" s="893" t="str">
        <f>+'4L'!BB15</f>
        <v>W3008SAL</v>
      </c>
      <c r="E3061" s="1753" t="s">
        <v>11007</v>
      </c>
      <c r="G3061" t="str">
        <f>IF('4L'!G15="","##BLANK",'4L'!G15)</f>
        <v>##BLANK</v>
      </c>
    </row>
    <row r="3062" spans="2:7">
      <c r="B3062" s="893" t="str">
        <f>+'4L'!BB16</f>
        <v>W3007DAL</v>
      </c>
      <c r="E3062" s="1753" t="s">
        <v>11007</v>
      </c>
      <c r="G3062" t="str">
        <f>IF('4L'!G16="","##BLANK",'4L'!G16)</f>
        <v>##BLANK</v>
      </c>
    </row>
    <row r="3063" spans="2:7">
      <c r="B3063" s="893" t="str">
        <f>+'4L'!BB17</f>
        <v>W3008DAL</v>
      </c>
      <c r="E3063" s="1753" t="s">
        <v>11007</v>
      </c>
      <c r="G3063" t="str">
        <f>IF('4L'!G17="","##BLANK",'4L'!G17)</f>
        <v>##BLANK</v>
      </c>
    </row>
    <row r="3064" spans="2:7">
      <c r="B3064" s="893" t="str">
        <f>+'4L'!BB18</f>
        <v>W3009AL</v>
      </c>
      <c r="E3064" s="1753" t="s">
        <v>11007</v>
      </c>
      <c r="G3064" t="str">
        <f>IF('4L'!G18="","##BLANK",'4L'!G18)</f>
        <v>##BLANK</v>
      </c>
    </row>
    <row r="3065" spans="2:7">
      <c r="B3065" s="893" t="str">
        <f>+'4L'!BB19</f>
        <v>WS2004AL</v>
      </c>
      <c r="E3065" s="1753" t="s">
        <v>11007</v>
      </c>
      <c r="G3065" t="str">
        <f>IF('4L'!G19="","##BLANK",'4L'!G19)</f>
        <v>##BLANK</v>
      </c>
    </row>
    <row r="3066" spans="2:7">
      <c r="B3066" s="893" t="str">
        <f>+'4L'!BB20</f>
        <v>W3010AL</v>
      </c>
      <c r="E3066" s="1753" t="s">
        <v>11007</v>
      </c>
      <c r="G3066" t="str">
        <f>IF('4L'!G20="","##BLANK",'4L'!G20)</f>
        <v>##BLANK</v>
      </c>
    </row>
    <row r="3067" spans="2:7">
      <c r="B3067" s="893" t="str">
        <f>+'4L'!BB21</f>
        <v>W3011AL</v>
      </c>
      <c r="E3067" s="1753" t="s">
        <v>11007</v>
      </c>
      <c r="G3067" t="str">
        <f>IF('4L'!G21="","##BLANK",'4L'!G21)</f>
        <v>##BLANK</v>
      </c>
    </row>
    <row r="3068" spans="2:7">
      <c r="B3068" s="893" t="str">
        <f>+'4L'!BB22</f>
        <v>W3012AL</v>
      </c>
      <c r="E3068" s="1753" t="s">
        <v>11007</v>
      </c>
      <c r="G3068" t="str">
        <f>IF('4L'!G22="","##BLANK",'4L'!G22)</f>
        <v>##BLANK</v>
      </c>
    </row>
    <row r="3069" spans="2:7">
      <c r="B3069" s="893" t="str">
        <f>+'4L'!BB23</f>
        <v>WS2006AL</v>
      </c>
      <c r="E3069" s="1753" t="s">
        <v>11007</v>
      </c>
      <c r="G3069" t="str">
        <f>IF('4L'!G23="","##BLANK",'4L'!G23)</f>
        <v>##BLANK</v>
      </c>
    </row>
    <row r="3070" spans="2:7">
      <c r="B3070" s="893" t="str">
        <f>+'4L'!BB24</f>
        <v>WS2007AL</v>
      </c>
      <c r="E3070" s="1753" t="s">
        <v>11007</v>
      </c>
      <c r="G3070" t="str">
        <f>IF('4L'!G24="","##BLANK",'4L'!G24)</f>
        <v>##BLANK</v>
      </c>
    </row>
    <row r="3071" spans="2:7">
      <c r="B3071" s="893" t="str">
        <f>+'4L'!BB25</f>
        <v>WS2008AL</v>
      </c>
      <c r="E3071" s="1753" t="s">
        <v>11007</v>
      </c>
      <c r="G3071" t="str">
        <f>IF('4L'!G25="","##BLANK",'4L'!G25)</f>
        <v>##BLANK</v>
      </c>
    </row>
    <row r="3072" spans="2:7">
      <c r="B3072" s="893" t="str">
        <f>+'4L'!BB26</f>
        <v>W3027AL</v>
      </c>
      <c r="E3072" s="1753" t="s">
        <v>11007</v>
      </c>
      <c r="G3072" t="str">
        <f>IF('4L'!G26="","##BLANK",'4L'!G26)</f>
        <v>##BLANK</v>
      </c>
    </row>
    <row r="3073" spans="2:7">
      <c r="B3073" s="893" t="str">
        <f>+'4L'!BB27</f>
        <v>W3028OPTAL</v>
      </c>
      <c r="E3073" s="1753" t="s">
        <v>11007</v>
      </c>
      <c r="G3073" t="str">
        <f>IF('4L'!G27="","##BLANK",'4L'!G27)</f>
        <v>##BLANK</v>
      </c>
    </row>
    <row r="3074" spans="2:7">
      <c r="B3074" s="893" t="str">
        <f>+'4L'!BB28</f>
        <v>W3028COMAL</v>
      </c>
      <c r="E3074" s="1753" t="s">
        <v>11007</v>
      </c>
      <c r="G3074" t="str">
        <f>IF('4L'!G28="","##BLANK",'4L'!G28)</f>
        <v>##BLANK</v>
      </c>
    </row>
    <row r="3075" spans="2:7">
      <c r="B3075" s="893" t="str">
        <f>+'4L'!BB29</f>
        <v>W3028NHOAL</v>
      </c>
      <c r="E3075" s="1753" t="s">
        <v>11007</v>
      </c>
      <c r="G3075" t="str">
        <f>IF('4L'!G29="","##BLANK",'4L'!G29)</f>
        <v>##BLANK</v>
      </c>
    </row>
    <row r="3076" spans="2:7">
      <c r="B3076" s="893" t="str">
        <f>+'4L'!BB30</f>
        <v>W3A00001AL</v>
      </c>
      <c r="E3076" s="1753" t="s">
        <v>11007</v>
      </c>
      <c r="F3076" s="2146" t="str">
        <f>+'4L'!C$30</f>
        <v>Capital expenditure purpose - WATER additional line 1 [Other categories]</v>
      </c>
      <c r="G3076" t="str">
        <f>IF('4L'!G30="","##BLANK",'4L'!G30)</f>
        <v>##BLANK</v>
      </c>
    </row>
    <row r="3077" spans="2:7">
      <c r="B3077" s="893" t="str">
        <f>+'4L'!BB31</f>
        <v>W3A00002AL</v>
      </c>
      <c r="E3077" s="1753" t="s">
        <v>11007</v>
      </c>
      <c r="F3077" s="2146" t="str">
        <f>+'4L'!C$31</f>
        <v>Capital expenditure purpose - WATER additional line 2 [Other categories]</v>
      </c>
      <c r="G3077" t="str">
        <f>IF('4L'!G31="","##BLANK",'4L'!G31)</f>
        <v>##BLANK</v>
      </c>
    </row>
    <row r="3078" spans="2:7">
      <c r="B3078" s="893" t="str">
        <f>+'4L'!BB32</f>
        <v>W3A00003AL</v>
      </c>
      <c r="E3078" s="1753" t="s">
        <v>11007</v>
      </c>
      <c r="F3078" s="2146" t="str">
        <f>+'4L'!C$32</f>
        <v>Capital expenditure purpose - WATER additional line 3 [Other categories]</v>
      </c>
      <c r="G3078" t="str">
        <f>IF('4L'!G32="","##BLANK",'4L'!G32)</f>
        <v>##BLANK</v>
      </c>
    </row>
    <row r="3079" spans="2:7">
      <c r="B3079" s="893" t="str">
        <f>+'4L'!BB33</f>
        <v>W3A00004AL</v>
      </c>
      <c r="E3079" s="1753" t="s">
        <v>11007</v>
      </c>
      <c r="F3079" s="2146" t="str">
        <f>+'4L'!C$33</f>
        <v>Capital expenditure purpose - WATER additional line 4 [Other categories]</v>
      </c>
      <c r="G3079" t="str">
        <f>IF('4L'!G33="","##BLANK",'4L'!G33)</f>
        <v>##BLANK</v>
      </c>
    </row>
    <row r="3080" spans="2:7">
      <c r="B3080" s="893" t="str">
        <f>+'4L'!BB34</f>
        <v>W3A00005AL</v>
      </c>
      <c r="E3080" s="1753" t="s">
        <v>11007</v>
      </c>
      <c r="F3080" s="2146" t="str">
        <f>+'4L'!C$34</f>
        <v>Capital expenditure purpose - WATER additional line 5 [Other categories]</v>
      </c>
      <c r="G3080" t="str">
        <f>IF('4L'!G34="","##BLANK",'4L'!G34)</f>
        <v>##BLANK</v>
      </c>
    </row>
    <row r="3081" spans="2:7">
      <c r="B3081" s="893" t="str">
        <f>+'4L'!BB35</f>
        <v>W3A00006AL</v>
      </c>
      <c r="E3081" s="1753" t="s">
        <v>11007</v>
      </c>
      <c r="F3081" s="2146" t="str">
        <f>+'4L'!C$35</f>
        <v>Capital expenditure purpose - WATER additional line 6 [Other categories]</v>
      </c>
      <c r="G3081" t="str">
        <f>IF('4L'!G35="","##BLANK",'4L'!G35)</f>
        <v>##BLANK</v>
      </c>
    </row>
    <row r="3082" spans="2:7">
      <c r="B3082" s="893" t="str">
        <f>+'4L'!BB36</f>
        <v>W3A00007AL</v>
      </c>
      <c r="E3082" s="1753" t="s">
        <v>11007</v>
      </c>
      <c r="F3082" s="2146" t="str">
        <f>+'4L'!C$36</f>
        <v>Capital expenditure purpose - WATER additional line 7 [Other categories]</v>
      </c>
      <c r="G3082" t="str">
        <f>IF('4L'!G36="","##BLANK",'4L'!G36)</f>
        <v>##BLANK</v>
      </c>
    </row>
    <row r="3083" spans="2:7">
      <c r="B3083" s="893" t="str">
        <f>+'4L'!BB37</f>
        <v>W3A00008AL</v>
      </c>
      <c r="E3083" s="1753" t="s">
        <v>11007</v>
      </c>
      <c r="F3083" s="2146" t="str">
        <f>+'4L'!C$37</f>
        <v>Capital expenditure purpose - WATER additional line 8 [Other categories]</v>
      </c>
      <c r="G3083" t="str">
        <f>IF('4L'!G37="","##BLANK",'4L'!G37)</f>
        <v>##BLANK</v>
      </c>
    </row>
    <row r="3084" spans="2:7">
      <c r="B3084" s="893" t="str">
        <f>+'4L'!BB38</f>
        <v>W3A00009AL</v>
      </c>
      <c r="E3084" s="1753" t="s">
        <v>11007</v>
      </c>
      <c r="F3084" s="2146" t="str">
        <f>+'4L'!C$38</f>
        <v>Capital expenditure purpose - WATER additional line 9 [Other categories]</v>
      </c>
      <c r="G3084" t="str">
        <f>IF('4L'!G38="","##BLANK",'4L'!G38)</f>
        <v>##BLANK</v>
      </c>
    </row>
    <row r="3085" spans="2:7">
      <c r="B3085" s="893" t="str">
        <f>+'4L'!BB39</f>
        <v>W3A00010AL</v>
      </c>
      <c r="E3085" s="1753" t="s">
        <v>11007</v>
      </c>
      <c r="F3085" s="2146" t="str">
        <f>+'4L'!C$39</f>
        <v>Capital expenditure purpose - WATER additional line 10 [Other categories]</v>
      </c>
      <c r="G3085" t="str">
        <f>IF('4L'!G39="","##BLANK",'4L'!G39)</f>
        <v>##BLANK</v>
      </c>
    </row>
    <row r="3086" spans="2:7">
      <c r="B3086" s="893" t="str">
        <f>+'4L'!BB40</f>
        <v>W3A00011AL</v>
      </c>
      <c r="E3086" s="1753" t="s">
        <v>11007</v>
      </c>
      <c r="F3086" s="2146" t="str">
        <f>+'4L'!C$40</f>
        <v>Capital expenditure purpose - WATER additional line 11 [Other categories]</v>
      </c>
      <c r="G3086" t="str">
        <f>IF('4L'!G40="","##BLANK",'4L'!G40)</f>
        <v>##BLANK</v>
      </c>
    </row>
    <row r="3087" spans="2:7">
      <c r="B3087" s="893" t="str">
        <f>+'4L'!BB41</f>
        <v>W3A00012AL</v>
      </c>
      <c r="E3087" s="1753" t="s">
        <v>11007</v>
      </c>
      <c r="F3087" s="2146" t="str">
        <f>+'4L'!C$41</f>
        <v>Capital expenditure purpose - WATER additional line 12 [Other categories]</v>
      </c>
      <c r="G3087" t="str">
        <f>IF('4L'!G41="","##BLANK",'4L'!G41)</f>
        <v>##BLANK</v>
      </c>
    </row>
    <row r="3088" spans="2:7">
      <c r="B3088" s="893" t="str">
        <f>+'4L'!BB42</f>
        <v>W3A00013AL</v>
      </c>
      <c r="E3088" s="1753" t="s">
        <v>11007</v>
      </c>
      <c r="F3088" s="2146" t="str">
        <f>+'4L'!C$42</f>
        <v>Capital expenditure purpose - WATER additional line 13 [Other categories]</v>
      </c>
      <c r="G3088" t="str">
        <f>IF('4L'!G42="","##BLANK",'4L'!G42)</f>
        <v>##BLANK</v>
      </c>
    </row>
    <row r="3089" spans="2:7">
      <c r="B3089" s="893" t="str">
        <f>+'4L'!BB43</f>
        <v>W3A00014AL</v>
      </c>
      <c r="E3089" s="1753" t="s">
        <v>11007</v>
      </c>
      <c r="F3089" s="2146" t="str">
        <f>+'4L'!C$43</f>
        <v>Capital expenditure purpose - WATER additional line 14 [Other categories]</v>
      </c>
      <c r="G3089" t="str">
        <f>IF('4L'!G43="","##BLANK",'4L'!G43)</f>
        <v>##BLANK</v>
      </c>
    </row>
    <row r="3090" spans="2:7">
      <c r="B3090" s="893" t="str">
        <f>+'4L'!BB44</f>
        <v>W3A00015AL</v>
      </c>
      <c r="E3090" s="1753" t="s">
        <v>11007</v>
      </c>
      <c r="F3090" s="2146" t="str">
        <f>+'4L'!C$44</f>
        <v>Capital expenditure purpose - WATER additional line 15 [Other categories]</v>
      </c>
      <c r="G3090" t="str">
        <f>IF('4L'!G44="","##BLANK",'4L'!G44)</f>
        <v>##BLANK</v>
      </c>
    </row>
    <row r="3091" spans="2:7">
      <c r="B3091" s="893" t="str">
        <f>+'4L'!BB45</f>
        <v>BA2070AL</v>
      </c>
      <c r="E3091" s="1753" t="s">
        <v>11007</v>
      </c>
      <c r="G3091">
        <f>IF('4L'!G45="","##BLANK",'4L'!G45)</f>
        <v>0</v>
      </c>
    </row>
    <row r="3092" spans="2:7">
      <c r="B3092" s="893" t="str">
        <f>+'4L'!BC8</f>
        <v>W3001RWA</v>
      </c>
      <c r="E3092" s="1753" t="s">
        <v>11007</v>
      </c>
      <c r="G3092" t="str">
        <f>IF('4L'!H8="","##BLANK",'4L'!H8)</f>
        <v>##BLANK</v>
      </c>
    </row>
    <row r="3093" spans="2:7">
      <c r="B3093" s="893" t="str">
        <f>+'4L'!BC9</f>
        <v>WS2002RWA</v>
      </c>
      <c r="E3093" s="1753" t="s">
        <v>11007</v>
      </c>
      <c r="G3093" t="str">
        <f>IF('4L'!H9="","##BLANK",'4L'!H9)</f>
        <v>##BLANK</v>
      </c>
    </row>
    <row r="3094" spans="2:7">
      <c r="B3094" s="893" t="str">
        <f>+'4L'!BC10</f>
        <v>WS2003RWA</v>
      </c>
      <c r="E3094" s="1753" t="s">
        <v>11007</v>
      </c>
      <c r="G3094" t="str">
        <f>IF('4L'!H10="","##BLANK",'4L'!H10)</f>
        <v>##BLANK</v>
      </c>
    </row>
    <row r="3095" spans="2:7">
      <c r="B3095" s="893" t="str">
        <f>+'4L'!BC11</f>
        <v>W3002RWA</v>
      </c>
      <c r="E3095" s="1753" t="s">
        <v>11007</v>
      </c>
      <c r="G3095" t="str">
        <f>IF('4L'!H11="","##BLANK",'4L'!H11)</f>
        <v>##BLANK</v>
      </c>
    </row>
    <row r="3096" spans="2:7">
      <c r="B3096" s="893" t="str">
        <f>+'4L'!BC12</f>
        <v>W3003RWA</v>
      </c>
      <c r="E3096" s="1753" t="s">
        <v>11007</v>
      </c>
      <c r="G3096" t="str">
        <f>IF('4L'!H12="","##BLANK",'4L'!H12)</f>
        <v>##BLANK</v>
      </c>
    </row>
    <row r="3097" spans="2:7">
      <c r="B3097" s="893" t="str">
        <f>+'4L'!BC13</f>
        <v>W3006RWA</v>
      </c>
      <c r="E3097" s="1753" t="s">
        <v>11007</v>
      </c>
      <c r="G3097" t="str">
        <f>IF('4L'!H13="","##BLANK",'4L'!H13)</f>
        <v>##BLANK</v>
      </c>
    </row>
    <row r="3098" spans="2:7">
      <c r="B3098" s="893" t="str">
        <f>+'4L'!BC14</f>
        <v>W3007SRWA</v>
      </c>
      <c r="E3098" s="1753" t="s">
        <v>11007</v>
      </c>
      <c r="G3098" t="str">
        <f>IF('4L'!H14="","##BLANK",'4L'!H14)</f>
        <v>##BLANK</v>
      </c>
    </row>
    <row r="3099" spans="2:7">
      <c r="B3099" s="893" t="str">
        <f>+'4L'!BC15</f>
        <v>W3008SRWA</v>
      </c>
      <c r="E3099" s="1753" t="s">
        <v>11007</v>
      </c>
      <c r="G3099" t="str">
        <f>IF('4L'!H15="","##BLANK",'4L'!H15)</f>
        <v>##BLANK</v>
      </c>
    </row>
    <row r="3100" spans="2:7">
      <c r="B3100" s="893" t="str">
        <f>+'4L'!BC16</f>
        <v>W3007DRWA</v>
      </c>
      <c r="E3100" s="1753" t="s">
        <v>11007</v>
      </c>
      <c r="G3100" t="str">
        <f>IF('4L'!H16="","##BLANK",'4L'!H16)</f>
        <v>##BLANK</v>
      </c>
    </row>
    <row r="3101" spans="2:7">
      <c r="B3101" s="893" t="str">
        <f>+'4L'!BC17</f>
        <v>W3008DRWA</v>
      </c>
      <c r="E3101" s="1753" t="s">
        <v>11007</v>
      </c>
      <c r="G3101" t="str">
        <f>IF('4L'!H17="","##BLANK",'4L'!H17)</f>
        <v>##BLANK</v>
      </c>
    </row>
    <row r="3102" spans="2:7">
      <c r="B3102" s="893" t="str">
        <f>+'4L'!BC18</f>
        <v>W3009RWA</v>
      </c>
      <c r="E3102" s="1753" t="s">
        <v>11007</v>
      </c>
      <c r="G3102" t="str">
        <f>IF('4L'!H18="","##BLANK",'4L'!H18)</f>
        <v>##BLANK</v>
      </c>
    </row>
    <row r="3103" spans="2:7">
      <c r="B3103" s="893" t="str">
        <f>+'4L'!BC19</f>
        <v>WS2004RWA</v>
      </c>
      <c r="E3103" s="1753" t="s">
        <v>11007</v>
      </c>
      <c r="G3103" t="str">
        <f>IF('4L'!H19="","##BLANK",'4L'!H19)</f>
        <v>##BLANK</v>
      </c>
    </row>
    <row r="3104" spans="2:7">
      <c r="B3104" s="893" t="str">
        <f>+'4L'!BC20</f>
        <v>W3010RWA</v>
      </c>
      <c r="E3104" s="1753" t="s">
        <v>11007</v>
      </c>
      <c r="G3104" t="str">
        <f>IF('4L'!H20="","##BLANK",'4L'!H20)</f>
        <v>##BLANK</v>
      </c>
    </row>
    <row r="3105" spans="2:7">
      <c r="B3105" s="893" t="str">
        <f>+'4L'!BC21</f>
        <v>W3011RWA</v>
      </c>
      <c r="E3105" s="1753" t="s">
        <v>11007</v>
      </c>
      <c r="G3105" t="str">
        <f>IF('4L'!H21="","##BLANK",'4L'!H21)</f>
        <v>##BLANK</v>
      </c>
    </row>
    <row r="3106" spans="2:7">
      <c r="B3106" s="893" t="str">
        <f>+'4L'!BC22</f>
        <v>W3012RWA</v>
      </c>
      <c r="E3106" s="1753" t="s">
        <v>11007</v>
      </c>
      <c r="G3106" t="str">
        <f>IF('4L'!H22="","##BLANK",'4L'!H22)</f>
        <v>##BLANK</v>
      </c>
    </row>
    <row r="3107" spans="2:7">
      <c r="B3107" s="893" t="str">
        <f>+'4L'!BC23</f>
        <v>WS2006RWA</v>
      </c>
      <c r="E3107" s="1753" t="s">
        <v>11007</v>
      </c>
      <c r="G3107" t="str">
        <f>IF('4L'!H23="","##BLANK",'4L'!H23)</f>
        <v>##BLANK</v>
      </c>
    </row>
    <row r="3108" spans="2:7">
      <c r="B3108" s="893" t="str">
        <f>+'4L'!BC24</f>
        <v>WS2007RWA</v>
      </c>
      <c r="E3108" s="1753" t="s">
        <v>11007</v>
      </c>
      <c r="G3108" t="str">
        <f>IF('4L'!H24="","##BLANK",'4L'!H24)</f>
        <v>##BLANK</v>
      </c>
    </row>
    <row r="3109" spans="2:7">
      <c r="B3109" s="893" t="str">
        <f>+'4L'!BC25</f>
        <v>WS2008RWA</v>
      </c>
      <c r="E3109" s="1753" t="s">
        <v>11007</v>
      </c>
      <c r="G3109" t="str">
        <f>IF('4L'!H25="","##BLANK",'4L'!H25)</f>
        <v>##BLANK</v>
      </c>
    </row>
    <row r="3110" spans="2:7">
      <c r="B3110" s="893" t="str">
        <f>+'4L'!BC26</f>
        <v>W3027RWA</v>
      </c>
      <c r="E3110" s="1753" t="s">
        <v>11007</v>
      </c>
      <c r="G3110" t="str">
        <f>IF('4L'!H26="","##BLANK",'4L'!H26)</f>
        <v>##BLANK</v>
      </c>
    </row>
    <row r="3111" spans="2:7">
      <c r="B3111" s="893" t="str">
        <f>+'4L'!BC27</f>
        <v>W3028OPTRWA</v>
      </c>
      <c r="E3111" s="1753" t="s">
        <v>11007</v>
      </c>
      <c r="G3111" t="str">
        <f>IF('4L'!H27="","##BLANK",'4L'!H27)</f>
        <v>##BLANK</v>
      </c>
    </row>
    <row r="3112" spans="2:7">
      <c r="B3112" s="893" t="str">
        <f>+'4L'!BC28</f>
        <v>W3028COMRWA</v>
      </c>
      <c r="E3112" s="1753" t="s">
        <v>11007</v>
      </c>
      <c r="G3112" t="str">
        <f>IF('4L'!H28="","##BLANK",'4L'!H28)</f>
        <v>##BLANK</v>
      </c>
    </row>
    <row r="3113" spans="2:7">
      <c r="B3113" s="893" t="str">
        <f>+'4L'!BC29</f>
        <v>W3028NHORWA</v>
      </c>
      <c r="E3113" s="1753" t="s">
        <v>11007</v>
      </c>
      <c r="G3113" t="str">
        <f>IF('4L'!H29="","##BLANK",'4L'!H29)</f>
        <v>##BLANK</v>
      </c>
    </row>
    <row r="3114" spans="2:7">
      <c r="B3114" s="893" t="str">
        <f>+'4L'!BC30</f>
        <v>W3A00001RWA</v>
      </c>
      <c r="E3114" s="1753" t="s">
        <v>11007</v>
      </c>
      <c r="F3114" s="2146" t="str">
        <f>+'4L'!C$30</f>
        <v>Capital expenditure purpose - WATER additional line 1 [Other categories]</v>
      </c>
      <c r="G3114" t="str">
        <f>IF('4L'!H30="","##BLANK",'4L'!H30)</f>
        <v>##BLANK</v>
      </c>
    </row>
    <row r="3115" spans="2:7">
      <c r="B3115" s="893" t="str">
        <f>+'4L'!BC31</f>
        <v>W3A00002RWA</v>
      </c>
      <c r="E3115" s="1753" t="s">
        <v>11007</v>
      </c>
      <c r="F3115" s="2146" t="str">
        <f>+'4L'!C$31</f>
        <v>Capital expenditure purpose - WATER additional line 2 [Other categories]</v>
      </c>
      <c r="G3115" t="str">
        <f>IF('4L'!H31="","##BLANK",'4L'!H31)</f>
        <v>##BLANK</v>
      </c>
    </row>
    <row r="3116" spans="2:7">
      <c r="B3116" s="893" t="str">
        <f>+'4L'!BC32</f>
        <v>W3A00003RWA</v>
      </c>
      <c r="E3116" s="1753" t="s">
        <v>11007</v>
      </c>
      <c r="F3116" s="2146" t="str">
        <f>+'4L'!C$32</f>
        <v>Capital expenditure purpose - WATER additional line 3 [Other categories]</v>
      </c>
      <c r="G3116" t="str">
        <f>IF('4L'!H32="","##BLANK",'4L'!H32)</f>
        <v>##BLANK</v>
      </c>
    </row>
    <row r="3117" spans="2:7">
      <c r="B3117" s="893" t="str">
        <f>+'4L'!BC33</f>
        <v>W3A00004RWA</v>
      </c>
      <c r="E3117" s="1753" t="s">
        <v>11007</v>
      </c>
      <c r="F3117" s="2146" t="str">
        <f>+'4L'!C$33</f>
        <v>Capital expenditure purpose - WATER additional line 4 [Other categories]</v>
      </c>
      <c r="G3117" t="str">
        <f>IF('4L'!H33="","##BLANK",'4L'!H33)</f>
        <v>##BLANK</v>
      </c>
    </row>
    <row r="3118" spans="2:7">
      <c r="B3118" s="893" t="str">
        <f>+'4L'!BC34</f>
        <v>W3A00005RWA</v>
      </c>
      <c r="E3118" s="1753" t="s">
        <v>11007</v>
      </c>
      <c r="F3118" s="2146" t="str">
        <f>+'4L'!C$34</f>
        <v>Capital expenditure purpose - WATER additional line 5 [Other categories]</v>
      </c>
      <c r="G3118" t="str">
        <f>IF('4L'!H34="","##BLANK",'4L'!H34)</f>
        <v>##BLANK</v>
      </c>
    </row>
    <row r="3119" spans="2:7">
      <c r="B3119" s="893" t="str">
        <f>+'4L'!BC35</f>
        <v>W3A00006RWA</v>
      </c>
      <c r="E3119" s="1753" t="s">
        <v>11007</v>
      </c>
      <c r="F3119" s="2146" t="str">
        <f>+'4L'!C$35</f>
        <v>Capital expenditure purpose - WATER additional line 6 [Other categories]</v>
      </c>
      <c r="G3119" t="str">
        <f>IF('4L'!H35="","##BLANK",'4L'!H35)</f>
        <v>##BLANK</v>
      </c>
    </row>
    <row r="3120" spans="2:7">
      <c r="B3120" s="893" t="str">
        <f>+'4L'!BC36</f>
        <v>W3A00007RWA</v>
      </c>
      <c r="E3120" s="1753" t="s">
        <v>11007</v>
      </c>
      <c r="F3120" s="2146" t="str">
        <f>+'4L'!C$36</f>
        <v>Capital expenditure purpose - WATER additional line 7 [Other categories]</v>
      </c>
      <c r="G3120" t="str">
        <f>IF('4L'!H36="","##BLANK",'4L'!H36)</f>
        <v>##BLANK</v>
      </c>
    </row>
    <row r="3121" spans="2:7">
      <c r="B3121" s="893" t="str">
        <f>+'4L'!BC37</f>
        <v>W3A00008RWA</v>
      </c>
      <c r="E3121" s="1753" t="s">
        <v>11007</v>
      </c>
      <c r="F3121" s="2146" t="str">
        <f>+'4L'!C$37</f>
        <v>Capital expenditure purpose - WATER additional line 8 [Other categories]</v>
      </c>
      <c r="G3121" t="str">
        <f>IF('4L'!H37="","##BLANK",'4L'!H37)</f>
        <v>##BLANK</v>
      </c>
    </row>
    <row r="3122" spans="2:7">
      <c r="B3122" s="893" t="str">
        <f>+'4L'!BC38</f>
        <v>W3A00009RWA</v>
      </c>
      <c r="E3122" s="1753" t="s">
        <v>11007</v>
      </c>
      <c r="F3122" s="2146" t="str">
        <f>+'4L'!C$38</f>
        <v>Capital expenditure purpose - WATER additional line 9 [Other categories]</v>
      </c>
      <c r="G3122" t="str">
        <f>IF('4L'!H38="","##BLANK",'4L'!H38)</f>
        <v>##BLANK</v>
      </c>
    </row>
    <row r="3123" spans="2:7">
      <c r="B3123" s="893" t="str">
        <f>+'4L'!BC39</f>
        <v>W3A00010RWA</v>
      </c>
      <c r="E3123" s="1753" t="s">
        <v>11007</v>
      </c>
      <c r="F3123" s="2146" t="str">
        <f>+'4L'!C$39</f>
        <v>Capital expenditure purpose - WATER additional line 10 [Other categories]</v>
      </c>
      <c r="G3123" t="str">
        <f>IF('4L'!H39="","##BLANK",'4L'!H39)</f>
        <v>##BLANK</v>
      </c>
    </row>
    <row r="3124" spans="2:7">
      <c r="B3124" s="893" t="str">
        <f>+'4L'!BC40</f>
        <v>W3A00011RWA</v>
      </c>
      <c r="E3124" s="1753" t="s">
        <v>11007</v>
      </c>
      <c r="F3124" s="2146" t="str">
        <f>+'4L'!C$40</f>
        <v>Capital expenditure purpose - WATER additional line 11 [Other categories]</v>
      </c>
      <c r="G3124" t="str">
        <f>IF('4L'!H40="","##BLANK",'4L'!H40)</f>
        <v>##BLANK</v>
      </c>
    </row>
    <row r="3125" spans="2:7">
      <c r="B3125" s="893" t="str">
        <f>+'4L'!BC41</f>
        <v>W3A00012RWA</v>
      </c>
      <c r="E3125" s="1753" t="s">
        <v>11007</v>
      </c>
      <c r="F3125" s="2146" t="str">
        <f>+'4L'!C$41</f>
        <v>Capital expenditure purpose - WATER additional line 12 [Other categories]</v>
      </c>
      <c r="G3125" t="str">
        <f>IF('4L'!H41="","##BLANK",'4L'!H41)</f>
        <v>##BLANK</v>
      </c>
    </row>
    <row r="3126" spans="2:7">
      <c r="B3126" s="893" t="str">
        <f>+'4L'!BC42</f>
        <v>W3A00013RWA</v>
      </c>
      <c r="E3126" s="1753" t="s">
        <v>11007</v>
      </c>
      <c r="F3126" s="2146" t="str">
        <f>+'4L'!C$42</f>
        <v>Capital expenditure purpose - WATER additional line 13 [Other categories]</v>
      </c>
      <c r="G3126" t="str">
        <f>IF('4L'!H42="","##BLANK",'4L'!H42)</f>
        <v>##BLANK</v>
      </c>
    </row>
    <row r="3127" spans="2:7">
      <c r="B3127" s="893" t="str">
        <f>+'4L'!BC43</f>
        <v>W3A00014RWA</v>
      </c>
      <c r="E3127" s="1753" t="s">
        <v>11007</v>
      </c>
      <c r="F3127" s="2146" t="str">
        <f>+'4L'!C$43</f>
        <v>Capital expenditure purpose - WATER additional line 14 [Other categories]</v>
      </c>
      <c r="G3127" t="str">
        <f>IF('4L'!H43="","##BLANK",'4L'!H43)</f>
        <v>##BLANK</v>
      </c>
    </row>
    <row r="3128" spans="2:7">
      <c r="B3128" s="893" t="str">
        <f>+'4L'!BC44</f>
        <v>W3A00015RWA</v>
      </c>
      <c r="E3128" s="1753" t="s">
        <v>11007</v>
      </c>
      <c r="F3128" s="2146" t="str">
        <f>+'4L'!C$44</f>
        <v>Capital expenditure purpose - WATER additional line 15 [Other categories]</v>
      </c>
      <c r="G3128" t="str">
        <f>IF('4L'!H44="","##BLANK",'4L'!H44)</f>
        <v>##BLANK</v>
      </c>
    </row>
    <row r="3129" spans="2:7">
      <c r="B3129" s="893" t="str">
        <f>+'4L'!BC45</f>
        <v>BA2070RWA</v>
      </c>
      <c r="E3129" s="1753" t="s">
        <v>11007</v>
      </c>
      <c r="G3129">
        <f>IF('4L'!H45="","##BLANK",'4L'!H45)</f>
        <v>0</v>
      </c>
    </row>
    <row r="3130" spans="2:7">
      <c r="B3130" s="893" t="str">
        <f>+'4L'!BD8</f>
        <v>W3001RWT</v>
      </c>
      <c r="E3130" s="1753" t="s">
        <v>11007</v>
      </c>
      <c r="G3130" t="str">
        <f>IF('4L'!I8="","##BLANK",'4L'!I8)</f>
        <v>##BLANK</v>
      </c>
    </row>
    <row r="3131" spans="2:7">
      <c r="B3131" s="893" t="str">
        <f>+'4L'!BD9</f>
        <v>WS2002RWT</v>
      </c>
      <c r="E3131" s="1753" t="s">
        <v>11007</v>
      </c>
      <c r="G3131" t="str">
        <f>IF('4L'!I9="","##BLANK",'4L'!I9)</f>
        <v>##BLANK</v>
      </c>
    </row>
    <row r="3132" spans="2:7">
      <c r="B3132" s="893" t="str">
        <f>+'4L'!BD10</f>
        <v>WS2003RWT</v>
      </c>
      <c r="E3132" s="1753" t="s">
        <v>11007</v>
      </c>
      <c r="G3132" t="str">
        <f>IF('4L'!I10="","##BLANK",'4L'!I10)</f>
        <v>##BLANK</v>
      </c>
    </row>
    <row r="3133" spans="2:7">
      <c r="B3133" s="893" t="str">
        <f>+'4L'!BD11</f>
        <v>W3002RWT</v>
      </c>
      <c r="E3133" s="1753" t="s">
        <v>11007</v>
      </c>
      <c r="G3133" t="str">
        <f>IF('4L'!I11="","##BLANK",'4L'!I11)</f>
        <v>##BLANK</v>
      </c>
    </row>
    <row r="3134" spans="2:7">
      <c r="B3134" s="893" t="str">
        <f>+'4L'!BD12</f>
        <v>W3003RWT</v>
      </c>
      <c r="E3134" s="1753" t="s">
        <v>11007</v>
      </c>
      <c r="G3134" t="str">
        <f>IF('4L'!I12="","##BLANK",'4L'!I12)</f>
        <v>##BLANK</v>
      </c>
    </row>
    <row r="3135" spans="2:7">
      <c r="B3135" s="893" t="str">
        <f>+'4L'!BD13</f>
        <v>W3006RWT</v>
      </c>
      <c r="E3135" s="1753" t="s">
        <v>11007</v>
      </c>
      <c r="G3135" t="str">
        <f>IF('4L'!I13="","##BLANK",'4L'!I13)</f>
        <v>##BLANK</v>
      </c>
    </row>
    <row r="3136" spans="2:7">
      <c r="B3136" s="893" t="str">
        <f>+'4L'!BD14</f>
        <v>W3007SRWT</v>
      </c>
      <c r="E3136" s="1753" t="s">
        <v>11007</v>
      </c>
      <c r="G3136" t="str">
        <f>IF('4L'!I14="","##BLANK",'4L'!I14)</f>
        <v>##BLANK</v>
      </c>
    </row>
    <row r="3137" spans="2:7">
      <c r="B3137" s="893" t="str">
        <f>+'4L'!BD15</f>
        <v>W3008SRWT</v>
      </c>
      <c r="E3137" s="1753" t="s">
        <v>11007</v>
      </c>
      <c r="G3137" t="str">
        <f>IF('4L'!I15="","##BLANK",'4L'!I15)</f>
        <v>##BLANK</v>
      </c>
    </row>
    <row r="3138" spans="2:7">
      <c r="B3138" s="893" t="str">
        <f>+'4L'!BD16</f>
        <v>W3007DRWT</v>
      </c>
      <c r="E3138" s="1753" t="s">
        <v>11007</v>
      </c>
      <c r="G3138" t="str">
        <f>IF('4L'!I16="","##BLANK",'4L'!I16)</f>
        <v>##BLANK</v>
      </c>
    </row>
    <row r="3139" spans="2:7">
      <c r="B3139" s="893" t="str">
        <f>+'4L'!BD17</f>
        <v>W3008DRWT</v>
      </c>
      <c r="E3139" s="1753" t="s">
        <v>11007</v>
      </c>
      <c r="G3139" t="str">
        <f>IF('4L'!I17="","##BLANK",'4L'!I17)</f>
        <v>##BLANK</v>
      </c>
    </row>
    <row r="3140" spans="2:7">
      <c r="B3140" s="893" t="str">
        <f>+'4L'!BD18</f>
        <v>W3009RWT</v>
      </c>
      <c r="E3140" s="1753" t="s">
        <v>11007</v>
      </c>
      <c r="G3140" t="str">
        <f>IF('4L'!I18="","##BLANK",'4L'!I18)</f>
        <v>##BLANK</v>
      </c>
    </row>
    <row r="3141" spans="2:7">
      <c r="B3141" s="893" t="str">
        <f>+'4L'!BD19</f>
        <v>WS2004RWT</v>
      </c>
      <c r="E3141" s="1753" t="s">
        <v>11007</v>
      </c>
      <c r="G3141" t="str">
        <f>IF('4L'!I19="","##BLANK",'4L'!I19)</f>
        <v>##BLANK</v>
      </c>
    </row>
    <row r="3142" spans="2:7">
      <c r="B3142" s="893" t="str">
        <f>+'4L'!BD20</f>
        <v>W3010RWT</v>
      </c>
      <c r="E3142" s="1753" t="s">
        <v>11007</v>
      </c>
      <c r="G3142" t="str">
        <f>IF('4L'!I20="","##BLANK",'4L'!I20)</f>
        <v>##BLANK</v>
      </c>
    </row>
    <row r="3143" spans="2:7">
      <c r="B3143" s="893" t="str">
        <f>+'4L'!BD21</f>
        <v>W3011RWT</v>
      </c>
      <c r="E3143" s="1753" t="s">
        <v>11007</v>
      </c>
      <c r="G3143" t="str">
        <f>IF('4L'!I21="","##BLANK",'4L'!I21)</f>
        <v>##BLANK</v>
      </c>
    </row>
    <row r="3144" spans="2:7">
      <c r="B3144" s="893" t="str">
        <f>+'4L'!BD22</f>
        <v>W3012RWT</v>
      </c>
      <c r="E3144" s="1753" t="s">
        <v>11007</v>
      </c>
      <c r="G3144" t="str">
        <f>IF('4L'!I22="","##BLANK",'4L'!I22)</f>
        <v>##BLANK</v>
      </c>
    </row>
    <row r="3145" spans="2:7">
      <c r="B3145" s="893" t="str">
        <f>+'4L'!BD23</f>
        <v>WS2006RWT</v>
      </c>
      <c r="E3145" s="1753" t="s">
        <v>11007</v>
      </c>
      <c r="G3145" t="str">
        <f>IF('4L'!I23="","##BLANK",'4L'!I23)</f>
        <v>##BLANK</v>
      </c>
    </row>
    <row r="3146" spans="2:7">
      <c r="B3146" s="893" t="str">
        <f>+'4L'!BD24</f>
        <v>WS2007RWT</v>
      </c>
      <c r="E3146" s="1753" t="s">
        <v>11007</v>
      </c>
      <c r="G3146" t="str">
        <f>IF('4L'!I24="","##BLANK",'4L'!I24)</f>
        <v>##BLANK</v>
      </c>
    </row>
    <row r="3147" spans="2:7">
      <c r="B3147" s="893" t="str">
        <f>+'4L'!BD25</f>
        <v>WS2008RWT</v>
      </c>
      <c r="E3147" s="1753" t="s">
        <v>11007</v>
      </c>
      <c r="G3147" t="str">
        <f>IF('4L'!I25="","##BLANK",'4L'!I25)</f>
        <v>##BLANK</v>
      </c>
    </row>
    <row r="3148" spans="2:7">
      <c r="B3148" s="893" t="str">
        <f>+'4L'!BD26</f>
        <v>W3027RWT</v>
      </c>
      <c r="E3148" s="1753" t="s">
        <v>11007</v>
      </c>
      <c r="G3148" t="str">
        <f>IF('4L'!I26="","##BLANK",'4L'!I26)</f>
        <v>##BLANK</v>
      </c>
    </row>
    <row r="3149" spans="2:7">
      <c r="B3149" s="893" t="str">
        <f>+'4L'!BD27</f>
        <v>W3028OPTRWT</v>
      </c>
      <c r="E3149" s="1753" t="s">
        <v>11007</v>
      </c>
      <c r="G3149" t="str">
        <f>IF('4L'!I27="","##BLANK",'4L'!I27)</f>
        <v>##BLANK</v>
      </c>
    </row>
    <row r="3150" spans="2:7">
      <c r="B3150" s="893" t="str">
        <f>+'4L'!BD28</f>
        <v>W3028COMRWT</v>
      </c>
      <c r="E3150" s="1753" t="s">
        <v>11007</v>
      </c>
      <c r="G3150" t="str">
        <f>IF('4L'!I28="","##BLANK",'4L'!I28)</f>
        <v>##BLANK</v>
      </c>
    </row>
    <row r="3151" spans="2:7">
      <c r="B3151" s="893" t="str">
        <f>+'4L'!BD29</f>
        <v>W3028NHORWT</v>
      </c>
      <c r="E3151" s="1753" t="s">
        <v>11007</v>
      </c>
      <c r="G3151" t="str">
        <f>IF('4L'!I29="","##BLANK",'4L'!I29)</f>
        <v>##BLANK</v>
      </c>
    </row>
    <row r="3152" spans="2:7">
      <c r="B3152" s="893" t="str">
        <f>+'4L'!BD30</f>
        <v>W3A00001RWT</v>
      </c>
      <c r="E3152" s="1753" t="s">
        <v>11007</v>
      </c>
      <c r="F3152" s="2146" t="str">
        <f>+'4L'!C$30</f>
        <v>Capital expenditure purpose - WATER additional line 1 [Other categories]</v>
      </c>
      <c r="G3152" t="str">
        <f>IF('4L'!I30="","##BLANK",'4L'!I30)</f>
        <v>##BLANK</v>
      </c>
    </row>
    <row r="3153" spans="2:7">
      <c r="B3153" s="893" t="str">
        <f>+'4L'!BD31</f>
        <v>W3A00002RWT</v>
      </c>
      <c r="E3153" s="1753" t="s">
        <v>11007</v>
      </c>
      <c r="F3153" s="2146" t="str">
        <f>+'4L'!C$31</f>
        <v>Capital expenditure purpose - WATER additional line 2 [Other categories]</v>
      </c>
      <c r="G3153" t="str">
        <f>IF('4L'!I31="","##BLANK",'4L'!I31)</f>
        <v>##BLANK</v>
      </c>
    </row>
    <row r="3154" spans="2:7">
      <c r="B3154" s="893" t="str">
        <f>+'4L'!BD32</f>
        <v>W3A00003RWT</v>
      </c>
      <c r="E3154" s="1753" t="s">
        <v>11007</v>
      </c>
      <c r="F3154" s="2146" t="str">
        <f>+'4L'!C$32</f>
        <v>Capital expenditure purpose - WATER additional line 3 [Other categories]</v>
      </c>
      <c r="G3154" t="str">
        <f>IF('4L'!I32="","##BLANK",'4L'!I32)</f>
        <v>##BLANK</v>
      </c>
    </row>
    <row r="3155" spans="2:7">
      <c r="B3155" s="893" t="str">
        <f>+'4L'!BD33</f>
        <v>W3A00004RWT</v>
      </c>
      <c r="E3155" s="1753" t="s">
        <v>11007</v>
      </c>
      <c r="F3155" s="2146" t="str">
        <f>+'4L'!C$33</f>
        <v>Capital expenditure purpose - WATER additional line 4 [Other categories]</v>
      </c>
      <c r="G3155" t="str">
        <f>IF('4L'!I33="","##BLANK",'4L'!I33)</f>
        <v>##BLANK</v>
      </c>
    </row>
    <row r="3156" spans="2:7">
      <c r="B3156" s="893" t="str">
        <f>+'4L'!BD34</f>
        <v>W3A00005RWT</v>
      </c>
      <c r="E3156" s="1753" t="s">
        <v>11007</v>
      </c>
      <c r="F3156" s="2146" t="str">
        <f>+'4L'!C$34</f>
        <v>Capital expenditure purpose - WATER additional line 5 [Other categories]</v>
      </c>
      <c r="G3156" t="str">
        <f>IF('4L'!I34="","##BLANK",'4L'!I34)</f>
        <v>##BLANK</v>
      </c>
    </row>
    <row r="3157" spans="2:7">
      <c r="B3157" s="893" t="str">
        <f>+'4L'!BD35</f>
        <v>W3A00006RWT</v>
      </c>
      <c r="E3157" s="1753" t="s">
        <v>11007</v>
      </c>
      <c r="F3157" s="2146" t="str">
        <f>+'4L'!C$35</f>
        <v>Capital expenditure purpose - WATER additional line 6 [Other categories]</v>
      </c>
      <c r="G3157" t="str">
        <f>IF('4L'!I35="","##BLANK",'4L'!I35)</f>
        <v>##BLANK</v>
      </c>
    </row>
    <row r="3158" spans="2:7">
      <c r="B3158" s="893" t="str">
        <f>+'4L'!BD36</f>
        <v>W3A00007RWT</v>
      </c>
      <c r="E3158" s="1753" t="s">
        <v>11007</v>
      </c>
      <c r="F3158" s="2146" t="str">
        <f>+'4L'!C$36</f>
        <v>Capital expenditure purpose - WATER additional line 7 [Other categories]</v>
      </c>
      <c r="G3158" t="str">
        <f>IF('4L'!I36="","##BLANK",'4L'!I36)</f>
        <v>##BLANK</v>
      </c>
    </row>
    <row r="3159" spans="2:7">
      <c r="B3159" s="893" t="str">
        <f>+'4L'!BD37</f>
        <v>W3A00008RWT</v>
      </c>
      <c r="E3159" s="1753" t="s">
        <v>11007</v>
      </c>
      <c r="F3159" s="2146" t="str">
        <f>+'4L'!C$37</f>
        <v>Capital expenditure purpose - WATER additional line 8 [Other categories]</v>
      </c>
      <c r="G3159" t="str">
        <f>IF('4L'!I37="","##BLANK",'4L'!I37)</f>
        <v>##BLANK</v>
      </c>
    </row>
    <row r="3160" spans="2:7">
      <c r="B3160" s="893" t="str">
        <f>+'4L'!BD38</f>
        <v>W3A00009RWT</v>
      </c>
      <c r="E3160" s="1753" t="s">
        <v>11007</v>
      </c>
      <c r="F3160" s="2146" t="str">
        <f>+'4L'!C$38</f>
        <v>Capital expenditure purpose - WATER additional line 9 [Other categories]</v>
      </c>
      <c r="G3160" t="str">
        <f>IF('4L'!I38="","##BLANK",'4L'!I38)</f>
        <v>##BLANK</v>
      </c>
    </row>
    <row r="3161" spans="2:7">
      <c r="B3161" s="893" t="str">
        <f>+'4L'!BD39</f>
        <v>W3A00010RWT</v>
      </c>
      <c r="E3161" s="1753" t="s">
        <v>11007</v>
      </c>
      <c r="F3161" s="2146" t="str">
        <f>+'4L'!C$39</f>
        <v>Capital expenditure purpose - WATER additional line 10 [Other categories]</v>
      </c>
      <c r="G3161" t="str">
        <f>IF('4L'!I39="","##BLANK",'4L'!I39)</f>
        <v>##BLANK</v>
      </c>
    </row>
    <row r="3162" spans="2:7">
      <c r="B3162" s="893" t="str">
        <f>+'4L'!BD40</f>
        <v>W3A00011RWT</v>
      </c>
      <c r="E3162" s="1753" t="s">
        <v>11007</v>
      </c>
      <c r="F3162" s="2146" t="str">
        <f>+'4L'!C$40</f>
        <v>Capital expenditure purpose - WATER additional line 11 [Other categories]</v>
      </c>
      <c r="G3162" t="str">
        <f>IF('4L'!I40="","##BLANK",'4L'!I40)</f>
        <v>##BLANK</v>
      </c>
    </row>
    <row r="3163" spans="2:7">
      <c r="B3163" s="893" t="str">
        <f>+'4L'!BD41</f>
        <v>W3A00012RWT</v>
      </c>
      <c r="E3163" s="1753" t="s">
        <v>11007</v>
      </c>
      <c r="F3163" s="2146" t="str">
        <f>+'4L'!C$41</f>
        <v>Capital expenditure purpose - WATER additional line 12 [Other categories]</v>
      </c>
      <c r="G3163" t="str">
        <f>IF('4L'!I41="","##BLANK",'4L'!I41)</f>
        <v>##BLANK</v>
      </c>
    </row>
    <row r="3164" spans="2:7">
      <c r="B3164" s="893" t="str">
        <f>+'4L'!BD42</f>
        <v>W3A00013RWT</v>
      </c>
      <c r="E3164" s="1753" t="s">
        <v>11007</v>
      </c>
      <c r="F3164" s="2146" t="str">
        <f>+'4L'!C$42</f>
        <v>Capital expenditure purpose - WATER additional line 13 [Other categories]</v>
      </c>
      <c r="G3164" t="str">
        <f>IF('4L'!I42="","##BLANK",'4L'!I42)</f>
        <v>##BLANK</v>
      </c>
    </row>
    <row r="3165" spans="2:7">
      <c r="B3165" s="893" t="str">
        <f>+'4L'!BD43</f>
        <v>W3A00014RWT</v>
      </c>
      <c r="E3165" s="1753" t="s">
        <v>11007</v>
      </c>
      <c r="F3165" s="2146" t="str">
        <f>+'4L'!C$43</f>
        <v>Capital expenditure purpose - WATER additional line 14 [Other categories]</v>
      </c>
      <c r="G3165" t="str">
        <f>IF('4L'!I43="","##BLANK",'4L'!I43)</f>
        <v>##BLANK</v>
      </c>
    </row>
    <row r="3166" spans="2:7">
      <c r="B3166" s="893" t="str">
        <f>+'4L'!BD44</f>
        <v>W3A00015RWT</v>
      </c>
      <c r="E3166" s="1753" t="s">
        <v>11007</v>
      </c>
      <c r="F3166" s="2146" t="str">
        <f>+'4L'!C$44</f>
        <v>Capital expenditure purpose - WATER additional line 15 [Other categories]</v>
      </c>
      <c r="G3166" t="str">
        <f>IF('4L'!I44="","##BLANK",'4L'!I44)</f>
        <v>##BLANK</v>
      </c>
    </row>
    <row r="3167" spans="2:7">
      <c r="B3167" s="893" t="str">
        <f>+'4L'!BD45</f>
        <v>BA2070RWT</v>
      </c>
      <c r="E3167" s="1753" t="s">
        <v>11007</v>
      </c>
      <c r="G3167">
        <f>IF('4L'!I45="","##BLANK",'4L'!I45)</f>
        <v>0</v>
      </c>
    </row>
    <row r="3168" spans="2:7">
      <c r="B3168" s="893" t="str">
        <f>+'4L'!BE8</f>
        <v>W3001RWS</v>
      </c>
      <c r="E3168" s="1753" t="s">
        <v>11007</v>
      </c>
      <c r="G3168" t="str">
        <f>IF('4L'!J8="","##BLANK",'4L'!J8)</f>
        <v>##BLANK</v>
      </c>
    </row>
    <row r="3169" spans="2:7">
      <c r="B3169" s="893" t="str">
        <f>+'4L'!BE9</f>
        <v>WS2002RWS</v>
      </c>
      <c r="E3169" s="1753" t="s">
        <v>11007</v>
      </c>
      <c r="G3169" t="str">
        <f>IF('4L'!J9="","##BLANK",'4L'!J9)</f>
        <v>##BLANK</v>
      </c>
    </row>
    <row r="3170" spans="2:7">
      <c r="B3170" s="893" t="str">
        <f>+'4L'!BE10</f>
        <v>WS2003RWS</v>
      </c>
      <c r="E3170" s="1753" t="s">
        <v>11007</v>
      </c>
      <c r="G3170" t="str">
        <f>IF('4L'!J10="","##BLANK",'4L'!J10)</f>
        <v>##BLANK</v>
      </c>
    </row>
    <row r="3171" spans="2:7">
      <c r="B3171" s="893" t="str">
        <f>+'4L'!BE11</f>
        <v>W3002RWS</v>
      </c>
      <c r="E3171" s="1753" t="s">
        <v>11007</v>
      </c>
      <c r="G3171" t="str">
        <f>IF('4L'!J11="","##BLANK",'4L'!J11)</f>
        <v>##BLANK</v>
      </c>
    </row>
    <row r="3172" spans="2:7">
      <c r="B3172" s="893" t="str">
        <f>+'4L'!BE12</f>
        <v>W3003RWS</v>
      </c>
      <c r="E3172" s="1753" t="s">
        <v>11007</v>
      </c>
      <c r="G3172" t="str">
        <f>IF('4L'!J12="","##BLANK",'4L'!J12)</f>
        <v>##BLANK</v>
      </c>
    </row>
    <row r="3173" spans="2:7">
      <c r="B3173" s="893" t="str">
        <f>+'4L'!BE13</f>
        <v>W3006RWS</v>
      </c>
      <c r="E3173" s="1753" t="s">
        <v>11007</v>
      </c>
      <c r="G3173" t="str">
        <f>IF('4L'!J13="","##BLANK",'4L'!J13)</f>
        <v>##BLANK</v>
      </c>
    </row>
    <row r="3174" spans="2:7">
      <c r="B3174" s="893" t="str">
        <f>+'4L'!BE14</f>
        <v>W3007SRWS</v>
      </c>
      <c r="E3174" s="1753" t="s">
        <v>11007</v>
      </c>
      <c r="G3174" t="str">
        <f>IF('4L'!J14="","##BLANK",'4L'!J14)</f>
        <v>##BLANK</v>
      </c>
    </row>
    <row r="3175" spans="2:7">
      <c r="B3175" s="893" t="str">
        <f>+'4L'!BE15</f>
        <v>W3008SRWS</v>
      </c>
      <c r="E3175" s="1753" t="s">
        <v>11007</v>
      </c>
      <c r="G3175" t="str">
        <f>IF('4L'!J15="","##BLANK",'4L'!J15)</f>
        <v>##BLANK</v>
      </c>
    </row>
    <row r="3176" spans="2:7">
      <c r="B3176" s="893" t="str">
        <f>+'4L'!BE16</f>
        <v>W3007DRWS</v>
      </c>
      <c r="E3176" s="1753" t="s">
        <v>11007</v>
      </c>
      <c r="G3176" t="str">
        <f>IF('4L'!J16="","##BLANK",'4L'!J16)</f>
        <v>##BLANK</v>
      </c>
    </row>
    <row r="3177" spans="2:7">
      <c r="B3177" s="893" t="str">
        <f>+'4L'!BE17</f>
        <v>W3008DRWS</v>
      </c>
      <c r="E3177" s="1753" t="s">
        <v>11007</v>
      </c>
      <c r="G3177" t="str">
        <f>IF('4L'!J17="","##BLANK",'4L'!J17)</f>
        <v>##BLANK</v>
      </c>
    </row>
    <row r="3178" spans="2:7">
      <c r="B3178" s="893" t="str">
        <f>+'4L'!BE18</f>
        <v>W3009RWS</v>
      </c>
      <c r="E3178" s="1753" t="s">
        <v>11007</v>
      </c>
      <c r="G3178" t="str">
        <f>IF('4L'!J18="","##BLANK",'4L'!J18)</f>
        <v>##BLANK</v>
      </c>
    </row>
    <row r="3179" spans="2:7">
      <c r="B3179" s="893" t="str">
        <f>+'4L'!BE19</f>
        <v>WS2004RWS</v>
      </c>
      <c r="E3179" s="1753" t="s">
        <v>11007</v>
      </c>
      <c r="G3179" t="str">
        <f>IF('4L'!J19="","##BLANK",'4L'!J19)</f>
        <v>##BLANK</v>
      </c>
    </row>
    <row r="3180" spans="2:7">
      <c r="B3180" s="893" t="str">
        <f>+'4L'!BE20</f>
        <v>W3010RWS</v>
      </c>
      <c r="E3180" s="1753" t="s">
        <v>11007</v>
      </c>
      <c r="G3180" t="str">
        <f>IF('4L'!J20="","##BLANK",'4L'!J20)</f>
        <v>##BLANK</v>
      </c>
    </row>
    <row r="3181" spans="2:7">
      <c r="B3181" s="893" t="str">
        <f>+'4L'!BE21</f>
        <v>W3011RWS</v>
      </c>
      <c r="E3181" s="1753" t="s">
        <v>11007</v>
      </c>
      <c r="G3181" t="str">
        <f>IF('4L'!J21="","##BLANK",'4L'!J21)</f>
        <v>##BLANK</v>
      </c>
    </row>
    <row r="3182" spans="2:7">
      <c r="B3182" s="893" t="str">
        <f>+'4L'!BE22</f>
        <v>W3012RWS</v>
      </c>
      <c r="E3182" s="1753" t="s">
        <v>11007</v>
      </c>
      <c r="G3182" t="str">
        <f>IF('4L'!J22="","##BLANK",'4L'!J22)</f>
        <v>##BLANK</v>
      </c>
    </row>
    <row r="3183" spans="2:7">
      <c r="B3183" s="893" t="str">
        <f>+'4L'!BE23</f>
        <v>WS2006RWS</v>
      </c>
      <c r="E3183" s="1753" t="s">
        <v>11007</v>
      </c>
      <c r="G3183" t="str">
        <f>IF('4L'!J23="","##BLANK",'4L'!J23)</f>
        <v>##BLANK</v>
      </c>
    </row>
    <row r="3184" spans="2:7">
      <c r="B3184" s="893" t="str">
        <f>+'4L'!BE24</f>
        <v>WS2007RWS</v>
      </c>
      <c r="E3184" s="1753" t="s">
        <v>11007</v>
      </c>
      <c r="G3184" t="str">
        <f>IF('4L'!J24="","##BLANK",'4L'!J24)</f>
        <v>##BLANK</v>
      </c>
    </row>
    <row r="3185" spans="2:7">
      <c r="B3185" s="893" t="str">
        <f>+'4L'!BE25</f>
        <v>WS2008RWS</v>
      </c>
      <c r="E3185" s="1753" t="s">
        <v>11007</v>
      </c>
      <c r="G3185" t="str">
        <f>IF('4L'!J25="","##BLANK",'4L'!J25)</f>
        <v>##BLANK</v>
      </c>
    </row>
    <row r="3186" spans="2:7">
      <c r="B3186" s="893" t="str">
        <f>+'4L'!BE26</f>
        <v>W3027RWS</v>
      </c>
      <c r="E3186" s="1753" t="s">
        <v>11007</v>
      </c>
      <c r="G3186" t="str">
        <f>IF('4L'!J26="","##BLANK",'4L'!J26)</f>
        <v>##BLANK</v>
      </c>
    </row>
    <row r="3187" spans="2:7">
      <c r="B3187" s="893" t="str">
        <f>+'4L'!BE27</f>
        <v>W3028OPTRWS</v>
      </c>
      <c r="E3187" s="1753" t="s">
        <v>11007</v>
      </c>
      <c r="G3187" t="str">
        <f>IF('4L'!J27="","##BLANK",'4L'!J27)</f>
        <v>##BLANK</v>
      </c>
    </row>
    <row r="3188" spans="2:7">
      <c r="B3188" s="893" t="str">
        <f>+'4L'!BE28</f>
        <v>W3028COMRWS</v>
      </c>
      <c r="E3188" s="1753" t="s">
        <v>11007</v>
      </c>
      <c r="G3188" t="str">
        <f>IF('4L'!J28="","##BLANK",'4L'!J28)</f>
        <v>##BLANK</v>
      </c>
    </row>
    <row r="3189" spans="2:7">
      <c r="B3189" s="893" t="str">
        <f>+'4L'!BE29</f>
        <v>W3028NHORWS</v>
      </c>
      <c r="E3189" s="1753" t="s">
        <v>11007</v>
      </c>
      <c r="G3189" t="str">
        <f>IF('4L'!J29="","##BLANK",'4L'!J29)</f>
        <v>##BLANK</v>
      </c>
    </row>
    <row r="3190" spans="2:7">
      <c r="B3190" s="893" t="str">
        <f>+'4L'!BE30</f>
        <v>W3A00001RWS</v>
      </c>
      <c r="E3190" s="1753" t="s">
        <v>11007</v>
      </c>
      <c r="F3190" s="2146" t="str">
        <f>+'4L'!C$30</f>
        <v>Capital expenditure purpose - WATER additional line 1 [Other categories]</v>
      </c>
      <c r="G3190" t="str">
        <f>IF('4L'!J30="","##BLANK",'4L'!J30)</f>
        <v>##BLANK</v>
      </c>
    </row>
    <row r="3191" spans="2:7">
      <c r="B3191" s="893" t="str">
        <f>+'4L'!BE31</f>
        <v>W3A00002RWS</v>
      </c>
      <c r="E3191" s="1753" t="s">
        <v>11007</v>
      </c>
      <c r="F3191" s="2146" t="str">
        <f>+'4L'!C$31</f>
        <v>Capital expenditure purpose - WATER additional line 2 [Other categories]</v>
      </c>
      <c r="G3191" t="str">
        <f>IF('4L'!J31="","##BLANK",'4L'!J31)</f>
        <v>##BLANK</v>
      </c>
    </row>
    <row r="3192" spans="2:7">
      <c r="B3192" s="893" t="str">
        <f>+'4L'!BE32</f>
        <v>W3A00003RWS</v>
      </c>
      <c r="E3192" s="1753" t="s">
        <v>11007</v>
      </c>
      <c r="F3192" s="2146" t="str">
        <f>+'4L'!C$32</f>
        <v>Capital expenditure purpose - WATER additional line 3 [Other categories]</v>
      </c>
      <c r="G3192" t="str">
        <f>IF('4L'!J32="","##BLANK",'4L'!J32)</f>
        <v>##BLANK</v>
      </c>
    </row>
    <row r="3193" spans="2:7">
      <c r="B3193" s="893" t="str">
        <f>+'4L'!BE33</f>
        <v>W3A00004RWS</v>
      </c>
      <c r="E3193" s="1753" t="s">
        <v>11007</v>
      </c>
      <c r="F3193" s="2146" t="str">
        <f>+'4L'!C$33</f>
        <v>Capital expenditure purpose - WATER additional line 4 [Other categories]</v>
      </c>
      <c r="G3193" t="str">
        <f>IF('4L'!J33="","##BLANK",'4L'!J33)</f>
        <v>##BLANK</v>
      </c>
    </row>
    <row r="3194" spans="2:7">
      <c r="B3194" s="893" t="str">
        <f>+'4L'!BE34</f>
        <v>W3A00005RWS</v>
      </c>
      <c r="E3194" s="1753" t="s">
        <v>11007</v>
      </c>
      <c r="F3194" s="2146" t="str">
        <f>+'4L'!C$34</f>
        <v>Capital expenditure purpose - WATER additional line 5 [Other categories]</v>
      </c>
      <c r="G3194" t="str">
        <f>IF('4L'!J34="","##BLANK",'4L'!J34)</f>
        <v>##BLANK</v>
      </c>
    </row>
    <row r="3195" spans="2:7">
      <c r="B3195" s="893" t="str">
        <f>+'4L'!BE35</f>
        <v>W3A00006RWS</v>
      </c>
      <c r="E3195" s="1753" t="s">
        <v>11007</v>
      </c>
      <c r="F3195" s="2146" t="str">
        <f>+'4L'!C$35</f>
        <v>Capital expenditure purpose - WATER additional line 6 [Other categories]</v>
      </c>
      <c r="G3195" t="str">
        <f>IF('4L'!J35="","##BLANK",'4L'!J35)</f>
        <v>##BLANK</v>
      </c>
    </row>
    <row r="3196" spans="2:7">
      <c r="B3196" s="893" t="str">
        <f>+'4L'!BE36</f>
        <v>W3A00007RWS</v>
      </c>
      <c r="E3196" s="1753" t="s">
        <v>11007</v>
      </c>
      <c r="F3196" s="2146" t="str">
        <f>+'4L'!C$36</f>
        <v>Capital expenditure purpose - WATER additional line 7 [Other categories]</v>
      </c>
      <c r="G3196" t="str">
        <f>IF('4L'!J36="","##BLANK",'4L'!J36)</f>
        <v>##BLANK</v>
      </c>
    </row>
    <row r="3197" spans="2:7">
      <c r="B3197" s="893" t="str">
        <f>+'4L'!BE37</f>
        <v>W3A00008RWS</v>
      </c>
      <c r="E3197" s="1753" t="s">
        <v>11007</v>
      </c>
      <c r="F3197" s="2146" t="str">
        <f>+'4L'!C$37</f>
        <v>Capital expenditure purpose - WATER additional line 8 [Other categories]</v>
      </c>
      <c r="G3197" t="str">
        <f>IF('4L'!J37="","##BLANK",'4L'!J37)</f>
        <v>##BLANK</v>
      </c>
    </row>
    <row r="3198" spans="2:7">
      <c r="B3198" s="893" t="str">
        <f>+'4L'!BE38</f>
        <v>W3A00009RWS</v>
      </c>
      <c r="E3198" s="1753" t="s">
        <v>11007</v>
      </c>
      <c r="F3198" s="2146" t="str">
        <f>+'4L'!C$38</f>
        <v>Capital expenditure purpose - WATER additional line 9 [Other categories]</v>
      </c>
      <c r="G3198" t="str">
        <f>IF('4L'!J38="","##BLANK",'4L'!J38)</f>
        <v>##BLANK</v>
      </c>
    </row>
    <row r="3199" spans="2:7">
      <c r="B3199" s="893" t="str">
        <f>+'4L'!BE39</f>
        <v>W3A00010RWS</v>
      </c>
      <c r="E3199" s="1753" t="s">
        <v>11007</v>
      </c>
      <c r="F3199" s="2146" t="str">
        <f>+'4L'!C$39</f>
        <v>Capital expenditure purpose - WATER additional line 10 [Other categories]</v>
      </c>
      <c r="G3199" t="str">
        <f>IF('4L'!J39="","##BLANK",'4L'!J39)</f>
        <v>##BLANK</v>
      </c>
    </row>
    <row r="3200" spans="2:7">
      <c r="B3200" s="893" t="str">
        <f>+'4L'!BE40</f>
        <v>W3A00011RWS</v>
      </c>
      <c r="E3200" s="1753" t="s">
        <v>11007</v>
      </c>
      <c r="F3200" s="2146" t="str">
        <f>+'4L'!C$40</f>
        <v>Capital expenditure purpose - WATER additional line 11 [Other categories]</v>
      </c>
      <c r="G3200" t="str">
        <f>IF('4L'!J40="","##BLANK",'4L'!J40)</f>
        <v>##BLANK</v>
      </c>
    </row>
    <row r="3201" spans="2:7">
      <c r="B3201" s="893" t="str">
        <f>+'4L'!BE41</f>
        <v>W3A00012RWS</v>
      </c>
      <c r="E3201" s="1753" t="s">
        <v>11007</v>
      </c>
      <c r="F3201" s="2146" t="str">
        <f>+'4L'!C$41</f>
        <v>Capital expenditure purpose - WATER additional line 12 [Other categories]</v>
      </c>
      <c r="G3201" t="str">
        <f>IF('4L'!J41="","##BLANK",'4L'!J41)</f>
        <v>##BLANK</v>
      </c>
    </row>
    <row r="3202" spans="2:7">
      <c r="B3202" s="893" t="str">
        <f>+'4L'!BE42</f>
        <v>W3A00013RWS</v>
      </c>
      <c r="E3202" s="1753" t="s">
        <v>11007</v>
      </c>
      <c r="F3202" s="2146" t="str">
        <f>+'4L'!C$42</f>
        <v>Capital expenditure purpose - WATER additional line 13 [Other categories]</v>
      </c>
      <c r="G3202" t="str">
        <f>IF('4L'!J42="","##BLANK",'4L'!J42)</f>
        <v>##BLANK</v>
      </c>
    </row>
    <row r="3203" spans="2:7">
      <c r="B3203" s="893" t="str">
        <f>+'4L'!BE43</f>
        <v>W3A00014RWS</v>
      </c>
      <c r="E3203" s="1753" t="s">
        <v>11007</v>
      </c>
      <c r="F3203" s="2146" t="str">
        <f>+'4L'!C$43</f>
        <v>Capital expenditure purpose - WATER additional line 14 [Other categories]</v>
      </c>
      <c r="G3203" t="str">
        <f>IF('4L'!J43="","##BLANK",'4L'!J43)</f>
        <v>##BLANK</v>
      </c>
    </row>
    <row r="3204" spans="2:7">
      <c r="B3204" s="893" t="str">
        <f>+'4L'!BE44</f>
        <v>W3A00015RWS</v>
      </c>
      <c r="E3204" s="1753" t="s">
        <v>11007</v>
      </c>
      <c r="F3204" s="2146" t="str">
        <f>+'4L'!C$44</f>
        <v>Capital expenditure purpose - WATER additional line 15 [Other categories]</v>
      </c>
      <c r="G3204" t="str">
        <f>IF('4L'!J44="","##BLANK",'4L'!J44)</f>
        <v>##BLANK</v>
      </c>
    </row>
    <row r="3205" spans="2:7">
      <c r="B3205" s="893" t="str">
        <f>+'4L'!BE45</f>
        <v>BA2070RWS</v>
      </c>
      <c r="E3205" s="1753" t="s">
        <v>11007</v>
      </c>
      <c r="G3205">
        <f>IF('4L'!J45="","##BLANK",'4L'!J45)</f>
        <v>0</v>
      </c>
    </row>
    <row r="3206" spans="2:7">
      <c r="B3206" s="893" t="str">
        <f>+'4L'!BF8</f>
        <v>W3001WT</v>
      </c>
      <c r="E3206" s="1753" t="s">
        <v>11007</v>
      </c>
      <c r="G3206" t="str">
        <f>IF('4L'!K8="","##BLANK",'4L'!K8)</f>
        <v>##BLANK</v>
      </c>
    </row>
    <row r="3207" spans="2:7">
      <c r="B3207" s="893" t="str">
        <f>+'4L'!BF9</f>
        <v>WS2002WT</v>
      </c>
      <c r="E3207" s="1753" t="s">
        <v>11007</v>
      </c>
      <c r="G3207" t="str">
        <f>IF('4L'!K9="","##BLANK",'4L'!K9)</f>
        <v>##BLANK</v>
      </c>
    </row>
    <row r="3208" spans="2:7">
      <c r="B3208" s="893" t="str">
        <f>+'4L'!BF10</f>
        <v>WS2003WT</v>
      </c>
      <c r="E3208" s="1753" t="s">
        <v>11007</v>
      </c>
      <c r="G3208" t="str">
        <f>IF('4L'!K10="","##BLANK",'4L'!K10)</f>
        <v>##BLANK</v>
      </c>
    </row>
    <row r="3209" spans="2:7">
      <c r="B3209" s="893" t="str">
        <f>+'4L'!BF11</f>
        <v>W3002WT</v>
      </c>
      <c r="E3209" s="1753" t="s">
        <v>11007</v>
      </c>
      <c r="G3209" t="str">
        <f>IF('4L'!K11="","##BLANK",'4L'!K11)</f>
        <v>##BLANK</v>
      </c>
    </row>
    <row r="3210" spans="2:7">
      <c r="B3210" s="893" t="str">
        <f>+'4L'!BF12</f>
        <v>W3003WT</v>
      </c>
      <c r="E3210" s="1753" t="s">
        <v>11007</v>
      </c>
      <c r="G3210" t="str">
        <f>IF('4L'!K12="","##BLANK",'4L'!K12)</f>
        <v>##BLANK</v>
      </c>
    </row>
    <row r="3211" spans="2:7">
      <c r="B3211" s="893" t="str">
        <f>+'4L'!BF13</f>
        <v>W3006WT</v>
      </c>
      <c r="E3211" s="1753" t="s">
        <v>11007</v>
      </c>
      <c r="G3211" t="str">
        <f>IF('4L'!K13="","##BLANK",'4L'!K13)</f>
        <v>##BLANK</v>
      </c>
    </row>
    <row r="3212" spans="2:7">
      <c r="B3212" s="893" t="str">
        <f>+'4L'!BF14</f>
        <v>W3007SWT</v>
      </c>
      <c r="E3212" s="1753" t="s">
        <v>11007</v>
      </c>
      <c r="G3212" t="str">
        <f>IF('4L'!K14="","##BLANK",'4L'!K14)</f>
        <v>##BLANK</v>
      </c>
    </row>
    <row r="3213" spans="2:7">
      <c r="B3213" s="893" t="str">
        <f>+'4L'!BF15</f>
        <v>W3008SWT</v>
      </c>
      <c r="E3213" s="1753" t="s">
        <v>11007</v>
      </c>
      <c r="G3213" t="str">
        <f>IF('4L'!K15="","##BLANK",'4L'!K15)</f>
        <v>##BLANK</v>
      </c>
    </row>
    <row r="3214" spans="2:7">
      <c r="B3214" s="893" t="str">
        <f>+'4L'!BF16</f>
        <v>W3007DWT</v>
      </c>
      <c r="E3214" s="1753" t="s">
        <v>11007</v>
      </c>
      <c r="G3214" t="str">
        <f>IF('4L'!K16="","##BLANK",'4L'!K16)</f>
        <v>##BLANK</v>
      </c>
    </row>
    <row r="3215" spans="2:7">
      <c r="B3215" s="893" t="str">
        <f>+'4L'!BF17</f>
        <v>W3008DWT</v>
      </c>
      <c r="E3215" s="1753" t="s">
        <v>11007</v>
      </c>
      <c r="G3215" t="str">
        <f>IF('4L'!K17="","##BLANK",'4L'!K17)</f>
        <v>##BLANK</v>
      </c>
    </row>
    <row r="3216" spans="2:7">
      <c r="B3216" s="893" t="str">
        <f>+'4L'!BF18</f>
        <v>W3009WT</v>
      </c>
      <c r="E3216" s="1753" t="s">
        <v>11007</v>
      </c>
      <c r="G3216" t="str">
        <f>IF('4L'!K18="","##BLANK",'4L'!K18)</f>
        <v>##BLANK</v>
      </c>
    </row>
    <row r="3217" spans="2:7">
      <c r="B3217" s="893" t="str">
        <f>+'4L'!BF19</f>
        <v>WS2004WT</v>
      </c>
      <c r="E3217" s="1753" t="s">
        <v>11007</v>
      </c>
      <c r="G3217" t="str">
        <f>IF('4L'!K19="","##BLANK",'4L'!K19)</f>
        <v>##BLANK</v>
      </c>
    </row>
    <row r="3218" spans="2:7">
      <c r="B3218" s="893" t="str">
        <f>+'4L'!BF20</f>
        <v>W3010WT</v>
      </c>
      <c r="E3218" s="1753" t="s">
        <v>11007</v>
      </c>
      <c r="G3218" t="str">
        <f>IF('4L'!K20="","##BLANK",'4L'!K20)</f>
        <v>##BLANK</v>
      </c>
    </row>
    <row r="3219" spans="2:7">
      <c r="B3219" s="893" t="str">
        <f>+'4L'!BF21</f>
        <v>W3011WT</v>
      </c>
      <c r="E3219" s="1753" t="s">
        <v>11007</v>
      </c>
      <c r="G3219" t="str">
        <f>IF('4L'!K21="","##BLANK",'4L'!K21)</f>
        <v>##BLANK</v>
      </c>
    </row>
    <row r="3220" spans="2:7">
      <c r="B3220" s="893" t="str">
        <f>+'4L'!BF22</f>
        <v>W3012WT</v>
      </c>
      <c r="E3220" s="1753" t="s">
        <v>11007</v>
      </c>
      <c r="G3220" t="str">
        <f>IF('4L'!K22="","##BLANK",'4L'!K22)</f>
        <v>##BLANK</v>
      </c>
    </row>
    <row r="3221" spans="2:7">
      <c r="B3221" s="893" t="str">
        <f>+'4L'!BF23</f>
        <v>WS2006WT</v>
      </c>
      <c r="E3221" s="1753" t="s">
        <v>11007</v>
      </c>
      <c r="G3221" t="str">
        <f>IF('4L'!K23="","##BLANK",'4L'!K23)</f>
        <v>##BLANK</v>
      </c>
    </row>
    <row r="3222" spans="2:7">
      <c r="B3222" s="893" t="str">
        <f>+'4L'!BF24</f>
        <v>WS2007WT</v>
      </c>
      <c r="E3222" s="1753" t="s">
        <v>11007</v>
      </c>
      <c r="G3222" t="str">
        <f>IF('4L'!K24="","##BLANK",'4L'!K24)</f>
        <v>##BLANK</v>
      </c>
    </row>
    <row r="3223" spans="2:7">
      <c r="B3223" s="893" t="str">
        <f>+'4L'!BF25</f>
        <v>WS2008WT</v>
      </c>
      <c r="E3223" s="1753" t="s">
        <v>11007</v>
      </c>
      <c r="G3223" t="str">
        <f>IF('4L'!K25="","##BLANK",'4L'!K25)</f>
        <v>##BLANK</v>
      </c>
    </row>
    <row r="3224" spans="2:7">
      <c r="B3224" s="893" t="str">
        <f>+'4L'!BF26</f>
        <v>W3027WT</v>
      </c>
      <c r="E3224" s="1753" t="s">
        <v>11007</v>
      </c>
      <c r="G3224" t="str">
        <f>IF('4L'!K26="","##BLANK",'4L'!K26)</f>
        <v>##BLANK</v>
      </c>
    </row>
    <row r="3225" spans="2:7">
      <c r="B3225" s="893" t="str">
        <f>+'4L'!BF27</f>
        <v>W3028OPTWT</v>
      </c>
      <c r="E3225" s="1753" t="s">
        <v>11007</v>
      </c>
      <c r="G3225" t="str">
        <f>IF('4L'!K27="","##BLANK",'4L'!K27)</f>
        <v>##BLANK</v>
      </c>
    </row>
    <row r="3226" spans="2:7">
      <c r="B3226" s="893" t="str">
        <f>+'4L'!BF28</f>
        <v>W3028COMWT</v>
      </c>
      <c r="E3226" s="1753" t="s">
        <v>11007</v>
      </c>
      <c r="G3226" t="str">
        <f>IF('4L'!K28="","##BLANK",'4L'!K28)</f>
        <v>##BLANK</v>
      </c>
    </row>
    <row r="3227" spans="2:7">
      <c r="B3227" s="893" t="str">
        <f>+'4L'!BF29</f>
        <v>W3028NHOWT</v>
      </c>
      <c r="E3227" s="1753" t="s">
        <v>11007</v>
      </c>
      <c r="G3227" t="str">
        <f>IF('4L'!K29="","##BLANK",'4L'!K29)</f>
        <v>##BLANK</v>
      </c>
    </row>
    <row r="3228" spans="2:7">
      <c r="B3228" s="893" t="str">
        <f>+'4L'!BF30</f>
        <v>W3A00001WT</v>
      </c>
      <c r="E3228" s="1753" t="s">
        <v>11007</v>
      </c>
      <c r="F3228" s="2146" t="str">
        <f>+'4L'!C$30</f>
        <v>Capital expenditure purpose - WATER additional line 1 [Other categories]</v>
      </c>
      <c r="G3228" t="str">
        <f>IF('4L'!K30="","##BLANK",'4L'!K30)</f>
        <v>##BLANK</v>
      </c>
    </row>
    <row r="3229" spans="2:7">
      <c r="B3229" s="893" t="str">
        <f>+'4L'!BF31</f>
        <v>W3A00002WT</v>
      </c>
      <c r="E3229" s="1753" t="s">
        <v>11007</v>
      </c>
      <c r="F3229" s="2146" t="str">
        <f>+'4L'!C$31</f>
        <v>Capital expenditure purpose - WATER additional line 2 [Other categories]</v>
      </c>
      <c r="G3229" t="str">
        <f>IF('4L'!K31="","##BLANK",'4L'!K31)</f>
        <v>##BLANK</v>
      </c>
    </row>
    <row r="3230" spans="2:7">
      <c r="B3230" s="893" t="str">
        <f>+'4L'!BF32</f>
        <v>W3A00003WT</v>
      </c>
      <c r="E3230" s="1753" t="s">
        <v>11007</v>
      </c>
      <c r="F3230" s="2146" t="str">
        <f>+'4L'!C$32</f>
        <v>Capital expenditure purpose - WATER additional line 3 [Other categories]</v>
      </c>
      <c r="G3230" t="str">
        <f>IF('4L'!K32="","##BLANK",'4L'!K32)</f>
        <v>##BLANK</v>
      </c>
    </row>
    <row r="3231" spans="2:7">
      <c r="B3231" s="893" t="str">
        <f>+'4L'!BF33</f>
        <v>W3A00004WT</v>
      </c>
      <c r="E3231" s="1753" t="s">
        <v>11007</v>
      </c>
      <c r="F3231" s="2146" t="str">
        <f>+'4L'!C$33</f>
        <v>Capital expenditure purpose - WATER additional line 4 [Other categories]</v>
      </c>
      <c r="G3231" t="str">
        <f>IF('4L'!K33="","##BLANK",'4L'!K33)</f>
        <v>##BLANK</v>
      </c>
    </row>
    <row r="3232" spans="2:7">
      <c r="B3232" s="893" t="str">
        <f>+'4L'!BF34</f>
        <v>W3A00005WT</v>
      </c>
      <c r="E3232" s="1753" t="s">
        <v>11007</v>
      </c>
      <c r="F3232" s="2146" t="str">
        <f>+'4L'!C$34</f>
        <v>Capital expenditure purpose - WATER additional line 5 [Other categories]</v>
      </c>
      <c r="G3232" t="str">
        <f>IF('4L'!K34="","##BLANK",'4L'!K34)</f>
        <v>##BLANK</v>
      </c>
    </row>
    <row r="3233" spans="2:7">
      <c r="B3233" s="893" t="str">
        <f>+'4L'!BF35</f>
        <v>W3A00006WT</v>
      </c>
      <c r="E3233" s="1753" t="s">
        <v>11007</v>
      </c>
      <c r="F3233" s="2146" t="str">
        <f>+'4L'!C$35</f>
        <v>Capital expenditure purpose - WATER additional line 6 [Other categories]</v>
      </c>
      <c r="G3233" t="str">
        <f>IF('4L'!K35="","##BLANK",'4L'!K35)</f>
        <v>##BLANK</v>
      </c>
    </row>
    <row r="3234" spans="2:7">
      <c r="B3234" s="893" t="str">
        <f>+'4L'!BF36</f>
        <v>W3A00007WT</v>
      </c>
      <c r="E3234" s="1753" t="s">
        <v>11007</v>
      </c>
      <c r="F3234" s="2146" t="str">
        <f>+'4L'!C$36</f>
        <v>Capital expenditure purpose - WATER additional line 7 [Other categories]</v>
      </c>
      <c r="G3234" t="str">
        <f>IF('4L'!K36="","##BLANK",'4L'!K36)</f>
        <v>##BLANK</v>
      </c>
    </row>
    <row r="3235" spans="2:7">
      <c r="B3235" s="893" t="str">
        <f>+'4L'!BF37</f>
        <v>W3A00008WT</v>
      </c>
      <c r="E3235" s="1753" t="s">
        <v>11007</v>
      </c>
      <c r="F3235" s="2146" t="str">
        <f>+'4L'!C$37</f>
        <v>Capital expenditure purpose - WATER additional line 8 [Other categories]</v>
      </c>
      <c r="G3235" t="str">
        <f>IF('4L'!K37="","##BLANK",'4L'!K37)</f>
        <v>##BLANK</v>
      </c>
    </row>
    <row r="3236" spans="2:7">
      <c r="B3236" s="893" t="str">
        <f>+'4L'!BF38</f>
        <v>W3A00009WT</v>
      </c>
      <c r="E3236" s="1753" t="s">
        <v>11007</v>
      </c>
      <c r="F3236" s="2146" t="str">
        <f>+'4L'!C$38</f>
        <v>Capital expenditure purpose - WATER additional line 9 [Other categories]</v>
      </c>
      <c r="G3236" t="str">
        <f>IF('4L'!K38="","##BLANK",'4L'!K38)</f>
        <v>##BLANK</v>
      </c>
    </row>
    <row r="3237" spans="2:7">
      <c r="B3237" s="893" t="str">
        <f>+'4L'!BF39</f>
        <v>W3A00010WT</v>
      </c>
      <c r="E3237" s="1753" t="s">
        <v>11007</v>
      </c>
      <c r="F3237" s="2146" t="str">
        <f>+'4L'!C$39</f>
        <v>Capital expenditure purpose - WATER additional line 10 [Other categories]</v>
      </c>
      <c r="G3237" t="str">
        <f>IF('4L'!K39="","##BLANK",'4L'!K39)</f>
        <v>##BLANK</v>
      </c>
    </row>
    <row r="3238" spans="2:7">
      <c r="B3238" s="893" t="str">
        <f>+'4L'!BF40</f>
        <v>W3A00011WT</v>
      </c>
      <c r="E3238" s="1753" t="s">
        <v>11007</v>
      </c>
      <c r="F3238" s="2146" t="str">
        <f>+'4L'!C$40</f>
        <v>Capital expenditure purpose - WATER additional line 11 [Other categories]</v>
      </c>
      <c r="G3238" t="str">
        <f>IF('4L'!K40="","##BLANK",'4L'!K40)</f>
        <v>##BLANK</v>
      </c>
    </row>
    <row r="3239" spans="2:7">
      <c r="B3239" s="893" t="str">
        <f>+'4L'!BF41</f>
        <v>W3A00012WT</v>
      </c>
      <c r="E3239" s="1753" t="s">
        <v>11007</v>
      </c>
      <c r="F3239" s="2146" t="str">
        <f>+'4L'!C$41</f>
        <v>Capital expenditure purpose - WATER additional line 12 [Other categories]</v>
      </c>
      <c r="G3239" t="str">
        <f>IF('4L'!K41="","##BLANK",'4L'!K41)</f>
        <v>##BLANK</v>
      </c>
    </row>
    <row r="3240" spans="2:7">
      <c r="B3240" s="893" t="str">
        <f>+'4L'!BF42</f>
        <v>W3A00013WT</v>
      </c>
      <c r="E3240" s="1753" t="s">
        <v>11007</v>
      </c>
      <c r="F3240" s="2146" t="str">
        <f>+'4L'!C$42</f>
        <v>Capital expenditure purpose - WATER additional line 13 [Other categories]</v>
      </c>
      <c r="G3240" t="str">
        <f>IF('4L'!K42="","##BLANK",'4L'!K42)</f>
        <v>##BLANK</v>
      </c>
    </row>
    <row r="3241" spans="2:7">
      <c r="B3241" s="893" t="str">
        <f>+'4L'!BF43</f>
        <v>W3A00014WT</v>
      </c>
      <c r="E3241" s="1753" t="s">
        <v>11007</v>
      </c>
      <c r="F3241" s="2146" t="str">
        <f>+'4L'!C$43</f>
        <v>Capital expenditure purpose - WATER additional line 14 [Other categories]</v>
      </c>
      <c r="G3241" t="str">
        <f>IF('4L'!K43="","##BLANK",'4L'!K43)</f>
        <v>##BLANK</v>
      </c>
    </row>
    <row r="3242" spans="2:7">
      <c r="B3242" s="893" t="str">
        <f>+'4L'!BF44</f>
        <v>W3A00015WT</v>
      </c>
      <c r="E3242" s="1753" t="s">
        <v>11007</v>
      </c>
      <c r="F3242" s="2146" t="str">
        <f>+'4L'!C$44</f>
        <v>Capital expenditure purpose - WATER additional line 15 [Other categories]</v>
      </c>
      <c r="G3242" t="str">
        <f>IF('4L'!K44="","##BLANK",'4L'!K44)</f>
        <v>##BLANK</v>
      </c>
    </row>
    <row r="3243" spans="2:7">
      <c r="B3243" s="893" t="str">
        <f>+'4L'!BF45</f>
        <v>BA2070WT</v>
      </c>
      <c r="E3243" s="1753" t="s">
        <v>11007</v>
      </c>
      <c r="G3243">
        <f>IF('4L'!K45="","##BLANK",'4L'!K45)</f>
        <v>0</v>
      </c>
    </row>
    <row r="3244" spans="2:7">
      <c r="B3244" s="893" t="str">
        <f>+'4L'!BG8</f>
        <v>W3001TWD</v>
      </c>
      <c r="E3244" s="1753" t="s">
        <v>11007</v>
      </c>
      <c r="G3244" t="str">
        <f>IF('4L'!L8="","##BLANK",'4L'!L8)</f>
        <v>##BLANK</v>
      </c>
    </row>
    <row r="3245" spans="2:7">
      <c r="B3245" s="893" t="str">
        <f>+'4L'!BG9</f>
        <v>WS2002TWD</v>
      </c>
      <c r="E3245" s="1753" t="s">
        <v>11007</v>
      </c>
      <c r="G3245" t="str">
        <f>IF('4L'!L9="","##BLANK",'4L'!L9)</f>
        <v>##BLANK</v>
      </c>
    </row>
    <row r="3246" spans="2:7">
      <c r="B3246" s="893" t="str">
        <f>+'4L'!BG10</f>
        <v>WS2003TWD</v>
      </c>
      <c r="E3246" s="1753" t="s">
        <v>11007</v>
      </c>
      <c r="G3246" t="str">
        <f>IF('4L'!L10="","##BLANK",'4L'!L10)</f>
        <v>##BLANK</v>
      </c>
    </row>
    <row r="3247" spans="2:7">
      <c r="B3247" s="893" t="str">
        <f>+'4L'!BG11</f>
        <v>W3002TWD</v>
      </c>
      <c r="E3247" s="1753" t="s">
        <v>11007</v>
      </c>
      <c r="G3247" t="str">
        <f>IF('4L'!L11="","##BLANK",'4L'!L11)</f>
        <v>##BLANK</v>
      </c>
    </row>
    <row r="3248" spans="2:7">
      <c r="B3248" s="893" t="str">
        <f>+'4L'!BG12</f>
        <v>W3003TWD</v>
      </c>
      <c r="E3248" s="1753" t="s">
        <v>11007</v>
      </c>
      <c r="G3248" t="str">
        <f>IF('4L'!L12="","##BLANK",'4L'!L12)</f>
        <v>##BLANK</v>
      </c>
    </row>
    <row r="3249" spans="2:7">
      <c r="B3249" s="893" t="str">
        <f>+'4L'!BG13</f>
        <v>W3006TWD</v>
      </c>
      <c r="E3249" s="1753" t="s">
        <v>11007</v>
      </c>
      <c r="G3249" t="str">
        <f>IF('4L'!L13="","##BLANK",'4L'!L13)</f>
        <v>##BLANK</v>
      </c>
    </row>
    <row r="3250" spans="2:7">
      <c r="B3250" s="893" t="str">
        <f>+'4L'!BG14</f>
        <v>W3007STWD</v>
      </c>
      <c r="E3250" s="1753" t="s">
        <v>11007</v>
      </c>
      <c r="G3250" t="str">
        <f>IF('4L'!L14="","##BLANK",'4L'!L14)</f>
        <v>##BLANK</v>
      </c>
    </row>
    <row r="3251" spans="2:7">
      <c r="B3251" s="893" t="str">
        <f>+'4L'!BG15</f>
        <v>W3008STWD</v>
      </c>
      <c r="E3251" s="1753" t="s">
        <v>11007</v>
      </c>
      <c r="G3251" t="str">
        <f>IF('4L'!L15="","##BLANK",'4L'!L15)</f>
        <v>##BLANK</v>
      </c>
    </row>
    <row r="3252" spans="2:7">
      <c r="B3252" s="893" t="str">
        <f>+'4L'!BG16</f>
        <v>W3007DTWD</v>
      </c>
      <c r="E3252" s="1753" t="s">
        <v>11007</v>
      </c>
      <c r="G3252" t="str">
        <f>IF('4L'!L16="","##BLANK",'4L'!L16)</f>
        <v>##BLANK</v>
      </c>
    </row>
    <row r="3253" spans="2:7">
      <c r="B3253" s="893" t="str">
        <f>+'4L'!BG17</f>
        <v>W3008DTWD</v>
      </c>
      <c r="E3253" s="1753" t="s">
        <v>11007</v>
      </c>
      <c r="G3253" t="str">
        <f>IF('4L'!L17="","##BLANK",'4L'!L17)</f>
        <v>##BLANK</v>
      </c>
    </row>
    <row r="3254" spans="2:7">
      <c r="B3254" s="893" t="str">
        <f>+'4L'!BG18</f>
        <v>W3009TWD</v>
      </c>
      <c r="E3254" s="1753" t="s">
        <v>11007</v>
      </c>
      <c r="G3254" t="str">
        <f>IF('4L'!L18="","##BLANK",'4L'!L18)</f>
        <v>##BLANK</v>
      </c>
    </row>
    <row r="3255" spans="2:7">
      <c r="B3255" s="893" t="str">
        <f>+'4L'!BG19</f>
        <v>WS2004TWD</v>
      </c>
      <c r="E3255" s="1753" t="s">
        <v>11007</v>
      </c>
      <c r="G3255" t="str">
        <f>IF('4L'!L19="","##BLANK",'4L'!L19)</f>
        <v>##BLANK</v>
      </c>
    </row>
    <row r="3256" spans="2:7">
      <c r="B3256" s="893" t="str">
        <f>+'4L'!BG20</f>
        <v>W3010TWD</v>
      </c>
      <c r="E3256" s="1753" t="s">
        <v>11007</v>
      </c>
      <c r="G3256" t="str">
        <f>IF('4L'!L20="","##BLANK",'4L'!L20)</f>
        <v>##BLANK</v>
      </c>
    </row>
    <row r="3257" spans="2:7">
      <c r="B3257" s="893" t="str">
        <f>+'4L'!BG21</f>
        <v>W3011TWD</v>
      </c>
      <c r="E3257" s="1753" t="s">
        <v>11007</v>
      </c>
      <c r="G3257" t="str">
        <f>IF('4L'!L21="","##BLANK",'4L'!L21)</f>
        <v>##BLANK</v>
      </c>
    </row>
    <row r="3258" spans="2:7">
      <c r="B3258" s="893" t="str">
        <f>+'4L'!BG22</f>
        <v>W3012TWD</v>
      </c>
      <c r="E3258" s="1753" t="s">
        <v>11007</v>
      </c>
      <c r="G3258" t="str">
        <f>IF('4L'!L22="","##BLANK",'4L'!L22)</f>
        <v>##BLANK</v>
      </c>
    </row>
    <row r="3259" spans="2:7">
      <c r="B3259" s="893" t="str">
        <f>+'4L'!BG23</f>
        <v>WS2006TWD</v>
      </c>
      <c r="E3259" s="1753" t="s">
        <v>11007</v>
      </c>
      <c r="G3259" t="str">
        <f>IF('4L'!L23="","##BLANK",'4L'!L23)</f>
        <v>##BLANK</v>
      </c>
    </row>
    <row r="3260" spans="2:7">
      <c r="B3260" s="893" t="str">
        <f>+'4L'!BG24</f>
        <v>WS2007TWD</v>
      </c>
      <c r="E3260" s="1753" t="s">
        <v>11007</v>
      </c>
      <c r="G3260" t="str">
        <f>IF('4L'!L24="","##BLANK",'4L'!L24)</f>
        <v>##BLANK</v>
      </c>
    </row>
    <row r="3261" spans="2:7">
      <c r="B3261" s="893" t="str">
        <f>+'4L'!BG25</f>
        <v>WS2008TWD</v>
      </c>
      <c r="E3261" s="1753" t="s">
        <v>11007</v>
      </c>
      <c r="G3261" t="str">
        <f>IF('4L'!L25="","##BLANK",'4L'!L25)</f>
        <v>##BLANK</v>
      </c>
    </row>
    <row r="3262" spans="2:7">
      <c r="B3262" s="893" t="str">
        <f>+'4L'!BG26</f>
        <v>W3027TWD</v>
      </c>
      <c r="E3262" s="1753" t="s">
        <v>11007</v>
      </c>
      <c r="G3262" t="str">
        <f>IF('4L'!L26="","##BLANK",'4L'!L26)</f>
        <v>##BLANK</v>
      </c>
    </row>
    <row r="3263" spans="2:7">
      <c r="B3263" s="893" t="str">
        <f>+'4L'!BG27</f>
        <v>W3028OPTTWD</v>
      </c>
      <c r="E3263" s="1753" t="s">
        <v>11007</v>
      </c>
      <c r="G3263" t="str">
        <f>IF('4L'!L27="","##BLANK",'4L'!L27)</f>
        <v>##BLANK</v>
      </c>
    </row>
    <row r="3264" spans="2:7">
      <c r="B3264" s="893" t="str">
        <f>+'4L'!BG28</f>
        <v>W3028COMTWD</v>
      </c>
      <c r="E3264" s="1753" t="s">
        <v>11007</v>
      </c>
      <c r="G3264" t="str">
        <f>IF('4L'!L28="","##BLANK",'4L'!L28)</f>
        <v>##BLANK</v>
      </c>
    </row>
    <row r="3265" spans="2:7">
      <c r="B3265" s="893" t="str">
        <f>+'4L'!BG29</f>
        <v>W3028NHOTWD</v>
      </c>
      <c r="E3265" s="1753" t="s">
        <v>11007</v>
      </c>
      <c r="G3265" t="str">
        <f>IF('4L'!L29="","##BLANK",'4L'!L29)</f>
        <v>##BLANK</v>
      </c>
    </row>
    <row r="3266" spans="2:7">
      <c r="B3266" s="893" t="str">
        <f>+'4L'!BG30</f>
        <v>W3A00001TWD</v>
      </c>
      <c r="E3266" s="1753" t="s">
        <v>11007</v>
      </c>
      <c r="F3266" s="2146" t="str">
        <f>+'4L'!C$30</f>
        <v>Capital expenditure purpose - WATER additional line 1 [Other categories]</v>
      </c>
      <c r="G3266" t="str">
        <f>IF('4L'!L30="","##BLANK",'4L'!L30)</f>
        <v>##BLANK</v>
      </c>
    </row>
    <row r="3267" spans="2:7">
      <c r="B3267" s="893" t="str">
        <f>+'4L'!BG31</f>
        <v>W3A00002TWD</v>
      </c>
      <c r="E3267" s="1753" t="s">
        <v>11007</v>
      </c>
      <c r="F3267" s="2146" t="str">
        <f>+'4L'!C$31</f>
        <v>Capital expenditure purpose - WATER additional line 2 [Other categories]</v>
      </c>
      <c r="G3267" t="str">
        <f>IF('4L'!L31="","##BLANK",'4L'!L31)</f>
        <v>##BLANK</v>
      </c>
    </row>
    <row r="3268" spans="2:7">
      <c r="B3268" s="893" t="str">
        <f>+'4L'!BG32</f>
        <v>W3A00003TWD</v>
      </c>
      <c r="E3268" s="1753" t="s">
        <v>11007</v>
      </c>
      <c r="F3268" s="2146" t="str">
        <f>+'4L'!C$32</f>
        <v>Capital expenditure purpose - WATER additional line 3 [Other categories]</v>
      </c>
      <c r="G3268" t="str">
        <f>IF('4L'!L32="","##BLANK",'4L'!L32)</f>
        <v>##BLANK</v>
      </c>
    </row>
    <row r="3269" spans="2:7">
      <c r="B3269" s="893" t="str">
        <f>+'4L'!BG33</f>
        <v>W3A00004TWD</v>
      </c>
      <c r="E3269" s="1753" t="s">
        <v>11007</v>
      </c>
      <c r="F3269" s="2146" t="str">
        <f>+'4L'!C$33</f>
        <v>Capital expenditure purpose - WATER additional line 4 [Other categories]</v>
      </c>
      <c r="G3269" t="str">
        <f>IF('4L'!L33="","##BLANK",'4L'!L33)</f>
        <v>##BLANK</v>
      </c>
    </row>
    <row r="3270" spans="2:7">
      <c r="B3270" s="893" t="str">
        <f>+'4L'!BG34</f>
        <v>W3A00005TWD</v>
      </c>
      <c r="E3270" s="1753" t="s">
        <v>11007</v>
      </c>
      <c r="F3270" s="2146" t="str">
        <f>+'4L'!C$34</f>
        <v>Capital expenditure purpose - WATER additional line 5 [Other categories]</v>
      </c>
      <c r="G3270" t="str">
        <f>IF('4L'!L34="","##BLANK",'4L'!L34)</f>
        <v>##BLANK</v>
      </c>
    </row>
    <row r="3271" spans="2:7">
      <c r="B3271" s="893" t="str">
        <f>+'4L'!BG35</f>
        <v>W3A00006TWD</v>
      </c>
      <c r="E3271" s="1753" t="s">
        <v>11007</v>
      </c>
      <c r="F3271" s="2146" t="str">
        <f>+'4L'!C$35</f>
        <v>Capital expenditure purpose - WATER additional line 6 [Other categories]</v>
      </c>
      <c r="G3271" t="str">
        <f>IF('4L'!L35="","##BLANK",'4L'!L35)</f>
        <v>##BLANK</v>
      </c>
    </row>
    <row r="3272" spans="2:7">
      <c r="B3272" s="893" t="str">
        <f>+'4L'!BG36</f>
        <v>W3A00007TWD</v>
      </c>
      <c r="E3272" s="1753" t="s">
        <v>11007</v>
      </c>
      <c r="F3272" s="2146" t="str">
        <f>+'4L'!C$36</f>
        <v>Capital expenditure purpose - WATER additional line 7 [Other categories]</v>
      </c>
      <c r="G3272" t="str">
        <f>IF('4L'!L36="","##BLANK",'4L'!L36)</f>
        <v>##BLANK</v>
      </c>
    </row>
    <row r="3273" spans="2:7">
      <c r="B3273" s="893" t="str">
        <f>+'4L'!BG37</f>
        <v>W3A00008TWD</v>
      </c>
      <c r="E3273" s="1753" t="s">
        <v>11007</v>
      </c>
      <c r="F3273" s="2146" t="str">
        <f>+'4L'!C$37</f>
        <v>Capital expenditure purpose - WATER additional line 8 [Other categories]</v>
      </c>
      <c r="G3273" t="str">
        <f>IF('4L'!L37="","##BLANK",'4L'!L37)</f>
        <v>##BLANK</v>
      </c>
    </row>
    <row r="3274" spans="2:7">
      <c r="B3274" s="893" t="str">
        <f>+'4L'!BG38</f>
        <v>W3A00009TWD</v>
      </c>
      <c r="E3274" s="1753" t="s">
        <v>11007</v>
      </c>
      <c r="F3274" s="2146" t="str">
        <f>+'4L'!C$38</f>
        <v>Capital expenditure purpose - WATER additional line 9 [Other categories]</v>
      </c>
      <c r="G3274" t="str">
        <f>IF('4L'!L38="","##BLANK",'4L'!L38)</f>
        <v>##BLANK</v>
      </c>
    </row>
    <row r="3275" spans="2:7">
      <c r="B3275" s="893" t="str">
        <f>+'4L'!BG39</f>
        <v>W3A00010TWD</v>
      </c>
      <c r="E3275" s="1753" t="s">
        <v>11007</v>
      </c>
      <c r="F3275" s="2146" t="str">
        <f>+'4L'!C$39</f>
        <v>Capital expenditure purpose - WATER additional line 10 [Other categories]</v>
      </c>
      <c r="G3275" t="str">
        <f>IF('4L'!L39="","##BLANK",'4L'!L39)</f>
        <v>##BLANK</v>
      </c>
    </row>
    <row r="3276" spans="2:7">
      <c r="B3276" s="893" t="str">
        <f>+'4L'!BG40</f>
        <v>W3A00011TWD</v>
      </c>
      <c r="E3276" s="1753" t="s">
        <v>11007</v>
      </c>
      <c r="F3276" s="2146" t="str">
        <f>+'4L'!C$40</f>
        <v>Capital expenditure purpose - WATER additional line 11 [Other categories]</v>
      </c>
      <c r="G3276" t="str">
        <f>IF('4L'!L40="","##BLANK",'4L'!L40)</f>
        <v>##BLANK</v>
      </c>
    </row>
    <row r="3277" spans="2:7">
      <c r="B3277" s="893" t="str">
        <f>+'4L'!BG41</f>
        <v>W3A00012TWD</v>
      </c>
      <c r="E3277" s="1753" t="s">
        <v>11007</v>
      </c>
      <c r="F3277" s="2146" t="str">
        <f>+'4L'!C$41</f>
        <v>Capital expenditure purpose - WATER additional line 12 [Other categories]</v>
      </c>
      <c r="G3277" t="str">
        <f>IF('4L'!L41="","##BLANK",'4L'!L41)</f>
        <v>##BLANK</v>
      </c>
    </row>
    <row r="3278" spans="2:7">
      <c r="B3278" s="893" t="str">
        <f>+'4L'!BG42</f>
        <v>W3A00013TWD</v>
      </c>
      <c r="E3278" s="1753" t="s">
        <v>11007</v>
      </c>
      <c r="F3278" s="2146" t="str">
        <f>+'4L'!C$42</f>
        <v>Capital expenditure purpose - WATER additional line 13 [Other categories]</v>
      </c>
      <c r="G3278" t="str">
        <f>IF('4L'!L42="","##BLANK",'4L'!L42)</f>
        <v>##BLANK</v>
      </c>
    </row>
    <row r="3279" spans="2:7">
      <c r="B3279" s="893" t="str">
        <f>+'4L'!BG43</f>
        <v>W3A00014TWD</v>
      </c>
      <c r="E3279" s="1753" t="s">
        <v>11007</v>
      </c>
      <c r="F3279" s="2146" t="str">
        <f>+'4L'!C$43</f>
        <v>Capital expenditure purpose - WATER additional line 14 [Other categories]</v>
      </c>
      <c r="G3279" t="str">
        <f>IF('4L'!L43="","##BLANK",'4L'!L43)</f>
        <v>##BLANK</v>
      </c>
    </row>
    <row r="3280" spans="2:7">
      <c r="B3280" s="893" t="str">
        <f>+'4L'!BG44</f>
        <v>W3A00015TWD</v>
      </c>
      <c r="E3280" s="1753" t="s">
        <v>11007</v>
      </c>
      <c r="F3280" s="2146" t="str">
        <f>+'4L'!C$44</f>
        <v>Capital expenditure purpose - WATER additional line 15 [Other categories]</v>
      </c>
      <c r="G3280" t="str">
        <f>IF('4L'!L44="","##BLANK",'4L'!L44)</f>
        <v>##BLANK</v>
      </c>
    </row>
    <row r="3281" spans="2:7">
      <c r="B3281" s="893" t="str">
        <f>+'4L'!BG45</f>
        <v>BA2070TWD</v>
      </c>
      <c r="E3281" s="1753" t="s">
        <v>11007</v>
      </c>
      <c r="G3281">
        <f>IF('4L'!L45="","##BLANK",'4L'!L45)</f>
        <v>0</v>
      </c>
    </row>
    <row r="3282" spans="2:7">
      <c r="B3282" s="893" t="str">
        <f>+'4L'!BH8</f>
        <v>W3001CAW</v>
      </c>
      <c r="E3282" s="1753" t="s">
        <v>11007</v>
      </c>
      <c r="G3282">
        <f>IF('4L'!M8="","##BLANK",'4L'!M8)</f>
        <v>0</v>
      </c>
    </row>
    <row r="3283" spans="2:7">
      <c r="B3283" s="893" t="str">
        <f>+'4L'!BH9</f>
        <v>WS2002CAW</v>
      </c>
      <c r="E3283" s="1753" t="s">
        <v>11007</v>
      </c>
      <c r="G3283">
        <f>IF('4L'!M9="","##BLANK",'4L'!M9)</f>
        <v>0</v>
      </c>
    </row>
    <row r="3284" spans="2:7">
      <c r="B3284" s="893" t="str">
        <f>+'4L'!BH10</f>
        <v>WS2003CAW</v>
      </c>
      <c r="E3284" s="1753" t="s">
        <v>11007</v>
      </c>
      <c r="G3284">
        <f>IF('4L'!M10="","##BLANK",'4L'!M10)</f>
        <v>0</v>
      </c>
    </row>
    <row r="3285" spans="2:7">
      <c r="B3285" s="893" t="str">
        <f>+'4L'!BH11</f>
        <v>W3002CAW</v>
      </c>
      <c r="E3285" s="1753" t="s">
        <v>11007</v>
      </c>
      <c r="G3285">
        <f>IF('4L'!M11="","##BLANK",'4L'!M11)</f>
        <v>0</v>
      </c>
    </row>
    <row r="3286" spans="2:7">
      <c r="B3286" s="893" t="str">
        <f>+'4L'!BH12</f>
        <v>W3003CAW</v>
      </c>
      <c r="E3286" s="1753" t="s">
        <v>11007</v>
      </c>
      <c r="G3286">
        <f>IF('4L'!M12="","##BLANK",'4L'!M12)</f>
        <v>0</v>
      </c>
    </row>
    <row r="3287" spans="2:7">
      <c r="B3287" s="893" t="str">
        <f>+'4L'!BH13</f>
        <v>W3006CAW</v>
      </c>
      <c r="E3287" s="1753" t="s">
        <v>11007</v>
      </c>
      <c r="G3287">
        <f>IF('4L'!M13="","##BLANK",'4L'!M13)</f>
        <v>0</v>
      </c>
    </row>
    <row r="3288" spans="2:7">
      <c r="B3288" s="893" t="str">
        <f>+'4L'!BH14</f>
        <v>W3007SCAW</v>
      </c>
      <c r="E3288" s="1753" t="s">
        <v>11007</v>
      </c>
      <c r="G3288">
        <f>IF('4L'!M14="","##BLANK",'4L'!M14)</f>
        <v>0</v>
      </c>
    </row>
    <row r="3289" spans="2:7">
      <c r="B3289" s="893" t="str">
        <f>+'4L'!BH15</f>
        <v>W3008SCAW</v>
      </c>
      <c r="E3289" s="1753" t="s">
        <v>11007</v>
      </c>
      <c r="G3289">
        <f>IF('4L'!M15="","##BLANK",'4L'!M15)</f>
        <v>0</v>
      </c>
    </row>
    <row r="3290" spans="2:7">
      <c r="B3290" s="893" t="str">
        <f>+'4L'!BH16</f>
        <v>W3007DCAW</v>
      </c>
      <c r="E3290" s="1753" t="s">
        <v>11007</v>
      </c>
      <c r="G3290">
        <f>IF('4L'!M16="","##BLANK",'4L'!M16)</f>
        <v>0</v>
      </c>
    </row>
    <row r="3291" spans="2:7">
      <c r="B3291" s="893" t="str">
        <f>+'4L'!BH17</f>
        <v>W3008DCAW</v>
      </c>
      <c r="E3291" s="1753" t="s">
        <v>11007</v>
      </c>
      <c r="G3291">
        <f>IF('4L'!M17="","##BLANK",'4L'!M17)</f>
        <v>0</v>
      </c>
    </row>
    <row r="3292" spans="2:7">
      <c r="B3292" s="893" t="str">
        <f>+'4L'!BH18</f>
        <v>W3009CAW</v>
      </c>
      <c r="E3292" s="1753" t="s">
        <v>11007</v>
      </c>
      <c r="G3292">
        <f>IF('4L'!M18="","##BLANK",'4L'!M18)</f>
        <v>0</v>
      </c>
    </row>
    <row r="3293" spans="2:7">
      <c r="B3293" s="893" t="str">
        <f>+'4L'!BH19</f>
        <v>WS2004CAW</v>
      </c>
      <c r="E3293" s="1753" t="s">
        <v>11007</v>
      </c>
      <c r="G3293">
        <f>IF('4L'!M19="","##BLANK",'4L'!M19)</f>
        <v>0</v>
      </c>
    </row>
    <row r="3294" spans="2:7">
      <c r="B3294" s="893" t="str">
        <f>+'4L'!BH20</f>
        <v>W3010CAW</v>
      </c>
      <c r="E3294" s="1753" t="s">
        <v>11007</v>
      </c>
      <c r="G3294">
        <f>IF('4L'!M20="","##BLANK",'4L'!M20)</f>
        <v>0</v>
      </c>
    </row>
    <row r="3295" spans="2:7">
      <c r="B3295" s="893" t="str">
        <f>+'4L'!BH21</f>
        <v>W3011CAW</v>
      </c>
      <c r="E3295" s="1753" t="s">
        <v>11007</v>
      </c>
      <c r="G3295">
        <f>IF('4L'!M21="","##BLANK",'4L'!M21)</f>
        <v>0</v>
      </c>
    </row>
    <row r="3296" spans="2:7">
      <c r="B3296" s="893" t="str">
        <f>+'4L'!BH22</f>
        <v>W3012CAW</v>
      </c>
      <c r="E3296" s="1753" t="s">
        <v>11007</v>
      </c>
      <c r="G3296">
        <f>IF('4L'!M22="","##BLANK",'4L'!M22)</f>
        <v>0</v>
      </c>
    </row>
    <row r="3297" spans="2:7">
      <c r="B3297" s="893" t="str">
        <f>+'4L'!BH23</f>
        <v>WS2006CAW</v>
      </c>
      <c r="E3297" s="1753" t="s">
        <v>11007</v>
      </c>
      <c r="G3297">
        <f>IF('4L'!M23="","##BLANK",'4L'!M23)</f>
        <v>0</v>
      </c>
    </row>
    <row r="3298" spans="2:7">
      <c r="B3298" s="893" t="str">
        <f>+'4L'!BH24</f>
        <v>WS2007CAW</v>
      </c>
      <c r="E3298" s="1753" t="s">
        <v>11007</v>
      </c>
      <c r="G3298">
        <f>IF('4L'!M24="","##BLANK",'4L'!M24)</f>
        <v>0</v>
      </c>
    </row>
    <row r="3299" spans="2:7">
      <c r="B3299" s="893" t="str">
        <f>+'4L'!BH25</f>
        <v>WS2008CAW</v>
      </c>
      <c r="E3299" s="1753" t="s">
        <v>11007</v>
      </c>
      <c r="G3299">
        <f>IF('4L'!M25="","##BLANK",'4L'!M25)</f>
        <v>0</v>
      </c>
    </row>
    <row r="3300" spans="2:7">
      <c r="B3300" s="893" t="str">
        <f>+'4L'!BH26</f>
        <v>W3027CAW</v>
      </c>
      <c r="E3300" s="1753" t="s">
        <v>11007</v>
      </c>
      <c r="G3300">
        <f>IF('4L'!M26="","##BLANK",'4L'!M26)</f>
        <v>0</v>
      </c>
    </row>
    <row r="3301" spans="2:7">
      <c r="B3301" s="893" t="str">
        <f>+'4L'!BH27</f>
        <v>W3028OPTCAW</v>
      </c>
      <c r="E3301" s="1753" t="s">
        <v>11007</v>
      </c>
      <c r="G3301">
        <f>IF('4L'!M27="","##BLANK",'4L'!M27)</f>
        <v>0</v>
      </c>
    </row>
    <row r="3302" spans="2:7">
      <c r="B3302" s="893" t="str">
        <f>+'4L'!BH28</f>
        <v>W3028COMCAW</v>
      </c>
      <c r="E3302" s="1753" t="s">
        <v>11007</v>
      </c>
      <c r="G3302">
        <f>IF('4L'!M28="","##BLANK",'4L'!M28)</f>
        <v>0</v>
      </c>
    </row>
    <row r="3303" spans="2:7">
      <c r="B3303" s="893" t="str">
        <f>+'4L'!BH29</f>
        <v>W3028NHOCAW</v>
      </c>
      <c r="E3303" s="1753" t="s">
        <v>11007</v>
      </c>
      <c r="G3303">
        <f>IF('4L'!M29="","##BLANK",'4L'!M29)</f>
        <v>0</v>
      </c>
    </row>
    <row r="3304" spans="2:7">
      <c r="B3304" s="893" t="str">
        <f>+'4L'!BH30</f>
        <v>W3A00001CAW</v>
      </c>
      <c r="E3304" s="1753" t="s">
        <v>11007</v>
      </c>
      <c r="F3304" s="2146" t="str">
        <f>+'4L'!C$30</f>
        <v>Capital expenditure purpose - WATER additional line 1 [Other categories]</v>
      </c>
      <c r="G3304">
        <f>IF('4L'!M30="","##BLANK",'4L'!M30)</f>
        <v>0</v>
      </c>
    </row>
    <row r="3305" spans="2:7">
      <c r="B3305" s="893" t="str">
        <f>+'4L'!BH31</f>
        <v>W3A00002CAW</v>
      </c>
      <c r="E3305" s="1753" t="s">
        <v>11007</v>
      </c>
      <c r="F3305" s="2146" t="str">
        <f>+'4L'!C$31</f>
        <v>Capital expenditure purpose - WATER additional line 2 [Other categories]</v>
      </c>
      <c r="G3305">
        <f>IF('4L'!M31="","##BLANK",'4L'!M31)</f>
        <v>0</v>
      </c>
    </row>
    <row r="3306" spans="2:7">
      <c r="B3306" s="893" t="str">
        <f>+'4L'!BH32</f>
        <v>W3A00003CAW</v>
      </c>
      <c r="E3306" s="1753" t="s">
        <v>11007</v>
      </c>
      <c r="F3306" s="2146" t="str">
        <f>+'4L'!C$32</f>
        <v>Capital expenditure purpose - WATER additional line 3 [Other categories]</v>
      </c>
      <c r="G3306">
        <f>IF('4L'!M32="","##BLANK",'4L'!M32)</f>
        <v>0</v>
      </c>
    </row>
    <row r="3307" spans="2:7">
      <c r="B3307" s="893" t="str">
        <f>+'4L'!BH33</f>
        <v>W3A00004CAW</v>
      </c>
      <c r="E3307" s="1753" t="s">
        <v>11007</v>
      </c>
      <c r="F3307" s="2146" t="str">
        <f>+'4L'!C$33</f>
        <v>Capital expenditure purpose - WATER additional line 4 [Other categories]</v>
      </c>
      <c r="G3307">
        <f>IF('4L'!M33="","##BLANK",'4L'!M33)</f>
        <v>0</v>
      </c>
    </row>
    <row r="3308" spans="2:7">
      <c r="B3308" s="893" t="str">
        <f>+'4L'!BH34</f>
        <v>W3A00005CAW</v>
      </c>
      <c r="E3308" s="1753" t="s">
        <v>11007</v>
      </c>
      <c r="F3308" s="2146" t="str">
        <f>+'4L'!C$34</f>
        <v>Capital expenditure purpose - WATER additional line 5 [Other categories]</v>
      </c>
      <c r="G3308">
        <f>IF('4L'!M34="","##BLANK",'4L'!M34)</f>
        <v>0</v>
      </c>
    </row>
    <row r="3309" spans="2:7">
      <c r="B3309" s="893" t="str">
        <f>+'4L'!BH35</f>
        <v>W3A00006CAW</v>
      </c>
      <c r="E3309" s="1753" t="s">
        <v>11007</v>
      </c>
      <c r="F3309" s="2146" t="str">
        <f>+'4L'!C$35</f>
        <v>Capital expenditure purpose - WATER additional line 6 [Other categories]</v>
      </c>
      <c r="G3309">
        <f>IF('4L'!M35="","##BLANK",'4L'!M35)</f>
        <v>0</v>
      </c>
    </row>
    <row r="3310" spans="2:7">
      <c r="B3310" s="893" t="str">
        <f>+'4L'!BH36</f>
        <v>W3A00007CAW</v>
      </c>
      <c r="E3310" s="1753" t="s">
        <v>11007</v>
      </c>
      <c r="F3310" s="2146" t="str">
        <f>+'4L'!C$36</f>
        <v>Capital expenditure purpose - WATER additional line 7 [Other categories]</v>
      </c>
      <c r="G3310">
        <f>IF('4L'!M36="","##BLANK",'4L'!M36)</f>
        <v>0</v>
      </c>
    </row>
    <row r="3311" spans="2:7">
      <c r="B3311" s="893" t="str">
        <f>+'4L'!BH37</f>
        <v>W3A00008CAW</v>
      </c>
      <c r="E3311" s="1753" t="s">
        <v>11007</v>
      </c>
      <c r="F3311" s="2146" t="str">
        <f>+'4L'!C$37</f>
        <v>Capital expenditure purpose - WATER additional line 8 [Other categories]</v>
      </c>
      <c r="G3311">
        <f>IF('4L'!M37="","##BLANK",'4L'!M37)</f>
        <v>0</v>
      </c>
    </row>
    <row r="3312" spans="2:7">
      <c r="B3312" s="893" t="str">
        <f>+'4L'!BH38</f>
        <v>W3A00009CAW</v>
      </c>
      <c r="E3312" s="1753" t="s">
        <v>11007</v>
      </c>
      <c r="F3312" s="2146" t="str">
        <f>+'4L'!C$38</f>
        <v>Capital expenditure purpose - WATER additional line 9 [Other categories]</v>
      </c>
      <c r="G3312">
        <f>IF('4L'!M38="","##BLANK",'4L'!M38)</f>
        <v>0</v>
      </c>
    </row>
    <row r="3313" spans="2:7">
      <c r="B3313" s="893" t="str">
        <f>+'4L'!BH39</f>
        <v>W3A00010CAW</v>
      </c>
      <c r="E3313" s="1753" t="s">
        <v>11007</v>
      </c>
      <c r="F3313" s="2146" t="str">
        <f>+'4L'!C$39</f>
        <v>Capital expenditure purpose - WATER additional line 10 [Other categories]</v>
      </c>
      <c r="G3313">
        <f>IF('4L'!M39="","##BLANK",'4L'!M39)</f>
        <v>0</v>
      </c>
    </row>
    <row r="3314" spans="2:7">
      <c r="B3314" s="893" t="str">
        <f>+'4L'!BH40</f>
        <v>W3A00011CAW</v>
      </c>
      <c r="E3314" s="1753" t="s">
        <v>11007</v>
      </c>
      <c r="F3314" s="2146" t="str">
        <f>+'4L'!C$40</f>
        <v>Capital expenditure purpose - WATER additional line 11 [Other categories]</v>
      </c>
      <c r="G3314">
        <f>IF('4L'!M40="","##BLANK",'4L'!M40)</f>
        <v>0</v>
      </c>
    </row>
    <row r="3315" spans="2:7">
      <c r="B3315" s="893" t="str">
        <f>+'4L'!BH41</f>
        <v>W3A00012CAW</v>
      </c>
      <c r="E3315" s="1753" t="s">
        <v>11007</v>
      </c>
      <c r="F3315" s="2146" t="str">
        <f>+'4L'!C$41</f>
        <v>Capital expenditure purpose - WATER additional line 12 [Other categories]</v>
      </c>
      <c r="G3315">
        <f>IF('4L'!M41="","##BLANK",'4L'!M41)</f>
        <v>0</v>
      </c>
    </row>
    <row r="3316" spans="2:7">
      <c r="B3316" s="893" t="str">
        <f>+'4L'!BH42</f>
        <v>W3A00013CAW</v>
      </c>
      <c r="E3316" s="1753" t="s">
        <v>11007</v>
      </c>
      <c r="F3316" s="2146" t="str">
        <f>+'4L'!C$42</f>
        <v>Capital expenditure purpose - WATER additional line 13 [Other categories]</v>
      </c>
      <c r="G3316">
        <f>IF('4L'!M42="","##BLANK",'4L'!M42)</f>
        <v>0</v>
      </c>
    </row>
    <row r="3317" spans="2:7">
      <c r="B3317" s="893" t="str">
        <f>+'4L'!BH43</f>
        <v>W3A00014CAW</v>
      </c>
      <c r="E3317" s="1753" t="s">
        <v>11007</v>
      </c>
      <c r="F3317" s="2146" t="str">
        <f>+'4L'!C$43</f>
        <v>Capital expenditure purpose - WATER additional line 14 [Other categories]</v>
      </c>
      <c r="G3317">
        <f>IF('4L'!M43="","##BLANK",'4L'!M43)</f>
        <v>0</v>
      </c>
    </row>
    <row r="3318" spans="2:7">
      <c r="B3318" s="893" t="str">
        <f>+'4L'!BH44</f>
        <v>W3A00015CAW</v>
      </c>
      <c r="E3318" s="1753" t="s">
        <v>11007</v>
      </c>
      <c r="F3318" s="2146" t="str">
        <f>+'4L'!C$44</f>
        <v>Capital expenditure purpose - WATER additional line 15 [Other categories]</v>
      </c>
      <c r="G3318">
        <f>IF('4L'!M44="","##BLANK",'4L'!M44)</f>
        <v>0</v>
      </c>
    </row>
    <row r="3319" spans="2:7">
      <c r="B3319" s="893" t="str">
        <f>+'4L'!BH45</f>
        <v>BA2070CAW</v>
      </c>
      <c r="E3319" s="1753" t="s">
        <v>11007</v>
      </c>
      <c r="G3319">
        <f>IF('4L'!M45="","##BLANK",'4L'!M45)</f>
        <v>0</v>
      </c>
    </row>
    <row r="3320" spans="2:7">
      <c r="B3320" s="893" t="str">
        <f>+'4L'!BI8</f>
        <v>W3001ALCUM</v>
      </c>
      <c r="E3320" s="1753" t="s">
        <v>11007</v>
      </c>
      <c r="G3320" t="str">
        <f>IF('4L'!N8="","##BLANK",'4L'!N8)</f>
        <v>##BLANK</v>
      </c>
    </row>
    <row r="3321" spans="2:7">
      <c r="B3321" s="893" t="str">
        <f>+'4L'!BI9</f>
        <v>WS2002ALCUM</v>
      </c>
      <c r="E3321" s="1753" t="s">
        <v>11007</v>
      </c>
      <c r="G3321" t="str">
        <f>IF('4L'!N9="","##BLANK",'4L'!N9)</f>
        <v>##BLANK</v>
      </c>
    </row>
    <row r="3322" spans="2:7">
      <c r="B3322" s="893" t="str">
        <f>+'4L'!BI10</f>
        <v>WS2003ALCUM</v>
      </c>
      <c r="E3322" s="1753" t="s">
        <v>11007</v>
      </c>
      <c r="G3322" t="str">
        <f>IF('4L'!N10="","##BLANK",'4L'!N10)</f>
        <v>##BLANK</v>
      </c>
    </row>
    <row r="3323" spans="2:7">
      <c r="B3323" s="893" t="str">
        <f>+'4L'!BI11</f>
        <v>W3002ALCUM</v>
      </c>
      <c r="E3323" s="1753" t="s">
        <v>11007</v>
      </c>
      <c r="G3323" t="str">
        <f>IF('4L'!N11="","##BLANK",'4L'!N11)</f>
        <v>##BLANK</v>
      </c>
    </row>
    <row r="3324" spans="2:7">
      <c r="B3324" s="893" t="str">
        <f>+'4L'!BI12</f>
        <v>W3003ALCUM</v>
      </c>
      <c r="E3324" s="1753" t="s">
        <v>11007</v>
      </c>
      <c r="G3324" t="str">
        <f>IF('4L'!N12="","##BLANK",'4L'!N12)</f>
        <v>##BLANK</v>
      </c>
    </row>
    <row r="3325" spans="2:7">
      <c r="B3325" s="893" t="str">
        <f>+'4L'!BI13</f>
        <v>W3006ALCUM</v>
      </c>
      <c r="E3325" s="1753" t="s">
        <v>11007</v>
      </c>
      <c r="G3325" t="str">
        <f>IF('4L'!N13="","##BLANK",'4L'!N13)</f>
        <v>##BLANK</v>
      </c>
    </row>
    <row r="3326" spans="2:7">
      <c r="B3326" s="893" t="str">
        <f>+'4L'!BI14</f>
        <v>W3007SALCUM</v>
      </c>
      <c r="E3326" s="1753" t="s">
        <v>11007</v>
      </c>
      <c r="G3326" t="str">
        <f>IF('4L'!N14="","##BLANK",'4L'!N14)</f>
        <v>##BLANK</v>
      </c>
    </row>
    <row r="3327" spans="2:7">
      <c r="B3327" s="893" t="str">
        <f>+'4L'!BI15</f>
        <v>W3008SALCUM</v>
      </c>
      <c r="E3327" s="1753" t="s">
        <v>11007</v>
      </c>
      <c r="G3327" t="str">
        <f>IF('4L'!N15="","##BLANK",'4L'!N15)</f>
        <v>##BLANK</v>
      </c>
    </row>
    <row r="3328" spans="2:7">
      <c r="B3328" s="893" t="str">
        <f>+'4L'!BI16</f>
        <v>W3007DALCUM</v>
      </c>
      <c r="E3328" s="1753" t="s">
        <v>11007</v>
      </c>
      <c r="G3328" t="str">
        <f>IF('4L'!N16="","##BLANK",'4L'!N16)</f>
        <v>##BLANK</v>
      </c>
    </row>
    <row r="3329" spans="2:7">
      <c r="B3329" s="893" t="str">
        <f>+'4L'!BI17</f>
        <v>W3008DALCUM</v>
      </c>
      <c r="E3329" s="1753" t="s">
        <v>11007</v>
      </c>
      <c r="G3329" t="str">
        <f>IF('4L'!N17="","##BLANK",'4L'!N17)</f>
        <v>##BLANK</v>
      </c>
    </row>
    <row r="3330" spans="2:7">
      <c r="B3330" s="893" t="str">
        <f>+'4L'!BI18</f>
        <v>W3009ALCUM</v>
      </c>
      <c r="E3330" s="1753" t="s">
        <v>11007</v>
      </c>
      <c r="G3330" t="str">
        <f>IF('4L'!N18="","##BLANK",'4L'!N18)</f>
        <v>##BLANK</v>
      </c>
    </row>
    <row r="3331" spans="2:7">
      <c r="B3331" s="893" t="str">
        <f>+'4L'!BI19</f>
        <v>WS2004ALCUM</v>
      </c>
      <c r="E3331" s="1753" t="s">
        <v>11007</v>
      </c>
      <c r="G3331" t="str">
        <f>IF('4L'!N19="","##BLANK",'4L'!N19)</f>
        <v>##BLANK</v>
      </c>
    </row>
    <row r="3332" spans="2:7">
      <c r="B3332" s="893" t="str">
        <f>+'4L'!BI20</f>
        <v>W3010ALCUM</v>
      </c>
      <c r="E3332" s="1753" t="s">
        <v>11007</v>
      </c>
      <c r="G3332" t="str">
        <f>IF('4L'!N20="","##BLANK",'4L'!N20)</f>
        <v>##BLANK</v>
      </c>
    </row>
    <row r="3333" spans="2:7">
      <c r="B3333" s="893" t="str">
        <f>+'4L'!BI21</f>
        <v>W3011ALCUM</v>
      </c>
      <c r="E3333" s="1753" t="s">
        <v>11007</v>
      </c>
      <c r="G3333" t="str">
        <f>IF('4L'!N21="","##BLANK",'4L'!N21)</f>
        <v>##BLANK</v>
      </c>
    </row>
    <row r="3334" spans="2:7">
      <c r="B3334" s="893" t="str">
        <f>+'4L'!BI22</f>
        <v>W3012ALCUM</v>
      </c>
      <c r="E3334" s="1753" t="s">
        <v>11007</v>
      </c>
      <c r="G3334" t="str">
        <f>IF('4L'!N22="","##BLANK",'4L'!N22)</f>
        <v>##BLANK</v>
      </c>
    </row>
    <row r="3335" spans="2:7">
      <c r="B3335" s="893" t="str">
        <f>+'4L'!BI23</f>
        <v>WS2006ALCUM</v>
      </c>
      <c r="E3335" s="1753" t="s">
        <v>11007</v>
      </c>
      <c r="G3335" t="str">
        <f>IF('4L'!N23="","##BLANK",'4L'!N23)</f>
        <v>##BLANK</v>
      </c>
    </row>
    <row r="3336" spans="2:7">
      <c r="B3336" s="893" t="str">
        <f>+'4L'!BI24</f>
        <v>WS2007ALCUM</v>
      </c>
      <c r="E3336" s="1753" t="s">
        <v>11007</v>
      </c>
      <c r="G3336" t="str">
        <f>IF('4L'!N24="","##BLANK",'4L'!N24)</f>
        <v>##BLANK</v>
      </c>
    </row>
    <row r="3337" spans="2:7">
      <c r="B3337" s="893" t="str">
        <f>+'4L'!BI25</f>
        <v>WS2008ALCUM</v>
      </c>
      <c r="E3337" s="1753" t="s">
        <v>11007</v>
      </c>
      <c r="G3337" t="str">
        <f>IF('4L'!N25="","##BLANK",'4L'!N25)</f>
        <v>##BLANK</v>
      </c>
    </row>
    <row r="3338" spans="2:7">
      <c r="B3338" s="893" t="str">
        <f>+'4L'!BI26</f>
        <v>W3027ALCUM</v>
      </c>
      <c r="E3338" s="1753" t="s">
        <v>11007</v>
      </c>
      <c r="G3338" t="str">
        <f>IF('4L'!N26="","##BLANK",'4L'!N26)</f>
        <v>##BLANK</v>
      </c>
    </row>
    <row r="3339" spans="2:7">
      <c r="B3339" s="893" t="str">
        <f>+'4L'!BI27</f>
        <v>W3028OPTALCUM</v>
      </c>
      <c r="E3339" s="1753" t="s">
        <v>11007</v>
      </c>
      <c r="G3339" t="str">
        <f>IF('4L'!N27="","##BLANK",'4L'!N27)</f>
        <v>##BLANK</v>
      </c>
    </row>
    <row r="3340" spans="2:7">
      <c r="B3340" s="893" t="str">
        <f>+'4L'!BI28</f>
        <v>W3028COMALCUM</v>
      </c>
      <c r="E3340" s="1753" t="s">
        <v>11007</v>
      </c>
      <c r="G3340" t="str">
        <f>IF('4L'!N28="","##BLANK",'4L'!N28)</f>
        <v>##BLANK</v>
      </c>
    </row>
    <row r="3341" spans="2:7">
      <c r="B3341" s="893" t="str">
        <f>+'4L'!BI29</f>
        <v>W3028NHOALCUM</v>
      </c>
      <c r="E3341" s="1753" t="s">
        <v>11007</v>
      </c>
      <c r="G3341" t="str">
        <f>IF('4L'!N29="","##BLANK",'4L'!N29)</f>
        <v>##BLANK</v>
      </c>
    </row>
    <row r="3342" spans="2:7">
      <c r="B3342" s="893" t="str">
        <f>+'4L'!BI30</f>
        <v>W3A00001ALCUM</v>
      </c>
      <c r="E3342" s="1753" t="s">
        <v>11007</v>
      </c>
      <c r="F3342" s="2146" t="str">
        <f>+'4L'!C$30</f>
        <v>Capital expenditure purpose - WATER additional line 1 [Other categories]</v>
      </c>
      <c r="G3342" t="str">
        <f>IF('4L'!N30="","##BLANK",'4L'!N30)</f>
        <v>##BLANK</v>
      </c>
    </row>
    <row r="3343" spans="2:7">
      <c r="B3343" s="893" t="str">
        <f>+'4L'!BI31</f>
        <v>W3A00002ALCUM</v>
      </c>
      <c r="E3343" s="1753" t="s">
        <v>11007</v>
      </c>
      <c r="F3343" s="2146" t="str">
        <f>+'4L'!C$31</f>
        <v>Capital expenditure purpose - WATER additional line 2 [Other categories]</v>
      </c>
      <c r="G3343" t="str">
        <f>IF('4L'!N31="","##BLANK",'4L'!N31)</f>
        <v>##BLANK</v>
      </c>
    </row>
    <row r="3344" spans="2:7">
      <c r="B3344" s="893" t="str">
        <f>+'4L'!BI32</f>
        <v>W3A00003ALCUM</v>
      </c>
      <c r="E3344" s="1753" t="s">
        <v>11007</v>
      </c>
      <c r="F3344" s="2146" t="str">
        <f>+'4L'!C$32</f>
        <v>Capital expenditure purpose - WATER additional line 3 [Other categories]</v>
      </c>
      <c r="G3344" t="str">
        <f>IF('4L'!N32="","##BLANK",'4L'!N32)</f>
        <v>##BLANK</v>
      </c>
    </row>
    <row r="3345" spans="2:7">
      <c r="B3345" s="893" t="str">
        <f>+'4L'!BI33</f>
        <v>W3A00004ALCUM</v>
      </c>
      <c r="E3345" s="1753" t="s">
        <v>11007</v>
      </c>
      <c r="F3345" s="2146" t="str">
        <f>+'4L'!C$33</f>
        <v>Capital expenditure purpose - WATER additional line 4 [Other categories]</v>
      </c>
      <c r="G3345" t="str">
        <f>IF('4L'!N33="","##BLANK",'4L'!N33)</f>
        <v>##BLANK</v>
      </c>
    </row>
    <row r="3346" spans="2:7">
      <c r="B3346" s="893" t="str">
        <f>+'4L'!BI34</f>
        <v>W3A00005ALCUM</v>
      </c>
      <c r="E3346" s="1753" t="s">
        <v>11007</v>
      </c>
      <c r="F3346" s="2146" t="str">
        <f>+'4L'!C$34</f>
        <v>Capital expenditure purpose - WATER additional line 5 [Other categories]</v>
      </c>
      <c r="G3346" t="str">
        <f>IF('4L'!N34="","##BLANK",'4L'!N34)</f>
        <v>##BLANK</v>
      </c>
    </row>
    <row r="3347" spans="2:7">
      <c r="B3347" s="893" t="str">
        <f>+'4L'!BI35</f>
        <v>W3A00006ALCUM</v>
      </c>
      <c r="E3347" s="1753" t="s">
        <v>11007</v>
      </c>
      <c r="F3347" s="2146" t="str">
        <f>+'4L'!C$35</f>
        <v>Capital expenditure purpose - WATER additional line 6 [Other categories]</v>
      </c>
      <c r="G3347" t="str">
        <f>IF('4L'!N35="","##BLANK",'4L'!N35)</f>
        <v>##BLANK</v>
      </c>
    </row>
    <row r="3348" spans="2:7">
      <c r="B3348" s="893" t="str">
        <f>+'4L'!BI36</f>
        <v>W3A00007ALCUM</v>
      </c>
      <c r="E3348" s="1753" t="s">
        <v>11007</v>
      </c>
      <c r="F3348" s="2146" t="str">
        <f>+'4L'!C$36</f>
        <v>Capital expenditure purpose - WATER additional line 7 [Other categories]</v>
      </c>
      <c r="G3348" t="str">
        <f>IF('4L'!N36="","##BLANK",'4L'!N36)</f>
        <v>##BLANK</v>
      </c>
    </row>
    <row r="3349" spans="2:7">
      <c r="B3349" s="893" t="str">
        <f>+'4L'!BI37</f>
        <v>W3A00008ALCUM</v>
      </c>
      <c r="E3349" s="1753" t="s">
        <v>11007</v>
      </c>
      <c r="F3349" s="2146" t="str">
        <f>+'4L'!C$37</f>
        <v>Capital expenditure purpose - WATER additional line 8 [Other categories]</v>
      </c>
      <c r="G3349" t="str">
        <f>IF('4L'!N37="","##BLANK",'4L'!N37)</f>
        <v>##BLANK</v>
      </c>
    </row>
    <row r="3350" spans="2:7">
      <c r="B3350" s="893" t="str">
        <f>+'4L'!BI38</f>
        <v>W3A00009ALCUM</v>
      </c>
      <c r="E3350" s="1753" t="s">
        <v>11007</v>
      </c>
      <c r="F3350" s="2146" t="str">
        <f>+'4L'!C$38</f>
        <v>Capital expenditure purpose - WATER additional line 9 [Other categories]</v>
      </c>
      <c r="G3350" t="str">
        <f>IF('4L'!N38="","##BLANK",'4L'!N38)</f>
        <v>##BLANK</v>
      </c>
    </row>
    <row r="3351" spans="2:7">
      <c r="B3351" s="893" t="str">
        <f>+'4L'!BI39</f>
        <v>W3A00010ALCUM</v>
      </c>
      <c r="E3351" s="1753" t="s">
        <v>11007</v>
      </c>
      <c r="F3351" s="2146" t="str">
        <f>+'4L'!C$39</f>
        <v>Capital expenditure purpose - WATER additional line 10 [Other categories]</v>
      </c>
      <c r="G3351" t="str">
        <f>IF('4L'!N39="","##BLANK",'4L'!N39)</f>
        <v>##BLANK</v>
      </c>
    </row>
    <row r="3352" spans="2:7">
      <c r="B3352" s="893" t="str">
        <f>+'4L'!BI40</f>
        <v>W3A00011ALCUM</v>
      </c>
      <c r="E3352" s="1753" t="s">
        <v>11007</v>
      </c>
      <c r="F3352" s="2146" t="str">
        <f>+'4L'!C$40</f>
        <v>Capital expenditure purpose - WATER additional line 11 [Other categories]</v>
      </c>
      <c r="G3352" t="str">
        <f>IF('4L'!N40="","##BLANK",'4L'!N40)</f>
        <v>##BLANK</v>
      </c>
    </row>
    <row r="3353" spans="2:7">
      <c r="B3353" s="893" t="str">
        <f>+'4L'!BI41</f>
        <v>W3A00012ALCUM</v>
      </c>
      <c r="E3353" s="1753" t="s">
        <v>11007</v>
      </c>
      <c r="F3353" s="2146" t="str">
        <f>+'4L'!C$41</f>
        <v>Capital expenditure purpose - WATER additional line 12 [Other categories]</v>
      </c>
      <c r="G3353" t="str">
        <f>IF('4L'!N41="","##BLANK",'4L'!N41)</f>
        <v>##BLANK</v>
      </c>
    </row>
    <row r="3354" spans="2:7">
      <c r="B3354" s="893" t="str">
        <f>+'4L'!BI42</f>
        <v>W3A00013ALCUM</v>
      </c>
      <c r="E3354" s="1753" t="s">
        <v>11007</v>
      </c>
      <c r="F3354" s="2146" t="str">
        <f>+'4L'!C$42</f>
        <v>Capital expenditure purpose - WATER additional line 13 [Other categories]</v>
      </c>
      <c r="G3354" t="str">
        <f>IF('4L'!N42="","##BLANK",'4L'!N42)</f>
        <v>##BLANK</v>
      </c>
    </row>
    <row r="3355" spans="2:7">
      <c r="B3355" s="893" t="str">
        <f>+'4L'!BI43</f>
        <v>W3A00014ALCUM</v>
      </c>
      <c r="E3355" s="1753" t="s">
        <v>11007</v>
      </c>
      <c r="F3355" s="2146" t="str">
        <f>+'4L'!C$43</f>
        <v>Capital expenditure purpose - WATER additional line 14 [Other categories]</v>
      </c>
      <c r="G3355" t="str">
        <f>IF('4L'!N43="","##BLANK",'4L'!N43)</f>
        <v>##BLANK</v>
      </c>
    </row>
    <row r="3356" spans="2:7">
      <c r="B3356" s="893" t="str">
        <f>+'4L'!BI44</f>
        <v>W3A00015ALCUM</v>
      </c>
      <c r="E3356" s="1753" t="s">
        <v>11007</v>
      </c>
      <c r="F3356" s="2146" t="str">
        <f>+'4L'!C$44</f>
        <v>Capital expenditure purpose - WATER additional line 15 [Other categories]</v>
      </c>
      <c r="G3356" t="str">
        <f>IF('4L'!N44="","##BLANK",'4L'!N44)</f>
        <v>##BLANK</v>
      </c>
    </row>
    <row r="3357" spans="2:7">
      <c r="B3357" s="893" t="str">
        <f>+'4L'!BI45</f>
        <v>BA2070ALCUM</v>
      </c>
      <c r="E3357" s="1753" t="s">
        <v>11007</v>
      </c>
      <c r="G3357">
        <f>IF('4L'!N45="","##BLANK",'4L'!N45)</f>
        <v>0</v>
      </c>
    </row>
    <row r="3358" spans="2:7">
      <c r="B3358" s="893" t="str">
        <f>+'4L'!BJ8</f>
        <v>W3001RWACUM</v>
      </c>
      <c r="E3358" s="1753" t="s">
        <v>11007</v>
      </c>
      <c r="G3358" t="str">
        <f>IF('4L'!O8="","##BLANK",'4L'!O8)</f>
        <v>##BLANK</v>
      </c>
    </row>
    <row r="3359" spans="2:7">
      <c r="B3359" s="893" t="str">
        <f>+'4L'!BJ9</f>
        <v>WS2002RWACUM</v>
      </c>
      <c r="E3359" s="1753" t="s">
        <v>11007</v>
      </c>
      <c r="G3359" t="str">
        <f>IF('4L'!O9="","##BLANK",'4L'!O9)</f>
        <v>##BLANK</v>
      </c>
    </row>
    <row r="3360" spans="2:7">
      <c r="B3360" s="893" t="str">
        <f>+'4L'!BJ10</f>
        <v>WS2003RWACUM</v>
      </c>
      <c r="E3360" s="1753" t="s">
        <v>11007</v>
      </c>
      <c r="G3360" t="str">
        <f>IF('4L'!O10="","##BLANK",'4L'!O10)</f>
        <v>##BLANK</v>
      </c>
    </row>
    <row r="3361" spans="2:7">
      <c r="B3361" s="893" t="str">
        <f>+'4L'!BJ11</f>
        <v>W3002RWACUM</v>
      </c>
      <c r="E3361" s="1753" t="s">
        <v>11007</v>
      </c>
      <c r="G3361" t="str">
        <f>IF('4L'!O11="","##BLANK",'4L'!O11)</f>
        <v>##BLANK</v>
      </c>
    </row>
    <row r="3362" spans="2:7">
      <c r="B3362" s="893" t="str">
        <f>+'4L'!BJ12</f>
        <v>W3003RWACUM</v>
      </c>
      <c r="E3362" s="1753" t="s">
        <v>11007</v>
      </c>
      <c r="G3362" t="str">
        <f>IF('4L'!O12="","##BLANK",'4L'!O12)</f>
        <v>##BLANK</v>
      </c>
    </row>
    <row r="3363" spans="2:7">
      <c r="B3363" s="893" t="str">
        <f>+'4L'!BJ13</f>
        <v>W3006RWACUM</v>
      </c>
      <c r="E3363" s="1753" t="s">
        <v>11007</v>
      </c>
      <c r="G3363" t="str">
        <f>IF('4L'!O13="","##BLANK",'4L'!O13)</f>
        <v>##BLANK</v>
      </c>
    </row>
    <row r="3364" spans="2:7">
      <c r="B3364" s="893" t="str">
        <f>+'4L'!BJ14</f>
        <v>W3007SRWACUM</v>
      </c>
      <c r="E3364" s="1753" t="s">
        <v>11007</v>
      </c>
      <c r="G3364" t="str">
        <f>IF('4L'!O14="","##BLANK",'4L'!O14)</f>
        <v>##BLANK</v>
      </c>
    </row>
    <row r="3365" spans="2:7">
      <c r="B3365" s="893" t="str">
        <f>+'4L'!BJ15</f>
        <v>W3008SRWACUM</v>
      </c>
      <c r="E3365" s="1753" t="s">
        <v>11007</v>
      </c>
      <c r="G3365" t="str">
        <f>IF('4L'!O15="","##BLANK",'4L'!O15)</f>
        <v>##BLANK</v>
      </c>
    </row>
    <row r="3366" spans="2:7">
      <c r="B3366" s="893" t="str">
        <f>+'4L'!BJ16</f>
        <v>W3007DRWACUM</v>
      </c>
      <c r="E3366" s="1753" t="s">
        <v>11007</v>
      </c>
      <c r="G3366" t="str">
        <f>IF('4L'!O16="","##BLANK",'4L'!O16)</f>
        <v>##BLANK</v>
      </c>
    </row>
    <row r="3367" spans="2:7">
      <c r="B3367" s="893" t="str">
        <f>+'4L'!BJ17</f>
        <v>W3008DRWACUM</v>
      </c>
      <c r="E3367" s="1753" t="s">
        <v>11007</v>
      </c>
      <c r="G3367" t="str">
        <f>IF('4L'!O17="","##BLANK",'4L'!O17)</f>
        <v>##BLANK</v>
      </c>
    </row>
    <row r="3368" spans="2:7">
      <c r="B3368" s="893" t="str">
        <f>+'4L'!BJ18</f>
        <v>W3009RWACUM</v>
      </c>
      <c r="E3368" s="1753" t="s">
        <v>11007</v>
      </c>
      <c r="G3368" t="str">
        <f>IF('4L'!O18="","##BLANK",'4L'!O18)</f>
        <v>##BLANK</v>
      </c>
    </row>
    <row r="3369" spans="2:7">
      <c r="B3369" s="893" t="str">
        <f>+'4L'!BJ19</f>
        <v>WS2004RWACUM</v>
      </c>
      <c r="E3369" s="1753" t="s">
        <v>11007</v>
      </c>
      <c r="G3369" t="str">
        <f>IF('4L'!O19="","##BLANK",'4L'!O19)</f>
        <v>##BLANK</v>
      </c>
    </row>
    <row r="3370" spans="2:7">
      <c r="B3370" s="893" t="str">
        <f>+'4L'!BJ20</f>
        <v>W3010RWACUM</v>
      </c>
      <c r="E3370" s="1753" t="s">
        <v>11007</v>
      </c>
      <c r="G3370" t="str">
        <f>IF('4L'!O20="","##BLANK",'4L'!O20)</f>
        <v>##BLANK</v>
      </c>
    </row>
    <row r="3371" spans="2:7">
      <c r="B3371" s="893" t="str">
        <f>+'4L'!BJ21</f>
        <v>W3011RWACUM</v>
      </c>
      <c r="E3371" s="1753" t="s">
        <v>11007</v>
      </c>
      <c r="G3371" t="str">
        <f>IF('4L'!O21="","##BLANK",'4L'!O21)</f>
        <v>##BLANK</v>
      </c>
    </row>
    <row r="3372" spans="2:7">
      <c r="B3372" s="893" t="str">
        <f>+'4L'!BJ22</f>
        <v>W3012RWACUM</v>
      </c>
      <c r="E3372" s="1753" t="s">
        <v>11007</v>
      </c>
      <c r="G3372" t="str">
        <f>IF('4L'!O22="","##BLANK",'4L'!O22)</f>
        <v>##BLANK</v>
      </c>
    </row>
    <row r="3373" spans="2:7">
      <c r="B3373" s="893" t="str">
        <f>+'4L'!BJ23</f>
        <v>WS2006RWACUM</v>
      </c>
      <c r="E3373" s="1753" t="s">
        <v>11007</v>
      </c>
      <c r="G3373" t="str">
        <f>IF('4L'!O23="","##BLANK",'4L'!O23)</f>
        <v>##BLANK</v>
      </c>
    </row>
    <row r="3374" spans="2:7">
      <c r="B3374" s="893" t="str">
        <f>+'4L'!BJ24</f>
        <v>WS2007RWACUM</v>
      </c>
      <c r="E3374" s="1753" t="s">
        <v>11007</v>
      </c>
      <c r="G3374" t="str">
        <f>IF('4L'!O24="","##BLANK",'4L'!O24)</f>
        <v>##BLANK</v>
      </c>
    </row>
    <row r="3375" spans="2:7">
      <c r="B3375" s="893" t="str">
        <f>+'4L'!BJ25</f>
        <v>WS2008RWACUM</v>
      </c>
      <c r="E3375" s="1753" t="s">
        <v>11007</v>
      </c>
      <c r="G3375" t="str">
        <f>IF('4L'!O25="","##BLANK",'4L'!O25)</f>
        <v>##BLANK</v>
      </c>
    </row>
    <row r="3376" spans="2:7">
      <c r="B3376" s="893" t="str">
        <f>+'4L'!BJ26</f>
        <v>W3027RWACUM</v>
      </c>
      <c r="E3376" s="1753" t="s">
        <v>11007</v>
      </c>
      <c r="G3376" t="str">
        <f>IF('4L'!O26="","##BLANK",'4L'!O26)</f>
        <v>##BLANK</v>
      </c>
    </row>
    <row r="3377" spans="2:7">
      <c r="B3377" s="893" t="str">
        <f>+'4L'!BJ27</f>
        <v>W3028OPTRWACUM</v>
      </c>
      <c r="E3377" s="1753" t="s">
        <v>11007</v>
      </c>
      <c r="G3377" t="str">
        <f>IF('4L'!O27="","##BLANK",'4L'!O27)</f>
        <v>##BLANK</v>
      </c>
    </row>
    <row r="3378" spans="2:7">
      <c r="B3378" s="893" t="str">
        <f>+'4L'!BJ28</f>
        <v>W3028COMRWACUM</v>
      </c>
      <c r="E3378" s="1753" t="s">
        <v>11007</v>
      </c>
      <c r="G3378" t="str">
        <f>IF('4L'!O28="","##BLANK",'4L'!O28)</f>
        <v>##BLANK</v>
      </c>
    </row>
    <row r="3379" spans="2:7">
      <c r="B3379" s="893" t="str">
        <f>+'4L'!BJ29</f>
        <v>W3028NHORWACUM</v>
      </c>
      <c r="E3379" s="1753" t="s">
        <v>11007</v>
      </c>
      <c r="G3379" t="str">
        <f>IF('4L'!O29="","##BLANK",'4L'!O29)</f>
        <v>##BLANK</v>
      </c>
    </row>
    <row r="3380" spans="2:7">
      <c r="B3380" s="893" t="str">
        <f>+'4L'!BJ30</f>
        <v>W3A00001RWACUM</v>
      </c>
      <c r="E3380" s="1753" t="s">
        <v>11007</v>
      </c>
      <c r="F3380" s="2146" t="str">
        <f>+'4L'!C$30</f>
        <v>Capital expenditure purpose - WATER additional line 1 [Other categories]</v>
      </c>
      <c r="G3380" t="str">
        <f>IF('4L'!O30="","##BLANK",'4L'!O30)</f>
        <v>##BLANK</v>
      </c>
    </row>
    <row r="3381" spans="2:7">
      <c r="B3381" s="893" t="str">
        <f>+'4L'!BJ31</f>
        <v>W3A00002RWACUM</v>
      </c>
      <c r="E3381" s="1753" t="s">
        <v>11007</v>
      </c>
      <c r="F3381" s="2146" t="str">
        <f>+'4L'!C$31</f>
        <v>Capital expenditure purpose - WATER additional line 2 [Other categories]</v>
      </c>
      <c r="G3381" t="str">
        <f>IF('4L'!O31="","##BLANK",'4L'!O31)</f>
        <v>##BLANK</v>
      </c>
    </row>
    <row r="3382" spans="2:7">
      <c r="B3382" s="893" t="str">
        <f>+'4L'!BJ32</f>
        <v>W3A00003RWACUM</v>
      </c>
      <c r="E3382" s="1753" t="s">
        <v>11007</v>
      </c>
      <c r="F3382" s="2146" t="str">
        <f>+'4L'!C$32</f>
        <v>Capital expenditure purpose - WATER additional line 3 [Other categories]</v>
      </c>
      <c r="G3382" t="str">
        <f>IF('4L'!O32="","##BLANK",'4L'!O32)</f>
        <v>##BLANK</v>
      </c>
    </row>
    <row r="3383" spans="2:7">
      <c r="B3383" s="893" t="str">
        <f>+'4L'!BJ33</f>
        <v>W3A00004RWACUM</v>
      </c>
      <c r="E3383" s="1753" t="s">
        <v>11007</v>
      </c>
      <c r="F3383" s="2146" t="str">
        <f>+'4L'!C$33</f>
        <v>Capital expenditure purpose - WATER additional line 4 [Other categories]</v>
      </c>
      <c r="G3383" t="str">
        <f>IF('4L'!O33="","##BLANK",'4L'!O33)</f>
        <v>##BLANK</v>
      </c>
    </row>
    <row r="3384" spans="2:7">
      <c r="B3384" s="893" t="str">
        <f>+'4L'!BJ34</f>
        <v>W3A00005RWACUM</v>
      </c>
      <c r="E3384" s="1753" t="s">
        <v>11007</v>
      </c>
      <c r="F3384" s="2146" t="str">
        <f>+'4L'!C$34</f>
        <v>Capital expenditure purpose - WATER additional line 5 [Other categories]</v>
      </c>
      <c r="G3384" t="str">
        <f>IF('4L'!O34="","##BLANK",'4L'!O34)</f>
        <v>##BLANK</v>
      </c>
    </row>
    <row r="3385" spans="2:7">
      <c r="B3385" s="893" t="str">
        <f>+'4L'!BJ35</f>
        <v>W3A00006RWACUM</v>
      </c>
      <c r="E3385" s="1753" t="s">
        <v>11007</v>
      </c>
      <c r="F3385" s="2146" t="str">
        <f>+'4L'!C$35</f>
        <v>Capital expenditure purpose - WATER additional line 6 [Other categories]</v>
      </c>
      <c r="G3385" t="str">
        <f>IF('4L'!O35="","##BLANK",'4L'!O35)</f>
        <v>##BLANK</v>
      </c>
    </row>
    <row r="3386" spans="2:7">
      <c r="B3386" s="893" t="str">
        <f>+'4L'!BJ36</f>
        <v>W3A00007RWACUM</v>
      </c>
      <c r="E3386" s="1753" t="s">
        <v>11007</v>
      </c>
      <c r="F3386" s="2146" t="str">
        <f>+'4L'!C$36</f>
        <v>Capital expenditure purpose - WATER additional line 7 [Other categories]</v>
      </c>
      <c r="G3386" t="str">
        <f>IF('4L'!O36="","##BLANK",'4L'!O36)</f>
        <v>##BLANK</v>
      </c>
    </row>
    <row r="3387" spans="2:7">
      <c r="B3387" s="893" t="str">
        <f>+'4L'!BJ37</f>
        <v>W3A00008RWACUM</v>
      </c>
      <c r="E3387" s="1753" t="s">
        <v>11007</v>
      </c>
      <c r="F3387" s="2146" t="str">
        <f>+'4L'!C$37</f>
        <v>Capital expenditure purpose - WATER additional line 8 [Other categories]</v>
      </c>
      <c r="G3387" t="str">
        <f>IF('4L'!O37="","##BLANK",'4L'!O37)</f>
        <v>##BLANK</v>
      </c>
    </row>
    <row r="3388" spans="2:7">
      <c r="B3388" s="893" t="str">
        <f>+'4L'!BJ38</f>
        <v>W3A00009RWACUM</v>
      </c>
      <c r="E3388" s="1753" t="s">
        <v>11007</v>
      </c>
      <c r="F3388" s="2146" t="str">
        <f>+'4L'!C$38</f>
        <v>Capital expenditure purpose - WATER additional line 9 [Other categories]</v>
      </c>
      <c r="G3388" t="str">
        <f>IF('4L'!O38="","##BLANK",'4L'!O38)</f>
        <v>##BLANK</v>
      </c>
    </row>
    <row r="3389" spans="2:7">
      <c r="B3389" s="893" t="str">
        <f>+'4L'!BJ39</f>
        <v>W3A00010RWACUM</v>
      </c>
      <c r="E3389" s="1753" t="s">
        <v>11007</v>
      </c>
      <c r="F3389" s="2146" t="str">
        <f>+'4L'!C$39</f>
        <v>Capital expenditure purpose - WATER additional line 10 [Other categories]</v>
      </c>
      <c r="G3389" t="str">
        <f>IF('4L'!O39="","##BLANK",'4L'!O39)</f>
        <v>##BLANK</v>
      </c>
    </row>
    <row r="3390" spans="2:7">
      <c r="B3390" s="893" t="str">
        <f>+'4L'!BJ40</f>
        <v>W3A00011RWACUM</v>
      </c>
      <c r="E3390" s="1753" t="s">
        <v>11007</v>
      </c>
      <c r="F3390" s="2146" t="str">
        <f>+'4L'!C$40</f>
        <v>Capital expenditure purpose - WATER additional line 11 [Other categories]</v>
      </c>
      <c r="G3390" t="str">
        <f>IF('4L'!O40="","##BLANK",'4L'!O40)</f>
        <v>##BLANK</v>
      </c>
    </row>
    <row r="3391" spans="2:7">
      <c r="B3391" s="893" t="str">
        <f>+'4L'!BJ41</f>
        <v>W3A00012RWACUM</v>
      </c>
      <c r="E3391" s="1753" t="s">
        <v>11007</v>
      </c>
      <c r="F3391" s="2146" t="str">
        <f>+'4L'!C$41</f>
        <v>Capital expenditure purpose - WATER additional line 12 [Other categories]</v>
      </c>
      <c r="G3391" t="str">
        <f>IF('4L'!O41="","##BLANK",'4L'!O41)</f>
        <v>##BLANK</v>
      </c>
    </row>
    <row r="3392" spans="2:7">
      <c r="B3392" s="893" t="str">
        <f>+'4L'!BJ42</f>
        <v>W3A00013RWACUM</v>
      </c>
      <c r="E3392" s="1753" t="s">
        <v>11007</v>
      </c>
      <c r="F3392" s="2146" t="str">
        <f>+'4L'!C$42</f>
        <v>Capital expenditure purpose - WATER additional line 13 [Other categories]</v>
      </c>
      <c r="G3392" t="str">
        <f>IF('4L'!O42="","##BLANK",'4L'!O42)</f>
        <v>##BLANK</v>
      </c>
    </row>
    <row r="3393" spans="2:7">
      <c r="B3393" s="893" t="str">
        <f>+'4L'!BJ43</f>
        <v>W3A00014RWACUM</v>
      </c>
      <c r="E3393" s="1753" t="s">
        <v>11007</v>
      </c>
      <c r="F3393" s="2146" t="str">
        <f>+'4L'!C$43</f>
        <v>Capital expenditure purpose - WATER additional line 14 [Other categories]</v>
      </c>
      <c r="G3393" t="str">
        <f>IF('4L'!O43="","##BLANK",'4L'!O43)</f>
        <v>##BLANK</v>
      </c>
    </row>
    <row r="3394" spans="2:7">
      <c r="B3394" s="893" t="str">
        <f>+'4L'!BJ44</f>
        <v>W3A00015RWACUM</v>
      </c>
      <c r="E3394" s="1753" t="s">
        <v>11007</v>
      </c>
      <c r="F3394" s="2146" t="str">
        <f>+'4L'!C$44</f>
        <v>Capital expenditure purpose - WATER additional line 15 [Other categories]</v>
      </c>
      <c r="G3394" t="str">
        <f>IF('4L'!O44="","##BLANK",'4L'!O44)</f>
        <v>##BLANK</v>
      </c>
    </row>
    <row r="3395" spans="2:7">
      <c r="B3395" s="893" t="str">
        <f>+'4L'!BJ45</f>
        <v>BA2070RWACUM</v>
      </c>
      <c r="E3395" s="1753" t="s">
        <v>11007</v>
      </c>
      <c r="G3395">
        <f>IF('4L'!O45="","##BLANK",'4L'!O45)</f>
        <v>0</v>
      </c>
    </row>
    <row r="3396" spans="2:7">
      <c r="B3396" s="893" t="str">
        <f>+'4L'!BK8</f>
        <v>W3001RWTCUM</v>
      </c>
      <c r="E3396" s="1753" t="s">
        <v>11007</v>
      </c>
      <c r="G3396" t="str">
        <f>IF('4L'!P8="","##BLANK",'4L'!P8)</f>
        <v>##BLANK</v>
      </c>
    </row>
    <row r="3397" spans="2:7">
      <c r="B3397" s="893" t="str">
        <f>+'4L'!BK9</f>
        <v>WS2002RWTCUM</v>
      </c>
      <c r="E3397" s="1753" t="s">
        <v>11007</v>
      </c>
      <c r="G3397" t="str">
        <f>IF('4L'!P9="","##BLANK",'4L'!P9)</f>
        <v>##BLANK</v>
      </c>
    </row>
    <row r="3398" spans="2:7">
      <c r="B3398" s="893" t="str">
        <f>+'4L'!BK10</f>
        <v>WS2003RWTCUM</v>
      </c>
      <c r="E3398" s="1753" t="s">
        <v>11007</v>
      </c>
      <c r="G3398" t="str">
        <f>IF('4L'!P10="","##BLANK",'4L'!P10)</f>
        <v>##BLANK</v>
      </c>
    </row>
    <row r="3399" spans="2:7">
      <c r="B3399" s="893" t="str">
        <f>+'4L'!BK11</f>
        <v>W3002RWTCUM</v>
      </c>
      <c r="E3399" s="1753" t="s">
        <v>11007</v>
      </c>
      <c r="G3399" t="str">
        <f>IF('4L'!P11="","##BLANK",'4L'!P11)</f>
        <v>##BLANK</v>
      </c>
    </row>
    <row r="3400" spans="2:7">
      <c r="B3400" s="893" t="str">
        <f>+'4L'!BK12</f>
        <v>W3003RWTCUM</v>
      </c>
      <c r="E3400" s="1753" t="s">
        <v>11007</v>
      </c>
      <c r="G3400" t="str">
        <f>IF('4L'!P12="","##BLANK",'4L'!P12)</f>
        <v>##BLANK</v>
      </c>
    </row>
    <row r="3401" spans="2:7">
      <c r="B3401" s="893" t="str">
        <f>+'4L'!BK13</f>
        <v>W3006RWTCUM</v>
      </c>
      <c r="E3401" s="1753" t="s">
        <v>11007</v>
      </c>
      <c r="G3401" t="str">
        <f>IF('4L'!P13="","##BLANK",'4L'!P13)</f>
        <v>##BLANK</v>
      </c>
    </row>
    <row r="3402" spans="2:7">
      <c r="B3402" s="893" t="str">
        <f>+'4L'!BK14</f>
        <v>W3007SRWTCUM</v>
      </c>
      <c r="E3402" s="1753" t="s">
        <v>11007</v>
      </c>
      <c r="G3402" t="str">
        <f>IF('4L'!P14="","##BLANK",'4L'!P14)</f>
        <v>##BLANK</v>
      </c>
    </row>
    <row r="3403" spans="2:7">
      <c r="B3403" s="893" t="str">
        <f>+'4L'!BK15</f>
        <v>W3008SRWTCUM</v>
      </c>
      <c r="E3403" s="1753" t="s">
        <v>11007</v>
      </c>
      <c r="G3403" t="str">
        <f>IF('4L'!P15="","##BLANK",'4L'!P15)</f>
        <v>##BLANK</v>
      </c>
    </row>
    <row r="3404" spans="2:7">
      <c r="B3404" s="893" t="str">
        <f>+'4L'!BK16</f>
        <v>W3007DRWTCUM</v>
      </c>
      <c r="E3404" s="1753" t="s">
        <v>11007</v>
      </c>
      <c r="G3404" t="str">
        <f>IF('4L'!P16="","##BLANK",'4L'!P16)</f>
        <v>##BLANK</v>
      </c>
    </row>
    <row r="3405" spans="2:7">
      <c r="B3405" s="893" t="str">
        <f>+'4L'!BK17</f>
        <v>W3008DRWTCUM</v>
      </c>
      <c r="E3405" s="1753" t="s">
        <v>11007</v>
      </c>
      <c r="G3405" t="str">
        <f>IF('4L'!P17="","##BLANK",'4L'!P17)</f>
        <v>##BLANK</v>
      </c>
    </row>
    <row r="3406" spans="2:7">
      <c r="B3406" s="893" t="str">
        <f>+'4L'!BK18</f>
        <v>W3009RWTCUM</v>
      </c>
      <c r="E3406" s="1753" t="s">
        <v>11007</v>
      </c>
      <c r="G3406" t="str">
        <f>IF('4L'!P18="","##BLANK",'4L'!P18)</f>
        <v>##BLANK</v>
      </c>
    </row>
    <row r="3407" spans="2:7">
      <c r="B3407" s="893" t="str">
        <f>+'4L'!BK19</f>
        <v>WS2004RWTCUM</v>
      </c>
      <c r="E3407" s="1753" t="s">
        <v>11007</v>
      </c>
      <c r="G3407" t="str">
        <f>IF('4L'!P19="","##BLANK",'4L'!P19)</f>
        <v>##BLANK</v>
      </c>
    </row>
    <row r="3408" spans="2:7">
      <c r="B3408" s="893" t="str">
        <f>+'4L'!BK20</f>
        <v>W3010RWTCUM</v>
      </c>
      <c r="E3408" s="1753" t="s">
        <v>11007</v>
      </c>
      <c r="G3408" t="str">
        <f>IF('4L'!P20="","##BLANK",'4L'!P20)</f>
        <v>##BLANK</v>
      </c>
    </row>
    <row r="3409" spans="2:7">
      <c r="B3409" s="893" t="str">
        <f>+'4L'!BK21</f>
        <v>W3011RWTCUM</v>
      </c>
      <c r="E3409" s="1753" t="s">
        <v>11007</v>
      </c>
      <c r="G3409" t="str">
        <f>IF('4L'!P21="","##BLANK",'4L'!P21)</f>
        <v>##BLANK</v>
      </c>
    </row>
    <row r="3410" spans="2:7">
      <c r="B3410" s="893" t="str">
        <f>+'4L'!BK22</f>
        <v>W3012RWTCUM</v>
      </c>
      <c r="E3410" s="1753" t="s">
        <v>11007</v>
      </c>
      <c r="G3410" t="str">
        <f>IF('4L'!P22="","##BLANK",'4L'!P22)</f>
        <v>##BLANK</v>
      </c>
    </row>
    <row r="3411" spans="2:7">
      <c r="B3411" s="893" t="str">
        <f>+'4L'!BK23</f>
        <v>WS2006RWTCUM</v>
      </c>
      <c r="E3411" s="1753" t="s">
        <v>11007</v>
      </c>
      <c r="G3411" t="str">
        <f>IF('4L'!P23="","##BLANK",'4L'!P23)</f>
        <v>##BLANK</v>
      </c>
    </row>
    <row r="3412" spans="2:7">
      <c r="B3412" s="893" t="str">
        <f>+'4L'!BK24</f>
        <v>WS2007RWTCUM</v>
      </c>
      <c r="E3412" s="1753" t="s">
        <v>11007</v>
      </c>
      <c r="G3412" t="str">
        <f>IF('4L'!P24="","##BLANK",'4L'!P24)</f>
        <v>##BLANK</v>
      </c>
    </row>
    <row r="3413" spans="2:7">
      <c r="B3413" s="893" t="str">
        <f>+'4L'!BK25</f>
        <v>WS2008RWTCUM</v>
      </c>
      <c r="E3413" s="1753" t="s">
        <v>11007</v>
      </c>
      <c r="G3413" t="str">
        <f>IF('4L'!P25="","##BLANK",'4L'!P25)</f>
        <v>##BLANK</v>
      </c>
    </row>
    <row r="3414" spans="2:7">
      <c r="B3414" s="893" t="str">
        <f>+'4L'!BK26</f>
        <v>W3027RWTCUM</v>
      </c>
      <c r="E3414" s="1753" t="s">
        <v>11007</v>
      </c>
      <c r="G3414" t="str">
        <f>IF('4L'!P26="","##BLANK",'4L'!P26)</f>
        <v>##BLANK</v>
      </c>
    </row>
    <row r="3415" spans="2:7">
      <c r="B3415" s="893" t="str">
        <f>+'4L'!BK27</f>
        <v>W3028OPTRWTCUM</v>
      </c>
      <c r="E3415" s="1753" t="s">
        <v>11007</v>
      </c>
      <c r="G3415" t="str">
        <f>IF('4L'!P27="","##BLANK",'4L'!P27)</f>
        <v>##BLANK</v>
      </c>
    </row>
    <row r="3416" spans="2:7">
      <c r="B3416" s="893" t="str">
        <f>+'4L'!BK28</f>
        <v>W3028COMRWTCUM</v>
      </c>
      <c r="E3416" s="1753" t="s">
        <v>11007</v>
      </c>
      <c r="G3416" t="str">
        <f>IF('4L'!P28="","##BLANK",'4L'!P28)</f>
        <v>##BLANK</v>
      </c>
    </row>
    <row r="3417" spans="2:7">
      <c r="B3417" s="893" t="str">
        <f>+'4L'!BK29</f>
        <v>W3028NHORWTCUM</v>
      </c>
      <c r="E3417" s="1753" t="s">
        <v>11007</v>
      </c>
      <c r="G3417" t="str">
        <f>IF('4L'!P29="","##BLANK",'4L'!P29)</f>
        <v>##BLANK</v>
      </c>
    </row>
    <row r="3418" spans="2:7">
      <c r="B3418" s="893" t="str">
        <f>+'4L'!BK30</f>
        <v>W3A00001RWTCUM</v>
      </c>
      <c r="E3418" s="1753" t="s">
        <v>11007</v>
      </c>
      <c r="F3418" s="2146" t="str">
        <f>+'4L'!C$30</f>
        <v>Capital expenditure purpose - WATER additional line 1 [Other categories]</v>
      </c>
      <c r="G3418" t="str">
        <f>IF('4L'!P30="","##BLANK",'4L'!P30)</f>
        <v>##BLANK</v>
      </c>
    </row>
    <row r="3419" spans="2:7">
      <c r="B3419" s="893" t="str">
        <f>+'4L'!BK31</f>
        <v>W3A00002RWTCUM</v>
      </c>
      <c r="E3419" s="1753" t="s">
        <v>11007</v>
      </c>
      <c r="F3419" s="2146" t="str">
        <f>+'4L'!C$31</f>
        <v>Capital expenditure purpose - WATER additional line 2 [Other categories]</v>
      </c>
      <c r="G3419" t="str">
        <f>IF('4L'!P31="","##BLANK",'4L'!P31)</f>
        <v>##BLANK</v>
      </c>
    </row>
    <row r="3420" spans="2:7">
      <c r="B3420" s="893" t="str">
        <f>+'4L'!BK32</f>
        <v>W3A00003RWTCUM</v>
      </c>
      <c r="E3420" s="1753" t="s">
        <v>11007</v>
      </c>
      <c r="F3420" s="2146" t="str">
        <f>+'4L'!C$32</f>
        <v>Capital expenditure purpose - WATER additional line 3 [Other categories]</v>
      </c>
      <c r="G3420" t="str">
        <f>IF('4L'!P32="","##BLANK",'4L'!P32)</f>
        <v>##BLANK</v>
      </c>
    </row>
    <row r="3421" spans="2:7">
      <c r="B3421" s="893" t="str">
        <f>+'4L'!BK33</f>
        <v>W3A00004RWTCUM</v>
      </c>
      <c r="E3421" s="1753" t="s">
        <v>11007</v>
      </c>
      <c r="F3421" s="2146" t="str">
        <f>+'4L'!C$33</f>
        <v>Capital expenditure purpose - WATER additional line 4 [Other categories]</v>
      </c>
      <c r="G3421" t="str">
        <f>IF('4L'!P33="","##BLANK",'4L'!P33)</f>
        <v>##BLANK</v>
      </c>
    </row>
    <row r="3422" spans="2:7">
      <c r="B3422" s="893" t="str">
        <f>+'4L'!BK34</f>
        <v>W3A00005RWTCUM</v>
      </c>
      <c r="E3422" s="1753" t="s">
        <v>11007</v>
      </c>
      <c r="F3422" s="2146" t="str">
        <f>+'4L'!C$34</f>
        <v>Capital expenditure purpose - WATER additional line 5 [Other categories]</v>
      </c>
      <c r="G3422" t="str">
        <f>IF('4L'!P34="","##BLANK",'4L'!P34)</f>
        <v>##BLANK</v>
      </c>
    </row>
    <row r="3423" spans="2:7">
      <c r="B3423" s="893" t="str">
        <f>+'4L'!BK35</f>
        <v>W3A00006RWTCUM</v>
      </c>
      <c r="E3423" s="1753" t="s">
        <v>11007</v>
      </c>
      <c r="F3423" s="2146" t="str">
        <f>+'4L'!C$35</f>
        <v>Capital expenditure purpose - WATER additional line 6 [Other categories]</v>
      </c>
      <c r="G3423" t="str">
        <f>IF('4L'!P35="","##BLANK",'4L'!P35)</f>
        <v>##BLANK</v>
      </c>
    </row>
    <row r="3424" spans="2:7">
      <c r="B3424" s="893" t="str">
        <f>+'4L'!BK36</f>
        <v>W3A00007RWTCUM</v>
      </c>
      <c r="E3424" s="1753" t="s">
        <v>11007</v>
      </c>
      <c r="F3424" s="2146" t="str">
        <f>+'4L'!C$36</f>
        <v>Capital expenditure purpose - WATER additional line 7 [Other categories]</v>
      </c>
      <c r="G3424" t="str">
        <f>IF('4L'!P36="","##BLANK",'4L'!P36)</f>
        <v>##BLANK</v>
      </c>
    </row>
    <row r="3425" spans="2:7">
      <c r="B3425" s="893" t="str">
        <f>+'4L'!BK37</f>
        <v>W3A00008RWTCUM</v>
      </c>
      <c r="E3425" s="1753" t="s">
        <v>11007</v>
      </c>
      <c r="F3425" s="2146" t="str">
        <f>+'4L'!C$37</f>
        <v>Capital expenditure purpose - WATER additional line 8 [Other categories]</v>
      </c>
      <c r="G3425" t="str">
        <f>IF('4L'!P37="","##BLANK",'4L'!P37)</f>
        <v>##BLANK</v>
      </c>
    </row>
    <row r="3426" spans="2:7">
      <c r="B3426" s="893" t="str">
        <f>+'4L'!BK38</f>
        <v>W3A00009RWTCUM</v>
      </c>
      <c r="E3426" s="1753" t="s">
        <v>11007</v>
      </c>
      <c r="F3426" s="2146" t="str">
        <f>+'4L'!C$38</f>
        <v>Capital expenditure purpose - WATER additional line 9 [Other categories]</v>
      </c>
      <c r="G3426" t="str">
        <f>IF('4L'!P38="","##BLANK",'4L'!P38)</f>
        <v>##BLANK</v>
      </c>
    </row>
    <row r="3427" spans="2:7">
      <c r="B3427" s="893" t="str">
        <f>+'4L'!BK39</f>
        <v>W3A00010RWTCUM</v>
      </c>
      <c r="E3427" s="1753" t="s">
        <v>11007</v>
      </c>
      <c r="F3427" s="2146" t="str">
        <f>+'4L'!C$39</f>
        <v>Capital expenditure purpose - WATER additional line 10 [Other categories]</v>
      </c>
      <c r="G3427" t="str">
        <f>IF('4L'!P39="","##BLANK",'4L'!P39)</f>
        <v>##BLANK</v>
      </c>
    </row>
    <row r="3428" spans="2:7">
      <c r="B3428" s="893" t="str">
        <f>+'4L'!BK40</f>
        <v>W3A00011RWTCUM</v>
      </c>
      <c r="E3428" s="1753" t="s">
        <v>11007</v>
      </c>
      <c r="F3428" s="2146" t="str">
        <f>+'4L'!C$40</f>
        <v>Capital expenditure purpose - WATER additional line 11 [Other categories]</v>
      </c>
      <c r="G3428" t="str">
        <f>IF('4L'!P40="","##BLANK",'4L'!P40)</f>
        <v>##BLANK</v>
      </c>
    </row>
    <row r="3429" spans="2:7">
      <c r="B3429" s="893" t="str">
        <f>+'4L'!BK41</f>
        <v>W3A00012RWTCUM</v>
      </c>
      <c r="E3429" s="1753" t="s">
        <v>11007</v>
      </c>
      <c r="F3429" s="2146" t="str">
        <f>+'4L'!C$41</f>
        <v>Capital expenditure purpose - WATER additional line 12 [Other categories]</v>
      </c>
      <c r="G3429" t="str">
        <f>IF('4L'!P41="","##BLANK",'4L'!P41)</f>
        <v>##BLANK</v>
      </c>
    </row>
    <row r="3430" spans="2:7">
      <c r="B3430" s="893" t="str">
        <f>+'4L'!BK42</f>
        <v>W3A00013RWTCUM</v>
      </c>
      <c r="E3430" s="1753" t="s">
        <v>11007</v>
      </c>
      <c r="F3430" s="2146" t="str">
        <f>+'4L'!C$42</f>
        <v>Capital expenditure purpose - WATER additional line 13 [Other categories]</v>
      </c>
      <c r="G3430" t="str">
        <f>IF('4L'!P42="","##BLANK",'4L'!P42)</f>
        <v>##BLANK</v>
      </c>
    </row>
    <row r="3431" spans="2:7">
      <c r="B3431" s="893" t="str">
        <f>+'4L'!BK43</f>
        <v>W3A00014RWTCUM</v>
      </c>
      <c r="E3431" s="1753" t="s">
        <v>11007</v>
      </c>
      <c r="F3431" s="2146" t="str">
        <f>+'4L'!C$43</f>
        <v>Capital expenditure purpose - WATER additional line 14 [Other categories]</v>
      </c>
      <c r="G3431" t="str">
        <f>IF('4L'!P43="","##BLANK",'4L'!P43)</f>
        <v>##BLANK</v>
      </c>
    </row>
    <row r="3432" spans="2:7">
      <c r="B3432" s="893" t="str">
        <f>+'4L'!BK44</f>
        <v>W3A00015RWTCUM</v>
      </c>
      <c r="E3432" s="1753" t="s">
        <v>11007</v>
      </c>
      <c r="F3432" s="2146" t="str">
        <f>+'4L'!C$44</f>
        <v>Capital expenditure purpose - WATER additional line 15 [Other categories]</v>
      </c>
      <c r="G3432" t="str">
        <f>IF('4L'!P44="","##BLANK",'4L'!P44)</f>
        <v>##BLANK</v>
      </c>
    </row>
    <row r="3433" spans="2:7">
      <c r="B3433" s="893" t="str">
        <f>+'4L'!BK45</f>
        <v>BA2070RWTCUM</v>
      </c>
      <c r="E3433" s="1753" t="s">
        <v>11007</v>
      </c>
      <c r="G3433">
        <f>IF('4L'!P45="","##BLANK",'4L'!P45)</f>
        <v>0</v>
      </c>
    </row>
    <row r="3434" spans="2:7">
      <c r="B3434" s="893" t="str">
        <f>+'4L'!BL8</f>
        <v>W3001RWSCUM</v>
      </c>
      <c r="E3434" s="1753" t="s">
        <v>11007</v>
      </c>
      <c r="G3434" t="str">
        <f>IF('4L'!Q8="","##BLANK",'4L'!Q8)</f>
        <v>##BLANK</v>
      </c>
    </row>
    <row r="3435" spans="2:7">
      <c r="B3435" s="893" t="str">
        <f>+'4L'!BL9</f>
        <v>WS2002RWSCUM</v>
      </c>
      <c r="E3435" s="1753" t="s">
        <v>11007</v>
      </c>
      <c r="G3435" t="str">
        <f>IF('4L'!Q9="","##BLANK",'4L'!Q9)</f>
        <v>##BLANK</v>
      </c>
    </row>
    <row r="3436" spans="2:7">
      <c r="B3436" s="893" t="str">
        <f>+'4L'!BL10</f>
        <v>WS2003RWSCUM</v>
      </c>
      <c r="E3436" s="1753" t="s">
        <v>11007</v>
      </c>
      <c r="G3436" t="str">
        <f>IF('4L'!Q10="","##BLANK",'4L'!Q10)</f>
        <v>##BLANK</v>
      </c>
    </row>
    <row r="3437" spans="2:7">
      <c r="B3437" s="893" t="str">
        <f>+'4L'!BL11</f>
        <v>W3002RWSCUM</v>
      </c>
      <c r="E3437" s="1753" t="s">
        <v>11007</v>
      </c>
      <c r="G3437" t="str">
        <f>IF('4L'!Q11="","##BLANK",'4L'!Q11)</f>
        <v>##BLANK</v>
      </c>
    </row>
    <row r="3438" spans="2:7">
      <c r="B3438" s="893" t="str">
        <f>+'4L'!BL12</f>
        <v>W3003RWSCUM</v>
      </c>
      <c r="E3438" s="1753" t="s">
        <v>11007</v>
      </c>
      <c r="G3438" t="str">
        <f>IF('4L'!Q12="","##BLANK",'4L'!Q12)</f>
        <v>##BLANK</v>
      </c>
    </row>
    <row r="3439" spans="2:7">
      <c r="B3439" s="893" t="str">
        <f>+'4L'!BL13</f>
        <v>W3006RWSCUM</v>
      </c>
      <c r="E3439" s="1753" t="s">
        <v>11007</v>
      </c>
      <c r="G3439" t="str">
        <f>IF('4L'!Q13="","##BLANK",'4L'!Q13)</f>
        <v>##BLANK</v>
      </c>
    </row>
    <row r="3440" spans="2:7">
      <c r="B3440" s="893" t="str">
        <f>+'4L'!BL14</f>
        <v>W3007SRWSCUM</v>
      </c>
      <c r="E3440" s="1753" t="s">
        <v>11007</v>
      </c>
      <c r="G3440" t="str">
        <f>IF('4L'!Q14="","##BLANK",'4L'!Q14)</f>
        <v>##BLANK</v>
      </c>
    </row>
    <row r="3441" spans="2:7">
      <c r="B3441" s="893" t="str">
        <f>+'4L'!BL15</f>
        <v>W3008SRWSCUM</v>
      </c>
      <c r="E3441" s="1753" t="s">
        <v>11007</v>
      </c>
      <c r="G3441" t="str">
        <f>IF('4L'!Q15="","##BLANK",'4L'!Q15)</f>
        <v>##BLANK</v>
      </c>
    </row>
    <row r="3442" spans="2:7">
      <c r="B3442" s="893" t="str">
        <f>+'4L'!BL16</f>
        <v>W3007DRWSCUM</v>
      </c>
      <c r="E3442" s="1753" t="s">
        <v>11007</v>
      </c>
      <c r="G3442" t="str">
        <f>IF('4L'!Q16="","##BLANK",'4L'!Q16)</f>
        <v>##BLANK</v>
      </c>
    </row>
    <row r="3443" spans="2:7">
      <c r="B3443" s="893" t="str">
        <f>+'4L'!BL17</f>
        <v>W3008DRWSCUM</v>
      </c>
      <c r="E3443" s="1753" t="s">
        <v>11007</v>
      </c>
      <c r="G3443" t="str">
        <f>IF('4L'!Q17="","##BLANK",'4L'!Q17)</f>
        <v>##BLANK</v>
      </c>
    </row>
    <row r="3444" spans="2:7">
      <c r="B3444" s="893" t="str">
        <f>+'4L'!BL18</f>
        <v>W3009RWSCUM</v>
      </c>
      <c r="E3444" s="1753" t="s">
        <v>11007</v>
      </c>
      <c r="G3444" t="str">
        <f>IF('4L'!Q18="","##BLANK",'4L'!Q18)</f>
        <v>##BLANK</v>
      </c>
    </row>
    <row r="3445" spans="2:7">
      <c r="B3445" s="893" t="str">
        <f>+'4L'!BL19</f>
        <v>WS2004RWSCUM</v>
      </c>
      <c r="E3445" s="1753" t="s">
        <v>11007</v>
      </c>
      <c r="G3445" t="str">
        <f>IF('4L'!Q19="","##BLANK",'4L'!Q19)</f>
        <v>##BLANK</v>
      </c>
    </row>
    <row r="3446" spans="2:7">
      <c r="B3446" s="893" t="str">
        <f>+'4L'!BL20</f>
        <v>W3010RWSCUM</v>
      </c>
      <c r="E3446" s="1753" t="s">
        <v>11007</v>
      </c>
      <c r="G3446" t="str">
        <f>IF('4L'!Q20="","##BLANK",'4L'!Q20)</f>
        <v>##BLANK</v>
      </c>
    </row>
    <row r="3447" spans="2:7">
      <c r="B3447" s="893" t="str">
        <f>+'4L'!BL21</f>
        <v>W3011RWSCUM</v>
      </c>
      <c r="E3447" s="1753" t="s">
        <v>11007</v>
      </c>
      <c r="G3447" t="str">
        <f>IF('4L'!Q21="","##BLANK",'4L'!Q21)</f>
        <v>##BLANK</v>
      </c>
    </row>
    <row r="3448" spans="2:7">
      <c r="B3448" s="893" t="str">
        <f>+'4L'!BL22</f>
        <v>W3012RWSCUM</v>
      </c>
      <c r="E3448" s="1753" t="s">
        <v>11007</v>
      </c>
      <c r="G3448" t="str">
        <f>IF('4L'!Q22="","##BLANK",'4L'!Q22)</f>
        <v>##BLANK</v>
      </c>
    </row>
    <row r="3449" spans="2:7">
      <c r="B3449" s="893" t="str">
        <f>+'4L'!BL23</f>
        <v>WS2006RWSCUM</v>
      </c>
      <c r="E3449" s="1753" t="s">
        <v>11007</v>
      </c>
      <c r="G3449" t="str">
        <f>IF('4L'!Q23="","##BLANK",'4L'!Q23)</f>
        <v>##BLANK</v>
      </c>
    </row>
    <row r="3450" spans="2:7">
      <c r="B3450" s="893" t="str">
        <f>+'4L'!BL24</f>
        <v>WS2007RWSCUM</v>
      </c>
      <c r="E3450" s="1753" t="s">
        <v>11007</v>
      </c>
      <c r="G3450" t="str">
        <f>IF('4L'!Q24="","##BLANK",'4L'!Q24)</f>
        <v>##BLANK</v>
      </c>
    </row>
    <row r="3451" spans="2:7">
      <c r="B3451" s="893" t="str">
        <f>+'4L'!BL25</f>
        <v>WS2008RWSCUM</v>
      </c>
      <c r="E3451" s="1753" t="s">
        <v>11007</v>
      </c>
      <c r="G3451" t="str">
        <f>IF('4L'!Q25="","##BLANK",'4L'!Q25)</f>
        <v>##BLANK</v>
      </c>
    </row>
    <row r="3452" spans="2:7">
      <c r="B3452" s="893" t="str">
        <f>+'4L'!BL26</f>
        <v>W3027RWSCUM</v>
      </c>
      <c r="E3452" s="1753" t="s">
        <v>11007</v>
      </c>
      <c r="G3452" t="str">
        <f>IF('4L'!Q26="","##BLANK",'4L'!Q26)</f>
        <v>##BLANK</v>
      </c>
    </row>
    <row r="3453" spans="2:7">
      <c r="B3453" s="893" t="str">
        <f>+'4L'!BL27</f>
        <v>W3028OPTRWSCUM</v>
      </c>
      <c r="E3453" s="1753" t="s">
        <v>11007</v>
      </c>
      <c r="G3453" t="str">
        <f>IF('4L'!Q27="","##BLANK",'4L'!Q27)</f>
        <v>##BLANK</v>
      </c>
    </row>
    <row r="3454" spans="2:7">
      <c r="B3454" s="893" t="str">
        <f>+'4L'!BL28</f>
        <v>W3028COMRWSCUM</v>
      </c>
      <c r="E3454" s="1753" t="s">
        <v>11007</v>
      </c>
      <c r="G3454" t="str">
        <f>IF('4L'!Q28="","##BLANK",'4L'!Q28)</f>
        <v>##BLANK</v>
      </c>
    </row>
    <row r="3455" spans="2:7">
      <c r="B3455" s="893" t="str">
        <f>+'4L'!BL29</f>
        <v>W3028NHORWSCUM</v>
      </c>
      <c r="E3455" s="1753" t="s">
        <v>11007</v>
      </c>
      <c r="G3455" t="str">
        <f>IF('4L'!Q29="","##BLANK",'4L'!Q29)</f>
        <v>##BLANK</v>
      </c>
    </row>
    <row r="3456" spans="2:7">
      <c r="B3456" s="893" t="str">
        <f>+'4L'!BL30</f>
        <v>W3A00001RWSCUM</v>
      </c>
      <c r="E3456" s="1753" t="s">
        <v>11007</v>
      </c>
      <c r="F3456" s="2146" t="str">
        <f>+'4L'!C$30</f>
        <v>Capital expenditure purpose - WATER additional line 1 [Other categories]</v>
      </c>
      <c r="G3456" t="str">
        <f>IF('4L'!Q30="","##BLANK",'4L'!Q30)</f>
        <v>##BLANK</v>
      </c>
    </row>
    <row r="3457" spans="2:7">
      <c r="B3457" s="893" t="str">
        <f>+'4L'!BL31</f>
        <v>W3A00002RWSCUM</v>
      </c>
      <c r="E3457" s="1753" t="s">
        <v>11007</v>
      </c>
      <c r="F3457" s="2146" t="str">
        <f>+'4L'!C$31</f>
        <v>Capital expenditure purpose - WATER additional line 2 [Other categories]</v>
      </c>
      <c r="G3457" t="str">
        <f>IF('4L'!Q31="","##BLANK",'4L'!Q31)</f>
        <v>##BLANK</v>
      </c>
    </row>
    <row r="3458" spans="2:7">
      <c r="B3458" s="893" t="str">
        <f>+'4L'!BL32</f>
        <v>W3A00003RWSCUM</v>
      </c>
      <c r="E3458" s="1753" t="s">
        <v>11007</v>
      </c>
      <c r="F3458" s="2146" t="str">
        <f>+'4L'!C$32</f>
        <v>Capital expenditure purpose - WATER additional line 3 [Other categories]</v>
      </c>
      <c r="G3458" t="str">
        <f>IF('4L'!Q32="","##BLANK",'4L'!Q32)</f>
        <v>##BLANK</v>
      </c>
    </row>
    <row r="3459" spans="2:7">
      <c r="B3459" s="893" t="str">
        <f>+'4L'!BL33</f>
        <v>W3A00004RWSCUM</v>
      </c>
      <c r="E3459" s="1753" t="s">
        <v>11007</v>
      </c>
      <c r="F3459" s="2146" t="str">
        <f>+'4L'!C$33</f>
        <v>Capital expenditure purpose - WATER additional line 4 [Other categories]</v>
      </c>
      <c r="G3459" t="str">
        <f>IF('4L'!Q33="","##BLANK",'4L'!Q33)</f>
        <v>##BLANK</v>
      </c>
    </row>
    <row r="3460" spans="2:7">
      <c r="B3460" s="893" t="str">
        <f>+'4L'!BL34</f>
        <v>W3A00005RWSCUM</v>
      </c>
      <c r="E3460" s="1753" t="s">
        <v>11007</v>
      </c>
      <c r="F3460" s="2146" t="str">
        <f>+'4L'!C$34</f>
        <v>Capital expenditure purpose - WATER additional line 5 [Other categories]</v>
      </c>
      <c r="G3460" t="str">
        <f>IF('4L'!Q34="","##BLANK",'4L'!Q34)</f>
        <v>##BLANK</v>
      </c>
    </row>
    <row r="3461" spans="2:7">
      <c r="B3461" s="893" t="str">
        <f>+'4L'!BL35</f>
        <v>W3A00006RWSCUM</v>
      </c>
      <c r="E3461" s="1753" t="s">
        <v>11007</v>
      </c>
      <c r="F3461" s="2146" t="str">
        <f>+'4L'!C$35</f>
        <v>Capital expenditure purpose - WATER additional line 6 [Other categories]</v>
      </c>
      <c r="G3461" t="str">
        <f>IF('4L'!Q35="","##BLANK",'4L'!Q35)</f>
        <v>##BLANK</v>
      </c>
    </row>
    <row r="3462" spans="2:7">
      <c r="B3462" s="893" t="str">
        <f>+'4L'!BL36</f>
        <v>W3A00007RWSCUM</v>
      </c>
      <c r="E3462" s="1753" t="s">
        <v>11007</v>
      </c>
      <c r="F3462" s="2146" t="str">
        <f>+'4L'!C$36</f>
        <v>Capital expenditure purpose - WATER additional line 7 [Other categories]</v>
      </c>
      <c r="G3462" t="str">
        <f>IF('4L'!Q36="","##BLANK",'4L'!Q36)</f>
        <v>##BLANK</v>
      </c>
    </row>
    <row r="3463" spans="2:7">
      <c r="B3463" s="893" t="str">
        <f>+'4L'!BL37</f>
        <v>W3A00008RWSCUM</v>
      </c>
      <c r="E3463" s="1753" t="s">
        <v>11007</v>
      </c>
      <c r="F3463" s="2146" t="str">
        <f>+'4L'!C$37</f>
        <v>Capital expenditure purpose - WATER additional line 8 [Other categories]</v>
      </c>
      <c r="G3463" t="str">
        <f>IF('4L'!Q37="","##BLANK",'4L'!Q37)</f>
        <v>##BLANK</v>
      </c>
    </row>
    <row r="3464" spans="2:7">
      <c r="B3464" s="893" t="str">
        <f>+'4L'!BL38</f>
        <v>W3A00009RWSCUM</v>
      </c>
      <c r="E3464" s="1753" t="s">
        <v>11007</v>
      </c>
      <c r="F3464" s="2146" t="str">
        <f>+'4L'!C$38</f>
        <v>Capital expenditure purpose - WATER additional line 9 [Other categories]</v>
      </c>
      <c r="G3464" t="str">
        <f>IF('4L'!Q38="","##BLANK",'4L'!Q38)</f>
        <v>##BLANK</v>
      </c>
    </row>
    <row r="3465" spans="2:7">
      <c r="B3465" s="893" t="str">
        <f>+'4L'!BL39</f>
        <v>W3A00010RWSCUM</v>
      </c>
      <c r="E3465" s="1753" t="s">
        <v>11007</v>
      </c>
      <c r="F3465" s="2146" t="str">
        <f>+'4L'!C$39</f>
        <v>Capital expenditure purpose - WATER additional line 10 [Other categories]</v>
      </c>
      <c r="G3465" t="str">
        <f>IF('4L'!Q39="","##BLANK",'4L'!Q39)</f>
        <v>##BLANK</v>
      </c>
    </row>
    <row r="3466" spans="2:7">
      <c r="B3466" s="893" t="str">
        <f>+'4L'!BL40</f>
        <v>W3A00011RWSCUM</v>
      </c>
      <c r="E3466" s="1753" t="s">
        <v>11007</v>
      </c>
      <c r="F3466" s="2146" t="str">
        <f>+'4L'!C$40</f>
        <v>Capital expenditure purpose - WATER additional line 11 [Other categories]</v>
      </c>
      <c r="G3466" t="str">
        <f>IF('4L'!Q40="","##BLANK",'4L'!Q40)</f>
        <v>##BLANK</v>
      </c>
    </row>
    <row r="3467" spans="2:7">
      <c r="B3467" s="893" t="str">
        <f>+'4L'!BL41</f>
        <v>W3A00012RWSCUM</v>
      </c>
      <c r="E3467" s="1753" t="s">
        <v>11007</v>
      </c>
      <c r="F3467" s="2146" t="str">
        <f>+'4L'!C$41</f>
        <v>Capital expenditure purpose - WATER additional line 12 [Other categories]</v>
      </c>
      <c r="G3467" t="str">
        <f>IF('4L'!Q41="","##BLANK",'4L'!Q41)</f>
        <v>##BLANK</v>
      </c>
    </row>
    <row r="3468" spans="2:7">
      <c r="B3468" s="893" t="str">
        <f>+'4L'!BL42</f>
        <v>W3A00013RWSCUM</v>
      </c>
      <c r="E3468" s="1753" t="s">
        <v>11007</v>
      </c>
      <c r="F3468" s="2146" t="str">
        <f>+'4L'!C$42</f>
        <v>Capital expenditure purpose - WATER additional line 13 [Other categories]</v>
      </c>
      <c r="G3468" t="str">
        <f>IF('4L'!Q42="","##BLANK",'4L'!Q42)</f>
        <v>##BLANK</v>
      </c>
    </row>
    <row r="3469" spans="2:7">
      <c r="B3469" s="893" t="str">
        <f>+'4L'!BL43</f>
        <v>W3A00014RWSCUM</v>
      </c>
      <c r="E3469" s="1753" t="s">
        <v>11007</v>
      </c>
      <c r="F3469" s="2146" t="str">
        <f>+'4L'!C$43</f>
        <v>Capital expenditure purpose - WATER additional line 14 [Other categories]</v>
      </c>
      <c r="G3469" t="str">
        <f>IF('4L'!Q43="","##BLANK",'4L'!Q43)</f>
        <v>##BLANK</v>
      </c>
    </row>
    <row r="3470" spans="2:7">
      <c r="B3470" s="893" t="str">
        <f>+'4L'!BL44</f>
        <v>W3A00015RWSCUM</v>
      </c>
      <c r="E3470" s="1753" t="s">
        <v>11007</v>
      </c>
      <c r="F3470" s="2146" t="str">
        <f>+'4L'!C$44</f>
        <v>Capital expenditure purpose - WATER additional line 15 [Other categories]</v>
      </c>
      <c r="G3470" t="str">
        <f>IF('4L'!Q44="","##BLANK",'4L'!Q44)</f>
        <v>##BLANK</v>
      </c>
    </row>
    <row r="3471" spans="2:7">
      <c r="B3471" s="893" t="str">
        <f>+'4L'!BL45</f>
        <v>BA2070RWSCUM</v>
      </c>
      <c r="E3471" s="1753" t="s">
        <v>11007</v>
      </c>
      <c r="G3471">
        <f>IF('4L'!Q45="","##BLANK",'4L'!Q45)</f>
        <v>0</v>
      </c>
    </row>
    <row r="3472" spans="2:7">
      <c r="B3472" s="893" t="str">
        <f>+'4L'!BM8</f>
        <v>W3001WTCUM</v>
      </c>
      <c r="E3472" s="1753" t="s">
        <v>11007</v>
      </c>
      <c r="G3472" t="str">
        <f>IF('4L'!R8="","##BLANK",'4L'!R8)</f>
        <v>##BLANK</v>
      </c>
    </row>
    <row r="3473" spans="2:7">
      <c r="B3473" s="893" t="str">
        <f>+'4L'!BM9</f>
        <v>WS2002WTCUM</v>
      </c>
      <c r="E3473" s="1753" t="s">
        <v>11007</v>
      </c>
      <c r="G3473" t="str">
        <f>IF('4L'!R9="","##BLANK",'4L'!R9)</f>
        <v>##BLANK</v>
      </c>
    </row>
    <row r="3474" spans="2:7">
      <c r="B3474" s="893" t="str">
        <f>+'4L'!BM10</f>
        <v>WS2003WTCUM</v>
      </c>
      <c r="E3474" s="1753" t="s">
        <v>11007</v>
      </c>
      <c r="G3474" t="str">
        <f>IF('4L'!R10="","##BLANK",'4L'!R10)</f>
        <v>##BLANK</v>
      </c>
    </row>
    <row r="3475" spans="2:7">
      <c r="B3475" s="893" t="str">
        <f>+'4L'!BM11</f>
        <v>W3002WTCUM</v>
      </c>
      <c r="E3475" s="1753" t="s">
        <v>11007</v>
      </c>
      <c r="G3475" t="str">
        <f>IF('4L'!R11="","##BLANK",'4L'!R11)</f>
        <v>##BLANK</v>
      </c>
    </row>
    <row r="3476" spans="2:7">
      <c r="B3476" s="893" t="str">
        <f>+'4L'!BM12</f>
        <v>W3003WTCUM</v>
      </c>
      <c r="E3476" s="1753" t="s">
        <v>11007</v>
      </c>
      <c r="G3476" t="str">
        <f>IF('4L'!R12="","##BLANK",'4L'!R12)</f>
        <v>##BLANK</v>
      </c>
    </row>
    <row r="3477" spans="2:7">
      <c r="B3477" s="893" t="str">
        <f>+'4L'!BM13</f>
        <v>W3006WTCUM</v>
      </c>
      <c r="E3477" s="1753" t="s">
        <v>11007</v>
      </c>
      <c r="G3477" t="str">
        <f>IF('4L'!R13="","##BLANK",'4L'!R13)</f>
        <v>##BLANK</v>
      </c>
    </row>
    <row r="3478" spans="2:7">
      <c r="B3478" s="893" t="str">
        <f>+'4L'!BM14</f>
        <v>W3007SWTCUM</v>
      </c>
      <c r="E3478" s="1753" t="s">
        <v>11007</v>
      </c>
      <c r="G3478" t="str">
        <f>IF('4L'!R14="","##BLANK",'4L'!R14)</f>
        <v>##BLANK</v>
      </c>
    </row>
    <row r="3479" spans="2:7">
      <c r="B3479" s="893" t="str">
        <f>+'4L'!BM15</f>
        <v>W3008SWTCUM</v>
      </c>
      <c r="E3479" s="1753" t="s">
        <v>11007</v>
      </c>
      <c r="G3479" t="str">
        <f>IF('4L'!R15="","##BLANK",'4L'!R15)</f>
        <v>##BLANK</v>
      </c>
    </row>
    <row r="3480" spans="2:7">
      <c r="B3480" s="893" t="str">
        <f>+'4L'!BM16</f>
        <v>W3007DWTCUM</v>
      </c>
      <c r="E3480" s="1753" t="s">
        <v>11007</v>
      </c>
      <c r="G3480" t="str">
        <f>IF('4L'!R16="","##BLANK",'4L'!R16)</f>
        <v>##BLANK</v>
      </c>
    </row>
    <row r="3481" spans="2:7">
      <c r="B3481" s="893" t="str">
        <f>+'4L'!BM17</f>
        <v>W3008DWTCUM</v>
      </c>
      <c r="E3481" s="1753" t="s">
        <v>11007</v>
      </c>
      <c r="G3481" t="str">
        <f>IF('4L'!R17="","##BLANK",'4L'!R17)</f>
        <v>##BLANK</v>
      </c>
    </row>
    <row r="3482" spans="2:7">
      <c r="B3482" s="893" t="str">
        <f>+'4L'!BM18</f>
        <v>W3009WTCUM</v>
      </c>
      <c r="E3482" s="1753" t="s">
        <v>11007</v>
      </c>
      <c r="G3482" t="str">
        <f>IF('4L'!R18="","##BLANK",'4L'!R18)</f>
        <v>##BLANK</v>
      </c>
    </row>
    <row r="3483" spans="2:7">
      <c r="B3483" s="893" t="str">
        <f>+'4L'!BM19</f>
        <v>WS2004WTCUM</v>
      </c>
      <c r="E3483" s="1753" t="s">
        <v>11007</v>
      </c>
      <c r="G3483" t="str">
        <f>IF('4L'!R19="","##BLANK",'4L'!R19)</f>
        <v>##BLANK</v>
      </c>
    </row>
    <row r="3484" spans="2:7">
      <c r="B3484" s="893" t="str">
        <f>+'4L'!BM20</f>
        <v>W3010WTCUM</v>
      </c>
      <c r="E3484" s="1753" t="s">
        <v>11007</v>
      </c>
      <c r="G3484" t="str">
        <f>IF('4L'!R20="","##BLANK",'4L'!R20)</f>
        <v>##BLANK</v>
      </c>
    </row>
    <row r="3485" spans="2:7">
      <c r="B3485" s="893" t="str">
        <f>+'4L'!BM21</f>
        <v>W3011WTCUM</v>
      </c>
      <c r="E3485" s="1753" t="s">
        <v>11007</v>
      </c>
      <c r="G3485" t="str">
        <f>IF('4L'!R21="","##BLANK",'4L'!R21)</f>
        <v>##BLANK</v>
      </c>
    </row>
    <row r="3486" spans="2:7">
      <c r="B3486" s="893" t="str">
        <f>+'4L'!BM22</f>
        <v>W3012WTCUM</v>
      </c>
      <c r="E3486" s="1753" t="s">
        <v>11007</v>
      </c>
      <c r="G3486" t="str">
        <f>IF('4L'!R22="","##BLANK",'4L'!R22)</f>
        <v>##BLANK</v>
      </c>
    </row>
    <row r="3487" spans="2:7">
      <c r="B3487" s="893" t="str">
        <f>+'4L'!BM23</f>
        <v>WS2006WTCUM</v>
      </c>
      <c r="E3487" s="1753" t="s">
        <v>11007</v>
      </c>
      <c r="G3487" t="str">
        <f>IF('4L'!R23="","##BLANK",'4L'!R23)</f>
        <v>##BLANK</v>
      </c>
    </row>
    <row r="3488" spans="2:7">
      <c r="B3488" s="893" t="str">
        <f>+'4L'!BM24</f>
        <v>WS2007WTCUM</v>
      </c>
      <c r="E3488" s="1753" t="s">
        <v>11007</v>
      </c>
      <c r="G3488" t="str">
        <f>IF('4L'!R24="","##BLANK",'4L'!R24)</f>
        <v>##BLANK</v>
      </c>
    </row>
    <row r="3489" spans="2:7">
      <c r="B3489" s="893" t="str">
        <f>+'4L'!BM25</f>
        <v>WS2008WTCUM</v>
      </c>
      <c r="E3489" s="1753" t="s">
        <v>11007</v>
      </c>
      <c r="G3489" t="str">
        <f>IF('4L'!R25="","##BLANK",'4L'!R25)</f>
        <v>##BLANK</v>
      </c>
    </row>
    <row r="3490" spans="2:7">
      <c r="B3490" s="893" t="str">
        <f>+'4L'!BM26</f>
        <v>W3027WTCUM</v>
      </c>
      <c r="E3490" s="1753" t="s">
        <v>11007</v>
      </c>
      <c r="G3490" t="str">
        <f>IF('4L'!R26="","##BLANK",'4L'!R26)</f>
        <v>##BLANK</v>
      </c>
    </row>
    <row r="3491" spans="2:7">
      <c r="B3491" s="893" t="str">
        <f>+'4L'!BM27</f>
        <v>W3028OPTWTCUM</v>
      </c>
      <c r="E3491" s="1753" t="s">
        <v>11007</v>
      </c>
      <c r="G3491" t="str">
        <f>IF('4L'!R27="","##BLANK",'4L'!R27)</f>
        <v>##BLANK</v>
      </c>
    </row>
    <row r="3492" spans="2:7">
      <c r="B3492" s="893" t="str">
        <f>+'4L'!BM28</f>
        <v>W3028COMWTCUM</v>
      </c>
      <c r="E3492" s="1753" t="s">
        <v>11007</v>
      </c>
      <c r="G3492" t="str">
        <f>IF('4L'!R28="","##BLANK",'4L'!R28)</f>
        <v>##BLANK</v>
      </c>
    </row>
    <row r="3493" spans="2:7">
      <c r="B3493" s="893" t="str">
        <f>+'4L'!BM29</f>
        <v>W3028NHOWTCUM</v>
      </c>
      <c r="E3493" s="1753" t="s">
        <v>11007</v>
      </c>
      <c r="G3493" t="str">
        <f>IF('4L'!R29="","##BLANK",'4L'!R29)</f>
        <v>##BLANK</v>
      </c>
    </row>
    <row r="3494" spans="2:7">
      <c r="B3494" s="893" t="str">
        <f>+'4L'!BM30</f>
        <v>W3A00001WTCUM</v>
      </c>
      <c r="E3494" s="1753" t="s">
        <v>11007</v>
      </c>
      <c r="F3494" s="2146" t="str">
        <f>+'4L'!C$30</f>
        <v>Capital expenditure purpose - WATER additional line 1 [Other categories]</v>
      </c>
      <c r="G3494" t="str">
        <f>IF('4L'!R30="","##BLANK",'4L'!R30)</f>
        <v>##BLANK</v>
      </c>
    </row>
    <row r="3495" spans="2:7">
      <c r="B3495" s="893" t="str">
        <f>+'4L'!BM31</f>
        <v>W3A00002WTCUM</v>
      </c>
      <c r="E3495" s="1753" t="s">
        <v>11007</v>
      </c>
      <c r="F3495" s="2146" t="str">
        <f>+'4L'!C$31</f>
        <v>Capital expenditure purpose - WATER additional line 2 [Other categories]</v>
      </c>
      <c r="G3495" t="str">
        <f>IF('4L'!R31="","##BLANK",'4L'!R31)</f>
        <v>##BLANK</v>
      </c>
    </row>
    <row r="3496" spans="2:7">
      <c r="B3496" s="893" t="str">
        <f>+'4L'!BM32</f>
        <v>W3A00003WTCUM</v>
      </c>
      <c r="E3496" s="1753" t="s">
        <v>11007</v>
      </c>
      <c r="F3496" s="2146" t="str">
        <f>+'4L'!C$32</f>
        <v>Capital expenditure purpose - WATER additional line 3 [Other categories]</v>
      </c>
      <c r="G3496" t="str">
        <f>IF('4L'!R32="","##BLANK",'4L'!R32)</f>
        <v>##BLANK</v>
      </c>
    </row>
    <row r="3497" spans="2:7">
      <c r="B3497" s="893" t="str">
        <f>+'4L'!BM33</f>
        <v>W3A00004WTCUM</v>
      </c>
      <c r="E3497" s="1753" t="s">
        <v>11007</v>
      </c>
      <c r="F3497" s="2146" t="str">
        <f>+'4L'!C$33</f>
        <v>Capital expenditure purpose - WATER additional line 4 [Other categories]</v>
      </c>
      <c r="G3497" t="str">
        <f>IF('4L'!R33="","##BLANK",'4L'!R33)</f>
        <v>##BLANK</v>
      </c>
    </row>
    <row r="3498" spans="2:7">
      <c r="B3498" s="893" t="str">
        <f>+'4L'!BM34</f>
        <v>W3A00005WTCUM</v>
      </c>
      <c r="E3498" s="1753" t="s">
        <v>11007</v>
      </c>
      <c r="F3498" s="2146" t="str">
        <f>+'4L'!C$34</f>
        <v>Capital expenditure purpose - WATER additional line 5 [Other categories]</v>
      </c>
      <c r="G3498" t="str">
        <f>IF('4L'!R34="","##BLANK",'4L'!R34)</f>
        <v>##BLANK</v>
      </c>
    </row>
    <row r="3499" spans="2:7">
      <c r="B3499" s="893" t="str">
        <f>+'4L'!BM35</f>
        <v>W3A00006WTCUM</v>
      </c>
      <c r="E3499" s="1753" t="s">
        <v>11007</v>
      </c>
      <c r="F3499" s="2146" t="str">
        <f>+'4L'!C$35</f>
        <v>Capital expenditure purpose - WATER additional line 6 [Other categories]</v>
      </c>
      <c r="G3499" t="str">
        <f>IF('4L'!R35="","##BLANK",'4L'!R35)</f>
        <v>##BLANK</v>
      </c>
    </row>
    <row r="3500" spans="2:7">
      <c r="B3500" s="893" t="str">
        <f>+'4L'!BM36</f>
        <v>W3A00007WTCUM</v>
      </c>
      <c r="E3500" s="1753" t="s">
        <v>11007</v>
      </c>
      <c r="F3500" s="2146" t="str">
        <f>+'4L'!C$36</f>
        <v>Capital expenditure purpose - WATER additional line 7 [Other categories]</v>
      </c>
      <c r="G3500" t="str">
        <f>IF('4L'!R36="","##BLANK",'4L'!R36)</f>
        <v>##BLANK</v>
      </c>
    </row>
    <row r="3501" spans="2:7">
      <c r="B3501" s="893" t="str">
        <f>+'4L'!BM37</f>
        <v>W3A00008WTCUM</v>
      </c>
      <c r="E3501" s="1753" t="s">
        <v>11007</v>
      </c>
      <c r="F3501" s="2146" t="str">
        <f>+'4L'!C$37</f>
        <v>Capital expenditure purpose - WATER additional line 8 [Other categories]</v>
      </c>
      <c r="G3501" t="str">
        <f>IF('4L'!R37="","##BLANK",'4L'!R37)</f>
        <v>##BLANK</v>
      </c>
    </row>
    <row r="3502" spans="2:7">
      <c r="B3502" s="893" t="str">
        <f>+'4L'!BM38</f>
        <v>W3A00009WTCUM</v>
      </c>
      <c r="E3502" s="1753" t="s">
        <v>11007</v>
      </c>
      <c r="F3502" s="2146" t="str">
        <f>+'4L'!C$38</f>
        <v>Capital expenditure purpose - WATER additional line 9 [Other categories]</v>
      </c>
      <c r="G3502" t="str">
        <f>IF('4L'!R38="","##BLANK",'4L'!R38)</f>
        <v>##BLANK</v>
      </c>
    </row>
    <row r="3503" spans="2:7">
      <c r="B3503" s="893" t="str">
        <f>+'4L'!BM39</f>
        <v>W3A00010WTCUM</v>
      </c>
      <c r="E3503" s="1753" t="s">
        <v>11007</v>
      </c>
      <c r="F3503" s="2146" t="str">
        <f>+'4L'!C$39</f>
        <v>Capital expenditure purpose - WATER additional line 10 [Other categories]</v>
      </c>
      <c r="G3503" t="str">
        <f>IF('4L'!R39="","##BLANK",'4L'!R39)</f>
        <v>##BLANK</v>
      </c>
    </row>
    <row r="3504" spans="2:7">
      <c r="B3504" s="893" t="str">
        <f>+'4L'!BM40</f>
        <v>W3A00011WTCUM</v>
      </c>
      <c r="E3504" s="1753" t="s">
        <v>11007</v>
      </c>
      <c r="F3504" s="2146" t="str">
        <f>+'4L'!C$40</f>
        <v>Capital expenditure purpose - WATER additional line 11 [Other categories]</v>
      </c>
      <c r="G3504" t="str">
        <f>IF('4L'!R40="","##BLANK",'4L'!R40)</f>
        <v>##BLANK</v>
      </c>
    </row>
    <row r="3505" spans="2:7">
      <c r="B3505" s="893" t="str">
        <f>+'4L'!BM41</f>
        <v>W3A00012WTCUM</v>
      </c>
      <c r="E3505" s="1753" t="s">
        <v>11007</v>
      </c>
      <c r="F3505" s="2146" t="str">
        <f>+'4L'!C$41</f>
        <v>Capital expenditure purpose - WATER additional line 12 [Other categories]</v>
      </c>
      <c r="G3505" t="str">
        <f>IF('4L'!R41="","##BLANK",'4L'!R41)</f>
        <v>##BLANK</v>
      </c>
    </row>
    <row r="3506" spans="2:7">
      <c r="B3506" s="893" t="str">
        <f>+'4L'!BM42</f>
        <v>W3A00013WTCUM</v>
      </c>
      <c r="E3506" s="1753" t="s">
        <v>11007</v>
      </c>
      <c r="F3506" s="2146" t="str">
        <f>+'4L'!C$42</f>
        <v>Capital expenditure purpose - WATER additional line 13 [Other categories]</v>
      </c>
      <c r="G3506" t="str">
        <f>IF('4L'!R42="","##BLANK",'4L'!R42)</f>
        <v>##BLANK</v>
      </c>
    </row>
    <row r="3507" spans="2:7">
      <c r="B3507" s="893" t="str">
        <f>+'4L'!BM43</f>
        <v>W3A00014WTCUM</v>
      </c>
      <c r="E3507" s="1753" t="s">
        <v>11007</v>
      </c>
      <c r="F3507" s="2146" t="str">
        <f>+'4L'!C$43</f>
        <v>Capital expenditure purpose - WATER additional line 14 [Other categories]</v>
      </c>
      <c r="G3507" t="str">
        <f>IF('4L'!R43="","##BLANK",'4L'!R43)</f>
        <v>##BLANK</v>
      </c>
    </row>
    <row r="3508" spans="2:7">
      <c r="B3508" s="893" t="str">
        <f>+'4L'!BM44</f>
        <v>W3A00015WTCUM</v>
      </c>
      <c r="E3508" s="1753" t="s">
        <v>11007</v>
      </c>
      <c r="F3508" s="2146" t="str">
        <f>+'4L'!C$44</f>
        <v>Capital expenditure purpose - WATER additional line 15 [Other categories]</v>
      </c>
      <c r="G3508" t="str">
        <f>IF('4L'!R44="","##BLANK",'4L'!R44)</f>
        <v>##BLANK</v>
      </c>
    </row>
    <row r="3509" spans="2:7">
      <c r="B3509" s="893" t="str">
        <f>+'4L'!BM45</f>
        <v>BA2070WTCUM</v>
      </c>
      <c r="E3509" s="1753" t="s">
        <v>11007</v>
      </c>
      <c r="G3509">
        <f>IF('4L'!R45="","##BLANK",'4L'!R45)</f>
        <v>0</v>
      </c>
    </row>
    <row r="3510" spans="2:7">
      <c r="B3510" s="893" t="str">
        <f>+'4L'!BN8</f>
        <v>W3001TWDCUM</v>
      </c>
      <c r="E3510" s="1753" t="s">
        <v>11007</v>
      </c>
      <c r="G3510" t="str">
        <f>IF('4L'!S8="","##BLANK",'4L'!S8)</f>
        <v>##BLANK</v>
      </c>
    </row>
    <row r="3511" spans="2:7">
      <c r="B3511" s="893" t="str">
        <f>+'4L'!BN9</f>
        <v>WS2002TWDCUM</v>
      </c>
      <c r="E3511" s="1753" t="s">
        <v>11007</v>
      </c>
      <c r="G3511" t="str">
        <f>IF('4L'!S9="","##BLANK",'4L'!S9)</f>
        <v>##BLANK</v>
      </c>
    </row>
    <row r="3512" spans="2:7">
      <c r="B3512" s="893" t="str">
        <f>+'4L'!BN10</f>
        <v>WS2003TWDCUM</v>
      </c>
      <c r="E3512" s="1753" t="s">
        <v>11007</v>
      </c>
      <c r="G3512" t="str">
        <f>IF('4L'!S10="","##BLANK",'4L'!S10)</f>
        <v>##BLANK</v>
      </c>
    </row>
    <row r="3513" spans="2:7">
      <c r="B3513" s="893" t="str">
        <f>+'4L'!BN11</f>
        <v>W3002TWDCUM</v>
      </c>
      <c r="E3513" s="1753" t="s">
        <v>11007</v>
      </c>
      <c r="G3513" t="str">
        <f>IF('4L'!S11="","##BLANK",'4L'!S11)</f>
        <v>##BLANK</v>
      </c>
    </row>
    <row r="3514" spans="2:7">
      <c r="B3514" s="893" t="str">
        <f>+'4L'!BN12</f>
        <v>W3003TWDCUM</v>
      </c>
      <c r="E3514" s="1753" t="s">
        <v>11007</v>
      </c>
      <c r="G3514" t="str">
        <f>IF('4L'!S12="","##BLANK",'4L'!S12)</f>
        <v>##BLANK</v>
      </c>
    </row>
    <row r="3515" spans="2:7">
      <c r="B3515" s="893" t="str">
        <f>+'4L'!BN13</f>
        <v>W3006TWDCUM</v>
      </c>
      <c r="E3515" s="1753" t="s">
        <v>11007</v>
      </c>
      <c r="G3515" t="str">
        <f>IF('4L'!S13="","##BLANK",'4L'!S13)</f>
        <v>##BLANK</v>
      </c>
    </row>
    <row r="3516" spans="2:7">
      <c r="B3516" s="893" t="str">
        <f>+'4L'!BN14</f>
        <v>W3007STWDCUM</v>
      </c>
      <c r="E3516" s="1753" t="s">
        <v>11007</v>
      </c>
      <c r="G3516" t="str">
        <f>IF('4L'!S14="","##BLANK",'4L'!S14)</f>
        <v>##BLANK</v>
      </c>
    </row>
    <row r="3517" spans="2:7">
      <c r="B3517" s="893" t="str">
        <f>+'4L'!BN15</f>
        <v>W3008STWDCUM</v>
      </c>
      <c r="E3517" s="1753" t="s">
        <v>11007</v>
      </c>
      <c r="G3517" t="str">
        <f>IF('4L'!S15="","##BLANK",'4L'!S15)</f>
        <v>##BLANK</v>
      </c>
    </row>
    <row r="3518" spans="2:7">
      <c r="B3518" s="893" t="str">
        <f>+'4L'!BN16</f>
        <v>W3007DTWDCUM</v>
      </c>
      <c r="E3518" s="1753" t="s">
        <v>11007</v>
      </c>
      <c r="G3518" t="str">
        <f>IF('4L'!S16="","##BLANK",'4L'!S16)</f>
        <v>##BLANK</v>
      </c>
    </row>
    <row r="3519" spans="2:7">
      <c r="B3519" s="893" t="str">
        <f>+'4L'!BN17</f>
        <v>W3008DTWDCUM</v>
      </c>
      <c r="E3519" s="1753" t="s">
        <v>11007</v>
      </c>
      <c r="G3519" t="str">
        <f>IF('4L'!S17="","##BLANK",'4L'!S17)</f>
        <v>##BLANK</v>
      </c>
    </row>
    <row r="3520" spans="2:7">
      <c r="B3520" s="893" t="str">
        <f>+'4L'!BN18</f>
        <v>W3009TWDCUM</v>
      </c>
      <c r="E3520" s="1753" t="s">
        <v>11007</v>
      </c>
      <c r="G3520" t="str">
        <f>IF('4L'!S18="","##BLANK",'4L'!S18)</f>
        <v>##BLANK</v>
      </c>
    </row>
    <row r="3521" spans="2:7">
      <c r="B3521" s="893" t="str">
        <f>+'4L'!BN19</f>
        <v>WS2004TWDCUM</v>
      </c>
      <c r="E3521" s="1753" t="s">
        <v>11007</v>
      </c>
      <c r="G3521" t="str">
        <f>IF('4L'!S19="","##BLANK",'4L'!S19)</f>
        <v>##BLANK</v>
      </c>
    </row>
    <row r="3522" spans="2:7">
      <c r="B3522" s="893" t="str">
        <f>+'4L'!BN20</f>
        <v>W3010TWDCUM</v>
      </c>
      <c r="E3522" s="1753" t="s">
        <v>11007</v>
      </c>
      <c r="G3522" t="str">
        <f>IF('4L'!S20="","##BLANK",'4L'!S20)</f>
        <v>##BLANK</v>
      </c>
    </row>
    <row r="3523" spans="2:7">
      <c r="B3523" s="893" t="str">
        <f>+'4L'!BN21</f>
        <v>W3011TWDCUM</v>
      </c>
      <c r="E3523" s="1753" t="s">
        <v>11007</v>
      </c>
      <c r="G3523" t="str">
        <f>IF('4L'!S21="","##BLANK",'4L'!S21)</f>
        <v>##BLANK</v>
      </c>
    </row>
    <row r="3524" spans="2:7">
      <c r="B3524" s="893" t="str">
        <f>+'4L'!BN22</f>
        <v>W3012TWDCUM</v>
      </c>
      <c r="E3524" s="1753" t="s">
        <v>11007</v>
      </c>
      <c r="G3524" t="str">
        <f>IF('4L'!S22="","##BLANK",'4L'!S22)</f>
        <v>##BLANK</v>
      </c>
    </row>
    <row r="3525" spans="2:7">
      <c r="B3525" s="893" t="str">
        <f>+'4L'!BN23</f>
        <v>WS2006TWDCUM</v>
      </c>
      <c r="E3525" s="1753" t="s">
        <v>11007</v>
      </c>
      <c r="G3525" t="str">
        <f>IF('4L'!S23="","##BLANK",'4L'!S23)</f>
        <v>##BLANK</v>
      </c>
    </row>
    <row r="3526" spans="2:7">
      <c r="B3526" s="893" t="str">
        <f>+'4L'!BN24</f>
        <v>WS2007TWDCUM</v>
      </c>
      <c r="E3526" s="1753" t="s">
        <v>11007</v>
      </c>
      <c r="G3526" t="str">
        <f>IF('4L'!S24="","##BLANK",'4L'!S24)</f>
        <v>##BLANK</v>
      </c>
    </row>
    <row r="3527" spans="2:7">
      <c r="B3527" s="893" t="str">
        <f>+'4L'!BN25</f>
        <v>WS2008TWDCUM</v>
      </c>
      <c r="E3527" s="1753" t="s">
        <v>11007</v>
      </c>
      <c r="G3527" t="str">
        <f>IF('4L'!S25="","##BLANK",'4L'!S25)</f>
        <v>##BLANK</v>
      </c>
    </row>
    <row r="3528" spans="2:7">
      <c r="B3528" s="893" t="str">
        <f>+'4L'!BN26</f>
        <v>W3027TWDCUM</v>
      </c>
      <c r="E3528" s="1753" t="s">
        <v>11007</v>
      </c>
      <c r="G3528" t="str">
        <f>IF('4L'!S26="","##BLANK",'4L'!S26)</f>
        <v>##BLANK</v>
      </c>
    </row>
    <row r="3529" spans="2:7">
      <c r="B3529" s="893" t="str">
        <f>+'4L'!BN27</f>
        <v>W3028OPTTWDCUM</v>
      </c>
      <c r="E3529" s="1753" t="s">
        <v>11007</v>
      </c>
      <c r="G3529" t="str">
        <f>IF('4L'!S27="","##BLANK",'4L'!S27)</f>
        <v>##BLANK</v>
      </c>
    </row>
    <row r="3530" spans="2:7">
      <c r="B3530" s="893" t="str">
        <f>+'4L'!BN28</f>
        <v>W3028COMTWDCUM</v>
      </c>
      <c r="E3530" s="1753" t="s">
        <v>11007</v>
      </c>
      <c r="G3530" t="str">
        <f>IF('4L'!S28="","##BLANK",'4L'!S28)</f>
        <v>##BLANK</v>
      </c>
    </row>
    <row r="3531" spans="2:7">
      <c r="B3531" s="893" t="str">
        <f>+'4L'!BN29</f>
        <v>W3028NHOTWDCUM</v>
      </c>
      <c r="E3531" s="1753" t="s">
        <v>11007</v>
      </c>
      <c r="G3531" t="str">
        <f>IF('4L'!S29="","##BLANK",'4L'!S29)</f>
        <v>##BLANK</v>
      </c>
    </row>
    <row r="3532" spans="2:7">
      <c r="B3532" s="893" t="str">
        <f>+'4L'!BN30</f>
        <v>W3A00001TWDCUM</v>
      </c>
      <c r="E3532" s="1753" t="s">
        <v>11007</v>
      </c>
      <c r="F3532" s="2146" t="str">
        <f>+'4L'!C$30</f>
        <v>Capital expenditure purpose - WATER additional line 1 [Other categories]</v>
      </c>
      <c r="G3532" t="str">
        <f>IF('4L'!S30="","##BLANK",'4L'!S30)</f>
        <v>##BLANK</v>
      </c>
    </row>
    <row r="3533" spans="2:7">
      <c r="B3533" s="893" t="str">
        <f>+'4L'!BN31</f>
        <v>W3A00002TWDCUM</v>
      </c>
      <c r="E3533" s="1753" t="s">
        <v>11007</v>
      </c>
      <c r="F3533" s="2146" t="str">
        <f>+'4L'!C$31</f>
        <v>Capital expenditure purpose - WATER additional line 2 [Other categories]</v>
      </c>
      <c r="G3533" t="str">
        <f>IF('4L'!S31="","##BLANK",'4L'!S31)</f>
        <v>##BLANK</v>
      </c>
    </row>
    <row r="3534" spans="2:7">
      <c r="B3534" s="893" t="str">
        <f>+'4L'!BN32</f>
        <v>W3A00003TWDCUM</v>
      </c>
      <c r="E3534" s="1753" t="s">
        <v>11007</v>
      </c>
      <c r="F3534" s="2146" t="str">
        <f>+'4L'!C$32</f>
        <v>Capital expenditure purpose - WATER additional line 3 [Other categories]</v>
      </c>
      <c r="G3534" t="str">
        <f>IF('4L'!S32="","##BLANK",'4L'!S32)</f>
        <v>##BLANK</v>
      </c>
    </row>
    <row r="3535" spans="2:7">
      <c r="B3535" s="893" t="str">
        <f>+'4L'!BN33</f>
        <v>W3A00004TWDCUM</v>
      </c>
      <c r="E3535" s="1753" t="s">
        <v>11007</v>
      </c>
      <c r="F3535" s="2146" t="str">
        <f>+'4L'!C$33</f>
        <v>Capital expenditure purpose - WATER additional line 4 [Other categories]</v>
      </c>
      <c r="G3535" t="str">
        <f>IF('4L'!S33="","##BLANK",'4L'!S33)</f>
        <v>##BLANK</v>
      </c>
    </row>
    <row r="3536" spans="2:7">
      <c r="B3536" s="893" t="str">
        <f>+'4L'!BN34</f>
        <v>W3A00005TWDCUM</v>
      </c>
      <c r="E3536" s="1753" t="s">
        <v>11007</v>
      </c>
      <c r="F3536" s="2146" t="str">
        <f>+'4L'!C$34</f>
        <v>Capital expenditure purpose - WATER additional line 5 [Other categories]</v>
      </c>
      <c r="G3536" t="str">
        <f>IF('4L'!S34="","##BLANK",'4L'!S34)</f>
        <v>##BLANK</v>
      </c>
    </row>
    <row r="3537" spans="2:7">
      <c r="B3537" s="893" t="str">
        <f>+'4L'!BN35</f>
        <v>W3A00006TWDCUM</v>
      </c>
      <c r="E3537" s="1753" t="s">
        <v>11007</v>
      </c>
      <c r="F3537" s="2146" t="str">
        <f>+'4L'!C$35</f>
        <v>Capital expenditure purpose - WATER additional line 6 [Other categories]</v>
      </c>
      <c r="G3537" t="str">
        <f>IF('4L'!S35="","##BLANK",'4L'!S35)</f>
        <v>##BLANK</v>
      </c>
    </row>
    <row r="3538" spans="2:7">
      <c r="B3538" s="893" t="str">
        <f>+'4L'!BN36</f>
        <v>W3A00007TWDCUM</v>
      </c>
      <c r="E3538" s="1753" t="s">
        <v>11007</v>
      </c>
      <c r="F3538" s="2146" t="str">
        <f>+'4L'!C$36</f>
        <v>Capital expenditure purpose - WATER additional line 7 [Other categories]</v>
      </c>
      <c r="G3538" t="str">
        <f>IF('4L'!S36="","##BLANK",'4L'!S36)</f>
        <v>##BLANK</v>
      </c>
    </row>
    <row r="3539" spans="2:7">
      <c r="B3539" s="893" t="str">
        <f>+'4L'!BN37</f>
        <v>W3A00008TWDCUM</v>
      </c>
      <c r="E3539" s="1753" t="s">
        <v>11007</v>
      </c>
      <c r="F3539" s="2146" t="str">
        <f>+'4L'!C$37</f>
        <v>Capital expenditure purpose - WATER additional line 8 [Other categories]</v>
      </c>
      <c r="G3539" t="str">
        <f>IF('4L'!S37="","##BLANK",'4L'!S37)</f>
        <v>##BLANK</v>
      </c>
    </row>
    <row r="3540" spans="2:7">
      <c r="B3540" s="893" t="str">
        <f>+'4L'!BN38</f>
        <v>W3A00009TWDCUM</v>
      </c>
      <c r="E3540" s="1753" t="s">
        <v>11007</v>
      </c>
      <c r="F3540" s="2146" t="str">
        <f>+'4L'!C$38</f>
        <v>Capital expenditure purpose - WATER additional line 9 [Other categories]</v>
      </c>
      <c r="G3540" t="str">
        <f>IF('4L'!S38="","##BLANK",'4L'!S38)</f>
        <v>##BLANK</v>
      </c>
    </row>
    <row r="3541" spans="2:7">
      <c r="B3541" s="893" t="str">
        <f>+'4L'!BN39</f>
        <v>W3A00010TWDCUM</v>
      </c>
      <c r="E3541" s="1753" t="s">
        <v>11007</v>
      </c>
      <c r="F3541" s="2146" t="str">
        <f>+'4L'!C$39</f>
        <v>Capital expenditure purpose - WATER additional line 10 [Other categories]</v>
      </c>
      <c r="G3541" t="str">
        <f>IF('4L'!S39="","##BLANK",'4L'!S39)</f>
        <v>##BLANK</v>
      </c>
    </row>
    <row r="3542" spans="2:7">
      <c r="B3542" s="893" t="str">
        <f>+'4L'!BN40</f>
        <v>W3A00011TWDCUM</v>
      </c>
      <c r="E3542" s="1753" t="s">
        <v>11007</v>
      </c>
      <c r="F3542" s="2146" t="str">
        <f>+'4L'!C$40</f>
        <v>Capital expenditure purpose - WATER additional line 11 [Other categories]</v>
      </c>
      <c r="G3542" t="str">
        <f>IF('4L'!S40="","##BLANK",'4L'!S40)</f>
        <v>##BLANK</v>
      </c>
    </row>
    <row r="3543" spans="2:7">
      <c r="B3543" s="893" t="str">
        <f>+'4L'!BN41</f>
        <v>W3A00012TWDCUM</v>
      </c>
      <c r="E3543" s="1753" t="s">
        <v>11007</v>
      </c>
      <c r="F3543" s="2146" t="str">
        <f>+'4L'!C$41</f>
        <v>Capital expenditure purpose - WATER additional line 12 [Other categories]</v>
      </c>
      <c r="G3543" t="str">
        <f>IF('4L'!S41="","##BLANK",'4L'!S41)</f>
        <v>##BLANK</v>
      </c>
    </row>
    <row r="3544" spans="2:7">
      <c r="B3544" s="893" t="str">
        <f>+'4L'!BN42</f>
        <v>W3A00013TWDCUM</v>
      </c>
      <c r="E3544" s="1753" t="s">
        <v>11007</v>
      </c>
      <c r="F3544" s="2146" t="str">
        <f>+'4L'!C$42</f>
        <v>Capital expenditure purpose - WATER additional line 13 [Other categories]</v>
      </c>
      <c r="G3544" t="str">
        <f>IF('4L'!S42="","##BLANK",'4L'!S42)</f>
        <v>##BLANK</v>
      </c>
    </row>
    <row r="3545" spans="2:7">
      <c r="B3545" s="893" t="str">
        <f>+'4L'!BN43</f>
        <v>W3A00014TWDCUM</v>
      </c>
      <c r="E3545" s="1753" t="s">
        <v>11007</v>
      </c>
      <c r="F3545" s="2146" t="str">
        <f>+'4L'!C$43</f>
        <v>Capital expenditure purpose - WATER additional line 14 [Other categories]</v>
      </c>
      <c r="G3545" t="str">
        <f>IF('4L'!S43="","##BLANK",'4L'!S43)</f>
        <v>##BLANK</v>
      </c>
    </row>
    <row r="3546" spans="2:7">
      <c r="B3546" s="893" t="str">
        <f>+'4L'!BN44</f>
        <v>W3A00015TWDCUM</v>
      </c>
      <c r="E3546" s="1753" t="s">
        <v>11007</v>
      </c>
      <c r="F3546" s="2146" t="str">
        <f>+'4L'!C$44</f>
        <v>Capital expenditure purpose - WATER additional line 15 [Other categories]</v>
      </c>
      <c r="G3546" t="str">
        <f>IF('4L'!S44="","##BLANK",'4L'!S44)</f>
        <v>##BLANK</v>
      </c>
    </row>
    <row r="3547" spans="2:7">
      <c r="B3547" s="893" t="str">
        <f>+'4L'!BN45</f>
        <v>BA2070TWDCUM</v>
      </c>
      <c r="E3547" s="1753" t="s">
        <v>11007</v>
      </c>
      <c r="G3547">
        <f>IF('4L'!S45="","##BLANK",'4L'!S45)</f>
        <v>0</v>
      </c>
    </row>
    <row r="3548" spans="2:7">
      <c r="B3548" s="893" t="str">
        <f>+'4L'!BO8</f>
        <v>W3001CAWCUM</v>
      </c>
      <c r="E3548" s="1753" t="s">
        <v>11007</v>
      </c>
      <c r="G3548">
        <f>IF('4L'!T8="","##BLANK",'4L'!T8)</f>
        <v>0</v>
      </c>
    </row>
    <row r="3549" spans="2:7">
      <c r="B3549" s="893" t="str">
        <f>+'4L'!BO9</f>
        <v>WS2002CAWCUM</v>
      </c>
      <c r="E3549" s="1753" t="s">
        <v>11007</v>
      </c>
      <c r="G3549">
        <f>IF('4L'!T9="","##BLANK",'4L'!T9)</f>
        <v>0</v>
      </c>
    </row>
    <row r="3550" spans="2:7">
      <c r="B3550" s="893" t="str">
        <f>+'4L'!BO10</f>
        <v>WS2003CAWCUM</v>
      </c>
      <c r="E3550" s="1753" t="s">
        <v>11007</v>
      </c>
      <c r="G3550">
        <f>IF('4L'!T10="","##BLANK",'4L'!T10)</f>
        <v>0</v>
      </c>
    </row>
    <row r="3551" spans="2:7">
      <c r="B3551" s="893" t="str">
        <f>+'4L'!BO11</f>
        <v>W3002CAWCUM</v>
      </c>
      <c r="E3551" s="1753" t="s">
        <v>11007</v>
      </c>
      <c r="G3551">
        <f>IF('4L'!T11="","##BLANK",'4L'!T11)</f>
        <v>0</v>
      </c>
    </row>
    <row r="3552" spans="2:7">
      <c r="B3552" s="893" t="str">
        <f>+'4L'!BO12</f>
        <v>W3003CAWCUM</v>
      </c>
      <c r="E3552" s="1753" t="s">
        <v>11007</v>
      </c>
      <c r="G3552">
        <f>IF('4L'!T12="","##BLANK",'4L'!T12)</f>
        <v>0</v>
      </c>
    </row>
    <row r="3553" spans="2:7">
      <c r="B3553" s="893" t="str">
        <f>+'4L'!BO13</f>
        <v>W3006CAWCUM</v>
      </c>
      <c r="E3553" s="1753" t="s">
        <v>11007</v>
      </c>
      <c r="G3553">
        <f>IF('4L'!T13="","##BLANK",'4L'!T13)</f>
        <v>0</v>
      </c>
    </row>
    <row r="3554" spans="2:7">
      <c r="B3554" s="893" t="str">
        <f>+'4L'!BO14</f>
        <v>W3007SCAWCUM</v>
      </c>
      <c r="E3554" s="1753" t="s">
        <v>11007</v>
      </c>
      <c r="G3554">
        <f>IF('4L'!T14="","##BLANK",'4L'!T14)</f>
        <v>0</v>
      </c>
    </row>
    <row r="3555" spans="2:7">
      <c r="B3555" s="893" t="str">
        <f>+'4L'!BO15</f>
        <v>W3008SCAWCUM</v>
      </c>
      <c r="E3555" s="1753" t="s">
        <v>11007</v>
      </c>
      <c r="G3555">
        <f>IF('4L'!T15="","##BLANK",'4L'!T15)</f>
        <v>0</v>
      </c>
    </row>
    <row r="3556" spans="2:7">
      <c r="B3556" s="893" t="str">
        <f>+'4L'!BO16</f>
        <v>W3007DCAWCUM</v>
      </c>
      <c r="E3556" s="1753" t="s">
        <v>11007</v>
      </c>
      <c r="G3556">
        <f>IF('4L'!T16="","##BLANK",'4L'!T16)</f>
        <v>0</v>
      </c>
    </row>
    <row r="3557" spans="2:7">
      <c r="B3557" s="893" t="str">
        <f>+'4L'!BO17</f>
        <v>W3008DCAWCUM</v>
      </c>
      <c r="E3557" s="1753" t="s">
        <v>11007</v>
      </c>
      <c r="G3557">
        <f>IF('4L'!T17="","##BLANK",'4L'!T17)</f>
        <v>0</v>
      </c>
    </row>
    <row r="3558" spans="2:7">
      <c r="B3558" s="893" t="str">
        <f>+'4L'!BO18</f>
        <v>W3009CAWCUM</v>
      </c>
      <c r="E3558" s="1753" t="s">
        <v>11007</v>
      </c>
      <c r="G3558">
        <f>IF('4L'!T18="","##BLANK",'4L'!T18)</f>
        <v>0</v>
      </c>
    </row>
    <row r="3559" spans="2:7">
      <c r="B3559" s="893" t="str">
        <f>+'4L'!BO19</f>
        <v>WS2004CAWCUM</v>
      </c>
      <c r="E3559" s="1753" t="s">
        <v>11007</v>
      </c>
      <c r="G3559">
        <f>IF('4L'!T19="","##BLANK",'4L'!T19)</f>
        <v>0</v>
      </c>
    </row>
    <row r="3560" spans="2:7">
      <c r="B3560" s="893" t="str">
        <f>+'4L'!BO20</f>
        <v>W3010CAWCUM</v>
      </c>
      <c r="E3560" s="1753" t="s">
        <v>11007</v>
      </c>
      <c r="G3560">
        <f>IF('4L'!T20="","##BLANK",'4L'!T20)</f>
        <v>0</v>
      </c>
    </row>
    <row r="3561" spans="2:7">
      <c r="B3561" s="893" t="str">
        <f>+'4L'!BO21</f>
        <v>W3011CAWCUM</v>
      </c>
      <c r="E3561" s="1753" t="s">
        <v>11007</v>
      </c>
      <c r="G3561">
        <f>IF('4L'!T21="","##BLANK",'4L'!T21)</f>
        <v>0</v>
      </c>
    </row>
    <row r="3562" spans="2:7">
      <c r="B3562" s="893" t="str">
        <f>+'4L'!BO22</f>
        <v>W3012CAWCUM</v>
      </c>
      <c r="E3562" s="1753" t="s">
        <v>11007</v>
      </c>
      <c r="G3562">
        <f>IF('4L'!T22="","##BLANK",'4L'!T22)</f>
        <v>0</v>
      </c>
    </row>
    <row r="3563" spans="2:7">
      <c r="B3563" s="893" t="str">
        <f>+'4L'!BO23</f>
        <v>WS2006CAWCUM</v>
      </c>
      <c r="E3563" s="1753" t="s">
        <v>11007</v>
      </c>
      <c r="G3563">
        <f>IF('4L'!T23="","##BLANK",'4L'!T23)</f>
        <v>0</v>
      </c>
    </row>
    <row r="3564" spans="2:7">
      <c r="B3564" s="893" t="str">
        <f>+'4L'!BO24</f>
        <v>WS2007CAWCUM</v>
      </c>
      <c r="E3564" s="1753" t="s">
        <v>11007</v>
      </c>
      <c r="G3564">
        <f>IF('4L'!T24="","##BLANK",'4L'!T24)</f>
        <v>0</v>
      </c>
    </row>
    <row r="3565" spans="2:7">
      <c r="B3565" s="893" t="str">
        <f>+'4L'!BO25</f>
        <v>WS2008CAWCUM</v>
      </c>
      <c r="E3565" s="1753" t="s">
        <v>11007</v>
      </c>
      <c r="G3565">
        <f>IF('4L'!T25="","##BLANK",'4L'!T25)</f>
        <v>0</v>
      </c>
    </row>
    <row r="3566" spans="2:7">
      <c r="B3566" s="893" t="str">
        <f>+'4L'!BO26</f>
        <v>W3027CAWCUM</v>
      </c>
      <c r="E3566" s="1753" t="s">
        <v>11007</v>
      </c>
      <c r="G3566">
        <f>IF('4L'!T26="","##BLANK",'4L'!T26)</f>
        <v>0</v>
      </c>
    </row>
    <row r="3567" spans="2:7">
      <c r="B3567" s="893" t="str">
        <f>+'4L'!BO27</f>
        <v>W3028OPTCAWCUM</v>
      </c>
      <c r="E3567" s="1753" t="s">
        <v>11007</v>
      </c>
      <c r="G3567">
        <f>IF('4L'!T27="","##BLANK",'4L'!T27)</f>
        <v>0</v>
      </c>
    </row>
    <row r="3568" spans="2:7">
      <c r="B3568" s="893" t="str">
        <f>+'4L'!BO28</f>
        <v>W3028COMCAWCUM</v>
      </c>
      <c r="E3568" s="1753" t="s">
        <v>11007</v>
      </c>
      <c r="G3568">
        <f>IF('4L'!T28="","##BLANK",'4L'!T28)</f>
        <v>0</v>
      </c>
    </row>
    <row r="3569" spans="2:7">
      <c r="B3569" s="893" t="str">
        <f>+'4L'!BO29</f>
        <v>W3028NHOCAWCUM</v>
      </c>
      <c r="E3569" s="1753" t="s">
        <v>11007</v>
      </c>
      <c r="G3569">
        <f>IF('4L'!T29="","##BLANK",'4L'!T29)</f>
        <v>0</v>
      </c>
    </row>
    <row r="3570" spans="2:7">
      <c r="B3570" s="893" t="str">
        <f>+'4L'!BO30</f>
        <v>W3A00001CAWCUM</v>
      </c>
      <c r="E3570" s="1753" t="s">
        <v>11007</v>
      </c>
      <c r="F3570" s="2146" t="str">
        <f>+'4L'!C$30</f>
        <v>Capital expenditure purpose - WATER additional line 1 [Other categories]</v>
      </c>
      <c r="G3570">
        <f>IF('4L'!T30="","##BLANK",'4L'!T30)</f>
        <v>0</v>
      </c>
    </row>
    <row r="3571" spans="2:7">
      <c r="B3571" s="893" t="str">
        <f>+'4L'!BO31</f>
        <v>W3A00002CAWCUM</v>
      </c>
      <c r="E3571" s="1753" t="s">
        <v>11007</v>
      </c>
      <c r="F3571" s="2146" t="str">
        <f>+'4L'!C$31</f>
        <v>Capital expenditure purpose - WATER additional line 2 [Other categories]</v>
      </c>
      <c r="G3571">
        <f>IF('4L'!T31="","##BLANK",'4L'!T31)</f>
        <v>0</v>
      </c>
    </row>
    <row r="3572" spans="2:7">
      <c r="B3572" s="893" t="str">
        <f>+'4L'!BO32</f>
        <v>W3A00003CAWCUM</v>
      </c>
      <c r="E3572" s="1753" t="s">
        <v>11007</v>
      </c>
      <c r="F3572" s="2146" t="str">
        <f>+'4L'!C$32</f>
        <v>Capital expenditure purpose - WATER additional line 3 [Other categories]</v>
      </c>
      <c r="G3572">
        <f>IF('4L'!T32="","##BLANK",'4L'!T32)</f>
        <v>0</v>
      </c>
    </row>
    <row r="3573" spans="2:7">
      <c r="B3573" s="893" t="str">
        <f>+'4L'!BO33</f>
        <v>W3A00004CAWCUM</v>
      </c>
      <c r="E3573" s="1753" t="s">
        <v>11007</v>
      </c>
      <c r="F3573" s="2146" t="str">
        <f>+'4L'!C$33</f>
        <v>Capital expenditure purpose - WATER additional line 4 [Other categories]</v>
      </c>
      <c r="G3573">
        <f>IF('4L'!T33="","##BLANK",'4L'!T33)</f>
        <v>0</v>
      </c>
    </row>
    <row r="3574" spans="2:7">
      <c r="B3574" s="893" t="str">
        <f>+'4L'!BO34</f>
        <v>W3A00005CAWCUM</v>
      </c>
      <c r="E3574" s="1753" t="s">
        <v>11007</v>
      </c>
      <c r="F3574" s="2146" t="str">
        <f>+'4L'!C$34</f>
        <v>Capital expenditure purpose - WATER additional line 5 [Other categories]</v>
      </c>
      <c r="G3574">
        <f>IF('4L'!T34="","##BLANK",'4L'!T34)</f>
        <v>0</v>
      </c>
    </row>
    <row r="3575" spans="2:7">
      <c r="B3575" s="893" t="str">
        <f>+'4L'!BO35</f>
        <v>W3A00006CAWCUM</v>
      </c>
      <c r="E3575" s="1753" t="s">
        <v>11007</v>
      </c>
      <c r="F3575" s="2146" t="str">
        <f>+'4L'!C$35</f>
        <v>Capital expenditure purpose - WATER additional line 6 [Other categories]</v>
      </c>
      <c r="G3575">
        <f>IF('4L'!T35="","##BLANK",'4L'!T35)</f>
        <v>0</v>
      </c>
    </row>
    <row r="3576" spans="2:7">
      <c r="B3576" s="893" t="str">
        <f>+'4L'!BO36</f>
        <v>W3A00007CAWCUM</v>
      </c>
      <c r="E3576" s="1753" t="s">
        <v>11007</v>
      </c>
      <c r="F3576" s="2146" t="str">
        <f>+'4L'!C$36</f>
        <v>Capital expenditure purpose - WATER additional line 7 [Other categories]</v>
      </c>
      <c r="G3576">
        <f>IF('4L'!T36="","##BLANK",'4L'!T36)</f>
        <v>0</v>
      </c>
    </row>
    <row r="3577" spans="2:7">
      <c r="B3577" s="893" t="str">
        <f>+'4L'!BO37</f>
        <v>W3A00008CAWCUM</v>
      </c>
      <c r="E3577" s="1753" t="s">
        <v>11007</v>
      </c>
      <c r="F3577" s="2146" t="str">
        <f>+'4L'!C$37</f>
        <v>Capital expenditure purpose - WATER additional line 8 [Other categories]</v>
      </c>
      <c r="G3577">
        <f>IF('4L'!T37="","##BLANK",'4L'!T37)</f>
        <v>0</v>
      </c>
    </row>
    <row r="3578" spans="2:7">
      <c r="B3578" s="893" t="str">
        <f>+'4L'!BO38</f>
        <v>W3A00009CAWCUM</v>
      </c>
      <c r="E3578" s="1753" t="s">
        <v>11007</v>
      </c>
      <c r="F3578" s="2146" t="str">
        <f>+'4L'!C$38</f>
        <v>Capital expenditure purpose - WATER additional line 9 [Other categories]</v>
      </c>
      <c r="G3578">
        <f>IF('4L'!T38="","##BLANK",'4L'!T38)</f>
        <v>0</v>
      </c>
    </row>
    <row r="3579" spans="2:7">
      <c r="B3579" s="893" t="str">
        <f>+'4L'!BO39</f>
        <v>W3A00010CAWCUM</v>
      </c>
      <c r="E3579" s="1753" t="s">
        <v>11007</v>
      </c>
      <c r="F3579" s="2146" t="str">
        <f>+'4L'!C$39</f>
        <v>Capital expenditure purpose - WATER additional line 10 [Other categories]</v>
      </c>
      <c r="G3579">
        <f>IF('4L'!T39="","##BLANK",'4L'!T39)</f>
        <v>0</v>
      </c>
    </row>
    <row r="3580" spans="2:7">
      <c r="B3580" s="893" t="str">
        <f>+'4L'!BO40</f>
        <v>W3A00011CAWCUM</v>
      </c>
      <c r="E3580" s="1753" t="s">
        <v>11007</v>
      </c>
      <c r="F3580" s="2146" t="str">
        <f>+'4L'!C$40</f>
        <v>Capital expenditure purpose - WATER additional line 11 [Other categories]</v>
      </c>
      <c r="G3580">
        <f>IF('4L'!T40="","##BLANK",'4L'!T40)</f>
        <v>0</v>
      </c>
    </row>
    <row r="3581" spans="2:7">
      <c r="B3581" s="893" t="str">
        <f>+'4L'!BO41</f>
        <v>W3A00012CAWCUM</v>
      </c>
      <c r="E3581" s="1753" t="s">
        <v>11007</v>
      </c>
      <c r="F3581" s="2146" t="str">
        <f>+'4L'!C$41</f>
        <v>Capital expenditure purpose - WATER additional line 12 [Other categories]</v>
      </c>
      <c r="G3581">
        <f>IF('4L'!T41="","##BLANK",'4L'!T41)</f>
        <v>0</v>
      </c>
    </row>
    <row r="3582" spans="2:7">
      <c r="B3582" s="893" t="str">
        <f>+'4L'!BO42</f>
        <v>W3A00013CAWCUM</v>
      </c>
      <c r="E3582" s="1753" t="s">
        <v>11007</v>
      </c>
      <c r="F3582" s="2146" t="str">
        <f>+'4L'!C$42</f>
        <v>Capital expenditure purpose - WATER additional line 13 [Other categories]</v>
      </c>
      <c r="G3582">
        <f>IF('4L'!T42="","##BLANK",'4L'!T42)</f>
        <v>0</v>
      </c>
    </row>
    <row r="3583" spans="2:7">
      <c r="B3583" s="893" t="str">
        <f>+'4L'!BO43</f>
        <v>W3A00014CAWCUM</v>
      </c>
      <c r="E3583" s="1753" t="s">
        <v>11007</v>
      </c>
      <c r="F3583" s="2146" t="str">
        <f>+'4L'!C$43</f>
        <v>Capital expenditure purpose - WATER additional line 14 [Other categories]</v>
      </c>
      <c r="G3583">
        <f>IF('4L'!T43="","##BLANK",'4L'!T43)</f>
        <v>0</v>
      </c>
    </row>
    <row r="3584" spans="2:7">
      <c r="B3584" s="893" t="str">
        <f>+'4L'!BO44</f>
        <v>W3A00015CAWCUM</v>
      </c>
      <c r="E3584" s="1753" t="s">
        <v>11007</v>
      </c>
      <c r="F3584" s="2146" t="str">
        <f>+'4L'!C$44</f>
        <v>Capital expenditure purpose - WATER additional line 15 [Other categories]</v>
      </c>
      <c r="G3584">
        <f>IF('4L'!T44="","##BLANK",'4L'!T44)</f>
        <v>0</v>
      </c>
    </row>
    <row r="3585" spans="2:7">
      <c r="B3585" s="893" t="str">
        <f>+'4L'!BO45</f>
        <v>BA2070CAWCUM</v>
      </c>
      <c r="E3585" s="1753" t="s">
        <v>11007</v>
      </c>
      <c r="G3585">
        <f>IF('4L'!T45="","##BLANK",'4L'!T45)</f>
        <v>0</v>
      </c>
    </row>
    <row r="3586" spans="2:7">
      <c r="B3586" s="893" t="str">
        <f>+'4M'!BI8</f>
        <v>BC31379FL</v>
      </c>
      <c r="E3586" s="1753" t="s">
        <v>11007</v>
      </c>
      <c r="G3586" t="str">
        <f>IF('4M'!G8="","##BLANK",'4M'!G8)</f>
        <v>##BLANK</v>
      </c>
    </row>
    <row r="3587" spans="2:7">
      <c r="B3587" s="893" t="str">
        <f>+'4M'!BI9</f>
        <v>S3035QFL</v>
      </c>
      <c r="E3587" s="1753" t="s">
        <v>11007</v>
      </c>
      <c r="G3587" t="str">
        <f>IF('4M'!G9="","##BLANK",'4M'!G9)</f>
        <v>##BLANK</v>
      </c>
    </row>
    <row r="3588" spans="2:7">
      <c r="B3588" s="893" t="str">
        <f>+'4M'!BI10</f>
        <v>S3036GFL</v>
      </c>
      <c r="E3588" s="1753" t="s">
        <v>11007</v>
      </c>
      <c r="G3588" t="str">
        <f>IF('4M'!G10="","##BLANK",'4M'!G10)</f>
        <v>##BLANK</v>
      </c>
    </row>
    <row r="3589" spans="2:7">
      <c r="B3589" s="893" t="str">
        <f>+'4M'!BI11</f>
        <v>S3004FL</v>
      </c>
      <c r="E3589" s="1753" t="s">
        <v>11007</v>
      </c>
      <c r="G3589" t="str">
        <f>IF('4M'!G11="","##BLANK",'4M'!G11)</f>
        <v>##BLANK</v>
      </c>
    </row>
    <row r="3590" spans="2:7">
      <c r="B3590" s="893" t="str">
        <f>+'4M'!BI12</f>
        <v>WWS2001FL</v>
      </c>
      <c r="E3590" s="1753" t="s">
        <v>11007</v>
      </c>
      <c r="G3590" t="str">
        <f>IF('4M'!G12="","##BLANK",'4M'!G12)</f>
        <v>##BLANK</v>
      </c>
    </row>
    <row r="3591" spans="2:7">
      <c r="B3591" s="893" t="str">
        <f>+'4M'!BI13</f>
        <v>S3005FL</v>
      </c>
      <c r="E3591" s="1753" t="s">
        <v>11007</v>
      </c>
      <c r="G3591" t="str">
        <f>IF('4M'!G13="","##BLANK",'4M'!G13)</f>
        <v>##BLANK</v>
      </c>
    </row>
    <row r="3592" spans="2:7">
      <c r="B3592" s="893" t="str">
        <f>+'4M'!BI14</f>
        <v>S3006FL</v>
      </c>
      <c r="E3592" s="1753" t="s">
        <v>11007</v>
      </c>
      <c r="G3592" t="str">
        <f>IF('4M'!G14="","##BLANK",'4M'!G14)</f>
        <v>##BLANK</v>
      </c>
    </row>
    <row r="3593" spans="2:7">
      <c r="B3593" s="893" t="str">
        <f>+'4M'!BI15</f>
        <v>S3007FL</v>
      </c>
      <c r="E3593" s="1753" t="s">
        <v>11007</v>
      </c>
      <c r="G3593" t="str">
        <f>IF('4M'!G15="","##BLANK",'4M'!G15)</f>
        <v>##BLANK</v>
      </c>
    </row>
    <row r="3594" spans="2:7">
      <c r="B3594" s="893" t="str">
        <f>+'4M'!BI16</f>
        <v>WWS2002FL</v>
      </c>
      <c r="E3594" s="1753" t="s">
        <v>11007</v>
      </c>
      <c r="G3594" t="str">
        <f>IF('4M'!G16="","##BLANK",'4M'!G16)</f>
        <v>##BLANK</v>
      </c>
    </row>
    <row r="3595" spans="2:7">
      <c r="B3595" s="893" t="str">
        <f>+'4M'!BI17</f>
        <v>WWS2003FL</v>
      </c>
      <c r="E3595" s="1753" t="s">
        <v>11007</v>
      </c>
      <c r="G3595" t="str">
        <f>IF('4M'!G17="","##BLANK",'4M'!G17)</f>
        <v>##BLANK</v>
      </c>
    </row>
    <row r="3596" spans="2:7">
      <c r="B3596" s="893" t="str">
        <f>+'4M'!BI18</f>
        <v>S3008FL</v>
      </c>
      <c r="E3596" s="1753" t="s">
        <v>11007</v>
      </c>
      <c r="G3596" t="str">
        <f>IF('4M'!G18="","##BLANK",'4M'!G18)</f>
        <v>##BLANK</v>
      </c>
    </row>
    <row r="3597" spans="2:7">
      <c r="B3597" s="893" t="str">
        <f>+'4M'!BI19</f>
        <v>S3009FL</v>
      </c>
      <c r="E3597" s="1753" t="s">
        <v>11007</v>
      </c>
      <c r="G3597" t="str">
        <f>IF('4M'!G19="","##BLANK",'4M'!G19)</f>
        <v>##BLANK</v>
      </c>
    </row>
    <row r="3598" spans="2:7">
      <c r="B3598" s="893" t="str">
        <f>+'4M'!BI20</f>
        <v>WWS2007FL</v>
      </c>
      <c r="E3598" s="1753" t="s">
        <v>11007</v>
      </c>
      <c r="G3598" t="str">
        <f>IF('4M'!G20="","##BLANK",'4M'!G20)</f>
        <v>##BLANK</v>
      </c>
    </row>
    <row r="3599" spans="2:7">
      <c r="B3599" s="893" t="str">
        <f>+'4M'!BI21</f>
        <v>S3010FL</v>
      </c>
      <c r="E3599" s="1753" t="s">
        <v>11007</v>
      </c>
      <c r="G3599" t="str">
        <f>IF('4M'!G21="","##BLANK",'4M'!G21)</f>
        <v>##BLANK</v>
      </c>
    </row>
    <row r="3600" spans="2:7">
      <c r="B3600" s="893" t="str">
        <f>+'4M'!BI22</f>
        <v>S3011FL</v>
      </c>
      <c r="E3600" s="1753" t="s">
        <v>11007</v>
      </c>
      <c r="G3600" t="str">
        <f>IF('4M'!G22="","##BLANK",'4M'!G22)</f>
        <v>##BLANK</v>
      </c>
    </row>
    <row r="3601" spans="2:7">
      <c r="B3601" s="893" t="str">
        <f>+'4M'!BI23</f>
        <v>S3012FL</v>
      </c>
      <c r="E3601" s="1753" t="s">
        <v>11007</v>
      </c>
      <c r="G3601" t="str">
        <f>IF('4M'!G23="","##BLANK",'4M'!G23)</f>
        <v>##BLANK</v>
      </c>
    </row>
    <row r="3602" spans="2:7">
      <c r="B3602" s="893" t="str">
        <f>+'4M'!BI24</f>
        <v>S3013FL</v>
      </c>
      <c r="E3602" s="1753" t="s">
        <v>11007</v>
      </c>
      <c r="G3602" t="str">
        <f>IF('4M'!G24="","##BLANK",'4M'!G24)</f>
        <v>##BLANK</v>
      </c>
    </row>
    <row r="3603" spans="2:7">
      <c r="B3603" s="893" t="str">
        <f>+'4M'!BI25</f>
        <v>S3014FL</v>
      </c>
      <c r="E3603" s="1753" t="s">
        <v>11007</v>
      </c>
      <c r="G3603" t="str">
        <f>IF('4M'!G25="","##BLANK",'4M'!G25)</f>
        <v>##BLANK</v>
      </c>
    </row>
    <row r="3604" spans="2:7">
      <c r="B3604" s="893" t="str">
        <f>+'4M'!BI26</f>
        <v>S3015FL</v>
      </c>
      <c r="E3604" s="1753" t="s">
        <v>11007</v>
      </c>
      <c r="G3604" t="str">
        <f>IF('4M'!G26="","##BLANK",'4M'!G26)</f>
        <v>##BLANK</v>
      </c>
    </row>
    <row r="3605" spans="2:7">
      <c r="B3605" s="893" t="str">
        <f>+'4M'!BI27</f>
        <v>S3016FL</v>
      </c>
      <c r="E3605" s="1753" t="s">
        <v>11007</v>
      </c>
      <c r="G3605" t="str">
        <f>IF('4M'!G27="","##BLANK",'4M'!G27)</f>
        <v>##BLANK</v>
      </c>
    </row>
    <row r="3606" spans="2:7">
      <c r="B3606" s="893" t="str">
        <f>+'4M'!BI28</f>
        <v>S3017FL</v>
      </c>
      <c r="E3606" s="1753" t="s">
        <v>11007</v>
      </c>
      <c r="G3606" t="str">
        <f>IF('4M'!G28="","##BLANK",'4M'!G28)</f>
        <v>##BLANK</v>
      </c>
    </row>
    <row r="3607" spans="2:7">
      <c r="B3607" s="893" t="str">
        <f>+'4M'!BI29</f>
        <v>S3018FL</v>
      </c>
      <c r="E3607" s="1753" t="s">
        <v>11007</v>
      </c>
      <c r="G3607" t="str">
        <f>IF('4M'!G29="","##BLANK",'4M'!G29)</f>
        <v>##BLANK</v>
      </c>
    </row>
    <row r="3608" spans="2:7">
      <c r="B3608" s="893" t="str">
        <f>+'4M'!BI30</f>
        <v>S3019FL</v>
      </c>
      <c r="E3608" s="1753" t="s">
        <v>11007</v>
      </c>
      <c r="G3608" t="str">
        <f>IF('4M'!G30="","##BLANK",'4M'!G30)</f>
        <v>##BLANK</v>
      </c>
    </row>
    <row r="3609" spans="2:7">
      <c r="B3609" s="893" t="str">
        <f>+'4M'!BI31</f>
        <v>S3020FL</v>
      </c>
      <c r="E3609" s="1753" t="s">
        <v>11007</v>
      </c>
      <c r="G3609" t="str">
        <f>IF('4M'!G31="","##BLANK",'4M'!G31)</f>
        <v>##BLANK</v>
      </c>
    </row>
    <row r="3610" spans="2:7">
      <c r="B3610" s="893" t="str">
        <f>+'4M'!BI32</f>
        <v>S3021FL</v>
      </c>
      <c r="E3610" s="1753" t="s">
        <v>11007</v>
      </c>
      <c r="G3610" t="str">
        <f>IF('4M'!G32="","##BLANK",'4M'!G32)</f>
        <v>##BLANK</v>
      </c>
    </row>
    <row r="3611" spans="2:7">
      <c r="B3611" s="893" t="str">
        <f>+'4M'!BI33</f>
        <v>S3022FL</v>
      </c>
      <c r="E3611" s="1753" t="s">
        <v>11007</v>
      </c>
      <c r="G3611" t="str">
        <f>IF('4M'!G33="","##BLANK",'4M'!G33)</f>
        <v>##BLANK</v>
      </c>
    </row>
    <row r="3612" spans="2:7">
      <c r="B3612" s="893" t="str">
        <f>+'4M'!BI34</f>
        <v>BC31785FL</v>
      </c>
      <c r="E3612" s="1753" t="s">
        <v>11007</v>
      </c>
      <c r="G3612" t="str">
        <f>IF('4M'!G34="","##BLANK",'4M'!G34)</f>
        <v>##BLANK</v>
      </c>
    </row>
    <row r="3613" spans="2:7">
      <c r="B3613" s="893" t="str">
        <f>+'4M'!BI35</f>
        <v>S3023FL</v>
      </c>
      <c r="E3613" s="1753" t="s">
        <v>11007</v>
      </c>
      <c r="G3613" t="str">
        <f>IF('4M'!G35="","##BLANK",'4M'!G35)</f>
        <v>##BLANK</v>
      </c>
    </row>
    <row r="3614" spans="2:7">
      <c r="B3614" s="893" t="str">
        <f>+'4M'!BI36</f>
        <v>S3024FL</v>
      </c>
      <c r="E3614" s="1753" t="s">
        <v>11007</v>
      </c>
      <c r="G3614" t="str">
        <f>IF('4M'!G36="","##BLANK",'4M'!G36)</f>
        <v>##BLANK</v>
      </c>
    </row>
    <row r="3615" spans="2:7">
      <c r="B3615" s="893" t="str">
        <f>+'4M'!BI37</f>
        <v>S3A00001FL</v>
      </c>
      <c r="E3615" s="1753" t="s">
        <v>11007</v>
      </c>
      <c r="F3615" t="str">
        <f>+'4M'!C$37</f>
        <v>Capital expenditure purpose - WASTEWATER additional line 1 [Other categories]</v>
      </c>
      <c r="G3615" t="str">
        <f>IF('4M'!G37="","##BLANK",'4M'!G37)</f>
        <v>##BLANK</v>
      </c>
    </row>
    <row r="3616" spans="2:7">
      <c r="B3616" s="893" t="str">
        <f>+'4M'!BI38</f>
        <v>S3A00002FL</v>
      </c>
      <c r="E3616" s="1753" t="s">
        <v>11007</v>
      </c>
      <c r="F3616" s="2146" t="str">
        <f>+'4M'!C$38</f>
        <v>Capital expenditure purpose - WASTEWATER additional line 2 [Other categories]</v>
      </c>
      <c r="G3616" t="str">
        <f>IF('4M'!G38="","##BLANK",'4M'!G38)</f>
        <v>##BLANK</v>
      </c>
    </row>
    <row r="3617" spans="2:7">
      <c r="B3617" s="893" t="str">
        <f>+'4M'!BI39</f>
        <v>S3A00003FL</v>
      </c>
      <c r="E3617" s="1753" t="s">
        <v>11007</v>
      </c>
      <c r="F3617" s="2146" t="str">
        <f>+'4M'!C$39</f>
        <v>Capital expenditure purpose - WASTEWATER additional line 3 [Other categories]</v>
      </c>
      <c r="G3617" t="str">
        <f>IF('4M'!G39="","##BLANK",'4M'!G39)</f>
        <v>##BLANK</v>
      </c>
    </row>
    <row r="3618" spans="2:7">
      <c r="B3618" s="893" t="str">
        <f>+'4M'!BI40</f>
        <v>S3A00004FL</v>
      </c>
      <c r="E3618" s="1753" t="s">
        <v>11007</v>
      </c>
      <c r="F3618" s="2146" t="str">
        <f>+'4M'!C$40</f>
        <v>Capital expenditure purpose - WASTEWATER additional line 4 [Other categories]</v>
      </c>
      <c r="G3618" t="str">
        <f>IF('4M'!G40="","##BLANK",'4M'!G40)</f>
        <v>##BLANK</v>
      </c>
    </row>
    <row r="3619" spans="2:7">
      <c r="B3619" s="893" t="str">
        <f>+'4M'!BI41</f>
        <v>S3A00005FL</v>
      </c>
      <c r="E3619" s="1753" t="s">
        <v>11007</v>
      </c>
      <c r="F3619" s="2146" t="str">
        <f>+'4M'!C$41</f>
        <v>Capital expenditure purpose - WASTEWATER additional line 5 [Other categories]</v>
      </c>
      <c r="G3619" t="str">
        <f>IF('4M'!G41="","##BLANK",'4M'!G41)</f>
        <v>##BLANK</v>
      </c>
    </row>
    <row r="3620" spans="2:7">
      <c r="B3620" s="893" t="str">
        <f>+'4M'!BI42</f>
        <v>S3A00006FL</v>
      </c>
      <c r="E3620" s="1753" t="s">
        <v>11007</v>
      </c>
      <c r="F3620" s="2146" t="str">
        <f>+'4M'!C$42</f>
        <v>Capital expenditure purpose - WASTEWATER additional line 6 [Other categories]</v>
      </c>
      <c r="G3620" t="str">
        <f>IF('4M'!G42="","##BLANK",'4M'!G42)</f>
        <v>##BLANK</v>
      </c>
    </row>
    <row r="3621" spans="2:7">
      <c r="B3621" s="893" t="str">
        <f>+'4M'!BI43</f>
        <v>S3A00007FL</v>
      </c>
      <c r="E3621" s="1753" t="s">
        <v>11007</v>
      </c>
      <c r="F3621" s="2146" t="str">
        <f>+'4M'!C$43</f>
        <v>Capital expenditure purpose - WASTEWATER additional line 7 [Other categories]</v>
      </c>
      <c r="G3621" t="str">
        <f>IF('4M'!G43="","##BLANK",'4M'!G43)</f>
        <v>##BLANK</v>
      </c>
    </row>
    <row r="3622" spans="2:7">
      <c r="B3622" s="893" t="str">
        <f>+'4M'!BI44</f>
        <v>S3A00008FL</v>
      </c>
      <c r="E3622" s="1753" t="s">
        <v>11007</v>
      </c>
      <c r="F3622" s="2146" t="str">
        <f>+'4M'!C$44</f>
        <v>Capital expenditure purpose - WASTEWATER additional line 8 [Other categories]</v>
      </c>
      <c r="G3622" t="str">
        <f>IF('4M'!G44="","##BLANK",'4M'!G44)</f>
        <v>##BLANK</v>
      </c>
    </row>
    <row r="3623" spans="2:7">
      <c r="B3623" s="893" t="str">
        <f>+'4M'!BI45</f>
        <v>S3A00009FL</v>
      </c>
      <c r="E3623" s="1753" t="s">
        <v>11007</v>
      </c>
      <c r="F3623" s="2146" t="str">
        <f>+'4M'!C$45</f>
        <v>Capital expenditure purpose - WASTEWATER additional line 9 [Other categories]</v>
      </c>
      <c r="G3623" t="str">
        <f>IF('4M'!G45="","##BLANK",'4M'!G45)</f>
        <v>##BLANK</v>
      </c>
    </row>
    <row r="3624" spans="2:7">
      <c r="B3624" s="893" t="str">
        <f>+'4M'!BI46</f>
        <v>S3A00010FL</v>
      </c>
      <c r="E3624" s="1753" t="s">
        <v>11007</v>
      </c>
      <c r="F3624" s="2146" t="str">
        <f>+'4M'!C$46</f>
        <v>Capital expenditure purpose - WASTEWATER additional line 10 [Other categories]</v>
      </c>
      <c r="G3624" t="str">
        <f>IF('4M'!G46="","##BLANK",'4M'!G46)</f>
        <v>##BLANK</v>
      </c>
    </row>
    <row r="3625" spans="2:7">
      <c r="B3625" s="893" t="str">
        <f>+'4M'!BI47</f>
        <v>S3A00011FL</v>
      </c>
      <c r="E3625" s="1753" t="s">
        <v>11007</v>
      </c>
      <c r="F3625" s="2146" t="str">
        <f>+'4M'!C$47</f>
        <v>Capital expenditure purpose - WASTEWATER additional line 11 [Other categories]</v>
      </c>
      <c r="G3625" t="str">
        <f>IF('4M'!G47="","##BLANK",'4M'!G47)</f>
        <v>##BLANK</v>
      </c>
    </row>
    <row r="3626" spans="2:7">
      <c r="B3626" s="893" t="str">
        <f>+'4M'!BI48</f>
        <v>S3A00012FL</v>
      </c>
      <c r="E3626" s="1753" t="s">
        <v>11007</v>
      </c>
      <c r="F3626" s="2146" t="str">
        <f>+'4M'!C$48</f>
        <v>Capital expenditure purpose - WASTEWATER additional line 12 [Other categories]</v>
      </c>
      <c r="G3626" t="str">
        <f>IF('4M'!G48="","##BLANK",'4M'!G48)</f>
        <v>##BLANK</v>
      </c>
    </row>
    <row r="3627" spans="2:7">
      <c r="B3627" s="893" t="str">
        <f>+'4M'!BI49</f>
        <v>S3A00013FL</v>
      </c>
      <c r="E3627" s="1753" t="s">
        <v>11007</v>
      </c>
      <c r="F3627" s="2146" t="str">
        <f>+'4M'!C$49</f>
        <v>Capital expenditure purpose - WASTEWATER additional line 13 [Other categories]</v>
      </c>
      <c r="G3627" t="str">
        <f>IF('4M'!G49="","##BLANK",'4M'!G49)</f>
        <v>##BLANK</v>
      </c>
    </row>
    <row r="3628" spans="2:7">
      <c r="B3628" s="893" t="str">
        <f>+'4M'!BI50</f>
        <v>S3A00014FL</v>
      </c>
      <c r="E3628" s="1753" t="s">
        <v>11007</v>
      </c>
      <c r="F3628" s="2146" t="str">
        <f>+'4M'!C$50</f>
        <v>Capital expenditure purpose - WASTEWATER additional line 14 [Other categories]</v>
      </c>
      <c r="G3628" t="str">
        <f>IF('4M'!G50="","##BLANK",'4M'!G50)</f>
        <v>##BLANK</v>
      </c>
    </row>
    <row r="3629" spans="2:7">
      <c r="B3629" s="893" t="str">
        <f>+'4M'!BI51</f>
        <v>S3A00015FL</v>
      </c>
      <c r="E3629" s="1753" t="s">
        <v>11007</v>
      </c>
      <c r="F3629" s="2146" t="str">
        <f>+'4M'!C$51</f>
        <v>Capital expenditure purpose - WASTEWATER additional line 15 [Other categories]</v>
      </c>
      <c r="G3629" t="str">
        <f>IF('4M'!G51="","##BLANK",'4M'!G51)</f>
        <v>##BLANK</v>
      </c>
    </row>
    <row r="3630" spans="2:7">
      <c r="B3630" s="893" t="str">
        <f>+'4M'!BI52</f>
        <v>S3025ENHFL</v>
      </c>
      <c r="E3630" s="1753" t="s">
        <v>11007</v>
      </c>
      <c r="G3630">
        <f>IF('4M'!G52="","##BLANK",'4M'!G52)</f>
        <v>0</v>
      </c>
    </row>
    <row r="3631" spans="2:7">
      <c r="B3631" s="893" t="str">
        <f>+'4M'!BJ8</f>
        <v>BC31379SWD</v>
      </c>
      <c r="E3631" s="1753" t="s">
        <v>11007</v>
      </c>
      <c r="G3631" t="str">
        <f>IF('4M'!H8="","##BLANK",'4M'!H8)</f>
        <v>##BLANK</v>
      </c>
    </row>
    <row r="3632" spans="2:7">
      <c r="B3632" s="893" t="str">
        <f>+'4M'!BJ9</f>
        <v>S3035QSWD</v>
      </c>
      <c r="E3632" s="1753" t="s">
        <v>11007</v>
      </c>
      <c r="G3632" t="str">
        <f>IF('4M'!H9="","##BLANK",'4M'!H9)</f>
        <v>##BLANK</v>
      </c>
    </row>
    <row r="3633" spans="2:7">
      <c r="B3633" s="893" t="str">
        <f>+'4M'!BJ10</f>
        <v>S3036GSWD</v>
      </c>
      <c r="E3633" s="1753" t="s">
        <v>11007</v>
      </c>
      <c r="G3633" t="str">
        <f>IF('4M'!H10="","##BLANK",'4M'!H10)</f>
        <v>##BLANK</v>
      </c>
    </row>
    <row r="3634" spans="2:7">
      <c r="B3634" s="893" t="str">
        <f>+'4M'!BJ11</f>
        <v>S3004SWD</v>
      </c>
      <c r="E3634" s="1753" t="s">
        <v>11007</v>
      </c>
      <c r="G3634" t="str">
        <f>IF('4M'!H11="","##BLANK",'4M'!H11)</f>
        <v>##BLANK</v>
      </c>
    </row>
    <row r="3635" spans="2:7">
      <c r="B3635" s="893" t="str">
        <f>+'4M'!BJ12</f>
        <v>WWS2001SWD</v>
      </c>
      <c r="E3635" s="1753" t="s">
        <v>11007</v>
      </c>
      <c r="G3635" t="str">
        <f>IF('4M'!H12="","##BLANK",'4M'!H12)</f>
        <v>##BLANK</v>
      </c>
    </row>
    <row r="3636" spans="2:7">
      <c r="B3636" s="893" t="str">
        <f>+'4M'!BJ13</f>
        <v>S3005SWD</v>
      </c>
      <c r="E3636" s="1753" t="s">
        <v>11007</v>
      </c>
      <c r="G3636" t="str">
        <f>IF('4M'!H13="","##BLANK",'4M'!H13)</f>
        <v>##BLANK</v>
      </c>
    </row>
    <row r="3637" spans="2:7">
      <c r="B3637" s="893" t="str">
        <f>+'4M'!BJ14</f>
        <v>S3006SWD</v>
      </c>
      <c r="E3637" s="1753" t="s">
        <v>11007</v>
      </c>
      <c r="G3637" t="str">
        <f>IF('4M'!H14="","##BLANK",'4M'!H14)</f>
        <v>##BLANK</v>
      </c>
    </row>
    <row r="3638" spans="2:7">
      <c r="B3638" s="893" t="str">
        <f>+'4M'!BJ15</f>
        <v>S3007SWD</v>
      </c>
      <c r="E3638" s="1753" t="s">
        <v>11007</v>
      </c>
      <c r="G3638" t="str">
        <f>IF('4M'!H15="","##BLANK",'4M'!H15)</f>
        <v>##BLANK</v>
      </c>
    </row>
    <row r="3639" spans="2:7">
      <c r="B3639" s="893" t="str">
        <f>+'4M'!BJ16</f>
        <v>WWS2002SWD</v>
      </c>
      <c r="E3639" s="1753" t="s">
        <v>11007</v>
      </c>
      <c r="G3639" t="str">
        <f>IF('4M'!H16="","##BLANK",'4M'!H16)</f>
        <v>##BLANK</v>
      </c>
    </row>
    <row r="3640" spans="2:7">
      <c r="B3640" s="893" t="str">
        <f>+'4M'!BJ17</f>
        <v>WWS2003SWD</v>
      </c>
      <c r="E3640" s="1753" t="s">
        <v>11007</v>
      </c>
      <c r="G3640" t="str">
        <f>IF('4M'!H17="","##BLANK",'4M'!H17)</f>
        <v>##BLANK</v>
      </c>
    </row>
    <row r="3641" spans="2:7">
      <c r="B3641" s="893" t="str">
        <f>+'4M'!BJ18</f>
        <v>S3008SWD</v>
      </c>
      <c r="E3641" s="1753" t="s">
        <v>11007</v>
      </c>
      <c r="G3641" t="str">
        <f>IF('4M'!H18="","##BLANK",'4M'!H18)</f>
        <v>##BLANK</v>
      </c>
    </row>
    <row r="3642" spans="2:7">
      <c r="B3642" s="893" t="str">
        <f>+'4M'!BJ19</f>
        <v>S3009SWD</v>
      </c>
      <c r="E3642" s="1753" t="s">
        <v>11007</v>
      </c>
      <c r="G3642" t="str">
        <f>IF('4M'!H19="","##BLANK",'4M'!H19)</f>
        <v>##BLANK</v>
      </c>
    </row>
    <row r="3643" spans="2:7">
      <c r="B3643" s="893" t="str">
        <f>+'4M'!BJ20</f>
        <v>WWS2007SWD</v>
      </c>
      <c r="E3643" s="1753" t="s">
        <v>11007</v>
      </c>
      <c r="G3643" t="str">
        <f>IF('4M'!H20="","##BLANK",'4M'!H20)</f>
        <v>##BLANK</v>
      </c>
    </row>
    <row r="3644" spans="2:7">
      <c r="B3644" s="893" t="str">
        <f>+'4M'!BJ21</f>
        <v>S3010SWD</v>
      </c>
      <c r="E3644" s="1753" t="s">
        <v>11007</v>
      </c>
      <c r="G3644" t="str">
        <f>IF('4M'!H21="","##BLANK",'4M'!H21)</f>
        <v>##BLANK</v>
      </c>
    </row>
    <row r="3645" spans="2:7">
      <c r="B3645" s="893" t="str">
        <f>+'4M'!BJ22</f>
        <v>S3011SWD</v>
      </c>
      <c r="E3645" s="1753" t="s">
        <v>11007</v>
      </c>
      <c r="G3645" t="str">
        <f>IF('4M'!H22="","##BLANK",'4M'!H22)</f>
        <v>##BLANK</v>
      </c>
    </row>
    <row r="3646" spans="2:7">
      <c r="B3646" s="893" t="str">
        <f>+'4M'!BJ23</f>
        <v>S3012SWD</v>
      </c>
      <c r="E3646" s="1753" t="s">
        <v>11007</v>
      </c>
      <c r="G3646" t="str">
        <f>IF('4M'!H23="","##BLANK",'4M'!H23)</f>
        <v>##BLANK</v>
      </c>
    </row>
    <row r="3647" spans="2:7">
      <c r="B3647" s="893" t="str">
        <f>+'4M'!BJ24</f>
        <v>S3013SWD</v>
      </c>
      <c r="E3647" s="1753" t="s">
        <v>11007</v>
      </c>
      <c r="G3647" t="str">
        <f>IF('4M'!H24="","##BLANK",'4M'!H24)</f>
        <v>##BLANK</v>
      </c>
    </row>
    <row r="3648" spans="2:7">
      <c r="B3648" s="893" t="str">
        <f>+'4M'!BJ25</f>
        <v>S3014SWD</v>
      </c>
      <c r="E3648" s="1753" t="s">
        <v>11007</v>
      </c>
      <c r="G3648" t="str">
        <f>IF('4M'!H25="","##BLANK",'4M'!H25)</f>
        <v>##BLANK</v>
      </c>
    </row>
    <row r="3649" spans="2:7">
      <c r="B3649" s="893" t="str">
        <f>+'4M'!BJ26</f>
        <v>S3015SWD</v>
      </c>
      <c r="E3649" s="1753" t="s">
        <v>11007</v>
      </c>
      <c r="G3649" t="str">
        <f>IF('4M'!H26="","##BLANK",'4M'!H26)</f>
        <v>##BLANK</v>
      </c>
    </row>
    <row r="3650" spans="2:7">
      <c r="B3650" s="893" t="str">
        <f>+'4M'!BJ27</f>
        <v>S3016SWD</v>
      </c>
      <c r="E3650" s="1753" t="s">
        <v>11007</v>
      </c>
      <c r="G3650" t="str">
        <f>IF('4M'!H27="","##BLANK",'4M'!H27)</f>
        <v>##BLANK</v>
      </c>
    </row>
    <row r="3651" spans="2:7">
      <c r="B3651" s="893" t="str">
        <f>+'4M'!BJ28</f>
        <v>S3017SWD</v>
      </c>
      <c r="E3651" s="1753" t="s">
        <v>11007</v>
      </c>
      <c r="G3651" t="str">
        <f>IF('4M'!H28="","##BLANK",'4M'!H28)</f>
        <v>##BLANK</v>
      </c>
    </row>
    <row r="3652" spans="2:7">
      <c r="B3652" s="893" t="str">
        <f>+'4M'!BJ29</f>
        <v>S3018SWD</v>
      </c>
      <c r="E3652" s="1753" t="s">
        <v>11007</v>
      </c>
      <c r="G3652" t="str">
        <f>IF('4M'!H29="","##BLANK",'4M'!H29)</f>
        <v>##BLANK</v>
      </c>
    </row>
    <row r="3653" spans="2:7">
      <c r="B3653" s="893" t="str">
        <f>+'4M'!BJ30</f>
        <v>S3019SWD</v>
      </c>
      <c r="E3653" s="1753" t="s">
        <v>11007</v>
      </c>
      <c r="G3653" t="str">
        <f>IF('4M'!H30="","##BLANK",'4M'!H30)</f>
        <v>##BLANK</v>
      </c>
    </row>
    <row r="3654" spans="2:7">
      <c r="B3654" s="893" t="str">
        <f>+'4M'!BJ31</f>
        <v>S3020SWD</v>
      </c>
      <c r="E3654" s="1753" t="s">
        <v>11007</v>
      </c>
      <c r="G3654" t="str">
        <f>IF('4M'!H31="","##BLANK",'4M'!H31)</f>
        <v>##BLANK</v>
      </c>
    </row>
    <row r="3655" spans="2:7">
      <c r="B3655" s="893" t="str">
        <f>+'4M'!BJ32</f>
        <v>S3021SWD</v>
      </c>
      <c r="E3655" s="1753" t="s">
        <v>11007</v>
      </c>
      <c r="G3655" t="str">
        <f>IF('4M'!H32="","##BLANK",'4M'!H32)</f>
        <v>##BLANK</v>
      </c>
    </row>
    <row r="3656" spans="2:7">
      <c r="B3656" s="893" t="str">
        <f>+'4M'!BJ33</f>
        <v>S3022SWD</v>
      </c>
      <c r="E3656" s="1753" t="s">
        <v>11007</v>
      </c>
      <c r="G3656" t="str">
        <f>IF('4M'!H33="","##BLANK",'4M'!H33)</f>
        <v>##BLANK</v>
      </c>
    </row>
    <row r="3657" spans="2:7">
      <c r="B3657" s="893" t="str">
        <f>+'4M'!BJ34</f>
        <v>BC31785SWD</v>
      </c>
      <c r="E3657" s="1753" t="s">
        <v>11007</v>
      </c>
      <c r="G3657" t="str">
        <f>IF('4M'!H34="","##BLANK",'4M'!H34)</f>
        <v>##BLANK</v>
      </c>
    </row>
    <row r="3658" spans="2:7">
      <c r="B3658" s="893" t="str">
        <f>+'4M'!BJ35</f>
        <v>S3023SWD</v>
      </c>
      <c r="E3658" s="1753" t="s">
        <v>11007</v>
      </c>
      <c r="G3658" t="str">
        <f>IF('4M'!H35="","##BLANK",'4M'!H35)</f>
        <v>##BLANK</v>
      </c>
    </row>
    <row r="3659" spans="2:7">
      <c r="B3659" s="893" t="str">
        <f>+'4M'!BJ36</f>
        <v>S3024SWD</v>
      </c>
      <c r="E3659" s="1753" t="s">
        <v>11007</v>
      </c>
      <c r="G3659" t="str">
        <f>IF('4M'!H36="","##BLANK",'4M'!H36)</f>
        <v>##BLANK</v>
      </c>
    </row>
    <row r="3660" spans="2:7">
      <c r="B3660" s="893" t="str">
        <f>+'4M'!BJ37</f>
        <v>S3A00001SWD</v>
      </c>
      <c r="E3660" s="1753" t="s">
        <v>11007</v>
      </c>
      <c r="F3660" s="2146" t="str">
        <f>+'4M'!C$37</f>
        <v>Capital expenditure purpose - WASTEWATER additional line 1 [Other categories]</v>
      </c>
      <c r="G3660" t="str">
        <f>IF('4M'!H37="","##BLANK",'4M'!H37)</f>
        <v>##BLANK</v>
      </c>
    </row>
    <row r="3661" spans="2:7">
      <c r="B3661" s="893" t="str">
        <f>+'4M'!BJ38</f>
        <v>S3A00002SWD</v>
      </c>
      <c r="E3661" s="1753" t="s">
        <v>11007</v>
      </c>
      <c r="F3661" s="2146" t="str">
        <f>+'4M'!C$38</f>
        <v>Capital expenditure purpose - WASTEWATER additional line 2 [Other categories]</v>
      </c>
      <c r="G3661" t="str">
        <f>IF('4M'!H38="","##BLANK",'4M'!H38)</f>
        <v>##BLANK</v>
      </c>
    </row>
    <row r="3662" spans="2:7">
      <c r="B3662" s="893" t="str">
        <f>+'4M'!BJ39</f>
        <v>S3A00003SWD</v>
      </c>
      <c r="E3662" s="1753" t="s">
        <v>11007</v>
      </c>
      <c r="F3662" s="2146" t="str">
        <f>+'4M'!C$39</f>
        <v>Capital expenditure purpose - WASTEWATER additional line 3 [Other categories]</v>
      </c>
      <c r="G3662" t="str">
        <f>IF('4M'!H39="","##BLANK",'4M'!H39)</f>
        <v>##BLANK</v>
      </c>
    </row>
    <row r="3663" spans="2:7">
      <c r="B3663" s="893" t="str">
        <f>+'4M'!BJ40</f>
        <v>S3A00004SWD</v>
      </c>
      <c r="E3663" s="1753" t="s">
        <v>11007</v>
      </c>
      <c r="F3663" s="2146" t="str">
        <f>+'4M'!C$40</f>
        <v>Capital expenditure purpose - WASTEWATER additional line 4 [Other categories]</v>
      </c>
      <c r="G3663" t="str">
        <f>IF('4M'!H40="","##BLANK",'4M'!H40)</f>
        <v>##BLANK</v>
      </c>
    </row>
    <row r="3664" spans="2:7">
      <c r="B3664" s="893" t="str">
        <f>+'4M'!BJ41</f>
        <v>S3A00005SWD</v>
      </c>
      <c r="E3664" s="1753" t="s">
        <v>11007</v>
      </c>
      <c r="F3664" s="2146" t="str">
        <f>+'4M'!C$41</f>
        <v>Capital expenditure purpose - WASTEWATER additional line 5 [Other categories]</v>
      </c>
      <c r="G3664" t="str">
        <f>IF('4M'!H41="","##BLANK",'4M'!H41)</f>
        <v>##BLANK</v>
      </c>
    </row>
    <row r="3665" spans="2:7">
      <c r="B3665" s="893" t="str">
        <f>+'4M'!BJ42</f>
        <v>S3A00006SWD</v>
      </c>
      <c r="E3665" s="1753" t="s">
        <v>11007</v>
      </c>
      <c r="F3665" s="2146" t="str">
        <f>+'4M'!C$42</f>
        <v>Capital expenditure purpose - WASTEWATER additional line 6 [Other categories]</v>
      </c>
      <c r="G3665" t="str">
        <f>IF('4M'!H42="","##BLANK",'4M'!H42)</f>
        <v>##BLANK</v>
      </c>
    </row>
    <row r="3666" spans="2:7">
      <c r="B3666" s="893" t="str">
        <f>+'4M'!BJ43</f>
        <v>S3A00007SWD</v>
      </c>
      <c r="E3666" s="1753" t="s">
        <v>11007</v>
      </c>
      <c r="F3666" s="2146" t="str">
        <f>+'4M'!C$43</f>
        <v>Capital expenditure purpose - WASTEWATER additional line 7 [Other categories]</v>
      </c>
      <c r="G3666" t="str">
        <f>IF('4M'!H43="","##BLANK",'4M'!H43)</f>
        <v>##BLANK</v>
      </c>
    </row>
    <row r="3667" spans="2:7">
      <c r="B3667" s="893" t="str">
        <f>+'4M'!BJ44</f>
        <v>S3A00008SWD</v>
      </c>
      <c r="E3667" s="1753" t="s">
        <v>11007</v>
      </c>
      <c r="F3667" s="2146" t="str">
        <f>+'4M'!C$44</f>
        <v>Capital expenditure purpose - WASTEWATER additional line 8 [Other categories]</v>
      </c>
      <c r="G3667" t="str">
        <f>IF('4M'!H44="","##BLANK",'4M'!H44)</f>
        <v>##BLANK</v>
      </c>
    </row>
    <row r="3668" spans="2:7">
      <c r="B3668" s="893" t="str">
        <f>+'4M'!BJ45</f>
        <v>S3A00009SWD</v>
      </c>
      <c r="E3668" s="1753" t="s">
        <v>11007</v>
      </c>
      <c r="F3668" s="2146" t="str">
        <f>+'4M'!C$45</f>
        <v>Capital expenditure purpose - WASTEWATER additional line 9 [Other categories]</v>
      </c>
      <c r="G3668" t="str">
        <f>IF('4M'!H45="","##BLANK",'4M'!H45)</f>
        <v>##BLANK</v>
      </c>
    </row>
    <row r="3669" spans="2:7">
      <c r="B3669" s="893" t="str">
        <f>+'4M'!BJ46</f>
        <v>S3A00010SWD</v>
      </c>
      <c r="E3669" s="1753" t="s">
        <v>11007</v>
      </c>
      <c r="F3669" s="2146" t="str">
        <f>+'4M'!C$46</f>
        <v>Capital expenditure purpose - WASTEWATER additional line 10 [Other categories]</v>
      </c>
      <c r="G3669" t="str">
        <f>IF('4M'!H46="","##BLANK",'4M'!H46)</f>
        <v>##BLANK</v>
      </c>
    </row>
    <row r="3670" spans="2:7">
      <c r="B3670" s="893" t="str">
        <f>+'4M'!BJ47</f>
        <v>S3A00011SWD</v>
      </c>
      <c r="E3670" s="1753" t="s">
        <v>11007</v>
      </c>
      <c r="F3670" s="2146" t="str">
        <f>+'4M'!C$47</f>
        <v>Capital expenditure purpose - WASTEWATER additional line 11 [Other categories]</v>
      </c>
      <c r="G3670" t="str">
        <f>IF('4M'!H47="","##BLANK",'4M'!H47)</f>
        <v>##BLANK</v>
      </c>
    </row>
    <row r="3671" spans="2:7">
      <c r="B3671" s="893" t="str">
        <f>+'4M'!BJ48</f>
        <v>S3A00012SWD</v>
      </c>
      <c r="E3671" s="1753" t="s">
        <v>11007</v>
      </c>
      <c r="F3671" s="2146" t="str">
        <f>+'4M'!C$48</f>
        <v>Capital expenditure purpose - WASTEWATER additional line 12 [Other categories]</v>
      </c>
      <c r="G3671" t="str">
        <f>IF('4M'!H48="","##BLANK",'4M'!H48)</f>
        <v>##BLANK</v>
      </c>
    </row>
    <row r="3672" spans="2:7">
      <c r="B3672" s="893" t="str">
        <f>+'4M'!BJ49</f>
        <v>S3A00013SWD</v>
      </c>
      <c r="E3672" s="1753" t="s">
        <v>11007</v>
      </c>
      <c r="F3672" s="2146" t="str">
        <f>+'4M'!C$49</f>
        <v>Capital expenditure purpose - WASTEWATER additional line 13 [Other categories]</v>
      </c>
      <c r="G3672" t="str">
        <f>IF('4M'!H49="","##BLANK",'4M'!H49)</f>
        <v>##BLANK</v>
      </c>
    </row>
    <row r="3673" spans="2:7">
      <c r="B3673" s="893" t="str">
        <f>+'4M'!BJ50</f>
        <v>S3A00014SWD</v>
      </c>
      <c r="E3673" s="1753" t="s">
        <v>11007</v>
      </c>
      <c r="F3673" s="2146" t="str">
        <f>+'4M'!C$50</f>
        <v>Capital expenditure purpose - WASTEWATER additional line 14 [Other categories]</v>
      </c>
      <c r="G3673" t="str">
        <f>IF('4M'!H50="","##BLANK",'4M'!H50)</f>
        <v>##BLANK</v>
      </c>
    </row>
    <row r="3674" spans="2:7">
      <c r="B3674" s="893" t="str">
        <f>+'4M'!BJ51</f>
        <v>S3A00015SWD</v>
      </c>
      <c r="E3674" s="1753" t="s">
        <v>11007</v>
      </c>
      <c r="F3674" s="2146" t="str">
        <f>+'4M'!C$51</f>
        <v>Capital expenditure purpose - WASTEWATER additional line 15 [Other categories]</v>
      </c>
      <c r="G3674" t="str">
        <f>IF('4M'!H51="","##BLANK",'4M'!H51)</f>
        <v>##BLANK</v>
      </c>
    </row>
    <row r="3675" spans="2:7">
      <c r="B3675" s="893" t="str">
        <f>+'4M'!BJ52</f>
        <v>S3025ENHSWD</v>
      </c>
      <c r="E3675" s="1753" t="s">
        <v>11007</v>
      </c>
      <c r="G3675">
        <f>IF('4M'!H52="","##BLANK",'4M'!H52)</f>
        <v>0</v>
      </c>
    </row>
    <row r="3676" spans="2:7">
      <c r="B3676" s="893" t="str">
        <f>+'4M'!BK8</f>
        <v>BC31379HD</v>
      </c>
      <c r="E3676" s="1753" t="s">
        <v>11007</v>
      </c>
      <c r="G3676" t="str">
        <f>IF('4M'!I8="","##BLANK",'4M'!I8)</f>
        <v>##BLANK</v>
      </c>
    </row>
    <row r="3677" spans="2:7">
      <c r="B3677" s="893" t="str">
        <f>+'4M'!BK9</f>
        <v>S3035QHD</v>
      </c>
      <c r="E3677" s="1753" t="s">
        <v>11007</v>
      </c>
      <c r="G3677" t="str">
        <f>IF('4M'!I9="","##BLANK",'4M'!I9)</f>
        <v>##BLANK</v>
      </c>
    </row>
    <row r="3678" spans="2:7">
      <c r="B3678" s="893" t="str">
        <f>+'4M'!BK10</f>
        <v>S3036GHD</v>
      </c>
      <c r="E3678" s="1753" t="s">
        <v>11007</v>
      </c>
      <c r="G3678" t="str">
        <f>IF('4M'!I10="","##BLANK",'4M'!I10)</f>
        <v>##BLANK</v>
      </c>
    </row>
    <row r="3679" spans="2:7">
      <c r="B3679" s="893" t="str">
        <f>+'4M'!BK11</f>
        <v>S3004HD</v>
      </c>
      <c r="E3679" s="1753" t="s">
        <v>11007</v>
      </c>
      <c r="G3679" t="str">
        <f>IF('4M'!I11="","##BLANK",'4M'!I11)</f>
        <v>##BLANK</v>
      </c>
    </row>
    <row r="3680" spans="2:7">
      <c r="B3680" s="893" t="str">
        <f>+'4M'!BK12</f>
        <v>WWS2001HD</v>
      </c>
      <c r="E3680" s="1753" t="s">
        <v>11007</v>
      </c>
      <c r="G3680" t="str">
        <f>IF('4M'!I12="","##BLANK",'4M'!I12)</f>
        <v>##BLANK</v>
      </c>
    </row>
    <row r="3681" spans="2:7">
      <c r="B3681" s="893" t="str">
        <f>+'4M'!BK13</f>
        <v>S3005HD</v>
      </c>
      <c r="E3681" s="1753" t="s">
        <v>11007</v>
      </c>
      <c r="G3681" t="str">
        <f>IF('4M'!I13="","##BLANK",'4M'!I13)</f>
        <v>##BLANK</v>
      </c>
    </row>
    <row r="3682" spans="2:7">
      <c r="B3682" s="893" t="str">
        <f>+'4M'!BK14</f>
        <v>S3006HD</v>
      </c>
      <c r="E3682" s="1753" t="s">
        <v>11007</v>
      </c>
      <c r="G3682" t="str">
        <f>IF('4M'!I14="","##BLANK",'4M'!I14)</f>
        <v>##BLANK</v>
      </c>
    </row>
    <row r="3683" spans="2:7">
      <c r="B3683" s="893" t="str">
        <f>+'4M'!BK15</f>
        <v>S3007HD</v>
      </c>
      <c r="E3683" s="1753" t="s">
        <v>11007</v>
      </c>
      <c r="G3683" t="str">
        <f>IF('4M'!I15="","##BLANK",'4M'!I15)</f>
        <v>##BLANK</v>
      </c>
    </row>
    <row r="3684" spans="2:7">
      <c r="B3684" s="893" t="str">
        <f>+'4M'!BK16</f>
        <v>WWS2002HD</v>
      </c>
      <c r="E3684" s="1753" t="s">
        <v>11007</v>
      </c>
      <c r="G3684" t="str">
        <f>IF('4M'!I16="","##BLANK",'4M'!I16)</f>
        <v>##BLANK</v>
      </c>
    </row>
    <row r="3685" spans="2:7">
      <c r="B3685" s="893" t="str">
        <f>+'4M'!BK17</f>
        <v>WWS2003HD</v>
      </c>
      <c r="E3685" s="1753" t="s">
        <v>11007</v>
      </c>
      <c r="G3685" t="str">
        <f>IF('4M'!I17="","##BLANK",'4M'!I17)</f>
        <v>##BLANK</v>
      </c>
    </row>
    <row r="3686" spans="2:7">
      <c r="B3686" s="893" t="str">
        <f>+'4M'!BK18</f>
        <v>S3008HD</v>
      </c>
      <c r="E3686" s="1753" t="s">
        <v>11007</v>
      </c>
      <c r="G3686" t="str">
        <f>IF('4M'!I18="","##BLANK",'4M'!I18)</f>
        <v>##BLANK</v>
      </c>
    </row>
    <row r="3687" spans="2:7">
      <c r="B3687" s="893" t="str">
        <f>+'4M'!BK19</f>
        <v>S3009HD</v>
      </c>
      <c r="E3687" s="1753" t="s">
        <v>11007</v>
      </c>
      <c r="G3687" t="str">
        <f>IF('4M'!I19="","##BLANK",'4M'!I19)</f>
        <v>##BLANK</v>
      </c>
    </row>
    <row r="3688" spans="2:7">
      <c r="B3688" s="893" t="str">
        <f>+'4M'!BK20</f>
        <v>WWS2007HD</v>
      </c>
      <c r="E3688" s="1753" t="s">
        <v>11007</v>
      </c>
      <c r="G3688" t="str">
        <f>IF('4M'!I20="","##BLANK",'4M'!I20)</f>
        <v>##BLANK</v>
      </c>
    </row>
    <row r="3689" spans="2:7">
      <c r="B3689" s="893" t="str">
        <f>+'4M'!BK21</f>
        <v>S3010HD</v>
      </c>
      <c r="E3689" s="1753" t="s">
        <v>11007</v>
      </c>
      <c r="G3689" t="str">
        <f>IF('4M'!I21="","##BLANK",'4M'!I21)</f>
        <v>##BLANK</v>
      </c>
    </row>
    <row r="3690" spans="2:7">
      <c r="B3690" s="893" t="str">
        <f>+'4M'!BK22</f>
        <v>S3011HD</v>
      </c>
      <c r="E3690" s="1753" t="s">
        <v>11007</v>
      </c>
      <c r="G3690" t="str">
        <f>IF('4M'!I22="","##BLANK",'4M'!I22)</f>
        <v>##BLANK</v>
      </c>
    </row>
    <row r="3691" spans="2:7">
      <c r="B3691" s="893" t="str">
        <f>+'4M'!BK23</f>
        <v>S3012HD</v>
      </c>
      <c r="E3691" s="1753" t="s">
        <v>11007</v>
      </c>
      <c r="G3691" t="str">
        <f>IF('4M'!I23="","##BLANK",'4M'!I23)</f>
        <v>##BLANK</v>
      </c>
    </row>
    <row r="3692" spans="2:7">
      <c r="B3692" s="893" t="str">
        <f>+'4M'!BK24</f>
        <v>S3013HD</v>
      </c>
      <c r="E3692" s="1753" t="s">
        <v>11007</v>
      </c>
      <c r="G3692" t="str">
        <f>IF('4M'!I24="","##BLANK",'4M'!I24)</f>
        <v>##BLANK</v>
      </c>
    </row>
    <row r="3693" spans="2:7">
      <c r="B3693" s="893" t="str">
        <f>+'4M'!BK25</f>
        <v>S3014HD</v>
      </c>
      <c r="E3693" s="1753" t="s">
        <v>11007</v>
      </c>
      <c r="G3693" t="str">
        <f>IF('4M'!I25="","##BLANK",'4M'!I25)</f>
        <v>##BLANK</v>
      </c>
    </row>
    <row r="3694" spans="2:7">
      <c r="B3694" s="893" t="str">
        <f>+'4M'!BK26</f>
        <v>S3015HD</v>
      </c>
      <c r="E3694" s="1753" t="s">
        <v>11007</v>
      </c>
      <c r="G3694" t="str">
        <f>IF('4M'!I26="","##BLANK",'4M'!I26)</f>
        <v>##BLANK</v>
      </c>
    </row>
    <row r="3695" spans="2:7">
      <c r="B3695" s="893" t="str">
        <f>+'4M'!BK27</f>
        <v>S3016HD</v>
      </c>
      <c r="E3695" s="1753" t="s">
        <v>11007</v>
      </c>
      <c r="G3695" t="str">
        <f>IF('4M'!I27="","##BLANK",'4M'!I27)</f>
        <v>##BLANK</v>
      </c>
    </row>
    <row r="3696" spans="2:7">
      <c r="B3696" s="893" t="str">
        <f>+'4M'!BK28</f>
        <v>S3017HD</v>
      </c>
      <c r="E3696" s="1753" t="s">
        <v>11007</v>
      </c>
      <c r="G3696" t="str">
        <f>IF('4M'!I28="","##BLANK",'4M'!I28)</f>
        <v>##BLANK</v>
      </c>
    </row>
    <row r="3697" spans="2:7">
      <c r="B3697" s="893" t="str">
        <f>+'4M'!BK29</f>
        <v>S3018HD</v>
      </c>
      <c r="E3697" s="1753" t="s">
        <v>11007</v>
      </c>
      <c r="G3697" t="str">
        <f>IF('4M'!I29="","##BLANK",'4M'!I29)</f>
        <v>##BLANK</v>
      </c>
    </row>
    <row r="3698" spans="2:7">
      <c r="B3698" s="893" t="str">
        <f>+'4M'!BK30</f>
        <v>S3019HD</v>
      </c>
      <c r="E3698" s="1753" t="s">
        <v>11007</v>
      </c>
      <c r="G3698" t="str">
        <f>IF('4M'!I30="","##BLANK",'4M'!I30)</f>
        <v>##BLANK</v>
      </c>
    </row>
    <row r="3699" spans="2:7">
      <c r="B3699" s="893" t="str">
        <f>+'4M'!BK31</f>
        <v>S3020HD</v>
      </c>
      <c r="E3699" s="1753" t="s">
        <v>11007</v>
      </c>
      <c r="G3699" t="str">
        <f>IF('4M'!I31="","##BLANK",'4M'!I31)</f>
        <v>##BLANK</v>
      </c>
    </row>
    <row r="3700" spans="2:7">
      <c r="B3700" s="893" t="str">
        <f>+'4M'!BK32</f>
        <v>S3021HD</v>
      </c>
      <c r="E3700" s="1753" t="s">
        <v>11007</v>
      </c>
      <c r="G3700" t="str">
        <f>IF('4M'!I32="","##BLANK",'4M'!I32)</f>
        <v>##BLANK</v>
      </c>
    </row>
    <row r="3701" spans="2:7">
      <c r="B3701" s="893" t="str">
        <f>+'4M'!BK33</f>
        <v>S3022HD</v>
      </c>
      <c r="E3701" s="1753" t="s">
        <v>11007</v>
      </c>
      <c r="G3701" t="str">
        <f>IF('4M'!I33="","##BLANK",'4M'!I33)</f>
        <v>##BLANK</v>
      </c>
    </row>
    <row r="3702" spans="2:7">
      <c r="B3702" s="893" t="str">
        <f>+'4M'!BK34</f>
        <v>BC31785HD</v>
      </c>
      <c r="E3702" s="1753" t="s">
        <v>11007</v>
      </c>
      <c r="G3702" t="str">
        <f>IF('4M'!I34="","##BLANK",'4M'!I34)</f>
        <v>##BLANK</v>
      </c>
    </row>
    <row r="3703" spans="2:7">
      <c r="B3703" s="893" t="str">
        <f>+'4M'!BK35</f>
        <v>S3023HD</v>
      </c>
      <c r="E3703" s="1753" t="s">
        <v>11007</v>
      </c>
      <c r="G3703" t="str">
        <f>IF('4M'!I35="","##BLANK",'4M'!I35)</f>
        <v>##BLANK</v>
      </c>
    </row>
    <row r="3704" spans="2:7">
      <c r="B3704" s="893" t="str">
        <f>+'4M'!BK36</f>
        <v>S3024HD</v>
      </c>
      <c r="E3704" s="1753" t="s">
        <v>11007</v>
      </c>
      <c r="G3704" t="str">
        <f>IF('4M'!I36="","##BLANK",'4M'!I36)</f>
        <v>##BLANK</v>
      </c>
    </row>
    <row r="3705" spans="2:7">
      <c r="B3705" s="893" t="str">
        <f>+'4M'!BK37</f>
        <v>S3A00001HD</v>
      </c>
      <c r="E3705" s="1753" t="s">
        <v>11007</v>
      </c>
      <c r="F3705" s="2146" t="str">
        <f>+'4M'!C$37</f>
        <v>Capital expenditure purpose - WASTEWATER additional line 1 [Other categories]</v>
      </c>
      <c r="G3705" t="str">
        <f>IF('4M'!I37="","##BLANK",'4M'!I37)</f>
        <v>##BLANK</v>
      </c>
    </row>
    <row r="3706" spans="2:7">
      <c r="B3706" s="893" t="str">
        <f>+'4M'!BK38</f>
        <v>S3A00002HD</v>
      </c>
      <c r="E3706" s="1753" t="s">
        <v>11007</v>
      </c>
      <c r="F3706" s="2146" t="str">
        <f>+'4M'!C$38</f>
        <v>Capital expenditure purpose - WASTEWATER additional line 2 [Other categories]</v>
      </c>
      <c r="G3706" t="str">
        <f>IF('4M'!I38="","##BLANK",'4M'!I38)</f>
        <v>##BLANK</v>
      </c>
    </row>
    <row r="3707" spans="2:7">
      <c r="B3707" s="893" t="str">
        <f>+'4M'!BK39</f>
        <v>S3A00003HD</v>
      </c>
      <c r="E3707" s="1753" t="s">
        <v>11007</v>
      </c>
      <c r="F3707" s="2146" t="str">
        <f>+'4M'!C$39</f>
        <v>Capital expenditure purpose - WASTEWATER additional line 3 [Other categories]</v>
      </c>
      <c r="G3707" t="str">
        <f>IF('4M'!I39="","##BLANK",'4M'!I39)</f>
        <v>##BLANK</v>
      </c>
    </row>
    <row r="3708" spans="2:7">
      <c r="B3708" s="893" t="str">
        <f>+'4M'!BK40</f>
        <v>S3A00004HD</v>
      </c>
      <c r="E3708" s="1753" t="s">
        <v>11007</v>
      </c>
      <c r="F3708" s="2146" t="str">
        <f>+'4M'!C$40</f>
        <v>Capital expenditure purpose - WASTEWATER additional line 4 [Other categories]</v>
      </c>
      <c r="G3708" t="str">
        <f>IF('4M'!I40="","##BLANK",'4M'!I40)</f>
        <v>##BLANK</v>
      </c>
    </row>
    <row r="3709" spans="2:7">
      <c r="B3709" s="893" t="str">
        <f>+'4M'!BK41</f>
        <v>S3A00005HD</v>
      </c>
      <c r="E3709" s="1753" t="s">
        <v>11007</v>
      </c>
      <c r="F3709" s="2146" t="str">
        <f>+'4M'!C$41</f>
        <v>Capital expenditure purpose - WASTEWATER additional line 5 [Other categories]</v>
      </c>
      <c r="G3709" t="str">
        <f>IF('4M'!I41="","##BLANK",'4M'!I41)</f>
        <v>##BLANK</v>
      </c>
    </row>
    <row r="3710" spans="2:7">
      <c r="B3710" s="893" t="str">
        <f>+'4M'!BK42</f>
        <v>S3A00006HD</v>
      </c>
      <c r="E3710" s="1753" t="s">
        <v>11007</v>
      </c>
      <c r="F3710" s="2146" t="str">
        <f>+'4M'!C$42</f>
        <v>Capital expenditure purpose - WASTEWATER additional line 6 [Other categories]</v>
      </c>
      <c r="G3710" t="str">
        <f>IF('4M'!I42="","##BLANK",'4M'!I42)</f>
        <v>##BLANK</v>
      </c>
    </row>
    <row r="3711" spans="2:7">
      <c r="B3711" s="893" t="str">
        <f>+'4M'!BK43</f>
        <v>S3A00007HD</v>
      </c>
      <c r="E3711" s="1753" t="s">
        <v>11007</v>
      </c>
      <c r="F3711" s="2146" t="str">
        <f>+'4M'!C$43</f>
        <v>Capital expenditure purpose - WASTEWATER additional line 7 [Other categories]</v>
      </c>
      <c r="G3711" t="str">
        <f>IF('4M'!I43="","##BLANK",'4M'!I43)</f>
        <v>##BLANK</v>
      </c>
    </row>
    <row r="3712" spans="2:7">
      <c r="B3712" s="893" t="str">
        <f>+'4M'!BK44</f>
        <v>S3A00008HD</v>
      </c>
      <c r="E3712" s="1753" t="s">
        <v>11007</v>
      </c>
      <c r="F3712" s="2146" t="str">
        <f>+'4M'!C$44</f>
        <v>Capital expenditure purpose - WASTEWATER additional line 8 [Other categories]</v>
      </c>
      <c r="G3712" t="str">
        <f>IF('4M'!I44="","##BLANK",'4M'!I44)</f>
        <v>##BLANK</v>
      </c>
    </row>
    <row r="3713" spans="2:7">
      <c r="B3713" s="893" t="str">
        <f>+'4M'!BK45</f>
        <v>S3A00009HD</v>
      </c>
      <c r="E3713" s="1753" t="s">
        <v>11007</v>
      </c>
      <c r="F3713" s="2146" t="str">
        <f>+'4M'!C$45</f>
        <v>Capital expenditure purpose - WASTEWATER additional line 9 [Other categories]</v>
      </c>
      <c r="G3713" t="str">
        <f>IF('4M'!I45="","##BLANK",'4M'!I45)</f>
        <v>##BLANK</v>
      </c>
    </row>
    <row r="3714" spans="2:7">
      <c r="B3714" s="893" t="str">
        <f>+'4M'!BK46</f>
        <v>S3A00010HD</v>
      </c>
      <c r="E3714" s="1753" t="s">
        <v>11007</v>
      </c>
      <c r="F3714" s="2146" t="str">
        <f>+'4M'!C$46</f>
        <v>Capital expenditure purpose - WASTEWATER additional line 10 [Other categories]</v>
      </c>
      <c r="G3714" t="str">
        <f>IF('4M'!I46="","##BLANK",'4M'!I46)</f>
        <v>##BLANK</v>
      </c>
    </row>
    <row r="3715" spans="2:7">
      <c r="B3715" s="893" t="str">
        <f>+'4M'!BK47</f>
        <v>S3A00011HD</v>
      </c>
      <c r="E3715" s="1753" t="s">
        <v>11007</v>
      </c>
      <c r="F3715" s="2146" t="str">
        <f>+'4M'!C$47</f>
        <v>Capital expenditure purpose - WASTEWATER additional line 11 [Other categories]</v>
      </c>
      <c r="G3715" t="str">
        <f>IF('4M'!I47="","##BLANK",'4M'!I47)</f>
        <v>##BLANK</v>
      </c>
    </row>
    <row r="3716" spans="2:7">
      <c r="B3716" s="893" t="str">
        <f>+'4M'!BK48</f>
        <v>S3A00012HD</v>
      </c>
      <c r="E3716" s="1753" t="s">
        <v>11007</v>
      </c>
      <c r="F3716" s="2146" t="str">
        <f>+'4M'!C$48</f>
        <v>Capital expenditure purpose - WASTEWATER additional line 12 [Other categories]</v>
      </c>
      <c r="G3716" t="str">
        <f>IF('4M'!I48="","##BLANK",'4M'!I48)</f>
        <v>##BLANK</v>
      </c>
    </row>
    <row r="3717" spans="2:7">
      <c r="B3717" s="893" t="str">
        <f>+'4M'!BK49</f>
        <v>S3A00013HD</v>
      </c>
      <c r="E3717" s="1753" t="s">
        <v>11007</v>
      </c>
      <c r="F3717" s="2146" t="str">
        <f>+'4M'!C$49</f>
        <v>Capital expenditure purpose - WASTEWATER additional line 13 [Other categories]</v>
      </c>
      <c r="G3717" t="str">
        <f>IF('4M'!I49="","##BLANK",'4M'!I49)</f>
        <v>##BLANK</v>
      </c>
    </row>
    <row r="3718" spans="2:7">
      <c r="B3718" s="893" t="str">
        <f>+'4M'!BK50</f>
        <v>S3A00014HD</v>
      </c>
      <c r="E3718" s="1753" t="s">
        <v>11007</v>
      </c>
      <c r="F3718" s="2146" t="str">
        <f>+'4M'!C$50</f>
        <v>Capital expenditure purpose - WASTEWATER additional line 14 [Other categories]</v>
      </c>
      <c r="G3718" t="str">
        <f>IF('4M'!I50="","##BLANK",'4M'!I50)</f>
        <v>##BLANK</v>
      </c>
    </row>
    <row r="3719" spans="2:7">
      <c r="B3719" s="893" t="str">
        <f>+'4M'!BK51</f>
        <v>S3A00015HD</v>
      </c>
      <c r="E3719" s="1753" t="s">
        <v>11007</v>
      </c>
      <c r="F3719" s="2146" t="str">
        <f>+'4M'!C$51</f>
        <v>Capital expenditure purpose - WASTEWATER additional line 15 [Other categories]</v>
      </c>
      <c r="G3719" t="str">
        <f>IF('4M'!I51="","##BLANK",'4M'!I51)</f>
        <v>##BLANK</v>
      </c>
    </row>
    <row r="3720" spans="2:7">
      <c r="B3720" s="893" t="str">
        <f>+'4M'!BK52</f>
        <v>S3025ENHHD</v>
      </c>
      <c r="E3720" s="1753" t="s">
        <v>11007</v>
      </c>
      <c r="G3720">
        <f>IF('4M'!I52="","##BLANK",'4M'!I52)</f>
        <v>0</v>
      </c>
    </row>
    <row r="3721" spans="2:7">
      <c r="B3721" s="893" t="str">
        <f>+'4M'!BL8</f>
        <v>BC31379STD</v>
      </c>
      <c r="E3721" s="1753" t="s">
        <v>11007</v>
      </c>
      <c r="G3721" t="str">
        <f>IF('4M'!J8="","##BLANK",'4M'!J8)</f>
        <v>##BLANK</v>
      </c>
    </row>
    <row r="3722" spans="2:7">
      <c r="B3722" s="893" t="str">
        <f>+'4M'!BL9</f>
        <v>S3035QSTD</v>
      </c>
      <c r="E3722" s="1753" t="s">
        <v>11007</v>
      </c>
      <c r="G3722" t="str">
        <f>IF('4M'!J9="","##BLANK",'4M'!J9)</f>
        <v>##BLANK</v>
      </c>
    </row>
    <row r="3723" spans="2:7">
      <c r="B3723" s="893" t="str">
        <f>+'4M'!BL10</f>
        <v>S3036GSTD</v>
      </c>
      <c r="E3723" s="1753" t="s">
        <v>11007</v>
      </c>
      <c r="G3723" t="str">
        <f>IF('4M'!J10="","##BLANK",'4M'!J10)</f>
        <v>##BLANK</v>
      </c>
    </row>
    <row r="3724" spans="2:7">
      <c r="B3724" s="893" t="str">
        <f>+'4M'!BL11</f>
        <v>S3004STD</v>
      </c>
      <c r="E3724" s="1753" t="s">
        <v>11007</v>
      </c>
      <c r="G3724" t="str">
        <f>IF('4M'!J11="","##BLANK",'4M'!J11)</f>
        <v>##BLANK</v>
      </c>
    </row>
    <row r="3725" spans="2:7">
      <c r="B3725" s="893" t="str">
        <f>+'4M'!BL12</f>
        <v>WWS2001STD</v>
      </c>
      <c r="E3725" s="1753" t="s">
        <v>11007</v>
      </c>
      <c r="G3725" t="str">
        <f>IF('4M'!J12="","##BLANK",'4M'!J12)</f>
        <v>##BLANK</v>
      </c>
    </row>
    <row r="3726" spans="2:7">
      <c r="B3726" s="893" t="str">
        <f>+'4M'!BL13</f>
        <v>S3005STD</v>
      </c>
      <c r="E3726" s="1753" t="s">
        <v>11007</v>
      </c>
      <c r="G3726" t="str">
        <f>IF('4M'!J13="","##BLANK",'4M'!J13)</f>
        <v>##BLANK</v>
      </c>
    </row>
    <row r="3727" spans="2:7">
      <c r="B3727" s="893" t="str">
        <f>+'4M'!BL14</f>
        <v>S3006STD</v>
      </c>
      <c r="E3727" s="1753" t="s">
        <v>11007</v>
      </c>
      <c r="G3727" t="str">
        <f>IF('4M'!J14="","##BLANK",'4M'!J14)</f>
        <v>##BLANK</v>
      </c>
    </row>
    <row r="3728" spans="2:7">
      <c r="B3728" s="893" t="str">
        <f>+'4M'!BL15</f>
        <v>S3007STD</v>
      </c>
      <c r="E3728" s="1753" t="s">
        <v>11007</v>
      </c>
      <c r="G3728" t="str">
        <f>IF('4M'!J15="","##BLANK",'4M'!J15)</f>
        <v>##BLANK</v>
      </c>
    </row>
    <row r="3729" spans="2:7">
      <c r="B3729" s="893" t="str">
        <f>+'4M'!BL16</f>
        <v>WWS2002STD</v>
      </c>
      <c r="E3729" s="1753" t="s">
        <v>11007</v>
      </c>
      <c r="G3729" t="str">
        <f>IF('4M'!J16="","##BLANK",'4M'!J16)</f>
        <v>##BLANK</v>
      </c>
    </row>
    <row r="3730" spans="2:7">
      <c r="B3730" s="893" t="str">
        <f>+'4M'!BL17</f>
        <v>WWS2003STD</v>
      </c>
      <c r="E3730" s="1753" t="s">
        <v>11007</v>
      </c>
      <c r="G3730" t="str">
        <f>IF('4M'!J17="","##BLANK",'4M'!J17)</f>
        <v>##BLANK</v>
      </c>
    </row>
    <row r="3731" spans="2:7">
      <c r="B3731" s="893" t="str">
        <f>+'4M'!BL18</f>
        <v>S3008STD</v>
      </c>
      <c r="E3731" s="1753" t="s">
        <v>11007</v>
      </c>
      <c r="G3731" t="str">
        <f>IF('4M'!J18="","##BLANK",'4M'!J18)</f>
        <v>##BLANK</v>
      </c>
    </row>
    <row r="3732" spans="2:7">
      <c r="B3732" s="893" t="str">
        <f>+'4M'!BL19</f>
        <v>S3009STD</v>
      </c>
      <c r="E3732" s="1753" t="s">
        <v>11007</v>
      </c>
      <c r="G3732" t="str">
        <f>IF('4M'!J19="","##BLANK",'4M'!J19)</f>
        <v>##BLANK</v>
      </c>
    </row>
    <row r="3733" spans="2:7">
      <c r="B3733" s="893" t="str">
        <f>+'4M'!BL20</f>
        <v>WWS2007STD</v>
      </c>
      <c r="E3733" s="1753" t="s">
        <v>11007</v>
      </c>
      <c r="G3733" t="str">
        <f>IF('4M'!J20="","##BLANK",'4M'!J20)</f>
        <v>##BLANK</v>
      </c>
    </row>
    <row r="3734" spans="2:7">
      <c r="B3734" s="893" t="str">
        <f>+'4M'!BL21</f>
        <v>S3010STD</v>
      </c>
      <c r="E3734" s="1753" t="s">
        <v>11007</v>
      </c>
      <c r="G3734" t="str">
        <f>IF('4M'!J21="","##BLANK",'4M'!J21)</f>
        <v>##BLANK</v>
      </c>
    </row>
    <row r="3735" spans="2:7">
      <c r="B3735" s="893" t="str">
        <f>+'4M'!BL22</f>
        <v>S3011STD</v>
      </c>
      <c r="E3735" s="1753" t="s">
        <v>11007</v>
      </c>
      <c r="G3735" t="str">
        <f>IF('4M'!J22="","##BLANK",'4M'!J22)</f>
        <v>##BLANK</v>
      </c>
    </row>
    <row r="3736" spans="2:7">
      <c r="B3736" s="893" t="str">
        <f>+'4M'!BL23</f>
        <v>S3012STD</v>
      </c>
      <c r="E3736" s="1753" t="s">
        <v>11007</v>
      </c>
      <c r="G3736" t="str">
        <f>IF('4M'!J23="","##BLANK",'4M'!J23)</f>
        <v>##BLANK</v>
      </c>
    </row>
    <row r="3737" spans="2:7">
      <c r="B3737" s="893" t="str">
        <f>+'4M'!BL24</f>
        <v>S3013STD</v>
      </c>
      <c r="E3737" s="1753" t="s">
        <v>11007</v>
      </c>
      <c r="G3737" t="str">
        <f>IF('4M'!J24="","##BLANK",'4M'!J24)</f>
        <v>##BLANK</v>
      </c>
    </row>
    <row r="3738" spans="2:7">
      <c r="B3738" s="893" t="str">
        <f>+'4M'!BL25</f>
        <v>S3014STD</v>
      </c>
      <c r="E3738" s="1753" t="s">
        <v>11007</v>
      </c>
      <c r="G3738" t="str">
        <f>IF('4M'!J25="","##BLANK",'4M'!J25)</f>
        <v>##BLANK</v>
      </c>
    </row>
    <row r="3739" spans="2:7">
      <c r="B3739" s="893" t="str">
        <f>+'4M'!BL26</f>
        <v>S3015STD</v>
      </c>
      <c r="E3739" s="1753" t="s">
        <v>11007</v>
      </c>
      <c r="G3739" t="str">
        <f>IF('4M'!J26="","##BLANK",'4M'!J26)</f>
        <v>##BLANK</v>
      </c>
    </row>
    <row r="3740" spans="2:7">
      <c r="B3740" s="893" t="str">
        <f>+'4M'!BL27</f>
        <v>S3016STD</v>
      </c>
      <c r="E3740" s="1753" t="s">
        <v>11007</v>
      </c>
      <c r="G3740" t="str">
        <f>IF('4M'!J27="","##BLANK",'4M'!J27)</f>
        <v>##BLANK</v>
      </c>
    </row>
    <row r="3741" spans="2:7">
      <c r="B3741" s="893" t="str">
        <f>+'4M'!BL28</f>
        <v>S3017STD</v>
      </c>
      <c r="E3741" s="1753" t="s">
        <v>11007</v>
      </c>
      <c r="G3741" t="str">
        <f>IF('4M'!J28="","##BLANK",'4M'!J28)</f>
        <v>##BLANK</v>
      </c>
    </row>
    <row r="3742" spans="2:7">
      <c r="B3742" s="893" t="str">
        <f>+'4M'!BL29</f>
        <v>S3018STD</v>
      </c>
      <c r="E3742" s="1753" t="s">
        <v>11007</v>
      </c>
      <c r="G3742" t="str">
        <f>IF('4M'!J29="","##BLANK",'4M'!J29)</f>
        <v>##BLANK</v>
      </c>
    </row>
    <row r="3743" spans="2:7">
      <c r="B3743" s="893" t="str">
        <f>+'4M'!BL30</f>
        <v>S3019STD</v>
      </c>
      <c r="E3743" s="1753" t="s">
        <v>11007</v>
      </c>
      <c r="G3743" t="str">
        <f>IF('4M'!J30="","##BLANK",'4M'!J30)</f>
        <v>##BLANK</v>
      </c>
    </row>
    <row r="3744" spans="2:7">
      <c r="B3744" s="893" t="str">
        <f>+'4M'!BL31</f>
        <v>S3020STD</v>
      </c>
      <c r="E3744" s="1753" t="s">
        <v>11007</v>
      </c>
      <c r="G3744" t="str">
        <f>IF('4M'!J31="","##BLANK",'4M'!J31)</f>
        <v>##BLANK</v>
      </c>
    </row>
    <row r="3745" spans="2:7">
      <c r="B3745" s="893" t="str">
        <f>+'4M'!BL32</f>
        <v>S3021STD</v>
      </c>
      <c r="E3745" s="1753" t="s">
        <v>11007</v>
      </c>
      <c r="G3745" t="str">
        <f>IF('4M'!J32="","##BLANK",'4M'!J32)</f>
        <v>##BLANK</v>
      </c>
    </row>
    <row r="3746" spans="2:7">
      <c r="B3746" s="893" t="str">
        <f>+'4M'!BL33</f>
        <v>S3022STD</v>
      </c>
      <c r="E3746" s="1753" t="s">
        <v>11007</v>
      </c>
      <c r="G3746" t="str">
        <f>IF('4M'!J33="","##BLANK",'4M'!J33)</f>
        <v>##BLANK</v>
      </c>
    </row>
    <row r="3747" spans="2:7">
      <c r="B3747" s="893" t="str">
        <f>+'4M'!BL34</f>
        <v>BC31785STD</v>
      </c>
      <c r="E3747" s="1753" t="s">
        <v>11007</v>
      </c>
      <c r="G3747" t="str">
        <f>IF('4M'!J34="","##BLANK",'4M'!J34)</f>
        <v>##BLANK</v>
      </c>
    </row>
    <row r="3748" spans="2:7">
      <c r="B3748" s="893" t="str">
        <f>+'4M'!BL35</f>
        <v>S3023STD</v>
      </c>
      <c r="E3748" s="1753" t="s">
        <v>11007</v>
      </c>
      <c r="G3748" t="str">
        <f>IF('4M'!J35="","##BLANK",'4M'!J35)</f>
        <v>##BLANK</v>
      </c>
    </row>
    <row r="3749" spans="2:7">
      <c r="B3749" s="893" t="str">
        <f>+'4M'!BL36</f>
        <v>S3024STD</v>
      </c>
      <c r="E3749" s="1753" t="s">
        <v>11007</v>
      </c>
      <c r="G3749" t="str">
        <f>IF('4M'!J36="","##BLANK",'4M'!J36)</f>
        <v>##BLANK</v>
      </c>
    </row>
    <row r="3750" spans="2:7">
      <c r="B3750" s="893" t="str">
        <f>+'4M'!BL37</f>
        <v>S3A00001STD</v>
      </c>
      <c r="E3750" s="1753" t="s">
        <v>11007</v>
      </c>
      <c r="F3750" s="2146" t="str">
        <f>+'4M'!C$37</f>
        <v>Capital expenditure purpose - WASTEWATER additional line 1 [Other categories]</v>
      </c>
      <c r="G3750" t="str">
        <f>IF('4M'!J37="","##BLANK",'4M'!J37)</f>
        <v>##BLANK</v>
      </c>
    </row>
    <row r="3751" spans="2:7">
      <c r="B3751" s="893" t="str">
        <f>+'4M'!BL38</f>
        <v>S3A00002STD</v>
      </c>
      <c r="E3751" s="1753" t="s">
        <v>11007</v>
      </c>
      <c r="F3751" s="2146" t="str">
        <f>+'4M'!C$38</f>
        <v>Capital expenditure purpose - WASTEWATER additional line 2 [Other categories]</v>
      </c>
      <c r="G3751" t="str">
        <f>IF('4M'!J38="","##BLANK",'4M'!J38)</f>
        <v>##BLANK</v>
      </c>
    </row>
    <row r="3752" spans="2:7">
      <c r="B3752" s="893" t="str">
        <f>+'4M'!BL39</f>
        <v>S3A00003STD</v>
      </c>
      <c r="E3752" s="1753" t="s">
        <v>11007</v>
      </c>
      <c r="F3752" s="2146" t="str">
        <f>+'4M'!C$39</f>
        <v>Capital expenditure purpose - WASTEWATER additional line 3 [Other categories]</v>
      </c>
      <c r="G3752" t="str">
        <f>IF('4M'!J39="","##BLANK",'4M'!J39)</f>
        <v>##BLANK</v>
      </c>
    </row>
    <row r="3753" spans="2:7">
      <c r="B3753" s="893" t="str">
        <f>+'4M'!BL40</f>
        <v>S3A00004STD</v>
      </c>
      <c r="E3753" s="1753" t="s">
        <v>11007</v>
      </c>
      <c r="F3753" s="2146" t="str">
        <f>+'4M'!C$40</f>
        <v>Capital expenditure purpose - WASTEWATER additional line 4 [Other categories]</v>
      </c>
      <c r="G3753" t="str">
        <f>IF('4M'!J40="","##BLANK",'4M'!J40)</f>
        <v>##BLANK</v>
      </c>
    </row>
    <row r="3754" spans="2:7">
      <c r="B3754" s="893" t="str">
        <f>+'4M'!BL41</f>
        <v>S3A00005STD</v>
      </c>
      <c r="E3754" s="1753" t="s">
        <v>11007</v>
      </c>
      <c r="F3754" s="2146" t="str">
        <f>+'4M'!C$41</f>
        <v>Capital expenditure purpose - WASTEWATER additional line 5 [Other categories]</v>
      </c>
      <c r="G3754" t="str">
        <f>IF('4M'!J41="","##BLANK",'4M'!J41)</f>
        <v>##BLANK</v>
      </c>
    </row>
    <row r="3755" spans="2:7">
      <c r="B3755" s="893" t="str">
        <f>+'4M'!BL42</f>
        <v>S3A00006STD</v>
      </c>
      <c r="E3755" s="1753" t="s">
        <v>11007</v>
      </c>
      <c r="F3755" s="2146" t="str">
        <f>+'4M'!C$42</f>
        <v>Capital expenditure purpose - WASTEWATER additional line 6 [Other categories]</v>
      </c>
      <c r="G3755" t="str">
        <f>IF('4M'!J42="","##BLANK",'4M'!J42)</f>
        <v>##BLANK</v>
      </c>
    </row>
    <row r="3756" spans="2:7">
      <c r="B3756" s="893" t="str">
        <f>+'4M'!BL43</f>
        <v>S3A00007STD</v>
      </c>
      <c r="E3756" s="1753" t="s">
        <v>11007</v>
      </c>
      <c r="F3756" s="2146" t="str">
        <f>+'4M'!C$43</f>
        <v>Capital expenditure purpose - WASTEWATER additional line 7 [Other categories]</v>
      </c>
      <c r="G3756" t="str">
        <f>IF('4M'!J43="","##BLANK",'4M'!J43)</f>
        <v>##BLANK</v>
      </c>
    </row>
    <row r="3757" spans="2:7">
      <c r="B3757" s="893" t="str">
        <f>+'4M'!BL44</f>
        <v>S3A00008STD</v>
      </c>
      <c r="E3757" s="1753" t="s">
        <v>11007</v>
      </c>
      <c r="F3757" s="2146" t="str">
        <f>+'4M'!C$44</f>
        <v>Capital expenditure purpose - WASTEWATER additional line 8 [Other categories]</v>
      </c>
      <c r="G3757" t="str">
        <f>IF('4M'!J44="","##BLANK",'4M'!J44)</f>
        <v>##BLANK</v>
      </c>
    </row>
    <row r="3758" spans="2:7">
      <c r="B3758" s="893" t="str">
        <f>+'4M'!BL45</f>
        <v>S3A00009STD</v>
      </c>
      <c r="E3758" s="1753" t="s">
        <v>11007</v>
      </c>
      <c r="F3758" s="2146" t="str">
        <f>+'4M'!C$45</f>
        <v>Capital expenditure purpose - WASTEWATER additional line 9 [Other categories]</v>
      </c>
      <c r="G3758" t="str">
        <f>IF('4M'!J45="","##BLANK",'4M'!J45)</f>
        <v>##BLANK</v>
      </c>
    </row>
    <row r="3759" spans="2:7">
      <c r="B3759" s="893" t="str">
        <f>+'4M'!BL46</f>
        <v>S3A00010STD</v>
      </c>
      <c r="E3759" s="1753" t="s">
        <v>11007</v>
      </c>
      <c r="F3759" s="2146" t="str">
        <f>+'4M'!C$46</f>
        <v>Capital expenditure purpose - WASTEWATER additional line 10 [Other categories]</v>
      </c>
      <c r="G3759" t="str">
        <f>IF('4M'!J46="","##BLANK",'4M'!J46)</f>
        <v>##BLANK</v>
      </c>
    </row>
    <row r="3760" spans="2:7">
      <c r="B3760" s="893" t="str">
        <f>+'4M'!BL47</f>
        <v>S3A00011STD</v>
      </c>
      <c r="E3760" s="1753" t="s">
        <v>11007</v>
      </c>
      <c r="F3760" s="2146" t="str">
        <f>+'4M'!C$47</f>
        <v>Capital expenditure purpose - WASTEWATER additional line 11 [Other categories]</v>
      </c>
      <c r="G3760" t="str">
        <f>IF('4M'!J47="","##BLANK",'4M'!J47)</f>
        <v>##BLANK</v>
      </c>
    </row>
    <row r="3761" spans="2:7">
      <c r="B3761" s="893" t="str">
        <f>+'4M'!BL48</f>
        <v>S3A00012STD</v>
      </c>
      <c r="E3761" s="1753" t="s">
        <v>11007</v>
      </c>
      <c r="F3761" s="2146" t="str">
        <f>+'4M'!C$48</f>
        <v>Capital expenditure purpose - WASTEWATER additional line 12 [Other categories]</v>
      </c>
      <c r="G3761" t="str">
        <f>IF('4M'!J48="","##BLANK",'4M'!J48)</f>
        <v>##BLANK</v>
      </c>
    </row>
    <row r="3762" spans="2:7">
      <c r="B3762" s="893" t="str">
        <f>+'4M'!BL49</f>
        <v>S3A00013STD</v>
      </c>
      <c r="E3762" s="1753" t="s">
        <v>11007</v>
      </c>
      <c r="F3762" s="2146" t="str">
        <f>+'4M'!C$49</f>
        <v>Capital expenditure purpose - WASTEWATER additional line 13 [Other categories]</v>
      </c>
      <c r="G3762" t="str">
        <f>IF('4M'!J49="","##BLANK",'4M'!J49)</f>
        <v>##BLANK</v>
      </c>
    </row>
    <row r="3763" spans="2:7">
      <c r="B3763" s="893" t="str">
        <f>+'4M'!BL50</f>
        <v>S3A00014STD</v>
      </c>
      <c r="E3763" s="1753" t="s">
        <v>11007</v>
      </c>
      <c r="F3763" s="2146" t="str">
        <f>+'4M'!C$50</f>
        <v>Capital expenditure purpose - WASTEWATER additional line 14 [Other categories]</v>
      </c>
      <c r="G3763" t="str">
        <f>IF('4M'!J50="","##BLANK",'4M'!J50)</f>
        <v>##BLANK</v>
      </c>
    </row>
    <row r="3764" spans="2:7">
      <c r="B3764" s="893" t="str">
        <f>+'4M'!BL51</f>
        <v>S3A00015STD</v>
      </c>
      <c r="E3764" s="1753" t="s">
        <v>11007</v>
      </c>
      <c r="F3764" s="2146" t="str">
        <f>+'4M'!C$51</f>
        <v>Capital expenditure purpose - WASTEWATER additional line 15 [Other categories]</v>
      </c>
      <c r="G3764" t="str">
        <f>IF('4M'!J51="","##BLANK",'4M'!J51)</f>
        <v>##BLANK</v>
      </c>
    </row>
    <row r="3765" spans="2:7">
      <c r="B3765" s="893" t="str">
        <f>+'4M'!BL52</f>
        <v>S3025ENHSTD</v>
      </c>
      <c r="E3765" s="1753" t="s">
        <v>11007</v>
      </c>
      <c r="G3765">
        <f>IF('4M'!J52="","##BLANK",'4M'!J52)</f>
        <v>0</v>
      </c>
    </row>
    <row r="3766" spans="2:7">
      <c r="B3766" s="893" t="str">
        <f>+'4M'!BM8</f>
        <v>BC31379SLT</v>
      </c>
      <c r="E3766" s="1753" t="s">
        <v>11007</v>
      </c>
      <c r="G3766" t="str">
        <f>IF('4M'!K8="","##BLANK",'4M'!K8)</f>
        <v>##BLANK</v>
      </c>
    </row>
    <row r="3767" spans="2:7">
      <c r="B3767" s="893" t="str">
        <f>+'4M'!BM9</f>
        <v>S3035QSLT</v>
      </c>
      <c r="E3767" s="1753" t="s">
        <v>11007</v>
      </c>
      <c r="G3767" t="str">
        <f>IF('4M'!K9="","##BLANK",'4M'!K9)</f>
        <v>##BLANK</v>
      </c>
    </row>
    <row r="3768" spans="2:7">
      <c r="B3768" s="893" t="str">
        <f>+'4M'!BM10</f>
        <v>S3036GSLT</v>
      </c>
      <c r="E3768" s="1753" t="s">
        <v>11007</v>
      </c>
      <c r="G3768" t="str">
        <f>IF('4M'!K10="","##BLANK",'4M'!K10)</f>
        <v>##BLANK</v>
      </c>
    </row>
    <row r="3769" spans="2:7">
      <c r="B3769" s="893" t="str">
        <f>+'4M'!BM11</f>
        <v>S3004SLT</v>
      </c>
      <c r="E3769" s="1753" t="s">
        <v>11007</v>
      </c>
      <c r="G3769" t="str">
        <f>IF('4M'!K11="","##BLANK",'4M'!K11)</f>
        <v>##BLANK</v>
      </c>
    </row>
    <row r="3770" spans="2:7">
      <c r="B3770" s="893" t="str">
        <f>+'4M'!BM12</f>
        <v>WWS2001SLT</v>
      </c>
      <c r="E3770" s="1753" t="s">
        <v>11007</v>
      </c>
      <c r="G3770" t="str">
        <f>IF('4M'!K12="","##BLANK",'4M'!K12)</f>
        <v>##BLANK</v>
      </c>
    </row>
    <row r="3771" spans="2:7">
      <c r="B3771" s="893" t="str">
        <f>+'4M'!BM13</f>
        <v>S3005SLT</v>
      </c>
      <c r="E3771" s="1753" t="s">
        <v>11007</v>
      </c>
      <c r="G3771" t="str">
        <f>IF('4M'!K13="","##BLANK",'4M'!K13)</f>
        <v>##BLANK</v>
      </c>
    </row>
    <row r="3772" spans="2:7">
      <c r="B3772" s="893" t="str">
        <f>+'4M'!BM14</f>
        <v>S3006SLT</v>
      </c>
      <c r="E3772" s="1753" t="s">
        <v>11007</v>
      </c>
      <c r="G3772" t="str">
        <f>IF('4M'!K14="","##BLANK",'4M'!K14)</f>
        <v>##BLANK</v>
      </c>
    </row>
    <row r="3773" spans="2:7">
      <c r="B3773" s="893" t="str">
        <f>+'4M'!BM15</f>
        <v>S3007SLT</v>
      </c>
      <c r="E3773" s="1753" t="s">
        <v>11007</v>
      </c>
      <c r="G3773" t="str">
        <f>IF('4M'!K15="","##BLANK",'4M'!K15)</f>
        <v>##BLANK</v>
      </c>
    </row>
    <row r="3774" spans="2:7">
      <c r="B3774" s="893" t="str">
        <f>+'4M'!BM16</f>
        <v>WWS2002SLT</v>
      </c>
      <c r="E3774" s="1753" t="s">
        <v>11007</v>
      </c>
      <c r="G3774" t="str">
        <f>IF('4M'!K16="","##BLANK",'4M'!K16)</f>
        <v>##BLANK</v>
      </c>
    </row>
    <row r="3775" spans="2:7">
      <c r="B3775" s="893" t="str">
        <f>+'4M'!BM17</f>
        <v>WWS2003SLT</v>
      </c>
      <c r="E3775" s="1753" t="s">
        <v>11007</v>
      </c>
      <c r="G3775" t="str">
        <f>IF('4M'!K17="","##BLANK",'4M'!K17)</f>
        <v>##BLANK</v>
      </c>
    </row>
    <row r="3776" spans="2:7">
      <c r="B3776" s="893" t="str">
        <f>+'4M'!BM18</f>
        <v>S3008SLT</v>
      </c>
      <c r="E3776" s="1753" t="s">
        <v>11007</v>
      </c>
      <c r="G3776" t="str">
        <f>IF('4M'!K18="","##BLANK",'4M'!K18)</f>
        <v>##BLANK</v>
      </c>
    </row>
    <row r="3777" spans="2:7">
      <c r="B3777" s="893" t="str">
        <f>+'4M'!BM19</f>
        <v>S3009SLT</v>
      </c>
      <c r="E3777" s="1753" t="s">
        <v>11007</v>
      </c>
      <c r="G3777" t="str">
        <f>IF('4M'!K19="","##BLANK",'4M'!K19)</f>
        <v>##BLANK</v>
      </c>
    </row>
    <row r="3778" spans="2:7">
      <c r="B3778" s="893" t="str">
        <f>+'4M'!BM20</f>
        <v>WWS2007SLT</v>
      </c>
      <c r="E3778" s="1753" t="s">
        <v>11007</v>
      </c>
      <c r="G3778" t="str">
        <f>IF('4M'!K20="","##BLANK",'4M'!K20)</f>
        <v>##BLANK</v>
      </c>
    </row>
    <row r="3779" spans="2:7">
      <c r="B3779" s="893" t="str">
        <f>+'4M'!BM21</f>
        <v>S3010SLT</v>
      </c>
      <c r="E3779" s="1753" t="s">
        <v>11007</v>
      </c>
      <c r="G3779" t="str">
        <f>IF('4M'!K21="","##BLANK",'4M'!K21)</f>
        <v>##BLANK</v>
      </c>
    </row>
    <row r="3780" spans="2:7">
      <c r="B3780" s="893" t="str">
        <f>+'4M'!BM22</f>
        <v>S3011SLT</v>
      </c>
      <c r="E3780" s="1753" t="s">
        <v>11007</v>
      </c>
      <c r="G3780" t="str">
        <f>IF('4M'!K22="","##BLANK",'4M'!K22)</f>
        <v>##BLANK</v>
      </c>
    </row>
    <row r="3781" spans="2:7">
      <c r="B3781" s="893" t="str">
        <f>+'4M'!BM23</f>
        <v>S3012SLT</v>
      </c>
      <c r="E3781" s="1753" t="s">
        <v>11007</v>
      </c>
      <c r="G3781" t="str">
        <f>IF('4M'!K23="","##BLANK",'4M'!K23)</f>
        <v>##BLANK</v>
      </c>
    </row>
    <row r="3782" spans="2:7">
      <c r="B3782" s="893" t="str">
        <f>+'4M'!BM24</f>
        <v>S3013SLT</v>
      </c>
      <c r="E3782" s="1753" t="s">
        <v>11007</v>
      </c>
      <c r="G3782" t="str">
        <f>IF('4M'!K24="","##BLANK",'4M'!K24)</f>
        <v>##BLANK</v>
      </c>
    </row>
    <row r="3783" spans="2:7">
      <c r="B3783" s="893" t="str">
        <f>+'4M'!BM25</f>
        <v>S3014SLT</v>
      </c>
      <c r="E3783" s="1753" t="s">
        <v>11007</v>
      </c>
      <c r="G3783" t="str">
        <f>IF('4M'!K25="","##BLANK",'4M'!K25)</f>
        <v>##BLANK</v>
      </c>
    </row>
    <row r="3784" spans="2:7">
      <c r="B3784" s="893" t="str">
        <f>+'4M'!BM26</f>
        <v>S3015SLT</v>
      </c>
      <c r="E3784" s="1753" t="s">
        <v>11007</v>
      </c>
      <c r="G3784" t="str">
        <f>IF('4M'!K26="","##BLANK",'4M'!K26)</f>
        <v>##BLANK</v>
      </c>
    </row>
    <row r="3785" spans="2:7">
      <c r="B3785" s="893" t="str">
        <f>+'4M'!BM27</f>
        <v>S3016SLT</v>
      </c>
      <c r="E3785" s="1753" t="s">
        <v>11007</v>
      </c>
      <c r="G3785" t="str">
        <f>IF('4M'!K27="","##BLANK",'4M'!K27)</f>
        <v>##BLANK</v>
      </c>
    </row>
    <row r="3786" spans="2:7">
      <c r="B3786" s="893" t="str">
        <f>+'4M'!BM28</f>
        <v>S3017SLT</v>
      </c>
      <c r="E3786" s="1753" t="s">
        <v>11007</v>
      </c>
      <c r="G3786" t="str">
        <f>IF('4M'!K28="","##BLANK",'4M'!K28)</f>
        <v>##BLANK</v>
      </c>
    </row>
    <row r="3787" spans="2:7">
      <c r="B3787" s="893" t="str">
        <f>+'4M'!BM29</f>
        <v>S3018SLT</v>
      </c>
      <c r="E3787" s="1753" t="s">
        <v>11007</v>
      </c>
      <c r="G3787" t="str">
        <f>IF('4M'!K29="","##BLANK",'4M'!K29)</f>
        <v>##BLANK</v>
      </c>
    </row>
    <row r="3788" spans="2:7">
      <c r="B3788" s="893" t="str">
        <f>+'4M'!BM30</f>
        <v>S3019SLT</v>
      </c>
      <c r="E3788" s="1753" t="s">
        <v>11007</v>
      </c>
      <c r="G3788" t="str">
        <f>IF('4M'!K30="","##BLANK",'4M'!K30)</f>
        <v>##BLANK</v>
      </c>
    </row>
    <row r="3789" spans="2:7">
      <c r="B3789" s="893" t="str">
        <f>+'4M'!BM31</f>
        <v>S3020SLT</v>
      </c>
      <c r="E3789" s="1753" t="s">
        <v>11007</v>
      </c>
      <c r="G3789" t="str">
        <f>IF('4M'!K31="","##BLANK",'4M'!K31)</f>
        <v>##BLANK</v>
      </c>
    </row>
    <row r="3790" spans="2:7">
      <c r="B3790" s="893" t="str">
        <f>+'4M'!BM32</f>
        <v>S3021SLT</v>
      </c>
      <c r="E3790" s="1753" t="s">
        <v>11007</v>
      </c>
      <c r="G3790" t="str">
        <f>IF('4M'!K32="","##BLANK",'4M'!K32)</f>
        <v>##BLANK</v>
      </c>
    </row>
    <row r="3791" spans="2:7">
      <c r="B3791" s="893" t="str">
        <f>+'4M'!BM33</f>
        <v>S3022SLT</v>
      </c>
      <c r="E3791" s="1753" t="s">
        <v>11007</v>
      </c>
      <c r="G3791" t="str">
        <f>IF('4M'!K33="","##BLANK",'4M'!K33)</f>
        <v>##BLANK</v>
      </c>
    </row>
    <row r="3792" spans="2:7">
      <c r="B3792" s="893" t="str">
        <f>+'4M'!BM34</f>
        <v>BC31785SLT</v>
      </c>
      <c r="E3792" s="1753" t="s">
        <v>11007</v>
      </c>
      <c r="G3792" t="str">
        <f>IF('4M'!K34="","##BLANK",'4M'!K34)</f>
        <v>##BLANK</v>
      </c>
    </row>
    <row r="3793" spans="2:7">
      <c r="B3793" s="893" t="str">
        <f>+'4M'!BM35</f>
        <v>S3023SLT</v>
      </c>
      <c r="E3793" s="1753" t="s">
        <v>11007</v>
      </c>
      <c r="G3793" t="str">
        <f>IF('4M'!K35="","##BLANK",'4M'!K35)</f>
        <v>##BLANK</v>
      </c>
    </row>
    <row r="3794" spans="2:7">
      <c r="B3794" s="893" t="str">
        <f>+'4M'!BM36</f>
        <v>S3024SLT</v>
      </c>
      <c r="E3794" s="1753" t="s">
        <v>11007</v>
      </c>
      <c r="G3794" t="str">
        <f>IF('4M'!K36="","##BLANK",'4M'!K36)</f>
        <v>##BLANK</v>
      </c>
    </row>
    <row r="3795" spans="2:7">
      <c r="B3795" s="893" t="str">
        <f>+'4M'!BM37</f>
        <v>S3A00001SLT</v>
      </c>
      <c r="E3795" s="1753" t="s">
        <v>11007</v>
      </c>
      <c r="F3795" s="2146" t="str">
        <f>+'4M'!C$37</f>
        <v>Capital expenditure purpose - WASTEWATER additional line 1 [Other categories]</v>
      </c>
      <c r="G3795" t="str">
        <f>IF('4M'!K37="","##BLANK",'4M'!K37)</f>
        <v>##BLANK</v>
      </c>
    </row>
    <row r="3796" spans="2:7">
      <c r="B3796" s="893" t="str">
        <f>+'4M'!BM38</f>
        <v>S3A00002SLT</v>
      </c>
      <c r="E3796" s="1753" t="s">
        <v>11007</v>
      </c>
      <c r="F3796" s="2146" t="str">
        <f>+'4M'!C$38</f>
        <v>Capital expenditure purpose - WASTEWATER additional line 2 [Other categories]</v>
      </c>
      <c r="G3796" t="str">
        <f>IF('4M'!K38="","##BLANK",'4M'!K38)</f>
        <v>##BLANK</v>
      </c>
    </row>
    <row r="3797" spans="2:7">
      <c r="B3797" s="893" t="str">
        <f>+'4M'!BM39</f>
        <v>S3A00003SLT</v>
      </c>
      <c r="E3797" s="1753" t="s">
        <v>11007</v>
      </c>
      <c r="F3797" s="2146" t="str">
        <f>+'4M'!C$39</f>
        <v>Capital expenditure purpose - WASTEWATER additional line 3 [Other categories]</v>
      </c>
      <c r="G3797" t="str">
        <f>IF('4M'!K39="","##BLANK",'4M'!K39)</f>
        <v>##BLANK</v>
      </c>
    </row>
    <row r="3798" spans="2:7">
      <c r="B3798" s="893" t="str">
        <f>+'4M'!BM40</f>
        <v>S3A00004SLT</v>
      </c>
      <c r="E3798" s="1753" t="s">
        <v>11007</v>
      </c>
      <c r="F3798" s="2146" t="str">
        <f>+'4M'!C$40</f>
        <v>Capital expenditure purpose - WASTEWATER additional line 4 [Other categories]</v>
      </c>
      <c r="G3798" t="str">
        <f>IF('4M'!K40="","##BLANK",'4M'!K40)</f>
        <v>##BLANK</v>
      </c>
    </row>
    <row r="3799" spans="2:7">
      <c r="B3799" s="893" t="str">
        <f>+'4M'!BM41</f>
        <v>S3A00005SLT</v>
      </c>
      <c r="E3799" s="1753" t="s">
        <v>11007</v>
      </c>
      <c r="F3799" s="2146" t="str">
        <f>+'4M'!C$41</f>
        <v>Capital expenditure purpose - WASTEWATER additional line 5 [Other categories]</v>
      </c>
      <c r="G3799" t="str">
        <f>IF('4M'!K41="","##BLANK",'4M'!K41)</f>
        <v>##BLANK</v>
      </c>
    </row>
    <row r="3800" spans="2:7">
      <c r="B3800" s="893" t="str">
        <f>+'4M'!BM42</f>
        <v>S3A00006SLT</v>
      </c>
      <c r="E3800" s="1753" t="s">
        <v>11007</v>
      </c>
      <c r="F3800" s="2146" t="str">
        <f>+'4M'!C$42</f>
        <v>Capital expenditure purpose - WASTEWATER additional line 6 [Other categories]</v>
      </c>
      <c r="G3800" t="str">
        <f>IF('4M'!K42="","##BLANK",'4M'!K42)</f>
        <v>##BLANK</v>
      </c>
    </row>
    <row r="3801" spans="2:7">
      <c r="B3801" s="893" t="str">
        <f>+'4M'!BM43</f>
        <v>S3A00007SLT</v>
      </c>
      <c r="E3801" s="1753" t="s">
        <v>11007</v>
      </c>
      <c r="F3801" s="2146" t="str">
        <f>+'4M'!C$43</f>
        <v>Capital expenditure purpose - WASTEWATER additional line 7 [Other categories]</v>
      </c>
      <c r="G3801" t="str">
        <f>IF('4M'!K43="","##BLANK",'4M'!K43)</f>
        <v>##BLANK</v>
      </c>
    </row>
    <row r="3802" spans="2:7">
      <c r="B3802" s="893" t="str">
        <f>+'4M'!BM44</f>
        <v>S3A00008SLT</v>
      </c>
      <c r="E3802" s="1753" t="s">
        <v>11007</v>
      </c>
      <c r="F3802" s="2146" t="str">
        <f>+'4M'!C$44</f>
        <v>Capital expenditure purpose - WASTEWATER additional line 8 [Other categories]</v>
      </c>
      <c r="G3802" t="str">
        <f>IF('4M'!K44="","##BLANK",'4M'!K44)</f>
        <v>##BLANK</v>
      </c>
    </row>
    <row r="3803" spans="2:7">
      <c r="B3803" s="893" t="str">
        <f>+'4M'!BM45</f>
        <v>S3A00009SLT</v>
      </c>
      <c r="E3803" s="1753" t="s">
        <v>11007</v>
      </c>
      <c r="F3803" s="2146" t="str">
        <f>+'4M'!C$45</f>
        <v>Capital expenditure purpose - WASTEWATER additional line 9 [Other categories]</v>
      </c>
      <c r="G3803" t="str">
        <f>IF('4M'!K45="","##BLANK",'4M'!K45)</f>
        <v>##BLANK</v>
      </c>
    </row>
    <row r="3804" spans="2:7">
      <c r="B3804" s="893" t="str">
        <f>+'4M'!BM46</f>
        <v>S3A00010SLT</v>
      </c>
      <c r="E3804" s="1753" t="s">
        <v>11007</v>
      </c>
      <c r="F3804" s="2146" t="str">
        <f>+'4M'!C$46</f>
        <v>Capital expenditure purpose - WASTEWATER additional line 10 [Other categories]</v>
      </c>
      <c r="G3804" t="str">
        <f>IF('4M'!K46="","##BLANK",'4M'!K46)</f>
        <v>##BLANK</v>
      </c>
    </row>
    <row r="3805" spans="2:7">
      <c r="B3805" s="893" t="str">
        <f>+'4M'!BM47</f>
        <v>S3A00011SLT</v>
      </c>
      <c r="E3805" s="1753" t="s">
        <v>11007</v>
      </c>
      <c r="F3805" s="2146" t="str">
        <f>+'4M'!C$47</f>
        <v>Capital expenditure purpose - WASTEWATER additional line 11 [Other categories]</v>
      </c>
      <c r="G3805" t="str">
        <f>IF('4M'!K47="","##BLANK",'4M'!K47)</f>
        <v>##BLANK</v>
      </c>
    </row>
    <row r="3806" spans="2:7">
      <c r="B3806" s="893" t="str">
        <f>+'4M'!BM48</f>
        <v>S3A00012SLT</v>
      </c>
      <c r="E3806" s="1753" t="s">
        <v>11007</v>
      </c>
      <c r="F3806" s="2146" t="str">
        <f>+'4M'!C$48</f>
        <v>Capital expenditure purpose - WASTEWATER additional line 12 [Other categories]</v>
      </c>
      <c r="G3806" t="str">
        <f>IF('4M'!K48="","##BLANK",'4M'!K48)</f>
        <v>##BLANK</v>
      </c>
    </row>
    <row r="3807" spans="2:7">
      <c r="B3807" s="893" t="str">
        <f>+'4M'!BM49</f>
        <v>S3A00013SLT</v>
      </c>
      <c r="E3807" s="1753" t="s">
        <v>11007</v>
      </c>
      <c r="F3807" s="2146" t="str">
        <f>+'4M'!C$49</f>
        <v>Capital expenditure purpose - WASTEWATER additional line 13 [Other categories]</v>
      </c>
      <c r="G3807" t="str">
        <f>IF('4M'!K49="","##BLANK",'4M'!K49)</f>
        <v>##BLANK</v>
      </c>
    </row>
    <row r="3808" spans="2:7">
      <c r="B3808" s="893" t="str">
        <f>+'4M'!BM50</f>
        <v>S3A00014SLT</v>
      </c>
      <c r="E3808" s="1753" t="s">
        <v>11007</v>
      </c>
      <c r="F3808" s="2146" t="str">
        <f>+'4M'!C$50</f>
        <v>Capital expenditure purpose - WASTEWATER additional line 14 [Other categories]</v>
      </c>
      <c r="G3808" t="str">
        <f>IF('4M'!K50="","##BLANK",'4M'!K50)</f>
        <v>##BLANK</v>
      </c>
    </row>
    <row r="3809" spans="2:7">
      <c r="B3809" s="893" t="str">
        <f>+'4M'!BM51</f>
        <v>S3A00015SLT</v>
      </c>
      <c r="E3809" s="1753" t="s">
        <v>11007</v>
      </c>
      <c r="F3809" s="2146" t="str">
        <f>+'4M'!C$51</f>
        <v>Capital expenditure purpose - WASTEWATER additional line 15 [Other categories]</v>
      </c>
      <c r="G3809" t="str">
        <f>IF('4M'!K51="","##BLANK",'4M'!K51)</f>
        <v>##BLANK</v>
      </c>
    </row>
    <row r="3810" spans="2:7">
      <c r="B3810" s="893" t="str">
        <f>+'4M'!BM52</f>
        <v>S3025ENHSLT</v>
      </c>
      <c r="E3810" s="1753" t="s">
        <v>11007</v>
      </c>
      <c r="G3810">
        <f>IF('4M'!K52="","##BLANK",'4M'!K52)</f>
        <v>0</v>
      </c>
    </row>
    <row r="3811" spans="2:7">
      <c r="B3811" s="893" t="str">
        <f>+'4M'!BN8</f>
        <v>BC31379STP</v>
      </c>
      <c r="E3811" s="1753" t="s">
        <v>11007</v>
      </c>
      <c r="G3811" t="str">
        <f>IF('4M'!L8="","##BLANK",'4M'!L8)</f>
        <v>##BLANK</v>
      </c>
    </row>
    <row r="3812" spans="2:7">
      <c r="B3812" s="893" t="str">
        <f>+'4M'!BN9</f>
        <v>S3035QSTP</v>
      </c>
      <c r="E3812" s="1753" t="s">
        <v>11007</v>
      </c>
      <c r="G3812" t="str">
        <f>IF('4M'!L9="","##BLANK",'4M'!L9)</f>
        <v>##BLANK</v>
      </c>
    </row>
    <row r="3813" spans="2:7">
      <c r="B3813" s="893" t="str">
        <f>+'4M'!BN10</f>
        <v>S3036GSTP</v>
      </c>
      <c r="E3813" s="1753" t="s">
        <v>11007</v>
      </c>
      <c r="G3813" t="str">
        <f>IF('4M'!L10="","##BLANK",'4M'!L10)</f>
        <v>##BLANK</v>
      </c>
    </row>
    <row r="3814" spans="2:7">
      <c r="B3814" s="893" t="str">
        <f>+'4M'!BN11</f>
        <v>S3004STP</v>
      </c>
      <c r="E3814" s="1753" t="s">
        <v>11007</v>
      </c>
      <c r="G3814" t="str">
        <f>IF('4M'!L11="","##BLANK",'4M'!L11)</f>
        <v>##BLANK</v>
      </c>
    </row>
    <row r="3815" spans="2:7">
      <c r="B3815" s="893" t="str">
        <f>+'4M'!BN12</f>
        <v>WWS2001STP</v>
      </c>
      <c r="E3815" s="1753" t="s">
        <v>11007</v>
      </c>
      <c r="G3815" t="str">
        <f>IF('4M'!L12="","##BLANK",'4M'!L12)</f>
        <v>##BLANK</v>
      </c>
    </row>
    <row r="3816" spans="2:7">
      <c r="B3816" s="893" t="str">
        <f>+'4M'!BN13</f>
        <v>S3005STP</v>
      </c>
      <c r="E3816" s="1753" t="s">
        <v>11007</v>
      </c>
      <c r="G3816" t="str">
        <f>IF('4M'!L13="","##BLANK",'4M'!L13)</f>
        <v>##BLANK</v>
      </c>
    </row>
    <row r="3817" spans="2:7">
      <c r="B3817" s="893" t="str">
        <f>+'4M'!BN14</f>
        <v>S3006STP</v>
      </c>
      <c r="E3817" s="1753" t="s">
        <v>11007</v>
      </c>
      <c r="G3817" t="str">
        <f>IF('4M'!L14="","##BLANK",'4M'!L14)</f>
        <v>##BLANK</v>
      </c>
    </row>
    <row r="3818" spans="2:7">
      <c r="B3818" s="893" t="str">
        <f>+'4M'!BN15</f>
        <v>S3007STP</v>
      </c>
      <c r="E3818" s="1753" t="s">
        <v>11007</v>
      </c>
      <c r="G3818" t="str">
        <f>IF('4M'!L15="","##BLANK",'4M'!L15)</f>
        <v>##BLANK</v>
      </c>
    </row>
    <row r="3819" spans="2:7">
      <c r="B3819" s="893" t="str">
        <f>+'4M'!BN16</f>
        <v>WWS2002STP</v>
      </c>
      <c r="E3819" s="1753" t="s">
        <v>11007</v>
      </c>
      <c r="G3819" t="str">
        <f>IF('4M'!L16="","##BLANK",'4M'!L16)</f>
        <v>##BLANK</v>
      </c>
    </row>
    <row r="3820" spans="2:7">
      <c r="B3820" s="893" t="str">
        <f>+'4M'!BN17</f>
        <v>WWS2003STP</v>
      </c>
      <c r="E3820" s="1753" t="s">
        <v>11007</v>
      </c>
      <c r="G3820" t="str">
        <f>IF('4M'!L17="","##BLANK",'4M'!L17)</f>
        <v>##BLANK</v>
      </c>
    </row>
    <row r="3821" spans="2:7">
      <c r="B3821" s="893" t="str">
        <f>+'4M'!BN18</f>
        <v>S3008STP</v>
      </c>
      <c r="E3821" s="1753" t="s">
        <v>11007</v>
      </c>
      <c r="G3821" t="str">
        <f>IF('4M'!L18="","##BLANK",'4M'!L18)</f>
        <v>##BLANK</v>
      </c>
    </row>
    <row r="3822" spans="2:7">
      <c r="B3822" s="893" t="str">
        <f>+'4M'!BN19</f>
        <v>S3009STP</v>
      </c>
      <c r="E3822" s="1753" t="s">
        <v>11007</v>
      </c>
      <c r="G3822" t="str">
        <f>IF('4M'!L19="","##BLANK",'4M'!L19)</f>
        <v>##BLANK</v>
      </c>
    </row>
    <row r="3823" spans="2:7">
      <c r="B3823" s="893" t="str">
        <f>+'4M'!BN20</f>
        <v>WWS2007STP</v>
      </c>
      <c r="E3823" s="1753" t="s">
        <v>11007</v>
      </c>
      <c r="G3823" t="str">
        <f>IF('4M'!L20="","##BLANK",'4M'!L20)</f>
        <v>##BLANK</v>
      </c>
    </row>
    <row r="3824" spans="2:7">
      <c r="B3824" s="893" t="str">
        <f>+'4M'!BN21</f>
        <v>S3010STP</v>
      </c>
      <c r="E3824" s="1753" t="s">
        <v>11007</v>
      </c>
      <c r="G3824" t="str">
        <f>IF('4M'!L21="","##BLANK",'4M'!L21)</f>
        <v>##BLANK</v>
      </c>
    </row>
    <row r="3825" spans="2:7">
      <c r="B3825" s="893" t="str">
        <f>+'4M'!BN22</f>
        <v>S3011STP</v>
      </c>
      <c r="E3825" s="1753" t="s">
        <v>11007</v>
      </c>
      <c r="G3825" t="str">
        <f>IF('4M'!L22="","##BLANK",'4M'!L22)</f>
        <v>##BLANK</v>
      </c>
    </row>
    <row r="3826" spans="2:7">
      <c r="B3826" s="893" t="str">
        <f>+'4M'!BN23</f>
        <v>S3012STP</v>
      </c>
      <c r="E3826" s="1753" t="s">
        <v>11007</v>
      </c>
      <c r="G3826" t="str">
        <f>IF('4M'!L23="","##BLANK",'4M'!L23)</f>
        <v>##BLANK</v>
      </c>
    </row>
    <row r="3827" spans="2:7">
      <c r="B3827" s="893" t="str">
        <f>+'4M'!BN24</f>
        <v>S3013STP</v>
      </c>
      <c r="E3827" s="1753" t="s">
        <v>11007</v>
      </c>
      <c r="G3827" t="str">
        <f>IF('4M'!L24="","##BLANK",'4M'!L24)</f>
        <v>##BLANK</v>
      </c>
    </row>
    <row r="3828" spans="2:7">
      <c r="B3828" s="893" t="str">
        <f>+'4M'!BN25</f>
        <v>S3014STP</v>
      </c>
      <c r="E3828" s="1753" t="s">
        <v>11007</v>
      </c>
      <c r="G3828" t="str">
        <f>IF('4M'!L25="","##BLANK",'4M'!L25)</f>
        <v>##BLANK</v>
      </c>
    </row>
    <row r="3829" spans="2:7">
      <c r="B3829" s="893" t="str">
        <f>+'4M'!BN26</f>
        <v>S3015STP</v>
      </c>
      <c r="E3829" s="1753" t="s">
        <v>11007</v>
      </c>
      <c r="G3829" t="str">
        <f>IF('4M'!L26="","##BLANK",'4M'!L26)</f>
        <v>##BLANK</v>
      </c>
    </row>
    <row r="3830" spans="2:7">
      <c r="B3830" s="893" t="str">
        <f>+'4M'!BN27</f>
        <v>S3016STP</v>
      </c>
      <c r="E3830" s="1753" t="s">
        <v>11007</v>
      </c>
      <c r="G3830" t="str">
        <f>IF('4M'!L27="","##BLANK",'4M'!L27)</f>
        <v>##BLANK</v>
      </c>
    </row>
    <row r="3831" spans="2:7">
      <c r="B3831" s="893" t="str">
        <f>+'4M'!BN28</f>
        <v>S3017STP</v>
      </c>
      <c r="E3831" s="1753" t="s">
        <v>11007</v>
      </c>
      <c r="G3831" t="str">
        <f>IF('4M'!L28="","##BLANK",'4M'!L28)</f>
        <v>##BLANK</v>
      </c>
    </row>
    <row r="3832" spans="2:7">
      <c r="B3832" s="893" t="str">
        <f>+'4M'!BN29</f>
        <v>S3018STP</v>
      </c>
      <c r="E3832" s="1753" t="s">
        <v>11007</v>
      </c>
      <c r="G3832" t="str">
        <f>IF('4M'!L29="","##BLANK",'4M'!L29)</f>
        <v>##BLANK</v>
      </c>
    </row>
    <row r="3833" spans="2:7">
      <c r="B3833" s="893" t="str">
        <f>+'4M'!BN30</f>
        <v>S3019STP</v>
      </c>
      <c r="E3833" s="1753" t="s">
        <v>11007</v>
      </c>
      <c r="G3833" t="str">
        <f>IF('4M'!L30="","##BLANK",'4M'!L30)</f>
        <v>##BLANK</v>
      </c>
    </row>
    <row r="3834" spans="2:7">
      <c r="B3834" s="893" t="str">
        <f>+'4M'!BN31</f>
        <v>S3020STP</v>
      </c>
      <c r="E3834" s="1753" t="s">
        <v>11007</v>
      </c>
      <c r="G3834" t="str">
        <f>IF('4M'!L31="","##BLANK",'4M'!L31)</f>
        <v>##BLANK</v>
      </c>
    </row>
    <row r="3835" spans="2:7">
      <c r="B3835" s="893" t="str">
        <f>+'4M'!BN32</f>
        <v>S3021STP</v>
      </c>
      <c r="E3835" s="1753" t="s">
        <v>11007</v>
      </c>
      <c r="G3835" t="str">
        <f>IF('4M'!L32="","##BLANK",'4M'!L32)</f>
        <v>##BLANK</v>
      </c>
    </row>
    <row r="3836" spans="2:7">
      <c r="B3836" s="893" t="str">
        <f>+'4M'!BN33</f>
        <v>S3022STP</v>
      </c>
      <c r="E3836" s="1753" t="s">
        <v>11007</v>
      </c>
      <c r="G3836" t="str">
        <f>IF('4M'!L33="","##BLANK",'4M'!L33)</f>
        <v>##BLANK</v>
      </c>
    </row>
    <row r="3837" spans="2:7">
      <c r="B3837" s="893" t="str">
        <f>+'4M'!BN34</f>
        <v>BC31785STP</v>
      </c>
      <c r="E3837" s="1753" t="s">
        <v>11007</v>
      </c>
      <c r="G3837" t="str">
        <f>IF('4M'!L34="","##BLANK",'4M'!L34)</f>
        <v>##BLANK</v>
      </c>
    </row>
    <row r="3838" spans="2:7">
      <c r="B3838" s="893" t="str">
        <f>+'4M'!BN35</f>
        <v>S3023STP</v>
      </c>
      <c r="E3838" s="1753" t="s">
        <v>11007</v>
      </c>
      <c r="G3838" t="str">
        <f>IF('4M'!L35="","##BLANK",'4M'!L35)</f>
        <v>##BLANK</v>
      </c>
    </row>
    <row r="3839" spans="2:7">
      <c r="B3839" s="893" t="str">
        <f>+'4M'!BN36</f>
        <v>S3024STP</v>
      </c>
      <c r="E3839" s="1753" t="s">
        <v>11007</v>
      </c>
      <c r="G3839" t="str">
        <f>IF('4M'!L36="","##BLANK",'4M'!L36)</f>
        <v>##BLANK</v>
      </c>
    </row>
    <row r="3840" spans="2:7">
      <c r="B3840" s="893" t="str">
        <f>+'4M'!BN37</f>
        <v>S3A00001STP</v>
      </c>
      <c r="E3840" s="1753" t="s">
        <v>11007</v>
      </c>
      <c r="F3840" s="2146" t="str">
        <f>+'4M'!C$37</f>
        <v>Capital expenditure purpose - WASTEWATER additional line 1 [Other categories]</v>
      </c>
      <c r="G3840" t="str">
        <f>IF('4M'!L37="","##BLANK",'4M'!L37)</f>
        <v>##BLANK</v>
      </c>
    </row>
    <row r="3841" spans="2:7">
      <c r="B3841" s="893" t="str">
        <f>+'4M'!BN38</f>
        <v>S3A00002STP</v>
      </c>
      <c r="E3841" s="1753" t="s">
        <v>11007</v>
      </c>
      <c r="F3841" s="2146" t="str">
        <f>+'4M'!C$38</f>
        <v>Capital expenditure purpose - WASTEWATER additional line 2 [Other categories]</v>
      </c>
      <c r="G3841" t="str">
        <f>IF('4M'!L38="","##BLANK",'4M'!L38)</f>
        <v>##BLANK</v>
      </c>
    </row>
    <row r="3842" spans="2:7">
      <c r="B3842" s="893" t="str">
        <f>+'4M'!BN39</f>
        <v>S3A00003STP</v>
      </c>
      <c r="E3842" s="1753" t="s">
        <v>11007</v>
      </c>
      <c r="F3842" s="2146" t="str">
        <f>+'4M'!C$39</f>
        <v>Capital expenditure purpose - WASTEWATER additional line 3 [Other categories]</v>
      </c>
      <c r="G3842" t="str">
        <f>IF('4M'!L39="","##BLANK",'4M'!L39)</f>
        <v>##BLANK</v>
      </c>
    </row>
    <row r="3843" spans="2:7">
      <c r="B3843" s="893" t="str">
        <f>+'4M'!BN40</f>
        <v>S3A00004STP</v>
      </c>
      <c r="E3843" s="1753" t="s">
        <v>11007</v>
      </c>
      <c r="F3843" s="2146" t="str">
        <f>+'4M'!C$40</f>
        <v>Capital expenditure purpose - WASTEWATER additional line 4 [Other categories]</v>
      </c>
      <c r="G3843" t="str">
        <f>IF('4M'!L40="","##BLANK",'4M'!L40)</f>
        <v>##BLANK</v>
      </c>
    </row>
    <row r="3844" spans="2:7">
      <c r="B3844" s="893" t="str">
        <f>+'4M'!BN41</f>
        <v>S3A00005STP</v>
      </c>
      <c r="E3844" s="1753" t="s">
        <v>11007</v>
      </c>
      <c r="F3844" s="2146" t="str">
        <f>+'4M'!C$41</f>
        <v>Capital expenditure purpose - WASTEWATER additional line 5 [Other categories]</v>
      </c>
      <c r="G3844" t="str">
        <f>IF('4M'!L41="","##BLANK",'4M'!L41)</f>
        <v>##BLANK</v>
      </c>
    </row>
    <row r="3845" spans="2:7">
      <c r="B3845" s="893" t="str">
        <f>+'4M'!BN42</f>
        <v>S3A00006STP</v>
      </c>
      <c r="E3845" s="1753" t="s">
        <v>11007</v>
      </c>
      <c r="F3845" s="2146" t="str">
        <f>+'4M'!C$42</f>
        <v>Capital expenditure purpose - WASTEWATER additional line 6 [Other categories]</v>
      </c>
      <c r="G3845" t="str">
        <f>IF('4M'!L42="","##BLANK",'4M'!L42)</f>
        <v>##BLANK</v>
      </c>
    </row>
    <row r="3846" spans="2:7">
      <c r="B3846" s="893" t="str">
        <f>+'4M'!BN43</f>
        <v>S3A00007STP</v>
      </c>
      <c r="E3846" s="1753" t="s">
        <v>11007</v>
      </c>
      <c r="F3846" s="2146" t="str">
        <f>+'4M'!C$43</f>
        <v>Capital expenditure purpose - WASTEWATER additional line 7 [Other categories]</v>
      </c>
      <c r="G3846" t="str">
        <f>IF('4M'!L43="","##BLANK",'4M'!L43)</f>
        <v>##BLANK</v>
      </c>
    </row>
    <row r="3847" spans="2:7">
      <c r="B3847" s="893" t="str">
        <f>+'4M'!BN44</f>
        <v>S3A00008STP</v>
      </c>
      <c r="E3847" s="1753" t="s">
        <v>11007</v>
      </c>
      <c r="F3847" s="2146" t="str">
        <f>+'4M'!C$44</f>
        <v>Capital expenditure purpose - WASTEWATER additional line 8 [Other categories]</v>
      </c>
      <c r="G3847" t="str">
        <f>IF('4M'!L44="","##BLANK",'4M'!L44)</f>
        <v>##BLANK</v>
      </c>
    </row>
    <row r="3848" spans="2:7">
      <c r="B3848" s="893" t="str">
        <f>+'4M'!BN45</f>
        <v>S3A00009STP</v>
      </c>
      <c r="E3848" s="1753" t="s">
        <v>11007</v>
      </c>
      <c r="F3848" s="2146" t="str">
        <f>+'4M'!C$45</f>
        <v>Capital expenditure purpose - WASTEWATER additional line 9 [Other categories]</v>
      </c>
      <c r="G3848" t="str">
        <f>IF('4M'!L45="","##BLANK",'4M'!L45)</f>
        <v>##BLANK</v>
      </c>
    </row>
    <row r="3849" spans="2:7">
      <c r="B3849" s="893" t="str">
        <f>+'4M'!BN46</f>
        <v>S3A00010STP</v>
      </c>
      <c r="E3849" s="1753" t="s">
        <v>11007</v>
      </c>
      <c r="F3849" s="2146" t="str">
        <f>+'4M'!C$46</f>
        <v>Capital expenditure purpose - WASTEWATER additional line 10 [Other categories]</v>
      </c>
      <c r="G3849" t="str">
        <f>IF('4M'!L46="","##BLANK",'4M'!L46)</f>
        <v>##BLANK</v>
      </c>
    </row>
    <row r="3850" spans="2:7">
      <c r="B3850" s="893" t="str">
        <f>+'4M'!BN47</f>
        <v>S3A00011STP</v>
      </c>
      <c r="E3850" s="1753" t="s">
        <v>11007</v>
      </c>
      <c r="F3850" s="2146" t="str">
        <f>+'4M'!C$47</f>
        <v>Capital expenditure purpose - WASTEWATER additional line 11 [Other categories]</v>
      </c>
      <c r="G3850" t="str">
        <f>IF('4M'!L47="","##BLANK",'4M'!L47)</f>
        <v>##BLANK</v>
      </c>
    </row>
    <row r="3851" spans="2:7">
      <c r="B3851" s="893" t="str">
        <f>+'4M'!BN48</f>
        <v>S3A00012STP</v>
      </c>
      <c r="E3851" s="1753" t="s">
        <v>11007</v>
      </c>
      <c r="F3851" s="2146" t="str">
        <f>+'4M'!C$48</f>
        <v>Capital expenditure purpose - WASTEWATER additional line 12 [Other categories]</v>
      </c>
      <c r="G3851" t="str">
        <f>IF('4M'!L48="","##BLANK",'4M'!L48)</f>
        <v>##BLANK</v>
      </c>
    </row>
    <row r="3852" spans="2:7">
      <c r="B3852" s="893" t="str">
        <f>+'4M'!BN49</f>
        <v>S3A00013STP</v>
      </c>
      <c r="E3852" s="1753" t="s">
        <v>11007</v>
      </c>
      <c r="F3852" s="2146" t="str">
        <f>+'4M'!C$49</f>
        <v>Capital expenditure purpose - WASTEWATER additional line 13 [Other categories]</v>
      </c>
      <c r="G3852" t="str">
        <f>IF('4M'!L49="","##BLANK",'4M'!L49)</f>
        <v>##BLANK</v>
      </c>
    </row>
    <row r="3853" spans="2:7">
      <c r="B3853" s="893" t="str">
        <f>+'4M'!BN50</f>
        <v>S3A00014STP</v>
      </c>
      <c r="E3853" s="1753" t="s">
        <v>11007</v>
      </c>
      <c r="F3853" s="2146" t="str">
        <f>+'4M'!C$50</f>
        <v>Capital expenditure purpose - WASTEWATER additional line 14 [Other categories]</v>
      </c>
      <c r="G3853" t="str">
        <f>IF('4M'!L50="","##BLANK",'4M'!L50)</f>
        <v>##BLANK</v>
      </c>
    </row>
    <row r="3854" spans="2:7">
      <c r="B3854" s="893" t="str">
        <f>+'4M'!BN51</f>
        <v>S3A00015STP</v>
      </c>
      <c r="E3854" s="1753" t="s">
        <v>11007</v>
      </c>
      <c r="F3854" s="2146" t="str">
        <f>+'4M'!C$51</f>
        <v>Capital expenditure purpose - WASTEWATER additional line 15 [Other categories]</v>
      </c>
      <c r="G3854" t="str">
        <f>IF('4M'!L51="","##BLANK",'4M'!L51)</f>
        <v>##BLANK</v>
      </c>
    </row>
    <row r="3855" spans="2:7">
      <c r="B3855" s="893" t="str">
        <f>+'4M'!BN52</f>
        <v>S3025ENHSTP</v>
      </c>
      <c r="E3855" s="1753" t="s">
        <v>11007</v>
      </c>
      <c r="G3855">
        <f>IF('4M'!L52="","##BLANK",'4M'!L52)</f>
        <v>0</v>
      </c>
    </row>
    <row r="3856" spans="2:7">
      <c r="B3856" s="893" t="str">
        <f>+'4M'!BO8</f>
        <v>BC31379SDT</v>
      </c>
      <c r="E3856" s="1753" t="s">
        <v>11007</v>
      </c>
      <c r="G3856" t="str">
        <f>IF('4M'!M8="","##BLANK",'4M'!M8)</f>
        <v>##BLANK</v>
      </c>
    </row>
    <row r="3857" spans="2:7">
      <c r="B3857" s="893" t="str">
        <f>+'4M'!BO9</f>
        <v>S3035QSDT</v>
      </c>
      <c r="E3857" s="1753" t="s">
        <v>11007</v>
      </c>
      <c r="G3857" t="str">
        <f>IF('4M'!M9="","##BLANK",'4M'!M9)</f>
        <v>##BLANK</v>
      </c>
    </row>
    <row r="3858" spans="2:7">
      <c r="B3858" s="893" t="str">
        <f>+'4M'!BO10</f>
        <v>S3036GSDT</v>
      </c>
      <c r="E3858" s="1753" t="s">
        <v>11007</v>
      </c>
      <c r="G3858" t="str">
        <f>IF('4M'!M10="","##BLANK",'4M'!M10)</f>
        <v>##BLANK</v>
      </c>
    </row>
    <row r="3859" spans="2:7">
      <c r="B3859" s="893" t="str">
        <f>+'4M'!BO11</f>
        <v>S3004SDT</v>
      </c>
      <c r="E3859" s="1753" t="s">
        <v>11007</v>
      </c>
      <c r="G3859" t="str">
        <f>IF('4M'!M11="","##BLANK",'4M'!M11)</f>
        <v>##BLANK</v>
      </c>
    </row>
    <row r="3860" spans="2:7">
      <c r="B3860" s="893" t="str">
        <f>+'4M'!BO12</f>
        <v>WWS2001SDT</v>
      </c>
      <c r="E3860" s="1753" t="s">
        <v>11007</v>
      </c>
      <c r="G3860" t="str">
        <f>IF('4M'!M12="","##BLANK",'4M'!M12)</f>
        <v>##BLANK</v>
      </c>
    </row>
    <row r="3861" spans="2:7">
      <c r="B3861" s="893" t="str">
        <f>+'4M'!BO13</f>
        <v>S3005SDT</v>
      </c>
      <c r="E3861" s="1753" t="s">
        <v>11007</v>
      </c>
      <c r="G3861" t="str">
        <f>IF('4M'!M13="","##BLANK",'4M'!M13)</f>
        <v>##BLANK</v>
      </c>
    </row>
    <row r="3862" spans="2:7">
      <c r="B3862" s="893" t="str">
        <f>+'4M'!BO14</f>
        <v>S3006SDT</v>
      </c>
      <c r="E3862" s="1753" t="s">
        <v>11007</v>
      </c>
      <c r="G3862" t="str">
        <f>IF('4M'!M14="","##BLANK",'4M'!M14)</f>
        <v>##BLANK</v>
      </c>
    </row>
    <row r="3863" spans="2:7">
      <c r="B3863" s="893" t="str">
        <f>+'4M'!BO15</f>
        <v>S3007SDT</v>
      </c>
      <c r="E3863" s="1753" t="s">
        <v>11007</v>
      </c>
      <c r="G3863" t="str">
        <f>IF('4M'!M15="","##BLANK",'4M'!M15)</f>
        <v>##BLANK</v>
      </c>
    </row>
    <row r="3864" spans="2:7">
      <c r="B3864" s="893" t="str">
        <f>+'4M'!BO16</f>
        <v>WWS2002SDT</v>
      </c>
      <c r="E3864" s="1753" t="s">
        <v>11007</v>
      </c>
      <c r="G3864" t="str">
        <f>IF('4M'!M16="","##BLANK",'4M'!M16)</f>
        <v>##BLANK</v>
      </c>
    </row>
    <row r="3865" spans="2:7">
      <c r="B3865" s="893" t="str">
        <f>+'4M'!BO17</f>
        <v>WWS2003SDT</v>
      </c>
      <c r="E3865" s="1753" t="s">
        <v>11007</v>
      </c>
      <c r="G3865" t="str">
        <f>IF('4M'!M17="","##BLANK",'4M'!M17)</f>
        <v>##BLANK</v>
      </c>
    </row>
    <row r="3866" spans="2:7">
      <c r="B3866" s="893" t="str">
        <f>+'4M'!BO18</f>
        <v>S3008SDT</v>
      </c>
      <c r="E3866" s="1753" t="s">
        <v>11007</v>
      </c>
      <c r="G3866" t="str">
        <f>IF('4M'!M18="","##BLANK",'4M'!M18)</f>
        <v>##BLANK</v>
      </c>
    </row>
    <row r="3867" spans="2:7">
      <c r="B3867" s="893" t="str">
        <f>+'4M'!BO19</f>
        <v>S3009SDT</v>
      </c>
      <c r="E3867" s="1753" t="s">
        <v>11007</v>
      </c>
      <c r="G3867" t="str">
        <f>IF('4M'!M19="","##BLANK",'4M'!M19)</f>
        <v>##BLANK</v>
      </c>
    </row>
    <row r="3868" spans="2:7">
      <c r="B3868" s="893" t="str">
        <f>+'4M'!BO20</f>
        <v>WWS2007SDT</v>
      </c>
      <c r="E3868" s="1753" t="s">
        <v>11007</v>
      </c>
      <c r="G3868" t="str">
        <f>IF('4M'!M20="","##BLANK",'4M'!M20)</f>
        <v>##BLANK</v>
      </c>
    </row>
    <row r="3869" spans="2:7">
      <c r="B3869" s="893" t="str">
        <f>+'4M'!BO21</f>
        <v>S3010SDT</v>
      </c>
      <c r="E3869" s="1753" t="s">
        <v>11007</v>
      </c>
      <c r="G3869" t="str">
        <f>IF('4M'!M21="","##BLANK",'4M'!M21)</f>
        <v>##BLANK</v>
      </c>
    </row>
    <row r="3870" spans="2:7">
      <c r="B3870" s="893" t="str">
        <f>+'4M'!BO22</f>
        <v>S3011SDT</v>
      </c>
      <c r="E3870" s="1753" t="s">
        <v>11007</v>
      </c>
      <c r="G3870" t="str">
        <f>IF('4M'!M22="","##BLANK",'4M'!M22)</f>
        <v>##BLANK</v>
      </c>
    </row>
    <row r="3871" spans="2:7">
      <c r="B3871" s="893" t="str">
        <f>+'4M'!BO23</f>
        <v>S3012SDT</v>
      </c>
      <c r="E3871" s="1753" t="s">
        <v>11007</v>
      </c>
      <c r="G3871" t="str">
        <f>IF('4M'!M23="","##BLANK",'4M'!M23)</f>
        <v>##BLANK</v>
      </c>
    </row>
    <row r="3872" spans="2:7">
      <c r="B3872" s="893" t="str">
        <f>+'4M'!BO24</f>
        <v>S3013SDT</v>
      </c>
      <c r="E3872" s="1753" t="s">
        <v>11007</v>
      </c>
      <c r="G3872" t="str">
        <f>IF('4M'!M24="","##BLANK",'4M'!M24)</f>
        <v>##BLANK</v>
      </c>
    </row>
    <row r="3873" spans="2:7">
      <c r="B3873" s="893" t="str">
        <f>+'4M'!BO25</f>
        <v>S3014SDT</v>
      </c>
      <c r="E3873" s="1753" t="s">
        <v>11007</v>
      </c>
      <c r="G3873" t="str">
        <f>IF('4M'!M25="","##BLANK",'4M'!M25)</f>
        <v>##BLANK</v>
      </c>
    </row>
    <row r="3874" spans="2:7">
      <c r="B3874" s="893" t="str">
        <f>+'4M'!BO26</f>
        <v>S3015SDT</v>
      </c>
      <c r="E3874" s="1753" t="s">
        <v>11007</v>
      </c>
      <c r="G3874" t="str">
        <f>IF('4M'!M26="","##BLANK",'4M'!M26)</f>
        <v>##BLANK</v>
      </c>
    </row>
    <row r="3875" spans="2:7">
      <c r="B3875" s="893" t="str">
        <f>+'4M'!BO27</f>
        <v>S3016SDT</v>
      </c>
      <c r="E3875" s="1753" t="s">
        <v>11007</v>
      </c>
      <c r="G3875" t="str">
        <f>IF('4M'!M27="","##BLANK",'4M'!M27)</f>
        <v>##BLANK</v>
      </c>
    </row>
    <row r="3876" spans="2:7">
      <c r="B3876" s="893" t="str">
        <f>+'4M'!BO28</f>
        <v>S3017SDT</v>
      </c>
      <c r="E3876" s="1753" t="s">
        <v>11007</v>
      </c>
      <c r="G3876" t="str">
        <f>IF('4M'!M28="","##BLANK",'4M'!M28)</f>
        <v>##BLANK</v>
      </c>
    </row>
    <row r="3877" spans="2:7">
      <c r="B3877" s="893" t="str">
        <f>+'4M'!BO29</f>
        <v>S3018SDT</v>
      </c>
      <c r="E3877" s="1753" t="s">
        <v>11007</v>
      </c>
      <c r="G3877" t="str">
        <f>IF('4M'!M29="","##BLANK",'4M'!M29)</f>
        <v>##BLANK</v>
      </c>
    </row>
    <row r="3878" spans="2:7">
      <c r="B3878" s="893" t="str">
        <f>+'4M'!BO30</f>
        <v>S3019SDT</v>
      </c>
      <c r="E3878" s="1753" t="s">
        <v>11007</v>
      </c>
      <c r="G3878" t="str">
        <f>IF('4M'!M30="","##BLANK",'4M'!M30)</f>
        <v>##BLANK</v>
      </c>
    </row>
    <row r="3879" spans="2:7">
      <c r="B3879" s="893" t="str">
        <f>+'4M'!BO31</f>
        <v>S3020SDT</v>
      </c>
      <c r="E3879" s="1753" t="s">
        <v>11007</v>
      </c>
      <c r="G3879" t="str">
        <f>IF('4M'!M31="","##BLANK",'4M'!M31)</f>
        <v>##BLANK</v>
      </c>
    </row>
    <row r="3880" spans="2:7">
      <c r="B3880" s="893" t="str">
        <f>+'4M'!BO32</f>
        <v>S3021SDT</v>
      </c>
      <c r="E3880" s="1753" t="s">
        <v>11007</v>
      </c>
      <c r="G3880" t="str">
        <f>IF('4M'!M32="","##BLANK",'4M'!M32)</f>
        <v>##BLANK</v>
      </c>
    </row>
    <row r="3881" spans="2:7">
      <c r="B3881" s="893" t="str">
        <f>+'4M'!BO33</f>
        <v>S3022SDT</v>
      </c>
      <c r="E3881" s="1753" t="s">
        <v>11007</v>
      </c>
      <c r="G3881" t="str">
        <f>IF('4M'!M33="","##BLANK",'4M'!M33)</f>
        <v>##BLANK</v>
      </c>
    </row>
    <row r="3882" spans="2:7">
      <c r="B3882" s="893" t="str">
        <f>+'4M'!BO34</f>
        <v>BC31785SDT</v>
      </c>
      <c r="E3882" s="1753" t="s">
        <v>11007</v>
      </c>
      <c r="G3882" t="str">
        <f>IF('4M'!M34="","##BLANK",'4M'!M34)</f>
        <v>##BLANK</v>
      </c>
    </row>
    <row r="3883" spans="2:7">
      <c r="B3883" s="893" t="str">
        <f>+'4M'!BO35</f>
        <v>S3023SDT</v>
      </c>
      <c r="E3883" s="1753" t="s">
        <v>11007</v>
      </c>
      <c r="G3883" t="str">
        <f>IF('4M'!M35="","##BLANK",'4M'!M35)</f>
        <v>##BLANK</v>
      </c>
    </row>
    <row r="3884" spans="2:7">
      <c r="B3884" s="893" t="str">
        <f>+'4M'!BO36</f>
        <v>S3024SDT</v>
      </c>
      <c r="E3884" s="1753" t="s">
        <v>11007</v>
      </c>
      <c r="G3884" t="str">
        <f>IF('4M'!M36="","##BLANK",'4M'!M36)</f>
        <v>##BLANK</v>
      </c>
    </row>
    <row r="3885" spans="2:7">
      <c r="B3885" s="893" t="str">
        <f>+'4M'!BO37</f>
        <v>S3A00001SDT</v>
      </c>
      <c r="E3885" s="1753" t="s">
        <v>11007</v>
      </c>
      <c r="F3885" s="2146" t="str">
        <f>+'4M'!C$37</f>
        <v>Capital expenditure purpose - WASTEWATER additional line 1 [Other categories]</v>
      </c>
      <c r="G3885" t="str">
        <f>IF('4M'!M37="","##BLANK",'4M'!M37)</f>
        <v>##BLANK</v>
      </c>
    </row>
    <row r="3886" spans="2:7">
      <c r="B3886" s="893" t="str">
        <f>+'4M'!BO38</f>
        <v>S3A00002SDT</v>
      </c>
      <c r="E3886" s="1753" t="s">
        <v>11007</v>
      </c>
      <c r="F3886" s="2146" t="str">
        <f>+'4M'!C$38</f>
        <v>Capital expenditure purpose - WASTEWATER additional line 2 [Other categories]</v>
      </c>
      <c r="G3886" t="str">
        <f>IF('4M'!M38="","##BLANK",'4M'!M38)</f>
        <v>##BLANK</v>
      </c>
    </row>
    <row r="3887" spans="2:7">
      <c r="B3887" s="893" t="str">
        <f>+'4M'!BO39</f>
        <v>S3A00003SDT</v>
      </c>
      <c r="E3887" s="1753" t="s">
        <v>11007</v>
      </c>
      <c r="F3887" s="2146" t="str">
        <f>+'4M'!C$39</f>
        <v>Capital expenditure purpose - WASTEWATER additional line 3 [Other categories]</v>
      </c>
      <c r="G3887" t="str">
        <f>IF('4M'!M39="","##BLANK",'4M'!M39)</f>
        <v>##BLANK</v>
      </c>
    </row>
    <row r="3888" spans="2:7">
      <c r="B3888" s="893" t="str">
        <f>+'4M'!BO40</f>
        <v>S3A00004SDT</v>
      </c>
      <c r="E3888" s="1753" t="s">
        <v>11007</v>
      </c>
      <c r="F3888" s="2146" t="str">
        <f>+'4M'!C$40</f>
        <v>Capital expenditure purpose - WASTEWATER additional line 4 [Other categories]</v>
      </c>
      <c r="G3888" t="str">
        <f>IF('4M'!M40="","##BLANK",'4M'!M40)</f>
        <v>##BLANK</v>
      </c>
    </row>
    <row r="3889" spans="2:7">
      <c r="B3889" s="893" t="str">
        <f>+'4M'!BO41</f>
        <v>S3A00005SDT</v>
      </c>
      <c r="E3889" s="1753" t="s">
        <v>11007</v>
      </c>
      <c r="F3889" s="2146" t="str">
        <f>+'4M'!C$41</f>
        <v>Capital expenditure purpose - WASTEWATER additional line 5 [Other categories]</v>
      </c>
      <c r="G3889" t="str">
        <f>IF('4M'!M41="","##BLANK",'4M'!M41)</f>
        <v>##BLANK</v>
      </c>
    </row>
    <row r="3890" spans="2:7">
      <c r="B3890" s="893" t="str">
        <f>+'4M'!BO42</f>
        <v>S3A00006SDT</v>
      </c>
      <c r="E3890" s="1753" t="s">
        <v>11007</v>
      </c>
      <c r="F3890" s="2146" t="str">
        <f>+'4M'!C$42</f>
        <v>Capital expenditure purpose - WASTEWATER additional line 6 [Other categories]</v>
      </c>
      <c r="G3890" t="str">
        <f>IF('4M'!M42="","##BLANK",'4M'!M42)</f>
        <v>##BLANK</v>
      </c>
    </row>
    <row r="3891" spans="2:7">
      <c r="B3891" s="893" t="str">
        <f>+'4M'!BO43</f>
        <v>S3A00007SDT</v>
      </c>
      <c r="E3891" s="1753" t="s">
        <v>11007</v>
      </c>
      <c r="F3891" s="2146" t="str">
        <f>+'4M'!C$43</f>
        <v>Capital expenditure purpose - WASTEWATER additional line 7 [Other categories]</v>
      </c>
      <c r="G3891" t="str">
        <f>IF('4M'!M43="","##BLANK",'4M'!M43)</f>
        <v>##BLANK</v>
      </c>
    </row>
    <row r="3892" spans="2:7">
      <c r="B3892" s="893" t="str">
        <f>+'4M'!BO44</f>
        <v>S3A00008SDT</v>
      </c>
      <c r="E3892" s="1753" t="s">
        <v>11007</v>
      </c>
      <c r="F3892" s="2146" t="str">
        <f>+'4M'!C$44</f>
        <v>Capital expenditure purpose - WASTEWATER additional line 8 [Other categories]</v>
      </c>
      <c r="G3892" t="str">
        <f>IF('4M'!M44="","##BLANK",'4M'!M44)</f>
        <v>##BLANK</v>
      </c>
    </row>
    <row r="3893" spans="2:7">
      <c r="B3893" s="893" t="str">
        <f>+'4M'!BO45</f>
        <v>S3A00009SDT</v>
      </c>
      <c r="E3893" s="1753" t="s">
        <v>11007</v>
      </c>
      <c r="F3893" s="2146" t="str">
        <f>+'4M'!C$45</f>
        <v>Capital expenditure purpose - WASTEWATER additional line 9 [Other categories]</v>
      </c>
      <c r="G3893" t="str">
        <f>IF('4M'!M45="","##BLANK",'4M'!M45)</f>
        <v>##BLANK</v>
      </c>
    </row>
    <row r="3894" spans="2:7">
      <c r="B3894" s="893" t="str">
        <f>+'4M'!BO46</f>
        <v>S3A00010SDT</v>
      </c>
      <c r="E3894" s="1753" t="s">
        <v>11007</v>
      </c>
      <c r="F3894" s="2146" t="str">
        <f>+'4M'!C$46</f>
        <v>Capital expenditure purpose - WASTEWATER additional line 10 [Other categories]</v>
      </c>
      <c r="G3894" t="str">
        <f>IF('4M'!M46="","##BLANK",'4M'!M46)</f>
        <v>##BLANK</v>
      </c>
    </row>
    <row r="3895" spans="2:7">
      <c r="B3895" s="893" t="str">
        <f>+'4M'!BO47</f>
        <v>S3A00011SDT</v>
      </c>
      <c r="E3895" s="1753" t="s">
        <v>11007</v>
      </c>
      <c r="F3895" s="2146" t="str">
        <f>+'4M'!C$47</f>
        <v>Capital expenditure purpose - WASTEWATER additional line 11 [Other categories]</v>
      </c>
      <c r="G3895" t="str">
        <f>IF('4M'!M47="","##BLANK",'4M'!M47)</f>
        <v>##BLANK</v>
      </c>
    </row>
    <row r="3896" spans="2:7">
      <c r="B3896" s="893" t="str">
        <f>+'4M'!BO48</f>
        <v>S3A00012SDT</v>
      </c>
      <c r="E3896" s="1753" t="s">
        <v>11007</v>
      </c>
      <c r="F3896" s="2146" t="str">
        <f>+'4M'!C$48</f>
        <v>Capital expenditure purpose - WASTEWATER additional line 12 [Other categories]</v>
      </c>
      <c r="G3896" t="str">
        <f>IF('4M'!M48="","##BLANK",'4M'!M48)</f>
        <v>##BLANK</v>
      </c>
    </row>
    <row r="3897" spans="2:7">
      <c r="B3897" s="893" t="str">
        <f>+'4M'!BO49</f>
        <v>S3A00013SDT</v>
      </c>
      <c r="E3897" s="1753" t="s">
        <v>11007</v>
      </c>
      <c r="F3897" s="2146" t="str">
        <f>+'4M'!C$49</f>
        <v>Capital expenditure purpose - WASTEWATER additional line 13 [Other categories]</v>
      </c>
      <c r="G3897" t="str">
        <f>IF('4M'!M49="","##BLANK",'4M'!M49)</f>
        <v>##BLANK</v>
      </c>
    </row>
    <row r="3898" spans="2:7">
      <c r="B3898" s="893" t="str">
        <f>+'4M'!BO50</f>
        <v>S3A00014SDT</v>
      </c>
      <c r="E3898" s="1753" t="s">
        <v>11007</v>
      </c>
      <c r="F3898" s="2146" t="str">
        <f>+'4M'!C$50</f>
        <v>Capital expenditure purpose - WASTEWATER additional line 14 [Other categories]</v>
      </c>
      <c r="G3898" t="str">
        <f>IF('4M'!M50="","##BLANK",'4M'!M50)</f>
        <v>##BLANK</v>
      </c>
    </row>
    <row r="3899" spans="2:7">
      <c r="B3899" s="893" t="str">
        <f>+'4M'!BO51</f>
        <v>S3A00015SDT</v>
      </c>
      <c r="E3899" s="1753" t="s">
        <v>11007</v>
      </c>
      <c r="F3899" s="2146" t="str">
        <f>+'4M'!C$51</f>
        <v>Capital expenditure purpose - WASTEWATER additional line 15 [Other categories]</v>
      </c>
      <c r="G3899" t="str">
        <f>IF('4M'!M51="","##BLANK",'4M'!M51)</f>
        <v>##BLANK</v>
      </c>
    </row>
    <row r="3900" spans="2:7">
      <c r="B3900" s="893" t="str">
        <f>+'4M'!BO52</f>
        <v>S3025ENHSDT</v>
      </c>
      <c r="E3900" s="1753" t="s">
        <v>11007</v>
      </c>
      <c r="G3900">
        <f>IF('4M'!M52="","##BLANK",'4M'!M52)</f>
        <v>0</v>
      </c>
    </row>
    <row r="3901" spans="2:7">
      <c r="B3901" s="893" t="str">
        <f>+'4M'!BP8</f>
        <v>BC31379SDD</v>
      </c>
      <c r="E3901" s="1753" t="s">
        <v>11007</v>
      </c>
      <c r="G3901" t="str">
        <f>IF('4M'!N8="","##BLANK",'4M'!N8)</f>
        <v>##BLANK</v>
      </c>
    </row>
    <row r="3902" spans="2:7">
      <c r="B3902" s="893" t="str">
        <f>+'4M'!BP9</f>
        <v>S3035QSDD</v>
      </c>
      <c r="E3902" s="1753" t="s">
        <v>11007</v>
      </c>
      <c r="G3902" t="str">
        <f>IF('4M'!N9="","##BLANK",'4M'!N9)</f>
        <v>##BLANK</v>
      </c>
    </row>
    <row r="3903" spans="2:7">
      <c r="B3903" s="893" t="str">
        <f>+'4M'!BP10</f>
        <v>S3036GSDD</v>
      </c>
      <c r="E3903" s="1753" t="s">
        <v>11007</v>
      </c>
      <c r="G3903" t="str">
        <f>IF('4M'!N10="","##BLANK",'4M'!N10)</f>
        <v>##BLANK</v>
      </c>
    </row>
    <row r="3904" spans="2:7">
      <c r="B3904" s="893" t="str">
        <f>+'4M'!BP11</f>
        <v>S3004SDD</v>
      </c>
      <c r="E3904" s="1753" t="s">
        <v>11007</v>
      </c>
      <c r="G3904" t="str">
        <f>IF('4M'!N11="","##BLANK",'4M'!N11)</f>
        <v>##BLANK</v>
      </c>
    </row>
    <row r="3905" spans="2:7">
      <c r="B3905" s="893" t="str">
        <f>+'4M'!BP12</f>
        <v>WWS2001SDD</v>
      </c>
      <c r="E3905" s="1753" t="s">
        <v>11007</v>
      </c>
      <c r="G3905" t="str">
        <f>IF('4M'!N12="","##BLANK",'4M'!N12)</f>
        <v>##BLANK</v>
      </c>
    </row>
    <row r="3906" spans="2:7">
      <c r="B3906" s="893" t="str">
        <f>+'4M'!BP13</f>
        <v>S3005SDD</v>
      </c>
      <c r="E3906" s="1753" t="s">
        <v>11007</v>
      </c>
      <c r="G3906" t="str">
        <f>IF('4M'!N13="","##BLANK",'4M'!N13)</f>
        <v>##BLANK</v>
      </c>
    </row>
    <row r="3907" spans="2:7">
      <c r="B3907" s="893" t="str">
        <f>+'4M'!BP14</f>
        <v>S3006SDD</v>
      </c>
      <c r="E3907" s="1753" t="s">
        <v>11007</v>
      </c>
      <c r="G3907" t="str">
        <f>IF('4M'!N14="","##BLANK",'4M'!N14)</f>
        <v>##BLANK</v>
      </c>
    </row>
    <row r="3908" spans="2:7">
      <c r="B3908" s="893" t="str">
        <f>+'4M'!BP15</f>
        <v>S3007SDD</v>
      </c>
      <c r="E3908" s="1753" t="s">
        <v>11007</v>
      </c>
      <c r="G3908" t="str">
        <f>IF('4M'!N15="","##BLANK",'4M'!N15)</f>
        <v>##BLANK</v>
      </c>
    </row>
    <row r="3909" spans="2:7">
      <c r="B3909" s="893" t="str">
        <f>+'4M'!BP16</f>
        <v>WWS2002SDD</v>
      </c>
      <c r="E3909" s="1753" t="s">
        <v>11007</v>
      </c>
      <c r="G3909" t="str">
        <f>IF('4M'!N16="","##BLANK",'4M'!N16)</f>
        <v>##BLANK</v>
      </c>
    </row>
    <row r="3910" spans="2:7">
      <c r="B3910" s="893" t="str">
        <f>+'4M'!BP17</f>
        <v>WWS2003SDD</v>
      </c>
      <c r="E3910" s="1753" t="s">
        <v>11007</v>
      </c>
      <c r="G3910" t="str">
        <f>IF('4M'!N17="","##BLANK",'4M'!N17)</f>
        <v>##BLANK</v>
      </c>
    </row>
    <row r="3911" spans="2:7">
      <c r="B3911" s="893" t="str">
        <f>+'4M'!BP18</f>
        <v>S3008SDD</v>
      </c>
      <c r="E3911" s="1753" t="s">
        <v>11007</v>
      </c>
      <c r="G3911" t="str">
        <f>IF('4M'!N18="","##BLANK",'4M'!N18)</f>
        <v>##BLANK</v>
      </c>
    </row>
    <row r="3912" spans="2:7">
      <c r="B3912" s="893" t="str">
        <f>+'4M'!BP19</f>
        <v>S3009SDD</v>
      </c>
      <c r="E3912" s="1753" t="s">
        <v>11007</v>
      </c>
      <c r="G3912" t="str">
        <f>IF('4M'!N19="","##BLANK",'4M'!N19)</f>
        <v>##BLANK</v>
      </c>
    </row>
    <row r="3913" spans="2:7">
      <c r="B3913" s="893" t="str">
        <f>+'4M'!BP20</f>
        <v>WWS2007SDD</v>
      </c>
      <c r="E3913" s="1753" t="s">
        <v>11007</v>
      </c>
      <c r="G3913" t="str">
        <f>IF('4M'!N20="","##BLANK",'4M'!N20)</f>
        <v>##BLANK</v>
      </c>
    </row>
    <row r="3914" spans="2:7">
      <c r="B3914" s="893" t="str">
        <f>+'4M'!BP21</f>
        <v>S3010SDD</v>
      </c>
      <c r="E3914" s="1753" t="s">
        <v>11007</v>
      </c>
      <c r="G3914" t="str">
        <f>IF('4M'!N21="","##BLANK",'4M'!N21)</f>
        <v>##BLANK</v>
      </c>
    </row>
    <row r="3915" spans="2:7">
      <c r="B3915" s="893" t="str">
        <f>+'4M'!BP22</f>
        <v>S3011SDD</v>
      </c>
      <c r="E3915" s="1753" t="s">
        <v>11007</v>
      </c>
      <c r="G3915" t="str">
        <f>IF('4M'!N22="","##BLANK",'4M'!N22)</f>
        <v>##BLANK</v>
      </c>
    </row>
    <row r="3916" spans="2:7">
      <c r="B3916" s="893" t="str">
        <f>+'4M'!BP23</f>
        <v>S3012SDD</v>
      </c>
      <c r="E3916" s="1753" t="s">
        <v>11007</v>
      </c>
      <c r="G3916" t="str">
        <f>IF('4M'!N23="","##BLANK",'4M'!N23)</f>
        <v>##BLANK</v>
      </c>
    </row>
    <row r="3917" spans="2:7">
      <c r="B3917" s="893" t="str">
        <f>+'4M'!BP24</f>
        <v>S3013SDD</v>
      </c>
      <c r="E3917" s="1753" t="s">
        <v>11007</v>
      </c>
      <c r="G3917" t="str">
        <f>IF('4M'!N24="","##BLANK",'4M'!N24)</f>
        <v>##BLANK</v>
      </c>
    </row>
    <row r="3918" spans="2:7">
      <c r="B3918" s="893" t="str">
        <f>+'4M'!BP25</f>
        <v>S3014SDD</v>
      </c>
      <c r="E3918" s="1753" t="s">
        <v>11007</v>
      </c>
      <c r="G3918" t="str">
        <f>IF('4M'!N25="","##BLANK",'4M'!N25)</f>
        <v>##BLANK</v>
      </c>
    </row>
    <row r="3919" spans="2:7">
      <c r="B3919" s="893" t="str">
        <f>+'4M'!BP26</f>
        <v>S3015SDD</v>
      </c>
      <c r="E3919" s="1753" t="s">
        <v>11007</v>
      </c>
      <c r="G3919" t="str">
        <f>IF('4M'!N26="","##BLANK",'4M'!N26)</f>
        <v>##BLANK</v>
      </c>
    </row>
    <row r="3920" spans="2:7">
      <c r="B3920" s="893" t="str">
        <f>+'4M'!BP27</f>
        <v>S3016SDD</v>
      </c>
      <c r="E3920" s="1753" t="s">
        <v>11007</v>
      </c>
      <c r="G3920" t="str">
        <f>IF('4M'!N27="","##BLANK",'4M'!N27)</f>
        <v>##BLANK</v>
      </c>
    </row>
    <row r="3921" spans="2:7">
      <c r="B3921" s="893" t="str">
        <f>+'4M'!BP28</f>
        <v>S3017SDD</v>
      </c>
      <c r="E3921" s="1753" t="s">
        <v>11007</v>
      </c>
      <c r="G3921" t="str">
        <f>IF('4M'!N28="","##BLANK",'4M'!N28)</f>
        <v>##BLANK</v>
      </c>
    </row>
    <row r="3922" spans="2:7">
      <c r="B3922" s="893" t="str">
        <f>+'4M'!BP29</f>
        <v>S3018SDD</v>
      </c>
      <c r="E3922" s="1753" t="s">
        <v>11007</v>
      </c>
      <c r="G3922" t="str">
        <f>IF('4M'!N29="","##BLANK",'4M'!N29)</f>
        <v>##BLANK</v>
      </c>
    </row>
    <row r="3923" spans="2:7">
      <c r="B3923" s="893" t="str">
        <f>+'4M'!BP30</f>
        <v>S3019SDD</v>
      </c>
      <c r="E3923" s="1753" t="s">
        <v>11007</v>
      </c>
      <c r="G3923" t="str">
        <f>IF('4M'!N30="","##BLANK",'4M'!N30)</f>
        <v>##BLANK</v>
      </c>
    </row>
    <row r="3924" spans="2:7">
      <c r="B3924" s="893" t="str">
        <f>+'4M'!BP31</f>
        <v>S3020SDD</v>
      </c>
      <c r="E3924" s="1753" t="s">
        <v>11007</v>
      </c>
      <c r="G3924" t="str">
        <f>IF('4M'!N31="","##BLANK",'4M'!N31)</f>
        <v>##BLANK</v>
      </c>
    </row>
    <row r="3925" spans="2:7">
      <c r="B3925" s="893" t="str">
        <f>+'4M'!BP32</f>
        <v>S3021SDD</v>
      </c>
      <c r="E3925" s="1753" t="s">
        <v>11007</v>
      </c>
      <c r="G3925" t="str">
        <f>IF('4M'!N32="","##BLANK",'4M'!N32)</f>
        <v>##BLANK</v>
      </c>
    </row>
    <row r="3926" spans="2:7">
      <c r="B3926" s="893" t="str">
        <f>+'4M'!BP33</f>
        <v>S3022SDD</v>
      </c>
      <c r="E3926" s="1753" t="s">
        <v>11007</v>
      </c>
      <c r="G3926" t="str">
        <f>IF('4M'!N33="","##BLANK",'4M'!N33)</f>
        <v>##BLANK</v>
      </c>
    </row>
    <row r="3927" spans="2:7">
      <c r="B3927" s="893" t="str">
        <f>+'4M'!BP34</f>
        <v>BC31785SDD</v>
      </c>
      <c r="E3927" s="1753" t="s">
        <v>11007</v>
      </c>
      <c r="G3927" t="str">
        <f>IF('4M'!N34="","##BLANK",'4M'!N34)</f>
        <v>##BLANK</v>
      </c>
    </row>
    <row r="3928" spans="2:7">
      <c r="B3928" s="893" t="str">
        <f>+'4M'!BP35</f>
        <v>S3023SDD</v>
      </c>
      <c r="E3928" s="1753" t="s">
        <v>11007</v>
      </c>
      <c r="G3928" t="str">
        <f>IF('4M'!N35="","##BLANK",'4M'!N35)</f>
        <v>##BLANK</v>
      </c>
    </row>
    <row r="3929" spans="2:7">
      <c r="B3929" s="893" t="str">
        <f>+'4M'!BP36</f>
        <v>S3024SDD</v>
      </c>
      <c r="E3929" s="1753" t="s">
        <v>11007</v>
      </c>
      <c r="G3929" t="str">
        <f>IF('4M'!N36="","##BLANK",'4M'!N36)</f>
        <v>##BLANK</v>
      </c>
    </row>
    <row r="3930" spans="2:7">
      <c r="B3930" s="893" t="str">
        <f>+'4M'!BP37</f>
        <v>S3A00001SDD</v>
      </c>
      <c r="E3930" s="1753" t="s">
        <v>11007</v>
      </c>
      <c r="F3930" s="2146" t="str">
        <f>+'4M'!C$37</f>
        <v>Capital expenditure purpose - WASTEWATER additional line 1 [Other categories]</v>
      </c>
      <c r="G3930" t="str">
        <f>IF('4M'!N37="","##BLANK",'4M'!N37)</f>
        <v>##BLANK</v>
      </c>
    </row>
    <row r="3931" spans="2:7">
      <c r="B3931" s="893" t="str">
        <f>+'4M'!BP38</f>
        <v>S3A00002SDD</v>
      </c>
      <c r="E3931" s="1753" t="s">
        <v>11007</v>
      </c>
      <c r="F3931" s="2146" t="str">
        <f>+'4M'!C$38</f>
        <v>Capital expenditure purpose - WASTEWATER additional line 2 [Other categories]</v>
      </c>
      <c r="G3931" t="str">
        <f>IF('4M'!N38="","##BLANK",'4M'!N38)</f>
        <v>##BLANK</v>
      </c>
    </row>
    <row r="3932" spans="2:7">
      <c r="B3932" s="893" t="str">
        <f>+'4M'!BP39</f>
        <v>S3A00003SDD</v>
      </c>
      <c r="E3932" s="1753" t="s">
        <v>11007</v>
      </c>
      <c r="F3932" s="2146" t="str">
        <f>+'4M'!C$39</f>
        <v>Capital expenditure purpose - WASTEWATER additional line 3 [Other categories]</v>
      </c>
      <c r="G3932" t="str">
        <f>IF('4M'!N39="","##BLANK",'4M'!N39)</f>
        <v>##BLANK</v>
      </c>
    </row>
    <row r="3933" spans="2:7">
      <c r="B3933" s="893" t="str">
        <f>+'4M'!BP40</f>
        <v>S3A00004SDD</v>
      </c>
      <c r="E3933" s="1753" t="s">
        <v>11007</v>
      </c>
      <c r="F3933" s="2146" t="str">
        <f>+'4M'!C$40</f>
        <v>Capital expenditure purpose - WASTEWATER additional line 4 [Other categories]</v>
      </c>
      <c r="G3933" t="str">
        <f>IF('4M'!N40="","##BLANK",'4M'!N40)</f>
        <v>##BLANK</v>
      </c>
    </row>
    <row r="3934" spans="2:7">
      <c r="B3934" s="893" t="str">
        <f>+'4M'!BP41</f>
        <v>S3A00005SDD</v>
      </c>
      <c r="E3934" s="1753" t="s">
        <v>11007</v>
      </c>
      <c r="F3934" s="2146" t="str">
        <f>+'4M'!C$41</f>
        <v>Capital expenditure purpose - WASTEWATER additional line 5 [Other categories]</v>
      </c>
      <c r="G3934" t="str">
        <f>IF('4M'!N41="","##BLANK",'4M'!N41)</f>
        <v>##BLANK</v>
      </c>
    </row>
    <row r="3935" spans="2:7">
      <c r="B3935" s="893" t="str">
        <f>+'4M'!BP42</f>
        <v>S3A00006SDD</v>
      </c>
      <c r="E3935" s="1753" t="s">
        <v>11007</v>
      </c>
      <c r="F3935" s="2146" t="str">
        <f>+'4M'!C$42</f>
        <v>Capital expenditure purpose - WASTEWATER additional line 6 [Other categories]</v>
      </c>
      <c r="G3935" t="str">
        <f>IF('4M'!N42="","##BLANK",'4M'!N42)</f>
        <v>##BLANK</v>
      </c>
    </row>
    <row r="3936" spans="2:7">
      <c r="B3936" s="893" t="str">
        <f>+'4M'!BP43</f>
        <v>S3A00007SDD</v>
      </c>
      <c r="E3936" s="1753" t="s">
        <v>11007</v>
      </c>
      <c r="F3936" s="2146" t="str">
        <f>+'4M'!C$43</f>
        <v>Capital expenditure purpose - WASTEWATER additional line 7 [Other categories]</v>
      </c>
      <c r="G3936" t="str">
        <f>IF('4M'!N43="","##BLANK",'4M'!N43)</f>
        <v>##BLANK</v>
      </c>
    </row>
    <row r="3937" spans="2:7">
      <c r="B3937" s="893" t="str">
        <f>+'4M'!BP44</f>
        <v>S3A00008SDD</v>
      </c>
      <c r="E3937" s="1753" t="s">
        <v>11007</v>
      </c>
      <c r="F3937" s="2146" t="str">
        <f>+'4M'!C$44</f>
        <v>Capital expenditure purpose - WASTEWATER additional line 8 [Other categories]</v>
      </c>
      <c r="G3937" t="str">
        <f>IF('4M'!N44="","##BLANK",'4M'!N44)</f>
        <v>##BLANK</v>
      </c>
    </row>
    <row r="3938" spans="2:7">
      <c r="B3938" s="893" t="str">
        <f>+'4M'!BP45</f>
        <v>S3A00009SDD</v>
      </c>
      <c r="E3938" s="1753" t="s">
        <v>11007</v>
      </c>
      <c r="F3938" s="2146" t="str">
        <f>+'4M'!C$45</f>
        <v>Capital expenditure purpose - WASTEWATER additional line 9 [Other categories]</v>
      </c>
      <c r="G3938" t="str">
        <f>IF('4M'!N45="","##BLANK",'4M'!N45)</f>
        <v>##BLANK</v>
      </c>
    </row>
    <row r="3939" spans="2:7">
      <c r="B3939" s="893" t="str">
        <f>+'4M'!BP46</f>
        <v>S3A00010SDD</v>
      </c>
      <c r="E3939" s="1753" t="s">
        <v>11007</v>
      </c>
      <c r="F3939" s="2146" t="str">
        <f>+'4M'!C$46</f>
        <v>Capital expenditure purpose - WASTEWATER additional line 10 [Other categories]</v>
      </c>
      <c r="G3939" t="str">
        <f>IF('4M'!N46="","##BLANK",'4M'!N46)</f>
        <v>##BLANK</v>
      </c>
    </row>
    <row r="3940" spans="2:7">
      <c r="B3940" s="893" t="str">
        <f>+'4M'!BP47</f>
        <v>S3A00011SDD</v>
      </c>
      <c r="E3940" s="1753" t="s">
        <v>11007</v>
      </c>
      <c r="F3940" s="2146" t="str">
        <f>+'4M'!C$47</f>
        <v>Capital expenditure purpose - WASTEWATER additional line 11 [Other categories]</v>
      </c>
      <c r="G3940" t="str">
        <f>IF('4M'!N47="","##BLANK",'4M'!N47)</f>
        <v>##BLANK</v>
      </c>
    </row>
    <row r="3941" spans="2:7">
      <c r="B3941" s="893" t="str">
        <f>+'4M'!BP48</f>
        <v>S3A00012SDD</v>
      </c>
      <c r="E3941" s="1753" t="s">
        <v>11007</v>
      </c>
      <c r="F3941" s="2146" t="str">
        <f>+'4M'!C$48</f>
        <v>Capital expenditure purpose - WASTEWATER additional line 12 [Other categories]</v>
      </c>
      <c r="G3941" t="str">
        <f>IF('4M'!N48="","##BLANK",'4M'!N48)</f>
        <v>##BLANK</v>
      </c>
    </row>
    <row r="3942" spans="2:7">
      <c r="B3942" s="893" t="str">
        <f>+'4M'!BP49</f>
        <v>S3A00013SDD</v>
      </c>
      <c r="E3942" s="1753" t="s">
        <v>11007</v>
      </c>
      <c r="F3942" s="2146" t="str">
        <f>+'4M'!C$49</f>
        <v>Capital expenditure purpose - WASTEWATER additional line 13 [Other categories]</v>
      </c>
      <c r="G3942" t="str">
        <f>IF('4M'!N49="","##BLANK",'4M'!N49)</f>
        <v>##BLANK</v>
      </c>
    </row>
    <row r="3943" spans="2:7">
      <c r="B3943" s="893" t="str">
        <f>+'4M'!BP50</f>
        <v>S3A00014SDD</v>
      </c>
      <c r="E3943" s="1753" t="s">
        <v>11007</v>
      </c>
      <c r="F3943" s="2146" t="str">
        <f>+'4M'!C$50</f>
        <v>Capital expenditure purpose - WASTEWATER additional line 14 [Other categories]</v>
      </c>
      <c r="G3943" t="str">
        <f>IF('4M'!N50="","##BLANK",'4M'!N50)</f>
        <v>##BLANK</v>
      </c>
    </row>
    <row r="3944" spans="2:7">
      <c r="B3944" s="893" t="str">
        <f>+'4M'!BP51</f>
        <v>S3A00015SDD</v>
      </c>
      <c r="E3944" s="1753" t="s">
        <v>11007</v>
      </c>
      <c r="F3944" s="2146" t="str">
        <f>+'4M'!C$51</f>
        <v>Capital expenditure purpose - WASTEWATER additional line 15 [Other categories]</v>
      </c>
      <c r="G3944" t="str">
        <f>IF('4M'!N51="","##BLANK",'4M'!N51)</f>
        <v>##BLANK</v>
      </c>
    </row>
    <row r="3945" spans="2:7">
      <c r="B3945" s="893" t="str">
        <f>+'4M'!BP52</f>
        <v>S3025ENHSDD</v>
      </c>
      <c r="E3945" s="1753" t="s">
        <v>11007</v>
      </c>
      <c r="G3945">
        <f>IF('4M'!N52="","##BLANK",'4M'!N52)</f>
        <v>0</v>
      </c>
    </row>
    <row r="3946" spans="2:7">
      <c r="B3946" s="893" t="str">
        <f>+'4M'!BQ8</f>
        <v>BC31379CAS</v>
      </c>
      <c r="E3946" s="1753" t="s">
        <v>11007</v>
      </c>
      <c r="G3946">
        <f>IF('4M'!O8="","##BLANK",'4M'!O8)</f>
        <v>0</v>
      </c>
    </row>
    <row r="3947" spans="2:7">
      <c r="B3947" s="893" t="str">
        <f>+'4M'!BQ9</f>
        <v>S3035QCAS</v>
      </c>
      <c r="E3947" s="1753" t="s">
        <v>11007</v>
      </c>
      <c r="G3947">
        <f>IF('4M'!O9="","##BLANK",'4M'!O9)</f>
        <v>0</v>
      </c>
    </row>
    <row r="3948" spans="2:7">
      <c r="B3948" s="893" t="str">
        <f>+'4M'!BQ10</f>
        <v>S3036GCAS</v>
      </c>
      <c r="E3948" s="1753" t="s">
        <v>11007</v>
      </c>
      <c r="G3948">
        <f>IF('4M'!O10="","##BLANK",'4M'!O10)</f>
        <v>0</v>
      </c>
    </row>
    <row r="3949" spans="2:7">
      <c r="B3949" s="893" t="str">
        <f>+'4M'!BQ11</f>
        <v>S3004CAS</v>
      </c>
      <c r="E3949" s="1753" t="s">
        <v>11007</v>
      </c>
      <c r="G3949">
        <f>IF('4M'!O11="","##BLANK",'4M'!O11)</f>
        <v>0</v>
      </c>
    </row>
    <row r="3950" spans="2:7">
      <c r="B3950" s="893" t="str">
        <f>+'4M'!BQ12</f>
        <v>WWS2001CAS</v>
      </c>
      <c r="E3950" s="1753" t="s">
        <v>11007</v>
      </c>
      <c r="G3950">
        <f>IF('4M'!O12="","##BLANK",'4M'!O12)</f>
        <v>0</v>
      </c>
    </row>
    <row r="3951" spans="2:7">
      <c r="B3951" s="893" t="str">
        <f>+'4M'!BQ13</f>
        <v>S3005CAS</v>
      </c>
      <c r="E3951" s="1753" t="s">
        <v>11007</v>
      </c>
      <c r="G3951">
        <f>IF('4M'!O13="","##BLANK",'4M'!O13)</f>
        <v>0</v>
      </c>
    </row>
    <row r="3952" spans="2:7">
      <c r="B3952" s="893" t="str">
        <f>+'4M'!BQ14</f>
        <v>S3006CAS</v>
      </c>
      <c r="E3952" s="1753" t="s">
        <v>11007</v>
      </c>
      <c r="G3952">
        <f>IF('4M'!O14="","##BLANK",'4M'!O14)</f>
        <v>0</v>
      </c>
    </row>
    <row r="3953" spans="2:7">
      <c r="B3953" s="893" t="str">
        <f>+'4M'!BQ15</f>
        <v>S3007CAS</v>
      </c>
      <c r="E3953" s="1753" t="s">
        <v>11007</v>
      </c>
      <c r="G3953">
        <f>IF('4M'!O15="","##BLANK",'4M'!O15)</f>
        <v>0</v>
      </c>
    </row>
    <row r="3954" spans="2:7">
      <c r="B3954" s="893" t="str">
        <f>+'4M'!BQ16</f>
        <v>WWS2002CAS</v>
      </c>
      <c r="E3954" s="1753" t="s">
        <v>11007</v>
      </c>
      <c r="G3954">
        <f>IF('4M'!O16="","##BLANK",'4M'!O16)</f>
        <v>0</v>
      </c>
    </row>
    <row r="3955" spans="2:7">
      <c r="B3955" s="893" t="str">
        <f>+'4M'!BQ17</f>
        <v>WWS2003CAS</v>
      </c>
      <c r="E3955" s="1753" t="s">
        <v>11007</v>
      </c>
      <c r="G3955">
        <f>IF('4M'!O17="","##BLANK",'4M'!O17)</f>
        <v>0</v>
      </c>
    </row>
    <row r="3956" spans="2:7">
      <c r="B3956" s="893" t="str">
        <f>+'4M'!BQ18</f>
        <v>S3008CAS</v>
      </c>
      <c r="E3956" s="1753" t="s">
        <v>11007</v>
      </c>
      <c r="G3956">
        <f>IF('4M'!O18="","##BLANK",'4M'!O18)</f>
        <v>0</v>
      </c>
    </row>
    <row r="3957" spans="2:7">
      <c r="B3957" s="893" t="str">
        <f>+'4M'!BQ19</f>
        <v>S3009CAS</v>
      </c>
      <c r="E3957" s="1753" t="s">
        <v>11007</v>
      </c>
      <c r="G3957">
        <f>IF('4M'!O19="","##BLANK",'4M'!O19)</f>
        <v>0</v>
      </c>
    </row>
    <row r="3958" spans="2:7">
      <c r="B3958" s="893" t="str">
        <f>+'4M'!BQ20</f>
        <v>WWS2007CAS</v>
      </c>
      <c r="E3958" s="1753" t="s">
        <v>11007</v>
      </c>
      <c r="G3958">
        <f>IF('4M'!O20="","##BLANK",'4M'!O20)</f>
        <v>0</v>
      </c>
    </row>
    <row r="3959" spans="2:7">
      <c r="B3959" s="893" t="str">
        <f>+'4M'!BQ21</f>
        <v>S3010CAS</v>
      </c>
      <c r="E3959" s="1753" t="s">
        <v>11007</v>
      </c>
      <c r="G3959">
        <f>IF('4M'!O21="","##BLANK",'4M'!O21)</f>
        <v>0</v>
      </c>
    </row>
    <row r="3960" spans="2:7">
      <c r="B3960" s="893" t="str">
        <f>+'4M'!BQ22</f>
        <v>S3011CAS</v>
      </c>
      <c r="E3960" s="1753" t="s">
        <v>11007</v>
      </c>
      <c r="G3960">
        <f>IF('4M'!O22="","##BLANK",'4M'!O22)</f>
        <v>0</v>
      </c>
    </row>
    <row r="3961" spans="2:7">
      <c r="B3961" s="893" t="str">
        <f>+'4M'!BQ23</f>
        <v>S3012CAS</v>
      </c>
      <c r="E3961" s="1753" t="s">
        <v>11007</v>
      </c>
      <c r="G3961">
        <f>IF('4M'!O23="","##BLANK",'4M'!O23)</f>
        <v>0</v>
      </c>
    </row>
    <row r="3962" spans="2:7">
      <c r="B3962" s="893" t="str">
        <f>+'4M'!BQ24</f>
        <v>S3013CAS</v>
      </c>
      <c r="E3962" s="1753" t="s">
        <v>11007</v>
      </c>
      <c r="G3962">
        <f>IF('4M'!O24="","##BLANK",'4M'!O24)</f>
        <v>0</v>
      </c>
    </row>
    <row r="3963" spans="2:7">
      <c r="B3963" s="893" t="str">
        <f>+'4M'!BQ25</f>
        <v>S3014CAS</v>
      </c>
      <c r="E3963" s="1753" t="s">
        <v>11007</v>
      </c>
      <c r="G3963">
        <f>IF('4M'!O25="","##BLANK",'4M'!O25)</f>
        <v>0</v>
      </c>
    </row>
    <row r="3964" spans="2:7">
      <c r="B3964" s="893" t="str">
        <f>+'4M'!BQ26</f>
        <v>S3015CAS</v>
      </c>
      <c r="E3964" s="1753" t="s">
        <v>11007</v>
      </c>
      <c r="G3964">
        <f>IF('4M'!O26="","##BLANK",'4M'!O26)</f>
        <v>0</v>
      </c>
    </row>
    <row r="3965" spans="2:7">
      <c r="B3965" s="893" t="str">
        <f>+'4M'!BQ27</f>
        <v>S3016CAS</v>
      </c>
      <c r="E3965" s="1753" t="s">
        <v>11007</v>
      </c>
      <c r="G3965">
        <f>IF('4M'!O27="","##BLANK",'4M'!O27)</f>
        <v>0</v>
      </c>
    </row>
    <row r="3966" spans="2:7">
      <c r="B3966" s="893" t="str">
        <f>+'4M'!BQ28</f>
        <v>S3017CAS</v>
      </c>
      <c r="E3966" s="1753" t="s">
        <v>11007</v>
      </c>
      <c r="G3966">
        <f>IF('4M'!O28="","##BLANK",'4M'!O28)</f>
        <v>0</v>
      </c>
    </row>
    <row r="3967" spans="2:7">
      <c r="B3967" s="893" t="str">
        <f>+'4M'!BQ29</f>
        <v>S3018CAS</v>
      </c>
      <c r="E3967" s="1753" t="s">
        <v>11007</v>
      </c>
      <c r="G3967">
        <f>IF('4M'!O29="","##BLANK",'4M'!O29)</f>
        <v>0</v>
      </c>
    </row>
    <row r="3968" spans="2:7">
      <c r="B3968" s="893" t="str">
        <f>+'4M'!BQ30</f>
        <v>S3019CAS</v>
      </c>
      <c r="E3968" s="1753" t="s">
        <v>11007</v>
      </c>
      <c r="G3968">
        <f>IF('4M'!O30="","##BLANK",'4M'!O30)</f>
        <v>0</v>
      </c>
    </row>
    <row r="3969" spans="2:7">
      <c r="B3969" s="893" t="str">
        <f>+'4M'!BQ31</f>
        <v>S3020CAS</v>
      </c>
      <c r="E3969" s="1753" t="s">
        <v>11007</v>
      </c>
      <c r="G3969">
        <f>IF('4M'!O31="","##BLANK",'4M'!O31)</f>
        <v>0</v>
      </c>
    </row>
    <row r="3970" spans="2:7">
      <c r="B3970" s="893" t="str">
        <f>+'4M'!BQ32</f>
        <v>S3021CAS</v>
      </c>
      <c r="E3970" s="1753" t="s">
        <v>11007</v>
      </c>
      <c r="G3970">
        <f>IF('4M'!O32="","##BLANK",'4M'!O32)</f>
        <v>0</v>
      </c>
    </row>
    <row r="3971" spans="2:7">
      <c r="B3971" s="893" t="str">
        <f>+'4M'!BQ33</f>
        <v>S3022CAS</v>
      </c>
      <c r="E3971" s="1753" t="s">
        <v>11007</v>
      </c>
      <c r="G3971">
        <f>IF('4M'!O33="","##BLANK",'4M'!O33)</f>
        <v>0</v>
      </c>
    </row>
    <row r="3972" spans="2:7">
      <c r="B3972" s="893" t="str">
        <f>+'4M'!BQ34</f>
        <v>BC31785CAS</v>
      </c>
      <c r="E3972" s="1753" t="s">
        <v>11007</v>
      </c>
      <c r="G3972">
        <f>IF('4M'!O34="","##BLANK",'4M'!O34)</f>
        <v>0</v>
      </c>
    </row>
    <row r="3973" spans="2:7">
      <c r="B3973" s="893" t="str">
        <f>+'4M'!BQ35</f>
        <v>S3023CAS</v>
      </c>
      <c r="E3973" s="1753" t="s">
        <v>11007</v>
      </c>
      <c r="G3973">
        <f>IF('4M'!O35="","##BLANK",'4M'!O35)</f>
        <v>0</v>
      </c>
    </row>
    <row r="3974" spans="2:7">
      <c r="B3974" s="893" t="str">
        <f>+'4M'!BQ36</f>
        <v>S3024CAS</v>
      </c>
      <c r="E3974" s="1753" t="s">
        <v>11007</v>
      </c>
      <c r="G3974">
        <f>IF('4M'!O36="","##BLANK",'4M'!O36)</f>
        <v>0</v>
      </c>
    </row>
    <row r="3975" spans="2:7">
      <c r="B3975" s="893" t="str">
        <f>+'4M'!BQ37</f>
        <v>S3A00001CAS</v>
      </c>
      <c r="E3975" s="1753" t="s">
        <v>11007</v>
      </c>
      <c r="F3975" s="2146" t="str">
        <f>+'4M'!C$37</f>
        <v>Capital expenditure purpose - WASTEWATER additional line 1 [Other categories]</v>
      </c>
      <c r="G3975">
        <f>IF('4M'!O37="","##BLANK",'4M'!O37)</f>
        <v>0</v>
      </c>
    </row>
    <row r="3976" spans="2:7">
      <c r="B3976" s="893" t="str">
        <f>+'4M'!BQ38</f>
        <v>S3A00002CAS</v>
      </c>
      <c r="E3976" s="1753" t="s">
        <v>11007</v>
      </c>
      <c r="F3976" s="2146" t="str">
        <f>+'4M'!C$38</f>
        <v>Capital expenditure purpose - WASTEWATER additional line 2 [Other categories]</v>
      </c>
      <c r="G3976">
        <f>IF('4M'!O38="","##BLANK",'4M'!O38)</f>
        <v>0</v>
      </c>
    </row>
    <row r="3977" spans="2:7">
      <c r="B3977" s="893" t="str">
        <f>+'4M'!BQ39</f>
        <v>S3A00003CAS</v>
      </c>
      <c r="E3977" s="1753" t="s">
        <v>11007</v>
      </c>
      <c r="F3977" s="2146" t="str">
        <f>+'4M'!C$39</f>
        <v>Capital expenditure purpose - WASTEWATER additional line 3 [Other categories]</v>
      </c>
      <c r="G3977">
        <f>IF('4M'!O39="","##BLANK",'4M'!O39)</f>
        <v>0</v>
      </c>
    </row>
    <row r="3978" spans="2:7">
      <c r="B3978" s="893" t="str">
        <f>+'4M'!BQ40</f>
        <v>S3A00004CAS</v>
      </c>
      <c r="E3978" s="1753" t="s">
        <v>11007</v>
      </c>
      <c r="F3978" s="2146" t="str">
        <f>+'4M'!C$40</f>
        <v>Capital expenditure purpose - WASTEWATER additional line 4 [Other categories]</v>
      </c>
      <c r="G3978">
        <f>IF('4M'!O40="","##BLANK",'4M'!O40)</f>
        <v>0</v>
      </c>
    </row>
    <row r="3979" spans="2:7">
      <c r="B3979" s="893" t="str">
        <f>+'4M'!BQ41</f>
        <v>S3A00005CAS</v>
      </c>
      <c r="E3979" s="1753" t="s">
        <v>11007</v>
      </c>
      <c r="F3979" s="2146" t="str">
        <f>+'4M'!C$41</f>
        <v>Capital expenditure purpose - WASTEWATER additional line 5 [Other categories]</v>
      </c>
      <c r="G3979">
        <f>IF('4M'!O41="","##BLANK",'4M'!O41)</f>
        <v>0</v>
      </c>
    </row>
    <row r="3980" spans="2:7">
      <c r="B3980" s="893" t="str">
        <f>+'4M'!BQ42</f>
        <v>S3A00006CAS</v>
      </c>
      <c r="E3980" s="1753" t="s">
        <v>11007</v>
      </c>
      <c r="F3980" s="2146" t="str">
        <f>+'4M'!C$42</f>
        <v>Capital expenditure purpose - WASTEWATER additional line 6 [Other categories]</v>
      </c>
      <c r="G3980">
        <f>IF('4M'!O42="","##BLANK",'4M'!O42)</f>
        <v>0</v>
      </c>
    </row>
    <row r="3981" spans="2:7">
      <c r="B3981" s="893" t="str">
        <f>+'4M'!BQ43</f>
        <v>S3A00007CAS</v>
      </c>
      <c r="E3981" s="1753" t="s">
        <v>11007</v>
      </c>
      <c r="F3981" s="2146" t="str">
        <f>+'4M'!C$43</f>
        <v>Capital expenditure purpose - WASTEWATER additional line 7 [Other categories]</v>
      </c>
      <c r="G3981">
        <f>IF('4M'!O43="","##BLANK",'4M'!O43)</f>
        <v>0</v>
      </c>
    </row>
    <row r="3982" spans="2:7">
      <c r="B3982" s="893" t="str">
        <f>+'4M'!BQ44</f>
        <v>S3A00008CAS</v>
      </c>
      <c r="E3982" s="1753" t="s">
        <v>11007</v>
      </c>
      <c r="F3982" s="2146" t="str">
        <f>+'4M'!C$44</f>
        <v>Capital expenditure purpose - WASTEWATER additional line 8 [Other categories]</v>
      </c>
      <c r="G3982">
        <f>IF('4M'!O44="","##BLANK",'4M'!O44)</f>
        <v>0</v>
      </c>
    </row>
    <row r="3983" spans="2:7">
      <c r="B3983" s="893" t="str">
        <f>+'4M'!BQ45</f>
        <v>S3A00009CAS</v>
      </c>
      <c r="E3983" s="1753" t="s">
        <v>11007</v>
      </c>
      <c r="F3983" s="2146" t="str">
        <f>+'4M'!C$45</f>
        <v>Capital expenditure purpose - WASTEWATER additional line 9 [Other categories]</v>
      </c>
      <c r="G3983">
        <f>IF('4M'!O45="","##BLANK",'4M'!O45)</f>
        <v>0</v>
      </c>
    </row>
    <row r="3984" spans="2:7">
      <c r="B3984" s="893" t="str">
        <f>+'4M'!BQ46</f>
        <v>S3A00010CAS</v>
      </c>
      <c r="E3984" s="1753" t="s">
        <v>11007</v>
      </c>
      <c r="F3984" s="2146" t="str">
        <f>+'4M'!C$46</f>
        <v>Capital expenditure purpose - WASTEWATER additional line 10 [Other categories]</v>
      </c>
      <c r="G3984">
        <f>IF('4M'!O46="","##BLANK",'4M'!O46)</f>
        <v>0</v>
      </c>
    </row>
    <row r="3985" spans="2:7">
      <c r="B3985" s="893" t="str">
        <f>+'4M'!BQ47</f>
        <v>S3A00011CAS</v>
      </c>
      <c r="E3985" s="1753" t="s">
        <v>11007</v>
      </c>
      <c r="F3985" s="2146" t="str">
        <f>+'4M'!C$47</f>
        <v>Capital expenditure purpose - WASTEWATER additional line 11 [Other categories]</v>
      </c>
      <c r="G3985">
        <f>IF('4M'!O47="","##BLANK",'4M'!O47)</f>
        <v>0</v>
      </c>
    </row>
    <row r="3986" spans="2:7">
      <c r="B3986" s="893" t="str">
        <f>+'4M'!BQ48</f>
        <v>S3A00012CAS</v>
      </c>
      <c r="E3986" s="1753" t="s">
        <v>11007</v>
      </c>
      <c r="F3986" s="2146" t="str">
        <f>+'4M'!C$48</f>
        <v>Capital expenditure purpose - WASTEWATER additional line 12 [Other categories]</v>
      </c>
      <c r="G3986">
        <f>IF('4M'!O48="","##BLANK",'4M'!O48)</f>
        <v>0</v>
      </c>
    </row>
    <row r="3987" spans="2:7">
      <c r="B3987" s="893" t="str">
        <f>+'4M'!BQ49</f>
        <v>S3A00013CAS</v>
      </c>
      <c r="E3987" s="1753" t="s">
        <v>11007</v>
      </c>
      <c r="F3987" s="2146" t="str">
        <f>+'4M'!C$49</f>
        <v>Capital expenditure purpose - WASTEWATER additional line 13 [Other categories]</v>
      </c>
      <c r="G3987">
        <f>IF('4M'!O49="","##BLANK",'4M'!O49)</f>
        <v>0</v>
      </c>
    </row>
    <row r="3988" spans="2:7">
      <c r="B3988" s="893" t="str">
        <f>+'4M'!BQ50</f>
        <v>S3A00014CAS</v>
      </c>
      <c r="E3988" s="1753" t="s">
        <v>11007</v>
      </c>
      <c r="F3988" s="2146" t="str">
        <f>+'4M'!C$50</f>
        <v>Capital expenditure purpose - WASTEWATER additional line 14 [Other categories]</v>
      </c>
      <c r="G3988">
        <f>IF('4M'!O50="","##BLANK",'4M'!O50)</f>
        <v>0</v>
      </c>
    </row>
    <row r="3989" spans="2:7">
      <c r="B3989" s="893" t="str">
        <f>+'4M'!BQ51</f>
        <v>S3A00015CAS</v>
      </c>
      <c r="E3989" s="1753" t="s">
        <v>11007</v>
      </c>
      <c r="F3989" s="2146" t="str">
        <f>+'4M'!C$51</f>
        <v>Capital expenditure purpose - WASTEWATER additional line 15 [Other categories]</v>
      </c>
      <c r="G3989">
        <f>IF('4M'!O51="","##BLANK",'4M'!O51)</f>
        <v>0</v>
      </c>
    </row>
    <row r="3990" spans="2:7">
      <c r="B3990" s="893" t="str">
        <f>+'4M'!BQ52</f>
        <v>S3025ENHCAS</v>
      </c>
      <c r="E3990" s="1753" t="s">
        <v>11007</v>
      </c>
      <c r="G3990">
        <f>IF('4M'!O52="","##BLANK",'4M'!O52)</f>
        <v>0</v>
      </c>
    </row>
    <row r="3991" spans="2:7">
      <c r="B3991" s="893" t="str">
        <f>+'4M'!BR8</f>
        <v>BC31379FLCUM</v>
      </c>
      <c r="E3991" s="1753" t="s">
        <v>11007</v>
      </c>
      <c r="G3991" t="str">
        <f>IF('4M'!P8="","##BLANK",'4M'!P8)</f>
        <v>##BLANK</v>
      </c>
    </row>
    <row r="3992" spans="2:7">
      <c r="B3992" s="893" t="str">
        <f>+'4M'!BR9</f>
        <v>S3035QFLCUM</v>
      </c>
      <c r="E3992" s="1753" t="s">
        <v>11007</v>
      </c>
      <c r="G3992" t="str">
        <f>IF('4M'!P9="","##BLANK",'4M'!P9)</f>
        <v>##BLANK</v>
      </c>
    </row>
    <row r="3993" spans="2:7">
      <c r="B3993" s="893" t="str">
        <f>+'4M'!BR10</f>
        <v>S3036GFLCUM</v>
      </c>
      <c r="E3993" s="1753" t="s">
        <v>11007</v>
      </c>
      <c r="G3993" t="str">
        <f>IF('4M'!P10="","##BLANK",'4M'!P10)</f>
        <v>##BLANK</v>
      </c>
    </row>
    <row r="3994" spans="2:7">
      <c r="B3994" s="893" t="str">
        <f>+'4M'!BR11</f>
        <v>S3004FLCUM</v>
      </c>
      <c r="E3994" s="1753" t="s">
        <v>11007</v>
      </c>
      <c r="G3994" t="str">
        <f>IF('4M'!P11="","##BLANK",'4M'!P11)</f>
        <v>##BLANK</v>
      </c>
    </row>
    <row r="3995" spans="2:7">
      <c r="B3995" s="893" t="str">
        <f>+'4M'!BR12</f>
        <v>WWS2001FLCUM</v>
      </c>
      <c r="E3995" s="1753" t="s">
        <v>11007</v>
      </c>
      <c r="G3995" t="str">
        <f>IF('4M'!P12="","##BLANK",'4M'!P12)</f>
        <v>##BLANK</v>
      </c>
    </row>
    <row r="3996" spans="2:7">
      <c r="B3996" s="893" t="str">
        <f>+'4M'!BR13</f>
        <v>S3005FLCUM</v>
      </c>
      <c r="E3996" s="1753" t="s">
        <v>11007</v>
      </c>
      <c r="G3996" t="str">
        <f>IF('4M'!P13="","##BLANK",'4M'!P13)</f>
        <v>##BLANK</v>
      </c>
    </row>
    <row r="3997" spans="2:7">
      <c r="B3997" s="893" t="str">
        <f>+'4M'!BR14</f>
        <v>S3006FLCUM</v>
      </c>
      <c r="E3997" s="1753" t="s">
        <v>11007</v>
      </c>
      <c r="G3997" t="str">
        <f>IF('4M'!P14="","##BLANK",'4M'!P14)</f>
        <v>##BLANK</v>
      </c>
    </row>
    <row r="3998" spans="2:7">
      <c r="B3998" s="893" t="str">
        <f>+'4M'!BR15</f>
        <v>S3007FLCUM</v>
      </c>
      <c r="E3998" s="1753" t="s">
        <v>11007</v>
      </c>
      <c r="G3998" t="str">
        <f>IF('4M'!P15="","##BLANK",'4M'!P15)</f>
        <v>##BLANK</v>
      </c>
    </row>
    <row r="3999" spans="2:7">
      <c r="B3999" s="893" t="str">
        <f>+'4M'!BR16</f>
        <v>WWS2002FLCUM</v>
      </c>
      <c r="E3999" s="1753" t="s">
        <v>11007</v>
      </c>
      <c r="G3999" t="str">
        <f>IF('4M'!P16="","##BLANK",'4M'!P16)</f>
        <v>##BLANK</v>
      </c>
    </row>
    <row r="4000" spans="2:7">
      <c r="B4000" s="893" t="str">
        <f>+'4M'!BR17</f>
        <v>WWS2003FLCUM</v>
      </c>
      <c r="E4000" s="1753" t="s">
        <v>11007</v>
      </c>
      <c r="G4000" t="str">
        <f>IF('4M'!P17="","##BLANK",'4M'!P17)</f>
        <v>##BLANK</v>
      </c>
    </row>
    <row r="4001" spans="2:7">
      <c r="B4001" s="893" t="str">
        <f>+'4M'!BR18</f>
        <v>S3008FLCUM</v>
      </c>
      <c r="E4001" s="1753" t="s">
        <v>11007</v>
      </c>
      <c r="G4001" t="str">
        <f>IF('4M'!P18="","##BLANK",'4M'!P18)</f>
        <v>##BLANK</v>
      </c>
    </row>
    <row r="4002" spans="2:7">
      <c r="B4002" s="893" t="str">
        <f>+'4M'!BR19</f>
        <v>S3009FLCUM</v>
      </c>
      <c r="E4002" s="1753" t="s">
        <v>11007</v>
      </c>
      <c r="G4002" t="str">
        <f>IF('4M'!P19="","##BLANK",'4M'!P19)</f>
        <v>##BLANK</v>
      </c>
    </row>
    <row r="4003" spans="2:7">
      <c r="B4003" s="893" t="str">
        <f>+'4M'!BR20</f>
        <v>WWS2007FLCUM</v>
      </c>
      <c r="E4003" s="1753" t="s">
        <v>11007</v>
      </c>
      <c r="G4003" t="str">
        <f>IF('4M'!P20="","##BLANK",'4M'!P20)</f>
        <v>##BLANK</v>
      </c>
    </row>
    <row r="4004" spans="2:7">
      <c r="B4004" s="893" t="str">
        <f>+'4M'!BR21</f>
        <v>S3010FLCUM</v>
      </c>
      <c r="E4004" s="1753" t="s">
        <v>11007</v>
      </c>
      <c r="G4004" t="str">
        <f>IF('4M'!P21="","##BLANK",'4M'!P21)</f>
        <v>##BLANK</v>
      </c>
    </row>
    <row r="4005" spans="2:7">
      <c r="B4005" s="893" t="str">
        <f>+'4M'!BR22</f>
        <v>S3011FLCUM</v>
      </c>
      <c r="E4005" s="1753" t="s">
        <v>11007</v>
      </c>
      <c r="G4005" t="str">
        <f>IF('4M'!P22="","##BLANK",'4M'!P22)</f>
        <v>##BLANK</v>
      </c>
    </row>
    <row r="4006" spans="2:7">
      <c r="B4006" s="893" t="str">
        <f>+'4M'!BR23</f>
        <v>S3012FLCUM</v>
      </c>
      <c r="E4006" s="1753" t="s">
        <v>11007</v>
      </c>
      <c r="G4006" t="str">
        <f>IF('4M'!P23="","##BLANK",'4M'!P23)</f>
        <v>##BLANK</v>
      </c>
    </row>
    <row r="4007" spans="2:7">
      <c r="B4007" s="893" t="str">
        <f>+'4M'!BR24</f>
        <v>S3013FLCUM</v>
      </c>
      <c r="E4007" s="1753" t="s">
        <v>11007</v>
      </c>
      <c r="G4007" t="str">
        <f>IF('4M'!P24="","##BLANK",'4M'!P24)</f>
        <v>##BLANK</v>
      </c>
    </row>
    <row r="4008" spans="2:7">
      <c r="B4008" s="893" t="str">
        <f>+'4M'!BR25</f>
        <v>S3014FLCUM</v>
      </c>
      <c r="E4008" s="1753" t="s">
        <v>11007</v>
      </c>
      <c r="G4008" t="str">
        <f>IF('4M'!P25="","##BLANK",'4M'!P25)</f>
        <v>##BLANK</v>
      </c>
    </row>
    <row r="4009" spans="2:7">
      <c r="B4009" s="893" t="str">
        <f>+'4M'!BR26</f>
        <v>S3015FLCUM</v>
      </c>
      <c r="E4009" s="1753" t="s">
        <v>11007</v>
      </c>
      <c r="G4009" t="str">
        <f>IF('4M'!P26="","##BLANK",'4M'!P26)</f>
        <v>##BLANK</v>
      </c>
    </row>
    <row r="4010" spans="2:7">
      <c r="B4010" s="893" t="str">
        <f>+'4M'!BR27</f>
        <v>S3016FLCUM</v>
      </c>
      <c r="E4010" s="1753" t="s">
        <v>11007</v>
      </c>
      <c r="G4010" t="str">
        <f>IF('4M'!P27="","##BLANK",'4M'!P27)</f>
        <v>##BLANK</v>
      </c>
    </row>
    <row r="4011" spans="2:7">
      <c r="B4011" s="893" t="str">
        <f>+'4M'!BR28</f>
        <v>S3017FLCUM</v>
      </c>
      <c r="E4011" s="1753" t="s">
        <v>11007</v>
      </c>
      <c r="G4011" t="str">
        <f>IF('4M'!P28="","##BLANK",'4M'!P28)</f>
        <v>##BLANK</v>
      </c>
    </row>
    <row r="4012" spans="2:7">
      <c r="B4012" s="893" t="str">
        <f>+'4M'!BR29</f>
        <v>S3018FLCUM</v>
      </c>
      <c r="E4012" s="1753" t="s">
        <v>11007</v>
      </c>
      <c r="G4012" t="str">
        <f>IF('4M'!P29="","##BLANK",'4M'!P29)</f>
        <v>##BLANK</v>
      </c>
    </row>
    <row r="4013" spans="2:7">
      <c r="B4013" s="893" t="str">
        <f>+'4M'!BR30</f>
        <v>S3019FLCUM</v>
      </c>
      <c r="E4013" s="1753" t="s">
        <v>11007</v>
      </c>
      <c r="G4013" t="str">
        <f>IF('4M'!P30="","##BLANK",'4M'!P30)</f>
        <v>##BLANK</v>
      </c>
    </row>
    <row r="4014" spans="2:7">
      <c r="B4014" s="893" t="str">
        <f>+'4M'!BR31</f>
        <v>S3020FLCUM</v>
      </c>
      <c r="E4014" s="1753" t="s">
        <v>11007</v>
      </c>
      <c r="G4014" t="str">
        <f>IF('4M'!P31="","##BLANK",'4M'!P31)</f>
        <v>##BLANK</v>
      </c>
    </row>
    <row r="4015" spans="2:7">
      <c r="B4015" s="893" t="str">
        <f>+'4M'!BR32</f>
        <v>S3021FLCUM</v>
      </c>
      <c r="E4015" s="1753" t="s">
        <v>11007</v>
      </c>
      <c r="G4015" t="str">
        <f>IF('4M'!P32="","##BLANK",'4M'!P32)</f>
        <v>##BLANK</v>
      </c>
    </row>
    <row r="4016" spans="2:7">
      <c r="B4016" s="893" t="str">
        <f>+'4M'!BR33</f>
        <v>S3022FLCUM</v>
      </c>
      <c r="E4016" s="1753" t="s">
        <v>11007</v>
      </c>
      <c r="G4016" t="str">
        <f>IF('4M'!P33="","##BLANK",'4M'!P33)</f>
        <v>##BLANK</v>
      </c>
    </row>
    <row r="4017" spans="2:7">
      <c r="B4017" s="893" t="str">
        <f>+'4M'!BR34</f>
        <v>BC31785FLCUM</v>
      </c>
      <c r="E4017" s="1753" t="s">
        <v>11007</v>
      </c>
      <c r="G4017" t="str">
        <f>IF('4M'!P34="","##BLANK",'4M'!P34)</f>
        <v>##BLANK</v>
      </c>
    </row>
    <row r="4018" spans="2:7">
      <c r="B4018" s="893" t="str">
        <f>+'4M'!BR35</f>
        <v>S3023FLCUM</v>
      </c>
      <c r="E4018" s="1753" t="s">
        <v>11007</v>
      </c>
      <c r="G4018" t="str">
        <f>IF('4M'!P35="","##BLANK",'4M'!P35)</f>
        <v>##BLANK</v>
      </c>
    </row>
    <row r="4019" spans="2:7">
      <c r="B4019" s="893" t="str">
        <f>+'4M'!BR36</f>
        <v>S3024FLCUM</v>
      </c>
      <c r="E4019" s="1753" t="s">
        <v>11007</v>
      </c>
      <c r="G4019" t="str">
        <f>IF('4M'!P36="","##BLANK",'4M'!P36)</f>
        <v>##BLANK</v>
      </c>
    </row>
    <row r="4020" spans="2:7">
      <c r="B4020" s="893" t="str">
        <f>+'4M'!BR37</f>
        <v>S3A00001FLCUM</v>
      </c>
      <c r="E4020" s="1753" t="s">
        <v>11007</v>
      </c>
      <c r="F4020" s="2146" t="str">
        <f>+'4M'!C$37</f>
        <v>Capital expenditure purpose - WASTEWATER additional line 1 [Other categories]</v>
      </c>
      <c r="G4020" t="str">
        <f>IF('4M'!P37="","##BLANK",'4M'!P37)</f>
        <v>##BLANK</v>
      </c>
    </row>
    <row r="4021" spans="2:7">
      <c r="B4021" s="893" t="str">
        <f>+'4M'!BR38</f>
        <v>S3A00002FLCUM</v>
      </c>
      <c r="E4021" s="1753" t="s">
        <v>11007</v>
      </c>
      <c r="F4021" s="2146" t="str">
        <f>+'4M'!C$38</f>
        <v>Capital expenditure purpose - WASTEWATER additional line 2 [Other categories]</v>
      </c>
      <c r="G4021" t="str">
        <f>IF('4M'!P38="","##BLANK",'4M'!P38)</f>
        <v>##BLANK</v>
      </c>
    </row>
    <row r="4022" spans="2:7">
      <c r="B4022" s="893" t="str">
        <f>+'4M'!BR39</f>
        <v>S3A00003FLCUM</v>
      </c>
      <c r="E4022" s="1753" t="s">
        <v>11007</v>
      </c>
      <c r="F4022" s="2146" t="str">
        <f>+'4M'!C$39</f>
        <v>Capital expenditure purpose - WASTEWATER additional line 3 [Other categories]</v>
      </c>
      <c r="G4022" t="str">
        <f>IF('4M'!P39="","##BLANK",'4M'!P39)</f>
        <v>##BLANK</v>
      </c>
    </row>
    <row r="4023" spans="2:7">
      <c r="B4023" s="893" t="str">
        <f>+'4M'!BR40</f>
        <v>S3A00004FLCUM</v>
      </c>
      <c r="E4023" s="1753" t="s">
        <v>11007</v>
      </c>
      <c r="F4023" s="2146" t="str">
        <f>+'4M'!C$40</f>
        <v>Capital expenditure purpose - WASTEWATER additional line 4 [Other categories]</v>
      </c>
      <c r="G4023" t="str">
        <f>IF('4M'!P40="","##BLANK",'4M'!P40)</f>
        <v>##BLANK</v>
      </c>
    </row>
    <row r="4024" spans="2:7">
      <c r="B4024" s="893" t="str">
        <f>+'4M'!BR41</f>
        <v>S3A00005FLCUM</v>
      </c>
      <c r="E4024" s="1753" t="s">
        <v>11007</v>
      </c>
      <c r="F4024" s="2146" t="str">
        <f>+'4M'!C$41</f>
        <v>Capital expenditure purpose - WASTEWATER additional line 5 [Other categories]</v>
      </c>
      <c r="G4024" t="str">
        <f>IF('4M'!P41="","##BLANK",'4M'!P41)</f>
        <v>##BLANK</v>
      </c>
    </row>
    <row r="4025" spans="2:7">
      <c r="B4025" s="893" t="str">
        <f>+'4M'!BR42</f>
        <v>S3A00006FLCUM</v>
      </c>
      <c r="E4025" s="1753" t="s">
        <v>11007</v>
      </c>
      <c r="F4025" s="2146" t="str">
        <f>+'4M'!C$42</f>
        <v>Capital expenditure purpose - WASTEWATER additional line 6 [Other categories]</v>
      </c>
      <c r="G4025" t="str">
        <f>IF('4M'!P42="","##BLANK",'4M'!P42)</f>
        <v>##BLANK</v>
      </c>
    </row>
    <row r="4026" spans="2:7">
      <c r="B4026" s="893" t="str">
        <f>+'4M'!BR43</f>
        <v>S3A00007FLCUM</v>
      </c>
      <c r="E4026" s="1753" t="s">
        <v>11007</v>
      </c>
      <c r="F4026" s="2146" t="str">
        <f>+'4M'!C$43</f>
        <v>Capital expenditure purpose - WASTEWATER additional line 7 [Other categories]</v>
      </c>
      <c r="G4026" t="str">
        <f>IF('4M'!P43="","##BLANK",'4M'!P43)</f>
        <v>##BLANK</v>
      </c>
    </row>
    <row r="4027" spans="2:7">
      <c r="B4027" s="893" t="str">
        <f>+'4M'!BR44</f>
        <v>S3A00008FLCUM</v>
      </c>
      <c r="E4027" s="1753" t="s">
        <v>11007</v>
      </c>
      <c r="F4027" s="2146" t="str">
        <f>+'4M'!C$44</f>
        <v>Capital expenditure purpose - WASTEWATER additional line 8 [Other categories]</v>
      </c>
      <c r="G4027" t="str">
        <f>IF('4M'!P44="","##BLANK",'4M'!P44)</f>
        <v>##BLANK</v>
      </c>
    </row>
    <row r="4028" spans="2:7">
      <c r="B4028" s="893" t="str">
        <f>+'4M'!BR45</f>
        <v>S3A00009FLCUM</v>
      </c>
      <c r="E4028" s="1753" t="s">
        <v>11007</v>
      </c>
      <c r="F4028" s="2146" t="str">
        <f>+'4M'!C$45</f>
        <v>Capital expenditure purpose - WASTEWATER additional line 9 [Other categories]</v>
      </c>
      <c r="G4028" t="str">
        <f>IF('4M'!P45="","##BLANK",'4M'!P45)</f>
        <v>##BLANK</v>
      </c>
    </row>
    <row r="4029" spans="2:7">
      <c r="B4029" s="893" t="str">
        <f>+'4M'!BR46</f>
        <v>S3A00010FLCUM</v>
      </c>
      <c r="E4029" s="1753" t="s">
        <v>11007</v>
      </c>
      <c r="F4029" s="2146" t="str">
        <f>+'4M'!C$46</f>
        <v>Capital expenditure purpose - WASTEWATER additional line 10 [Other categories]</v>
      </c>
      <c r="G4029" t="str">
        <f>IF('4M'!P46="","##BLANK",'4M'!P46)</f>
        <v>##BLANK</v>
      </c>
    </row>
    <row r="4030" spans="2:7">
      <c r="B4030" s="893" t="str">
        <f>+'4M'!BR47</f>
        <v>S3A00011FLCUM</v>
      </c>
      <c r="E4030" s="1753" t="s">
        <v>11007</v>
      </c>
      <c r="F4030" s="2146" t="str">
        <f>+'4M'!C$47</f>
        <v>Capital expenditure purpose - WASTEWATER additional line 11 [Other categories]</v>
      </c>
      <c r="G4030" t="str">
        <f>IF('4M'!P47="","##BLANK",'4M'!P47)</f>
        <v>##BLANK</v>
      </c>
    </row>
    <row r="4031" spans="2:7">
      <c r="B4031" s="893" t="str">
        <f>+'4M'!BR48</f>
        <v>S3A00012FLCUM</v>
      </c>
      <c r="E4031" s="1753" t="s">
        <v>11007</v>
      </c>
      <c r="F4031" s="2146" t="str">
        <f>+'4M'!C$48</f>
        <v>Capital expenditure purpose - WASTEWATER additional line 12 [Other categories]</v>
      </c>
      <c r="G4031" t="str">
        <f>IF('4M'!P48="","##BLANK",'4M'!P48)</f>
        <v>##BLANK</v>
      </c>
    </row>
    <row r="4032" spans="2:7">
      <c r="B4032" s="893" t="str">
        <f>+'4M'!BR49</f>
        <v>S3A00013FLCUM</v>
      </c>
      <c r="E4032" s="1753" t="s">
        <v>11007</v>
      </c>
      <c r="F4032" s="2146" t="str">
        <f>+'4M'!C$49</f>
        <v>Capital expenditure purpose - WASTEWATER additional line 13 [Other categories]</v>
      </c>
      <c r="G4032" t="str">
        <f>IF('4M'!P49="","##BLANK",'4M'!P49)</f>
        <v>##BLANK</v>
      </c>
    </row>
    <row r="4033" spans="2:7">
      <c r="B4033" s="893" t="str">
        <f>+'4M'!BR50</f>
        <v>S3A00014FLCUM</v>
      </c>
      <c r="E4033" s="1753" t="s">
        <v>11007</v>
      </c>
      <c r="F4033" s="2146" t="str">
        <f>+'4M'!C$50</f>
        <v>Capital expenditure purpose - WASTEWATER additional line 14 [Other categories]</v>
      </c>
      <c r="G4033" t="str">
        <f>IF('4M'!P50="","##BLANK",'4M'!P50)</f>
        <v>##BLANK</v>
      </c>
    </row>
    <row r="4034" spans="2:7">
      <c r="B4034" s="893" t="str">
        <f>+'4M'!BR51</f>
        <v>S3A00015FLCUM</v>
      </c>
      <c r="E4034" s="1753" t="s">
        <v>11007</v>
      </c>
      <c r="F4034" s="2146" t="str">
        <f>+'4M'!C$51</f>
        <v>Capital expenditure purpose - WASTEWATER additional line 15 [Other categories]</v>
      </c>
      <c r="G4034" t="str">
        <f>IF('4M'!P51="","##BLANK",'4M'!P51)</f>
        <v>##BLANK</v>
      </c>
    </row>
    <row r="4035" spans="2:7">
      <c r="B4035" s="893" t="str">
        <f>+'4M'!BR52</f>
        <v>S3025ENHFLCUM</v>
      </c>
      <c r="E4035" s="1753" t="s">
        <v>11007</v>
      </c>
      <c r="G4035">
        <f>IF('4M'!P52="","##BLANK",'4M'!P52)</f>
        <v>0</v>
      </c>
    </row>
    <row r="4036" spans="2:7">
      <c r="B4036" s="893" t="str">
        <f>+'4M'!BS8</f>
        <v>BC31379SWDCUM</v>
      </c>
      <c r="E4036" s="1753" t="s">
        <v>11007</v>
      </c>
      <c r="G4036" t="str">
        <f>IF('4M'!Q8="","##BLANK",'4M'!Q8)</f>
        <v>##BLANK</v>
      </c>
    </row>
    <row r="4037" spans="2:7">
      <c r="B4037" s="893" t="str">
        <f>+'4M'!BS9</f>
        <v>S3035QSWDCUM</v>
      </c>
      <c r="E4037" s="1753" t="s">
        <v>11007</v>
      </c>
      <c r="G4037" t="str">
        <f>IF('4M'!Q9="","##BLANK",'4M'!Q9)</f>
        <v>##BLANK</v>
      </c>
    </row>
    <row r="4038" spans="2:7">
      <c r="B4038" s="893" t="str">
        <f>+'4M'!BS10</f>
        <v>S3036GSWDCUM</v>
      </c>
      <c r="E4038" s="1753" t="s">
        <v>11007</v>
      </c>
      <c r="G4038" t="str">
        <f>IF('4M'!Q10="","##BLANK",'4M'!Q10)</f>
        <v>##BLANK</v>
      </c>
    </row>
    <row r="4039" spans="2:7">
      <c r="B4039" s="893" t="str">
        <f>+'4M'!BS11</f>
        <v>S3004SWDCUM</v>
      </c>
      <c r="E4039" s="1753" t="s">
        <v>11007</v>
      </c>
      <c r="G4039" t="str">
        <f>IF('4M'!Q11="","##BLANK",'4M'!Q11)</f>
        <v>##BLANK</v>
      </c>
    </row>
    <row r="4040" spans="2:7">
      <c r="B4040" s="893" t="str">
        <f>+'4M'!BS12</f>
        <v>WWS2001SWDCUM</v>
      </c>
      <c r="E4040" s="1753" t="s">
        <v>11007</v>
      </c>
      <c r="G4040" t="str">
        <f>IF('4M'!Q12="","##BLANK",'4M'!Q12)</f>
        <v>##BLANK</v>
      </c>
    </row>
    <row r="4041" spans="2:7">
      <c r="B4041" s="893" t="str">
        <f>+'4M'!BS13</f>
        <v>S3005SWDCUM</v>
      </c>
      <c r="E4041" s="1753" t="s">
        <v>11007</v>
      </c>
      <c r="G4041" t="str">
        <f>IF('4M'!Q13="","##BLANK",'4M'!Q13)</f>
        <v>##BLANK</v>
      </c>
    </row>
    <row r="4042" spans="2:7">
      <c r="B4042" s="893" t="str">
        <f>+'4M'!BS14</f>
        <v>S3006SWDCUM</v>
      </c>
      <c r="E4042" s="1753" t="s">
        <v>11007</v>
      </c>
      <c r="G4042" t="str">
        <f>IF('4M'!Q14="","##BLANK",'4M'!Q14)</f>
        <v>##BLANK</v>
      </c>
    </row>
    <row r="4043" spans="2:7">
      <c r="B4043" s="893" t="str">
        <f>+'4M'!BS15</f>
        <v>S3007SWDCUM</v>
      </c>
      <c r="E4043" s="1753" t="s">
        <v>11007</v>
      </c>
      <c r="G4043" t="str">
        <f>IF('4M'!Q15="","##BLANK",'4M'!Q15)</f>
        <v>##BLANK</v>
      </c>
    </row>
    <row r="4044" spans="2:7">
      <c r="B4044" s="893" t="str">
        <f>+'4M'!BS16</f>
        <v>WWS2002SWDCUM</v>
      </c>
      <c r="E4044" s="1753" t="s">
        <v>11007</v>
      </c>
      <c r="G4044" t="str">
        <f>IF('4M'!Q16="","##BLANK",'4M'!Q16)</f>
        <v>##BLANK</v>
      </c>
    </row>
    <row r="4045" spans="2:7">
      <c r="B4045" s="893" t="str">
        <f>+'4M'!BS17</f>
        <v>WWS2003SWDCUM</v>
      </c>
      <c r="E4045" s="1753" t="s">
        <v>11007</v>
      </c>
      <c r="G4045" t="str">
        <f>IF('4M'!Q17="","##BLANK",'4M'!Q17)</f>
        <v>##BLANK</v>
      </c>
    </row>
    <row r="4046" spans="2:7">
      <c r="B4046" s="893" t="str">
        <f>+'4M'!BS18</f>
        <v>S3008SWDCUM</v>
      </c>
      <c r="E4046" s="1753" t="s">
        <v>11007</v>
      </c>
      <c r="G4046" t="str">
        <f>IF('4M'!Q18="","##BLANK",'4M'!Q18)</f>
        <v>##BLANK</v>
      </c>
    </row>
    <row r="4047" spans="2:7">
      <c r="B4047" s="893" t="str">
        <f>+'4M'!BS19</f>
        <v>S3009SWDCUM</v>
      </c>
      <c r="E4047" s="1753" t="s">
        <v>11007</v>
      </c>
      <c r="G4047" t="str">
        <f>IF('4M'!Q19="","##BLANK",'4M'!Q19)</f>
        <v>##BLANK</v>
      </c>
    </row>
    <row r="4048" spans="2:7">
      <c r="B4048" s="893" t="str">
        <f>+'4M'!BS20</f>
        <v>WWS2007SWDCUM</v>
      </c>
      <c r="E4048" s="1753" t="s">
        <v>11007</v>
      </c>
      <c r="G4048" t="str">
        <f>IF('4M'!Q20="","##BLANK",'4M'!Q20)</f>
        <v>##BLANK</v>
      </c>
    </row>
    <row r="4049" spans="2:7">
      <c r="B4049" s="893" t="str">
        <f>+'4M'!BS21</f>
        <v>S3010SWDCUM</v>
      </c>
      <c r="E4049" s="1753" t="s">
        <v>11007</v>
      </c>
      <c r="G4049" t="str">
        <f>IF('4M'!Q21="","##BLANK",'4M'!Q21)</f>
        <v>##BLANK</v>
      </c>
    </row>
    <row r="4050" spans="2:7">
      <c r="B4050" s="893" t="str">
        <f>+'4M'!BS22</f>
        <v>S3011SWDCUM</v>
      </c>
      <c r="E4050" s="1753" t="s">
        <v>11007</v>
      </c>
      <c r="G4050" t="str">
        <f>IF('4M'!Q22="","##BLANK",'4M'!Q22)</f>
        <v>##BLANK</v>
      </c>
    </row>
    <row r="4051" spans="2:7">
      <c r="B4051" s="893" t="str">
        <f>+'4M'!BS23</f>
        <v>S3012SWDCUM</v>
      </c>
      <c r="E4051" s="1753" t="s">
        <v>11007</v>
      </c>
      <c r="G4051" t="str">
        <f>IF('4M'!Q23="","##BLANK",'4M'!Q23)</f>
        <v>##BLANK</v>
      </c>
    </row>
    <row r="4052" spans="2:7">
      <c r="B4052" s="893" t="str">
        <f>+'4M'!BS24</f>
        <v>S3013SWDCUM</v>
      </c>
      <c r="E4052" s="1753" t="s">
        <v>11007</v>
      </c>
      <c r="G4052" t="str">
        <f>IF('4M'!Q24="","##BLANK",'4M'!Q24)</f>
        <v>##BLANK</v>
      </c>
    </row>
    <row r="4053" spans="2:7">
      <c r="B4053" s="893" t="str">
        <f>+'4M'!BS25</f>
        <v>S3014SWDCUM</v>
      </c>
      <c r="E4053" s="1753" t="s">
        <v>11007</v>
      </c>
      <c r="G4053" t="str">
        <f>IF('4M'!Q25="","##BLANK",'4M'!Q25)</f>
        <v>##BLANK</v>
      </c>
    </row>
    <row r="4054" spans="2:7">
      <c r="B4054" s="893" t="str">
        <f>+'4M'!BS26</f>
        <v>S3015SWDCUM</v>
      </c>
      <c r="E4054" s="1753" t="s">
        <v>11007</v>
      </c>
      <c r="G4054" t="str">
        <f>IF('4M'!Q26="","##BLANK",'4M'!Q26)</f>
        <v>##BLANK</v>
      </c>
    </row>
    <row r="4055" spans="2:7">
      <c r="B4055" s="893" t="str">
        <f>+'4M'!BS27</f>
        <v>S3016SWDCUM</v>
      </c>
      <c r="E4055" s="1753" t="s">
        <v>11007</v>
      </c>
      <c r="G4055" t="str">
        <f>IF('4M'!Q27="","##BLANK",'4M'!Q27)</f>
        <v>##BLANK</v>
      </c>
    </row>
    <row r="4056" spans="2:7">
      <c r="B4056" s="893" t="str">
        <f>+'4M'!BS28</f>
        <v>S3017SWDCUM</v>
      </c>
      <c r="E4056" s="1753" t="s">
        <v>11007</v>
      </c>
      <c r="G4056" t="str">
        <f>IF('4M'!Q28="","##BLANK",'4M'!Q28)</f>
        <v>##BLANK</v>
      </c>
    </row>
    <row r="4057" spans="2:7">
      <c r="B4057" s="893" t="str">
        <f>+'4M'!BS29</f>
        <v>S3018SWDCUM</v>
      </c>
      <c r="E4057" s="1753" t="s">
        <v>11007</v>
      </c>
      <c r="G4057" t="str">
        <f>IF('4M'!Q29="","##BLANK",'4M'!Q29)</f>
        <v>##BLANK</v>
      </c>
    </row>
    <row r="4058" spans="2:7">
      <c r="B4058" s="893" t="str">
        <f>+'4M'!BS30</f>
        <v>S3019SWDCUM</v>
      </c>
      <c r="E4058" s="1753" t="s">
        <v>11007</v>
      </c>
      <c r="G4058" t="str">
        <f>IF('4M'!Q30="","##BLANK",'4M'!Q30)</f>
        <v>##BLANK</v>
      </c>
    </row>
    <row r="4059" spans="2:7">
      <c r="B4059" s="893" t="str">
        <f>+'4M'!BS31</f>
        <v>S3020SWDCUM</v>
      </c>
      <c r="E4059" s="1753" t="s">
        <v>11007</v>
      </c>
      <c r="G4059" t="str">
        <f>IF('4M'!Q31="","##BLANK",'4M'!Q31)</f>
        <v>##BLANK</v>
      </c>
    </row>
    <row r="4060" spans="2:7">
      <c r="B4060" s="893" t="str">
        <f>+'4M'!BS32</f>
        <v>S3021SWDCUM</v>
      </c>
      <c r="E4060" s="1753" t="s">
        <v>11007</v>
      </c>
      <c r="G4060" t="str">
        <f>IF('4M'!Q32="","##BLANK",'4M'!Q32)</f>
        <v>##BLANK</v>
      </c>
    </row>
    <row r="4061" spans="2:7">
      <c r="B4061" s="893" t="str">
        <f>+'4M'!BS33</f>
        <v>S3022SWDCUM</v>
      </c>
      <c r="E4061" s="1753" t="s">
        <v>11007</v>
      </c>
      <c r="G4061" t="str">
        <f>IF('4M'!Q33="","##BLANK",'4M'!Q33)</f>
        <v>##BLANK</v>
      </c>
    </row>
    <row r="4062" spans="2:7">
      <c r="B4062" s="893" t="str">
        <f>+'4M'!BS34</f>
        <v>BC31785SWDCUM</v>
      </c>
      <c r="E4062" s="1753" t="s">
        <v>11007</v>
      </c>
      <c r="G4062" t="str">
        <f>IF('4M'!Q34="","##BLANK",'4M'!Q34)</f>
        <v>##BLANK</v>
      </c>
    </row>
    <row r="4063" spans="2:7">
      <c r="B4063" s="893" t="str">
        <f>+'4M'!BS35</f>
        <v>S3023SWDCUM</v>
      </c>
      <c r="E4063" s="1753" t="s">
        <v>11007</v>
      </c>
      <c r="G4063" t="str">
        <f>IF('4M'!Q35="","##BLANK",'4M'!Q35)</f>
        <v>##BLANK</v>
      </c>
    </row>
    <row r="4064" spans="2:7">
      <c r="B4064" s="893" t="str">
        <f>+'4M'!BS36</f>
        <v>S3024SWDCUM</v>
      </c>
      <c r="E4064" s="1753" t="s">
        <v>11007</v>
      </c>
      <c r="G4064" t="str">
        <f>IF('4M'!Q36="","##BLANK",'4M'!Q36)</f>
        <v>##BLANK</v>
      </c>
    </row>
    <row r="4065" spans="2:7">
      <c r="B4065" s="893" t="str">
        <f>+'4M'!BS37</f>
        <v>S3A00001SWDCUM</v>
      </c>
      <c r="E4065" s="1753" t="s">
        <v>11007</v>
      </c>
      <c r="F4065" s="2146" t="str">
        <f>+'4M'!C$37</f>
        <v>Capital expenditure purpose - WASTEWATER additional line 1 [Other categories]</v>
      </c>
      <c r="G4065" t="str">
        <f>IF('4M'!Q37="","##BLANK",'4M'!Q37)</f>
        <v>##BLANK</v>
      </c>
    </row>
    <row r="4066" spans="2:7">
      <c r="B4066" s="893" t="str">
        <f>+'4M'!BS38</f>
        <v>S3A00002SWDCUM</v>
      </c>
      <c r="E4066" s="1753" t="s">
        <v>11007</v>
      </c>
      <c r="F4066" s="2146" t="str">
        <f>+'4M'!C$38</f>
        <v>Capital expenditure purpose - WASTEWATER additional line 2 [Other categories]</v>
      </c>
      <c r="G4066" t="str">
        <f>IF('4M'!Q38="","##BLANK",'4M'!Q38)</f>
        <v>##BLANK</v>
      </c>
    </row>
    <row r="4067" spans="2:7">
      <c r="B4067" s="893" t="str">
        <f>+'4M'!BS39</f>
        <v>S3A00003SWDCUM</v>
      </c>
      <c r="E4067" s="1753" t="s">
        <v>11007</v>
      </c>
      <c r="F4067" s="2146" t="str">
        <f>+'4M'!C$39</f>
        <v>Capital expenditure purpose - WASTEWATER additional line 3 [Other categories]</v>
      </c>
      <c r="G4067" t="str">
        <f>IF('4M'!Q39="","##BLANK",'4M'!Q39)</f>
        <v>##BLANK</v>
      </c>
    </row>
    <row r="4068" spans="2:7">
      <c r="B4068" s="893" t="str">
        <f>+'4M'!BS40</f>
        <v>S3A00004SWDCUM</v>
      </c>
      <c r="E4068" s="1753" t="s">
        <v>11007</v>
      </c>
      <c r="F4068" s="2146" t="str">
        <f>+'4M'!C$40</f>
        <v>Capital expenditure purpose - WASTEWATER additional line 4 [Other categories]</v>
      </c>
      <c r="G4068" t="str">
        <f>IF('4M'!Q40="","##BLANK",'4M'!Q40)</f>
        <v>##BLANK</v>
      </c>
    </row>
    <row r="4069" spans="2:7">
      <c r="B4069" s="893" t="str">
        <f>+'4M'!BS41</f>
        <v>S3A00005SWDCUM</v>
      </c>
      <c r="E4069" s="1753" t="s">
        <v>11007</v>
      </c>
      <c r="F4069" s="2146" t="str">
        <f>+'4M'!C$41</f>
        <v>Capital expenditure purpose - WASTEWATER additional line 5 [Other categories]</v>
      </c>
      <c r="G4069" t="str">
        <f>IF('4M'!Q41="","##BLANK",'4M'!Q41)</f>
        <v>##BLANK</v>
      </c>
    </row>
    <row r="4070" spans="2:7">
      <c r="B4070" s="893" t="str">
        <f>+'4M'!BS42</f>
        <v>S3A00006SWDCUM</v>
      </c>
      <c r="E4070" s="1753" t="s">
        <v>11007</v>
      </c>
      <c r="F4070" s="2146" t="str">
        <f>+'4M'!C$42</f>
        <v>Capital expenditure purpose - WASTEWATER additional line 6 [Other categories]</v>
      </c>
      <c r="G4070" t="str">
        <f>IF('4M'!Q42="","##BLANK",'4M'!Q42)</f>
        <v>##BLANK</v>
      </c>
    </row>
    <row r="4071" spans="2:7">
      <c r="B4071" s="893" t="str">
        <f>+'4M'!BS43</f>
        <v>S3A00007SWDCUM</v>
      </c>
      <c r="E4071" s="1753" t="s">
        <v>11007</v>
      </c>
      <c r="F4071" s="2146" t="str">
        <f>+'4M'!C$43</f>
        <v>Capital expenditure purpose - WASTEWATER additional line 7 [Other categories]</v>
      </c>
      <c r="G4071" t="str">
        <f>IF('4M'!Q43="","##BLANK",'4M'!Q43)</f>
        <v>##BLANK</v>
      </c>
    </row>
    <row r="4072" spans="2:7">
      <c r="B4072" s="893" t="str">
        <f>+'4M'!BS44</f>
        <v>S3A00008SWDCUM</v>
      </c>
      <c r="E4072" s="1753" t="s">
        <v>11007</v>
      </c>
      <c r="F4072" s="2146" t="str">
        <f>+'4M'!C$44</f>
        <v>Capital expenditure purpose - WASTEWATER additional line 8 [Other categories]</v>
      </c>
      <c r="G4072" t="str">
        <f>IF('4M'!Q44="","##BLANK",'4M'!Q44)</f>
        <v>##BLANK</v>
      </c>
    </row>
    <row r="4073" spans="2:7">
      <c r="B4073" s="893" t="str">
        <f>+'4M'!BS45</f>
        <v>S3A00009SWDCUM</v>
      </c>
      <c r="E4073" s="1753" t="s">
        <v>11007</v>
      </c>
      <c r="F4073" s="2146" t="str">
        <f>+'4M'!C$45</f>
        <v>Capital expenditure purpose - WASTEWATER additional line 9 [Other categories]</v>
      </c>
      <c r="G4073" t="str">
        <f>IF('4M'!Q45="","##BLANK",'4M'!Q45)</f>
        <v>##BLANK</v>
      </c>
    </row>
    <row r="4074" spans="2:7">
      <c r="B4074" s="893" t="str">
        <f>+'4M'!BS46</f>
        <v>S3A00010SWDCUM</v>
      </c>
      <c r="E4074" s="1753" t="s">
        <v>11007</v>
      </c>
      <c r="F4074" s="2146" t="str">
        <f>+'4M'!C$46</f>
        <v>Capital expenditure purpose - WASTEWATER additional line 10 [Other categories]</v>
      </c>
      <c r="G4074" t="str">
        <f>IF('4M'!Q46="","##BLANK",'4M'!Q46)</f>
        <v>##BLANK</v>
      </c>
    </row>
    <row r="4075" spans="2:7">
      <c r="B4075" s="893" t="str">
        <f>+'4M'!BS47</f>
        <v>S3A00011SWDCUM</v>
      </c>
      <c r="E4075" s="1753" t="s">
        <v>11007</v>
      </c>
      <c r="F4075" s="2146" t="str">
        <f>+'4M'!C$47</f>
        <v>Capital expenditure purpose - WASTEWATER additional line 11 [Other categories]</v>
      </c>
      <c r="G4075" t="str">
        <f>IF('4M'!Q47="","##BLANK",'4M'!Q47)</f>
        <v>##BLANK</v>
      </c>
    </row>
    <row r="4076" spans="2:7">
      <c r="B4076" s="893" t="str">
        <f>+'4M'!BS48</f>
        <v>S3A00012SWDCUM</v>
      </c>
      <c r="E4076" s="1753" t="s">
        <v>11007</v>
      </c>
      <c r="F4076" s="2146" t="str">
        <f>+'4M'!C$48</f>
        <v>Capital expenditure purpose - WASTEWATER additional line 12 [Other categories]</v>
      </c>
      <c r="G4076" t="str">
        <f>IF('4M'!Q48="","##BLANK",'4M'!Q48)</f>
        <v>##BLANK</v>
      </c>
    </row>
    <row r="4077" spans="2:7">
      <c r="B4077" s="893" t="str">
        <f>+'4M'!BS49</f>
        <v>S3A00013SWDCUM</v>
      </c>
      <c r="E4077" s="1753" t="s">
        <v>11007</v>
      </c>
      <c r="F4077" s="2146" t="str">
        <f>+'4M'!C$49</f>
        <v>Capital expenditure purpose - WASTEWATER additional line 13 [Other categories]</v>
      </c>
      <c r="G4077" t="str">
        <f>IF('4M'!Q49="","##BLANK",'4M'!Q49)</f>
        <v>##BLANK</v>
      </c>
    </row>
    <row r="4078" spans="2:7">
      <c r="B4078" s="893" t="str">
        <f>+'4M'!BS50</f>
        <v>S3A00014SWDCUM</v>
      </c>
      <c r="E4078" s="1753" t="s">
        <v>11007</v>
      </c>
      <c r="F4078" s="2146" t="str">
        <f>+'4M'!C$50</f>
        <v>Capital expenditure purpose - WASTEWATER additional line 14 [Other categories]</v>
      </c>
      <c r="G4078" t="str">
        <f>IF('4M'!Q50="","##BLANK",'4M'!Q50)</f>
        <v>##BLANK</v>
      </c>
    </row>
    <row r="4079" spans="2:7">
      <c r="B4079" s="893" t="str">
        <f>+'4M'!BS51</f>
        <v>S3A00015SWDCUM</v>
      </c>
      <c r="E4079" s="1753" t="s">
        <v>11007</v>
      </c>
      <c r="F4079" s="2146" t="str">
        <f>+'4M'!C$51</f>
        <v>Capital expenditure purpose - WASTEWATER additional line 15 [Other categories]</v>
      </c>
      <c r="G4079" t="str">
        <f>IF('4M'!Q51="","##BLANK",'4M'!Q51)</f>
        <v>##BLANK</v>
      </c>
    </row>
    <row r="4080" spans="2:7">
      <c r="B4080" s="893" t="str">
        <f>+'4M'!BS52</f>
        <v>S3025ENHSWDCUM</v>
      </c>
      <c r="E4080" s="1753" t="s">
        <v>11007</v>
      </c>
      <c r="G4080">
        <f>IF('4M'!Q52="","##BLANK",'4M'!Q52)</f>
        <v>0</v>
      </c>
    </row>
    <row r="4081" spans="2:7">
      <c r="B4081" s="893" t="str">
        <f>+'4M'!BT8</f>
        <v>BC31379HDCUM</v>
      </c>
      <c r="E4081" s="1753" t="s">
        <v>11007</v>
      </c>
      <c r="G4081" t="str">
        <f>IF('4M'!R8="","##BLANK",'4M'!R8)</f>
        <v>##BLANK</v>
      </c>
    </row>
    <row r="4082" spans="2:7">
      <c r="B4082" s="893" t="str">
        <f>+'4M'!BT9</f>
        <v>S3035QHDCUM</v>
      </c>
      <c r="E4082" s="1753" t="s">
        <v>11007</v>
      </c>
      <c r="G4082" t="str">
        <f>IF('4M'!R9="","##BLANK",'4M'!R9)</f>
        <v>##BLANK</v>
      </c>
    </row>
    <row r="4083" spans="2:7">
      <c r="B4083" s="893" t="str">
        <f>+'4M'!BT10</f>
        <v>S3036GHDCUM</v>
      </c>
      <c r="E4083" s="1753" t="s">
        <v>11007</v>
      </c>
      <c r="G4083" t="str">
        <f>IF('4M'!R10="","##BLANK",'4M'!R10)</f>
        <v>##BLANK</v>
      </c>
    </row>
    <row r="4084" spans="2:7">
      <c r="B4084" s="893" t="str">
        <f>+'4M'!BT11</f>
        <v>S3004HDCUM</v>
      </c>
      <c r="E4084" s="1753" t="s">
        <v>11007</v>
      </c>
      <c r="G4084" t="str">
        <f>IF('4M'!R11="","##BLANK",'4M'!R11)</f>
        <v>##BLANK</v>
      </c>
    </row>
    <row r="4085" spans="2:7">
      <c r="B4085" s="893" t="str">
        <f>+'4M'!BT12</f>
        <v>WWS2001HDCUM</v>
      </c>
      <c r="E4085" s="1753" t="s">
        <v>11007</v>
      </c>
      <c r="G4085" t="str">
        <f>IF('4M'!R12="","##BLANK",'4M'!R12)</f>
        <v>##BLANK</v>
      </c>
    </row>
    <row r="4086" spans="2:7">
      <c r="B4086" s="893" t="str">
        <f>+'4M'!BT13</f>
        <v>S3005HDCUM</v>
      </c>
      <c r="E4086" s="1753" t="s">
        <v>11007</v>
      </c>
      <c r="G4086" t="str">
        <f>IF('4M'!R13="","##BLANK",'4M'!R13)</f>
        <v>##BLANK</v>
      </c>
    </row>
    <row r="4087" spans="2:7">
      <c r="B4087" s="893" t="str">
        <f>+'4M'!BT14</f>
        <v>S3006HDCUM</v>
      </c>
      <c r="E4087" s="1753" t="s">
        <v>11007</v>
      </c>
      <c r="G4087" t="str">
        <f>IF('4M'!R14="","##BLANK",'4M'!R14)</f>
        <v>##BLANK</v>
      </c>
    </row>
    <row r="4088" spans="2:7">
      <c r="B4088" s="893" t="str">
        <f>+'4M'!BT15</f>
        <v>S3007HDCUM</v>
      </c>
      <c r="E4088" s="1753" t="s">
        <v>11007</v>
      </c>
      <c r="G4088" t="str">
        <f>IF('4M'!R15="","##BLANK",'4M'!R15)</f>
        <v>##BLANK</v>
      </c>
    </row>
    <row r="4089" spans="2:7">
      <c r="B4089" s="893" t="str">
        <f>+'4M'!BT16</f>
        <v>WWS2002HDCUM</v>
      </c>
      <c r="E4089" s="1753" t="s">
        <v>11007</v>
      </c>
      <c r="G4089" t="str">
        <f>IF('4M'!R16="","##BLANK",'4M'!R16)</f>
        <v>##BLANK</v>
      </c>
    </row>
    <row r="4090" spans="2:7">
      <c r="B4090" s="893" t="str">
        <f>+'4M'!BT17</f>
        <v>WWS2003HDCUM</v>
      </c>
      <c r="E4090" s="1753" t="s">
        <v>11007</v>
      </c>
      <c r="G4090" t="str">
        <f>IF('4M'!R17="","##BLANK",'4M'!R17)</f>
        <v>##BLANK</v>
      </c>
    </row>
    <row r="4091" spans="2:7">
      <c r="B4091" s="893" t="str">
        <f>+'4M'!BT18</f>
        <v>S3008HDCUM</v>
      </c>
      <c r="E4091" s="1753" t="s">
        <v>11007</v>
      </c>
      <c r="G4091" t="str">
        <f>IF('4M'!R18="","##BLANK",'4M'!R18)</f>
        <v>##BLANK</v>
      </c>
    </row>
    <row r="4092" spans="2:7">
      <c r="B4092" s="893" t="str">
        <f>+'4M'!BT19</f>
        <v>S3009HDCUM</v>
      </c>
      <c r="E4092" s="1753" t="s">
        <v>11007</v>
      </c>
      <c r="G4092" t="str">
        <f>IF('4M'!R19="","##BLANK",'4M'!R19)</f>
        <v>##BLANK</v>
      </c>
    </row>
    <row r="4093" spans="2:7">
      <c r="B4093" s="893" t="str">
        <f>+'4M'!BT20</f>
        <v>WWS2007HDCUM</v>
      </c>
      <c r="E4093" s="1753" t="s">
        <v>11007</v>
      </c>
      <c r="G4093" t="str">
        <f>IF('4M'!R20="","##BLANK",'4M'!R20)</f>
        <v>##BLANK</v>
      </c>
    </row>
    <row r="4094" spans="2:7">
      <c r="B4094" s="893" t="str">
        <f>+'4M'!BT21</f>
        <v>S3010HDCUM</v>
      </c>
      <c r="E4094" s="1753" t="s">
        <v>11007</v>
      </c>
      <c r="G4094" t="str">
        <f>IF('4M'!R21="","##BLANK",'4M'!R21)</f>
        <v>##BLANK</v>
      </c>
    </row>
    <row r="4095" spans="2:7">
      <c r="B4095" s="893" t="str">
        <f>+'4M'!BT22</f>
        <v>S3011HDCUM</v>
      </c>
      <c r="E4095" s="1753" t="s">
        <v>11007</v>
      </c>
      <c r="G4095" t="str">
        <f>IF('4M'!R22="","##BLANK",'4M'!R22)</f>
        <v>##BLANK</v>
      </c>
    </row>
    <row r="4096" spans="2:7">
      <c r="B4096" s="893" t="str">
        <f>+'4M'!BT23</f>
        <v>S3012HDCUM</v>
      </c>
      <c r="E4096" s="1753" t="s">
        <v>11007</v>
      </c>
      <c r="G4096" t="str">
        <f>IF('4M'!R23="","##BLANK",'4M'!R23)</f>
        <v>##BLANK</v>
      </c>
    </row>
    <row r="4097" spans="2:7">
      <c r="B4097" s="893" t="str">
        <f>+'4M'!BT24</f>
        <v>S3013HDCUM</v>
      </c>
      <c r="E4097" s="1753" t="s">
        <v>11007</v>
      </c>
      <c r="G4097" t="str">
        <f>IF('4M'!R24="","##BLANK",'4M'!R24)</f>
        <v>##BLANK</v>
      </c>
    </row>
    <row r="4098" spans="2:7">
      <c r="B4098" s="893" t="str">
        <f>+'4M'!BT25</f>
        <v>S3014HDCUM</v>
      </c>
      <c r="E4098" s="1753" t="s">
        <v>11007</v>
      </c>
      <c r="G4098" t="str">
        <f>IF('4M'!R25="","##BLANK",'4M'!R25)</f>
        <v>##BLANK</v>
      </c>
    </row>
    <row r="4099" spans="2:7">
      <c r="B4099" s="893" t="str">
        <f>+'4M'!BT26</f>
        <v>S3015HDCUM</v>
      </c>
      <c r="E4099" s="1753" t="s">
        <v>11007</v>
      </c>
      <c r="G4099" t="str">
        <f>IF('4M'!R26="","##BLANK",'4M'!R26)</f>
        <v>##BLANK</v>
      </c>
    </row>
    <row r="4100" spans="2:7">
      <c r="B4100" s="893" t="str">
        <f>+'4M'!BT27</f>
        <v>S3016HDCUM</v>
      </c>
      <c r="E4100" s="1753" t="s">
        <v>11007</v>
      </c>
      <c r="G4100" t="str">
        <f>IF('4M'!R27="","##BLANK",'4M'!R27)</f>
        <v>##BLANK</v>
      </c>
    </row>
    <row r="4101" spans="2:7">
      <c r="B4101" s="893" t="str">
        <f>+'4M'!BT28</f>
        <v>S3017HDCUM</v>
      </c>
      <c r="E4101" s="1753" t="s">
        <v>11007</v>
      </c>
      <c r="G4101" t="str">
        <f>IF('4M'!R28="","##BLANK",'4M'!R28)</f>
        <v>##BLANK</v>
      </c>
    </row>
    <row r="4102" spans="2:7">
      <c r="B4102" s="893" t="str">
        <f>+'4M'!BT29</f>
        <v>S3018HDCUM</v>
      </c>
      <c r="E4102" s="1753" t="s">
        <v>11007</v>
      </c>
      <c r="G4102" t="str">
        <f>IF('4M'!R29="","##BLANK",'4M'!R29)</f>
        <v>##BLANK</v>
      </c>
    </row>
    <row r="4103" spans="2:7">
      <c r="B4103" s="893" t="str">
        <f>+'4M'!BT30</f>
        <v>S3019HDCUM</v>
      </c>
      <c r="E4103" s="1753" t="s">
        <v>11007</v>
      </c>
      <c r="G4103" t="str">
        <f>IF('4M'!R30="","##BLANK",'4M'!R30)</f>
        <v>##BLANK</v>
      </c>
    </row>
    <row r="4104" spans="2:7">
      <c r="B4104" s="893" t="str">
        <f>+'4M'!BT31</f>
        <v>S3020HDCUM</v>
      </c>
      <c r="E4104" s="1753" t="s">
        <v>11007</v>
      </c>
      <c r="G4104" t="str">
        <f>IF('4M'!R31="","##BLANK",'4M'!R31)</f>
        <v>##BLANK</v>
      </c>
    </row>
    <row r="4105" spans="2:7">
      <c r="B4105" s="893" t="str">
        <f>+'4M'!BT32</f>
        <v>S3021HDCUM</v>
      </c>
      <c r="E4105" s="1753" t="s">
        <v>11007</v>
      </c>
      <c r="G4105" t="str">
        <f>IF('4M'!R32="","##BLANK",'4M'!R32)</f>
        <v>##BLANK</v>
      </c>
    </row>
    <row r="4106" spans="2:7">
      <c r="B4106" s="893" t="str">
        <f>+'4M'!BT33</f>
        <v>S3022HDCUM</v>
      </c>
      <c r="E4106" s="1753" t="s">
        <v>11007</v>
      </c>
      <c r="G4106" t="str">
        <f>IF('4M'!R33="","##BLANK",'4M'!R33)</f>
        <v>##BLANK</v>
      </c>
    </row>
    <row r="4107" spans="2:7">
      <c r="B4107" s="893" t="str">
        <f>+'4M'!BT34</f>
        <v>BC31785HDCUM</v>
      </c>
      <c r="E4107" s="1753" t="s">
        <v>11007</v>
      </c>
      <c r="G4107" t="str">
        <f>IF('4M'!R34="","##BLANK",'4M'!R34)</f>
        <v>##BLANK</v>
      </c>
    </row>
    <row r="4108" spans="2:7">
      <c r="B4108" s="893" t="str">
        <f>+'4M'!BT35</f>
        <v>S3023HDCUM</v>
      </c>
      <c r="E4108" s="1753" t="s">
        <v>11007</v>
      </c>
      <c r="G4108" t="str">
        <f>IF('4M'!R35="","##BLANK",'4M'!R35)</f>
        <v>##BLANK</v>
      </c>
    </row>
    <row r="4109" spans="2:7">
      <c r="B4109" s="893" t="str">
        <f>+'4M'!BT36</f>
        <v>S3024HDCUM</v>
      </c>
      <c r="E4109" s="1753" t="s">
        <v>11007</v>
      </c>
      <c r="G4109" t="str">
        <f>IF('4M'!R36="","##BLANK",'4M'!R36)</f>
        <v>##BLANK</v>
      </c>
    </row>
    <row r="4110" spans="2:7">
      <c r="B4110" s="893" t="str">
        <f>+'4M'!BT37</f>
        <v>S3A00001HDCUM</v>
      </c>
      <c r="E4110" s="1753" t="s">
        <v>11007</v>
      </c>
      <c r="F4110" s="2146" t="str">
        <f>+'4M'!C$37</f>
        <v>Capital expenditure purpose - WASTEWATER additional line 1 [Other categories]</v>
      </c>
      <c r="G4110" t="str">
        <f>IF('4M'!R37="","##BLANK",'4M'!R37)</f>
        <v>##BLANK</v>
      </c>
    </row>
    <row r="4111" spans="2:7">
      <c r="B4111" s="893" t="str">
        <f>+'4M'!BT38</f>
        <v>S3A00002HDCUM</v>
      </c>
      <c r="E4111" s="1753" t="s">
        <v>11007</v>
      </c>
      <c r="F4111" s="2146" t="str">
        <f>+'4M'!C$38</f>
        <v>Capital expenditure purpose - WASTEWATER additional line 2 [Other categories]</v>
      </c>
      <c r="G4111" t="str">
        <f>IF('4M'!R38="","##BLANK",'4M'!R38)</f>
        <v>##BLANK</v>
      </c>
    </row>
    <row r="4112" spans="2:7">
      <c r="B4112" s="893" t="str">
        <f>+'4M'!BT39</f>
        <v>S3A00003HDCUM</v>
      </c>
      <c r="E4112" s="1753" t="s">
        <v>11007</v>
      </c>
      <c r="F4112" s="2146" t="str">
        <f>+'4M'!C$39</f>
        <v>Capital expenditure purpose - WASTEWATER additional line 3 [Other categories]</v>
      </c>
      <c r="G4112" t="str">
        <f>IF('4M'!R39="","##BLANK",'4M'!R39)</f>
        <v>##BLANK</v>
      </c>
    </row>
    <row r="4113" spans="2:7">
      <c r="B4113" s="893" t="str">
        <f>+'4M'!BT40</f>
        <v>S3A00004HDCUM</v>
      </c>
      <c r="E4113" s="1753" t="s">
        <v>11007</v>
      </c>
      <c r="F4113" s="2146" t="str">
        <f>+'4M'!C$40</f>
        <v>Capital expenditure purpose - WASTEWATER additional line 4 [Other categories]</v>
      </c>
      <c r="G4113" t="str">
        <f>IF('4M'!R40="","##BLANK",'4M'!R40)</f>
        <v>##BLANK</v>
      </c>
    </row>
    <row r="4114" spans="2:7">
      <c r="B4114" s="893" t="str">
        <f>+'4M'!BT41</f>
        <v>S3A00005HDCUM</v>
      </c>
      <c r="E4114" s="1753" t="s">
        <v>11007</v>
      </c>
      <c r="F4114" s="2146" t="str">
        <f>+'4M'!C$41</f>
        <v>Capital expenditure purpose - WASTEWATER additional line 5 [Other categories]</v>
      </c>
      <c r="G4114" t="str">
        <f>IF('4M'!R41="","##BLANK",'4M'!R41)</f>
        <v>##BLANK</v>
      </c>
    </row>
    <row r="4115" spans="2:7">
      <c r="B4115" s="893" t="str">
        <f>+'4M'!BT42</f>
        <v>S3A00006HDCUM</v>
      </c>
      <c r="E4115" s="1753" t="s">
        <v>11007</v>
      </c>
      <c r="F4115" s="2146" t="str">
        <f>+'4M'!C$42</f>
        <v>Capital expenditure purpose - WASTEWATER additional line 6 [Other categories]</v>
      </c>
      <c r="G4115" t="str">
        <f>IF('4M'!R42="","##BLANK",'4M'!R42)</f>
        <v>##BLANK</v>
      </c>
    </row>
    <row r="4116" spans="2:7">
      <c r="B4116" s="893" t="str">
        <f>+'4M'!BT43</f>
        <v>S3A00007HDCUM</v>
      </c>
      <c r="E4116" s="1753" t="s">
        <v>11007</v>
      </c>
      <c r="F4116" s="2146" t="str">
        <f>+'4M'!C$43</f>
        <v>Capital expenditure purpose - WASTEWATER additional line 7 [Other categories]</v>
      </c>
      <c r="G4116" t="str">
        <f>IF('4M'!R43="","##BLANK",'4M'!R43)</f>
        <v>##BLANK</v>
      </c>
    </row>
    <row r="4117" spans="2:7">
      <c r="B4117" s="893" t="str">
        <f>+'4M'!BT44</f>
        <v>S3A00008HDCUM</v>
      </c>
      <c r="E4117" s="1753" t="s">
        <v>11007</v>
      </c>
      <c r="F4117" s="2146" t="str">
        <f>+'4M'!C$44</f>
        <v>Capital expenditure purpose - WASTEWATER additional line 8 [Other categories]</v>
      </c>
      <c r="G4117" t="str">
        <f>IF('4M'!R44="","##BLANK",'4M'!R44)</f>
        <v>##BLANK</v>
      </c>
    </row>
    <row r="4118" spans="2:7">
      <c r="B4118" s="893" t="str">
        <f>+'4M'!BT45</f>
        <v>S3A00009HDCUM</v>
      </c>
      <c r="E4118" s="1753" t="s">
        <v>11007</v>
      </c>
      <c r="F4118" s="2146" t="str">
        <f>+'4M'!C$45</f>
        <v>Capital expenditure purpose - WASTEWATER additional line 9 [Other categories]</v>
      </c>
      <c r="G4118" t="str">
        <f>IF('4M'!R45="","##BLANK",'4M'!R45)</f>
        <v>##BLANK</v>
      </c>
    </row>
    <row r="4119" spans="2:7">
      <c r="B4119" s="893" t="str">
        <f>+'4M'!BT46</f>
        <v>S3A00010HDCUM</v>
      </c>
      <c r="E4119" s="1753" t="s">
        <v>11007</v>
      </c>
      <c r="F4119" s="2146" t="str">
        <f>+'4M'!C$46</f>
        <v>Capital expenditure purpose - WASTEWATER additional line 10 [Other categories]</v>
      </c>
      <c r="G4119" t="str">
        <f>IF('4M'!R46="","##BLANK",'4M'!R46)</f>
        <v>##BLANK</v>
      </c>
    </row>
    <row r="4120" spans="2:7">
      <c r="B4120" s="893" t="str">
        <f>+'4M'!BT47</f>
        <v>S3A00011HDCUM</v>
      </c>
      <c r="E4120" s="1753" t="s">
        <v>11007</v>
      </c>
      <c r="F4120" s="2146" t="str">
        <f>+'4M'!C$47</f>
        <v>Capital expenditure purpose - WASTEWATER additional line 11 [Other categories]</v>
      </c>
      <c r="G4120" t="str">
        <f>IF('4M'!R47="","##BLANK",'4M'!R47)</f>
        <v>##BLANK</v>
      </c>
    </row>
    <row r="4121" spans="2:7">
      <c r="B4121" s="893" t="str">
        <f>+'4M'!BT48</f>
        <v>S3A00012HDCUM</v>
      </c>
      <c r="E4121" s="1753" t="s">
        <v>11007</v>
      </c>
      <c r="F4121" s="2146" t="str">
        <f>+'4M'!C$48</f>
        <v>Capital expenditure purpose - WASTEWATER additional line 12 [Other categories]</v>
      </c>
      <c r="G4121" t="str">
        <f>IF('4M'!R48="","##BLANK",'4M'!R48)</f>
        <v>##BLANK</v>
      </c>
    </row>
    <row r="4122" spans="2:7">
      <c r="B4122" s="893" t="str">
        <f>+'4M'!BT49</f>
        <v>S3A00013HDCUM</v>
      </c>
      <c r="E4122" s="1753" t="s">
        <v>11007</v>
      </c>
      <c r="F4122" s="2146" t="str">
        <f>+'4M'!C$49</f>
        <v>Capital expenditure purpose - WASTEWATER additional line 13 [Other categories]</v>
      </c>
      <c r="G4122" t="str">
        <f>IF('4M'!R49="","##BLANK",'4M'!R49)</f>
        <v>##BLANK</v>
      </c>
    </row>
    <row r="4123" spans="2:7">
      <c r="B4123" s="893" t="str">
        <f>+'4M'!BT50</f>
        <v>S3A00014HDCUM</v>
      </c>
      <c r="E4123" s="1753" t="s">
        <v>11007</v>
      </c>
      <c r="F4123" s="2146" t="str">
        <f>+'4M'!C$50</f>
        <v>Capital expenditure purpose - WASTEWATER additional line 14 [Other categories]</v>
      </c>
      <c r="G4123" t="str">
        <f>IF('4M'!R50="","##BLANK",'4M'!R50)</f>
        <v>##BLANK</v>
      </c>
    </row>
    <row r="4124" spans="2:7">
      <c r="B4124" s="893" t="str">
        <f>+'4M'!BT51</f>
        <v>S3A00015HDCUM</v>
      </c>
      <c r="E4124" s="1753" t="s">
        <v>11007</v>
      </c>
      <c r="F4124" s="2146" t="str">
        <f>+'4M'!C$51</f>
        <v>Capital expenditure purpose - WASTEWATER additional line 15 [Other categories]</v>
      </c>
      <c r="G4124" t="str">
        <f>IF('4M'!R51="","##BLANK",'4M'!R51)</f>
        <v>##BLANK</v>
      </c>
    </row>
    <row r="4125" spans="2:7">
      <c r="B4125" s="893" t="str">
        <f>+'4M'!BT52</f>
        <v>S3025ENHHDCUM</v>
      </c>
      <c r="E4125" s="1753" t="s">
        <v>11007</v>
      </c>
      <c r="G4125">
        <f>IF('4M'!R52="","##BLANK",'4M'!R52)</f>
        <v>0</v>
      </c>
    </row>
    <row r="4126" spans="2:7">
      <c r="B4126" s="893" t="str">
        <f>+'4M'!BU8</f>
        <v>BC31379STDCUM</v>
      </c>
      <c r="E4126" s="1753" t="s">
        <v>11007</v>
      </c>
      <c r="G4126" t="str">
        <f>IF('4M'!S8="","##BLANK",'4M'!S8)</f>
        <v>##BLANK</v>
      </c>
    </row>
    <row r="4127" spans="2:7">
      <c r="B4127" s="893" t="str">
        <f>+'4M'!BU9</f>
        <v>S3035QSTDCUM</v>
      </c>
      <c r="E4127" s="1753" t="s">
        <v>11007</v>
      </c>
      <c r="G4127" t="str">
        <f>IF('4M'!S9="","##BLANK",'4M'!S9)</f>
        <v>##BLANK</v>
      </c>
    </row>
    <row r="4128" spans="2:7">
      <c r="B4128" s="893" t="str">
        <f>+'4M'!BU10</f>
        <v>S3036GSTDCUM</v>
      </c>
      <c r="E4128" s="1753" t="s">
        <v>11007</v>
      </c>
      <c r="G4128" t="str">
        <f>IF('4M'!S10="","##BLANK",'4M'!S10)</f>
        <v>##BLANK</v>
      </c>
    </row>
    <row r="4129" spans="2:7">
      <c r="B4129" s="893" t="str">
        <f>+'4M'!BU11</f>
        <v>S3004STDCUM</v>
      </c>
      <c r="E4129" s="1753" t="s">
        <v>11007</v>
      </c>
      <c r="G4129" t="str">
        <f>IF('4M'!S11="","##BLANK",'4M'!S11)</f>
        <v>##BLANK</v>
      </c>
    </row>
    <row r="4130" spans="2:7">
      <c r="B4130" s="893" t="str">
        <f>+'4M'!BU12</f>
        <v>WWS2001STDCUM</v>
      </c>
      <c r="E4130" s="1753" t="s">
        <v>11007</v>
      </c>
      <c r="G4130" t="str">
        <f>IF('4M'!S12="","##BLANK",'4M'!S12)</f>
        <v>##BLANK</v>
      </c>
    </row>
    <row r="4131" spans="2:7">
      <c r="B4131" s="893" t="str">
        <f>+'4M'!BU13</f>
        <v>S3005STDCUM</v>
      </c>
      <c r="E4131" s="1753" t="s">
        <v>11007</v>
      </c>
      <c r="G4131" t="str">
        <f>IF('4M'!S13="","##BLANK",'4M'!S13)</f>
        <v>##BLANK</v>
      </c>
    </row>
    <row r="4132" spans="2:7">
      <c r="B4132" s="893" t="str">
        <f>+'4M'!BU14</f>
        <v>S3006STDCUM</v>
      </c>
      <c r="E4132" s="1753" t="s">
        <v>11007</v>
      </c>
      <c r="G4132" t="str">
        <f>IF('4M'!S14="","##BLANK",'4M'!S14)</f>
        <v>##BLANK</v>
      </c>
    </row>
    <row r="4133" spans="2:7">
      <c r="B4133" s="893" t="str">
        <f>+'4M'!BU15</f>
        <v>S3007STDCUM</v>
      </c>
      <c r="E4133" s="1753" t="s">
        <v>11007</v>
      </c>
      <c r="G4133" t="str">
        <f>IF('4M'!S15="","##BLANK",'4M'!S15)</f>
        <v>##BLANK</v>
      </c>
    </row>
    <row r="4134" spans="2:7">
      <c r="B4134" s="893" t="str">
        <f>+'4M'!BU16</f>
        <v>WWS2002STDCUM</v>
      </c>
      <c r="E4134" s="1753" t="s">
        <v>11007</v>
      </c>
      <c r="G4134" t="str">
        <f>IF('4M'!S16="","##BLANK",'4M'!S16)</f>
        <v>##BLANK</v>
      </c>
    </row>
    <row r="4135" spans="2:7">
      <c r="B4135" s="893" t="str">
        <f>+'4M'!BU17</f>
        <v>WWS2003STDCUM</v>
      </c>
      <c r="E4135" s="1753" t="s">
        <v>11007</v>
      </c>
      <c r="G4135" t="str">
        <f>IF('4M'!S17="","##BLANK",'4M'!S17)</f>
        <v>##BLANK</v>
      </c>
    </row>
    <row r="4136" spans="2:7">
      <c r="B4136" s="893" t="str">
        <f>+'4M'!BU18</f>
        <v>S3008STDCUM</v>
      </c>
      <c r="E4136" s="1753" t="s">
        <v>11007</v>
      </c>
      <c r="G4136" t="str">
        <f>IF('4M'!S18="","##BLANK",'4M'!S18)</f>
        <v>##BLANK</v>
      </c>
    </row>
    <row r="4137" spans="2:7">
      <c r="B4137" s="893" t="str">
        <f>+'4M'!BU19</f>
        <v>S3009STDCUM</v>
      </c>
      <c r="E4137" s="1753" t="s">
        <v>11007</v>
      </c>
      <c r="G4137" t="str">
        <f>IF('4M'!S19="","##BLANK",'4M'!S19)</f>
        <v>##BLANK</v>
      </c>
    </row>
    <row r="4138" spans="2:7">
      <c r="B4138" s="893" t="str">
        <f>+'4M'!BU20</f>
        <v>WWS2007STDCUM</v>
      </c>
      <c r="E4138" s="1753" t="s">
        <v>11007</v>
      </c>
      <c r="G4138" t="str">
        <f>IF('4M'!S20="","##BLANK",'4M'!S20)</f>
        <v>##BLANK</v>
      </c>
    </row>
    <row r="4139" spans="2:7">
      <c r="B4139" s="893" t="str">
        <f>+'4M'!BU21</f>
        <v>S3010STDCUM</v>
      </c>
      <c r="E4139" s="1753" t="s">
        <v>11007</v>
      </c>
      <c r="G4139" t="str">
        <f>IF('4M'!S21="","##BLANK",'4M'!S21)</f>
        <v>##BLANK</v>
      </c>
    </row>
    <row r="4140" spans="2:7">
      <c r="B4140" s="893" t="str">
        <f>+'4M'!BU22</f>
        <v>S3011STDCUM</v>
      </c>
      <c r="E4140" s="1753" t="s">
        <v>11007</v>
      </c>
      <c r="G4140" t="str">
        <f>IF('4M'!S22="","##BLANK",'4M'!S22)</f>
        <v>##BLANK</v>
      </c>
    </row>
    <row r="4141" spans="2:7">
      <c r="B4141" s="893" t="str">
        <f>+'4M'!BU23</f>
        <v>S3012STDCUM</v>
      </c>
      <c r="E4141" s="1753" t="s">
        <v>11007</v>
      </c>
      <c r="G4141" t="str">
        <f>IF('4M'!S23="","##BLANK",'4M'!S23)</f>
        <v>##BLANK</v>
      </c>
    </row>
    <row r="4142" spans="2:7">
      <c r="B4142" s="893" t="str">
        <f>+'4M'!BU24</f>
        <v>S3013STDCUM</v>
      </c>
      <c r="E4142" s="1753" t="s">
        <v>11007</v>
      </c>
      <c r="G4142" t="str">
        <f>IF('4M'!S24="","##BLANK",'4M'!S24)</f>
        <v>##BLANK</v>
      </c>
    </row>
    <row r="4143" spans="2:7">
      <c r="B4143" s="893" t="str">
        <f>+'4M'!BU25</f>
        <v>S3014STDCUM</v>
      </c>
      <c r="E4143" s="1753" t="s">
        <v>11007</v>
      </c>
      <c r="G4143" t="str">
        <f>IF('4M'!S25="","##BLANK",'4M'!S25)</f>
        <v>##BLANK</v>
      </c>
    </row>
    <row r="4144" spans="2:7">
      <c r="B4144" s="893" t="str">
        <f>+'4M'!BU26</f>
        <v>S3015STDCUM</v>
      </c>
      <c r="E4144" s="1753" t="s">
        <v>11007</v>
      </c>
      <c r="G4144" t="str">
        <f>IF('4M'!S26="","##BLANK",'4M'!S26)</f>
        <v>##BLANK</v>
      </c>
    </row>
    <row r="4145" spans="2:7">
      <c r="B4145" s="893" t="str">
        <f>+'4M'!BU27</f>
        <v>S3016STDCUM</v>
      </c>
      <c r="E4145" s="1753" t="s">
        <v>11007</v>
      </c>
      <c r="G4145" t="str">
        <f>IF('4M'!S27="","##BLANK",'4M'!S27)</f>
        <v>##BLANK</v>
      </c>
    </row>
    <row r="4146" spans="2:7">
      <c r="B4146" s="893" t="str">
        <f>+'4M'!BU28</f>
        <v>S3017STDCUM</v>
      </c>
      <c r="E4146" s="1753" t="s">
        <v>11007</v>
      </c>
      <c r="G4146" t="str">
        <f>IF('4M'!S28="","##BLANK",'4M'!S28)</f>
        <v>##BLANK</v>
      </c>
    </row>
    <row r="4147" spans="2:7">
      <c r="B4147" s="893" t="str">
        <f>+'4M'!BU29</f>
        <v>S3018STDCUM</v>
      </c>
      <c r="E4147" s="1753" t="s">
        <v>11007</v>
      </c>
      <c r="G4147" t="str">
        <f>IF('4M'!S29="","##BLANK",'4M'!S29)</f>
        <v>##BLANK</v>
      </c>
    </row>
    <row r="4148" spans="2:7">
      <c r="B4148" s="893" t="str">
        <f>+'4M'!BU30</f>
        <v>S3019STDCUM</v>
      </c>
      <c r="E4148" s="1753" t="s">
        <v>11007</v>
      </c>
      <c r="G4148" t="str">
        <f>IF('4M'!S30="","##BLANK",'4M'!S30)</f>
        <v>##BLANK</v>
      </c>
    </row>
    <row r="4149" spans="2:7">
      <c r="B4149" s="893" t="str">
        <f>+'4M'!BU31</f>
        <v>S3020STDCUM</v>
      </c>
      <c r="E4149" s="1753" t="s">
        <v>11007</v>
      </c>
      <c r="G4149" t="str">
        <f>IF('4M'!S31="","##BLANK",'4M'!S31)</f>
        <v>##BLANK</v>
      </c>
    </row>
    <row r="4150" spans="2:7">
      <c r="B4150" s="893" t="str">
        <f>+'4M'!BU32</f>
        <v>S3021STDCUM</v>
      </c>
      <c r="E4150" s="1753" t="s">
        <v>11007</v>
      </c>
      <c r="G4150" t="str">
        <f>IF('4M'!S32="","##BLANK",'4M'!S32)</f>
        <v>##BLANK</v>
      </c>
    </row>
    <row r="4151" spans="2:7">
      <c r="B4151" s="893" t="str">
        <f>+'4M'!BU33</f>
        <v>S3022STDCUM</v>
      </c>
      <c r="E4151" s="1753" t="s">
        <v>11007</v>
      </c>
      <c r="G4151" t="str">
        <f>IF('4M'!S33="","##BLANK",'4M'!S33)</f>
        <v>##BLANK</v>
      </c>
    </row>
    <row r="4152" spans="2:7">
      <c r="B4152" s="893" t="str">
        <f>+'4M'!BU34</f>
        <v>BC31785STDCUM</v>
      </c>
      <c r="E4152" s="1753" t="s">
        <v>11007</v>
      </c>
      <c r="G4152" t="str">
        <f>IF('4M'!S34="","##BLANK",'4M'!S34)</f>
        <v>##BLANK</v>
      </c>
    </row>
    <row r="4153" spans="2:7">
      <c r="B4153" s="893" t="str">
        <f>+'4M'!BU35</f>
        <v>S3023STDCUM</v>
      </c>
      <c r="E4153" s="1753" t="s">
        <v>11007</v>
      </c>
      <c r="G4153" t="str">
        <f>IF('4M'!S35="","##BLANK",'4M'!S35)</f>
        <v>##BLANK</v>
      </c>
    </row>
    <row r="4154" spans="2:7">
      <c r="B4154" s="893" t="str">
        <f>+'4M'!BU36</f>
        <v>S3024STDCUM</v>
      </c>
      <c r="E4154" s="1753" t="s">
        <v>11007</v>
      </c>
      <c r="G4154" t="str">
        <f>IF('4M'!S36="","##BLANK",'4M'!S36)</f>
        <v>##BLANK</v>
      </c>
    </row>
    <row r="4155" spans="2:7">
      <c r="B4155" s="893" t="str">
        <f>+'4M'!BU37</f>
        <v>S3A00001STDCUM</v>
      </c>
      <c r="E4155" s="1753" t="s">
        <v>11007</v>
      </c>
      <c r="F4155" s="2146" t="str">
        <f>+'4M'!C$37</f>
        <v>Capital expenditure purpose - WASTEWATER additional line 1 [Other categories]</v>
      </c>
      <c r="G4155" t="str">
        <f>IF('4M'!S37="","##BLANK",'4M'!S37)</f>
        <v>##BLANK</v>
      </c>
    </row>
    <row r="4156" spans="2:7">
      <c r="B4156" s="893" t="str">
        <f>+'4M'!BU38</f>
        <v>S3A00002STDCUM</v>
      </c>
      <c r="E4156" s="1753" t="s">
        <v>11007</v>
      </c>
      <c r="F4156" s="2146" t="str">
        <f>+'4M'!C$38</f>
        <v>Capital expenditure purpose - WASTEWATER additional line 2 [Other categories]</v>
      </c>
      <c r="G4156" t="str">
        <f>IF('4M'!S38="","##BLANK",'4M'!S38)</f>
        <v>##BLANK</v>
      </c>
    </row>
    <row r="4157" spans="2:7">
      <c r="B4157" s="893" t="str">
        <f>+'4M'!BU39</f>
        <v>S3A00003STDCUM</v>
      </c>
      <c r="E4157" s="1753" t="s">
        <v>11007</v>
      </c>
      <c r="F4157" s="2146" t="str">
        <f>+'4M'!C$39</f>
        <v>Capital expenditure purpose - WASTEWATER additional line 3 [Other categories]</v>
      </c>
      <c r="G4157" t="str">
        <f>IF('4M'!S39="","##BLANK",'4M'!S39)</f>
        <v>##BLANK</v>
      </c>
    </row>
    <row r="4158" spans="2:7">
      <c r="B4158" s="893" t="str">
        <f>+'4M'!BU40</f>
        <v>S3A00004STDCUM</v>
      </c>
      <c r="E4158" s="1753" t="s">
        <v>11007</v>
      </c>
      <c r="F4158" s="2146" t="str">
        <f>+'4M'!C$40</f>
        <v>Capital expenditure purpose - WASTEWATER additional line 4 [Other categories]</v>
      </c>
      <c r="G4158" t="str">
        <f>IF('4M'!S40="","##BLANK",'4M'!S40)</f>
        <v>##BLANK</v>
      </c>
    </row>
    <row r="4159" spans="2:7">
      <c r="B4159" s="893" t="str">
        <f>+'4M'!BU41</f>
        <v>S3A00005STDCUM</v>
      </c>
      <c r="E4159" s="1753" t="s">
        <v>11007</v>
      </c>
      <c r="F4159" s="2146" t="str">
        <f>+'4M'!C$41</f>
        <v>Capital expenditure purpose - WASTEWATER additional line 5 [Other categories]</v>
      </c>
      <c r="G4159" t="str">
        <f>IF('4M'!S41="","##BLANK",'4M'!S41)</f>
        <v>##BLANK</v>
      </c>
    </row>
    <row r="4160" spans="2:7">
      <c r="B4160" s="893" t="str">
        <f>+'4M'!BU42</f>
        <v>S3A00006STDCUM</v>
      </c>
      <c r="E4160" s="1753" t="s">
        <v>11007</v>
      </c>
      <c r="F4160" s="2146" t="str">
        <f>+'4M'!C$42</f>
        <v>Capital expenditure purpose - WASTEWATER additional line 6 [Other categories]</v>
      </c>
      <c r="G4160" t="str">
        <f>IF('4M'!S42="","##BLANK",'4M'!S42)</f>
        <v>##BLANK</v>
      </c>
    </row>
    <row r="4161" spans="2:7">
      <c r="B4161" s="893" t="str">
        <f>+'4M'!BU43</f>
        <v>S3A00007STDCUM</v>
      </c>
      <c r="E4161" s="1753" t="s">
        <v>11007</v>
      </c>
      <c r="F4161" s="2146" t="str">
        <f>+'4M'!C$43</f>
        <v>Capital expenditure purpose - WASTEWATER additional line 7 [Other categories]</v>
      </c>
      <c r="G4161" t="str">
        <f>IF('4M'!S43="","##BLANK",'4M'!S43)</f>
        <v>##BLANK</v>
      </c>
    </row>
    <row r="4162" spans="2:7">
      <c r="B4162" s="893" t="str">
        <f>+'4M'!BU44</f>
        <v>S3A00008STDCUM</v>
      </c>
      <c r="E4162" s="1753" t="s">
        <v>11007</v>
      </c>
      <c r="F4162" s="2146" t="str">
        <f>+'4M'!C$44</f>
        <v>Capital expenditure purpose - WASTEWATER additional line 8 [Other categories]</v>
      </c>
      <c r="G4162" t="str">
        <f>IF('4M'!S44="","##BLANK",'4M'!S44)</f>
        <v>##BLANK</v>
      </c>
    </row>
    <row r="4163" spans="2:7">
      <c r="B4163" s="893" t="str">
        <f>+'4M'!BU45</f>
        <v>S3A00009STDCUM</v>
      </c>
      <c r="E4163" s="1753" t="s">
        <v>11007</v>
      </c>
      <c r="F4163" s="2146" t="str">
        <f>+'4M'!C$45</f>
        <v>Capital expenditure purpose - WASTEWATER additional line 9 [Other categories]</v>
      </c>
      <c r="G4163" t="str">
        <f>IF('4M'!S45="","##BLANK",'4M'!S45)</f>
        <v>##BLANK</v>
      </c>
    </row>
    <row r="4164" spans="2:7">
      <c r="B4164" s="893" t="str">
        <f>+'4M'!BU46</f>
        <v>S3A00010STDCUM</v>
      </c>
      <c r="E4164" s="1753" t="s">
        <v>11007</v>
      </c>
      <c r="F4164" s="2146" t="str">
        <f>+'4M'!C$46</f>
        <v>Capital expenditure purpose - WASTEWATER additional line 10 [Other categories]</v>
      </c>
      <c r="G4164" t="str">
        <f>IF('4M'!S46="","##BLANK",'4M'!S46)</f>
        <v>##BLANK</v>
      </c>
    </row>
    <row r="4165" spans="2:7">
      <c r="B4165" s="893" t="str">
        <f>+'4M'!BU47</f>
        <v>S3A00011STDCUM</v>
      </c>
      <c r="E4165" s="1753" t="s">
        <v>11007</v>
      </c>
      <c r="F4165" s="2146" t="str">
        <f>+'4M'!C$47</f>
        <v>Capital expenditure purpose - WASTEWATER additional line 11 [Other categories]</v>
      </c>
      <c r="G4165" t="str">
        <f>IF('4M'!S47="","##BLANK",'4M'!S47)</f>
        <v>##BLANK</v>
      </c>
    </row>
    <row r="4166" spans="2:7">
      <c r="B4166" s="893" t="str">
        <f>+'4M'!BU48</f>
        <v>S3A00012STDCUM</v>
      </c>
      <c r="E4166" s="1753" t="s">
        <v>11007</v>
      </c>
      <c r="F4166" s="2146" t="str">
        <f>+'4M'!C$48</f>
        <v>Capital expenditure purpose - WASTEWATER additional line 12 [Other categories]</v>
      </c>
      <c r="G4166" t="str">
        <f>IF('4M'!S48="","##BLANK",'4M'!S48)</f>
        <v>##BLANK</v>
      </c>
    </row>
    <row r="4167" spans="2:7">
      <c r="B4167" s="893" t="str">
        <f>+'4M'!BU49</f>
        <v>S3A00013STDCUM</v>
      </c>
      <c r="E4167" s="1753" t="s">
        <v>11007</v>
      </c>
      <c r="F4167" s="2146" t="str">
        <f>+'4M'!C$49</f>
        <v>Capital expenditure purpose - WASTEWATER additional line 13 [Other categories]</v>
      </c>
      <c r="G4167" t="str">
        <f>IF('4M'!S49="","##BLANK",'4M'!S49)</f>
        <v>##BLANK</v>
      </c>
    </row>
    <row r="4168" spans="2:7">
      <c r="B4168" s="893" t="str">
        <f>+'4M'!BU50</f>
        <v>S3A00014STDCUM</v>
      </c>
      <c r="E4168" s="1753" t="s">
        <v>11007</v>
      </c>
      <c r="F4168" s="2146" t="str">
        <f>+'4M'!C$50</f>
        <v>Capital expenditure purpose - WASTEWATER additional line 14 [Other categories]</v>
      </c>
      <c r="G4168" t="str">
        <f>IF('4M'!S50="","##BLANK",'4M'!S50)</f>
        <v>##BLANK</v>
      </c>
    </row>
    <row r="4169" spans="2:7">
      <c r="B4169" s="893" t="str">
        <f>+'4M'!BU51</f>
        <v>S3A00015STDCUM</v>
      </c>
      <c r="E4169" s="1753" t="s">
        <v>11007</v>
      </c>
      <c r="F4169" s="2146" t="str">
        <f>+'4M'!C$51</f>
        <v>Capital expenditure purpose - WASTEWATER additional line 15 [Other categories]</v>
      </c>
      <c r="G4169" t="str">
        <f>IF('4M'!S51="","##BLANK",'4M'!S51)</f>
        <v>##BLANK</v>
      </c>
    </row>
    <row r="4170" spans="2:7">
      <c r="B4170" s="893" t="str">
        <f>+'4M'!BU52</f>
        <v>S3025ENHSTDCUM</v>
      </c>
      <c r="E4170" s="1753" t="s">
        <v>11007</v>
      </c>
      <c r="G4170">
        <f>IF('4M'!S52="","##BLANK",'4M'!S52)</f>
        <v>0</v>
      </c>
    </row>
    <row r="4171" spans="2:7">
      <c r="B4171" s="893" t="str">
        <f>+'4M'!BV8</f>
        <v>BC31379SLTCUM</v>
      </c>
      <c r="E4171" s="1753" t="s">
        <v>11007</v>
      </c>
      <c r="G4171" t="str">
        <f>IF('4M'!T8="","##BLANK",'4M'!T8)</f>
        <v>##BLANK</v>
      </c>
    </row>
    <row r="4172" spans="2:7">
      <c r="B4172" s="893" t="str">
        <f>+'4M'!BV9</f>
        <v>S3035QSLTCUM</v>
      </c>
      <c r="E4172" s="1753" t="s">
        <v>11007</v>
      </c>
      <c r="G4172" t="str">
        <f>IF('4M'!T9="","##BLANK",'4M'!T9)</f>
        <v>##BLANK</v>
      </c>
    </row>
    <row r="4173" spans="2:7">
      <c r="B4173" s="893" t="str">
        <f>+'4M'!BV10</f>
        <v>S3036GSLTCUM</v>
      </c>
      <c r="E4173" s="1753" t="s">
        <v>11007</v>
      </c>
      <c r="G4173" t="str">
        <f>IF('4M'!T10="","##BLANK",'4M'!T10)</f>
        <v>##BLANK</v>
      </c>
    </row>
    <row r="4174" spans="2:7">
      <c r="B4174" s="893" t="str">
        <f>+'4M'!BV11</f>
        <v>S3004SLTCUM</v>
      </c>
      <c r="E4174" s="1753" t="s">
        <v>11007</v>
      </c>
      <c r="G4174" t="str">
        <f>IF('4M'!T11="","##BLANK",'4M'!T11)</f>
        <v>##BLANK</v>
      </c>
    </row>
    <row r="4175" spans="2:7">
      <c r="B4175" s="893" t="str">
        <f>+'4M'!BV12</f>
        <v>WWS2001SLTCUM</v>
      </c>
      <c r="E4175" s="1753" t="s">
        <v>11007</v>
      </c>
      <c r="G4175" t="str">
        <f>IF('4M'!T12="","##BLANK",'4M'!T12)</f>
        <v>##BLANK</v>
      </c>
    </row>
    <row r="4176" spans="2:7">
      <c r="B4176" s="893" t="str">
        <f>+'4M'!BV13</f>
        <v>S3005SLTCUM</v>
      </c>
      <c r="E4176" s="1753" t="s">
        <v>11007</v>
      </c>
      <c r="G4176" t="str">
        <f>IF('4M'!T13="","##BLANK",'4M'!T13)</f>
        <v>##BLANK</v>
      </c>
    </row>
    <row r="4177" spans="2:7">
      <c r="B4177" s="893" t="str">
        <f>+'4M'!BV14</f>
        <v>S3006SLTCUM</v>
      </c>
      <c r="E4177" s="1753" t="s">
        <v>11007</v>
      </c>
      <c r="G4177" t="str">
        <f>IF('4M'!T14="","##BLANK",'4M'!T14)</f>
        <v>##BLANK</v>
      </c>
    </row>
    <row r="4178" spans="2:7">
      <c r="B4178" s="893" t="str">
        <f>+'4M'!BV15</f>
        <v>S3007SLTCUM</v>
      </c>
      <c r="E4178" s="1753" t="s">
        <v>11007</v>
      </c>
      <c r="G4178" t="str">
        <f>IF('4M'!T15="","##BLANK",'4M'!T15)</f>
        <v>##BLANK</v>
      </c>
    </row>
    <row r="4179" spans="2:7">
      <c r="B4179" s="893" t="str">
        <f>+'4M'!BV16</f>
        <v>WWS2002SLTCUM</v>
      </c>
      <c r="E4179" s="1753" t="s">
        <v>11007</v>
      </c>
      <c r="G4179" t="str">
        <f>IF('4M'!T16="","##BLANK",'4M'!T16)</f>
        <v>##BLANK</v>
      </c>
    </row>
    <row r="4180" spans="2:7">
      <c r="B4180" s="893" t="str">
        <f>+'4M'!BV17</f>
        <v>WWS2003SLTCUM</v>
      </c>
      <c r="E4180" s="1753" t="s">
        <v>11007</v>
      </c>
      <c r="G4180" t="str">
        <f>IF('4M'!T17="","##BLANK",'4M'!T17)</f>
        <v>##BLANK</v>
      </c>
    </row>
    <row r="4181" spans="2:7">
      <c r="B4181" s="893" t="str">
        <f>+'4M'!BV18</f>
        <v>S3008SLTCUM</v>
      </c>
      <c r="E4181" s="1753" t="s">
        <v>11007</v>
      </c>
      <c r="G4181" t="str">
        <f>IF('4M'!T18="","##BLANK",'4M'!T18)</f>
        <v>##BLANK</v>
      </c>
    </row>
    <row r="4182" spans="2:7">
      <c r="B4182" s="893" t="str">
        <f>+'4M'!BV19</f>
        <v>S3009SLTCUM</v>
      </c>
      <c r="E4182" s="1753" t="s">
        <v>11007</v>
      </c>
      <c r="G4182" t="str">
        <f>IF('4M'!T19="","##BLANK",'4M'!T19)</f>
        <v>##BLANK</v>
      </c>
    </row>
    <row r="4183" spans="2:7">
      <c r="B4183" s="893" t="str">
        <f>+'4M'!BV20</f>
        <v>WWS2007SLTCUM</v>
      </c>
      <c r="E4183" s="1753" t="s">
        <v>11007</v>
      </c>
      <c r="G4183" t="str">
        <f>IF('4M'!T20="","##BLANK",'4M'!T20)</f>
        <v>##BLANK</v>
      </c>
    </row>
    <row r="4184" spans="2:7">
      <c r="B4184" s="893" t="str">
        <f>+'4M'!BV21</f>
        <v>S3010SLTCUM</v>
      </c>
      <c r="E4184" s="1753" t="s">
        <v>11007</v>
      </c>
      <c r="G4184" t="str">
        <f>IF('4M'!T21="","##BLANK",'4M'!T21)</f>
        <v>##BLANK</v>
      </c>
    </row>
    <row r="4185" spans="2:7">
      <c r="B4185" s="893" t="str">
        <f>+'4M'!BV22</f>
        <v>S3011SLTCUM</v>
      </c>
      <c r="E4185" s="1753" t="s">
        <v>11007</v>
      </c>
      <c r="G4185" t="str">
        <f>IF('4M'!T22="","##BLANK",'4M'!T22)</f>
        <v>##BLANK</v>
      </c>
    </row>
    <row r="4186" spans="2:7">
      <c r="B4186" s="893" t="str">
        <f>+'4M'!BV23</f>
        <v>S3012SLTCUM</v>
      </c>
      <c r="E4186" s="1753" t="s">
        <v>11007</v>
      </c>
      <c r="G4186" t="str">
        <f>IF('4M'!T23="","##BLANK",'4M'!T23)</f>
        <v>##BLANK</v>
      </c>
    </row>
    <row r="4187" spans="2:7">
      <c r="B4187" s="893" t="str">
        <f>+'4M'!BV24</f>
        <v>S3013SLTCUM</v>
      </c>
      <c r="E4187" s="1753" t="s">
        <v>11007</v>
      </c>
      <c r="G4187" t="str">
        <f>IF('4M'!T24="","##BLANK",'4M'!T24)</f>
        <v>##BLANK</v>
      </c>
    </row>
    <row r="4188" spans="2:7">
      <c r="B4188" s="893" t="str">
        <f>+'4M'!BV25</f>
        <v>S3014SLTCUM</v>
      </c>
      <c r="E4188" s="1753" t="s">
        <v>11007</v>
      </c>
      <c r="G4188" t="str">
        <f>IF('4M'!T25="","##BLANK",'4M'!T25)</f>
        <v>##BLANK</v>
      </c>
    </row>
    <row r="4189" spans="2:7">
      <c r="B4189" s="893" t="str">
        <f>+'4M'!BV26</f>
        <v>S3015SLTCUM</v>
      </c>
      <c r="E4189" s="1753" t="s">
        <v>11007</v>
      </c>
      <c r="G4189" t="str">
        <f>IF('4M'!T26="","##BLANK",'4M'!T26)</f>
        <v>##BLANK</v>
      </c>
    </row>
    <row r="4190" spans="2:7">
      <c r="B4190" s="893" t="str">
        <f>+'4M'!BV27</f>
        <v>S3016SLTCUM</v>
      </c>
      <c r="E4190" s="1753" t="s">
        <v>11007</v>
      </c>
      <c r="G4190" t="str">
        <f>IF('4M'!T27="","##BLANK",'4M'!T27)</f>
        <v>##BLANK</v>
      </c>
    </row>
    <row r="4191" spans="2:7">
      <c r="B4191" s="893" t="str">
        <f>+'4M'!BV28</f>
        <v>S3017SLTCUM</v>
      </c>
      <c r="E4191" s="1753" t="s">
        <v>11007</v>
      </c>
      <c r="G4191" t="str">
        <f>IF('4M'!T28="","##BLANK",'4M'!T28)</f>
        <v>##BLANK</v>
      </c>
    </row>
    <row r="4192" spans="2:7">
      <c r="B4192" s="893" t="str">
        <f>+'4M'!BV29</f>
        <v>S3018SLTCUM</v>
      </c>
      <c r="E4192" s="1753" t="s">
        <v>11007</v>
      </c>
      <c r="G4192" t="str">
        <f>IF('4M'!T29="","##BLANK",'4M'!T29)</f>
        <v>##BLANK</v>
      </c>
    </row>
    <row r="4193" spans="2:7">
      <c r="B4193" s="893" t="str">
        <f>+'4M'!BV30</f>
        <v>S3019SLTCUM</v>
      </c>
      <c r="E4193" s="1753" t="s">
        <v>11007</v>
      </c>
      <c r="G4193" t="str">
        <f>IF('4M'!T30="","##BLANK",'4M'!T30)</f>
        <v>##BLANK</v>
      </c>
    </row>
    <row r="4194" spans="2:7">
      <c r="B4194" s="893" t="str">
        <f>+'4M'!BV31</f>
        <v>S3020SLTCUM</v>
      </c>
      <c r="E4194" s="1753" t="s">
        <v>11007</v>
      </c>
      <c r="G4194" t="str">
        <f>IF('4M'!T31="","##BLANK",'4M'!T31)</f>
        <v>##BLANK</v>
      </c>
    </row>
    <row r="4195" spans="2:7">
      <c r="B4195" s="893" t="str">
        <f>+'4M'!BV32</f>
        <v>S3021SLTCUM</v>
      </c>
      <c r="E4195" s="1753" t="s">
        <v>11007</v>
      </c>
      <c r="G4195" t="str">
        <f>IF('4M'!T32="","##BLANK",'4M'!T32)</f>
        <v>##BLANK</v>
      </c>
    </row>
    <row r="4196" spans="2:7">
      <c r="B4196" s="893" t="str">
        <f>+'4M'!BV33</f>
        <v>S3022SLTCUM</v>
      </c>
      <c r="E4196" s="1753" t="s">
        <v>11007</v>
      </c>
      <c r="G4196" t="str">
        <f>IF('4M'!T33="","##BLANK",'4M'!T33)</f>
        <v>##BLANK</v>
      </c>
    </row>
    <row r="4197" spans="2:7">
      <c r="B4197" s="893" t="str">
        <f>+'4M'!BV34</f>
        <v>BC31785SLTCUM</v>
      </c>
      <c r="E4197" s="1753" t="s">
        <v>11007</v>
      </c>
      <c r="G4197" t="str">
        <f>IF('4M'!T34="","##BLANK",'4M'!T34)</f>
        <v>##BLANK</v>
      </c>
    </row>
    <row r="4198" spans="2:7">
      <c r="B4198" s="893" t="str">
        <f>+'4M'!BV35</f>
        <v>S3023SLTCUM</v>
      </c>
      <c r="E4198" s="1753" t="s">
        <v>11007</v>
      </c>
      <c r="G4198" t="str">
        <f>IF('4M'!T35="","##BLANK",'4M'!T35)</f>
        <v>##BLANK</v>
      </c>
    </row>
    <row r="4199" spans="2:7">
      <c r="B4199" s="893" t="str">
        <f>+'4M'!BV36</f>
        <v>S3024SLTCUM</v>
      </c>
      <c r="E4199" s="1753" t="s">
        <v>11007</v>
      </c>
      <c r="G4199" t="str">
        <f>IF('4M'!T36="","##BLANK",'4M'!T36)</f>
        <v>##BLANK</v>
      </c>
    </row>
    <row r="4200" spans="2:7">
      <c r="B4200" s="893" t="str">
        <f>+'4M'!BV37</f>
        <v>S3A00001SLTCUM</v>
      </c>
      <c r="E4200" s="1753" t="s">
        <v>11007</v>
      </c>
      <c r="F4200" s="2146" t="str">
        <f>+'4M'!C$37</f>
        <v>Capital expenditure purpose - WASTEWATER additional line 1 [Other categories]</v>
      </c>
      <c r="G4200" t="str">
        <f>IF('4M'!T37="","##BLANK",'4M'!T37)</f>
        <v>##BLANK</v>
      </c>
    </row>
    <row r="4201" spans="2:7">
      <c r="B4201" s="893" t="str">
        <f>+'4M'!BV38</f>
        <v>S3A00002SLTCUM</v>
      </c>
      <c r="E4201" s="1753" t="s">
        <v>11007</v>
      </c>
      <c r="F4201" s="2146" t="str">
        <f>+'4M'!C$38</f>
        <v>Capital expenditure purpose - WASTEWATER additional line 2 [Other categories]</v>
      </c>
      <c r="G4201" t="str">
        <f>IF('4M'!T38="","##BLANK",'4M'!T38)</f>
        <v>##BLANK</v>
      </c>
    </row>
    <row r="4202" spans="2:7">
      <c r="B4202" s="893" t="str">
        <f>+'4M'!BV39</f>
        <v>S3A00003SLTCUM</v>
      </c>
      <c r="E4202" s="1753" t="s">
        <v>11007</v>
      </c>
      <c r="F4202" s="2146" t="str">
        <f>+'4M'!C$39</f>
        <v>Capital expenditure purpose - WASTEWATER additional line 3 [Other categories]</v>
      </c>
      <c r="G4202" t="str">
        <f>IF('4M'!T39="","##BLANK",'4M'!T39)</f>
        <v>##BLANK</v>
      </c>
    </row>
    <row r="4203" spans="2:7">
      <c r="B4203" s="893" t="str">
        <f>+'4M'!BV40</f>
        <v>S3A00004SLTCUM</v>
      </c>
      <c r="E4203" s="1753" t="s">
        <v>11007</v>
      </c>
      <c r="F4203" s="2146" t="str">
        <f>+'4M'!C$40</f>
        <v>Capital expenditure purpose - WASTEWATER additional line 4 [Other categories]</v>
      </c>
      <c r="G4203" t="str">
        <f>IF('4M'!T40="","##BLANK",'4M'!T40)</f>
        <v>##BLANK</v>
      </c>
    </row>
    <row r="4204" spans="2:7">
      <c r="B4204" s="893" t="str">
        <f>+'4M'!BV41</f>
        <v>S3A00005SLTCUM</v>
      </c>
      <c r="E4204" s="1753" t="s">
        <v>11007</v>
      </c>
      <c r="F4204" s="2146" t="str">
        <f>+'4M'!C$41</f>
        <v>Capital expenditure purpose - WASTEWATER additional line 5 [Other categories]</v>
      </c>
      <c r="G4204" t="str">
        <f>IF('4M'!T41="","##BLANK",'4M'!T41)</f>
        <v>##BLANK</v>
      </c>
    </row>
    <row r="4205" spans="2:7">
      <c r="B4205" s="893" t="str">
        <f>+'4M'!BV42</f>
        <v>S3A00006SLTCUM</v>
      </c>
      <c r="E4205" s="1753" t="s">
        <v>11007</v>
      </c>
      <c r="F4205" s="2146" t="str">
        <f>+'4M'!C$42</f>
        <v>Capital expenditure purpose - WASTEWATER additional line 6 [Other categories]</v>
      </c>
      <c r="G4205" t="str">
        <f>IF('4M'!T42="","##BLANK",'4M'!T42)</f>
        <v>##BLANK</v>
      </c>
    </row>
    <row r="4206" spans="2:7">
      <c r="B4206" s="893" t="str">
        <f>+'4M'!BV43</f>
        <v>S3A00007SLTCUM</v>
      </c>
      <c r="E4206" s="1753" t="s">
        <v>11007</v>
      </c>
      <c r="F4206" s="2146" t="str">
        <f>+'4M'!C$43</f>
        <v>Capital expenditure purpose - WASTEWATER additional line 7 [Other categories]</v>
      </c>
      <c r="G4206" t="str">
        <f>IF('4M'!T43="","##BLANK",'4M'!T43)</f>
        <v>##BLANK</v>
      </c>
    </row>
    <row r="4207" spans="2:7">
      <c r="B4207" s="893" t="str">
        <f>+'4M'!BV44</f>
        <v>S3A00008SLTCUM</v>
      </c>
      <c r="E4207" s="1753" t="s">
        <v>11007</v>
      </c>
      <c r="F4207" s="2146" t="str">
        <f>+'4M'!C$44</f>
        <v>Capital expenditure purpose - WASTEWATER additional line 8 [Other categories]</v>
      </c>
      <c r="G4207" t="str">
        <f>IF('4M'!T44="","##BLANK",'4M'!T44)</f>
        <v>##BLANK</v>
      </c>
    </row>
    <row r="4208" spans="2:7">
      <c r="B4208" s="893" t="str">
        <f>+'4M'!BV45</f>
        <v>S3A00009SLTCUM</v>
      </c>
      <c r="E4208" s="1753" t="s">
        <v>11007</v>
      </c>
      <c r="F4208" s="2146" t="str">
        <f>+'4M'!C$45</f>
        <v>Capital expenditure purpose - WASTEWATER additional line 9 [Other categories]</v>
      </c>
      <c r="G4208" t="str">
        <f>IF('4M'!T45="","##BLANK",'4M'!T45)</f>
        <v>##BLANK</v>
      </c>
    </row>
    <row r="4209" spans="2:7">
      <c r="B4209" s="893" t="str">
        <f>+'4M'!BV46</f>
        <v>S3A00010SLTCUM</v>
      </c>
      <c r="E4209" s="1753" t="s">
        <v>11007</v>
      </c>
      <c r="F4209" s="2146" t="str">
        <f>+'4M'!C$46</f>
        <v>Capital expenditure purpose - WASTEWATER additional line 10 [Other categories]</v>
      </c>
      <c r="G4209" t="str">
        <f>IF('4M'!T46="","##BLANK",'4M'!T46)</f>
        <v>##BLANK</v>
      </c>
    </row>
    <row r="4210" spans="2:7">
      <c r="B4210" s="893" t="str">
        <f>+'4M'!BV47</f>
        <v>S3A00011SLTCUM</v>
      </c>
      <c r="E4210" s="1753" t="s">
        <v>11007</v>
      </c>
      <c r="F4210" s="2146" t="str">
        <f>+'4M'!C$47</f>
        <v>Capital expenditure purpose - WASTEWATER additional line 11 [Other categories]</v>
      </c>
      <c r="G4210" t="str">
        <f>IF('4M'!T47="","##BLANK",'4M'!T47)</f>
        <v>##BLANK</v>
      </c>
    </row>
    <row r="4211" spans="2:7">
      <c r="B4211" s="893" t="str">
        <f>+'4M'!BV48</f>
        <v>S3A00012SLTCUM</v>
      </c>
      <c r="E4211" s="1753" t="s">
        <v>11007</v>
      </c>
      <c r="F4211" s="2146" t="str">
        <f>+'4M'!C$48</f>
        <v>Capital expenditure purpose - WASTEWATER additional line 12 [Other categories]</v>
      </c>
      <c r="G4211" t="str">
        <f>IF('4M'!T48="","##BLANK",'4M'!T48)</f>
        <v>##BLANK</v>
      </c>
    </row>
    <row r="4212" spans="2:7">
      <c r="B4212" s="893" t="str">
        <f>+'4M'!BV49</f>
        <v>S3A00013SLTCUM</v>
      </c>
      <c r="E4212" s="1753" t="s">
        <v>11007</v>
      </c>
      <c r="F4212" s="2146" t="str">
        <f>+'4M'!C$49</f>
        <v>Capital expenditure purpose - WASTEWATER additional line 13 [Other categories]</v>
      </c>
      <c r="G4212" t="str">
        <f>IF('4M'!T49="","##BLANK",'4M'!T49)</f>
        <v>##BLANK</v>
      </c>
    </row>
    <row r="4213" spans="2:7">
      <c r="B4213" s="893" t="str">
        <f>+'4M'!BV50</f>
        <v>S3A00014SLTCUM</v>
      </c>
      <c r="E4213" s="1753" t="s">
        <v>11007</v>
      </c>
      <c r="F4213" s="2146" t="str">
        <f>+'4M'!C$50</f>
        <v>Capital expenditure purpose - WASTEWATER additional line 14 [Other categories]</v>
      </c>
      <c r="G4213" t="str">
        <f>IF('4M'!T50="","##BLANK",'4M'!T50)</f>
        <v>##BLANK</v>
      </c>
    </row>
    <row r="4214" spans="2:7">
      <c r="B4214" s="893" t="str">
        <f>+'4M'!BV51</f>
        <v>S3A00015SLTCUM</v>
      </c>
      <c r="E4214" s="1753" t="s">
        <v>11007</v>
      </c>
      <c r="F4214" s="2146" t="str">
        <f>+'4M'!C$51</f>
        <v>Capital expenditure purpose - WASTEWATER additional line 15 [Other categories]</v>
      </c>
      <c r="G4214" t="str">
        <f>IF('4M'!T51="","##BLANK",'4M'!T51)</f>
        <v>##BLANK</v>
      </c>
    </row>
    <row r="4215" spans="2:7">
      <c r="B4215" s="893" t="str">
        <f>+'4M'!BV52</f>
        <v>S3025ENHSLTCUM</v>
      </c>
      <c r="E4215" s="1753" t="s">
        <v>11007</v>
      </c>
      <c r="G4215">
        <f>IF('4M'!T52="","##BLANK",'4M'!T52)</f>
        <v>0</v>
      </c>
    </row>
    <row r="4216" spans="2:7">
      <c r="B4216" s="893" t="str">
        <f>+'4M'!BW8</f>
        <v>BC31379STPCUM</v>
      </c>
      <c r="E4216" s="1753" t="s">
        <v>11007</v>
      </c>
      <c r="G4216" t="str">
        <f>IF('4M'!U8="","##BLANK",'4M'!U8)</f>
        <v>##BLANK</v>
      </c>
    </row>
    <row r="4217" spans="2:7">
      <c r="B4217" s="893" t="str">
        <f>+'4M'!BW9</f>
        <v>S3035QSTPCUM</v>
      </c>
      <c r="E4217" s="1753" t="s">
        <v>11007</v>
      </c>
      <c r="G4217" t="str">
        <f>IF('4M'!U9="","##BLANK",'4M'!U9)</f>
        <v>##BLANK</v>
      </c>
    </row>
    <row r="4218" spans="2:7">
      <c r="B4218" s="893" t="str">
        <f>+'4M'!BW10</f>
        <v>S3036GSTPCUM</v>
      </c>
      <c r="E4218" s="1753" t="s">
        <v>11007</v>
      </c>
      <c r="G4218" t="str">
        <f>IF('4M'!U10="","##BLANK",'4M'!U10)</f>
        <v>##BLANK</v>
      </c>
    </row>
    <row r="4219" spans="2:7">
      <c r="B4219" s="893" t="str">
        <f>+'4M'!BW11</f>
        <v>S3004STPCUM</v>
      </c>
      <c r="E4219" s="1753" t="s">
        <v>11007</v>
      </c>
      <c r="G4219" t="str">
        <f>IF('4M'!U11="","##BLANK",'4M'!U11)</f>
        <v>##BLANK</v>
      </c>
    </row>
    <row r="4220" spans="2:7">
      <c r="B4220" s="893" t="str">
        <f>+'4M'!BW12</f>
        <v>WWS2001STPCUM</v>
      </c>
      <c r="E4220" s="1753" t="s">
        <v>11007</v>
      </c>
      <c r="G4220" t="str">
        <f>IF('4M'!U12="","##BLANK",'4M'!U12)</f>
        <v>##BLANK</v>
      </c>
    </row>
    <row r="4221" spans="2:7">
      <c r="B4221" s="893" t="str">
        <f>+'4M'!BW13</f>
        <v>S3005STPCUM</v>
      </c>
      <c r="E4221" s="1753" t="s">
        <v>11007</v>
      </c>
      <c r="G4221" t="str">
        <f>IF('4M'!U13="","##BLANK",'4M'!U13)</f>
        <v>##BLANK</v>
      </c>
    </row>
    <row r="4222" spans="2:7">
      <c r="B4222" s="893" t="str">
        <f>+'4M'!BW14</f>
        <v>S3006STPCUM</v>
      </c>
      <c r="E4222" s="1753" t="s">
        <v>11007</v>
      </c>
      <c r="G4222" t="str">
        <f>IF('4M'!U14="","##BLANK",'4M'!U14)</f>
        <v>##BLANK</v>
      </c>
    </row>
    <row r="4223" spans="2:7">
      <c r="B4223" s="893" t="str">
        <f>+'4M'!BW15</f>
        <v>S3007STPCUM</v>
      </c>
      <c r="E4223" s="1753" t="s">
        <v>11007</v>
      </c>
      <c r="G4223" t="str">
        <f>IF('4M'!U15="","##BLANK",'4M'!U15)</f>
        <v>##BLANK</v>
      </c>
    </row>
    <row r="4224" spans="2:7">
      <c r="B4224" s="893" t="str">
        <f>+'4M'!BW16</f>
        <v>WWS2002STPCUM</v>
      </c>
      <c r="E4224" s="1753" t="s">
        <v>11007</v>
      </c>
      <c r="G4224" t="str">
        <f>IF('4M'!U16="","##BLANK",'4M'!U16)</f>
        <v>##BLANK</v>
      </c>
    </row>
    <row r="4225" spans="2:7">
      <c r="B4225" s="893" t="str">
        <f>+'4M'!BW17</f>
        <v>WWS2003STPCUM</v>
      </c>
      <c r="E4225" s="1753" t="s">
        <v>11007</v>
      </c>
      <c r="G4225" t="str">
        <f>IF('4M'!U17="","##BLANK",'4M'!U17)</f>
        <v>##BLANK</v>
      </c>
    </row>
    <row r="4226" spans="2:7">
      <c r="B4226" s="893" t="str">
        <f>+'4M'!BW18</f>
        <v>S3008STPCUM</v>
      </c>
      <c r="E4226" s="1753" t="s">
        <v>11007</v>
      </c>
      <c r="G4226" t="str">
        <f>IF('4M'!U18="","##BLANK",'4M'!U18)</f>
        <v>##BLANK</v>
      </c>
    </row>
    <row r="4227" spans="2:7">
      <c r="B4227" s="893" t="str">
        <f>+'4M'!BW19</f>
        <v>S3009STPCUM</v>
      </c>
      <c r="E4227" s="1753" t="s">
        <v>11007</v>
      </c>
      <c r="G4227" t="str">
        <f>IF('4M'!U19="","##BLANK",'4M'!U19)</f>
        <v>##BLANK</v>
      </c>
    </row>
    <row r="4228" spans="2:7">
      <c r="B4228" s="893" t="str">
        <f>+'4M'!BW20</f>
        <v>WWS2007STPCUM</v>
      </c>
      <c r="E4228" s="1753" t="s">
        <v>11007</v>
      </c>
      <c r="G4228" t="str">
        <f>IF('4M'!U20="","##BLANK",'4M'!U20)</f>
        <v>##BLANK</v>
      </c>
    </row>
    <row r="4229" spans="2:7">
      <c r="B4229" s="893" t="str">
        <f>+'4M'!BW21</f>
        <v>S3010STPCUM</v>
      </c>
      <c r="E4229" s="1753" t="s">
        <v>11007</v>
      </c>
      <c r="G4229" t="str">
        <f>IF('4M'!U21="","##BLANK",'4M'!U21)</f>
        <v>##BLANK</v>
      </c>
    </row>
    <row r="4230" spans="2:7">
      <c r="B4230" s="893" t="str">
        <f>+'4M'!BW22</f>
        <v>S3011STPCUM</v>
      </c>
      <c r="E4230" s="1753" t="s">
        <v>11007</v>
      </c>
      <c r="G4230" t="str">
        <f>IF('4M'!U22="","##BLANK",'4M'!U22)</f>
        <v>##BLANK</v>
      </c>
    </row>
    <row r="4231" spans="2:7">
      <c r="B4231" s="893" t="str">
        <f>+'4M'!BW23</f>
        <v>S3012STPCUM</v>
      </c>
      <c r="E4231" s="1753" t="s">
        <v>11007</v>
      </c>
      <c r="G4231" t="str">
        <f>IF('4M'!U23="","##BLANK",'4M'!U23)</f>
        <v>##BLANK</v>
      </c>
    </row>
    <row r="4232" spans="2:7">
      <c r="B4232" s="893" t="str">
        <f>+'4M'!BW24</f>
        <v>S3013STPCUM</v>
      </c>
      <c r="E4232" s="1753" t="s">
        <v>11007</v>
      </c>
      <c r="G4232" t="str">
        <f>IF('4M'!U24="","##BLANK",'4M'!U24)</f>
        <v>##BLANK</v>
      </c>
    </row>
    <row r="4233" spans="2:7">
      <c r="B4233" s="893" t="str">
        <f>+'4M'!BW25</f>
        <v>S3014STPCUM</v>
      </c>
      <c r="E4233" s="1753" t="s">
        <v>11007</v>
      </c>
      <c r="G4233" t="str">
        <f>IF('4M'!U25="","##BLANK",'4M'!U25)</f>
        <v>##BLANK</v>
      </c>
    </row>
    <row r="4234" spans="2:7">
      <c r="B4234" s="893" t="str">
        <f>+'4M'!BW26</f>
        <v>S3015STPCUM</v>
      </c>
      <c r="E4234" s="1753" t="s">
        <v>11007</v>
      </c>
      <c r="G4234" t="str">
        <f>IF('4M'!U26="","##BLANK",'4M'!U26)</f>
        <v>##BLANK</v>
      </c>
    </row>
    <row r="4235" spans="2:7">
      <c r="B4235" s="893" t="str">
        <f>+'4M'!BW27</f>
        <v>S3016STPCUM</v>
      </c>
      <c r="E4235" s="1753" t="s">
        <v>11007</v>
      </c>
      <c r="G4235" t="str">
        <f>IF('4M'!U27="","##BLANK",'4M'!U27)</f>
        <v>##BLANK</v>
      </c>
    </row>
    <row r="4236" spans="2:7">
      <c r="B4236" s="893" t="str">
        <f>+'4M'!BW28</f>
        <v>S3017STPCUM</v>
      </c>
      <c r="E4236" s="1753" t="s">
        <v>11007</v>
      </c>
      <c r="G4236" t="str">
        <f>IF('4M'!U28="","##BLANK",'4M'!U28)</f>
        <v>##BLANK</v>
      </c>
    </row>
    <row r="4237" spans="2:7">
      <c r="B4237" s="893" t="str">
        <f>+'4M'!BW29</f>
        <v>S3018STPCUM</v>
      </c>
      <c r="E4237" s="1753" t="s">
        <v>11007</v>
      </c>
      <c r="G4237" t="str">
        <f>IF('4M'!U29="","##BLANK",'4M'!U29)</f>
        <v>##BLANK</v>
      </c>
    </row>
    <row r="4238" spans="2:7">
      <c r="B4238" s="893" t="str">
        <f>+'4M'!BW30</f>
        <v>S3019STPCUM</v>
      </c>
      <c r="E4238" s="1753" t="s">
        <v>11007</v>
      </c>
      <c r="G4238" t="str">
        <f>IF('4M'!U30="","##BLANK",'4M'!U30)</f>
        <v>##BLANK</v>
      </c>
    </row>
    <row r="4239" spans="2:7">
      <c r="B4239" s="893" t="str">
        <f>+'4M'!BW31</f>
        <v>S3020STPCUM</v>
      </c>
      <c r="E4239" s="1753" t="s">
        <v>11007</v>
      </c>
      <c r="G4239" t="str">
        <f>IF('4M'!U31="","##BLANK",'4M'!U31)</f>
        <v>##BLANK</v>
      </c>
    </row>
    <row r="4240" spans="2:7">
      <c r="B4240" s="893" t="str">
        <f>+'4M'!BW32</f>
        <v>S3021STPCUM</v>
      </c>
      <c r="E4240" s="1753" t="s">
        <v>11007</v>
      </c>
      <c r="G4240" t="str">
        <f>IF('4M'!U32="","##BLANK",'4M'!U32)</f>
        <v>##BLANK</v>
      </c>
    </row>
    <row r="4241" spans="2:7">
      <c r="B4241" s="893" t="str">
        <f>+'4M'!BW33</f>
        <v>S3022STPCUM</v>
      </c>
      <c r="E4241" s="1753" t="s">
        <v>11007</v>
      </c>
      <c r="G4241" t="str">
        <f>IF('4M'!U33="","##BLANK",'4M'!U33)</f>
        <v>##BLANK</v>
      </c>
    </row>
    <row r="4242" spans="2:7">
      <c r="B4242" s="893" t="str">
        <f>+'4M'!BW34</f>
        <v>BC31785STPCUM</v>
      </c>
      <c r="E4242" s="1753" t="s">
        <v>11007</v>
      </c>
      <c r="G4242" t="str">
        <f>IF('4M'!U34="","##BLANK",'4M'!U34)</f>
        <v>##BLANK</v>
      </c>
    </row>
    <row r="4243" spans="2:7">
      <c r="B4243" s="893" t="str">
        <f>+'4M'!BW35</f>
        <v>S3023STPCUM</v>
      </c>
      <c r="E4243" s="1753" t="s">
        <v>11007</v>
      </c>
      <c r="G4243" t="str">
        <f>IF('4M'!U35="","##BLANK",'4M'!U35)</f>
        <v>##BLANK</v>
      </c>
    </row>
    <row r="4244" spans="2:7">
      <c r="B4244" s="893" t="str">
        <f>+'4M'!BW36</f>
        <v>S3024STPCUM</v>
      </c>
      <c r="E4244" s="1753" t="s">
        <v>11007</v>
      </c>
      <c r="G4244" t="str">
        <f>IF('4M'!U36="","##BLANK",'4M'!U36)</f>
        <v>##BLANK</v>
      </c>
    </row>
    <row r="4245" spans="2:7">
      <c r="B4245" s="893" t="str">
        <f>+'4M'!BW37</f>
        <v>S3A00001STPCUM</v>
      </c>
      <c r="E4245" s="1753" t="s">
        <v>11007</v>
      </c>
      <c r="F4245" s="2146" t="str">
        <f>+'4M'!C$37</f>
        <v>Capital expenditure purpose - WASTEWATER additional line 1 [Other categories]</v>
      </c>
      <c r="G4245" t="str">
        <f>IF('4M'!U37="","##BLANK",'4M'!U37)</f>
        <v>##BLANK</v>
      </c>
    </row>
    <row r="4246" spans="2:7">
      <c r="B4246" s="893" t="str">
        <f>+'4M'!BW38</f>
        <v>S3A00002STPCUM</v>
      </c>
      <c r="E4246" s="1753" t="s">
        <v>11007</v>
      </c>
      <c r="F4246" s="2146" t="str">
        <f>+'4M'!C$38</f>
        <v>Capital expenditure purpose - WASTEWATER additional line 2 [Other categories]</v>
      </c>
      <c r="G4246" t="str">
        <f>IF('4M'!U38="","##BLANK",'4M'!U38)</f>
        <v>##BLANK</v>
      </c>
    </row>
    <row r="4247" spans="2:7">
      <c r="B4247" s="893" t="str">
        <f>+'4M'!BW39</f>
        <v>S3A00003STPCUM</v>
      </c>
      <c r="E4247" s="1753" t="s">
        <v>11007</v>
      </c>
      <c r="F4247" s="2146" t="str">
        <f>+'4M'!C$39</f>
        <v>Capital expenditure purpose - WASTEWATER additional line 3 [Other categories]</v>
      </c>
      <c r="G4247" t="str">
        <f>IF('4M'!U39="","##BLANK",'4M'!U39)</f>
        <v>##BLANK</v>
      </c>
    </row>
    <row r="4248" spans="2:7">
      <c r="B4248" s="893" t="str">
        <f>+'4M'!BW40</f>
        <v>S3A00004STPCUM</v>
      </c>
      <c r="E4248" s="1753" t="s">
        <v>11007</v>
      </c>
      <c r="F4248" s="2146" t="str">
        <f>+'4M'!C$40</f>
        <v>Capital expenditure purpose - WASTEWATER additional line 4 [Other categories]</v>
      </c>
      <c r="G4248" t="str">
        <f>IF('4M'!U40="","##BLANK",'4M'!U40)</f>
        <v>##BLANK</v>
      </c>
    </row>
    <row r="4249" spans="2:7">
      <c r="B4249" s="893" t="str">
        <f>+'4M'!BW41</f>
        <v>S3A00005STPCUM</v>
      </c>
      <c r="E4249" s="1753" t="s">
        <v>11007</v>
      </c>
      <c r="F4249" s="2146" t="str">
        <f>+'4M'!C$41</f>
        <v>Capital expenditure purpose - WASTEWATER additional line 5 [Other categories]</v>
      </c>
      <c r="G4249" t="str">
        <f>IF('4M'!U41="","##BLANK",'4M'!U41)</f>
        <v>##BLANK</v>
      </c>
    </row>
    <row r="4250" spans="2:7">
      <c r="B4250" s="893" t="str">
        <f>+'4M'!BW42</f>
        <v>S3A00006STPCUM</v>
      </c>
      <c r="E4250" s="1753" t="s">
        <v>11007</v>
      </c>
      <c r="F4250" s="2146" t="str">
        <f>+'4M'!C$42</f>
        <v>Capital expenditure purpose - WASTEWATER additional line 6 [Other categories]</v>
      </c>
      <c r="G4250" t="str">
        <f>IF('4M'!U42="","##BLANK",'4M'!U42)</f>
        <v>##BLANK</v>
      </c>
    </row>
    <row r="4251" spans="2:7">
      <c r="B4251" s="893" t="str">
        <f>+'4M'!BW43</f>
        <v>S3A00007STPCUM</v>
      </c>
      <c r="E4251" s="1753" t="s">
        <v>11007</v>
      </c>
      <c r="F4251" s="2146" t="str">
        <f>+'4M'!C$43</f>
        <v>Capital expenditure purpose - WASTEWATER additional line 7 [Other categories]</v>
      </c>
      <c r="G4251" t="str">
        <f>IF('4M'!U43="","##BLANK",'4M'!U43)</f>
        <v>##BLANK</v>
      </c>
    </row>
    <row r="4252" spans="2:7">
      <c r="B4252" s="893" t="str">
        <f>+'4M'!BW44</f>
        <v>S3A00008STPCUM</v>
      </c>
      <c r="E4252" s="1753" t="s">
        <v>11007</v>
      </c>
      <c r="F4252" s="2146" t="str">
        <f>+'4M'!C$44</f>
        <v>Capital expenditure purpose - WASTEWATER additional line 8 [Other categories]</v>
      </c>
      <c r="G4252" t="str">
        <f>IF('4M'!U44="","##BLANK",'4M'!U44)</f>
        <v>##BLANK</v>
      </c>
    </row>
    <row r="4253" spans="2:7">
      <c r="B4253" s="893" t="str">
        <f>+'4M'!BW45</f>
        <v>S3A00009STPCUM</v>
      </c>
      <c r="E4253" s="1753" t="s">
        <v>11007</v>
      </c>
      <c r="F4253" s="2146" t="str">
        <f>+'4M'!C$45</f>
        <v>Capital expenditure purpose - WASTEWATER additional line 9 [Other categories]</v>
      </c>
      <c r="G4253" t="str">
        <f>IF('4M'!U45="","##BLANK",'4M'!U45)</f>
        <v>##BLANK</v>
      </c>
    </row>
    <row r="4254" spans="2:7">
      <c r="B4254" s="893" t="str">
        <f>+'4M'!BW46</f>
        <v>S3A00010STPCUM</v>
      </c>
      <c r="E4254" s="1753" t="s">
        <v>11007</v>
      </c>
      <c r="F4254" s="2146" t="str">
        <f>+'4M'!C$46</f>
        <v>Capital expenditure purpose - WASTEWATER additional line 10 [Other categories]</v>
      </c>
      <c r="G4254" t="str">
        <f>IF('4M'!U46="","##BLANK",'4M'!U46)</f>
        <v>##BLANK</v>
      </c>
    </row>
    <row r="4255" spans="2:7">
      <c r="B4255" s="893" t="str">
        <f>+'4M'!BW47</f>
        <v>S3A00011STPCUM</v>
      </c>
      <c r="E4255" s="1753" t="s">
        <v>11007</v>
      </c>
      <c r="F4255" s="2146" t="str">
        <f>+'4M'!C$47</f>
        <v>Capital expenditure purpose - WASTEWATER additional line 11 [Other categories]</v>
      </c>
      <c r="G4255" t="str">
        <f>IF('4M'!U47="","##BLANK",'4M'!U47)</f>
        <v>##BLANK</v>
      </c>
    </row>
    <row r="4256" spans="2:7">
      <c r="B4256" s="893" t="str">
        <f>+'4M'!BW48</f>
        <v>S3A00012STPCUM</v>
      </c>
      <c r="E4256" s="1753" t="s">
        <v>11007</v>
      </c>
      <c r="F4256" s="2146" t="str">
        <f>+'4M'!C$48</f>
        <v>Capital expenditure purpose - WASTEWATER additional line 12 [Other categories]</v>
      </c>
      <c r="G4256" t="str">
        <f>IF('4M'!U48="","##BLANK",'4M'!U48)</f>
        <v>##BLANK</v>
      </c>
    </row>
    <row r="4257" spans="2:7">
      <c r="B4257" s="893" t="str">
        <f>+'4M'!BW49</f>
        <v>S3A00013STPCUM</v>
      </c>
      <c r="E4257" s="1753" t="s">
        <v>11007</v>
      </c>
      <c r="F4257" s="2146" t="str">
        <f>+'4M'!C$49</f>
        <v>Capital expenditure purpose - WASTEWATER additional line 13 [Other categories]</v>
      </c>
      <c r="G4257" t="str">
        <f>IF('4M'!U49="","##BLANK",'4M'!U49)</f>
        <v>##BLANK</v>
      </c>
    </row>
    <row r="4258" spans="2:7">
      <c r="B4258" s="893" t="str">
        <f>+'4M'!BW50</f>
        <v>S3A00014STPCUM</v>
      </c>
      <c r="E4258" s="1753" t="s">
        <v>11007</v>
      </c>
      <c r="F4258" s="2146" t="str">
        <f>+'4M'!C$50</f>
        <v>Capital expenditure purpose - WASTEWATER additional line 14 [Other categories]</v>
      </c>
      <c r="G4258" t="str">
        <f>IF('4M'!U50="","##BLANK",'4M'!U50)</f>
        <v>##BLANK</v>
      </c>
    </row>
    <row r="4259" spans="2:7">
      <c r="B4259" s="893" t="str">
        <f>+'4M'!BW51</f>
        <v>S3A00015STPCUM</v>
      </c>
      <c r="E4259" s="1753" t="s">
        <v>11007</v>
      </c>
      <c r="F4259" s="2146" t="str">
        <f>+'4M'!C$51</f>
        <v>Capital expenditure purpose - WASTEWATER additional line 15 [Other categories]</v>
      </c>
      <c r="G4259" t="str">
        <f>IF('4M'!U51="","##BLANK",'4M'!U51)</f>
        <v>##BLANK</v>
      </c>
    </row>
    <row r="4260" spans="2:7">
      <c r="B4260" s="893" t="str">
        <f>+'4M'!BW52</f>
        <v>S3025ENHSTPCUM</v>
      </c>
      <c r="E4260" s="1753" t="s">
        <v>11007</v>
      </c>
      <c r="G4260">
        <f>IF('4M'!U52="","##BLANK",'4M'!U52)</f>
        <v>0</v>
      </c>
    </row>
    <row r="4261" spans="2:7">
      <c r="B4261" s="893" t="str">
        <f>+'4M'!BX8</f>
        <v>BC31379SDTCUM</v>
      </c>
      <c r="E4261" s="1753" t="s">
        <v>11007</v>
      </c>
      <c r="G4261" t="str">
        <f>IF('4M'!V8="","##BLANK",'4M'!V8)</f>
        <v>##BLANK</v>
      </c>
    </row>
    <row r="4262" spans="2:7">
      <c r="B4262" s="893" t="str">
        <f>+'4M'!BX9</f>
        <v>S3035QSDTCUM</v>
      </c>
      <c r="E4262" s="1753" t="s">
        <v>11007</v>
      </c>
      <c r="G4262" t="str">
        <f>IF('4M'!V9="","##BLANK",'4M'!V9)</f>
        <v>##BLANK</v>
      </c>
    </row>
    <row r="4263" spans="2:7">
      <c r="B4263" s="893" t="str">
        <f>+'4M'!BX10</f>
        <v>S3036GSDTCUM</v>
      </c>
      <c r="E4263" s="1753" t="s">
        <v>11007</v>
      </c>
      <c r="G4263" t="str">
        <f>IF('4M'!V10="","##BLANK",'4M'!V10)</f>
        <v>##BLANK</v>
      </c>
    </row>
    <row r="4264" spans="2:7">
      <c r="B4264" s="893" t="str">
        <f>+'4M'!BX11</f>
        <v>S3004SDTCUM</v>
      </c>
      <c r="E4264" s="1753" t="s">
        <v>11007</v>
      </c>
      <c r="G4264" t="str">
        <f>IF('4M'!V11="","##BLANK",'4M'!V11)</f>
        <v>##BLANK</v>
      </c>
    </row>
    <row r="4265" spans="2:7">
      <c r="B4265" s="893" t="str">
        <f>+'4M'!BX12</f>
        <v>WWS2001SDTCUM</v>
      </c>
      <c r="E4265" s="1753" t="s">
        <v>11007</v>
      </c>
      <c r="G4265" t="str">
        <f>IF('4M'!V12="","##BLANK",'4M'!V12)</f>
        <v>##BLANK</v>
      </c>
    </row>
    <row r="4266" spans="2:7">
      <c r="B4266" s="893" t="str">
        <f>+'4M'!BX13</f>
        <v>S3005SDTCUM</v>
      </c>
      <c r="E4266" s="1753" t="s">
        <v>11007</v>
      </c>
      <c r="G4266" t="str">
        <f>IF('4M'!V13="","##BLANK",'4M'!V13)</f>
        <v>##BLANK</v>
      </c>
    </row>
    <row r="4267" spans="2:7">
      <c r="B4267" s="893" t="str">
        <f>+'4M'!BX14</f>
        <v>S3006SDTCUM</v>
      </c>
      <c r="E4267" s="1753" t="s">
        <v>11007</v>
      </c>
      <c r="G4267" t="str">
        <f>IF('4M'!V14="","##BLANK",'4M'!V14)</f>
        <v>##BLANK</v>
      </c>
    </row>
    <row r="4268" spans="2:7">
      <c r="B4268" s="893" t="str">
        <f>+'4M'!BX15</f>
        <v>S3007SDTCUM</v>
      </c>
      <c r="E4268" s="1753" t="s">
        <v>11007</v>
      </c>
      <c r="G4268" t="str">
        <f>IF('4M'!V15="","##BLANK",'4M'!V15)</f>
        <v>##BLANK</v>
      </c>
    </row>
    <row r="4269" spans="2:7">
      <c r="B4269" s="893" t="str">
        <f>+'4M'!BX16</f>
        <v>WWS2002SDTCUM</v>
      </c>
      <c r="E4269" s="1753" t="s">
        <v>11007</v>
      </c>
      <c r="G4269" t="str">
        <f>IF('4M'!V16="","##BLANK",'4M'!V16)</f>
        <v>##BLANK</v>
      </c>
    </row>
    <row r="4270" spans="2:7">
      <c r="B4270" s="893" t="str">
        <f>+'4M'!BX17</f>
        <v>WWS2003SDTCUM</v>
      </c>
      <c r="E4270" s="1753" t="s">
        <v>11007</v>
      </c>
      <c r="G4270" t="str">
        <f>IF('4M'!V17="","##BLANK",'4M'!V17)</f>
        <v>##BLANK</v>
      </c>
    </row>
    <row r="4271" spans="2:7">
      <c r="B4271" s="893" t="str">
        <f>+'4M'!BX18</f>
        <v>S3008SDTCUM</v>
      </c>
      <c r="E4271" s="1753" t="s">
        <v>11007</v>
      </c>
      <c r="G4271" t="str">
        <f>IF('4M'!V18="","##BLANK",'4M'!V18)</f>
        <v>##BLANK</v>
      </c>
    </row>
    <row r="4272" spans="2:7">
      <c r="B4272" s="893" t="str">
        <f>+'4M'!BX19</f>
        <v>S3009SDTCUM</v>
      </c>
      <c r="E4272" s="1753" t="s">
        <v>11007</v>
      </c>
      <c r="G4272" t="str">
        <f>IF('4M'!V19="","##BLANK",'4M'!V19)</f>
        <v>##BLANK</v>
      </c>
    </row>
    <row r="4273" spans="2:7">
      <c r="B4273" s="893" t="str">
        <f>+'4M'!BX20</f>
        <v>WWS2007SDTCUM</v>
      </c>
      <c r="E4273" s="1753" t="s">
        <v>11007</v>
      </c>
      <c r="G4273" t="str">
        <f>IF('4M'!V20="","##BLANK",'4M'!V20)</f>
        <v>##BLANK</v>
      </c>
    </row>
    <row r="4274" spans="2:7">
      <c r="B4274" s="893" t="str">
        <f>+'4M'!BX21</f>
        <v>S3010SDTCUM</v>
      </c>
      <c r="E4274" s="1753" t="s">
        <v>11007</v>
      </c>
      <c r="G4274" t="str">
        <f>IF('4M'!V21="","##BLANK",'4M'!V21)</f>
        <v>##BLANK</v>
      </c>
    </row>
    <row r="4275" spans="2:7">
      <c r="B4275" s="893" t="str">
        <f>+'4M'!BX22</f>
        <v>S3011SDTCUM</v>
      </c>
      <c r="E4275" s="1753" t="s">
        <v>11007</v>
      </c>
      <c r="G4275" t="str">
        <f>IF('4M'!V22="","##BLANK",'4M'!V22)</f>
        <v>##BLANK</v>
      </c>
    </row>
    <row r="4276" spans="2:7">
      <c r="B4276" s="893" t="str">
        <f>+'4M'!BX23</f>
        <v>S3012SDTCUM</v>
      </c>
      <c r="E4276" s="1753" t="s">
        <v>11007</v>
      </c>
      <c r="G4276" t="str">
        <f>IF('4M'!V23="","##BLANK",'4M'!V23)</f>
        <v>##BLANK</v>
      </c>
    </row>
    <row r="4277" spans="2:7">
      <c r="B4277" s="893" t="str">
        <f>+'4M'!BX24</f>
        <v>S3013SDTCUM</v>
      </c>
      <c r="E4277" s="1753" t="s">
        <v>11007</v>
      </c>
      <c r="G4277" t="str">
        <f>IF('4M'!V24="","##BLANK",'4M'!V24)</f>
        <v>##BLANK</v>
      </c>
    </row>
    <row r="4278" spans="2:7">
      <c r="B4278" s="893" t="str">
        <f>+'4M'!BX25</f>
        <v>S3014SDTCUM</v>
      </c>
      <c r="E4278" s="1753" t="s">
        <v>11007</v>
      </c>
      <c r="G4278" t="str">
        <f>IF('4M'!V25="","##BLANK",'4M'!V25)</f>
        <v>##BLANK</v>
      </c>
    </row>
    <row r="4279" spans="2:7">
      <c r="B4279" s="893" t="str">
        <f>+'4M'!BX26</f>
        <v>S3015SDTCUM</v>
      </c>
      <c r="E4279" s="1753" t="s">
        <v>11007</v>
      </c>
      <c r="G4279" t="str">
        <f>IF('4M'!V26="","##BLANK",'4M'!V26)</f>
        <v>##BLANK</v>
      </c>
    </row>
    <row r="4280" spans="2:7">
      <c r="B4280" s="893" t="str">
        <f>+'4M'!BX27</f>
        <v>S3016SDTCUM</v>
      </c>
      <c r="E4280" s="1753" t="s">
        <v>11007</v>
      </c>
      <c r="G4280" t="str">
        <f>IF('4M'!V27="","##BLANK",'4M'!V27)</f>
        <v>##BLANK</v>
      </c>
    </row>
    <row r="4281" spans="2:7">
      <c r="B4281" s="893" t="str">
        <f>+'4M'!BX28</f>
        <v>S3017SDTCUM</v>
      </c>
      <c r="E4281" s="1753" t="s">
        <v>11007</v>
      </c>
      <c r="G4281" t="str">
        <f>IF('4M'!V28="","##BLANK",'4M'!V28)</f>
        <v>##BLANK</v>
      </c>
    </row>
    <row r="4282" spans="2:7">
      <c r="B4282" s="893" t="str">
        <f>+'4M'!BX29</f>
        <v>S3018SDTCUM</v>
      </c>
      <c r="E4282" s="1753" t="s">
        <v>11007</v>
      </c>
      <c r="G4282" t="str">
        <f>IF('4M'!V29="","##BLANK",'4M'!V29)</f>
        <v>##BLANK</v>
      </c>
    </row>
    <row r="4283" spans="2:7">
      <c r="B4283" s="893" t="str">
        <f>+'4M'!BX30</f>
        <v>S3019SDTCUM</v>
      </c>
      <c r="E4283" s="1753" t="s">
        <v>11007</v>
      </c>
      <c r="G4283" t="str">
        <f>IF('4M'!V30="","##BLANK",'4M'!V30)</f>
        <v>##BLANK</v>
      </c>
    </row>
    <row r="4284" spans="2:7">
      <c r="B4284" s="893" t="str">
        <f>+'4M'!BX31</f>
        <v>S3020SDTCUM</v>
      </c>
      <c r="E4284" s="1753" t="s">
        <v>11007</v>
      </c>
      <c r="G4284" t="str">
        <f>IF('4M'!V31="","##BLANK",'4M'!V31)</f>
        <v>##BLANK</v>
      </c>
    </row>
    <row r="4285" spans="2:7">
      <c r="B4285" s="893" t="str">
        <f>+'4M'!BX32</f>
        <v>S3021SDTCUM</v>
      </c>
      <c r="E4285" s="1753" t="s">
        <v>11007</v>
      </c>
      <c r="G4285" t="str">
        <f>IF('4M'!V32="","##BLANK",'4M'!V32)</f>
        <v>##BLANK</v>
      </c>
    </row>
    <row r="4286" spans="2:7">
      <c r="B4286" s="893" t="str">
        <f>+'4M'!BX33</f>
        <v>S3022SDTCUM</v>
      </c>
      <c r="E4286" s="1753" t="s">
        <v>11007</v>
      </c>
      <c r="G4286" t="str">
        <f>IF('4M'!V33="","##BLANK",'4M'!V33)</f>
        <v>##BLANK</v>
      </c>
    </row>
    <row r="4287" spans="2:7">
      <c r="B4287" s="893" t="str">
        <f>+'4M'!BX34</f>
        <v>BC31785SDTCUM</v>
      </c>
      <c r="E4287" s="1753" t="s">
        <v>11007</v>
      </c>
      <c r="G4287" t="str">
        <f>IF('4M'!V34="","##BLANK",'4M'!V34)</f>
        <v>##BLANK</v>
      </c>
    </row>
    <row r="4288" spans="2:7">
      <c r="B4288" s="893" t="str">
        <f>+'4M'!BX35</f>
        <v>S3023SDTCUM</v>
      </c>
      <c r="E4288" s="1753" t="s">
        <v>11007</v>
      </c>
      <c r="G4288" t="str">
        <f>IF('4M'!V35="","##BLANK",'4M'!V35)</f>
        <v>##BLANK</v>
      </c>
    </row>
    <row r="4289" spans="2:7">
      <c r="B4289" s="893" t="str">
        <f>+'4M'!BX36</f>
        <v>S3024SDTCUM</v>
      </c>
      <c r="E4289" s="1753" t="s">
        <v>11007</v>
      </c>
      <c r="G4289" t="str">
        <f>IF('4M'!V36="","##BLANK",'4M'!V36)</f>
        <v>##BLANK</v>
      </c>
    </row>
    <row r="4290" spans="2:7">
      <c r="B4290" s="893" t="str">
        <f>+'4M'!BX37</f>
        <v>S3A00001SDTCUM</v>
      </c>
      <c r="E4290" s="1753" t="s">
        <v>11007</v>
      </c>
      <c r="F4290" s="2146" t="str">
        <f>+'4M'!C$37</f>
        <v>Capital expenditure purpose - WASTEWATER additional line 1 [Other categories]</v>
      </c>
      <c r="G4290" t="str">
        <f>IF('4M'!V37="","##BLANK",'4M'!V37)</f>
        <v>##BLANK</v>
      </c>
    </row>
    <row r="4291" spans="2:7">
      <c r="B4291" s="893" t="str">
        <f>+'4M'!BX38</f>
        <v>S3A00002SDTCUM</v>
      </c>
      <c r="E4291" s="1753" t="s">
        <v>11007</v>
      </c>
      <c r="F4291" s="2146" t="str">
        <f>+'4M'!C$38</f>
        <v>Capital expenditure purpose - WASTEWATER additional line 2 [Other categories]</v>
      </c>
      <c r="G4291" t="str">
        <f>IF('4M'!V38="","##BLANK",'4M'!V38)</f>
        <v>##BLANK</v>
      </c>
    </row>
    <row r="4292" spans="2:7">
      <c r="B4292" s="893" t="str">
        <f>+'4M'!BX39</f>
        <v>S3A00003SDTCUM</v>
      </c>
      <c r="E4292" s="1753" t="s">
        <v>11007</v>
      </c>
      <c r="F4292" s="2146" t="str">
        <f>+'4M'!C$39</f>
        <v>Capital expenditure purpose - WASTEWATER additional line 3 [Other categories]</v>
      </c>
      <c r="G4292" t="str">
        <f>IF('4M'!V39="","##BLANK",'4M'!V39)</f>
        <v>##BLANK</v>
      </c>
    </row>
    <row r="4293" spans="2:7">
      <c r="B4293" s="893" t="str">
        <f>+'4M'!BX40</f>
        <v>S3A00004SDTCUM</v>
      </c>
      <c r="E4293" s="1753" t="s">
        <v>11007</v>
      </c>
      <c r="F4293" s="2146" t="str">
        <f>+'4M'!C$40</f>
        <v>Capital expenditure purpose - WASTEWATER additional line 4 [Other categories]</v>
      </c>
      <c r="G4293" t="str">
        <f>IF('4M'!V40="","##BLANK",'4M'!V40)</f>
        <v>##BLANK</v>
      </c>
    </row>
    <row r="4294" spans="2:7">
      <c r="B4294" s="893" t="str">
        <f>+'4M'!BX41</f>
        <v>S3A00005SDTCUM</v>
      </c>
      <c r="E4294" s="1753" t="s">
        <v>11007</v>
      </c>
      <c r="F4294" s="2146" t="str">
        <f>+'4M'!C$41</f>
        <v>Capital expenditure purpose - WASTEWATER additional line 5 [Other categories]</v>
      </c>
      <c r="G4294" t="str">
        <f>IF('4M'!V41="","##BLANK",'4M'!V41)</f>
        <v>##BLANK</v>
      </c>
    </row>
    <row r="4295" spans="2:7">
      <c r="B4295" s="893" t="str">
        <f>+'4M'!BX42</f>
        <v>S3A00006SDTCUM</v>
      </c>
      <c r="E4295" s="1753" t="s">
        <v>11007</v>
      </c>
      <c r="F4295" s="2146" t="str">
        <f>+'4M'!C$42</f>
        <v>Capital expenditure purpose - WASTEWATER additional line 6 [Other categories]</v>
      </c>
      <c r="G4295" t="str">
        <f>IF('4M'!V42="","##BLANK",'4M'!V42)</f>
        <v>##BLANK</v>
      </c>
    </row>
    <row r="4296" spans="2:7">
      <c r="B4296" s="893" t="str">
        <f>+'4M'!BX43</f>
        <v>S3A00007SDTCUM</v>
      </c>
      <c r="E4296" s="1753" t="s">
        <v>11007</v>
      </c>
      <c r="F4296" s="2146" t="str">
        <f>+'4M'!C$43</f>
        <v>Capital expenditure purpose - WASTEWATER additional line 7 [Other categories]</v>
      </c>
      <c r="G4296" t="str">
        <f>IF('4M'!V43="","##BLANK",'4M'!V43)</f>
        <v>##BLANK</v>
      </c>
    </row>
    <row r="4297" spans="2:7">
      <c r="B4297" s="893" t="str">
        <f>+'4M'!BX44</f>
        <v>S3A00008SDTCUM</v>
      </c>
      <c r="E4297" s="1753" t="s">
        <v>11007</v>
      </c>
      <c r="F4297" s="2146" t="str">
        <f>+'4M'!C$44</f>
        <v>Capital expenditure purpose - WASTEWATER additional line 8 [Other categories]</v>
      </c>
      <c r="G4297" t="str">
        <f>IF('4M'!V44="","##BLANK",'4M'!V44)</f>
        <v>##BLANK</v>
      </c>
    </row>
    <row r="4298" spans="2:7">
      <c r="B4298" s="893" t="str">
        <f>+'4M'!BX45</f>
        <v>S3A00009SDTCUM</v>
      </c>
      <c r="E4298" s="1753" t="s">
        <v>11007</v>
      </c>
      <c r="F4298" s="2146" t="str">
        <f>+'4M'!C$45</f>
        <v>Capital expenditure purpose - WASTEWATER additional line 9 [Other categories]</v>
      </c>
      <c r="G4298" t="str">
        <f>IF('4M'!V45="","##BLANK",'4M'!V45)</f>
        <v>##BLANK</v>
      </c>
    </row>
    <row r="4299" spans="2:7">
      <c r="B4299" s="893" t="str">
        <f>+'4M'!BX46</f>
        <v>S3A00010SDTCUM</v>
      </c>
      <c r="E4299" s="1753" t="s">
        <v>11007</v>
      </c>
      <c r="F4299" s="2146" t="str">
        <f>+'4M'!C$46</f>
        <v>Capital expenditure purpose - WASTEWATER additional line 10 [Other categories]</v>
      </c>
      <c r="G4299" t="str">
        <f>IF('4M'!V46="","##BLANK",'4M'!V46)</f>
        <v>##BLANK</v>
      </c>
    </row>
    <row r="4300" spans="2:7">
      <c r="B4300" s="893" t="str">
        <f>+'4M'!BX47</f>
        <v>S3A00011SDTCUM</v>
      </c>
      <c r="E4300" s="1753" t="s">
        <v>11007</v>
      </c>
      <c r="F4300" s="2146" t="str">
        <f>+'4M'!C$47</f>
        <v>Capital expenditure purpose - WASTEWATER additional line 11 [Other categories]</v>
      </c>
      <c r="G4300" t="str">
        <f>IF('4M'!V47="","##BLANK",'4M'!V47)</f>
        <v>##BLANK</v>
      </c>
    </row>
    <row r="4301" spans="2:7">
      <c r="B4301" s="893" t="str">
        <f>+'4M'!BX48</f>
        <v>S3A00012SDTCUM</v>
      </c>
      <c r="E4301" s="1753" t="s">
        <v>11007</v>
      </c>
      <c r="F4301" s="2146" t="str">
        <f>+'4M'!C$48</f>
        <v>Capital expenditure purpose - WASTEWATER additional line 12 [Other categories]</v>
      </c>
      <c r="G4301" t="str">
        <f>IF('4M'!V48="","##BLANK",'4M'!V48)</f>
        <v>##BLANK</v>
      </c>
    </row>
    <row r="4302" spans="2:7">
      <c r="B4302" s="893" t="str">
        <f>+'4M'!BX49</f>
        <v>S3A00013SDTCUM</v>
      </c>
      <c r="E4302" s="1753" t="s">
        <v>11007</v>
      </c>
      <c r="F4302" s="2146" t="str">
        <f>+'4M'!C$49</f>
        <v>Capital expenditure purpose - WASTEWATER additional line 13 [Other categories]</v>
      </c>
      <c r="G4302" t="str">
        <f>IF('4M'!V49="","##BLANK",'4M'!V49)</f>
        <v>##BLANK</v>
      </c>
    </row>
    <row r="4303" spans="2:7">
      <c r="B4303" s="893" t="str">
        <f>+'4M'!BX50</f>
        <v>S3A00014SDTCUM</v>
      </c>
      <c r="E4303" s="1753" t="s">
        <v>11007</v>
      </c>
      <c r="F4303" s="2146" t="str">
        <f>+'4M'!C$50</f>
        <v>Capital expenditure purpose - WASTEWATER additional line 14 [Other categories]</v>
      </c>
      <c r="G4303" t="str">
        <f>IF('4M'!V50="","##BLANK",'4M'!V50)</f>
        <v>##BLANK</v>
      </c>
    </row>
    <row r="4304" spans="2:7">
      <c r="B4304" s="893" t="str">
        <f>+'4M'!BX51</f>
        <v>S3A00015SDTCUM</v>
      </c>
      <c r="E4304" s="1753" t="s">
        <v>11007</v>
      </c>
      <c r="F4304" s="2146" t="str">
        <f>+'4M'!C$51</f>
        <v>Capital expenditure purpose - WASTEWATER additional line 15 [Other categories]</v>
      </c>
      <c r="G4304" t="str">
        <f>IF('4M'!V51="","##BLANK",'4M'!V51)</f>
        <v>##BLANK</v>
      </c>
    </row>
    <row r="4305" spans="2:7" s="2146" customFormat="1">
      <c r="B4305" s="893" t="str">
        <f>+'4M'!BX52</f>
        <v>S3025ENHSDTCUM</v>
      </c>
      <c r="C4305" s="1382"/>
      <c r="E4305" s="1753" t="s">
        <v>11007</v>
      </c>
      <c r="G4305" s="2146">
        <f>IF('4M'!V52="","##BLANK",'4M'!V52)</f>
        <v>0</v>
      </c>
    </row>
    <row r="4306" spans="2:7" s="2146" customFormat="1">
      <c r="B4306" s="893" t="str">
        <f>+'4M'!BY8</f>
        <v>BC31379SDDCUM</v>
      </c>
      <c r="C4306" s="1382"/>
      <c r="E4306" s="1753" t="s">
        <v>11007</v>
      </c>
      <c r="G4306" s="2146" t="str">
        <f>IF('4M'!W8="","##BLANK",'4M'!W8)</f>
        <v>##BLANK</v>
      </c>
    </row>
    <row r="4307" spans="2:7" s="2146" customFormat="1">
      <c r="B4307" s="893" t="str">
        <f>+'4M'!BY9</f>
        <v>S3035QSDDCUM</v>
      </c>
      <c r="C4307" s="1382"/>
      <c r="E4307" s="1753" t="s">
        <v>11007</v>
      </c>
      <c r="G4307" s="2146" t="str">
        <f>IF('4M'!W9="","##BLANK",'4M'!W9)</f>
        <v>##BLANK</v>
      </c>
    </row>
    <row r="4308" spans="2:7" s="2146" customFormat="1">
      <c r="B4308" s="893" t="str">
        <f>+'4M'!BY10</f>
        <v>S3036GSDDCUM</v>
      </c>
      <c r="C4308" s="1382"/>
      <c r="E4308" s="1753" t="s">
        <v>11007</v>
      </c>
      <c r="G4308" s="2146" t="str">
        <f>IF('4M'!W10="","##BLANK",'4M'!W10)</f>
        <v>##BLANK</v>
      </c>
    </row>
    <row r="4309" spans="2:7" s="2146" customFormat="1">
      <c r="B4309" s="893" t="str">
        <f>+'4M'!BY11</f>
        <v>S3004SDDCUM</v>
      </c>
      <c r="C4309" s="1382"/>
      <c r="E4309" s="1753" t="s">
        <v>11007</v>
      </c>
      <c r="G4309" s="2146" t="str">
        <f>IF('4M'!W11="","##BLANK",'4M'!W11)</f>
        <v>##BLANK</v>
      </c>
    </row>
    <row r="4310" spans="2:7" s="2146" customFormat="1">
      <c r="B4310" s="893" t="str">
        <f>+'4M'!BY12</f>
        <v>WWS2001SDDCUM</v>
      </c>
      <c r="C4310" s="1382"/>
      <c r="E4310" s="1753" t="s">
        <v>11007</v>
      </c>
      <c r="G4310" s="2146" t="str">
        <f>IF('4M'!W12="","##BLANK",'4M'!W12)</f>
        <v>##BLANK</v>
      </c>
    </row>
    <row r="4311" spans="2:7" s="2146" customFormat="1">
      <c r="B4311" s="893" t="str">
        <f>+'4M'!BY13</f>
        <v>S3005SDDCUM</v>
      </c>
      <c r="C4311" s="1382"/>
      <c r="E4311" s="1753" t="s">
        <v>11007</v>
      </c>
      <c r="G4311" s="2146" t="str">
        <f>IF('4M'!W13="","##BLANK",'4M'!W13)</f>
        <v>##BLANK</v>
      </c>
    </row>
    <row r="4312" spans="2:7" s="2146" customFormat="1">
      <c r="B4312" s="893" t="str">
        <f>+'4M'!BY14</f>
        <v>S3006SDDCUM</v>
      </c>
      <c r="C4312" s="1382"/>
      <c r="E4312" s="1753" t="s">
        <v>11007</v>
      </c>
      <c r="G4312" s="2146" t="str">
        <f>IF('4M'!W14="","##BLANK",'4M'!W14)</f>
        <v>##BLANK</v>
      </c>
    </row>
    <row r="4313" spans="2:7" s="2146" customFormat="1">
      <c r="B4313" s="893" t="str">
        <f>+'4M'!BY15</f>
        <v>S3007SDDCUM</v>
      </c>
      <c r="C4313" s="1382"/>
      <c r="E4313" s="1753" t="s">
        <v>11007</v>
      </c>
      <c r="G4313" s="2146" t="str">
        <f>IF('4M'!W15="","##BLANK",'4M'!W15)</f>
        <v>##BLANK</v>
      </c>
    </row>
    <row r="4314" spans="2:7" s="2146" customFormat="1">
      <c r="B4314" s="893" t="str">
        <f>+'4M'!BY16</f>
        <v>WWS2002SDDCUM</v>
      </c>
      <c r="C4314" s="1382"/>
      <c r="E4314" s="1753" t="s">
        <v>11007</v>
      </c>
      <c r="G4314" s="2146" t="str">
        <f>IF('4M'!W16="","##BLANK",'4M'!W16)</f>
        <v>##BLANK</v>
      </c>
    </row>
    <row r="4315" spans="2:7" s="2146" customFormat="1">
      <c r="B4315" s="893" t="str">
        <f>+'4M'!BY17</f>
        <v>WWS2003SDDCUM</v>
      </c>
      <c r="C4315" s="1382"/>
      <c r="E4315" s="1753" t="s">
        <v>11007</v>
      </c>
      <c r="G4315" s="2146" t="str">
        <f>IF('4M'!W17="","##BLANK",'4M'!W17)</f>
        <v>##BLANK</v>
      </c>
    </row>
    <row r="4316" spans="2:7" s="2146" customFormat="1">
      <c r="B4316" s="893" t="str">
        <f>+'4M'!BY18</f>
        <v>S3008SDDCUM</v>
      </c>
      <c r="C4316" s="1382"/>
      <c r="E4316" s="1753" t="s">
        <v>11007</v>
      </c>
      <c r="G4316" s="2146" t="str">
        <f>IF('4M'!W18="","##BLANK",'4M'!W18)</f>
        <v>##BLANK</v>
      </c>
    </row>
    <row r="4317" spans="2:7" s="2146" customFormat="1">
      <c r="B4317" s="893" t="str">
        <f>+'4M'!BY19</f>
        <v>S3009SDDCUM</v>
      </c>
      <c r="C4317" s="1382"/>
      <c r="E4317" s="1753" t="s">
        <v>11007</v>
      </c>
      <c r="G4317" s="2146" t="str">
        <f>IF('4M'!W19="","##BLANK",'4M'!W19)</f>
        <v>##BLANK</v>
      </c>
    </row>
    <row r="4318" spans="2:7" s="2146" customFormat="1">
      <c r="B4318" s="893" t="str">
        <f>+'4M'!BY20</f>
        <v>WWS2007SDDCUM</v>
      </c>
      <c r="C4318" s="1382"/>
      <c r="E4318" s="1753" t="s">
        <v>11007</v>
      </c>
      <c r="G4318" s="2146" t="str">
        <f>IF('4M'!W20="","##BLANK",'4M'!W20)</f>
        <v>##BLANK</v>
      </c>
    </row>
    <row r="4319" spans="2:7" s="2146" customFormat="1">
      <c r="B4319" s="893" t="str">
        <f>+'4M'!BY21</f>
        <v>S3010SDDCUM</v>
      </c>
      <c r="C4319" s="1382"/>
      <c r="E4319" s="1753" t="s">
        <v>11007</v>
      </c>
      <c r="G4319" s="2146" t="str">
        <f>IF('4M'!W21="","##BLANK",'4M'!W21)</f>
        <v>##BLANK</v>
      </c>
    </row>
    <row r="4320" spans="2:7" s="2146" customFormat="1">
      <c r="B4320" s="893" t="str">
        <f>+'4M'!BY22</f>
        <v>S3011SDDCUM</v>
      </c>
      <c r="C4320" s="1382"/>
      <c r="E4320" s="1753" t="s">
        <v>11007</v>
      </c>
      <c r="G4320" s="2146" t="str">
        <f>IF('4M'!W22="","##BLANK",'4M'!W22)</f>
        <v>##BLANK</v>
      </c>
    </row>
    <row r="4321" spans="2:7" s="2146" customFormat="1">
      <c r="B4321" s="893" t="str">
        <f>+'4M'!BY23</f>
        <v>S3012SDDCUM</v>
      </c>
      <c r="C4321" s="1382"/>
      <c r="E4321" s="1753" t="s">
        <v>11007</v>
      </c>
      <c r="G4321" s="2146" t="str">
        <f>IF('4M'!W23="","##BLANK",'4M'!W23)</f>
        <v>##BLANK</v>
      </c>
    </row>
    <row r="4322" spans="2:7" s="2146" customFormat="1">
      <c r="B4322" s="893" t="str">
        <f>+'4M'!BY24</f>
        <v>S3013SDDCUM</v>
      </c>
      <c r="C4322" s="1382"/>
      <c r="E4322" s="1753" t="s">
        <v>11007</v>
      </c>
      <c r="G4322" s="2146" t="str">
        <f>IF('4M'!W24="","##BLANK",'4M'!W24)</f>
        <v>##BLANK</v>
      </c>
    </row>
    <row r="4323" spans="2:7" s="2146" customFormat="1">
      <c r="B4323" s="893" t="str">
        <f>+'4M'!BY25</f>
        <v>S3014SDDCUM</v>
      </c>
      <c r="C4323" s="1382"/>
      <c r="E4323" s="1753" t="s">
        <v>11007</v>
      </c>
      <c r="G4323" s="2146" t="str">
        <f>IF('4M'!W25="","##BLANK",'4M'!W25)</f>
        <v>##BLANK</v>
      </c>
    </row>
    <row r="4324" spans="2:7" s="2146" customFormat="1">
      <c r="B4324" s="893" t="str">
        <f>+'4M'!BY26</f>
        <v>S3015SDDCUM</v>
      </c>
      <c r="C4324" s="1382"/>
      <c r="E4324" s="1753" t="s">
        <v>11007</v>
      </c>
      <c r="G4324" s="2146" t="str">
        <f>IF('4M'!W26="","##BLANK",'4M'!W26)</f>
        <v>##BLANK</v>
      </c>
    </row>
    <row r="4325" spans="2:7" s="2146" customFormat="1">
      <c r="B4325" s="893" t="str">
        <f>+'4M'!BY27</f>
        <v>S3016SDDCUM</v>
      </c>
      <c r="C4325" s="1382"/>
      <c r="E4325" s="1753" t="s">
        <v>11007</v>
      </c>
      <c r="G4325" s="2146" t="str">
        <f>IF('4M'!W27="","##BLANK",'4M'!W27)</f>
        <v>##BLANK</v>
      </c>
    </row>
    <row r="4326" spans="2:7" s="2146" customFormat="1">
      <c r="B4326" s="893" t="str">
        <f>+'4M'!BY28</f>
        <v>S3017SDDCUM</v>
      </c>
      <c r="C4326" s="1382"/>
      <c r="E4326" s="1753" t="s">
        <v>11007</v>
      </c>
      <c r="G4326" s="2146" t="str">
        <f>IF('4M'!W28="","##BLANK",'4M'!W28)</f>
        <v>##BLANK</v>
      </c>
    </row>
    <row r="4327" spans="2:7" s="2146" customFormat="1">
      <c r="B4327" s="893" t="str">
        <f>+'4M'!BY29</f>
        <v>S3018SDDCUM</v>
      </c>
      <c r="C4327" s="1382"/>
      <c r="E4327" s="1753" t="s">
        <v>11007</v>
      </c>
      <c r="G4327" s="2146" t="str">
        <f>IF('4M'!W29="","##BLANK",'4M'!W29)</f>
        <v>##BLANK</v>
      </c>
    </row>
    <row r="4328" spans="2:7" s="2146" customFormat="1">
      <c r="B4328" s="893" t="str">
        <f>+'4M'!BY30</f>
        <v>S3019SDDCUM</v>
      </c>
      <c r="C4328" s="1382"/>
      <c r="E4328" s="1753" t="s">
        <v>11007</v>
      </c>
      <c r="G4328" s="2146" t="str">
        <f>IF('4M'!W30="","##BLANK",'4M'!W30)</f>
        <v>##BLANK</v>
      </c>
    </row>
    <row r="4329" spans="2:7" s="2146" customFormat="1">
      <c r="B4329" s="893" t="str">
        <f>+'4M'!BY31</f>
        <v>S3020SDDCUM</v>
      </c>
      <c r="C4329" s="1382"/>
      <c r="E4329" s="1753" t="s">
        <v>11007</v>
      </c>
      <c r="G4329" s="2146" t="str">
        <f>IF('4M'!W31="","##BLANK",'4M'!W31)</f>
        <v>##BLANK</v>
      </c>
    </row>
    <row r="4330" spans="2:7" s="2146" customFormat="1">
      <c r="B4330" s="893" t="str">
        <f>+'4M'!BY32</f>
        <v>S3021SDDCUM</v>
      </c>
      <c r="C4330" s="1382"/>
      <c r="E4330" s="1753" t="s">
        <v>11007</v>
      </c>
      <c r="G4330" s="2146" t="str">
        <f>IF('4M'!W32="","##BLANK",'4M'!W32)</f>
        <v>##BLANK</v>
      </c>
    </row>
    <row r="4331" spans="2:7" s="2146" customFormat="1">
      <c r="B4331" s="893" t="str">
        <f>+'4M'!BY33</f>
        <v>S3022SDDCUM</v>
      </c>
      <c r="C4331" s="1382"/>
      <c r="E4331" s="1753" t="s">
        <v>11007</v>
      </c>
      <c r="G4331" s="2146" t="str">
        <f>IF('4M'!W33="","##BLANK",'4M'!W33)</f>
        <v>##BLANK</v>
      </c>
    </row>
    <row r="4332" spans="2:7" s="2146" customFormat="1">
      <c r="B4332" s="893" t="str">
        <f>+'4M'!BY34</f>
        <v>BC31785SDDCUM</v>
      </c>
      <c r="C4332" s="1382"/>
      <c r="E4332" s="1753" t="s">
        <v>11007</v>
      </c>
      <c r="G4332" s="2146" t="str">
        <f>IF('4M'!W34="","##BLANK",'4M'!W34)</f>
        <v>##BLANK</v>
      </c>
    </row>
    <row r="4333" spans="2:7" s="2146" customFormat="1">
      <c r="B4333" s="893" t="str">
        <f>+'4M'!BY35</f>
        <v>S3023SDDCUM</v>
      </c>
      <c r="C4333" s="1382"/>
      <c r="E4333" s="1753" t="s">
        <v>11007</v>
      </c>
      <c r="G4333" s="2146" t="str">
        <f>IF('4M'!W35="","##BLANK",'4M'!W35)</f>
        <v>##BLANK</v>
      </c>
    </row>
    <row r="4334" spans="2:7" s="2146" customFormat="1">
      <c r="B4334" s="893" t="str">
        <f>+'4M'!BY36</f>
        <v>S3024SDDCUM</v>
      </c>
      <c r="C4334" s="1382"/>
      <c r="E4334" s="1753" t="s">
        <v>11007</v>
      </c>
      <c r="G4334" s="2146" t="str">
        <f>IF('4M'!W36="","##BLANK",'4M'!W36)</f>
        <v>##BLANK</v>
      </c>
    </row>
    <row r="4335" spans="2:7" s="2146" customFormat="1">
      <c r="B4335" s="893" t="str">
        <f>+'4M'!BY37</f>
        <v>S3A00001SDDCUM</v>
      </c>
      <c r="C4335" s="1382"/>
      <c r="E4335" s="1753" t="s">
        <v>11007</v>
      </c>
      <c r="F4335" s="2146" t="str">
        <f>+'4M'!C$37</f>
        <v>Capital expenditure purpose - WASTEWATER additional line 1 [Other categories]</v>
      </c>
      <c r="G4335" s="2146" t="str">
        <f>IF('4M'!W37="","##BLANK",'4M'!W37)</f>
        <v>##BLANK</v>
      </c>
    </row>
    <row r="4336" spans="2:7" s="2146" customFormat="1">
      <c r="B4336" s="893" t="str">
        <f>+'4M'!BY38</f>
        <v>S3A00002SDDCUM</v>
      </c>
      <c r="C4336" s="1382"/>
      <c r="E4336" s="1753" t="s">
        <v>11007</v>
      </c>
      <c r="F4336" s="2146" t="str">
        <f>+'4M'!C$38</f>
        <v>Capital expenditure purpose - WASTEWATER additional line 2 [Other categories]</v>
      </c>
      <c r="G4336" s="2146" t="str">
        <f>IF('4M'!W38="","##BLANK",'4M'!W38)</f>
        <v>##BLANK</v>
      </c>
    </row>
    <row r="4337" spans="2:7" s="2146" customFormat="1">
      <c r="B4337" s="893" t="str">
        <f>+'4M'!BY39</f>
        <v>S3A00003SDDCUM</v>
      </c>
      <c r="C4337" s="1382"/>
      <c r="E4337" s="1753" t="s">
        <v>11007</v>
      </c>
      <c r="F4337" s="2146" t="str">
        <f>+'4M'!C$39</f>
        <v>Capital expenditure purpose - WASTEWATER additional line 3 [Other categories]</v>
      </c>
      <c r="G4337" s="2146" t="str">
        <f>IF('4M'!W39="","##BLANK",'4M'!W39)</f>
        <v>##BLANK</v>
      </c>
    </row>
    <row r="4338" spans="2:7" s="2146" customFormat="1">
      <c r="B4338" s="893" t="str">
        <f>+'4M'!BY40</f>
        <v>S3A00004SDDCUM</v>
      </c>
      <c r="C4338" s="1382"/>
      <c r="E4338" s="1753" t="s">
        <v>11007</v>
      </c>
      <c r="F4338" s="2146" t="str">
        <f>+'4M'!C$40</f>
        <v>Capital expenditure purpose - WASTEWATER additional line 4 [Other categories]</v>
      </c>
      <c r="G4338" s="2146" t="str">
        <f>IF('4M'!W40="","##BLANK",'4M'!W40)</f>
        <v>##BLANK</v>
      </c>
    </row>
    <row r="4339" spans="2:7" s="2146" customFormat="1">
      <c r="B4339" s="893" t="str">
        <f>+'4M'!BY41</f>
        <v>S3A00005SDDCUM</v>
      </c>
      <c r="C4339" s="1382"/>
      <c r="E4339" s="1753" t="s">
        <v>11007</v>
      </c>
      <c r="F4339" s="2146" t="str">
        <f>+'4M'!C$41</f>
        <v>Capital expenditure purpose - WASTEWATER additional line 5 [Other categories]</v>
      </c>
      <c r="G4339" s="2146" t="str">
        <f>IF('4M'!W41="","##BLANK",'4M'!W41)</f>
        <v>##BLANK</v>
      </c>
    </row>
    <row r="4340" spans="2:7" s="2146" customFormat="1">
      <c r="B4340" s="893" t="str">
        <f>+'4M'!BY42</f>
        <v>S3A00006SDDCUM</v>
      </c>
      <c r="C4340" s="1382"/>
      <c r="E4340" s="1753" t="s">
        <v>11007</v>
      </c>
      <c r="F4340" s="2146" t="str">
        <f>+'4M'!C$42</f>
        <v>Capital expenditure purpose - WASTEWATER additional line 6 [Other categories]</v>
      </c>
      <c r="G4340" s="2146" t="str">
        <f>IF('4M'!W42="","##BLANK",'4M'!W42)</f>
        <v>##BLANK</v>
      </c>
    </row>
    <row r="4341" spans="2:7" s="2146" customFormat="1">
      <c r="B4341" s="893" t="str">
        <f>+'4M'!BY43</f>
        <v>S3A00007SDDCUM</v>
      </c>
      <c r="C4341" s="1382"/>
      <c r="E4341" s="1753" t="s">
        <v>11007</v>
      </c>
      <c r="F4341" s="2146" t="str">
        <f>+'4M'!C$43</f>
        <v>Capital expenditure purpose - WASTEWATER additional line 7 [Other categories]</v>
      </c>
      <c r="G4341" s="2146" t="str">
        <f>IF('4M'!W43="","##BLANK",'4M'!W43)</f>
        <v>##BLANK</v>
      </c>
    </row>
    <row r="4342" spans="2:7" s="2146" customFormat="1">
      <c r="B4342" s="893" t="str">
        <f>+'4M'!BY44</f>
        <v>S3A00008SDDCUM</v>
      </c>
      <c r="C4342" s="1382"/>
      <c r="E4342" s="1753" t="s">
        <v>11007</v>
      </c>
      <c r="F4342" s="2146" t="str">
        <f>+'4M'!C$44</f>
        <v>Capital expenditure purpose - WASTEWATER additional line 8 [Other categories]</v>
      </c>
      <c r="G4342" s="2146" t="str">
        <f>IF('4M'!W44="","##BLANK",'4M'!W44)</f>
        <v>##BLANK</v>
      </c>
    </row>
    <row r="4343" spans="2:7" s="2146" customFormat="1">
      <c r="B4343" s="893" t="str">
        <f>+'4M'!BY45</f>
        <v>S3A00009SDDCUM</v>
      </c>
      <c r="C4343" s="1382"/>
      <c r="E4343" s="1753" t="s">
        <v>11007</v>
      </c>
      <c r="F4343" s="2146" t="str">
        <f>+'4M'!C$45</f>
        <v>Capital expenditure purpose - WASTEWATER additional line 9 [Other categories]</v>
      </c>
      <c r="G4343" s="2146" t="str">
        <f>IF('4M'!W45="","##BLANK",'4M'!W45)</f>
        <v>##BLANK</v>
      </c>
    </row>
    <row r="4344" spans="2:7" s="2146" customFormat="1">
      <c r="B4344" s="893" t="str">
        <f>+'4M'!BY46</f>
        <v>S3A00010SDDCUM</v>
      </c>
      <c r="C4344" s="1382"/>
      <c r="E4344" s="1753" t="s">
        <v>11007</v>
      </c>
      <c r="F4344" s="2146" t="str">
        <f>+'4M'!C$46</f>
        <v>Capital expenditure purpose - WASTEWATER additional line 10 [Other categories]</v>
      </c>
      <c r="G4344" s="2146" t="str">
        <f>IF('4M'!W46="","##BLANK",'4M'!W46)</f>
        <v>##BLANK</v>
      </c>
    </row>
    <row r="4345" spans="2:7" s="2146" customFormat="1">
      <c r="B4345" s="893" t="str">
        <f>+'4M'!BY47</f>
        <v>S3A00011SDDCUM</v>
      </c>
      <c r="C4345" s="1382"/>
      <c r="E4345" s="1753" t="s">
        <v>11007</v>
      </c>
      <c r="F4345" s="2146" t="str">
        <f>+'4M'!C$47</f>
        <v>Capital expenditure purpose - WASTEWATER additional line 11 [Other categories]</v>
      </c>
      <c r="G4345" s="2146" t="str">
        <f>IF('4M'!W47="","##BLANK",'4M'!W47)</f>
        <v>##BLANK</v>
      </c>
    </row>
    <row r="4346" spans="2:7" s="2146" customFormat="1">
      <c r="B4346" s="893" t="str">
        <f>+'4M'!BY48</f>
        <v>S3A00012SDDCUM</v>
      </c>
      <c r="C4346" s="1382"/>
      <c r="E4346" s="1753" t="s">
        <v>11007</v>
      </c>
      <c r="F4346" s="2146" t="str">
        <f>+'4M'!C$48</f>
        <v>Capital expenditure purpose - WASTEWATER additional line 12 [Other categories]</v>
      </c>
      <c r="G4346" s="2146" t="str">
        <f>IF('4M'!W48="","##BLANK",'4M'!W48)</f>
        <v>##BLANK</v>
      </c>
    </row>
    <row r="4347" spans="2:7" s="2146" customFormat="1">
      <c r="B4347" s="893" t="str">
        <f>+'4M'!BY49</f>
        <v>S3A00013SDDCUM</v>
      </c>
      <c r="C4347" s="1382"/>
      <c r="E4347" s="1753" t="s">
        <v>11007</v>
      </c>
      <c r="F4347" s="2146" t="str">
        <f>+'4M'!C$49</f>
        <v>Capital expenditure purpose - WASTEWATER additional line 13 [Other categories]</v>
      </c>
      <c r="G4347" s="2146" t="str">
        <f>IF('4M'!W49="","##BLANK",'4M'!W49)</f>
        <v>##BLANK</v>
      </c>
    </row>
    <row r="4348" spans="2:7" s="2146" customFormat="1">
      <c r="B4348" s="893" t="str">
        <f>+'4M'!BY50</f>
        <v>S3A00014SDDCUM</v>
      </c>
      <c r="C4348" s="1382"/>
      <c r="E4348" s="1753" t="s">
        <v>11007</v>
      </c>
      <c r="F4348" s="2146" t="str">
        <f>+'4M'!C$50</f>
        <v>Capital expenditure purpose - WASTEWATER additional line 14 [Other categories]</v>
      </c>
      <c r="G4348" s="2146" t="str">
        <f>IF('4M'!W50="","##BLANK",'4M'!W50)</f>
        <v>##BLANK</v>
      </c>
    </row>
    <row r="4349" spans="2:7" s="2146" customFormat="1">
      <c r="B4349" s="893" t="str">
        <f>+'4M'!BY51</f>
        <v>S3A00015SDDCUM</v>
      </c>
      <c r="C4349" s="1382"/>
      <c r="E4349" s="1753" t="s">
        <v>11007</v>
      </c>
      <c r="F4349" s="2146" t="str">
        <f>+'4M'!C$51</f>
        <v>Capital expenditure purpose - WASTEWATER additional line 15 [Other categories]</v>
      </c>
      <c r="G4349" s="2146" t="str">
        <f>IF('4M'!W51="","##BLANK",'4M'!W51)</f>
        <v>##BLANK</v>
      </c>
    </row>
    <row r="4350" spans="2:7" s="2146" customFormat="1">
      <c r="B4350" s="893" t="str">
        <f>+'4M'!BY52</f>
        <v>S3025ENHSDDCUM</v>
      </c>
      <c r="C4350" s="1382"/>
      <c r="E4350" s="1753" t="s">
        <v>11007</v>
      </c>
      <c r="G4350" s="2146">
        <f>IF('4M'!W52="","##BLANK",'4M'!W52)</f>
        <v>0</v>
      </c>
    </row>
    <row r="4351" spans="2:7">
      <c r="B4351" s="893" t="str">
        <f>+'4M'!BZ8</f>
        <v>BC31379CASCUM</v>
      </c>
      <c r="E4351" s="1753" t="s">
        <v>11007</v>
      </c>
      <c r="G4351">
        <f>IF('4M'!X8="","##BLANK",'4M'!X8)</f>
        <v>0</v>
      </c>
    </row>
    <row r="4352" spans="2:7">
      <c r="B4352" s="893" t="str">
        <f>+'4M'!BZ9</f>
        <v>S3035QCASCUM</v>
      </c>
      <c r="E4352" s="1753" t="s">
        <v>11007</v>
      </c>
      <c r="G4352">
        <f>IF('4M'!X9="","##BLANK",'4M'!X9)</f>
        <v>0</v>
      </c>
    </row>
    <row r="4353" spans="2:7">
      <c r="B4353" s="893" t="str">
        <f>+'4M'!BZ10</f>
        <v>S3036GCASCUM</v>
      </c>
      <c r="E4353" s="1753" t="s">
        <v>11007</v>
      </c>
      <c r="G4353">
        <f>IF('4M'!X10="","##BLANK",'4M'!X10)</f>
        <v>0</v>
      </c>
    </row>
    <row r="4354" spans="2:7">
      <c r="B4354" s="893" t="str">
        <f>+'4M'!BZ11</f>
        <v>S3004CASCUM</v>
      </c>
      <c r="E4354" s="1753" t="s">
        <v>11007</v>
      </c>
      <c r="G4354">
        <f>IF('4M'!X11="","##BLANK",'4M'!X11)</f>
        <v>0</v>
      </c>
    </row>
    <row r="4355" spans="2:7">
      <c r="B4355" s="893" t="str">
        <f>+'4M'!BZ12</f>
        <v>WWS2001CASCUM</v>
      </c>
      <c r="E4355" s="1753" t="s">
        <v>11007</v>
      </c>
      <c r="G4355">
        <f>IF('4M'!X12="","##BLANK",'4M'!X12)</f>
        <v>0</v>
      </c>
    </row>
    <row r="4356" spans="2:7">
      <c r="B4356" s="893" t="str">
        <f>+'4M'!BZ13</f>
        <v>S3005CASCUM</v>
      </c>
      <c r="E4356" s="1753" t="s">
        <v>11007</v>
      </c>
      <c r="G4356">
        <f>IF('4M'!X13="","##BLANK",'4M'!X13)</f>
        <v>0</v>
      </c>
    </row>
    <row r="4357" spans="2:7">
      <c r="B4357" s="893" t="str">
        <f>+'4M'!BZ14</f>
        <v>S3006CASCUM</v>
      </c>
      <c r="E4357" s="1753" t="s">
        <v>11007</v>
      </c>
      <c r="G4357">
        <f>IF('4M'!X14="","##BLANK",'4M'!X14)</f>
        <v>0</v>
      </c>
    </row>
    <row r="4358" spans="2:7">
      <c r="B4358" s="893" t="str">
        <f>+'4M'!BZ15</f>
        <v>S3007CASCUM</v>
      </c>
      <c r="E4358" s="1753" t="s">
        <v>11007</v>
      </c>
      <c r="G4358">
        <f>IF('4M'!X15="","##BLANK",'4M'!X15)</f>
        <v>0</v>
      </c>
    </row>
    <row r="4359" spans="2:7">
      <c r="B4359" s="893" t="str">
        <f>+'4M'!BZ16</f>
        <v>WWS2002CASCUM</v>
      </c>
      <c r="E4359" s="1753" t="s">
        <v>11007</v>
      </c>
      <c r="G4359">
        <f>IF('4M'!X16="","##BLANK",'4M'!X16)</f>
        <v>0</v>
      </c>
    </row>
    <row r="4360" spans="2:7">
      <c r="B4360" s="893" t="str">
        <f>+'4M'!BZ17</f>
        <v>WWS2003CASCUM</v>
      </c>
      <c r="E4360" s="1753" t="s">
        <v>11007</v>
      </c>
      <c r="G4360">
        <f>IF('4M'!X17="","##BLANK",'4M'!X17)</f>
        <v>0</v>
      </c>
    </row>
    <row r="4361" spans="2:7">
      <c r="B4361" s="893" t="str">
        <f>+'4M'!BZ18</f>
        <v>S3008CASCUM</v>
      </c>
      <c r="E4361" s="1753" t="s">
        <v>11007</v>
      </c>
      <c r="G4361">
        <f>IF('4M'!X18="","##BLANK",'4M'!X18)</f>
        <v>0</v>
      </c>
    </row>
    <row r="4362" spans="2:7">
      <c r="B4362" s="893" t="str">
        <f>+'4M'!BZ19</f>
        <v>S3009CASCUM</v>
      </c>
      <c r="E4362" s="1753" t="s">
        <v>11007</v>
      </c>
      <c r="G4362">
        <f>IF('4M'!X19="","##BLANK",'4M'!X19)</f>
        <v>0</v>
      </c>
    </row>
    <row r="4363" spans="2:7">
      <c r="B4363" s="893" t="str">
        <f>+'4M'!BZ20</f>
        <v>WWS2007CASCUM</v>
      </c>
      <c r="E4363" s="1753" t="s">
        <v>11007</v>
      </c>
      <c r="G4363">
        <f>IF('4M'!X20="","##BLANK",'4M'!X20)</f>
        <v>0</v>
      </c>
    </row>
    <row r="4364" spans="2:7">
      <c r="B4364" s="893" t="str">
        <f>+'4M'!BZ21</f>
        <v>S3010CASCUM</v>
      </c>
      <c r="E4364" s="1753" t="s">
        <v>11007</v>
      </c>
      <c r="G4364">
        <f>IF('4M'!X21="","##BLANK",'4M'!X21)</f>
        <v>0</v>
      </c>
    </row>
    <row r="4365" spans="2:7">
      <c r="B4365" s="893" t="str">
        <f>+'4M'!BZ22</f>
        <v>S3011CASCUM</v>
      </c>
      <c r="E4365" s="1753" t="s">
        <v>11007</v>
      </c>
      <c r="G4365">
        <f>IF('4M'!X22="","##BLANK",'4M'!X22)</f>
        <v>0</v>
      </c>
    </row>
    <row r="4366" spans="2:7">
      <c r="B4366" s="893" t="str">
        <f>+'4M'!BZ23</f>
        <v>S3012CASCUM</v>
      </c>
      <c r="E4366" s="1753" t="s">
        <v>11007</v>
      </c>
      <c r="G4366">
        <f>IF('4M'!X23="","##BLANK",'4M'!X23)</f>
        <v>0</v>
      </c>
    </row>
    <row r="4367" spans="2:7">
      <c r="B4367" s="893" t="str">
        <f>+'4M'!BZ24</f>
        <v>S3013CASCUM</v>
      </c>
      <c r="E4367" s="1753" t="s">
        <v>11007</v>
      </c>
      <c r="G4367">
        <f>IF('4M'!X24="","##BLANK",'4M'!X24)</f>
        <v>0</v>
      </c>
    </row>
    <row r="4368" spans="2:7">
      <c r="B4368" s="893" t="str">
        <f>+'4M'!BZ25</f>
        <v>S3014CASCUM</v>
      </c>
      <c r="E4368" s="1753" t="s">
        <v>11007</v>
      </c>
      <c r="G4368">
        <f>IF('4M'!X25="","##BLANK",'4M'!X25)</f>
        <v>0</v>
      </c>
    </row>
    <row r="4369" spans="2:7">
      <c r="B4369" s="893" t="str">
        <f>+'4M'!BZ26</f>
        <v>S3015CASCUM</v>
      </c>
      <c r="E4369" s="1753" t="s">
        <v>11007</v>
      </c>
      <c r="G4369">
        <f>IF('4M'!X26="","##BLANK",'4M'!X26)</f>
        <v>0</v>
      </c>
    </row>
    <row r="4370" spans="2:7">
      <c r="B4370" s="893" t="str">
        <f>+'4M'!BZ27</f>
        <v>S3016CASCUM</v>
      </c>
      <c r="E4370" s="1753" t="s">
        <v>11007</v>
      </c>
      <c r="G4370">
        <f>IF('4M'!X27="","##BLANK",'4M'!X27)</f>
        <v>0</v>
      </c>
    </row>
    <row r="4371" spans="2:7">
      <c r="B4371" s="893" t="str">
        <f>+'4M'!BZ28</f>
        <v>S3017CASCUM</v>
      </c>
      <c r="E4371" s="1753" t="s">
        <v>11007</v>
      </c>
      <c r="G4371">
        <f>IF('4M'!X28="","##BLANK",'4M'!X28)</f>
        <v>0</v>
      </c>
    </row>
    <row r="4372" spans="2:7">
      <c r="B4372" s="893" t="str">
        <f>+'4M'!BZ29</f>
        <v>S3018CASCUM</v>
      </c>
      <c r="E4372" s="1753" t="s">
        <v>11007</v>
      </c>
      <c r="G4372">
        <f>IF('4M'!X29="","##BLANK",'4M'!X29)</f>
        <v>0</v>
      </c>
    </row>
    <row r="4373" spans="2:7">
      <c r="B4373" s="893" t="str">
        <f>+'4M'!BZ30</f>
        <v>S3019CASCUM</v>
      </c>
      <c r="E4373" s="1753" t="s">
        <v>11007</v>
      </c>
      <c r="G4373">
        <f>IF('4M'!X30="","##BLANK",'4M'!X30)</f>
        <v>0</v>
      </c>
    </row>
    <row r="4374" spans="2:7">
      <c r="B4374" s="893" t="str">
        <f>+'4M'!BZ31</f>
        <v>S3020CASCUM</v>
      </c>
      <c r="E4374" s="1753" t="s">
        <v>11007</v>
      </c>
      <c r="G4374">
        <f>IF('4M'!X31="","##BLANK",'4M'!X31)</f>
        <v>0</v>
      </c>
    </row>
    <row r="4375" spans="2:7">
      <c r="B4375" s="893" t="str">
        <f>+'4M'!BZ32</f>
        <v>S3021CASCUM</v>
      </c>
      <c r="E4375" s="1753" t="s">
        <v>11007</v>
      </c>
      <c r="G4375">
        <f>IF('4M'!X32="","##BLANK",'4M'!X32)</f>
        <v>0</v>
      </c>
    </row>
    <row r="4376" spans="2:7">
      <c r="B4376" s="893" t="str">
        <f>+'4M'!BZ33</f>
        <v>S3022CASCUM</v>
      </c>
      <c r="E4376" s="1753" t="s">
        <v>11007</v>
      </c>
      <c r="G4376">
        <f>IF('4M'!X33="","##BLANK",'4M'!X33)</f>
        <v>0</v>
      </c>
    </row>
    <row r="4377" spans="2:7">
      <c r="B4377" s="893" t="str">
        <f>+'4M'!BZ34</f>
        <v>BC31785CASCUM</v>
      </c>
      <c r="E4377" s="1753" t="s">
        <v>11007</v>
      </c>
      <c r="G4377">
        <f>IF('4M'!X34="","##BLANK",'4M'!X34)</f>
        <v>0</v>
      </c>
    </row>
    <row r="4378" spans="2:7">
      <c r="B4378" s="893" t="str">
        <f>+'4M'!BZ35</f>
        <v>S3023CASCUM</v>
      </c>
      <c r="E4378" s="1753" t="s">
        <v>11007</v>
      </c>
      <c r="G4378">
        <f>IF('4M'!X35="","##BLANK",'4M'!X35)</f>
        <v>0</v>
      </c>
    </row>
    <row r="4379" spans="2:7">
      <c r="B4379" s="893" t="str">
        <f>+'4M'!BZ36</f>
        <v>S3024CASCUM</v>
      </c>
      <c r="E4379" s="1753" t="s">
        <v>11007</v>
      </c>
      <c r="G4379">
        <f>IF('4M'!X36="","##BLANK",'4M'!X36)</f>
        <v>0</v>
      </c>
    </row>
    <row r="4380" spans="2:7">
      <c r="B4380" s="893" t="str">
        <f>+'4M'!BZ37</f>
        <v>S3A00001CASCUM</v>
      </c>
      <c r="E4380" s="1753" t="s">
        <v>11007</v>
      </c>
      <c r="F4380" s="2146" t="str">
        <f>+'4M'!C$37</f>
        <v>Capital expenditure purpose - WASTEWATER additional line 1 [Other categories]</v>
      </c>
      <c r="G4380">
        <f>IF('4M'!X37="","##BLANK",'4M'!X37)</f>
        <v>0</v>
      </c>
    </row>
    <row r="4381" spans="2:7">
      <c r="B4381" s="893" t="str">
        <f>+'4M'!BZ38</f>
        <v>S3A00002CASCUM</v>
      </c>
      <c r="E4381" s="1753" t="s">
        <v>11007</v>
      </c>
      <c r="F4381" s="2146" t="str">
        <f>+'4M'!C$38</f>
        <v>Capital expenditure purpose - WASTEWATER additional line 2 [Other categories]</v>
      </c>
      <c r="G4381">
        <f>IF('4M'!X38="","##BLANK",'4M'!X38)</f>
        <v>0</v>
      </c>
    </row>
    <row r="4382" spans="2:7">
      <c r="B4382" s="893" t="str">
        <f>+'4M'!BZ39</f>
        <v>S3A00003CASCUM</v>
      </c>
      <c r="E4382" s="1753" t="s">
        <v>11007</v>
      </c>
      <c r="F4382" s="2146" t="str">
        <f>+'4M'!C$39</f>
        <v>Capital expenditure purpose - WASTEWATER additional line 3 [Other categories]</v>
      </c>
      <c r="G4382">
        <f>IF('4M'!X39="","##BLANK",'4M'!X39)</f>
        <v>0</v>
      </c>
    </row>
    <row r="4383" spans="2:7">
      <c r="B4383" s="893" t="str">
        <f>+'4M'!BZ40</f>
        <v>S3A00004CASCUM</v>
      </c>
      <c r="E4383" s="1753" t="s">
        <v>11007</v>
      </c>
      <c r="F4383" s="2146" t="str">
        <f>+'4M'!C$40</f>
        <v>Capital expenditure purpose - WASTEWATER additional line 4 [Other categories]</v>
      </c>
      <c r="G4383">
        <f>IF('4M'!X40="","##BLANK",'4M'!X40)</f>
        <v>0</v>
      </c>
    </row>
    <row r="4384" spans="2:7">
      <c r="B4384" s="893" t="str">
        <f>+'4M'!BZ41</f>
        <v>S3A00005CASCUM</v>
      </c>
      <c r="E4384" s="1753" t="s">
        <v>11007</v>
      </c>
      <c r="F4384" s="2146" t="str">
        <f>+'4M'!C$41</f>
        <v>Capital expenditure purpose - WASTEWATER additional line 5 [Other categories]</v>
      </c>
      <c r="G4384">
        <f>IF('4M'!X41="","##BLANK",'4M'!X41)</f>
        <v>0</v>
      </c>
    </row>
    <row r="4385" spans="2:7">
      <c r="B4385" s="893" t="str">
        <f>+'4M'!BZ42</f>
        <v>S3A00006CASCUM</v>
      </c>
      <c r="E4385" s="1753" t="s">
        <v>11007</v>
      </c>
      <c r="F4385" s="2146" t="str">
        <f>+'4M'!C$42</f>
        <v>Capital expenditure purpose - WASTEWATER additional line 6 [Other categories]</v>
      </c>
      <c r="G4385">
        <f>IF('4M'!X42="","##BLANK",'4M'!X42)</f>
        <v>0</v>
      </c>
    </row>
    <row r="4386" spans="2:7">
      <c r="B4386" s="893" t="str">
        <f>+'4M'!BZ43</f>
        <v>S3A00007CASCUM</v>
      </c>
      <c r="E4386" s="1753" t="s">
        <v>11007</v>
      </c>
      <c r="F4386" s="2146" t="str">
        <f>+'4M'!C$43</f>
        <v>Capital expenditure purpose - WASTEWATER additional line 7 [Other categories]</v>
      </c>
      <c r="G4386">
        <f>IF('4M'!X43="","##BLANK",'4M'!X43)</f>
        <v>0</v>
      </c>
    </row>
    <row r="4387" spans="2:7">
      <c r="B4387" s="893" t="str">
        <f>+'4M'!BZ44</f>
        <v>S3A00008CASCUM</v>
      </c>
      <c r="E4387" s="1753" t="s">
        <v>11007</v>
      </c>
      <c r="F4387" s="2146" t="str">
        <f>+'4M'!C$44</f>
        <v>Capital expenditure purpose - WASTEWATER additional line 8 [Other categories]</v>
      </c>
      <c r="G4387">
        <f>IF('4M'!X44="","##BLANK",'4M'!X44)</f>
        <v>0</v>
      </c>
    </row>
    <row r="4388" spans="2:7">
      <c r="B4388" s="893" t="str">
        <f>+'4M'!BZ45</f>
        <v>S3A00009CASCUM</v>
      </c>
      <c r="E4388" s="1753" t="s">
        <v>11007</v>
      </c>
      <c r="F4388" s="2146" t="str">
        <f>+'4M'!C$45</f>
        <v>Capital expenditure purpose - WASTEWATER additional line 9 [Other categories]</v>
      </c>
      <c r="G4388">
        <f>IF('4M'!X45="","##BLANK",'4M'!X45)</f>
        <v>0</v>
      </c>
    </row>
    <row r="4389" spans="2:7">
      <c r="B4389" s="893" t="str">
        <f>+'4M'!BZ46</f>
        <v>S3A00010CASCUM</v>
      </c>
      <c r="E4389" s="1753" t="s">
        <v>11007</v>
      </c>
      <c r="F4389" s="2146" t="str">
        <f>+'4M'!C$46</f>
        <v>Capital expenditure purpose - WASTEWATER additional line 10 [Other categories]</v>
      </c>
      <c r="G4389">
        <f>IF('4M'!X46="","##BLANK",'4M'!X46)</f>
        <v>0</v>
      </c>
    </row>
    <row r="4390" spans="2:7">
      <c r="B4390" s="893" t="str">
        <f>+'4M'!BZ47</f>
        <v>S3A00011CASCUM</v>
      </c>
      <c r="E4390" s="1753" t="s">
        <v>11007</v>
      </c>
      <c r="F4390" s="2146" t="str">
        <f>+'4M'!C$47</f>
        <v>Capital expenditure purpose - WASTEWATER additional line 11 [Other categories]</v>
      </c>
      <c r="G4390">
        <f>IF('4M'!X47="","##BLANK",'4M'!X47)</f>
        <v>0</v>
      </c>
    </row>
    <row r="4391" spans="2:7">
      <c r="B4391" s="893" t="str">
        <f>+'4M'!BZ48</f>
        <v>S3A00012CASCUM</v>
      </c>
      <c r="E4391" s="1753" t="s">
        <v>11007</v>
      </c>
      <c r="F4391" s="2146" t="str">
        <f>+'4M'!C$48</f>
        <v>Capital expenditure purpose - WASTEWATER additional line 12 [Other categories]</v>
      </c>
      <c r="G4391">
        <f>IF('4M'!X48="","##BLANK",'4M'!X48)</f>
        <v>0</v>
      </c>
    </row>
    <row r="4392" spans="2:7">
      <c r="B4392" s="893" t="str">
        <f>+'4M'!BZ49</f>
        <v>S3A00013CASCUM</v>
      </c>
      <c r="E4392" s="1753" t="s">
        <v>11007</v>
      </c>
      <c r="F4392" s="2146" t="str">
        <f>+'4M'!C$49</f>
        <v>Capital expenditure purpose - WASTEWATER additional line 13 [Other categories]</v>
      </c>
      <c r="G4392">
        <f>IF('4M'!X49="","##BLANK",'4M'!X49)</f>
        <v>0</v>
      </c>
    </row>
    <row r="4393" spans="2:7">
      <c r="B4393" s="893" t="str">
        <f>+'4M'!BZ50</f>
        <v>S3A00014CASCUM</v>
      </c>
      <c r="E4393" s="1753" t="s">
        <v>11007</v>
      </c>
      <c r="F4393" s="2146" t="str">
        <f>+'4M'!C$50</f>
        <v>Capital expenditure purpose - WASTEWATER additional line 14 [Other categories]</v>
      </c>
      <c r="G4393">
        <f>IF('4M'!X50="","##BLANK",'4M'!X50)</f>
        <v>0</v>
      </c>
    </row>
    <row r="4394" spans="2:7">
      <c r="B4394" s="893" t="str">
        <f>+'4M'!BZ51</f>
        <v>S3A00015CASCUM</v>
      </c>
      <c r="E4394" s="1753" t="s">
        <v>11007</v>
      </c>
      <c r="F4394" s="2146" t="str">
        <f>+'4M'!C$51</f>
        <v>Capital expenditure purpose - WASTEWATER additional line 15 [Other categories]</v>
      </c>
      <c r="G4394">
        <f>IF('4M'!X51="","##BLANK",'4M'!X51)</f>
        <v>0</v>
      </c>
    </row>
    <row r="4395" spans="2:7">
      <c r="B4395" s="893" t="str">
        <f>+'4M'!BZ52</f>
        <v>S3025ENHCASCUM</v>
      </c>
      <c r="E4395" s="1753" t="s">
        <v>11007</v>
      </c>
      <c r="G4395">
        <f>IF('4M'!X52="","##BLANK",'4M'!X52)</f>
        <v>0</v>
      </c>
    </row>
    <row r="4396" spans="2:7">
      <c r="B4396" s="893" t="str">
        <f>+'4N'!U6</f>
        <v>STWF011</v>
      </c>
      <c r="E4396" s="1753" t="s">
        <v>11007</v>
      </c>
      <c r="G4396" t="str">
        <f>IF('4N'!G6="","##BLANK",'4N'!G6)</f>
        <v>##BLANK</v>
      </c>
    </row>
    <row r="4397" spans="2:7">
      <c r="B4397" s="893" t="str">
        <f>+'4N'!U7</f>
        <v>STWF025</v>
      </c>
      <c r="E4397" s="1753" t="s">
        <v>11007</v>
      </c>
      <c r="G4397" t="str">
        <f>IF('4N'!G7="","##BLANK",'4N'!G7)</f>
        <v>##BLANK</v>
      </c>
    </row>
    <row r="4398" spans="2:7">
      <c r="B4398" s="893" t="str">
        <f>+'4N'!U8</f>
        <v>STWF039</v>
      </c>
      <c r="E4398" s="1753" t="s">
        <v>11007</v>
      </c>
      <c r="G4398" t="str">
        <f>IF('4N'!G8="","##BLANK",'4N'!G8)</f>
        <v>##BLANK</v>
      </c>
    </row>
    <row r="4399" spans="2:7">
      <c r="B4399" s="893" t="str">
        <f>+'4N'!U9</f>
        <v>STWF053</v>
      </c>
      <c r="E4399" s="1753" t="s">
        <v>11007</v>
      </c>
      <c r="G4399" t="str">
        <f>IF('4N'!G9="","##BLANK",'4N'!G9)</f>
        <v>##BLANK</v>
      </c>
    </row>
    <row r="4400" spans="2:7">
      <c r="B4400" s="893" t="str">
        <f>+'4N'!U10</f>
        <v>STWF067</v>
      </c>
      <c r="E4400" s="1753" t="s">
        <v>11007</v>
      </c>
      <c r="G4400" t="str">
        <f>IF('4N'!G10="","##BLANK",'4N'!G10)</f>
        <v>##BLANK</v>
      </c>
    </row>
    <row r="4401" spans="2:7">
      <c r="B4401" s="893" t="str">
        <f>+'4N'!U11</f>
        <v>S3026</v>
      </c>
      <c r="E4401" s="1753" t="s">
        <v>11007</v>
      </c>
      <c r="G4401" t="str">
        <f>IF('4N'!G11="","##BLANK",'4N'!G11)</f>
        <v>##BLANK</v>
      </c>
    </row>
    <row r="4402" spans="2:7">
      <c r="B4402" s="893" t="str">
        <f>+'4N'!U12</f>
        <v>STWF012</v>
      </c>
      <c r="E4402" s="1753" t="s">
        <v>11007</v>
      </c>
      <c r="G4402">
        <f>IF('4N'!G12="","##BLANK",'4N'!G12)</f>
        <v>0</v>
      </c>
    </row>
    <row r="4403" spans="2:7">
      <c r="B4403" s="893" t="str">
        <f>+'4N'!U15</f>
        <v>STWB040TOT</v>
      </c>
      <c r="E4403" s="1753" t="s">
        <v>11007</v>
      </c>
      <c r="G4403">
        <f>IF('4N'!G15="","##BLANK",'4N'!G15)</f>
        <v>0</v>
      </c>
    </row>
    <row r="4404" spans="2:7">
      <c r="B4404" s="893" t="str">
        <f>+'4N'!U16</f>
        <v>STWB038TOT</v>
      </c>
      <c r="E4404" s="1753" t="s">
        <v>11007</v>
      </c>
      <c r="G4404">
        <f>IF('4N'!G16="","##BLANK",'4N'!G16)</f>
        <v>0</v>
      </c>
    </row>
    <row r="4405" spans="2:7">
      <c r="B4405" s="893" t="str">
        <f>+'4N'!U17</f>
        <v>STWB041TOT</v>
      </c>
      <c r="E4405" s="1753" t="s">
        <v>11007</v>
      </c>
      <c r="G4405">
        <f>IF('4N'!G17="","##BLANK",'4N'!G17)</f>
        <v>0</v>
      </c>
    </row>
    <row r="4406" spans="2:7">
      <c r="B4406" s="893" t="str">
        <f>+'4N'!U18</f>
        <v>STWB033TOT</v>
      </c>
      <c r="E4406" s="1753" t="s">
        <v>11007</v>
      </c>
      <c r="G4406">
        <f>IF('4N'!G18="","##BLANK",'4N'!G18)</f>
        <v>0</v>
      </c>
    </row>
    <row r="4407" spans="2:7">
      <c r="B4407" s="893" t="str">
        <f>+'4N'!U19</f>
        <v>STWB036TOT</v>
      </c>
      <c r="E4407" s="1753" t="s">
        <v>11007</v>
      </c>
      <c r="G4407">
        <f>IF('4N'!G19="","##BLANK",'4N'!G19)</f>
        <v>0</v>
      </c>
    </row>
    <row r="4408" spans="2:7">
      <c r="B4408" s="893" t="str">
        <f>+'4N'!U20</f>
        <v>STWB042TOT</v>
      </c>
      <c r="E4408" s="1753" t="s">
        <v>11007</v>
      </c>
      <c r="G4408">
        <f>IF('4N'!G20="","##BLANK",'4N'!G20)</f>
        <v>0</v>
      </c>
    </row>
    <row r="4409" spans="2:7">
      <c r="B4409" s="893" t="str">
        <f>+'4N'!U21</f>
        <v>STWB043TOT</v>
      </c>
      <c r="E4409" s="1753" t="s">
        <v>11007</v>
      </c>
      <c r="G4409">
        <f>IF('4N'!G21="","##BLANK",'4N'!G21)</f>
        <v>0</v>
      </c>
    </row>
    <row r="4410" spans="2:7">
      <c r="B4410" s="893" t="str">
        <f>+'4P'!D6</f>
        <v>BN4833</v>
      </c>
      <c r="E4410" s="1753" t="s">
        <v>11007</v>
      </c>
      <c r="G4410" t="str">
        <f>IF('4P'!G6="","##BLANK",'4P'!G6)</f>
        <v>##BLANK</v>
      </c>
    </row>
    <row r="4411" spans="2:7">
      <c r="B4411" s="893" t="str">
        <f>+'4P'!D7</f>
        <v>BN4834</v>
      </c>
      <c r="E4411" s="1753" t="s">
        <v>11007</v>
      </c>
      <c r="G4411" t="str">
        <f>IF('4P'!G7="","##BLANK",'4P'!G7)</f>
        <v>##BLANK</v>
      </c>
    </row>
    <row r="4412" spans="2:7">
      <c r="B4412" s="893" t="str">
        <f>+'4P'!D8</f>
        <v>BN4838</v>
      </c>
      <c r="E4412" s="1753" t="s">
        <v>11007</v>
      </c>
      <c r="G4412" t="str">
        <f>IF('4P'!G8="","##BLANK",'4P'!G8)</f>
        <v>##BLANK</v>
      </c>
    </row>
    <row r="4413" spans="2:7">
      <c r="B4413" s="893" t="str">
        <f>+'4P'!D9</f>
        <v>BN4848</v>
      </c>
      <c r="E4413" s="1753" t="s">
        <v>11007</v>
      </c>
      <c r="G4413" t="str">
        <f>IF('4P'!G9="","##BLANK",'4P'!G9)</f>
        <v>##BLANK</v>
      </c>
    </row>
    <row r="4414" spans="2:7">
      <c r="B4414" s="893" t="str">
        <f>+'4P'!D10</f>
        <v>BN4846</v>
      </c>
      <c r="E4414" s="1753" t="s">
        <v>11007</v>
      </c>
      <c r="G4414" t="str">
        <f>IF('4P'!G10="","##BLANK",'4P'!G10)</f>
        <v>##BLANK</v>
      </c>
    </row>
    <row r="4415" spans="2:7">
      <c r="B4415" s="893" t="str">
        <f>+'4P'!D11</f>
        <v>BN4847</v>
      </c>
      <c r="E4415" s="1753" t="s">
        <v>11007</v>
      </c>
      <c r="G4415" t="str">
        <f>IF('4P'!G11="","##BLANK",'4P'!G11)</f>
        <v>##BLANK</v>
      </c>
    </row>
    <row r="4416" spans="2:7">
      <c r="B4416" s="893" t="str">
        <f>+'4P'!D12</f>
        <v>BN4854</v>
      </c>
      <c r="E4416" s="1753" t="s">
        <v>11007</v>
      </c>
      <c r="G4416" t="str">
        <f>IF('4P'!G12="","##BLANK",'4P'!G12)</f>
        <v>##BLANK</v>
      </c>
    </row>
    <row r="4417" spans="2:7">
      <c r="B4417" s="893" t="str">
        <f>+'4P'!D13</f>
        <v>BN4855</v>
      </c>
      <c r="E4417" s="1753" t="s">
        <v>11007</v>
      </c>
      <c r="G4417" t="str">
        <f>IF('4P'!G13="","##BLANK",'4P'!G13)</f>
        <v>##BLANK</v>
      </c>
    </row>
    <row r="4418" spans="2:7">
      <c r="B4418" s="893" t="str">
        <f>+'4P'!D14</f>
        <v>BN4830</v>
      </c>
      <c r="E4418" s="1753" t="s">
        <v>11007</v>
      </c>
      <c r="G4418" t="str">
        <f>IF('4P'!G14="","##BLANK",'4P'!G14)</f>
        <v>##BLANK</v>
      </c>
    </row>
    <row r="4419" spans="2:7">
      <c r="B4419" s="893" t="str">
        <f>+'4P'!D15</f>
        <v>BN4849</v>
      </c>
      <c r="E4419" s="1753" t="s">
        <v>11007</v>
      </c>
      <c r="G4419" t="str">
        <f>IF('4P'!G15="","##BLANK",'4P'!G15)</f>
        <v>##BLANK</v>
      </c>
    </row>
    <row r="4420" spans="2:7">
      <c r="B4420" s="893" t="str">
        <f>+'4P'!D16</f>
        <v>BN4835</v>
      </c>
      <c r="E4420" s="1753" t="s">
        <v>11007</v>
      </c>
      <c r="G4420" t="str">
        <f>IF('4P'!G16="","##BLANK",'4P'!G16)</f>
        <v>##BLANK</v>
      </c>
    </row>
    <row r="4421" spans="2:7">
      <c r="B4421" s="893" t="str">
        <f>+'4P'!D17</f>
        <v>BN4851</v>
      </c>
      <c r="E4421" s="1753" t="s">
        <v>11007</v>
      </c>
      <c r="G4421" t="str">
        <f>IF('4P'!G17="","##BLANK",'4P'!G17)</f>
        <v>##BLANK</v>
      </c>
    </row>
    <row r="4422" spans="2:7">
      <c r="B4422" s="893" t="str">
        <f>+'4P'!D18</f>
        <v>BN4852</v>
      </c>
      <c r="E4422" s="1753" t="s">
        <v>11007</v>
      </c>
      <c r="G4422" t="str">
        <f>IF('4P'!G18="","##BLANK",'4P'!G18)</f>
        <v>##BLANK</v>
      </c>
    </row>
    <row r="4423" spans="2:7">
      <c r="B4423" s="893" t="str">
        <f>+'4P'!D19</f>
        <v>BN4853</v>
      </c>
      <c r="E4423" s="1753" t="s">
        <v>11007</v>
      </c>
      <c r="G4423" t="str">
        <f>IF('4P'!G19="","##BLANK",'4P'!G19)</f>
        <v>##BLANK</v>
      </c>
    </row>
    <row r="4424" spans="2:7">
      <c r="B4424" s="893" t="str">
        <f>+'4P'!D20</f>
        <v>BN4856</v>
      </c>
      <c r="E4424" s="1753" t="s">
        <v>11007</v>
      </c>
      <c r="G4424" t="str">
        <f>IF('4P'!G20="","##BLANK",'4P'!G20)</f>
        <v>##BLANK</v>
      </c>
    </row>
    <row r="4425" spans="2:7">
      <c r="B4425" s="893" t="str">
        <f>+'4P'!D21</f>
        <v>BN4843</v>
      </c>
      <c r="E4425" s="1753" t="s">
        <v>11007</v>
      </c>
      <c r="G4425" t="str">
        <f>IF('4P'!G21="","##BLANK",'4P'!G21)</f>
        <v>##BLANK</v>
      </c>
    </row>
    <row r="4426" spans="2:7">
      <c r="B4426" s="893" t="str">
        <f>+'4P'!D22</f>
        <v>BN4857</v>
      </c>
      <c r="E4426" s="1753" t="s">
        <v>11007</v>
      </c>
      <c r="G4426" t="str">
        <f>IF('4P'!G22="","##BLANK",'4P'!G22)</f>
        <v>##BLANK</v>
      </c>
    </row>
    <row r="4427" spans="2:7">
      <c r="B4427" s="893" t="str">
        <f>+'4P'!D23</f>
        <v>BN10190</v>
      </c>
      <c r="E4427" s="1753" t="s">
        <v>11007</v>
      </c>
      <c r="G4427" t="str">
        <f>IF('4P'!G23="","##BLANK",'4P'!G23)</f>
        <v>##BLANK</v>
      </c>
    </row>
    <row r="4428" spans="2:7">
      <c r="B4428" s="893" t="str">
        <f>+'4P'!D24</f>
        <v>BN10191</v>
      </c>
      <c r="E4428" s="1753" t="s">
        <v>11007</v>
      </c>
      <c r="G4428" t="str">
        <f>IF('4P'!G24="","##BLANK",'4P'!G24)</f>
        <v>##BLANK</v>
      </c>
    </row>
    <row r="4429" spans="2:7">
      <c r="B4429" s="893" t="str">
        <f>+'4P'!D25</f>
        <v>W5003</v>
      </c>
      <c r="E4429" s="1753" t="s">
        <v>11007</v>
      </c>
      <c r="G4429" t="str">
        <f>IF('4P'!G25="","##BLANK",'4P'!G25)</f>
        <v>##BLANK</v>
      </c>
    </row>
    <row r="4430" spans="2:7">
      <c r="B4430" s="893" t="str">
        <f>+'4P'!D26</f>
        <v>WR001</v>
      </c>
      <c r="E4430" s="1753" t="s">
        <v>11007</v>
      </c>
      <c r="G4430" t="str">
        <f>IF('4P'!G26="","##BLANK",'4P'!G26)</f>
        <v>##BLANK</v>
      </c>
    </row>
    <row r="4431" spans="2:7">
      <c r="B4431" s="893" t="str">
        <f>+'4P'!D27</f>
        <v>W5003CAP</v>
      </c>
      <c r="E4431" s="1753" t="s">
        <v>11007</v>
      </c>
      <c r="G4431" t="str">
        <f>IF('4P'!G27="","##BLANK",'4P'!G27)</f>
        <v>##BLANK</v>
      </c>
    </row>
    <row r="4432" spans="2:7">
      <c r="B4432" s="893" t="str">
        <f>+'4P'!D28</f>
        <v>WR002</v>
      </c>
      <c r="E4432" s="1753" t="s">
        <v>11007</v>
      </c>
      <c r="G4432" t="str">
        <f>IF('4P'!G28="","##BLANK",'4P'!G28)</f>
        <v>##BLANK</v>
      </c>
    </row>
    <row r="4433" spans="2:7">
      <c r="B4433" s="893" t="str">
        <f>+'4P'!D29</f>
        <v>BN10290</v>
      </c>
      <c r="E4433" s="1753" t="s">
        <v>11007</v>
      </c>
      <c r="G4433" t="str">
        <f>IF('4P'!G29="","##BLANK",'4P'!G29)</f>
        <v>##BLANK</v>
      </c>
    </row>
    <row r="4434" spans="2:7">
      <c r="B4434" s="893" t="str">
        <f>+'4P'!D30</f>
        <v>BN4861</v>
      </c>
      <c r="E4434" s="1753" t="s">
        <v>11007</v>
      </c>
      <c r="G4434" t="str">
        <f>IF('4P'!G30="","##BLANK",'4P'!G30)</f>
        <v>##BLANK</v>
      </c>
    </row>
    <row r="4435" spans="2:7">
      <c r="B4435" s="893" t="str">
        <f>+'4P'!D31</f>
        <v>BN4862</v>
      </c>
      <c r="E4435" s="1753" t="s">
        <v>11007</v>
      </c>
      <c r="G4435" t="str">
        <f>IF('4P'!G31="","##BLANK",'4P'!G31)</f>
        <v>##BLANK</v>
      </c>
    </row>
    <row r="4436" spans="2:7">
      <c r="B4436" s="893" t="str">
        <f>+'4P'!D32</f>
        <v>BN4858</v>
      </c>
      <c r="E4436" s="1753" t="s">
        <v>11007</v>
      </c>
      <c r="G4436" t="str">
        <f>IF('4P'!G32="","##BLANK",'4P'!G32)</f>
        <v>##BLANK</v>
      </c>
    </row>
    <row r="4437" spans="2:7">
      <c r="B4437" s="893" t="str">
        <f>+'4P'!D33</f>
        <v>BN4859</v>
      </c>
      <c r="E4437" s="1753" t="s">
        <v>11007</v>
      </c>
      <c r="G4437" t="str">
        <f>IF('4P'!G33="","##BLANK",'4P'!G33)</f>
        <v>##BLANK</v>
      </c>
    </row>
    <row r="4438" spans="2:7">
      <c r="B4438" s="893" t="str">
        <f>+'4P'!D36</f>
        <v>CPMW0098</v>
      </c>
      <c r="E4438" s="1753" t="s">
        <v>11007</v>
      </c>
      <c r="G4438" t="str">
        <f>IF('4P'!G36="","##BLANK",'4P'!G36)</f>
        <v>##BLANK</v>
      </c>
    </row>
    <row r="4439" spans="2:7">
      <c r="B4439" s="893" t="str">
        <f>+'4P'!D37</f>
        <v>CPMW0104</v>
      </c>
      <c r="E4439" s="1753" t="s">
        <v>11007</v>
      </c>
      <c r="G4439" t="str">
        <f>IF('4P'!G37="","##BLANK",'4P'!G37)</f>
        <v>##BLANK</v>
      </c>
    </row>
    <row r="4440" spans="2:7">
      <c r="B4440" s="893" t="str">
        <f>+'4P'!D38</f>
        <v>CPMW0110</v>
      </c>
      <c r="E4440" s="1753" t="s">
        <v>11007</v>
      </c>
      <c r="G4440" t="str">
        <f>IF('4P'!G38="","##BLANK",'4P'!G38)</f>
        <v>##BLANK</v>
      </c>
    </row>
    <row r="4441" spans="2:7">
      <c r="B4441" s="893" t="str">
        <f>+'4P'!D39</f>
        <v>CPMW0116</v>
      </c>
      <c r="E4441" s="1753" t="s">
        <v>11007</v>
      </c>
      <c r="G4441" t="str">
        <f>IF('4P'!G39="","##BLANK",'4P'!G39)</f>
        <v>##BLANK</v>
      </c>
    </row>
    <row r="4442" spans="2:7">
      <c r="B4442" s="893" t="str">
        <f>+'4P'!D40</f>
        <v>CPMW0165</v>
      </c>
      <c r="E4442" s="1753" t="s">
        <v>11007</v>
      </c>
      <c r="G4442" t="str">
        <f>IF('4P'!G40="","##BLANK",'4P'!G40)</f>
        <v>##BLANK</v>
      </c>
    </row>
    <row r="4443" spans="2:7">
      <c r="B4443" s="893" t="str">
        <f>+'4P'!D41</f>
        <v>CPMW0166</v>
      </c>
      <c r="E4443" s="1753" t="s">
        <v>11007</v>
      </c>
      <c r="G4443" t="str">
        <f>IF('4P'!G41="","##BLANK",'4P'!G41)</f>
        <v>##BLANK</v>
      </c>
    </row>
    <row r="4444" spans="2:7">
      <c r="B4444" s="893" t="str">
        <f>+'4P'!D42</f>
        <v>CPMW0167</v>
      </c>
      <c r="E4444" s="1753" t="s">
        <v>11007</v>
      </c>
      <c r="G4444" t="str">
        <f>IF('4P'!G42="","##BLANK",'4P'!G42)</f>
        <v>##BLANK</v>
      </c>
    </row>
    <row r="4445" spans="2:7">
      <c r="B4445" s="893" t="str">
        <f>+'4P'!D43</f>
        <v>CPMW0027</v>
      </c>
      <c r="E4445" s="1753" t="s">
        <v>11007</v>
      </c>
      <c r="G4445" t="str">
        <f>IF('4P'!G43="","##BLANK",'4P'!G43)</f>
        <v>##BLANK</v>
      </c>
    </row>
    <row r="4446" spans="2:7">
      <c r="B4446" s="893" t="str">
        <f>+'4P'!D44</f>
        <v>CPMW0033</v>
      </c>
      <c r="E4446" s="1753" t="s">
        <v>11007</v>
      </c>
      <c r="G4446" t="str">
        <f>IF('4P'!G44="","##BLANK",'4P'!G44)</f>
        <v>##BLANK</v>
      </c>
    </row>
    <row r="4447" spans="2:7">
      <c r="B4447" s="893" t="str">
        <f>+'4P'!D45</f>
        <v>CPMW0039</v>
      </c>
      <c r="E4447" s="1753" t="s">
        <v>11007</v>
      </c>
      <c r="G4447" t="str">
        <f>IF('4P'!G45="","##BLANK",'4P'!G45)</f>
        <v>##BLANK</v>
      </c>
    </row>
    <row r="4448" spans="2:7">
      <c r="B4448" s="893" t="str">
        <f>+'4P'!D46</f>
        <v>CPMW0045</v>
      </c>
      <c r="E4448" s="1753" t="s">
        <v>11007</v>
      </c>
      <c r="G4448" t="str">
        <f>IF('4P'!G46="","##BLANK",'4P'!G46)</f>
        <v>##BLANK</v>
      </c>
    </row>
    <row r="4449" spans="2:7">
      <c r="B4449" s="893" t="str">
        <f>+'4P'!D47</f>
        <v>CPMW0185</v>
      </c>
      <c r="E4449" s="1753" t="s">
        <v>11007</v>
      </c>
      <c r="G4449" t="str">
        <f>IF('4P'!G47="","##BLANK",'4P'!G47)</f>
        <v>##BLANK</v>
      </c>
    </row>
    <row r="4450" spans="2:7">
      <c r="B4450" s="893" t="str">
        <f>+'4P'!D48</f>
        <v>CPMW0197</v>
      </c>
      <c r="E4450" s="1753" t="s">
        <v>11007</v>
      </c>
      <c r="G4450" t="str">
        <f>IF('4P'!G48="","##BLANK",'4P'!G48)</f>
        <v>##BLANK</v>
      </c>
    </row>
    <row r="4451" spans="2:7">
      <c r="B4451" s="893" t="str">
        <f>+'4P'!D49</f>
        <v>CPMW0198</v>
      </c>
      <c r="E4451" s="1753" t="s">
        <v>11007</v>
      </c>
      <c r="G4451" t="str">
        <f>IF('4P'!G49="","##BLANK",'4P'!G49)</f>
        <v>##BLANK</v>
      </c>
    </row>
    <row r="4452" spans="2:7">
      <c r="B4452" s="893" t="str">
        <f>+'4P'!D50</f>
        <v>CPMW001A</v>
      </c>
      <c r="E4452" s="1753" t="s">
        <v>11007</v>
      </c>
      <c r="G4452" t="str">
        <f>IF('4P'!G50="","##BLANK",'4P'!G50)</f>
        <v>##BLANK</v>
      </c>
    </row>
    <row r="4453" spans="2:7">
      <c r="B4453" s="893" t="str">
        <f>+'4P'!D51</f>
        <v>CPMW0015</v>
      </c>
      <c r="E4453" s="1753" t="s">
        <v>11007</v>
      </c>
      <c r="G4453" t="str">
        <f>IF('4P'!G51="","##BLANK",'4P'!G51)</f>
        <v>##BLANK</v>
      </c>
    </row>
    <row r="4454" spans="2:7">
      <c r="B4454" s="893" t="str">
        <f>+'4P'!D52</f>
        <v>BN10491</v>
      </c>
      <c r="E4454" s="1753" t="s">
        <v>11007</v>
      </c>
      <c r="G4454" t="str">
        <f>IF('4P'!G52="","##BLANK",'4P'!G52)</f>
        <v>##BLANK</v>
      </c>
    </row>
    <row r="4455" spans="2:7">
      <c r="B4455" s="893" t="str">
        <f>+'4P'!D53</f>
        <v>BN10490</v>
      </c>
      <c r="E4455" s="1753" t="s">
        <v>11007</v>
      </c>
      <c r="G4455" t="str">
        <f>IF('4P'!G53="","##BLANK",'4P'!G53)</f>
        <v>##BLANK</v>
      </c>
    </row>
    <row r="4456" spans="2:7">
      <c r="B4456" s="893" t="str">
        <f>+'4P'!D54</f>
        <v>BN10590</v>
      </c>
      <c r="E4456" s="1753" t="s">
        <v>11007</v>
      </c>
      <c r="G4456" t="str">
        <f>IF('4P'!G54="","##BLANK",'4P'!G54)</f>
        <v>##BLANK</v>
      </c>
    </row>
    <row r="4457" spans="2:7">
      <c r="B4457" s="893" t="str">
        <f>+'4P'!D55</f>
        <v>BN10597</v>
      </c>
      <c r="E4457" s="1753" t="s">
        <v>11007</v>
      </c>
      <c r="G4457" t="str">
        <f>IF('4P'!G55="","##BLANK",'4P'!G55)</f>
        <v>##BLANK</v>
      </c>
    </row>
    <row r="4458" spans="2:7">
      <c r="B4458" s="893" t="str">
        <f>+'4P'!D56</f>
        <v>BN10598</v>
      </c>
      <c r="E4458" s="1753" t="s">
        <v>11007</v>
      </c>
      <c r="G4458" t="str">
        <f>IF('4P'!G56="","##BLANK",'4P'!G56)</f>
        <v>##BLANK</v>
      </c>
    </row>
    <row r="4459" spans="2:7">
      <c r="B4459" s="893" t="str">
        <f>+'4P'!D57</f>
        <v>BN10599</v>
      </c>
      <c r="E4459" s="1753" t="s">
        <v>11007</v>
      </c>
      <c r="G4459" t="str">
        <f>IF('4P'!G57="","##BLANK",'4P'!G57)</f>
        <v>##BLANK</v>
      </c>
    </row>
    <row r="4460" spans="2:7">
      <c r="B4460" s="893" t="str">
        <f>+'4P'!D58</f>
        <v>CPMW0021</v>
      </c>
      <c r="E4460" s="1753" t="s">
        <v>11007</v>
      </c>
      <c r="G4460" t="str">
        <f>IF('4P'!G58="","##BLANK",'4P'!G58)</f>
        <v>##BLANK</v>
      </c>
    </row>
    <row r="4461" spans="2:7">
      <c r="B4461" s="893" t="str">
        <f>+'4P'!D59</f>
        <v>BN10791</v>
      </c>
      <c r="E4461" s="1753" t="s">
        <v>11007</v>
      </c>
      <c r="G4461" t="str">
        <f>IF('4P'!G59="","##BLANK",'4P'!G59)</f>
        <v>##BLANK</v>
      </c>
    </row>
    <row r="4462" spans="2:7">
      <c r="B4462" s="893" t="str">
        <f>+'4P'!D60</f>
        <v>BN10790</v>
      </c>
      <c r="E4462" s="1753" t="s">
        <v>11007</v>
      </c>
      <c r="G4462" t="str">
        <f>IF('4P'!G60="","##BLANK",'4P'!G60)</f>
        <v>##BLANK</v>
      </c>
    </row>
    <row r="4463" spans="2:7">
      <c r="B4463" s="893" t="str">
        <f>+'4P'!D61</f>
        <v>BN10890</v>
      </c>
      <c r="E4463" s="1753" t="s">
        <v>11007</v>
      </c>
      <c r="G4463" t="str">
        <f>IF('4P'!G61="","##BLANK",'4P'!G61)</f>
        <v>##BLANK</v>
      </c>
    </row>
    <row r="4464" spans="2:7">
      <c r="B4464" s="893" t="str">
        <f>+'4P'!D62</f>
        <v>BN10897</v>
      </c>
      <c r="E4464" s="1753" t="s">
        <v>11007</v>
      </c>
      <c r="G4464" t="str">
        <f>IF('4P'!G62="","##BLANK",'4P'!G62)</f>
        <v>##BLANK</v>
      </c>
    </row>
    <row r="4465" spans="2:7">
      <c r="B4465" s="893" t="str">
        <f>+'4P'!D63</f>
        <v>BN10898</v>
      </c>
      <c r="E4465" s="1753" t="s">
        <v>11007</v>
      </c>
      <c r="G4465" t="str">
        <f>IF('4P'!G63="","##BLANK",'4P'!G63)</f>
        <v>##BLANK</v>
      </c>
    </row>
    <row r="4466" spans="2:7">
      <c r="B4466" s="893" t="str">
        <f>+'4P'!D64</f>
        <v>BN10899</v>
      </c>
      <c r="E4466" s="1753" t="s">
        <v>11007</v>
      </c>
      <c r="G4466" t="str">
        <f>IF('4P'!G64="","##BLANK",'4P'!G64)</f>
        <v>##BLANK</v>
      </c>
    </row>
    <row r="4467" spans="2:7">
      <c r="B4467" s="893" t="str">
        <f>+'4P'!D65</f>
        <v>W4005</v>
      </c>
      <c r="E4467" s="1753" t="s">
        <v>11007</v>
      </c>
      <c r="G4467" t="str">
        <f>IF('4P'!G65="","##BLANK",'4P'!G65)</f>
        <v>##BLANK</v>
      </c>
    </row>
    <row r="4468" spans="2:7">
      <c r="B4468" s="893" t="str">
        <f>+'4P'!D66</f>
        <v>BN10901</v>
      </c>
      <c r="E4468" s="1753" t="s">
        <v>11007</v>
      </c>
      <c r="G4468" t="str">
        <f>IF('4P'!G66="","##BLANK",'4P'!G66)</f>
        <v>##BLANK</v>
      </c>
    </row>
    <row r="4469" spans="2:7">
      <c r="B4469" s="893" t="str">
        <f>+'4P'!D67</f>
        <v>BN10902</v>
      </c>
      <c r="E4469" s="1753" t="s">
        <v>11007</v>
      </c>
      <c r="G4469" t="str">
        <f>IF('4P'!G67="","##BLANK",'4P'!G67)</f>
        <v>##BLANK</v>
      </c>
    </row>
    <row r="4470" spans="2:7">
      <c r="B4470" s="893" t="str">
        <f>+'4P'!D70</f>
        <v>BN1100</v>
      </c>
      <c r="E4470" s="1753" t="s">
        <v>11007</v>
      </c>
      <c r="G4470" t="str">
        <f>IF('4P'!G70="","##BLANK",'4P'!G70)</f>
        <v>##BLANK</v>
      </c>
    </row>
    <row r="4471" spans="2:7">
      <c r="B4471" s="893" t="str">
        <f>+'4P'!D71</f>
        <v>BN1204</v>
      </c>
      <c r="E4471" s="1753" t="s">
        <v>11007</v>
      </c>
      <c r="G4471" t="str">
        <f>IF('4P'!G71="","##BLANK",'4P'!G71)</f>
        <v>##BLANK</v>
      </c>
    </row>
    <row r="4472" spans="2:7">
      <c r="B4472" s="893" t="str">
        <f>+'4P'!D72</f>
        <v>BN1200</v>
      </c>
      <c r="E4472" s="1753" t="s">
        <v>11007</v>
      </c>
      <c r="G4472" t="str">
        <f>IF('4P'!G72="","##BLANK",'4P'!G72)</f>
        <v>##BLANK</v>
      </c>
    </row>
    <row r="4473" spans="2:7">
      <c r="B4473" s="893" t="str">
        <f>+'4P'!D73</f>
        <v>BN1208</v>
      </c>
      <c r="E4473" s="1753" t="s">
        <v>11007</v>
      </c>
      <c r="G4473" t="str">
        <f>IF('4P'!G73="","##BLANK",'4P'!G73)</f>
        <v>##BLANK</v>
      </c>
    </row>
    <row r="4474" spans="2:7">
      <c r="B4474" s="893" t="str">
        <f>+'4P'!D74</f>
        <v>BN14990</v>
      </c>
      <c r="E4474" s="1753" t="s">
        <v>11007</v>
      </c>
      <c r="G4474" t="str">
        <f>IF('4P'!G74="","##BLANK",'4P'!G74)</f>
        <v>##BLANK</v>
      </c>
    </row>
    <row r="4475" spans="2:7">
      <c r="B4475" s="893" t="str">
        <f>+'4P'!D75</f>
        <v>BN14890</v>
      </c>
      <c r="E4475" s="1753" t="s">
        <v>11007</v>
      </c>
      <c r="G4475" t="str">
        <f>IF('4P'!G75="","##BLANK",'4P'!G75)</f>
        <v>##BLANK</v>
      </c>
    </row>
    <row r="4476" spans="2:7">
      <c r="B4476" s="893" t="str">
        <f>+'4P'!D76</f>
        <v>BN14790</v>
      </c>
      <c r="E4476" s="1753" t="s">
        <v>11007</v>
      </c>
      <c r="G4476" t="str">
        <f>IF('4P'!G76="","##BLANK",'4P'!G76)</f>
        <v>##BLANK</v>
      </c>
    </row>
    <row r="4477" spans="2:7">
      <c r="B4477" s="893" t="str">
        <f>+'4P'!D77</f>
        <v>BN14690</v>
      </c>
      <c r="E4477" s="1753" t="s">
        <v>11007</v>
      </c>
      <c r="G4477" t="str">
        <f>IF('4P'!G77="","##BLANK",'4P'!G77)</f>
        <v>##BLANK</v>
      </c>
    </row>
    <row r="4478" spans="2:7">
      <c r="B4478" s="893" t="str">
        <f>+'4P'!D78</f>
        <v>BN11300CAP</v>
      </c>
      <c r="E4478" s="1753" t="s">
        <v>11007</v>
      </c>
      <c r="G4478" t="str">
        <f>IF('4P'!G78="","##BLANK",'4P'!G78)</f>
        <v>##BLANK</v>
      </c>
    </row>
    <row r="4479" spans="2:7">
      <c r="B4479" s="893" t="str">
        <f>+'4P'!D79</f>
        <v>BN10900CAP</v>
      </c>
      <c r="E4479" s="1753" t="s">
        <v>11007</v>
      </c>
      <c r="G4479" t="str">
        <f>IF('4P'!G79="","##BLANK",'4P'!G79)</f>
        <v>##BLANK</v>
      </c>
    </row>
    <row r="4480" spans="2:7">
      <c r="B4480" s="893" t="str">
        <f>+'4P'!D80</f>
        <v>BN11030CAP</v>
      </c>
      <c r="E4480" s="1753" t="s">
        <v>11007</v>
      </c>
      <c r="G4480" t="str">
        <f>IF('4P'!G80="","##BLANK",'4P'!G80)</f>
        <v>##BLANK</v>
      </c>
    </row>
    <row r="4481" spans="2:7">
      <c r="B4481" s="893" t="str">
        <f>+'4P'!D82</f>
        <v>BN2350</v>
      </c>
      <c r="E4481" s="1753" t="s">
        <v>11007</v>
      </c>
      <c r="G4481" t="str">
        <f>IF('4P'!G82="","##BLANK",'4P'!G82)</f>
        <v>##BLANK</v>
      </c>
    </row>
    <row r="4482" spans="2:7">
      <c r="B4482" s="893" t="str">
        <f>+'4P'!D83</f>
        <v>BN2330</v>
      </c>
      <c r="E4482" s="1753" t="s">
        <v>11007</v>
      </c>
      <c r="G4482" t="str">
        <f>IF('4P'!G83="","##BLANK",'4P'!G83)</f>
        <v>##BLANK</v>
      </c>
    </row>
    <row r="4483" spans="2:7">
      <c r="B4483" s="893" t="str">
        <f>+'4P'!D84</f>
        <v>BN2000</v>
      </c>
      <c r="E4483" s="1753" t="s">
        <v>11007</v>
      </c>
      <c r="G4483" t="str">
        <f>IF('4P'!G84="","##BLANK",'4P'!G84)</f>
        <v>##BLANK</v>
      </c>
    </row>
    <row r="4484" spans="2:7">
      <c r="B4484" s="893" t="str">
        <f>+'4P'!D85</f>
        <v>BN2010</v>
      </c>
      <c r="E4484" s="1753" t="s">
        <v>11007</v>
      </c>
      <c r="G4484" t="str">
        <f>IF('4P'!G85="","##BLANK",'4P'!G85)</f>
        <v>##BLANK</v>
      </c>
    </row>
    <row r="4485" spans="2:7">
      <c r="B4485" s="893" t="str">
        <f>+'4P'!D86</f>
        <v>BN2345</v>
      </c>
      <c r="E4485" s="1753" t="s">
        <v>11007</v>
      </c>
      <c r="G4485" t="str">
        <f>IF('4P'!G86="","##BLANK",'4P'!G86)</f>
        <v>##BLANK</v>
      </c>
    </row>
    <row r="4486" spans="2:7">
      <c r="B4486" s="893" t="str">
        <f>+'4P'!D87</f>
        <v>BN2340</v>
      </c>
      <c r="E4486" s="1753" t="s">
        <v>11007</v>
      </c>
      <c r="G4486" t="str">
        <f>IF('4P'!G87="","##BLANK",'4P'!G87)</f>
        <v>##BLANK</v>
      </c>
    </row>
    <row r="4487" spans="2:7">
      <c r="B4487" s="893" t="str">
        <f>+'4P'!D88</f>
        <v>BN2327</v>
      </c>
      <c r="E4487" s="1753" t="s">
        <v>11007</v>
      </c>
      <c r="G4487" t="str">
        <f>IF('4P'!G88="","##BLANK",'4P'!G88)</f>
        <v>##BLANK</v>
      </c>
    </row>
    <row r="4488" spans="2:7">
      <c r="B4488" s="893" t="str">
        <f>+'4P'!D89</f>
        <v>BN11600</v>
      </c>
      <c r="E4488" s="1753" t="s">
        <v>11007</v>
      </c>
      <c r="G4488" t="str">
        <f>IF('4P'!G89="","##BLANK",'4P'!G89)</f>
        <v>##BLANK</v>
      </c>
    </row>
    <row r="4489" spans="2:7">
      <c r="B4489" s="893" t="str">
        <f>+'4P'!D90</f>
        <v>BN11610</v>
      </c>
      <c r="E4489" s="1753" t="s">
        <v>11007</v>
      </c>
      <c r="G4489" t="str">
        <f>IF('4P'!G90="","##BLANK",'4P'!G90)</f>
        <v>##BLANK</v>
      </c>
    </row>
    <row r="4490" spans="2:7">
      <c r="B4490" s="893" t="str">
        <f>+'4P'!D91</f>
        <v>BN11620</v>
      </c>
      <c r="E4490" s="1753" t="s">
        <v>11007</v>
      </c>
      <c r="G4490" t="str">
        <f>IF('4P'!G91="","##BLANK",'4P'!G91)</f>
        <v>##BLANK</v>
      </c>
    </row>
    <row r="4491" spans="2:7">
      <c r="B4491" s="893" t="str">
        <f>+'4P'!D92</f>
        <v>BN11390</v>
      </c>
      <c r="E4491" s="1753" t="s">
        <v>11007</v>
      </c>
      <c r="G4491" t="str">
        <f>IF('4P'!G92="","##BLANK",'4P'!G92)</f>
        <v>##BLANK</v>
      </c>
    </row>
    <row r="4492" spans="2:7">
      <c r="B4492" s="893" t="str">
        <f>+'4P'!D93</f>
        <v>BN10990</v>
      </c>
      <c r="E4492" s="1753" t="s">
        <v>11007</v>
      </c>
      <c r="G4492" t="str">
        <f>IF('4P'!G93="","##BLANK",'4P'!G93)</f>
        <v>##BLANK</v>
      </c>
    </row>
    <row r="4493" spans="2:7">
      <c r="B4493" s="893" t="str">
        <f>+'4P'!D94</f>
        <v>BN11090</v>
      </c>
      <c r="E4493" s="1753" t="s">
        <v>11007</v>
      </c>
      <c r="G4493" t="str">
        <f>IF('4P'!G94="","##BLANK",'4P'!G94)</f>
        <v>##BLANK</v>
      </c>
    </row>
    <row r="4494" spans="2:7">
      <c r="B4494" s="893" t="str">
        <f>+'4P'!D95</f>
        <v>BB13000</v>
      </c>
      <c r="E4494" s="1753" t="s">
        <v>11007</v>
      </c>
      <c r="G4494" t="str">
        <f>IF('4P'!G95="","##BLANK",'4P'!G95)</f>
        <v>##BLANK</v>
      </c>
    </row>
    <row r="4495" spans="2:7">
      <c r="B4495" s="893" t="str">
        <f>+'4P'!D96</f>
        <v>BB13010</v>
      </c>
      <c r="E4495" s="1753" t="s">
        <v>11007</v>
      </c>
      <c r="G4495" t="str">
        <f>IF('4P'!G96="","##BLANK",'4P'!G96)</f>
        <v>##BLANK</v>
      </c>
    </row>
    <row r="4496" spans="2:7">
      <c r="B4496" s="893" t="str">
        <f>+'4P'!D97</f>
        <v>BB13020</v>
      </c>
      <c r="E4496" s="1753" t="s">
        <v>11007</v>
      </c>
      <c r="G4496" t="str">
        <f>IF('4P'!G97="","##BLANK",'4P'!G97)</f>
        <v>##BLANK</v>
      </c>
    </row>
    <row r="4497" spans="2:7">
      <c r="B4497" s="893" t="str">
        <f>+'4P'!D98</f>
        <v>BB13030</v>
      </c>
      <c r="E4497" s="1753" t="s">
        <v>11007</v>
      </c>
      <c r="G4497" t="str">
        <f>IF('4P'!G98="","##BLANK",'4P'!G98)</f>
        <v>##BLANK</v>
      </c>
    </row>
    <row r="4498" spans="2:7">
      <c r="B4498" s="893" t="str">
        <f>+'4P'!D99</f>
        <v>BB13040</v>
      </c>
      <c r="E4498" s="1753" t="s">
        <v>11007</v>
      </c>
      <c r="G4498" t="str">
        <f>IF('4P'!G99="","##BLANK",'4P'!G99)</f>
        <v>##BLANK</v>
      </c>
    </row>
    <row r="4499" spans="2:7">
      <c r="B4499" s="893" t="str">
        <f>+'4P'!D100</f>
        <v>BB13050</v>
      </c>
      <c r="E4499" s="1753" t="s">
        <v>11007</v>
      </c>
      <c r="G4499" t="str">
        <f>IF('4P'!G100="","##BLANK",'4P'!G100)</f>
        <v>##BLANK</v>
      </c>
    </row>
    <row r="4500" spans="2:7">
      <c r="B4500" s="893" t="str">
        <f>+'4P'!D101</f>
        <v>BB13060</v>
      </c>
      <c r="E4500" s="1753" t="s">
        <v>11007</v>
      </c>
      <c r="G4500" t="str">
        <f>IF('4P'!G101="","##BLANK",'4P'!G101)</f>
        <v>##BLANK</v>
      </c>
    </row>
    <row r="4501" spans="2:7">
      <c r="B4501" s="893" t="str">
        <f>+'4P'!D102</f>
        <v>BB13070</v>
      </c>
      <c r="E4501" s="1753" t="s">
        <v>11007</v>
      </c>
      <c r="G4501" t="str">
        <f>IF('4P'!G102="","##BLANK",'4P'!G102)</f>
        <v>##BLANK</v>
      </c>
    </row>
    <row r="4502" spans="2:7">
      <c r="B4502" s="893" t="str">
        <f>+'4P'!D103</f>
        <v>BN4870</v>
      </c>
      <c r="E4502" s="1753" t="s">
        <v>11007</v>
      </c>
      <c r="G4502" t="str">
        <f>IF('4P'!G103="","##BLANK",'4P'!G103)</f>
        <v>##BLANK</v>
      </c>
    </row>
    <row r="4503" spans="2:7">
      <c r="B4503" s="893" t="str">
        <f>+'4P'!D106</f>
        <v>WTW001NR</v>
      </c>
      <c r="E4503" s="1753" t="s">
        <v>11007</v>
      </c>
      <c r="G4503" t="str">
        <f>IF('4P'!G106="","##BLANK",'4P'!G106)</f>
        <v>##BLANK</v>
      </c>
    </row>
    <row r="4504" spans="2:7">
      <c r="B4504" s="893" t="str">
        <f>+'4P'!D107</f>
        <v>WTW002NR</v>
      </c>
      <c r="E4504" s="1753" t="s">
        <v>11007</v>
      </c>
      <c r="G4504" t="str">
        <f>IF('4P'!G107="","##BLANK",'4P'!G107)</f>
        <v>##BLANK</v>
      </c>
    </row>
    <row r="4505" spans="2:7">
      <c r="B4505" s="893" t="str">
        <f>+'4P'!D108</f>
        <v>WTW003NR</v>
      </c>
      <c r="E4505" s="1753" t="s">
        <v>11007</v>
      </c>
      <c r="G4505" t="str">
        <f>IF('4P'!G108="","##BLANK",'4P'!G108)</f>
        <v>##BLANK</v>
      </c>
    </row>
    <row r="4506" spans="2:7">
      <c r="B4506" s="893" t="str">
        <f>+'4P'!D109</f>
        <v>WTW004NR</v>
      </c>
      <c r="E4506" s="1753" t="s">
        <v>11007</v>
      </c>
      <c r="G4506" t="str">
        <f>IF('4P'!G109="","##BLANK",'4P'!G109)</f>
        <v>##BLANK</v>
      </c>
    </row>
    <row r="4507" spans="2:7">
      <c r="B4507" s="893" t="str">
        <f>+'4P'!D110</f>
        <v>WTW005NR</v>
      </c>
      <c r="E4507" s="1753" t="s">
        <v>11007</v>
      </c>
      <c r="G4507" t="str">
        <f>IF('4P'!G110="","##BLANK",'4P'!G110)</f>
        <v>##BLANK</v>
      </c>
    </row>
    <row r="4508" spans="2:7">
      <c r="B4508" s="893" t="str">
        <f>+'4P'!D111</f>
        <v>WTW006NR</v>
      </c>
      <c r="E4508" s="1753" t="s">
        <v>11007</v>
      </c>
      <c r="G4508" t="str">
        <f>IF('4P'!G111="","##BLANK",'4P'!G111)</f>
        <v>##BLANK</v>
      </c>
    </row>
    <row r="4509" spans="2:7">
      <c r="B4509" s="893" t="str">
        <f>+'4P'!D112</f>
        <v>WTW007NR</v>
      </c>
      <c r="E4509" s="1753" t="s">
        <v>11007</v>
      </c>
      <c r="G4509" t="str">
        <f>IF('4P'!G112="","##BLANK",'4P'!G112)</f>
        <v>##BLANK</v>
      </c>
    </row>
    <row r="4510" spans="2:7">
      <c r="B4510" s="893" t="str">
        <f>+'4P'!D113</f>
        <v>WTW008NR</v>
      </c>
      <c r="E4510" s="1753" t="s">
        <v>11007</v>
      </c>
      <c r="G4510" t="str">
        <f>IF('4P'!G113="","##BLANK",'4P'!G113)</f>
        <v>##BLANK</v>
      </c>
    </row>
    <row r="4511" spans="2:7">
      <c r="B4511" s="893" t="str">
        <f>+'4P'!D116</f>
        <v>WTW001PN</v>
      </c>
      <c r="E4511" s="1753" t="s">
        <v>11007</v>
      </c>
      <c r="G4511" t="str">
        <f>IF('4P'!G116="","##BLANK",'4P'!G116)</f>
        <v>##BLANK</v>
      </c>
    </row>
    <row r="4512" spans="2:7">
      <c r="B4512" s="893" t="str">
        <f>+'4P'!D117</f>
        <v>WTW002PN</v>
      </c>
      <c r="E4512" s="1753" t="s">
        <v>11007</v>
      </c>
      <c r="G4512" t="str">
        <f>IF('4P'!G117="","##BLANK",'4P'!G117)</f>
        <v>##BLANK</v>
      </c>
    </row>
    <row r="4513" spans="2:7">
      <c r="B4513" s="893" t="str">
        <f>+'4P'!D118</f>
        <v>WTW003PN</v>
      </c>
      <c r="E4513" s="1753" t="s">
        <v>11007</v>
      </c>
      <c r="G4513" t="str">
        <f>IF('4P'!G118="","##BLANK",'4P'!G118)</f>
        <v>##BLANK</v>
      </c>
    </row>
    <row r="4514" spans="2:7">
      <c r="B4514" s="893" t="str">
        <f>+'4P'!D119</f>
        <v>WTW004PN</v>
      </c>
      <c r="E4514" s="1753" t="s">
        <v>11007</v>
      </c>
      <c r="G4514" t="str">
        <f>IF('4P'!G119="","##BLANK",'4P'!G119)</f>
        <v>##BLANK</v>
      </c>
    </row>
    <row r="4515" spans="2:7">
      <c r="B4515" s="893" t="str">
        <f>+'4P'!D120</f>
        <v>WTW005PN</v>
      </c>
      <c r="E4515" s="1753" t="s">
        <v>11007</v>
      </c>
      <c r="G4515" t="str">
        <f>IF('4P'!G120="","##BLANK",'4P'!G120)</f>
        <v>##BLANK</v>
      </c>
    </row>
    <row r="4516" spans="2:7">
      <c r="B4516" s="893" t="str">
        <f>+'4P'!D121</f>
        <v>WTW006PN</v>
      </c>
      <c r="E4516" s="1753" t="s">
        <v>11007</v>
      </c>
      <c r="G4516" t="str">
        <f>IF('4P'!G121="","##BLANK",'4P'!G121)</f>
        <v>##BLANK</v>
      </c>
    </row>
    <row r="4517" spans="2:7">
      <c r="B4517" s="893" t="str">
        <f>+'4P'!D122</f>
        <v>WTW007PN</v>
      </c>
      <c r="E4517" s="1753" t="s">
        <v>11007</v>
      </c>
      <c r="G4517" t="str">
        <f>IF('4P'!G122="","##BLANK",'4P'!G122)</f>
        <v>##BLANK</v>
      </c>
    </row>
    <row r="4518" spans="2:7">
      <c r="B4518" s="893" t="str">
        <f>+'4P'!D123</f>
        <v>WTW008PN</v>
      </c>
      <c r="E4518" s="1753" t="s">
        <v>11007</v>
      </c>
      <c r="G4518" t="str">
        <f>IF('4P'!G123="","##BLANK",'4P'!G123)</f>
        <v>##BLANK</v>
      </c>
    </row>
    <row r="4519" spans="2:7">
      <c r="B4519" s="893" t="str">
        <f>+'4Q'!D6</f>
        <v>BN2110</v>
      </c>
      <c r="E4519" s="1753" t="s">
        <v>11007</v>
      </c>
      <c r="G4519" t="str">
        <f>IF('4Q'!G6="","##BLANK",'4Q'!G6)</f>
        <v>##BLANK</v>
      </c>
    </row>
    <row r="4520" spans="2:7">
      <c r="B4520" s="893" t="str">
        <f>+'4Q'!D7</f>
        <v>BN2115</v>
      </c>
      <c r="E4520" s="1753" t="s">
        <v>11007</v>
      </c>
      <c r="G4520" t="str">
        <f>IF('4Q'!G7="","##BLANK",'4Q'!G7)</f>
        <v>##BLANK</v>
      </c>
    </row>
    <row r="4521" spans="2:7">
      <c r="B4521" s="893" t="str">
        <f>+'4Q'!D8</f>
        <v>BN2210</v>
      </c>
      <c r="E4521" s="1753" t="s">
        <v>11007</v>
      </c>
      <c r="G4521" t="str">
        <f>IF('4Q'!G8="","##BLANK",'4Q'!G8)</f>
        <v>##BLANK</v>
      </c>
    </row>
    <row r="4522" spans="2:7">
      <c r="B4522" s="893" t="str">
        <f>+'4Q'!D9</f>
        <v>BN2100</v>
      </c>
      <c r="E4522" s="1753" t="s">
        <v>11007</v>
      </c>
      <c r="G4522" t="str">
        <f>IF('4Q'!G9="","##BLANK",'4Q'!G9)</f>
        <v>##BLANK</v>
      </c>
    </row>
    <row r="4523" spans="2:7">
      <c r="B4523" s="893" t="str">
        <f>+'4Q'!D10</f>
        <v>BN2200</v>
      </c>
      <c r="E4523" s="1753" t="s">
        <v>11007</v>
      </c>
      <c r="G4523" t="str">
        <f>IF('4Q'!G10="","##BLANK",'4Q'!G10)</f>
        <v>##BLANK</v>
      </c>
    </row>
    <row r="4524" spans="2:7">
      <c r="B4524" s="893" t="str">
        <f>+'4Q'!D11</f>
        <v>BN2221</v>
      </c>
      <c r="E4524" s="1753" t="s">
        <v>11007</v>
      </c>
      <c r="G4524" t="str">
        <f>IF('4Q'!G11="","##BLANK",'4Q'!G11)</f>
        <v>##BLANK</v>
      </c>
    </row>
    <row r="4525" spans="2:7">
      <c r="B4525" s="893" t="str">
        <f>+'4Q'!D12</f>
        <v>BN2161</v>
      </c>
      <c r="E4525" s="1753" t="s">
        <v>11007</v>
      </c>
      <c r="G4525" t="str">
        <f>IF('4Q'!G12="","##BLANK",'4Q'!G12)</f>
        <v>##BLANK</v>
      </c>
    </row>
    <row r="4526" spans="2:7">
      <c r="B4526" s="893" t="str">
        <f>+'4Q'!D13</f>
        <v>BN1001</v>
      </c>
      <c r="E4526" s="1753" t="s">
        <v>11007</v>
      </c>
      <c r="G4526" t="str">
        <f>IF('4Q'!G13="","##BLANK",'4Q'!G13)</f>
        <v>##BLANK</v>
      </c>
    </row>
    <row r="4527" spans="2:7">
      <c r="B4527" s="893" t="str">
        <f>+'4Q'!D14</f>
        <v>BN1765</v>
      </c>
      <c r="E4527" s="1753" t="s">
        <v>11007</v>
      </c>
      <c r="G4527" t="str">
        <f>IF('4Q'!G14="","##BLANK",'4Q'!G14)</f>
        <v>##BLANK</v>
      </c>
    </row>
    <row r="4528" spans="2:7">
      <c r="B4528" s="893" t="str">
        <f>+'4Q'!D15</f>
        <v>BN1767</v>
      </c>
      <c r="E4528" s="1753" t="s">
        <v>11007</v>
      </c>
      <c r="G4528" t="str">
        <f>IF('4Q'!G15="","##BLANK",'4Q'!G15)</f>
        <v>##BLANK</v>
      </c>
    </row>
    <row r="4529" spans="2:7">
      <c r="B4529" s="893" t="str">
        <f>+'4Q'!D16</f>
        <v>BN1715</v>
      </c>
      <c r="E4529" s="1753" t="s">
        <v>11007</v>
      </c>
      <c r="G4529" t="str">
        <f>IF('4Q'!G16="","##BLANK",'4Q'!G16)</f>
        <v>##BLANK</v>
      </c>
    </row>
    <row r="4530" spans="2:7">
      <c r="B4530" s="893" t="str">
        <f>+'4Q'!D17</f>
        <v>BN1711</v>
      </c>
      <c r="E4530" s="1753" t="s">
        <v>11007</v>
      </c>
      <c r="G4530" t="str">
        <f>IF('4Q'!G17="","##BLANK",'4Q'!G17)</f>
        <v>##BLANK</v>
      </c>
    </row>
    <row r="4531" spans="2:7">
      <c r="B4531" s="893" t="str">
        <f>+'4Q'!D18</f>
        <v>BP3405</v>
      </c>
      <c r="E4531" s="1753" t="s">
        <v>11007</v>
      </c>
      <c r="G4531" t="str">
        <f>IF('4Q'!G18="","##BLANK",'4Q'!G18)</f>
        <v>##BLANK</v>
      </c>
    </row>
    <row r="4532" spans="2:7">
      <c r="B4532" s="893" t="str">
        <f>+'4Q'!D19</f>
        <v>BP3400</v>
      </c>
      <c r="E4532" s="1753" t="s">
        <v>11007</v>
      </c>
      <c r="G4532" t="str">
        <f>IF('4Q'!G19="","##BLANK",'4Q'!G19)</f>
        <v>##BLANK</v>
      </c>
    </row>
    <row r="4533" spans="2:7">
      <c r="B4533" s="893" t="str">
        <f>+'4Q'!D20</f>
        <v>BN2590</v>
      </c>
      <c r="E4533" s="1753" t="s">
        <v>11007</v>
      </c>
      <c r="G4533" t="str">
        <f>IF('4Q'!G20="","##BLANK",'4Q'!G20)</f>
        <v>##BLANK</v>
      </c>
    </row>
    <row r="4534" spans="2:7">
      <c r="B4534" s="893" t="str">
        <f>+'4Q'!D21</f>
        <v>BN11630</v>
      </c>
      <c r="E4534" s="1753" t="s">
        <v>11007</v>
      </c>
      <c r="G4534" t="str">
        <f>IF('4Q'!G21="","##BLANK",'4Q'!G21)</f>
        <v>##BLANK</v>
      </c>
    </row>
    <row r="4535" spans="2:7">
      <c r="B4535" s="893" t="str">
        <f>+'4Q'!D22</f>
        <v>BN11640</v>
      </c>
      <c r="E4535" s="1753" t="s">
        <v>11007</v>
      </c>
      <c r="G4535" t="str">
        <f>IF('4Q'!G22="","##BLANK",'4Q'!G22)</f>
        <v>##BLANK</v>
      </c>
    </row>
    <row r="4536" spans="2:7">
      <c r="B4536" s="893" t="str">
        <f>+'4Q'!D23</f>
        <v>SYS03</v>
      </c>
      <c r="E4536" s="1753" t="s">
        <v>11007</v>
      </c>
      <c r="G4536" t="str">
        <f>IF('4Q'!G23="","##BLANK",'4Q'!G23)</f>
        <v>##BLANK</v>
      </c>
    </row>
    <row r="4537" spans="2:7">
      <c r="B4537" s="893" t="str">
        <f>+'4Q'!D26</f>
        <v>BN1231</v>
      </c>
      <c r="E4537" s="1753" t="s">
        <v>11007</v>
      </c>
      <c r="G4537" t="str">
        <f>IF('4Q'!G26="","##BLANK",'4Q'!G26)</f>
        <v>##BLANK</v>
      </c>
    </row>
    <row r="4538" spans="2:7">
      <c r="B4538" s="893" t="str">
        <f>+'4Q'!D27</f>
        <v>W3007SO</v>
      </c>
      <c r="E4538" s="1753" t="s">
        <v>11007</v>
      </c>
      <c r="G4538" t="str">
        <f>IF('4Q'!G27="","##BLANK",'4Q'!G27)</f>
        <v>##BLANK</v>
      </c>
    </row>
    <row r="4539" spans="2:7">
      <c r="B4539" s="893" t="str">
        <f>+'4Q'!D28</f>
        <v>W3008SO</v>
      </c>
      <c r="E4539" s="1753" t="s">
        <v>11007</v>
      </c>
      <c r="G4539" t="str">
        <f>IF('4Q'!G28="","##BLANK",'4Q'!G28)</f>
        <v>##BLANK</v>
      </c>
    </row>
    <row r="4540" spans="2:7">
      <c r="B4540" s="893" t="str">
        <f>+'4Q'!D29</f>
        <v>W3007DO</v>
      </c>
      <c r="E4540" s="1753" t="s">
        <v>11007</v>
      </c>
      <c r="G4540" t="str">
        <f>IF('4Q'!G29="","##BLANK",'4Q'!G29)</f>
        <v>##BLANK</v>
      </c>
    </row>
    <row r="4541" spans="2:7">
      <c r="B4541" s="893" t="str">
        <f>+'4Q'!D30</f>
        <v>W3008DO</v>
      </c>
      <c r="E4541" s="1753" t="s">
        <v>11007</v>
      </c>
      <c r="G4541" t="str">
        <f>IF('4Q'!G30="","##BLANK",'4Q'!G30)</f>
        <v>##BLANK</v>
      </c>
    </row>
    <row r="4542" spans="2:7">
      <c r="B4542" s="893" t="str">
        <f>+'4Q'!D31</f>
        <v>BM902ECNP</v>
      </c>
      <c r="E4542" s="1753" t="s">
        <v>11007</v>
      </c>
      <c r="G4542" t="str">
        <f>IF('4Q'!G31="","##BLANK",'4Q'!G31)</f>
        <v>##BLANK</v>
      </c>
    </row>
    <row r="4543" spans="2:7">
      <c r="B4543" s="893" t="str">
        <f>+'4Q'!D32</f>
        <v>BM902ECWR</v>
      </c>
      <c r="E4543" s="1753" t="s">
        <v>11007</v>
      </c>
      <c r="G4543" t="str">
        <f>IF('4Q'!G32="","##BLANK",'4Q'!G32)</f>
        <v>##BLANK</v>
      </c>
    </row>
    <row r="4544" spans="2:7">
      <c r="B4544" s="893" t="str">
        <f>+'4Q'!D33</f>
        <v>BM102ECWW</v>
      </c>
      <c r="E4544" s="1753" t="s">
        <v>11007</v>
      </c>
      <c r="G4544">
        <f>IF('4Q'!G33="","##BLANK",'4Q'!G33)</f>
        <v>0</v>
      </c>
    </row>
    <row r="4545" spans="2:7">
      <c r="B4545" s="893" t="str">
        <f>+'4Q'!D34</f>
        <v>QEBW0180</v>
      </c>
      <c r="E4545" s="1753" t="s">
        <v>11007</v>
      </c>
      <c r="G4545" t="str">
        <f>IF('4Q'!G34="","##BLANK",'4Q'!G34)</f>
        <v>##BLANK</v>
      </c>
    </row>
    <row r="4546" spans="2:7">
      <c r="B4546" s="893" t="str">
        <f>+'4Q'!D35</f>
        <v>QEBW0183</v>
      </c>
      <c r="E4546" s="1753" t="s">
        <v>11007</v>
      </c>
      <c r="G4546" t="str">
        <f>IF('4Q'!G35="","##BLANK",'4Q'!G35)</f>
        <v>##BLANK</v>
      </c>
    </row>
    <row r="4547" spans="2:7">
      <c r="B4547" s="893" t="str">
        <f>+'4Q'!D36</f>
        <v>QEBW0184</v>
      </c>
      <c r="E4547" s="1753" t="s">
        <v>11007</v>
      </c>
      <c r="G4547" t="str">
        <f>IF('4Q'!G36="","##BLANK",'4Q'!G36)</f>
        <v>##BLANK</v>
      </c>
    </row>
    <row r="4548" spans="2:7">
      <c r="B4548" s="893" t="str">
        <f>+'4Q'!D37</f>
        <v>BN2341</v>
      </c>
      <c r="E4548" s="1753" t="s">
        <v>11007</v>
      </c>
      <c r="G4548" t="str">
        <f>IF('4Q'!G37="","##BLANK",'4Q'!G37)</f>
        <v>##BLANK</v>
      </c>
    </row>
    <row r="4549" spans="2:7">
      <c r="B4549" s="893" t="str">
        <f>+'4R'!D6</f>
        <v>S4002</v>
      </c>
      <c r="E4549" s="1753" t="s">
        <v>11007</v>
      </c>
      <c r="G4549" t="str">
        <f>IF('4R'!G6="","##BLANK",'4R'!G6)</f>
        <v>##BLANK</v>
      </c>
    </row>
    <row r="4550" spans="2:7">
      <c r="B4550" s="893" t="str">
        <f>+'4R'!D7</f>
        <v>S4002A</v>
      </c>
      <c r="E4550" s="1753" t="s">
        <v>11007</v>
      </c>
      <c r="G4550" t="str">
        <f>IF('4R'!G7="","##BLANK",'4R'!G7)</f>
        <v>##BLANK</v>
      </c>
    </row>
    <row r="4551" spans="2:7">
      <c r="B4551" s="893" t="str">
        <f>+'4R'!D8</f>
        <v>S4029</v>
      </c>
      <c r="E4551" s="1753" t="s">
        <v>11007</v>
      </c>
      <c r="G4551" t="str">
        <f>IF('4R'!G8="","##BLANK",'4R'!G8)</f>
        <v>##BLANK</v>
      </c>
    </row>
    <row r="4552" spans="2:7">
      <c r="B4552" s="893" t="str">
        <f>+'4R'!D9</f>
        <v>S6019</v>
      </c>
      <c r="E4552" s="1753" t="s">
        <v>11007</v>
      </c>
      <c r="G4552" t="str">
        <f>IF('4R'!G9="","##BLANK",'4R'!G9)</f>
        <v>##BLANK</v>
      </c>
    </row>
    <row r="4553" spans="2:7">
      <c r="B4553" s="893" t="str">
        <f>+'4R'!D10</f>
        <v>BN13522</v>
      </c>
      <c r="E4553" s="1753" t="s">
        <v>11007</v>
      </c>
      <c r="G4553" t="str">
        <f>IF('4R'!G10="","##BLANK",'4R'!G10)</f>
        <v>##BLANK</v>
      </c>
    </row>
    <row r="4554" spans="2:7">
      <c r="B4554" s="893" t="str">
        <f>+'4R'!D11</f>
        <v>BN13521</v>
      </c>
      <c r="E4554" s="1753" t="s">
        <v>11007</v>
      </c>
      <c r="G4554" t="str">
        <f>IF('4R'!G11="","##BLANK",'4R'!G11)</f>
        <v>##BLANK</v>
      </c>
    </row>
    <row r="4555" spans="2:7">
      <c r="B4555" s="893" t="str">
        <f>+'4R'!D12</f>
        <v>BN13520</v>
      </c>
      <c r="E4555" s="1753" t="s">
        <v>11007</v>
      </c>
      <c r="G4555" t="str">
        <f>IF('4R'!G12="","##BLANK",'4R'!G12)</f>
        <v>##BLANK</v>
      </c>
    </row>
    <row r="4556" spans="2:7">
      <c r="B4556" s="893" t="str">
        <f>+'4R'!D13</f>
        <v>CPMS2005</v>
      </c>
      <c r="E4556" s="1753" t="s">
        <v>11007</v>
      </c>
      <c r="G4556" t="str">
        <f>IF('4R'!G13="","##BLANK",'4R'!G13)</f>
        <v>##BLANK</v>
      </c>
    </row>
    <row r="4557" spans="2:7">
      <c r="B4557" s="893" t="str">
        <f>+'4R'!D14</f>
        <v>CPMS2004</v>
      </c>
      <c r="E4557" s="1753" t="s">
        <v>11007</v>
      </c>
      <c r="G4557" t="str">
        <f>IF('4R'!G14="","##BLANK",'4R'!G14)</f>
        <v>##BLANK</v>
      </c>
    </row>
    <row r="4558" spans="2:7">
      <c r="B4558" s="893" t="str">
        <f>+'4R'!D15</f>
        <v>CPMS2014</v>
      </c>
      <c r="E4558" s="1753" t="s">
        <v>11007</v>
      </c>
      <c r="G4558" t="str">
        <f>IF('4R'!G15="","##BLANK",'4R'!G15)</f>
        <v>##BLANK</v>
      </c>
    </row>
    <row r="4559" spans="2:7">
      <c r="B4559" s="893" t="str">
        <f>+'4R'!D16</f>
        <v>BB2370</v>
      </c>
      <c r="E4559" s="1753" t="s">
        <v>11007</v>
      </c>
      <c r="G4559" t="str">
        <f>IF('4R'!G16="","##BLANK",'4R'!G16)</f>
        <v>##BLANK</v>
      </c>
    </row>
    <row r="4560" spans="2:7">
      <c r="B4560" s="893" t="str">
        <f>+'4R'!D17</f>
        <v>CPMS2012</v>
      </c>
      <c r="E4560" s="1753" t="s">
        <v>11007</v>
      </c>
      <c r="G4560" t="str">
        <f>IF('4R'!G17="","##BLANK",'4R'!G17)</f>
        <v>##BLANK</v>
      </c>
    </row>
    <row r="4561" spans="2:7">
      <c r="B4561" s="893" t="str">
        <f>+'4R'!D18</f>
        <v>CPMS2015</v>
      </c>
      <c r="E4561" s="1753" t="s">
        <v>11007</v>
      </c>
      <c r="G4561" t="str">
        <f>IF('4R'!G18="","##BLANK",'4R'!G18)</f>
        <v>##BLANK</v>
      </c>
    </row>
    <row r="4562" spans="2:7">
      <c r="B4562" s="893" t="str">
        <f>+'4R'!D19</f>
        <v>BN13519</v>
      </c>
      <c r="E4562" s="1753" t="s">
        <v>11007</v>
      </c>
      <c r="G4562" t="str">
        <f>IF('4R'!G19="","##BLANK",'4R'!G19)</f>
        <v>##BLANK</v>
      </c>
    </row>
    <row r="4563" spans="2:7">
      <c r="B4563" s="893" t="str">
        <f>+'4R'!D20</f>
        <v>BN13523</v>
      </c>
      <c r="E4563" s="1753" t="s">
        <v>11007</v>
      </c>
      <c r="G4563" t="str">
        <f>IF('4R'!G20="","##BLANK",'4R'!G20)</f>
        <v>##BLANK</v>
      </c>
    </row>
    <row r="4564" spans="2:7">
      <c r="B4564" s="893" t="str">
        <f>+'4R'!D21</f>
        <v>BN13524</v>
      </c>
      <c r="E4564" s="1753" t="s">
        <v>11007</v>
      </c>
      <c r="G4564" t="str">
        <f>IF('4R'!G21="","##BLANK",'4R'!G21)</f>
        <v>##BLANK</v>
      </c>
    </row>
    <row r="4565" spans="2:7">
      <c r="B4565" s="893" t="str">
        <f>+'4R'!D22</f>
        <v>BN13525</v>
      </c>
      <c r="E4565" s="1753" t="s">
        <v>11007</v>
      </c>
      <c r="G4565" t="str">
        <f>IF('4R'!G22="","##BLANK",'4R'!G22)</f>
        <v>##BLANK</v>
      </c>
    </row>
    <row r="4566" spans="2:7">
      <c r="B4566" s="893" t="str">
        <f>+'4R'!D23</f>
        <v>BN13526</v>
      </c>
      <c r="E4566" s="1753" t="s">
        <v>11007</v>
      </c>
      <c r="G4566" t="str">
        <f>IF('4R'!G23="","##BLANK",'4R'!G23)</f>
        <v>##BLANK</v>
      </c>
    </row>
    <row r="4567" spans="2:7">
      <c r="B4567" s="893" t="str">
        <f>+'4R'!D24</f>
        <v>BN13527</v>
      </c>
      <c r="E4567" s="1753" t="s">
        <v>11007</v>
      </c>
      <c r="G4567" t="str">
        <f>IF('4R'!G24="","##BLANK",'4R'!G24)</f>
        <v>##BLANK</v>
      </c>
    </row>
    <row r="4568" spans="2:7">
      <c r="B4568" s="893" t="str">
        <f>+'4R'!D25</f>
        <v>BN13534</v>
      </c>
      <c r="E4568" s="1753" t="s">
        <v>11007</v>
      </c>
      <c r="G4568" t="str">
        <f>IF('4R'!G25="","##BLANK",'4R'!G25)</f>
        <v>##BLANK</v>
      </c>
    </row>
    <row r="4569" spans="2:7">
      <c r="B4569" s="893" t="str">
        <f>+'4R'!D26</f>
        <v>BN13535</v>
      </c>
      <c r="E4569" s="1753" t="s">
        <v>11007</v>
      </c>
      <c r="G4569">
        <f>IF('4R'!G26="","##BLANK",'4R'!G26)</f>
        <v>0</v>
      </c>
    </row>
    <row r="4570" spans="2:7">
      <c r="B4570" s="893" t="str">
        <f>+'4R'!D27</f>
        <v>BN13528</v>
      </c>
      <c r="E4570" s="1753" t="s">
        <v>11007</v>
      </c>
      <c r="G4570" t="str">
        <f>IF('4R'!G27="","##BLANK",'4R'!G27)</f>
        <v>##BLANK</v>
      </c>
    </row>
    <row r="4571" spans="2:7">
      <c r="B4571" s="893" t="str">
        <f>+'4R'!D30</f>
        <v>BP05613</v>
      </c>
      <c r="E4571" s="1753" t="s">
        <v>11007</v>
      </c>
      <c r="G4571" t="str">
        <f>IF('4R'!G30="","##BLANK",'4R'!G30)</f>
        <v>##BLANK</v>
      </c>
    </row>
    <row r="4572" spans="2:7">
      <c r="B4572" s="893" t="str">
        <f>+'4R'!D31</f>
        <v>MP05614</v>
      </c>
      <c r="E4572" s="1753" t="s">
        <v>11007</v>
      </c>
      <c r="G4572" t="str">
        <f>IF('4R'!G31="","##BLANK",'4R'!G31)</f>
        <v>##BLANK</v>
      </c>
    </row>
    <row r="4573" spans="2:7">
      <c r="B4573" s="893" t="str">
        <f>+'4R'!D32</f>
        <v>MP05611</v>
      </c>
      <c r="E4573" s="1753" t="s">
        <v>11007</v>
      </c>
      <c r="G4573">
        <f>IF('4R'!G32="","##BLANK",'4R'!G32)</f>
        <v>0</v>
      </c>
    </row>
    <row r="4574" spans="2:7">
      <c r="B4574" s="893" t="str">
        <f>+'4R'!D33</f>
        <v>MP05613</v>
      </c>
      <c r="E4574" s="1753" t="s">
        <v>11007</v>
      </c>
      <c r="G4574" t="str">
        <f>IF('4R'!G33="","##BLANK",'4R'!G33)</f>
        <v>##BLANK</v>
      </c>
    </row>
    <row r="4575" spans="2:7">
      <c r="B4575" s="893" t="str">
        <f>+'4R'!D35</f>
        <v>MP05615</v>
      </c>
      <c r="E4575" s="1753" t="s">
        <v>11007</v>
      </c>
      <c r="G4575" t="str">
        <f>IF('4R'!G35="","##BLANK",'4R'!G35)</f>
        <v>##BLANK</v>
      </c>
    </row>
    <row r="4576" spans="2:7">
      <c r="B4576" s="893" t="str">
        <f>+'4R'!D37</f>
        <v>BN1623</v>
      </c>
      <c r="E4576" s="1753" t="s">
        <v>11007</v>
      </c>
      <c r="G4576" t="str">
        <f>IF('4R'!G37="","##BLANK",'4R'!G37)</f>
        <v>##BLANK</v>
      </c>
    </row>
    <row r="4577" spans="2:7">
      <c r="B4577" s="893" t="str">
        <f>+'4R'!D38</f>
        <v>BN1622</v>
      </c>
      <c r="E4577" s="1753" t="s">
        <v>11007</v>
      </c>
      <c r="G4577" t="str">
        <f>IF('4R'!G38="","##BLANK",'4R'!G38)</f>
        <v>##BLANK</v>
      </c>
    </row>
    <row r="4578" spans="2:7">
      <c r="B4578" s="893" t="str">
        <f>+'4R'!D39</f>
        <v>BN1621</v>
      </c>
      <c r="E4578" s="1753" t="s">
        <v>11007</v>
      </c>
      <c r="G4578">
        <f>IF('4R'!G39="","##BLANK",'4R'!G39)</f>
        <v>0</v>
      </c>
    </row>
    <row r="4579" spans="2:7">
      <c r="B4579" s="893" t="str">
        <f>+'4R'!D41</f>
        <v>BN1640</v>
      </c>
      <c r="E4579" s="1753" t="s">
        <v>11007</v>
      </c>
      <c r="G4579" t="str">
        <f>IF('4R'!G41="","##BLANK",'4R'!G41)</f>
        <v>##BLANK</v>
      </c>
    </row>
    <row r="4580" spans="2:7">
      <c r="B4580" s="893" t="str">
        <f>+'4R'!D42</f>
        <v>BN1641</v>
      </c>
      <c r="E4580" s="1753" t="s">
        <v>11007</v>
      </c>
      <c r="G4580" t="str">
        <f>IF('4R'!G42="","##BLANK",'4R'!G42)</f>
        <v>##BLANK</v>
      </c>
    </row>
    <row r="4581" spans="2:7">
      <c r="B4581" s="893" t="str">
        <f>+'4R'!D43</f>
        <v>BN1642</v>
      </c>
      <c r="E4581" s="1753" t="s">
        <v>11007</v>
      </c>
      <c r="G4581" t="str">
        <f>IF('4R'!G43="","##BLANK",'4R'!G43)</f>
        <v>##BLANK</v>
      </c>
    </row>
    <row r="4582" spans="2:7">
      <c r="B4582" s="893" t="str">
        <f>+'4R'!D44</f>
        <v>BN1643</v>
      </c>
      <c r="E4582" s="1753" t="s">
        <v>11007</v>
      </c>
      <c r="G4582">
        <f>IF('4R'!G44="","##BLANK",'4R'!G44)</f>
        <v>0</v>
      </c>
    </row>
    <row r="4583" spans="2:7">
      <c r="B4583" s="893" t="str">
        <f>+'4R'!D46</f>
        <v>BN1644</v>
      </c>
      <c r="E4583" s="1753" t="s">
        <v>11007</v>
      </c>
      <c r="G4583" t="str">
        <f>IF('4R'!G46="","##BLANK",'4R'!G46)</f>
        <v>##BLANK</v>
      </c>
    </row>
    <row r="4584" spans="2:7">
      <c r="B4584" s="893" t="str">
        <f>+'4R'!D48</f>
        <v>BN1648</v>
      </c>
      <c r="E4584" s="1753" t="s">
        <v>11007</v>
      </c>
      <c r="G4584" t="str">
        <f>IF('4R'!G48="","##BLANK",'4R'!G48)</f>
        <v>##BLANK</v>
      </c>
    </row>
    <row r="4585" spans="2:7">
      <c r="B4585" s="893" t="str">
        <f>+'4R'!D49</f>
        <v>BN1645</v>
      </c>
      <c r="E4585" s="1753" t="s">
        <v>11007</v>
      </c>
      <c r="G4585" t="str">
        <f>IF('4R'!G49="","##BLANK",'4R'!G49)</f>
        <v>##BLANK</v>
      </c>
    </row>
    <row r="4586" spans="2:7">
      <c r="B4586" s="893" t="str">
        <f>+'4R'!D50</f>
        <v>BN1646</v>
      </c>
      <c r="E4586" s="1753" t="s">
        <v>11007</v>
      </c>
      <c r="G4586" t="str">
        <f>IF('4R'!G50="","##BLANK",'4R'!G50)</f>
        <v>##BLANK</v>
      </c>
    </row>
    <row r="4587" spans="2:7">
      <c r="B4587" s="893" t="str">
        <f>+'4R'!D51</f>
        <v>BN1647</v>
      </c>
      <c r="E4587" s="1753" t="s">
        <v>11007</v>
      </c>
      <c r="G4587">
        <f>IF('4R'!G51="","##BLANK",'4R'!G51)</f>
        <v>0</v>
      </c>
    </row>
    <row r="4588" spans="2:7">
      <c r="B4588" s="893" t="str">
        <f>+'4R'!D53</f>
        <v>BN1649</v>
      </c>
      <c r="E4588" s="1753" t="s">
        <v>11007</v>
      </c>
      <c r="G4588" t="str">
        <f>IF('4R'!G53="","##BLANK",'4R'!G53)</f>
        <v>##BLANK</v>
      </c>
    </row>
    <row r="4589" spans="2:7">
      <c r="B4589" s="893" t="str">
        <f>+'4R'!D55</f>
        <v>MP05616</v>
      </c>
      <c r="E4589" s="1753" t="s">
        <v>11007</v>
      </c>
      <c r="G4589" t="str">
        <f>IF('4R'!G55="","##BLANK",'4R'!G55)</f>
        <v>##BLANK</v>
      </c>
    </row>
    <row r="4590" spans="2:7">
      <c r="B4590" s="1846" t="str">
        <f>'4S'!BS8</f>
        <v>STWD001</v>
      </c>
      <c r="E4590" s="1753" t="s">
        <v>11007</v>
      </c>
      <c r="G4590" t="str">
        <f>IF('4S'!G8="","##BLANK",'4S'!G8)</f>
        <v>##BLANK</v>
      </c>
    </row>
    <row r="4591" spans="2:7">
      <c r="B4591" s="1846" t="str">
        <f>'4S'!BS9</f>
        <v>STWD015</v>
      </c>
      <c r="E4591" s="1753" t="s">
        <v>11007</v>
      </c>
      <c r="G4591" t="str">
        <f>IF('4S'!G9="","##BLANK",'4S'!G9)</f>
        <v>##BLANK</v>
      </c>
    </row>
    <row r="4592" spans="2:7">
      <c r="B4592" s="1846" t="str">
        <f>'4S'!BS10</f>
        <v>STWD029</v>
      </c>
      <c r="E4592" s="1753" t="s">
        <v>11007</v>
      </c>
      <c r="G4592" t="str">
        <f>IF('4S'!G10="","##BLANK",'4S'!G10)</f>
        <v>##BLANK</v>
      </c>
    </row>
    <row r="4593" spans="2:7">
      <c r="B4593" s="1846" t="str">
        <f>'4S'!BS11</f>
        <v>STWD043</v>
      </c>
      <c r="E4593" s="1753" t="s">
        <v>11007</v>
      </c>
      <c r="G4593" t="str">
        <f>IF('4S'!G11="","##BLANK",'4S'!G11)</f>
        <v>##BLANK</v>
      </c>
    </row>
    <row r="4594" spans="2:7">
      <c r="B4594" s="1846" t="str">
        <f>'4S'!BS12</f>
        <v>STWD057</v>
      </c>
      <c r="E4594" s="1753" t="s">
        <v>11007</v>
      </c>
      <c r="G4594" t="str">
        <f>IF('4S'!G12="","##BLANK",'4S'!G12)</f>
        <v>##BLANK</v>
      </c>
    </row>
    <row r="4595" spans="2:7">
      <c r="B4595" s="1846" t="str">
        <f>'4S'!BS13</f>
        <v>STWD101</v>
      </c>
      <c r="E4595" s="1753" t="s">
        <v>11007</v>
      </c>
      <c r="G4595" t="str">
        <f>IF('4S'!G13="","##BLANK",'4S'!G13)</f>
        <v>##BLANK</v>
      </c>
    </row>
    <row r="4596" spans="2:7">
      <c r="B4596" s="1846" t="str">
        <f>'4S'!BS14</f>
        <v>STWD121</v>
      </c>
      <c r="E4596" s="1753" t="s">
        <v>11007</v>
      </c>
      <c r="G4596">
        <f>IF('4S'!G14="","##BLANK",'4S'!G14)</f>
        <v>0</v>
      </c>
    </row>
    <row r="4597" spans="2:7">
      <c r="B4597" s="1846" t="str">
        <f>'4S'!BS18</f>
        <v>STWC001</v>
      </c>
      <c r="E4597" s="1753" t="s">
        <v>11007</v>
      </c>
      <c r="G4597" t="str">
        <f>IF('4S'!G18="","##BLANK",'4S'!G18)</f>
        <v>##BLANK</v>
      </c>
    </row>
    <row r="4598" spans="2:7">
      <c r="B4598" s="1846" t="str">
        <f>'4S'!BS19</f>
        <v>STWC015</v>
      </c>
      <c r="E4598" s="1753" t="s">
        <v>11007</v>
      </c>
      <c r="G4598" t="str">
        <f>IF('4S'!G19="","##BLANK",'4S'!G19)</f>
        <v>##BLANK</v>
      </c>
    </row>
    <row r="4599" spans="2:7">
      <c r="B4599" s="1846" t="str">
        <f>'4S'!BS20</f>
        <v>STWC029</v>
      </c>
      <c r="E4599" s="1753" t="s">
        <v>11007</v>
      </c>
      <c r="G4599" t="str">
        <f>IF('4S'!G20="","##BLANK",'4S'!G20)</f>
        <v>##BLANK</v>
      </c>
    </row>
    <row r="4600" spans="2:7">
      <c r="B4600" s="1846" t="str">
        <f>'4S'!BS21</f>
        <v>STWC043</v>
      </c>
      <c r="E4600" s="1753" t="s">
        <v>11007</v>
      </c>
      <c r="G4600" t="str">
        <f>IF('4S'!G21="","##BLANK",'4S'!G21)</f>
        <v>##BLANK</v>
      </c>
    </row>
    <row r="4601" spans="2:7">
      <c r="B4601" s="1846" t="str">
        <f>'4S'!BS22</f>
        <v>STWC057</v>
      </c>
      <c r="E4601" s="1753" t="s">
        <v>11007</v>
      </c>
      <c r="G4601" t="str">
        <f>IF('4S'!G22="","##BLANK",'4S'!G22)</f>
        <v>##BLANK</v>
      </c>
    </row>
    <row r="4602" spans="2:7">
      <c r="B4602" s="1846" t="str">
        <f>'4S'!BS23</f>
        <v>STWC101</v>
      </c>
      <c r="E4602" s="1753" t="s">
        <v>11007</v>
      </c>
      <c r="G4602" t="str">
        <f>IF('4S'!G23="","##BLANK",'4S'!G23)</f>
        <v>##BLANK</v>
      </c>
    </row>
    <row r="4603" spans="2:7">
      <c r="B4603" s="1846" t="str">
        <f>'4S'!BS24</f>
        <v>STWC121</v>
      </c>
      <c r="E4603" s="1753" t="s">
        <v>11007</v>
      </c>
      <c r="G4603">
        <f>IF('4S'!G24="","##BLANK",'4S'!G24)</f>
        <v>0</v>
      </c>
    </row>
    <row r="4604" spans="2:7">
      <c r="B4604" s="1846" t="str">
        <f>'4S'!BT8</f>
        <v>STWD002</v>
      </c>
      <c r="E4604" s="1753" t="s">
        <v>11007</v>
      </c>
      <c r="G4604" t="str">
        <f>IF('4S'!H8="","##BLANK",'4S'!H8)</f>
        <v>##BLANK</v>
      </c>
    </row>
    <row r="4605" spans="2:7">
      <c r="B4605" s="1846" t="str">
        <f>'4S'!BT9</f>
        <v>STWD016</v>
      </c>
      <c r="E4605" s="1753" t="s">
        <v>11007</v>
      </c>
      <c r="G4605" t="str">
        <f>IF('4S'!H9="","##BLANK",'4S'!H9)</f>
        <v>##BLANK</v>
      </c>
    </row>
    <row r="4606" spans="2:7">
      <c r="B4606" s="1846" t="str">
        <f>'4S'!BT10</f>
        <v>STWD030</v>
      </c>
      <c r="E4606" s="1753" t="s">
        <v>11007</v>
      </c>
      <c r="G4606" t="str">
        <f>IF('4S'!H10="","##BLANK",'4S'!H10)</f>
        <v>##BLANK</v>
      </c>
    </row>
    <row r="4607" spans="2:7">
      <c r="B4607" s="1846" t="str">
        <f>'4S'!BT11</f>
        <v>STWD044</v>
      </c>
      <c r="E4607" s="1753" t="s">
        <v>11007</v>
      </c>
      <c r="G4607" t="str">
        <f>IF('4S'!H11="","##BLANK",'4S'!H11)</f>
        <v>##BLANK</v>
      </c>
    </row>
    <row r="4608" spans="2:7">
      <c r="B4608" s="1846" t="str">
        <f>'4S'!BT12</f>
        <v>STWD058</v>
      </c>
      <c r="E4608" s="1753" t="s">
        <v>11007</v>
      </c>
      <c r="G4608" t="str">
        <f>IF('4S'!H12="","##BLANK",'4S'!H12)</f>
        <v>##BLANK</v>
      </c>
    </row>
    <row r="4609" spans="2:7">
      <c r="B4609" s="1846" t="str">
        <f>'4S'!BT13</f>
        <v>STWD102</v>
      </c>
      <c r="E4609" s="1753" t="s">
        <v>11007</v>
      </c>
      <c r="G4609" t="str">
        <f>IF('4S'!H13="","##BLANK",'4S'!H13)</f>
        <v>##BLANK</v>
      </c>
    </row>
    <row r="4610" spans="2:7">
      <c r="B4610" s="1846" t="str">
        <f>'4S'!BT14</f>
        <v>STWD122</v>
      </c>
      <c r="E4610" s="1753" t="s">
        <v>11007</v>
      </c>
      <c r="G4610">
        <f>IF('4S'!H14="","##BLANK",'4S'!H14)</f>
        <v>0</v>
      </c>
    </row>
    <row r="4611" spans="2:7">
      <c r="B4611" s="1846" t="str">
        <f>'4S'!BT18</f>
        <v>STWC002</v>
      </c>
      <c r="E4611" s="1753" t="s">
        <v>11007</v>
      </c>
      <c r="G4611" t="str">
        <f>IF('4S'!H18="","##BLANK",'4S'!H18)</f>
        <v>##BLANK</v>
      </c>
    </row>
    <row r="4612" spans="2:7">
      <c r="B4612" s="1846" t="str">
        <f>'4S'!BT19</f>
        <v>STWC016</v>
      </c>
      <c r="E4612" s="1753" t="s">
        <v>11007</v>
      </c>
      <c r="G4612" t="str">
        <f>IF('4S'!H19="","##BLANK",'4S'!H19)</f>
        <v>##BLANK</v>
      </c>
    </row>
    <row r="4613" spans="2:7">
      <c r="B4613" s="1846" t="str">
        <f>'4S'!BT20</f>
        <v>STWC030</v>
      </c>
      <c r="E4613" s="1753" t="s">
        <v>11007</v>
      </c>
      <c r="G4613" t="str">
        <f>IF('4S'!H20="","##BLANK",'4S'!H20)</f>
        <v>##BLANK</v>
      </c>
    </row>
    <row r="4614" spans="2:7">
      <c r="B4614" s="1846" t="str">
        <f>'4S'!BT21</f>
        <v>STWC044</v>
      </c>
      <c r="E4614" s="1753" t="s">
        <v>11007</v>
      </c>
      <c r="G4614" t="str">
        <f>IF('4S'!H21="","##BLANK",'4S'!H21)</f>
        <v>##BLANK</v>
      </c>
    </row>
    <row r="4615" spans="2:7">
      <c r="B4615" s="1846" t="str">
        <f>'4S'!BT22</f>
        <v>STWC058</v>
      </c>
      <c r="E4615" s="1753" t="s">
        <v>11007</v>
      </c>
      <c r="G4615" t="str">
        <f>IF('4S'!H22="","##BLANK",'4S'!H22)</f>
        <v>##BLANK</v>
      </c>
    </row>
    <row r="4616" spans="2:7">
      <c r="B4616" s="1846" t="str">
        <f>'4S'!BT23</f>
        <v>STWC102</v>
      </c>
      <c r="E4616" s="1753" t="s">
        <v>11007</v>
      </c>
      <c r="G4616" t="str">
        <f>IF('4S'!H23="","##BLANK",'4S'!H23)</f>
        <v>##BLANK</v>
      </c>
    </row>
    <row r="4617" spans="2:7">
      <c r="B4617" s="1846" t="str">
        <f>'4S'!BT24</f>
        <v>STWC122</v>
      </c>
      <c r="E4617" s="1753" t="s">
        <v>11007</v>
      </c>
      <c r="G4617">
        <f>IF('4S'!H24="","##BLANK",'4S'!H24)</f>
        <v>0</v>
      </c>
    </row>
    <row r="4618" spans="2:7">
      <c r="B4618" s="1846" t="str">
        <f>'4S'!BU8</f>
        <v>STWD003</v>
      </c>
      <c r="E4618" s="1753" t="s">
        <v>11007</v>
      </c>
      <c r="G4618" t="str">
        <f>IF('4S'!I8="","##BLANK",'4S'!I8)</f>
        <v>##BLANK</v>
      </c>
    </row>
    <row r="4619" spans="2:7">
      <c r="B4619" s="1846" t="str">
        <f>'4S'!BU9</f>
        <v>STWD017</v>
      </c>
      <c r="E4619" s="1753" t="s">
        <v>11007</v>
      </c>
      <c r="G4619" t="str">
        <f>IF('4S'!I9="","##BLANK",'4S'!I9)</f>
        <v>##BLANK</v>
      </c>
    </row>
    <row r="4620" spans="2:7">
      <c r="B4620" s="1846" t="str">
        <f>'4S'!BU10</f>
        <v>STWD031</v>
      </c>
      <c r="E4620" s="1753" t="s">
        <v>11007</v>
      </c>
      <c r="G4620" t="str">
        <f>IF('4S'!I10="","##BLANK",'4S'!I10)</f>
        <v>##BLANK</v>
      </c>
    </row>
    <row r="4621" spans="2:7">
      <c r="B4621" s="1846" t="str">
        <f>'4S'!BU11</f>
        <v>STWD045</v>
      </c>
      <c r="E4621" s="1753" t="s">
        <v>11007</v>
      </c>
      <c r="G4621" t="str">
        <f>IF('4S'!I11="","##BLANK",'4S'!I11)</f>
        <v>##BLANK</v>
      </c>
    </row>
    <row r="4622" spans="2:7">
      <c r="B4622" s="1846" t="str">
        <f>'4S'!BU12</f>
        <v>STWD059</v>
      </c>
      <c r="E4622" s="1753" t="s">
        <v>11007</v>
      </c>
      <c r="G4622" t="str">
        <f>IF('4S'!I12="","##BLANK",'4S'!I12)</f>
        <v>##BLANK</v>
      </c>
    </row>
    <row r="4623" spans="2:7">
      <c r="B4623" s="1846" t="str">
        <f>'4S'!BU13</f>
        <v>STWD103</v>
      </c>
      <c r="E4623" s="1753" t="s">
        <v>11007</v>
      </c>
      <c r="G4623" t="str">
        <f>IF('4S'!I13="","##BLANK",'4S'!I13)</f>
        <v>##BLANK</v>
      </c>
    </row>
    <row r="4624" spans="2:7">
      <c r="B4624" s="1846" t="str">
        <f>'4S'!BU14</f>
        <v>STWD123</v>
      </c>
      <c r="E4624" s="1753" t="s">
        <v>11007</v>
      </c>
      <c r="G4624">
        <f>IF('4S'!I14="","##BLANK",'4S'!I14)</f>
        <v>0</v>
      </c>
    </row>
    <row r="4625" spans="2:7">
      <c r="B4625" s="1846" t="str">
        <f>'4S'!BU18</f>
        <v>STWC003</v>
      </c>
      <c r="E4625" s="1753" t="s">
        <v>11007</v>
      </c>
      <c r="G4625" t="str">
        <f>IF('4S'!I18="","##BLANK",'4S'!I18)</f>
        <v>##BLANK</v>
      </c>
    </row>
    <row r="4626" spans="2:7">
      <c r="B4626" s="1846" t="str">
        <f>'4S'!BU19</f>
        <v>STWC017</v>
      </c>
      <c r="E4626" s="1753" t="s">
        <v>11007</v>
      </c>
      <c r="G4626" t="str">
        <f>IF('4S'!I19="","##BLANK",'4S'!I19)</f>
        <v>##BLANK</v>
      </c>
    </row>
    <row r="4627" spans="2:7">
      <c r="B4627" s="1846" t="str">
        <f>'4S'!BU20</f>
        <v>STWC031</v>
      </c>
      <c r="E4627" s="1753" t="s">
        <v>11007</v>
      </c>
      <c r="G4627" t="str">
        <f>IF('4S'!I20="","##BLANK",'4S'!I20)</f>
        <v>##BLANK</v>
      </c>
    </row>
    <row r="4628" spans="2:7">
      <c r="B4628" s="1846" t="str">
        <f>'4S'!BU21</f>
        <v>STWC045</v>
      </c>
      <c r="E4628" s="1753" t="s">
        <v>11007</v>
      </c>
      <c r="G4628" t="str">
        <f>IF('4S'!I21="","##BLANK",'4S'!I21)</f>
        <v>##BLANK</v>
      </c>
    </row>
    <row r="4629" spans="2:7">
      <c r="B4629" s="1846" t="str">
        <f>'4S'!BU22</f>
        <v>STWC059</v>
      </c>
      <c r="E4629" s="1753" t="s">
        <v>11007</v>
      </c>
      <c r="G4629" t="str">
        <f>IF('4S'!I22="","##BLANK",'4S'!I22)</f>
        <v>##BLANK</v>
      </c>
    </row>
    <row r="4630" spans="2:7">
      <c r="B4630" s="1846" t="str">
        <f>'4S'!BU23</f>
        <v>STWC103</v>
      </c>
      <c r="E4630" s="1753" t="s">
        <v>11007</v>
      </c>
      <c r="G4630" t="str">
        <f>IF('4S'!I23="","##BLANK",'4S'!I23)</f>
        <v>##BLANK</v>
      </c>
    </row>
    <row r="4631" spans="2:7">
      <c r="B4631" s="1846" t="str">
        <f>'4S'!BU24</f>
        <v>STWC123</v>
      </c>
      <c r="E4631" s="1753" t="s">
        <v>11007</v>
      </c>
      <c r="G4631">
        <f>IF('4S'!I24="","##BLANK",'4S'!I24)</f>
        <v>0</v>
      </c>
    </row>
    <row r="4632" spans="2:7">
      <c r="B4632" s="1846" t="str">
        <f>'4S'!BV8</f>
        <v>STWD004</v>
      </c>
      <c r="E4632" s="1753" t="s">
        <v>11007</v>
      </c>
      <c r="G4632" t="str">
        <f>IF('4S'!J8="","##BLANK",'4S'!J8)</f>
        <v>##BLANK</v>
      </c>
    </row>
    <row r="4633" spans="2:7">
      <c r="B4633" s="1846" t="str">
        <f>'4S'!BV9</f>
        <v>STWD018</v>
      </c>
      <c r="E4633" s="1753" t="s">
        <v>11007</v>
      </c>
      <c r="G4633" t="str">
        <f>IF('4S'!J9="","##BLANK",'4S'!J9)</f>
        <v>##BLANK</v>
      </c>
    </row>
    <row r="4634" spans="2:7">
      <c r="B4634" s="1846" t="str">
        <f>'4S'!BV10</f>
        <v>STWD032</v>
      </c>
      <c r="E4634" s="1753" t="s">
        <v>11007</v>
      </c>
      <c r="G4634" t="str">
        <f>IF('4S'!J10="","##BLANK",'4S'!J10)</f>
        <v>##BLANK</v>
      </c>
    </row>
    <row r="4635" spans="2:7">
      <c r="B4635" s="1846" t="str">
        <f>'4S'!BV11</f>
        <v>STWD046</v>
      </c>
      <c r="E4635" s="1753" t="s">
        <v>11007</v>
      </c>
      <c r="G4635" t="str">
        <f>IF('4S'!J11="","##BLANK",'4S'!J11)</f>
        <v>##BLANK</v>
      </c>
    </row>
    <row r="4636" spans="2:7">
      <c r="B4636" s="1846" t="str">
        <f>'4S'!BV12</f>
        <v>STWD060</v>
      </c>
      <c r="E4636" s="1753" t="s">
        <v>11007</v>
      </c>
      <c r="G4636" t="str">
        <f>IF('4S'!J12="","##BLANK",'4S'!J12)</f>
        <v>##BLANK</v>
      </c>
    </row>
    <row r="4637" spans="2:7">
      <c r="B4637" s="1846" t="str">
        <f>'4S'!BV13</f>
        <v>STWD104</v>
      </c>
      <c r="E4637" s="1753" t="s">
        <v>11007</v>
      </c>
      <c r="G4637" t="str">
        <f>IF('4S'!J13="","##BLANK",'4S'!J13)</f>
        <v>##BLANK</v>
      </c>
    </row>
    <row r="4638" spans="2:7">
      <c r="B4638" s="1846" t="str">
        <f>'4S'!BV14</f>
        <v>STWD124</v>
      </c>
      <c r="E4638" s="1753" t="s">
        <v>11007</v>
      </c>
      <c r="G4638">
        <f>IF('4S'!J14="","##BLANK",'4S'!J14)</f>
        <v>0</v>
      </c>
    </row>
    <row r="4639" spans="2:7">
      <c r="B4639" s="1846" t="str">
        <f>'4S'!BV18</f>
        <v>STWC004</v>
      </c>
      <c r="E4639" s="1753" t="s">
        <v>11007</v>
      </c>
      <c r="G4639" t="str">
        <f>IF('4S'!J18="","##BLANK",'4S'!J18)</f>
        <v>##BLANK</v>
      </c>
    </row>
    <row r="4640" spans="2:7">
      <c r="B4640" s="1846" t="str">
        <f>'4S'!BV19</f>
        <v>STWC018</v>
      </c>
      <c r="E4640" s="1753" t="s">
        <v>11007</v>
      </c>
      <c r="G4640" t="str">
        <f>IF('4S'!J19="","##BLANK",'4S'!J19)</f>
        <v>##BLANK</v>
      </c>
    </row>
    <row r="4641" spans="2:7">
      <c r="B4641" s="1846" t="str">
        <f>'4S'!BV20</f>
        <v>STWC032</v>
      </c>
      <c r="E4641" s="1753" t="s">
        <v>11007</v>
      </c>
      <c r="G4641" t="str">
        <f>IF('4S'!J20="","##BLANK",'4S'!J20)</f>
        <v>##BLANK</v>
      </c>
    </row>
    <row r="4642" spans="2:7">
      <c r="B4642" s="1846" t="str">
        <f>'4S'!BV21</f>
        <v>STWC046</v>
      </c>
      <c r="E4642" s="1753" t="s">
        <v>11007</v>
      </c>
      <c r="G4642" t="str">
        <f>IF('4S'!J21="","##BLANK",'4S'!J21)</f>
        <v>##BLANK</v>
      </c>
    </row>
    <row r="4643" spans="2:7">
      <c r="B4643" s="1846" t="str">
        <f>'4S'!BV22</f>
        <v>STWC060</v>
      </c>
      <c r="E4643" s="1753" t="s">
        <v>11007</v>
      </c>
      <c r="G4643" t="str">
        <f>IF('4S'!J22="","##BLANK",'4S'!J22)</f>
        <v>##BLANK</v>
      </c>
    </row>
    <row r="4644" spans="2:7">
      <c r="B4644" s="1846" t="str">
        <f>'4S'!BV23</f>
        <v>STWC104</v>
      </c>
      <c r="E4644" s="1753" t="s">
        <v>11007</v>
      </c>
      <c r="G4644" t="str">
        <f>IF('4S'!J23="","##BLANK",'4S'!J23)</f>
        <v>##BLANK</v>
      </c>
    </row>
    <row r="4645" spans="2:7">
      <c r="B4645" s="1846" t="str">
        <f>'4S'!BV24</f>
        <v>STWC124</v>
      </c>
      <c r="E4645" s="1753" t="s">
        <v>11007</v>
      </c>
      <c r="G4645">
        <f>IF('4S'!J24="","##BLANK",'4S'!J24)</f>
        <v>0</v>
      </c>
    </row>
    <row r="4646" spans="2:7">
      <c r="B4646" s="1846" t="str">
        <f>'4S'!BW8</f>
        <v>STWD005</v>
      </c>
      <c r="E4646" s="1753" t="s">
        <v>11007</v>
      </c>
      <c r="G4646" t="str">
        <f>IF('4S'!K8="","##BLANK",'4S'!K8)</f>
        <v>##BLANK</v>
      </c>
    </row>
    <row r="4647" spans="2:7">
      <c r="B4647" s="1846" t="str">
        <f>'4S'!BW9</f>
        <v>STWD019</v>
      </c>
      <c r="E4647" s="1753" t="s">
        <v>11007</v>
      </c>
      <c r="G4647" t="str">
        <f>IF('4S'!K9="","##BLANK",'4S'!K9)</f>
        <v>##BLANK</v>
      </c>
    </row>
    <row r="4648" spans="2:7">
      <c r="B4648" s="1846" t="str">
        <f>'4S'!BW10</f>
        <v>STWD033</v>
      </c>
      <c r="E4648" s="1753" t="s">
        <v>11007</v>
      </c>
      <c r="G4648" t="str">
        <f>IF('4S'!K10="","##BLANK",'4S'!K10)</f>
        <v>##BLANK</v>
      </c>
    </row>
    <row r="4649" spans="2:7">
      <c r="B4649" s="1846" t="str">
        <f>'4S'!BW11</f>
        <v>STWD047</v>
      </c>
      <c r="E4649" s="1753" t="s">
        <v>11007</v>
      </c>
      <c r="G4649" t="str">
        <f>IF('4S'!K11="","##BLANK",'4S'!K11)</f>
        <v>##BLANK</v>
      </c>
    </row>
    <row r="4650" spans="2:7">
      <c r="B4650" s="1846" t="str">
        <f>'4S'!BW12</f>
        <v>STWD061</v>
      </c>
      <c r="E4650" s="1753" t="s">
        <v>11007</v>
      </c>
      <c r="G4650" t="str">
        <f>IF('4S'!K12="","##BLANK",'4S'!K12)</f>
        <v>##BLANK</v>
      </c>
    </row>
    <row r="4651" spans="2:7">
      <c r="B4651" s="1846" t="str">
        <f>'4S'!BW13</f>
        <v>STWD105</v>
      </c>
      <c r="E4651" s="1753" t="s">
        <v>11007</v>
      </c>
      <c r="G4651" t="str">
        <f>IF('4S'!K13="","##BLANK",'4S'!K13)</f>
        <v>##BLANK</v>
      </c>
    </row>
    <row r="4652" spans="2:7">
      <c r="B4652" s="1846" t="str">
        <f>'4S'!BW14</f>
        <v>STWD125</v>
      </c>
      <c r="E4652" s="1753" t="s">
        <v>11007</v>
      </c>
      <c r="G4652">
        <f>IF('4S'!K14="","##BLANK",'4S'!K14)</f>
        <v>0</v>
      </c>
    </row>
    <row r="4653" spans="2:7">
      <c r="B4653" s="1846" t="str">
        <f>'4S'!BW18</f>
        <v>STWC005</v>
      </c>
      <c r="E4653" s="1753" t="s">
        <v>11007</v>
      </c>
      <c r="G4653" t="str">
        <f>IF('4S'!K18="","##BLANK",'4S'!K18)</f>
        <v>##BLANK</v>
      </c>
    </row>
    <row r="4654" spans="2:7">
      <c r="B4654" s="1846" t="str">
        <f>'4S'!BW19</f>
        <v>STWC019</v>
      </c>
      <c r="E4654" s="1753" t="s">
        <v>11007</v>
      </c>
      <c r="G4654" t="str">
        <f>IF('4S'!K19="","##BLANK",'4S'!K19)</f>
        <v>##BLANK</v>
      </c>
    </row>
    <row r="4655" spans="2:7">
      <c r="B4655" s="1846" t="str">
        <f>'4S'!BW20</f>
        <v>STWC033</v>
      </c>
      <c r="E4655" s="1753" t="s">
        <v>11007</v>
      </c>
      <c r="G4655" t="str">
        <f>IF('4S'!K20="","##BLANK",'4S'!K20)</f>
        <v>##BLANK</v>
      </c>
    </row>
    <row r="4656" spans="2:7">
      <c r="B4656" s="1846" t="str">
        <f>'4S'!BW21</f>
        <v>STWC047</v>
      </c>
      <c r="E4656" s="1753" t="s">
        <v>11007</v>
      </c>
      <c r="G4656" t="str">
        <f>IF('4S'!K21="","##BLANK",'4S'!K21)</f>
        <v>##BLANK</v>
      </c>
    </row>
    <row r="4657" spans="2:7">
      <c r="B4657" s="1846" t="str">
        <f>'4S'!BW22</f>
        <v>STWC061</v>
      </c>
      <c r="E4657" s="1753" t="s">
        <v>11007</v>
      </c>
      <c r="G4657" t="str">
        <f>IF('4S'!K22="","##BLANK",'4S'!K22)</f>
        <v>##BLANK</v>
      </c>
    </row>
    <row r="4658" spans="2:7">
      <c r="B4658" s="1846" t="str">
        <f>'4S'!BW23</f>
        <v>STWC105</v>
      </c>
      <c r="E4658" s="1753" t="s">
        <v>11007</v>
      </c>
      <c r="G4658" t="str">
        <f>IF('4S'!K23="","##BLANK",'4S'!K23)</f>
        <v>##BLANK</v>
      </c>
    </row>
    <row r="4659" spans="2:7">
      <c r="B4659" s="1846" t="str">
        <f>'4S'!BW24</f>
        <v>STWC125</v>
      </c>
      <c r="E4659" s="1753" t="s">
        <v>11007</v>
      </c>
      <c r="G4659">
        <f>IF('4S'!K24="","##BLANK",'4S'!K24)</f>
        <v>0</v>
      </c>
    </row>
    <row r="4660" spans="2:7">
      <c r="B4660" s="1846" t="str">
        <f>'4S'!BX8</f>
        <v>STWD006</v>
      </c>
      <c r="E4660" s="1753" t="s">
        <v>11007</v>
      </c>
      <c r="G4660" t="str">
        <f>IF('4S'!L8="","##BLANK",'4S'!L8)</f>
        <v>##BLANK</v>
      </c>
    </row>
    <row r="4661" spans="2:7">
      <c r="B4661" s="1846" t="str">
        <f>'4S'!BX9</f>
        <v>STWD020</v>
      </c>
      <c r="E4661" s="1753" t="s">
        <v>11007</v>
      </c>
      <c r="G4661" t="str">
        <f>IF('4S'!L9="","##BLANK",'4S'!L9)</f>
        <v>##BLANK</v>
      </c>
    </row>
    <row r="4662" spans="2:7">
      <c r="B4662" s="1846" t="str">
        <f>'4S'!BX10</f>
        <v>STWD034</v>
      </c>
      <c r="E4662" s="1753" t="s">
        <v>11007</v>
      </c>
      <c r="G4662" t="str">
        <f>IF('4S'!L10="","##BLANK",'4S'!L10)</f>
        <v>##BLANK</v>
      </c>
    </row>
    <row r="4663" spans="2:7">
      <c r="B4663" s="1846" t="str">
        <f>'4S'!BX11</f>
        <v>STWD048</v>
      </c>
      <c r="E4663" s="1753" t="s">
        <v>11007</v>
      </c>
      <c r="G4663" t="str">
        <f>IF('4S'!L11="","##BLANK",'4S'!L11)</f>
        <v>##BLANK</v>
      </c>
    </row>
    <row r="4664" spans="2:7">
      <c r="B4664" s="1846" t="str">
        <f>'4S'!BX12</f>
        <v>STWD062</v>
      </c>
      <c r="E4664" s="1753" t="s">
        <v>11007</v>
      </c>
      <c r="G4664" t="str">
        <f>IF('4S'!L12="","##BLANK",'4S'!L12)</f>
        <v>##BLANK</v>
      </c>
    </row>
    <row r="4665" spans="2:7">
      <c r="B4665" s="1846" t="str">
        <f>'4S'!BX13</f>
        <v>STWD106</v>
      </c>
      <c r="E4665" s="1753" t="s">
        <v>11007</v>
      </c>
      <c r="G4665" t="str">
        <f>IF('4S'!L13="","##BLANK",'4S'!L13)</f>
        <v>##BLANK</v>
      </c>
    </row>
    <row r="4666" spans="2:7">
      <c r="B4666" s="1846" t="str">
        <f>'4S'!BX14</f>
        <v>STWD126</v>
      </c>
      <c r="E4666" s="1753" t="s">
        <v>11007</v>
      </c>
      <c r="G4666">
        <f>IF('4S'!L14="","##BLANK",'4S'!L14)</f>
        <v>0</v>
      </c>
    </row>
    <row r="4667" spans="2:7">
      <c r="B4667" s="1846" t="str">
        <f>'4S'!BX18</f>
        <v>STWC006</v>
      </c>
      <c r="E4667" s="1753" t="s">
        <v>11007</v>
      </c>
      <c r="G4667" t="str">
        <f>IF('4S'!L18="","##BLANK",'4S'!L18)</f>
        <v>##BLANK</v>
      </c>
    </row>
    <row r="4668" spans="2:7">
      <c r="B4668" s="1846" t="str">
        <f>'4S'!BX19</f>
        <v>STWC020</v>
      </c>
      <c r="E4668" s="1753" t="s">
        <v>11007</v>
      </c>
      <c r="G4668" t="str">
        <f>IF('4S'!L19="","##BLANK",'4S'!L19)</f>
        <v>##BLANK</v>
      </c>
    </row>
    <row r="4669" spans="2:7">
      <c r="B4669" s="1846" t="str">
        <f>'4S'!BX20</f>
        <v>STWC034</v>
      </c>
      <c r="E4669" s="1753" t="s">
        <v>11007</v>
      </c>
      <c r="G4669" t="str">
        <f>IF('4S'!L20="","##BLANK",'4S'!L20)</f>
        <v>##BLANK</v>
      </c>
    </row>
    <row r="4670" spans="2:7">
      <c r="B4670" s="1846" t="str">
        <f>'4S'!BX21</f>
        <v>STWC048</v>
      </c>
      <c r="E4670" s="1753" t="s">
        <v>11007</v>
      </c>
      <c r="G4670" t="str">
        <f>IF('4S'!L21="","##BLANK",'4S'!L21)</f>
        <v>##BLANK</v>
      </c>
    </row>
    <row r="4671" spans="2:7">
      <c r="B4671" s="1846" t="str">
        <f>'4S'!BX22</f>
        <v>STWC062</v>
      </c>
      <c r="E4671" s="1753" t="s">
        <v>11007</v>
      </c>
      <c r="G4671" t="str">
        <f>IF('4S'!L22="","##BLANK",'4S'!L22)</f>
        <v>##BLANK</v>
      </c>
    </row>
    <row r="4672" spans="2:7">
      <c r="B4672" s="1846" t="str">
        <f>'4S'!BX23</f>
        <v>STWC106</v>
      </c>
      <c r="E4672" s="1753" t="s">
        <v>11007</v>
      </c>
      <c r="G4672" t="str">
        <f>IF('4S'!L23="","##BLANK",'4S'!L23)</f>
        <v>##BLANK</v>
      </c>
    </row>
    <row r="4673" spans="2:7">
      <c r="B4673" s="1846" t="str">
        <f>'4S'!BX24</f>
        <v>STWC126</v>
      </c>
      <c r="E4673" s="1753" t="s">
        <v>11007</v>
      </c>
      <c r="G4673">
        <f>IF('4S'!L24="","##BLANK",'4S'!L24)</f>
        <v>0</v>
      </c>
    </row>
    <row r="4674" spans="2:7">
      <c r="B4674" s="1846" t="str">
        <f>'4S'!BY8</f>
        <v>STWD007</v>
      </c>
      <c r="E4674" s="1753" t="s">
        <v>11007</v>
      </c>
      <c r="G4674" t="str">
        <f>IF('4S'!M8="","##BLANK",'4S'!M8)</f>
        <v>##BLANK</v>
      </c>
    </row>
    <row r="4675" spans="2:7">
      <c r="B4675" s="1846" t="str">
        <f>'4S'!BY9</f>
        <v>STWD021</v>
      </c>
      <c r="E4675" s="1753" t="s">
        <v>11007</v>
      </c>
      <c r="G4675" t="str">
        <f>IF('4S'!M9="","##BLANK",'4S'!M9)</f>
        <v>##BLANK</v>
      </c>
    </row>
    <row r="4676" spans="2:7">
      <c r="B4676" s="1846" t="str">
        <f>'4S'!BY10</f>
        <v>STWD035</v>
      </c>
      <c r="E4676" s="1753" t="s">
        <v>11007</v>
      </c>
      <c r="G4676" t="str">
        <f>IF('4S'!M10="","##BLANK",'4S'!M10)</f>
        <v>##BLANK</v>
      </c>
    </row>
    <row r="4677" spans="2:7">
      <c r="B4677" s="1846" t="str">
        <f>'4S'!BY11</f>
        <v>STWD049</v>
      </c>
      <c r="E4677" s="1753" t="s">
        <v>11007</v>
      </c>
      <c r="G4677" t="str">
        <f>IF('4S'!M11="","##BLANK",'4S'!M11)</f>
        <v>##BLANK</v>
      </c>
    </row>
    <row r="4678" spans="2:7">
      <c r="B4678" s="1846" t="str">
        <f>'4S'!BY12</f>
        <v>STWD063</v>
      </c>
      <c r="E4678" s="1753" t="s">
        <v>11007</v>
      </c>
      <c r="G4678" t="str">
        <f>IF('4S'!M12="","##BLANK",'4S'!M12)</f>
        <v>##BLANK</v>
      </c>
    </row>
    <row r="4679" spans="2:7">
      <c r="B4679" s="1846" t="str">
        <f>'4S'!BY13</f>
        <v>STWD107</v>
      </c>
      <c r="E4679" s="1753" t="s">
        <v>11007</v>
      </c>
      <c r="G4679" t="str">
        <f>IF('4S'!M13="","##BLANK",'4S'!M13)</f>
        <v>##BLANK</v>
      </c>
    </row>
    <row r="4680" spans="2:7">
      <c r="B4680" s="1846" t="str">
        <f>'4S'!BY14</f>
        <v>STWD127</v>
      </c>
      <c r="E4680" s="1753" t="s">
        <v>11007</v>
      </c>
      <c r="G4680">
        <f>IF('4S'!M14="","##BLANK",'4S'!M14)</f>
        <v>0</v>
      </c>
    </row>
    <row r="4681" spans="2:7">
      <c r="B4681" s="1846" t="str">
        <f>'4S'!BY18</f>
        <v>STWC007</v>
      </c>
      <c r="E4681" s="1753" t="s">
        <v>11007</v>
      </c>
      <c r="G4681" t="str">
        <f>IF('4S'!M18="","##BLANK",'4S'!M18)</f>
        <v>##BLANK</v>
      </c>
    </row>
    <row r="4682" spans="2:7">
      <c r="B4682" s="1846" t="str">
        <f>'4S'!BY19</f>
        <v>STWC021</v>
      </c>
      <c r="E4682" s="1753" t="s">
        <v>11007</v>
      </c>
      <c r="G4682" t="str">
        <f>IF('4S'!M19="","##BLANK",'4S'!M19)</f>
        <v>##BLANK</v>
      </c>
    </row>
    <row r="4683" spans="2:7">
      <c r="B4683" s="1846" t="str">
        <f>'4S'!BY20</f>
        <v>STWC035</v>
      </c>
      <c r="E4683" s="1753" t="s">
        <v>11007</v>
      </c>
      <c r="G4683" t="str">
        <f>IF('4S'!M20="","##BLANK",'4S'!M20)</f>
        <v>##BLANK</v>
      </c>
    </row>
    <row r="4684" spans="2:7">
      <c r="B4684" s="1846" t="str">
        <f>'4S'!BY21</f>
        <v>STWC049</v>
      </c>
      <c r="E4684" s="1753" t="s">
        <v>11007</v>
      </c>
      <c r="G4684" t="str">
        <f>IF('4S'!M21="","##BLANK",'4S'!M21)</f>
        <v>##BLANK</v>
      </c>
    </row>
    <row r="4685" spans="2:7">
      <c r="B4685" s="1846" t="str">
        <f>'4S'!BY22</f>
        <v>STWC063</v>
      </c>
      <c r="E4685" s="1753" t="s">
        <v>11007</v>
      </c>
      <c r="G4685" t="str">
        <f>IF('4S'!M22="","##BLANK",'4S'!M22)</f>
        <v>##BLANK</v>
      </c>
    </row>
    <row r="4686" spans="2:7">
      <c r="B4686" s="1846" t="str">
        <f>'4S'!BY23</f>
        <v>STWC107</v>
      </c>
      <c r="E4686" s="1753" t="s">
        <v>11007</v>
      </c>
      <c r="G4686" t="str">
        <f>IF('4S'!M23="","##BLANK",'4S'!M23)</f>
        <v>##BLANK</v>
      </c>
    </row>
    <row r="4687" spans="2:7">
      <c r="B4687" s="1846" t="str">
        <f>'4S'!BY24</f>
        <v>STWC127</v>
      </c>
      <c r="E4687" s="1753" t="s">
        <v>11007</v>
      </c>
      <c r="G4687">
        <f>IF('4S'!M24="","##BLANK",'4S'!M24)</f>
        <v>0</v>
      </c>
    </row>
    <row r="4688" spans="2:7">
      <c r="B4688" s="1846" t="str">
        <f>'4S'!BZ8</f>
        <v>STWD012</v>
      </c>
      <c r="E4688" s="1753" t="s">
        <v>11007</v>
      </c>
      <c r="G4688">
        <f>IF('4S'!N8="","##BLANK",'4S'!N8)</f>
        <v>0</v>
      </c>
    </row>
    <row r="4689" spans="2:7">
      <c r="B4689" s="1846" t="str">
        <f>'4S'!BZ9</f>
        <v>STWD026</v>
      </c>
      <c r="E4689" s="1753" t="s">
        <v>11007</v>
      </c>
      <c r="G4689">
        <f>IF('4S'!N9="","##BLANK",'4S'!N9)</f>
        <v>0</v>
      </c>
    </row>
    <row r="4690" spans="2:7">
      <c r="B4690" s="1846" t="str">
        <f>'4S'!BZ10</f>
        <v>STWD040</v>
      </c>
      <c r="E4690" s="1753" t="s">
        <v>11007</v>
      </c>
      <c r="G4690">
        <f>IF('4S'!N10="","##BLANK",'4S'!N10)</f>
        <v>0</v>
      </c>
    </row>
    <row r="4691" spans="2:7">
      <c r="B4691" s="1846" t="str">
        <f>'4S'!BZ11</f>
        <v>STWD054</v>
      </c>
      <c r="E4691" s="1753" t="s">
        <v>11007</v>
      </c>
      <c r="G4691">
        <f>IF('4S'!N11="","##BLANK",'4S'!N11)</f>
        <v>0</v>
      </c>
    </row>
    <row r="4692" spans="2:7">
      <c r="B4692" s="1846" t="str">
        <f>'4S'!BZ12</f>
        <v>STWD068</v>
      </c>
      <c r="E4692" s="1753" t="s">
        <v>11007</v>
      </c>
      <c r="G4692">
        <f>IF('4S'!N12="","##BLANK",'4S'!N12)</f>
        <v>0</v>
      </c>
    </row>
    <row r="4693" spans="2:7">
      <c r="B4693" s="1846" t="str">
        <f>'4S'!BZ13</f>
        <v>STWD108</v>
      </c>
      <c r="E4693" s="1753" t="s">
        <v>11007</v>
      </c>
      <c r="G4693">
        <f>IF('4S'!N13="","##BLANK",'4S'!N13)</f>
        <v>0</v>
      </c>
    </row>
    <row r="4694" spans="2:7">
      <c r="B4694" s="1846" t="str">
        <f>'4S'!BZ14</f>
        <v>STWD128</v>
      </c>
      <c r="E4694" s="1753" t="s">
        <v>11007</v>
      </c>
      <c r="G4694">
        <f>IF('4S'!N14="","##BLANK",'4S'!N14)</f>
        <v>0</v>
      </c>
    </row>
    <row r="4695" spans="2:7" s="2146" customFormat="1">
      <c r="B4695" s="1846" t="str">
        <f>'4S'!BZ15</f>
        <v>STWD130</v>
      </c>
      <c r="C4695" s="1382"/>
      <c r="E4695" s="1753" t="s">
        <v>11007</v>
      </c>
      <c r="G4695" s="2146" t="str">
        <f>IF('4S'!N15="","##BLANK",'4S'!N15)</f>
        <v>##BLANK</v>
      </c>
    </row>
    <row r="4696" spans="2:7">
      <c r="B4696" s="1846" t="str">
        <f>'4S'!BZ18</f>
        <v>STWC108</v>
      </c>
      <c r="E4696" s="1753" t="s">
        <v>11007</v>
      </c>
      <c r="G4696">
        <f>IF('4S'!N18="","##BLANK",'4S'!N18)</f>
        <v>0</v>
      </c>
    </row>
    <row r="4697" spans="2:7">
      <c r="B4697" s="1846" t="str">
        <f>'4S'!BZ19</f>
        <v>STWC109</v>
      </c>
      <c r="E4697" s="1753" t="s">
        <v>11007</v>
      </c>
      <c r="G4697">
        <f>IF('4S'!N19="","##BLANK",'4S'!N19)</f>
        <v>0</v>
      </c>
    </row>
    <row r="4698" spans="2:7">
      <c r="B4698" s="1846" t="str">
        <f>'4S'!BZ20</f>
        <v>STWC110</v>
      </c>
      <c r="E4698" s="1753" t="s">
        <v>11007</v>
      </c>
      <c r="G4698">
        <f>IF('4S'!N20="","##BLANK",'4S'!N20)</f>
        <v>0</v>
      </c>
    </row>
    <row r="4699" spans="2:7">
      <c r="B4699" s="1846" t="str">
        <f>'4S'!BZ21</f>
        <v>STWC111</v>
      </c>
      <c r="E4699" s="1753" t="s">
        <v>11007</v>
      </c>
      <c r="G4699">
        <f>IF('4S'!N21="","##BLANK",'4S'!N21)</f>
        <v>0</v>
      </c>
    </row>
    <row r="4700" spans="2:7">
      <c r="B4700" s="1846" t="str">
        <f>'4S'!BZ22</f>
        <v>STWC112</v>
      </c>
      <c r="E4700" s="1753" t="s">
        <v>11007</v>
      </c>
      <c r="G4700">
        <f>IF('4S'!N22="","##BLANK",'4S'!N22)</f>
        <v>0</v>
      </c>
    </row>
    <row r="4701" spans="2:7">
      <c r="B4701" s="1846" t="str">
        <f>'4S'!BZ23</f>
        <v>STWC114</v>
      </c>
      <c r="E4701" s="1753" t="s">
        <v>11007</v>
      </c>
      <c r="G4701">
        <f>IF('4S'!N23="","##BLANK",'4S'!N23)</f>
        <v>0</v>
      </c>
    </row>
    <row r="4702" spans="2:7">
      <c r="B4702" s="1846" t="str">
        <f>'4S'!BZ24</f>
        <v>STWC115</v>
      </c>
      <c r="E4702" s="1753" t="s">
        <v>11007</v>
      </c>
      <c r="G4702">
        <f>IF('4S'!N24="","##BLANK",'4S'!N24)</f>
        <v>0</v>
      </c>
    </row>
    <row r="4703" spans="2:7">
      <c r="B4703" s="1846" t="str">
        <f>'4S'!CB8</f>
        <v>STWDP001</v>
      </c>
      <c r="E4703" s="1753" t="s">
        <v>11007</v>
      </c>
      <c r="G4703" t="str">
        <f>IF('4S'!P8="","##BLANK",'4S'!P8)</f>
        <v>##BLANK</v>
      </c>
    </row>
    <row r="4704" spans="2:7">
      <c r="B4704" s="1846" t="str">
        <f>'4S'!CB9</f>
        <v>STWDP015</v>
      </c>
      <c r="E4704" s="1753" t="s">
        <v>11007</v>
      </c>
      <c r="G4704" t="str">
        <f>IF('4S'!P9="","##BLANK",'4S'!P9)</f>
        <v>##BLANK</v>
      </c>
    </row>
    <row r="4705" spans="2:7">
      <c r="B4705" s="1846" t="str">
        <f>'4S'!CB10</f>
        <v>STWDP029</v>
      </c>
      <c r="E4705" s="1753" t="s">
        <v>11007</v>
      </c>
      <c r="G4705" t="str">
        <f>IF('4S'!P10="","##BLANK",'4S'!P10)</f>
        <v>##BLANK</v>
      </c>
    </row>
    <row r="4706" spans="2:7">
      <c r="B4706" s="1846" t="str">
        <f>'4S'!CB11</f>
        <v>STWDP043</v>
      </c>
      <c r="E4706" s="1753" t="s">
        <v>11007</v>
      </c>
      <c r="G4706" t="str">
        <f>IF('4S'!P11="","##BLANK",'4S'!P11)</f>
        <v>##BLANK</v>
      </c>
    </row>
    <row r="4707" spans="2:7">
      <c r="B4707" s="1846" t="str">
        <f>'4S'!CB12</f>
        <v>STWDP057</v>
      </c>
      <c r="E4707" s="1753" t="s">
        <v>11007</v>
      </c>
      <c r="G4707" t="str">
        <f>IF('4S'!P12="","##BLANK",'4S'!P12)</f>
        <v>##BLANK</v>
      </c>
    </row>
    <row r="4708" spans="2:7">
      <c r="B4708" s="1846" t="str">
        <f>'4S'!CB13</f>
        <v>STWDP101</v>
      </c>
      <c r="E4708" s="1753" t="s">
        <v>11007</v>
      </c>
      <c r="G4708" t="str">
        <f>IF('4S'!P13="","##BLANK",'4S'!P13)</f>
        <v>##BLANK</v>
      </c>
    </row>
    <row r="4709" spans="2:7">
      <c r="B4709" s="1846" t="str">
        <f>'4S'!CB14</f>
        <v>STWDP121</v>
      </c>
      <c r="E4709" s="1753" t="s">
        <v>11007</v>
      </c>
      <c r="G4709">
        <f>IF('4S'!P14="","##BLANK",'4S'!P14)</f>
        <v>0</v>
      </c>
    </row>
    <row r="4710" spans="2:7">
      <c r="B4710" s="1846" t="str">
        <f>'4S'!CB18</f>
        <v>STWCP001</v>
      </c>
      <c r="E4710" s="1753" t="s">
        <v>11007</v>
      </c>
      <c r="G4710" t="str">
        <f>IF('4S'!P18="","##BLANK",'4S'!P18)</f>
        <v>##BLANK</v>
      </c>
    </row>
    <row r="4711" spans="2:7">
      <c r="B4711" s="1846" t="str">
        <f>'4S'!CB19</f>
        <v>STWCP015</v>
      </c>
      <c r="E4711" s="1753" t="s">
        <v>11007</v>
      </c>
      <c r="G4711" t="str">
        <f>IF('4S'!P19="","##BLANK",'4S'!P19)</f>
        <v>##BLANK</v>
      </c>
    </row>
    <row r="4712" spans="2:7">
      <c r="B4712" s="1846" t="str">
        <f>'4S'!CB20</f>
        <v>STWCP029</v>
      </c>
      <c r="E4712" s="1753" t="s">
        <v>11007</v>
      </c>
      <c r="G4712" t="str">
        <f>IF('4S'!P20="","##BLANK",'4S'!P20)</f>
        <v>##BLANK</v>
      </c>
    </row>
    <row r="4713" spans="2:7">
      <c r="B4713" s="1846" t="str">
        <f>'4S'!CB21</f>
        <v>STWCP043</v>
      </c>
      <c r="E4713" s="1753" t="s">
        <v>11007</v>
      </c>
      <c r="G4713" t="str">
        <f>IF('4S'!P21="","##BLANK",'4S'!P21)</f>
        <v>##BLANK</v>
      </c>
    </row>
    <row r="4714" spans="2:7">
      <c r="B4714" s="1846" t="str">
        <f>'4S'!CB22</f>
        <v>STWCP057</v>
      </c>
      <c r="E4714" s="1753" t="s">
        <v>11007</v>
      </c>
      <c r="G4714" t="str">
        <f>IF('4S'!P22="","##BLANK",'4S'!P22)</f>
        <v>##BLANK</v>
      </c>
    </row>
    <row r="4715" spans="2:7">
      <c r="B4715" s="1846" t="str">
        <f>'4S'!CB23</f>
        <v>STWCP101</v>
      </c>
      <c r="E4715" s="1753" t="s">
        <v>11007</v>
      </c>
      <c r="G4715" t="str">
        <f>IF('4S'!P23="","##BLANK",'4S'!P23)</f>
        <v>##BLANK</v>
      </c>
    </row>
    <row r="4716" spans="2:7">
      <c r="B4716" s="1846" t="str">
        <f>'4S'!CB24</f>
        <v>STWCP121</v>
      </c>
      <c r="E4716" s="1753" t="s">
        <v>11007</v>
      </c>
      <c r="G4716">
        <f>IF('4S'!P24="","##BLANK",'4S'!P24)</f>
        <v>0</v>
      </c>
    </row>
    <row r="4717" spans="2:7">
      <c r="B4717" s="1846" t="str">
        <f>'4S'!CC8</f>
        <v>STWDP002</v>
      </c>
      <c r="E4717" s="1753" t="s">
        <v>11007</v>
      </c>
      <c r="G4717" t="str">
        <f>IF('4S'!Q8="","##BLANK",'4S'!Q8)</f>
        <v>##BLANK</v>
      </c>
    </row>
    <row r="4718" spans="2:7">
      <c r="B4718" s="1846" t="str">
        <f>'4S'!CC9</f>
        <v>STWDP016</v>
      </c>
      <c r="E4718" s="1753" t="s">
        <v>11007</v>
      </c>
      <c r="G4718" t="str">
        <f>IF('4S'!Q9="","##BLANK",'4S'!Q9)</f>
        <v>##BLANK</v>
      </c>
    </row>
    <row r="4719" spans="2:7">
      <c r="B4719" s="1846" t="str">
        <f>'4S'!CC10</f>
        <v>STWDP030</v>
      </c>
      <c r="E4719" s="1753" t="s">
        <v>11007</v>
      </c>
      <c r="G4719" t="str">
        <f>IF('4S'!Q10="","##BLANK",'4S'!Q10)</f>
        <v>##BLANK</v>
      </c>
    </row>
    <row r="4720" spans="2:7">
      <c r="B4720" s="1846" t="str">
        <f>'4S'!CC11</f>
        <v>STWDP044</v>
      </c>
      <c r="E4720" s="1753" t="s">
        <v>11007</v>
      </c>
      <c r="G4720" t="str">
        <f>IF('4S'!Q11="","##BLANK",'4S'!Q11)</f>
        <v>##BLANK</v>
      </c>
    </row>
    <row r="4721" spans="2:7">
      <c r="B4721" s="1846" t="str">
        <f>'4S'!CC12</f>
        <v>STWDP058</v>
      </c>
      <c r="E4721" s="1753" t="s">
        <v>11007</v>
      </c>
      <c r="G4721" t="str">
        <f>IF('4S'!Q12="","##BLANK",'4S'!Q12)</f>
        <v>##BLANK</v>
      </c>
    </row>
    <row r="4722" spans="2:7">
      <c r="B4722" s="1846" t="str">
        <f>'4S'!CC13</f>
        <v>STWDP102</v>
      </c>
      <c r="E4722" s="1753" t="s">
        <v>11007</v>
      </c>
      <c r="G4722" t="str">
        <f>IF('4S'!Q13="","##BLANK",'4S'!Q13)</f>
        <v>##BLANK</v>
      </c>
    </row>
    <row r="4723" spans="2:7">
      <c r="B4723" s="1846" t="str">
        <f>'4S'!CC14</f>
        <v>STWDP122</v>
      </c>
      <c r="E4723" s="1753" t="s">
        <v>11007</v>
      </c>
      <c r="G4723">
        <f>IF('4S'!Q14="","##BLANK",'4S'!Q14)</f>
        <v>0</v>
      </c>
    </row>
    <row r="4724" spans="2:7">
      <c r="B4724" s="1846" t="str">
        <f>'4S'!CC18</f>
        <v>STWCP002</v>
      </c>
      <c r="E4724" s="1753" t="s">
        <v>11007</v>
      </c>
      <c r="G4724" t="str">
        <f>IF('4S'!Q18="","##BLANK",'4S'!Q18)</f>
        <v>##BLANK</v>
      </c>
    </row>
    <row r="4725" spans="2:7">
      <c r="B4725" s="1846" t="str">
        <f>'4S'!CC19</f>
        <v>STWCP016</v>
      </c>
      <c r="E4725" s="1753" t="s">
        <v>11007</v>
      </c>
      <c r="G4725" t="str">
        <f>IF('4S'!Q19="","##BLANK",'4S'!Q19)</f>
        <v>##BLANK</v>
      </c>
    </row>
    <row r="4726" spans="2:7">
      <c r="B4726" s="1846" t="str">
        <f>'4S'!CC20</f>
        <v>STWCP030</v>
      </c>
      <c r="E4726" s="1753" t="s">
        <v>11007</v>
      </c>
      <c r="G4726" t="str">
        <f>IF('4S'!Q20="","##BLANK",'4S'!Q20)</f>
        <v>##BLANK</v>
      </c>
    </row>
    <row r="4727" spans="2:7">
      <c r="B4727" s="1846" t="str">
        <f>'4S'!CC21</f>
        <v>STWCP044</v>
      </c>
      <c r="E4727" s="1753" t="s">
        <v>11007</v>
      </c>
      <c r="G4727" t="str">
        <f>IF('4S'!Q21="","##BLANK",'4S'!Q21)</f>
        <v>##BLANK</v>
      </c>
    </row>
    <row r="4728" spans="2:7">
      <c r="B4728" s="1846" t="str">
        <f>'4S'!CC22</f>
        <v>STWCP058</v>
      </c>
      <c r="E4728" s="1753" t="s">
        <v>11007</v>
      </c>
      <c r="G4728" t="str">
        <f>IF('4S'!Q22="","##BLANK",'4S'!Q22)</f>
        <v>##BLANK</v>
      </c>
    </row>
    <row r="4729" spans="2:7">
      <c r="B4729" s="1846" t="str">
        <f>'4S'!CC23</f>
        <v>STWCP102</v>
      </c>
      <c r="E4729" s="1753" t="s">
        <v>11007</v>
      </c>
      <c r="G4729" t="str">
        <f>IF('4S'!Q23="","##BLANK",'4S'!Q23)</f>
        <v>##BLANK</v>
      </c>
    </row>
    <row r="4730" spans="2:7">
      <c r="B4730" s="1846" t="str">
        <f>'4S'!CC24</f>
        <v>STWCP122</v>
      </c>
      <c r="E4730" s="1753" t="s">
        <v>11007</v>
      </c>
      <c r="G4730">
        <f>IF('4S'!Q24="","##BLANK",'4S'!Q24)</f>
        <v>0</v>
      </c>
    </row>
    <row r="4731" spans="2:7">
      <c r="B4731" s="1846" t="str">
        <f>'4S'!CD8</f>
        <v>STWDP003</v>
      </c>
      <c r="E4731" s="1753" t="s">
        <v>11007</v>
      </c>
      <c r="G4731" t="str">
        <f>IF('4S'!R8="","##BLANK",'4S'!R8)</f>
        <v>##BLANK</v>
      </c>
    </row>
    <row r="4732" spans="2:7">
      <c r="B4732" s="1846" t="str">
        <f>'4S'!CD9</f>
        <v>STWDP017</v>
      </c>
      <c r="E4732" s="1753" t="s">
        <v>11007</v>
      </c>
      <c r="G4732" t="str">
        <f>IF('4S'!R9="","##BLANK",'4S'!R9)</f>
        <v>##BLANK</v>
      </c>
    </row>
    <row r="4733" spans="2:7">
      <c r="B4733" s="1846" t="str">
        <f>'4S'!CD10</f>
        <v>STWDP031</v>
      </c>
      <c r="E4733" s="1753" t="s">
        <v>11007</v>
      </c>
      <c r="G4733" t="str">
        <f>IF('4S'!R10="","##BLANK",'4S'!R10)</f>
        <v>##BLANK</v>
      </c>
    </row>
    <row r="4734" spans="2:7">
      <c r="B4734" s="1846" t="str">
        <f>'4S'!CD11</f>
        <v>STWDP045</v>
      </c>
      <c r="E4734" s="1753" t="s">
        <v>11007</v>
      </c>
      <c r="G4734" t="str">
        <f>IF('4S'!R11="","##BLANK",'4S'!R11)</f>
        <v>##BLANK</v>
      </c>
    </row>
    <row r="4735" spans="2:7">
      <c r="B4735" s="1846" t="str">
        <f>'4S'!CD12</f>
        <v>STWDP059</v>
      </c>
      <c r="E4735" s="1753" t="s">
        <v>11007</v>
      </c>
      <c r="G4735" t="str">
        <f>IF('4S'!R12="","##BLANK",'4S'!R12)</f>
        <v>##BLANK</v>
      </c>
    </row>
    <row r="4736" spans="2:7">
      <c r="B4736" s="1846" t="str">
        <f>'4S'!CD13</f>
        <v>STWDP103</v>
      </c>
      <c r="E4736" s="1753" t="s">
        <v>11007</v>
      </c>
      <c r="G4736" t="str">
        <f>IF('4S'!R13="","##BLANK",'4S'!R13)</f>
        <v>##BLANK</v>
      </c>
    </row>
    <row r="4737" spans="2:7">
      <c r="B4737" s="1846" t="str">
        <f>'4S'!CD14</f>
        <v>STWDP123</v>
      </c>
      <c r="E4737" s="1753" t="s">
        <v>11007</v>
      </c>
      <c r="G4737">
        <f>IF('4S'!R14="","##BLANK",'4S'!R14)</f>
        <v>0</v>
      </c>
    </row>
    <row r="4738" spans="2:7">
      <c r="B4738" s="1846" t="str">
        <f>'4S'!CD18</f>
        <v>STWCP003</v>
      </c>
      <c r="E4738" s="1753" t="s">
        <v>11007</v>
      </c>
      <c r="G4738" t="str">
        <f>IF('4S'!R18="","##BLANK",'4S'!R18)</f>
        <v>##BLANK</v>
      </c>
    </row>
    <row r="4739" spans="2:7">
      <c r="B4739" s="1846" t="str">
        <f>'4S'!CD19</f>
        <v>STWCP017</v>
      </c>
      <c r="E4739" s="1753" t="s">
        <v>11007</v>
      </c>
      <c r="G4739" t="str">
        <f>IF('4S'!R19="","##BLANK",'4S'!R19)</f>
        <v>##BLANK</v>
      </c>
    </row>
    <row r="4740" spans="2:7">
      <c r="B4740" s="1846" t="str">
        <f>'4S'!CD20</f>
        <v>STWCP031</v>
      </c>
      <c r="E4740" s="1753" t="s">
        <v>11007</v>
      </c>
      <c r="G4740" t="str">
        <f>IF('4S'!R20="","##BLANK",'4S'!R20)</f>
        <v>##BLANK</v>
      </c>
    </row>
    <row r="4741" spans="2:7">
      <c r="B4741" s="1846" t="str">
        <f>'4S'!CD21</f>
        <v>STWCP045</v>
      </c>
      <c r="E4741" s="1753" t="s">
        <v>11007</v>
      </c>
      <c r="G4741" t="str">
        <f>IF('4S'!R21="","##BLANK",'4S'!R21)</f>
        <v>##BLANK</v>
      </c>
    </row>
    <row r="4742" spans="2:7">
      <c r="B4742" s="1846" t="str">
        <f>'4S'!CD22</f>
        <v>STWCP059</v>
      </c>
      <c r="E4742" s="1753" t="s">
        <v>11007</v>
      </c>
      <c r="G4742" t="str">
        <f>IF('4S'!R22="","##BLANK",'4S'!R22)</f>
        <v>##BLANK</v>
      </c>
    </row>
    <row r="4743" spans="2:7">
      <c r="B4743" s="1846" t="str">
        <f>'4S'!CD23</f>
        <v>STWCP103</v>
      </c>
      <c r="E4743" s="1753" t="s">
        <v>11007</v>
      </c>
      <c r="G4743" t="str">
        <f>IF('4S'!R23="","##BLANK",'4S'!R23)</f>
        <v>##BLANK</v>
      </c>
    </row>
    <row r="4744" spans="2:7">
      <c r="B4744" s="1846" t="str">
        <f>'4S'!CD24</f>
        <v>STWCP123</v>
      </c>
      <c r="E4744" s="1753" t="s">
        <v>11007</v>
      </c>
      <c r="G4744">
        <f>IF('4S'!R24="","##BLANK",'4S'!R24)</f>
        <v>0</v>
      </c>
    </row>
    <row r="4745" spans="2:7">
      <c r="B4745" s="1846" t="str">
        <f>'4S'!CE8</f>
        <v>STWDP004</v>
      </c>
      <c r="E4745" s="1753" t="s">
        <v>11007</v>
      </c>
      <c r="G4745" t="str">
        <f>IF('4S'!S8="","##BLANK",'4S'!S8)</f>
        <v>##BLANK</v>
      </c>
    </row>
    <row r="4746" spans="2:7">
      <c r="B4746" s="1846" t="str">
        <f>'4S'!CE9</f>
        <v>STWDP018</v>
      </c>
      <c r="E4746" s="1753" t="s">
        <v>11007</v>
      </c>
      <c r="G4746" t="str">
        <f>IF('4S'!S9="","##BLANK",'4S'!S9)</f>
        <v>##BLANK</v>
      </c>
    </row>
    <row r="4747" spans="2:7">
      <c r="B4747" s="1846" t="str">
        <f>'4S'!CE10</f>
        <v>STWDP032</v>
      </c>
      <c r="E4747" s="1753" t="s">
        <v>11007</v>
      </c>
      <c r="G4747" t="str">
        <f>IF('4S'!S10="","##BLANK",'4S'!S10)</f>
        <v>##BLANK</v>
      </c>
    </row>
    <row r="4748" spans="2:7">
      <c r="B4748" s="1846" t="str">
        <f>'4S'!CE11</f>
        <v>STWDP046</v>
      </c>
      <c r="E4748" s="1753" t="s">
        <v>11007</v>
      </c>
      <c r="G4748" t="str">
        <f>IF('4S'!S11="","##BLANK",'4S'!S11)</f>
        <v>##BLANK</v>
      </c>
    </row>
    <row r="4749" spans="2:7">
      <c r="B4749" s="1846" t="str">
        <f>'4S'!CE12</f>
        <v>STWDP060</v>
      </c>
      <c r="E4749" s="1753" t="s">
        <v>11007</v>
      </c>
      <c r="G4749" t="str">
        <f>IF('4S'!S12="","##BLANK",'4S'!S12)</f>
        <v>##BLANK</v>
      </c>
    </row>
    <row r="4750" spans="2:7">
      <c r="B4750" s="1846" t="str">
        <f>'4S'!CE13</f>
        <v>STWDP104</v>
      </c>
      <c r="E4750" s="1753" t="s">
        <v>11007</v>
      </c>
      <c r="G4750" t="str">
        <f>IF('4S'!S13="","##BLANK",'4S'!S13)</f>
        <v>##BLANK</v>
      </c>
    </row>
    <row r="4751" spans="2:7">
      <c r="B4751" s="1846" t="str">
        <f>'4S'!CE14</f>
        <v>STWDP124</v>
      </c>
      <c r="E4751" s="1753" t="s">
        <v>11007</v>
      </c>
      <c r="G4751">
        <f>IF('4S'!S14="","##BLANK",'4S'!S14)</f>
        <v>0</v>
      </c>
    </row>
    <row r="4752" spans="2:7">
      <c r="B4752" s="1846" t="str">
        <f>'4S'!CE18</f>
        <v>STWCP004</v>
      </c>
      <c r="E4752" s="1753" t="s">
        <v>11007</v>
      </c>
      <c r="G4752" t="str">
        <f>IF('4S'!S18="","##BLANK",'4S'!S18)</f>
        <v>##BLANK</v>
      </c>
    </row>
    <row r="4753" spans="2:7">
      <c r="B4753" s="1846" t="str">
        <f>'4S'!CE19</f>
        <v>STWCP018</v>
      </c>
      <c r="E4753" s="1753" t="s">
        <v>11007</v>
      </c>
      <c r="G4753" t="str">
        <f>IF('4S'!S19="","##BLANK",'4S'!S19)</f>
        <v>##BLANK</v>
      </c>
    </row>
    <row r="4754" spans="2:7">
      <c r="B4754" s="1846" t="str">
        <f>'4S'!CE20</f>
        <v>STWCP032</v>
      </c>
      <c r="E4754" s="1753" t="s">
        <v>11007</v>
      </c>
      <c r="G4754" t="str">
        <f>IF('4S'!S20="","##BLANK",'4S'!S20)</f>
        <v>##BLANK</v>
      </c>
    </row>
    <row r="4755" spans="2:7">
      <c r="B4755" s="1846" t="str">
        <f>'4S'!CE21</f>
        <v>STWCP046</v>
      </c>
      <c r="E4755" s="1753" t="s">
        <v>11007</v>
      </c>
      <c r="G4755" t="str">
        <f>IF('4S'!S21="","##BLANK",'4S'!S21)</f>
        <v>##BLANK</v>
      </c>
    </row>
    <row r="4756" spans="2:7">
      <c r="B4756" s="1846" t="str">
        <f>'4S'!CE22</f>
        <v>STWCP060</v>
      </c>
      <c r="E4756" s="1753" t="s">
        <v>11007</v>
      </c>
      <c r="G4756" t="str">
        <f>IF('4S'!S22="","##BLANK",'4S'!S22)</f>
        <v>##BLANK</v>
      </c>
    </row>
    <row r="4757" spans="2:7">
      <c r="B4757" s="1846" t="str">
        <f>'4S'!CE23</f>
        <v>STWCP104</v>
      </c>
      <c r="E4757" s="1753" t="s">
        <v>11007</v>
      </c>
      <c r="G4757" t="str">
        <f>IF('4S'!S23="","##BLANK",'4S'!S23)</f>
        <v>##BLANK</v>
      </c>
    </row>
    <row r="4758" spans="2:7">
      <c r="B4758" s="1846" t="str">
        <f>'4S'!CE24</f>
        <v>STWCP124</v>
      </c>
      <c r="E4758" s="1753" t="s">
        <v>11007</v>
      </c>
      <c r="G4758">
        <f>IF('4S'!S24="","##BLANK",'4S'!S24)</f>
        <v>0</v>
      </c>
    </row>
    <row r="4759" spans="2:7">
      <c r="B4759" s="1846" t="str">
        <f>'4S'!CF8</f>
        <v>STWDP005</v>
      </c>
      <c r="E4759" s="1753" t="s">
        <v>11007</v>
      </c>
      <c r="G4759">
        <f>IF('4S'!T8="","##BLANK",'4S'!T8)</f>
        <v>0</v>
      </c>
    </row>
    <row r="4760" spans="2:7">
      <c r="B4760" s="1846" t="str">
        <f>'4S'!CF9</f>
        <v>STWDP019</v>
      </c>
      <c r="E4760" s="1753" t="s">
        <v>11007</v>
      </c>
      <c r="G4760">
        <f>IF('4S'!T9="","##BLANK",'4S'!T9)</f>
        <v>0</v>
      </c>
    </row>
    <row r="4761" spans="2:7">
      <c r="B4761" s="1846" t="str">
        <f>'4S'!CF10</f>
        <v>STWDP033</v>
      </c>
      <c r="E4761" s="1753" t="s">
        <v>11007</v>
      </c>
      <c r="G4761">
        <f>IF('4S'!T10="","##BLANK",'4S'!T10)</f>
        <v>0</v>
      </c>
    </row>
    <row r="4762" spans="2:7">
      <c r="B4762" s="1846" t="str">
        <f>'4S'!CF11</f>
        <v>STWDP047</v>
      </c>
      <c r="E4762" s="1753" t="s">
        <v>11007</v>
      </c>
      <c r="G4762">
        <f>IF('4S'!T11="","##BLANK",'4S'!T11)</f>
        <v>0</v>
      </c>
    </row>
    <row r="4763" spans="2:7">
      <c r="B4763" s="1846" t="str">
        <f>'4S'!CF12</f>
        <v>STWDP061</v>
      </c>
      <c r="E4763" s="1753" t="s">
        <v>11007</v>
      </c>
      <c r="G4763">
        <f>IF('4S'!T12="","##BLANK",'4S'!T12)</f>
        <v>0</v>
      </c>
    </row>
    <row r="4764" spans="2:7">
      <c r="B4764" s="1846" t="str">
        <f>'4S'!CF13</f>
        <v>STWDP105</v>
      </c>
      <c r="E4764" s="1753" t="s">
        <v>11007</v>
      </c>
      <c r="G4764">
        <f>IF('4S'!T13="","##BLANK",'4S'!T13)</f>
        <v>0</v>
      </c>
    </row>
    <row r="4765" spans="2:7">
      <c r="B4765" s="1846" t="str">
        <f>'4S'!CF14</f>
        <v>STWDP125</v>
      </c>
      <c r="E4765" s="1753" t="s">
        <v>11007</v>
      </c>
      <c r="G4765">
        <f>IF('4S'!T14="","##BLANK",'4S'!T14)</f>
        <v>0</v>
      </c>
    </row>
    <row r="4766" spans="2:7">
      <c r="B4766" s="1846" t="str">
        <f>'4S'!CF18</f>
        <v>STWCP005</v>
      </c>
      <c r="E4766" s="1753" t="s">
        <v>11007</v>
      </c>
      <c r="G4766">
        <f>IF('4S'!T18="","##BLANK",'4S'!T18)</f>
        <v>0</v>
      </c>
    </row>
    <row r="4767" spans="2:7">
      <c r="B4767" s="1846" t="str">
        <f>'4S'!CF19</f>
        <v>STWCP019</v>
      </c>
      <c r="E4767" s="1753" t="s">
        <v>11007</v>
      </c>
      <c r="G4767">
        <f>IF('4S'!T19="","##BLANK",'4S'!T19)</f>
        <v>0</v>
      </c>
    </row>
    <row r="4768" spans="2:7">
      <c r="B4768" s="1846" t="str">
        <f>'4S'!CF20</f>
        <v>STWCP033</v>
      </c>
      <c r="E4768" s="1753" t="s">
        <v>11007</v>
      </c>
      <c r="G4768">
        <f>IF('4S'!T20="","##BLANK",'4S'!T20)</f>
        <v>0</v>
      </c>
    </row>
    <row r="4769" spans="2:7">
      <c r="B4769" s="1846" t="str">
        <f>'4S'!CF21</f>
        <v>STWCP047</v>
      </c>
      <c r="E4769" s="1753" t="s">
        <v>11007</v>
      </c>
      <c r="G4769">
        <f>IF('4S'!T21="","##BLANK",'4S'!T21)</f>
        <v>0</v>
      </c>
    </row>
    <row r="4770" spans="2:7">
      <c r="B4770" s="1846" t="str">
        <f>'4S'!CF22</f>
        <v>STWCP061</v>
      </c>
      <c r="E4770" s="1753" t="s">
        <v>11007</v>
      </c>
      <c r="G4770">
        <f>IF('4S'!T22="","##BLANK",'4S'!T22)</f>
        <v>0</v>
      </c>
    </row>
    <row r="4771" spans="2:7">
      <c r="B4771" s="1846" t="str">
        <f>'4S'!CF23</f>
        <v>STWCP105</v>
      </c>
      <c r="E4771" s="1753" t="s">
        <v>11007</v>
      </c>
      <c r="G4771">
        <f>IF('4S'!T23="","##BLANK",'4S'!T23)</f>
        <v>0</v>
      </c>
    </row>
    <row r="4772" spans="2:7">
      <c r="B4772" s="1846" t="str">
        <f>'4S'!CF24</f>
        <v>STWCP125</v>
      </c>
      <c r="E4772" s="1753" t="s">
        <v>11007</v>
      </c>
      <c r="G4772">
        <f>IF('4S'!T24="","##BLANK",'4S'!T24)</f>
        <v>0</v>
      </c>
    </row>
    <row r="4773" spans="2:7">
      <c r="B4773" s="1846" t="str">
        <f>'4S'!CG8</f>
        <v>STWDB001</v>
      </c>
      <c r="E4773" s="1753" t="s">
        <v>11007</v>
      </c>
      <c r="G4773" t="str">
        <f>IF('4S'!U8="","##BLANK",'4S'!U8)</f>
        <v>##BLANK</v>
      </c>
    </row>
    <row r="4774" spans="2:7">
      <c r="B4774" s="1846" t="str">
        <f>'4S'!CG9</f>
        <v>STWDB015</v>
      </c>
      <c r="E4774" s="1753" t="s">
        <v>11007</v>
      </c>
      <c r="G4774" t="str">
        <f>IF('4S'!U9="","##BLANK",'4S'!U9)</f>
        <v>##BLANK</v>
      </c>
    </row>
    <row r="4775" spans="2:7">
      <c r="B4775" s="1846" t="str">
        <f>'4S'!CG10</f>
        <v>STWDB029</v>
      </c>
      <c r="E4775" s="1753" t="s">
        <v>11007</v>
      </c>
      <c r="G4775" t="str">
        <f>IF('4S'!U10="","##BLANK",'4S'!U10)</f>
        <v>##BLANK</v>
      </c>
    </row>
    <row r="4776" spans="2:7">
      <c r="B4776" s="1846" t="str">
        <f>'4S'!CG11</f>
        <v>STWDB043</v>
      </c>
      <c r="E4776" s="1753" t="s">
        <v>11007</v>
      </c>
      <c r="G4776" t="str">
        <f>IF('4S'!U11="","##BLANK",'4S'!U11)</f>
        <v>##BLANK</v>
      </c>
    </row>
    <row r="4777" spans="2:7">
      <c r="B4777" s="1846" t="str">
        <f>'4S'!CG12</f>
        <v>STWDB057</v>
      </c>
      <c r="E4777" s="1753" t="s">
        <v>11007</v>
      </c>
      <c r="G4777" t="str">
        <f>IF('4S'!U12="","##BLANK",'4S'!U12)</f>
        <v>##BLANK</v>
      </c>
    </row>
    <row r="4778" spans="2:7">
      <c r="B4778" s="1846" t="str">
        <f>'4S'!CG13</f>
        <v>STWDB101</v>
      </c>
      <c r="E4778" s="1753" t="s">
        <v>11007</v>
      </c>
      <c r="G4778" t="str">
        <f>IF('4S'!U13="","##BLANK",'4S'!U13)</f>
        <v>##BLANK</v>
      </c>
    </row>
    <row r="4779" spans="2:7">
      <c r="B4779" s="1846" t="str">
        <f>'4S'!CG14</f>
        <v>STWDB121</v>
      </c>
      <c r="E4779" s="1753" t="s">
        <v>11007</v>
      </c>
      <c r="G4779">
        <f>IF('4S'!U14="","##BLANK",'4S'!U14)</f>
        <v>0</v>
      </c>
    </row>
    <row r="4780" spans="2:7">
      <c r="B4780" s="1846" t="str">
        <f>'4S'!CG18</f>
        <v>STWCB001</v>
      </c>
      <c r="E4780" s="1753" t="s">
        <v>11007</v>
      </c>
      <c r="G4780" t="str">
        <f>IF('4S'!U18="","##BLANK",'4S'!U18)</f>
        <v>##BLANK</v>
      </c>
    </row>
    <row r="4781" spans="2:7">
      <c r="B4781" s="1846" t="str">
        <f>'4S'!CG19</f>
        <v>STWCB015</v>
      </c>
      <c r="E4781" s="1753" t="s">
        <v>11007</v>
      </c>
      <c r="G4781" t="str">
        <f>IF('4S'!U19="","##BLANK",'4S'!U19)</f>
        <v>##BLANK</v>
      </c>
    </row>
    <row r="4782" spans="2:7">
      <c r="B4782" s="1846" t="str">
        <f>'4S'!CG20</f>
        <v>STWCB029</v>
      </c>
      <c r="E4782" s="1753" t="s">
        <v>11007</v>
      </c>
      <c r="G4782" t="str">
        <f>IF('4S'!U20="","##BLANK",'4S'!U20)</f>
        <v>##BLANK</v>
      </c>
    </row>
    <row r="4783" spans="2:7">
      <c r="B4783" s="1846" t="str">
        <f>'4S'!CG21</f>
        <v>STWCB043</v>
      </c>
      <c r="E4783" s="1753" t="s">
        <v>11007</v>
      </c>
      <c r="G4783" t="str">
        <f>IF('4S'!U21="","##BLANK",'4S'!U21)</f>
        <v>##BLANK</v>
      </c>
    </row>
    <row r="4784" spans="2:7">
      <c r="B4784" s="1846" t="str">
        <f>'4S'!CG22</f>
        <v>STWCB057</v>
      </c>
      <c r="E4784" s="1753" t="s">
        <v>11007</v>
      </c>
      <c r="G4784" t="str">
        <f>IF('4S'!U22="","##BLANK",'4S'!U22)</f>
        <v>##BLANK</v>
      </c>
    </row>
    <row r="4785" spans="2:7">
      <c r="B4785" s="1846" t="str">
        <f>'4S'!CG23</f>
        <v>STWCB101</v>
      </c>
      <c r="E4785" s="1753" t="s">
        <v>11007</v>
      </c>
      <c r="G4785" t="str">
        <f>IF('4S'!U23="","##BLANK",'4S'!U23)</f>
        <v>##BLANK</v>
      </c>
    </row>
    <row r="4786" spans="2:7">
      <c r="B4786" s="1846" t="str">
        <f>'4S'!CG24</f>
        <v>STWCB121</v>
      </c>
      <c r="E4786" s="1753" t="s">
        <v>11007</v>
      </c>
      <c r="G4786">
        <f>IF('4S'!U24="","##BLANK",'4S'!U24)</f>
        <v>0</v>
      </c>
    </row>
    <row r="4787" spans="2:7">
      <c r="B4787" s="1846" t="str">
        <f>'4S'!CH8</f>
        <v>STWDB002</v>
      </c>
      <c r="E4787" s="1753" t="s">
        <v>11007</v>
      </c>
      <c r="G4787" t="str">
        <f>IF('4S'!V8="","##BLANK",'4S'!V8)</f>
        <v>##BLANK</v>
      </c>
    </row>
    <row r="4788" spans="2:7">
      <c r="B4788" s="1846" t="str">
        <f>'4S'!CH9</f>
        <v>STWDB016</v>
      </c>
      <c r="E4788" s="1753" t="s">
        <v>11007</v>
      </c>
      <c r="G4788" t="str">
        <f>IF('4S'!V9="","##BLANK",'4S'!V9)</f>
        <v>##BLANK</v>
      </c>
    </row>
    <row r="4789" spans="2:7">
      <c r="B4789" s="1846" t="str">
        <f>'4S'!CH10</f>
        <v>STWDB030</v>
      </c>
      <c r="E4789" s="1753" t="s">
        <v>11007</v>
      </c>
      <c r="G4789" t="str">
        <f>IF('4S'!V10="","##BLANK",'4S'!V10)</f>
        <v>##BLANK</v>
      </c>
    </row>
    <row r="4790" spans="2:7">
      <c r="B4790" s="1846" t="str">
        <f>'4S'!CH11</f>
        <v>STWDB044</v>
      </c>
      <c r="E4790" s="1753" t="s">
        <v>11007</v>
      </c>
      <c r="G4790" t="str">
        <f>IF('4S'!V11="","##BLANK",'4S'!V11)</f>
        <v>##BLANK</v>
      </c>
    </row>
    <row r="4791" spans="2:7">
      <c r="B4791" s="1846" t="str">
        <f>'4S'!CH12</f>
        <v>STWDB058</v>
      </c>
      <c r="E4791" s="1753" t="s">
        <v>11007</v>
      </c>
      <c r="G4791" t="str">
        <f>IF('4S'!V12="","##BLANK",'4S'!V12)</f>
        <v>##BLANK</v>
      </c>
    </row>
    <row r="4792" spans="2:7">
      <c r="B4792" s="1846" t="str">
        <f>'4S'!CH13</f>
        <v>STWDB102</v>
      </c>
      <c r="E4792" s="1753" t="s">
        <v>11007</v>
      </c>
      <c r="G4792" t="str">
        <f>IF('4S'!V13="","##BLANK",'4S'!V13)</f>
        <v>##BLANK</v>
      </c>
    </row>
    <row r="4793" spans="2:7">
      <c r="B4793" s="1846" t="str">
        <f>'4S'!CH14</f>
        <v>STWDB122</v>
      </c>
      <c r="E4793" s="1753" t="s">
        <v>11007</v>
      </c>
      <c r="G4793">
        <f>IF('4S'!V14="","##BLANK",'4S'!V14)</f>
        <v>0</v>
      </c>
    </row>
    <row r="4794" spans="2:7">
      <c r="B4794" s="1846" t="str">
        <f>'4S'!CH18</f>
        <v>STWCB002</v>
      </c>
      <c r="E4794" s="1753" t="s">
        <v>11007</v>
      </c>
      <c r="G4794" t="str">
        <f>IF('4S'!V18="","##BLANK",'4S'!V18)</f>
        <v>##BLANK</v>
      </c>
    </row>
    <row r="4795" spans="2:7">
      <c r="B4795" s="1846" t="str">
        <f>'4S'!CH19</f>
        <v>STWCB016</v>
      </c>
      <c r="E4795" s="1753" t="s">
        <v>11007</v>
      </c>
      <c r="G4795" t="str">
        <f>IF('4S'!V19="","##BLANK",'4S'!V19)</f>
        <v>##BLANK</v>
      </c>
    </row>
    <row r="4796" spans="2:7">
      <c r="B4796" s="1846" t="str">
        <f>'4S'!CH20</f>
        <v>STWCB030</v>
      </c>
      <c r="E4796" s="1753" t="s">
        <v>11007</v>
      </c>
      <c r="G4796" t="str">
        <f>IF('4S'!V20="","##BLANK",'4S'!V20)</f>
        <v>##BLANK</v>
      </c>
    </row>
    <row r="4797" spans="2:7">
      <c r="B4797" s="1846" t="str">
        <f>'4S'!CH21</f>
        <v>STWCB044</v>
      </c>
      <c r="E4797" s="1753" t="s">
        <v>11007</v>
      </c>
      <c r="G4797" t="str">
        <f>IF('4S'!V21="","##BLANK",'4S'!V21)</f>
        <v>##BLANK</v>
      </c>
    </row>
    <row r="4798" spans="2:7">
      <c r="B4798" s="1846" t="str">
        <f>'4S'!CH22</f>
        <v>STWCB058</v>
      </c>
      <c r="E4798" s="1753" t="s">
        <v>11007</v>
      </c>
      <c r="G4798" t="str">
        <f>IF('4S'!V22="","##BLANK",'4S'!V22)</f>
        <v>##BLANK</v>
      </c>
    </row>
    <row r="4799" spans="2:7">
      <c r="B4799" s="1846" t="str">
        <f>'4S'!CH23</f>
        <v>STWCB102</v>
      </c>
      <c r="E4799" s="1753" t="s">
        <v>11007</v>
      </c>
      <c r="G4799" t="str">
        <f>IF('4S'!V23="","##BLANK",'4S'!V23)</f>
        <v>##BLANK</v>
      </c>
    </row>
    <row r="4800" spans="2:7">
      <c r="B4800" s="1846" t="str">
        <f>'4S'!CH24</f>
        <v>STWCB122</v>
      </c>
      <c r="E4800" s="1753" t="s">
        <v>11007</v>
      </c>
      <c r="G4800">
        <f>IF('4S'!V24="","##BLANK",'4S'!V24)</f>
        <v>0</v>
      </c>
    </row>
    <row r="4801" spans="2:7">
      <c r="B4801" s="1846" t="str">
        <f>'4S'!CI8</f>
        <v>STWDB003</v>
      </c>
      <c r="E4801" s="1753" t="s">
        <v>11007</v>
      </c>
      <c r="G4801" t="str">
        <f>IF('4S'!W8="","##BLANK",'4S'!W8)</f>
        <v>##BLANK</v>
      </c>
    </row>
    <row r="4802" spans="2:7">
      <c r="B4802" s="1846" t="str">
        <f>'4S'!CI9</f>
        <v>STWDB017</v>
      </c>
      <c r="E4802" s="1753" t="s">
        <v>11007</v>
      </c>
      <c r="G4802" t="str">
        <f>IF('4S'!W9="","##BLANK",'4S'!W9)</f>
        <v>##BLANK</v>
      </c>
    </row>
    <row r="4803" spans="2:7">
      <c r="B4803" s="1846" t="str">
        <f>'4S'!CI10</f>
        <v>STWDB031</v>
      </c>
      <c r="E4803" s="1753" t="s">
        <v>11007</v>
      </c>
      <c r="G4803" t="str">
        <f>IF('4S'!W10="","##BLANK",'4S'!W10)</f>
        <v>##BLANK</v>
      </c>
    </row>
    <row r="4804" spans="2:7">
      <c r="B4804" s="1846" t="str">
        <f>'4S'!CI11</f>
        <v>STWDB045</v>
      </c>
      <c r="E4804" s="1753" t="s">
        <v>11007</v>
      </c>
      <c r="G4804" t="str">
        <f>IF('4S'!W11="","##BLANK",'4S'!W11)</f>
        <v>##BLANK</v>
      </c>
    </row>
    <row r="4805" spans="2:7">
      <c r="B4805" s="1846" t="str">
        <f>'4S'!CI12</f>
        <v>STWDB059</v>
      </c>
      <c r="E4805" s="1753" t="s">
        <v>11007</v>
      </c>
      <c r="G4805" t="str">
        <f>IF('4S'!W12="","##BLANK",'4S'!W12)</f>
        <v>##BLANK</v>
      </c>
    </row>
    <row r="4806" spans="2:7">
      <c r="B4806" s="1846" t="str">
        <f>'4S'!CI13</f>
        <v>STWDB103</v>
      </c>
      <c r="E4806" s="1753" t="s">
        <v>11007</v>
      </c>
      <c r="G4806" t="str">
        <f>IF('4S'!W13="","##BLANK",'4S'!W13)</f>
        <v>##BLANK</v>
      </c>
    </row>
    <row r="4807" spans="2:7">
      <c r="B4807" s="1846" t="str">
        <f>'4S'!CI14</f>
        <v>STWDB123</v>
      </c>
      <c r="E4807" s="1753" t="s">
        <v>11007</v>
      </c>
      <c r="G4807">
        <f>IF('4S'!W14="","##BLANK",'4S'!W14)</f>
        <v>0</v>
      </c>
    </row>
    <row r="4808" spans="2:7">
      <c r="B4808" s="1846" t="str">
        <f>'4S'!CI18</f>
        <v>STWCB003</v>
      </c>
      <c r="E4808" s="1753" t="s">
        <v>11007</v>
      </c>
      <c r="G4808" t="str">
        <f>IF('4S'!W18="","##BLANK",'4S'!W18)</f>
        <v>##BLANK</v>
      </c>
    </row>
    <row r="4809" spans="2:7">
      <c r="B4809" s="1846" t="str">
        <f>'4S'!CI19</f>
        <v>STWCB017</v>
      </c>
      <c r="E4809" s="1753" t="s">
        <v>11007</v>
      </c>
      <c r="G4809" t="str">
        <f>IF('4S'!W19="","##BLANK",'4S'!W19)</f>
        <v>##BLANK</v>
      </c>
    </row>
    <row r="4810" spans="2:7">
      <c r="B4810" s="1846" t="str">
        <f>'4S'!CI20</f>
        <v>STWCB031</v>
      </c>
      <c r="E4810" s="1753" t="s">
        <v>11007</v>
      </c>
      <c r="G4810" t="str">
        <f>IF('4S'!W20="","##BLANK",'4S'!W20)</f>
        <v>##BLANK</v>
      </c>
    </row>
    <row r="4811" spans="2:7">
      <c r="B4811" s="1846" t="str">
        <f>'4S'!CI21</f>
        <v>STWCB045</v>
      </c>
      <c r="E4811" s="1753" t="s">
        <v>11007</v>
      </c>
      <c r="G4811" t="str">
        <f>IF('4S'!W21="","##BLANK",'4S'!W21)</f>
        <v>##BLANK</v>
      </c>
    </row>
    <row r="4812" spans="2:7">
      <c r="B4812" s="1846" t="str">
        <f>'4S'!CI22</f>
        <v>STWCB059</v>
      </c>
      <c r="E4812" s="1753" t="s">
        <v>11007</v>
      </c>
      <c r="G4812" t="str">
        <f>IF('4S'!W22="","##BLANK",'4S'!W22)</f>
        <v>##BLANK</v>
      </c>
    </row>
    <row r="4813" spans="2:7">
      <c r="B4813" s="1846" t="str">
        <f>'4S'!CI23</f>
        <v>STWCB103</v>
      </c>
      <c r="E4813" s="1753" t="s">
        <v>11007</v>
      </c>
      <c r="G4813" t="str">
        <f>IF('4S'!W23="","##BLANK",'4S'!W23)</f>
        <v>##BLANK</v>
      </c>
    </row>
    <row r="4814" spans="2:7">
      <c r="B4814" s="1846" t="str">
        <f>'4S'!CI24</f>
        <v>STWCB123</v>
      </c>
      <c r="E4814" s="1753" t="s">
        <v>11007</v>
      </c>
      <c r="G4814">
        <f>IF('4S'!W24="","##BLANK",'4S'!W24)</f>
        <v>0</v>
      </c>
    </row>
    <row r="4815" spans="2:7">
      <c r="B4815" s="1846" t="str">
        <f>'4S'!CJ8</f>
        <v>STWDB004</v>
      </c>
      <c r="E4815" s="1753" t="s">
        <v>11007</v>
      </c>
      <c r="G4815" t="str">
        <f>IF('4S'!X8="","##BLANK",'4S'!X8)</f>
        <v>##BLANK</v>
      </c>
    </row>
    <row r="4816" spans="2:7">
      <c r="B4816" s="1846" t="str">
        <f>'4S'!CJ9</f>
        <v>STWDB018</v>
      </c>
      <c r="E4816" s="1753" t="s">
        <v>11007</v>
      </c>
      <c r="G4816" t="str">
        <f>IF('4S'!X9="","##BLANK",'4S'!X9)</f>
        <v>##BLANK</v>
      </c>
    </row>
    <row r="4817" spans="2:7">
      <c r="B4817" s="1846" t="str">
        <f>'4S'!CJ10</f>
        <v>STWDB032</v>
      </c>
      <c r="E4817" s="1753" t="s">
        <v>11007</v>
      </c>
      <c r="G4817" t="str">
        <f>IF('4S'!X10="","##BLANK",'4S'!X10)</f>
        <v>##BLANK</v>
      </c>
    </row>
    <row r="4818" spans="2:7">
      <c r="B4818" s="1846" t="str">
        <f>'4S'!CJ11</f>
        <v>STWDB046</v>
      </c>
      <c r="E4818" s="1753" t="s">
        <v>11007</v>
      </c>
      <c r="G4818" t="str">
        <f>IF('4S'!X11="","##BLANK",'4S'!X11)</f>
        <v>##BLANK</v>
      </c>
    </row>
    <row r="4819" spans="2:7">
      <c r="B4819" s="1846" t="str">
        <f>'4S'!CJ12</f>
        <v>STWDB060</v>
      </c>
      <c r="E4819" s="1753" t="s">
        <v>11007</v>
      </c>
      <c r="G4819" t="str">
        <f>IF('4S'!X12="","##BLANK",'4S'!X12)</f>
        <v>##BLANK</v>
      </c>
    </row>
    <row r="4820" spans="2:7">
      <c r="B4820" s="1846" t="str">
        <f>'4S'!CJ13</f>
        <v>STWDB104</v>
      </c>
      <c r="E4820" s="1753" t="s">
        <v>11007</v>
      </c>
      <c r="G4820" t="str">
        <f>IF('4S'!X13="","##BLANK",'4S'!X13)</f>
        <v>##BLANK</v>
      </c>
    </row>
    <row r="4821" spans="2:7">
      <c r="B4821" s="1846" t="str">
        <f>'4S'!CJ14</f>
        <v>STWDB124</v>
      </c>
      <c r="E4821" s="1753" t="s">
        <v>11007</v>
      </c>
      <c r="G4821">
        <f>IF('4S'!X14="","##BLANK",'4S'!X14)</f>
        <v>0</v>
      </c>
    </row>
    <row r="4822" spans="2:7">
      <c r="B4822" s="1846" t="str">
        <f>'4S'!CJ18</f>
        <v>STWCB004</v>
      </c>
      <c r="E4822" s="1753" t="s">
        <v>11007</v>
      </c>
      <c r="G4822" t="str">
        <f>IF('4S'!X18="","##BLANK",'4S'!X18)</f>
        <v>##BLANK</v>
      </c>
    </row>
    <row r="4823" spans="2:7">
      <c r="B4823" s="1846" t="str">
        <f>'4S'!CJ19</f>
        <v>STWCB018</v>
      </c>
      <c r="E4823" s="1753" t="s">
        <v>11007</v>
      </c>
      <c r="G4823" t="str">
        <f>IF('4S'!X19="","##BLANK",'4S'!X19)</f>
        <v>##BLANK</v>
      </c>
    </row>
    <row r="4824" spans="2:7">
      <c r="B4824" s="1846" t="str">
        <f>'4S'!CJ20</f>
        <v>STWCB032</v>
      </c>
      <c r="E4824" s="1753" t="s">
        <v>11007</v>
      </c>
      <c r="G4824" t="str">
        <f>IF('4S'!X20="","##BLANK",'4S'!X20)</f>
        <v>##BLANK</v>
      </c>
    </row>
    <row r="4825" spans="2:7">
      <c r="B4825" s="1846" t="str">
        <f>'4S'!CJ21</f>
        <v>STWCB046</v>
      </c>
      <c r="E4825" s="1753" t="s">
        <v>11007</v>
      </c>
      <c r="G4825" t="str">
        <f>IF('4S'!X21="","##BLANK",'4S'!X21)</f>
        <v>##BLANK</v>
      </c>
    </row>
    <row r="4826" spans="2:7">
      <c r="B4826" s="1846" t="str">
        <f>'4S'!CJ22</f>
        <v>STWCB060</v>
      </c>
      <c r="E4826" s="1753" t="s">
        <v>11007</v>
      </c>
      <c r="G4826" t="str">
        <f>IF('4S'!X22="","##BLANK",'4S'!X22)</f>
        <v>##BLANK</v>
      </c>
    </row>
    <row r="4827" spans="2:7">
      <c r="B4827" s="1846" t="str">
        <f>'4S'!CJ23</f>
        <v>STWCB104</v>
      </c>
      <c r="E4827" s="1753" t="s">
        <v>11007</v>
      </c>
      <c r="G4827" t="str">
        <f>IF('4S'!X23="","##BLANK",'4S'!X23)</f>
        <v>##BLANK</v>
      </c>
    </row>
    <row r="4828" spans="2:7">
      <c r="B4828" s="1846" t="str">
        <f>'4S'!CJ24</f>
        <v>STWCB124</v>
      </c>
      <c r="E4828" s="1753" t="s">
        <v>11007</v>
      </c>
      <c r="G4828">
        <f>IF('4S'!X24="","##BLANK",'4S'!X24)</f>
        <v>0</v>
      </c>
    </row>
    <row r="4829" spans="2:7">
      <c r="B4829" s="1846" t="str">
        <f>'4S'!CK8</f>
        <v>STWDB005</v>
      </c>
      <c r="E4829" s="1753" t="s">
        <v>11007</v>
      </c>
      <c r="G4829" t="str">
        <f>IF('4S'!Y8="","##BLANK",'4S'!Y8)</f>
        <v>##BLANK</v>
      </c>
    </row>
    <row r="4830" spans="2:7">
      <c r="B4830" s="1846" t="str">
        <f>'4S'!CK9</f>
        <v>STWDB019</v>
      </c>
      <c r="E4830" s="1753" t="s">
        <v>11007</v>
      </c>
      <c r="G4830" t="str">
        <f>IF('4S'!Y9="","##BLANK",'4S'!Y9)</f>
        <v>##BLANK</v>
      </c>
    </row>
    <row r="4831" spans="2:7">
      <c r="B4831" s="1846" t="str">
        <f>'4S'!CK10</f>
        <v>STWDB033</v>
      </c>
      <c r="E4831" s="1753" t="s">
        <v>11007</v>
      </c>
      <c r="G4831" t="str">
        <f>IF('4S'!Y10="","##BLANK",'4S'!Y10)</f>
        <v>##BLANK</v>
      </c>
    </row>
    <row r="4832" spans="2:7">
      <c r="B4832" s="1846" t="str">
        <f>'4S'!CK11</f>
        <v>STWDB047</v>
      </c>
      <c r="E4832" s="1753" t="s">
        <v>11007</v>
      </c>
      <c r="G4832" t="str">
        <f>IF('4S'!Y11="","##BLANK",'4S'!Y11)</f>
        <v>##BLANK</v>
      </c>
    </row>
    <row r="4833" spans="2:7">
      <c r="B4833" s="1846" t="str">
        <f>'4S'!CK12</f>
        <v>STWDB061</v>
      </c>
      <c r="E4833" s="1753" t="s">
        <v>11007</v>
      </c>
      <c r="G4833" t="str">
        <f>IF('4S'!Y12="","##BLANK",'4S'!Y12)</f>
        <v>##BLANK</v>
      </c>
    </row>
    <row r="4834" spans="2:7">
      <c r="B4834" s="1846" t="str">
        <f>'4S'!CK13</f>
        <v>STWDB105</v>
      </c>
      <c r="E4834" s="1753" t="s">
        <v>11007</v>
      </c>
      <c r="G4834" t="str">
        <f>IF('4S'!Y13="","##BLANK",'4S'!Y13)</f>
        <v>##BLANK</v>
      </c>
    </row>
    <row r="4835" spans="2:7">
      <c r="B4835" s="1846" t="str">
        <f>'4S'!CK14</f>
        <v>STWDB125</v>
      </c>
      <c r="E4835" s="1753" t="s">
        <v>11007</v>
      </c>
      <c r="G4835">
        <f>IF('4S'!Y14="","##BLANK",'4S'!Y14)</f>
        <v>0</v>
      </c>
    </row>
    <row r="4836" spans="2:7">
      <c r="B4836" s="1846" t="str">
        <f>'4S'!CK18</f>
        <v>STWCB005</v>
      </c>
      <c r="E4836" s="1753" t="s">
        <v>11007</v>
      </c>
      <c r="G4836" t="str">
        <f>IF('4S'!Y18="","##BLANK",'4S'!Y18)</f>
        <v>##BLANK</v>
      </c>
    </row>
    <row r="4837" spans="2:7">
      <c r="B4837" s="1846" t="str">
        <f>'4S'!CK19</f>
        <v>STWCB019</v>
      </c>
      <c r="E4837" s="1753" t="s">
        <v>11007</v>
      </c>
      <c r="G4837" t="str">
        <f>IF('4S'!Y19="","##BLANK",'4S'!Y19)</f>
        <v>##BLANK</v>
      </c>
    </row>
    <row r="4838" spans="2:7">
      <c r="B4838" s="1846" t="str">
        <f>'4S'!CK20</f>
        <v>STWCB033</v>
      </c>
      <c r="E4838" s="1753" t="s">
        <v>11007</v>
      </c>
      <c r="G4838" t="str">
        <f>IF('4S'!Y20="","##BLANK",'4S'!Y20)</f>
        <v>##BLANK</v>
      </c>
    </row>
    <row r="4839" spans="2:7">
      <c r="B4839" s="1846" t="str">
        <f>'4S'!CK21</f>
        <v>STWCB047</v>
      </c>
      <c r="E4839" s="1753" t="s">
        <v>11007</v>
      </c>
      <c r="G4839" t="str">
        <f>IF('4S'!Y21="","##BLANK",'4S'!Y21)</f>
        <v>##BLANK</v>
      </c>
    </row>
    <row r="4840" spans="2:7">
      <c r="B4840" s="1846" t="str">
        <f>'4S'!CK22</f>
        <v>STWCB061</v>
      </c>
      <c r="E4840" s="1753" t="s">
        <v>11007</v>
      </c>
      <c r="G4840" t="str">
        <f>IF('4S'!Y22="","##BLANK",'4S'!Y22)</f>
        <v>##BLANK</v>
      </c>
    </row>
    <row r="4841" spans="2:7">
      <c r="B4841" s="1846" t="str">
        <f>'4S'!CK23</f>
        <v>STWCB105</v>
      </c>
      <c r="E4841" s="1753" t="s">
        <v>11007</v>
      </c>
      <c r="G4841" t="str">
        <f>IF('4S'!Y23="","##BLANK",'4S'!Y23)</f>
        <v>##BLANK</v>
      </c>
    </row>
    <row r="4842" spans="2:7">
      <c r="B4842" s="1846" t="str">
        <f>'4S'!CK24</f>
        <v>STWCB125</v>
      </c>
      <c r="E4842" s="1753" t="s">
        <v>11007</v>
      </c>
      <c r="G4842">
        <f>IF('4S'!Y24="","##BLANK",'4S'!Y24)</f>
        <v>0</v>
      </c>
    </row>
    <row r="4843" spans="2:7">
      <c r="B4843" s="1846" t="str">
        <f>'4S'!CL8</f>
        <v>STWDB006</v>
      </c>
      <c r="E4843" s="1753" t="s">
        <v>11007</v>
      </c>
      <c r="G4843">
        <f>IF('4S'!Z8="","##BLANK",'4S'!Z8)</f>
        <v>0</v>
      </c>
    </row>
    <row r="4844" spans="2:7">
      <c r="B4844" s="1846" t="str">
        <f>'4S'!CL9</f>
        <v>STWDB020</v>
      </c>
      <c r="E4844" s="1753" t="s">
        <v>11007</v>
      </c>
      <c r="G4844">
        <f>IF('4S'!Z9="","##BLANK",'4S'!Z9)</f>
        <v>0</v>
      </c>
    </row>
    <row r="4845" spans="2:7">
      <c r="B4845" s="1846" t="str">
        <f>'4S'!CL10</f>
        <v>STWDB034</v>
      </c>
      <c r="E4845" s="1753" t="s">
        <v>11007</v>
      </c>
      <c r="G4845">
        <f>IF('4S'!Z10="","##BLANK",'4S'!Z10)</f>
        <v>0</v>
      </c>
    </row>
    <row r="4846" spans="2:7">
      <c r="B4846" s="1846" t="str">
        <f>'4S'!CL11</f>
        <v>STWDB048</v>
      </c>
      <c r="E4846" s="1753" t="s">
        <v>11007</v>
      </c>
      <c r="G4846">
        <f>IF('4S'!Z11="","##BLANK",'4S'!Z11)</f>
        <v>0</v>
      </c>
    </row>
    <row r="4847" spans="2:7">
      <c r="B4847" s="1846" t="str">
        <f>'4S'!CL12</f>
        <v>STWDB062</v>
      </c>
      <c r="E4847" s="1753" t="s">
        <v>11007</v>
      </c>
      <c r="G4847">
        <f>IF('4S'!Z12="","##BLANK",'4S'!Z12)</f>
        <v>0</v>
      </c>
    </row>
    <row r="4848" spans="2:7">
      <c r="B4848" s="1846" t="str">
        <f>'4S'!CL13</f>
        <v>STWDB106</v>
      </c>
      <c r="E4848" s="1753" t="s">
        <v>11007</v>
      </c>
      <c r="G4848">
        <f>IF('4S'!Z13="","##BLANK",'4S'!Z13)</f>
        <v>0</v>
      </c>
    </row>
    <row r="4849" spans="2:7">
      <c r="B4849" s="1846" t="str">
        <f>'4S'!CL14</f>
        <v>STWDB126</v>
      </c>
      <c r="E4849" s="1753" t="s">
        <v>11007</v>
      </c>
      <c r="G4849">
        <f>IF('4S'!Z14="","##BLANK",'4S'!Z14)</f>
        <v>0</v>
      </c>
    </row>
    <row r="4850" spans="2:7">
      <c r="B4850" s="1846" t="str">
        <f>'4S'!CL18</f>
        <v>STWCB006</v>
      </c>
      <c r="E4850" s="1753" t="s">
        <v>11007</v>
      </c>
      <c r="G4850">
        <f>IF('4S'!Z18="","##BLANK",'4S'!Z18)</f>
        <v>0</v>
      </c>
    </row>
    <row r="4851" spans="2:7">
      <c r="B4851" s="1846" t="str">
        <f>'4S'!CL19</f>
        <v>STWCB020</v>
      </c>
      <c r="E4851" s="1753" t="s">
        <v>11007</v>
      </c>
      <c r="G4851">
        <f>IF('4S'!Z19="","##BLANK",'4S'!Z19)</f>
        <v>0</v>
      </c>
    </row>
    <row r="4852" spans="2:7">
      <c r="B4852" s="1846" t="str">
        <f>'4S'!CL20</f>
        <v>STWCB034</v>
      </c>
      <c r="E4852" s="1753" t="s">
        <v>11007</v>
      </c>
      <c r="G4852">
        <f>IF('4S'!Z20="","##BLANK",'4S'!Z20)</f>
        <v>0</v>
      </c>
    </row>
    <row r="4853" spans="2:7">
      <c r="B4853" s="1846" t="str">
        <f>'4S'!CL21</f>
        <v>STWCB048</v>
      </c>
      <c r="E4853" s="1753" t="s">
        <v>11007</v>
      </c>
      <c r="G4853">
        <f>IF('4S'!Z21="","##BLANK",'4S'!Z21)</f>
        <v>0</v>
      </c>
    </row>
    <row r="4854" spans="2:7">
      <c r="B4854" s="1846" t="str">
        <f>'4S'!CL22</f>
        <v>STWCB062</v>
      </c>
      <c r="E4854" s="1753" t="s">
        <v>11007</v>
      </c>
      <c r="G4854">
        <f>IF('4S'!Z22="","##BLANK",'4S'!Z22)</f>
        <v>0</v>
      </c>
    </row>
    <row r="4855" spans="2:7">
      <c r="B4855" s="1846" t="str">
        <f>'4S'!CL23</f>
        <v>STWCB106</v>
      </c>
      <c r="E4855" s="1753" t="s">
        <v>11007</v>
      </c>
      <c r="G4855">
        <f>IF('4S'!Z23="","##BLANK",'4S'!Z23)</f>
        <v>0</v>
      </c>
    </row>
    <row r="4856" spans="2:7">
      <c r="B4856" s="1846" t="str">
        <f>'4S'!CL24</f>
        <v>STWCB126</v>
      </c>
      <c r="E4856" s="1753" t="s">
        <v>11007</v>
      </c>
      <c r="G4856">
        <f>IF('4S'!Z24="","##BLANK",'4S'!Z24)</f>
        <v>0</v>
      </c>
    </row>
    <row r="4857" spans="2:7">
      <c r="B4857" s="1846" t="str">
        <f>'4S'!CM8</f>
        <v>STWDA001</v>
      </c>
      <c r="E4857" s="1753" t="s">
        <v>11007</v>
      </c>
      <c r="G4857" t="str">
        <f>IF('4S'!AA8="","##BLANK",'4S'!AA8)</f>
        <v>##BLANK</v>
      </c>
    </row>
    <row r="4858" spans="2:7">
      <c r="B4858" s="1846" t="str">
        <f>'4S'!CM9</f>
        <v>STWDA015</v>
      </c>
      <c r="E4858" s="1753" t="s">
        <v>11007</v>
      </c>
      <c r="G4858" t="str">
        <f>IF('4S'!AA9="","##BLANK",'4S'!AA9)</f>
        <v>##BLANK</v>
      </c>
    </row>
    <row r="4859" spans="2:7">
      <c r="B4859" s="1846" t="str">
        <f>'4S'!CM10</f>
        <v>STWDA029</v>
      </c>
      <c r="E4859" s="1753" t="s">
        <v>11007</v>
      </c>
      <c r="G4859" t="str">
        <f>IF('4S'!AA10="","##BLANK",'4S'!AA10)</f>
        <v>##BLANK</v>
      </c>
    </row>
    <row r="4860" spans="2:7">
      <c r="B4860" s="1846" t="str">
        <f>'4S'!CM11</f>
        <v>STWDA043</v>
      </c>
      <c r="E4860" s="1753" t="s">
        <v>11007</v>
      </c>
      <c r="G4860" t="str">
        <f>IF('4S'!AA11="","##BLANK",'4S'!AA11)</f>
        <v>##BLANK</v>
      </c>
    </row>
    <row r="4861" spans="2:7">
      <c r="B4861" s="1846" t="str">
        <f>'4S'!CM12</f>
        <v>STWDA057</v>
      </c>
      <c r="E4861" s="1753" t="s">
        <v>11007</v>
      </c>
      <c r="G4861" t="str">
        <f>IF('4S'!AA12="","##BLANK",'4S'!AA12)</f>
        <v>##BLANK</v>
      </c>
    </row>
    <row r="4862" spans="2:7">
      <c r="B4862" s="1846" t="str">
        <f>'4S'!CM13</f>
        <v>STWDA101</v>
      </c>
      <c r="E4862" s="1753" t="s">
        <v>11007</v>
      </c>
      <c r="G4862" t="str">
        <f>IF('4S'!AA13="","##BLANK",'4S'!AA13)</f>
        <v>##BLANK</v>
      </c>
    </row>
    <row r="4863" spans="2:7">
      <c r="B4863" s="1846" t="str">
        <f>'4S'!CM14</f>
        <v>STWDA121</v>
      </c>
      <c r="E4863" s="1753" t="s">
        <v>11007</v>
      </c>
      <c r="G4863">
        <f>IF('4S'!AA14="","##BLANK",'4S'!AA14)</f>
        <v>0</v>
      </c>
    </row>
    <row r="4864" spans="2:7">
      <c r="B4864" s="1846" t="str">
        <f>'4S'!CM18</f>
        <v>STWCA001</v>
      </c>
      <c r="E4864" s="1753" t="s">
        <v>11007</v>
      </c>
      <c r="G4864" t="str">
        <f>IF('4S'!AA18="","##BLANK",'4S'!AA18)</f>
        <v>##BLANK</v>
      </c>
    </row>
    <row r="4865" spans="2:7">
      <c r="B4865" s="1846" t="str">
        <f>'4S'!CM19</f>
        <v>STWCA015</v>
      </c>
      <c r="E4865" s="1753" t="s">
        <v>11007</v>
      </c>
      <c r="G4865" t="str">
        <f>IF('4S'!AA19="","##BLANK",'4S'!AA19)</f>
        <v>##BLANK</v>
      </c>
    </row>
    <row r="4866" spans="2:7">
      <c r="B4866" s="1846" t="str">
        <f>'4S'!CM20</f>
        <v>STWCA029</v>
      </c>
      <c r="E4866" s="1753" t="s">
        <v>11007</v>
      </c>
      <c r="G4866" t="str">
        <f>IF('4S'!AA20="","##BLANK",'4S'!AA20)</f>
        <v>##BLANK</v>
      </c>
    </row>
    <row r="4867" spans="2:7">
      <c r="B4867" s="1846" t="str">
        <f>'4S'!CM21</f>
        <v>STWCA043</v>
      </c>
      <c r="E4867" s="1753" t="s">
        <v>11007</v>
      </c>
      <c r="G4867" t="str">
        <f>IF('4S'!AA21="","##BLANK",'4S'!AA21)</f>
        <v>##BLANK</v>
      </c>
    </row>
    <row r="4868" spans="2:7">
      <c r="B4868" s="1846" t="str">
        <f>'4S'!CM22</f>
        <v>STWCA057</v>
      </c>
      <c r="E4868" s="1753" t="s">
        <v>11007</v>
      </c>
      <c r="G4868" t="str">
        <f>IF('4S'!AA22="","##BLANK",'4S'!AA22)</f>
        <v>##BLANK</v>
      </c>
    </row>
    <row r="4869" spans="2:7">
      <c r="B4869" s="1846" t="str">
        <f>'4S'!CM23</f>
        <v>STWCA101</v>
      </c>
      <c r="E4869" s="1753" t="s">
        <v>11007</v>
      </c>
      <c r="G4869" t="str">
        <f>IF('4S'!AA23="","##BLANK",'4S'!AA23)</f>
        <v>##BLANK</v>
      </c>
    </row>
    <row r="4870" spans="2:7">
      <c r="B4870" s="1846" t="str">
        <f>'4S'!CM24</f>
        <v>STWCA121</v>
      </c>
      <c r="E4870" s="1753" t="s">
        <v>11007</v>
      </c>
      <c r="G4870">
        <f>IF('4S'!AA24="","##BLANK",'4S'!AA24)</f>
        <v>0</v>
      </c>
    </row>
    <row r="4871" spans="2:7">
      <c r="B4871" s="1846" t="str">
        <f>'4S'!CN8</f>
        <v>STWDA002</v>
      </c>
      <c r="E4871" s="1753" t="s">
        <v>11007</v>
      </c>
      <c r="G4871" t="str">
        <f>IF('4S'!AB8="","##BLANK",'4S'!AB8)</f>
        <v>##BLANK</v>
      </c>
    </row>
    <row r="4872" spans="2:7">
      <c r="B4872" s="1846" t="str">
        <f>'4S'!CN9</f>
        <v>STWDA016</v>
      </c>
      <c r="E4872" s="1753" t="s">
        <v>11007</v>
      </c>
      <c r="G4872" t="str">
        <f>IF('4S'!AB9="","##BLANK",'4S'!AB9)</f>
        <v>##BLANK</v>
      </c>
    </row>
    <row r="4873" spans="2:7">
      <c r="B4873" s="1846" t="str">
        <f>'4S'!CN10</f>
        <v>STWDA030</v>
      </c>
      <c r="E4873" s="1753" t="s">
        <v>11007</v>
      </c>
      <c r="G4873" t="str">
        <f>IF('4S'!AB10="","##BLANK",'4S'!AB10)</f>
        <v>##BLANK</v>
      </c>
    </row>
    <row r="4874" spans="2:7">
      <c r="B4874" s="1846" t="str">
        <f>'4S'!CN11</f>
        <v>STWDA044</v>
      </c>
      <c r="E4874" s="1753" t="s">
        <v>11007</v>
      </c>
      <c r="G4874" t="str">
        <f>IF('4S'!AB11="","##BLANK",'4S'!AB11)</f>
        <v>##BLANK</v>
      </c>
    </row>
    <row r="4875" spans="2:7">
      <c r="B4875" s="1846" t="str">
        <f>'4S'!CN12</f>
        <v>STWDA058</v>
      </c>
      <c r="E4875" s="1753" t="s">
        <v>11007</v>
      </c>
      <c r="G4875" t="str">
        <f>IF('4S'!AB12="","##BLANK",'4S'!AB12)</f>
        <v>##BLANK</v>
      </c>
    </row>
    <row r="4876" spans="2:7">
      <c r="B4876" s="1846" t="str">
        <f>'4S'!CN13</f>
        <v>STWDA102</v>
      </c>
      <c r="E4876" s="1753" t="s">
        <v>11007</v>
      </c>
      <c r="G4876" t="str">
        <f>IF('4S'!AB13="","##BLANK",'4S'!AB13)</f>
        <v>##BLANK</v>
      </c>
    </row>
    <row r="4877" spans="2:7">
      <c r="B4877" s="1846" t="str">
        <f>'4S'!CN14</f>
        <v>STWDA122</v>
      </c>
      <c r="E4877" s="1753" t="s">
        <v>11007</v>
      </c>
      <c r="G4877">
        <f>IF('4S'!AB14="","##BLANK",'4S'!AB14)</f>
        <v>0</v>
      </c>
    </row>
    <row r="4878" spans="2:7">
      <c r="B4878" s="1846" t="str">
        <f>'4S'!CN18</f>
        <v>STWCA002</v>
      </c>
      <c r="E4878" s="1753" t="s">
        <v>11007</v>
      </c>
      <c r="G4878" t="str">
        <f>IF('4S'!AB18="","##BLANK",'4S'!AB18)</f>
        <v>##BLANK</v>
      </c>
    </row>
    <row r="4879" spans="2:7">
      <c r="B4879" s="1846" t="str">
        <f>'4S'!CN19</f>
        <v>STWCA016</v>
      </c>
      <c r="E4879" s="1753" t="s">
        <v>11007</v>
      </c>
      <c r="G4879" t="str">
        <f>IF('4S'!AB19="","##BLANK",'4S'!AB19)</f>
        <v>##BLANK</v>
      </c>
    </row>
    <row r="4880" spans="2:7">
      <c r="B4880" s="1846" t="str">
        <f>'4S'!CN20</f>
        <v>STWCA030</v>
      </c>
      <c r="E4880" s="1753" t="s">
        <v>11007</v>
      </c>
      <c r="G4880" t="str">
        <f>IF('4S'!AB20="","##BLANK",'4S'!AB20)</f>
        <v>##BLANK</v>
      </c>
    </row>
    <row r="4881" spans="2:7">
      <c r="B4881" s="1846" t="str">
        <f>'4S'!CN21</f>
        <v>STWCA044</v>
      </c>
      <c r="E4881" s="1753" t="s">
        <v>11007</v>
      </c>
      <c r="G4881" t="str">
        <f>IF('4S'!AB21="","##BLANK",'4S'!AB21)</f>
        <v>##BLANK</v>
      </c>
    </row>
    <row r="4882" spans="2:7">
      <c r="B4882" s="1846" t="str">
        <f>'4S'!CN22</f>
        <v>STWCA058</v>
      </c>
      <c r="E4882" s="1753" t="s">
        <v>11007</v>
      </c>
      <c r="G4882" t="str">
        <f>IF('4S'!AB22="","##BLANK",'4S'!AB22)</f>
        <v>##BLANK</v>
      </c>
    </row>
    <row r="4883" spans="2:7">
      <c r="B4883" s="1846" t="str">
        <f>'4S'!CN23</f>
        <v>STWCA102</v>
      </c>
      <c r="E4883" s="1753" t="s">
        <v>11007</v>
      </c>
      <c r="G4883" t="str">
        <f>IF('4S'!AB23="","##BLANK",'4S'!AB23)</f>
        <v>##BLANK</v>
      </c>
    </row>
    <row r="4884" spans="2:7">
      <c r="B4884" s="1846" t="str">
        <f>'4S'!CN24</f>
        <v>STWCA122</v>
      </c>
      <c r="E4884" s="1753" t="s">
        <v>11007</v>
      </c>
      <c r="G4884">
        <f>IF('4S'!AB24="","##BLANK",'4S'!AB24)</f>
        <v>0</v>
      </c>
    </row>
    <row r="4885" spans="2:7">
      <c r="B4885" s="1846" t="str">
        <f>'4S'!CO8</f>
        <v>STWDA003</v>
      </c>
      <c r="E4885" s="1753" t="s">
        <v>11007</v>
      </c>
      <c r="G4885" t="str">
        <f>IF('4S'!AC8="","##BLANK",'4S'!AC8)</f>
        <v>##BLANK</v>
      </c>
    </row>
    <row r="4886" spans="2:7">
      <c r="B4886" s="1846" t="str">
        <f>'4S'!CO9</f>
        <v>STWDA017</v>
      </c>
      <c r="E4886" s="1753" t="s">
        <v>11007</v>
      </c>
      <c r="G4886" t="str">
        <f>IF('4S'!AC9="","##BLANK",'4S'!AC9)</f>
        <v>##BLANK</v>
      </c>
    </row>
    <row r="4887" spans="2:7">
      <c r="B4887" s="1846" t="str">
        <f>'4S'!CO10</f>
        <v>STWDA031</v>
      </c>
      <c r="E4887" s="1753" t="s">
        <v>11007</v>
      </c>
      <c r="G4887" t="str">
        <f>IF('4S'!AC10="","##BLANK",'4S'!AC10)</f>
        <v>##BLANK</v>
      </c>
    </row>
    <row r="4888" spans="2:7">
      <c r="B4888" s="1846" t="str">
        <f>'4S'!CO11</f>
        <v>STWDA045</v>
      </c>
      <c r="E4888" s="1753" t="s">
        <v>11007</v>
      </c>
      <c r="G4888" t="str">
        <f>IF('4S'!AC11="","##BLANK",'4S'!AC11)</f>
        <v>##BLANK</v>
      </c>
    </row>
    <row r="4889" spans="2:7">
      <c r="B4889" s="1846" t="str">
        <f>'4S'!CO12</f>
        <v>STWDA059</v>
      </c>
      <c r="E4889" s="1753" t="s">
        <v>11007</v>
      </c>
      <c r="G4889" t="str">
        <f>IF('4S'!AC12="","##BLANK",'4S'!AC12)</f>
        <v>##BLANK</v>
      </c>
    </row>
    <row r="4890" spans="2:7">
      <c r="B4890" s="1846" t="str">
        <f>'4S'!CO13</f>
        <v>STWDA103</v>
      </c>
      <c r="E4890" s="1753" t="s">
        <v>11007</v>
      </c>
      <c r="G4890" t="str">
        <f>IF('4S'!AC13="","##BLANK",'4S'!AC13)</f>
        <v>##BLANK</v>
      </c>
    </row>
    <row r="4891" spans="2:7">
      <c r="B4891" s="1846" t="str">
        <f>'4S'!CO14</f>
        <v>STWDA123</v>
      </c>
      <c r="E4891" s="1753" t="s">
        <v>11007</v>
      </c>
      <c r="G4891">
        <f>IF('4S'!AC14="","##BLANK",'4S'!AC14)</f>
        <v>0</v>
      </c>
    </row>
    <row r="4892" spans="2:7">
      <c r="B4892" s="1846" t="str">
        <f>'4S'!CO18</f>
        <v>STWCA003</v>
      </c>
      <c r="E4892" s="1753" t="s">
        <v>11007</v>
      </c>
      <c r="G4892" t="str">
        <f>IF('4S'!AC18="","##BLANK",'4S'!AC18)</f>
        <v>##BLANK</v>
      </c>
    </row>
    <row r="4893" spans="2:7">
      <c r="B4893" s="1846" t="str">
        <f>'4S'!CO19</f>
        <v>STWCA017</v>
      </c>
      <c r="E4893" s="1753" t="s">
        <v>11007</v>
      </c>
      <c r="G4893" t="str">
        <f>IF('4S'!AC19="","##BLANK",'4S'!AC19)</f>
        <v>##BLANK</v>
      </c>
    </row>
    <row r="4894" spans="2:7">
      <c r="B4894" s="1846" t="str">
        <f>'4S'!CO20</f>
        <v>STWCA031</v>
      </c>
      <c r="E4894" s="1753" t="s">
        <v>11007</v>
      </c>
      <c r="G4894" t="str">
        <f>IF('4S'!AC20="","##BLANK",'4S'!AC20)</f>
        <v>##BLANK</v>
      </c>
    </row>
    <row r="4895" spans="2:7">
      <c r="B4895" s="1846" t="str">
        <f>'4S'!CO21</f>
        <v>STWCA045</v>
      </c>
      <c r="E4895" s="1753" t="s">
        <v>11007</v>
      </c>
      <c r="G4895" t="str">
        <f>IF('4S'!AC21="","##BLANK",'4S'!AC21)</f>
        <v>##BLANK</v>
      </c>
    </row>
    <row r="4896" spans="2:7">
      <c r="B4896" s="1846" t="str">
        <f>'4S'!CO22</f>
        <v>STWCA059</v>
      </c>
      <c r="E4896" s="1753" t="s">
        <v>11007</v>
      </c>
      <c r="G4896" t="str">
        <f>IF('4S'!AC22="","##BLANK",'4S'!AC22)</f>
        <v>##BLANK</v>
      </c>
    </row>
    <row r="4897" spans="2:7">
      <c r="B4897" s="1846" t="str">
        <f>'4S'!CO23</f>
        <v>STWCA103</v>
      </c>
      <c r="E4897" s="1753" t="s">
        <v>11007</v>
      </c>
      <c r="G4897" t="str">
        <f>IF('4S'!AC23="","##BLANK",'4S'!AC23)</f>
        <v>##BLANK</v>
      </c>
    </row>
    <row r="4898" spans="2:7">
      <c r="B4898" s="1846" t="str">
        <f>'4S'!CO24</f>
        <v>STWCA123</v>
      </c>
      <c r="E4898" s="1753" t="s">
        <v>11007</v>
      </c>
      <c r="G4898">
        <f>IF('4S'!AC24="","##BLANK",'4S'!AC24)</f>
        <v>0</v>
      </c>
    </row>
    <row r="4899" spans="2:7">
      <c r="B4899" s="1846" t="str">
        <f>'4S'!CP8</f>
        <v>STWDA004</v>
      </c>
      <c r="E4899" s="1753" t="s">
        <v>11007</v>
      </c>
      <c r="G4899" t="str">
        <f>IF('4S'!AD8="","##BLANK",'4S'!AD8)</f>
        <v>##BLANK</v>
      </c>
    </row>
    <row r="4900" spans="2:7">
      <c r="B4900" s="1846" t="str">
        <f>'4S'!CP9</f>
        <v>STWDA018</v>
      </c>
      <c r="E4900" s="1753" t="s">
        <v>11007</v>
      </c>
      <c r="G4900" t="str">
        <f>IF('4S'!AD9="","##BLANK",'4S'!AD9)</f>
        <v>##BLANK</v>
      </c>
    </row>
    <row r="4901" spans="2:7">
      <c r="B4901" s="1846" t="str">
        <f>'4S'!CP10</f>
        <v>STWDA032</v>
      </c>
      <c r="E4901" s="1753" t="s">
        <v>11007</v>
      </c>
      <c r="G4901" t="str">
        <f>IF('4S'!AD10="","##BLANK",'4S'!AD10)</f>
        <v>##BLANK</v>
      </c>
    </row>
    <row r="4902" spans="2:7">
      <c r="B4902" s="1846" t="str">
        <f>'4S'!CP11</f>
        <v>STWDA046</v>
      </c>
      <c r="E4902" s="1753" t="s">
        <v>11007</v>
      </c>
      <c r="G4902" t="str">
        <f>IF('4S'!AD11="","##BLANK",'4S'!AD11)</f>
        <v>##BLANK</v>
      </c>
    </row>
    <row r="4903" spans="2:7">
      <c r="B4903" s="1846" t="str">
        <f>'4S'!CP12</f>
        <v>STWDA060</v>
      </c>
      <c r="E4903" s="1753" t="s">
        <v>11007</v>
      </c>
      <c r="G4903" t="str">
        <f>IF('4S'!AD12="","##BLANK",'4S'!AD12)</f>
        <v>##BLANK</v>
      </c>
    </row>
    <row r="4904" spans="2:7">
      <c r="B4904" s="1846" t="str">
        <f>'4S'!CP13</f>
        <v>STWDA104</v>
      </c>
      <c r="E4904" s="1753" t="s">
        <v>11007</v>
      </c>
      <c r="G4904" t="str">
        <f>IF('4S'!AD13="","##BLANK",'4S'!AD13)</f>
        <v>##BLANK</v>
      </c>
    </row>
    <row r="4905" spans="2:7">
      <c r="B4905" s="1846" t="str">
        <f>'4S'!CP14</f>
        <v>STWDA124</v>
      </c>
      <c r="E4905" s="1753" t="s">
        <v>11007</v>
      </c>
      <c r="G4905">
        <f>IF('4S'!AD14="","##BLANK",'4S'!AD14)</f>
        <v>0</v>
      </c>
    </row>
    <row r="4906" spans="2:7">
      <c r="B4906" s="1846" t="str">
        <f>'4S'!CP18</f>
        <v>STWCA004</v>
      </c>
      <c r="E4906" s="1753" t="s">
        <v>11007</v>
      </c>
      <c r="G4906" t="str">
        <f>IF('4S'!AD18="","##BLANK",'4S'!AD18)</f>
        <v>##BLANK</v>
      </c>
    </row>
    <row r="4907" spans="2:7">
      <c r="B4907" s="1846" t="str">
        <f>'4S'!CP19</f>
        <v>STWCA018</v>
      </c>
      <c r="E4907" s="1753" t="s">
        <v>11007</v>
      </c>
      <c r="G4907" t="str">
        <f>IF('4S'!AD19="","##BLANK",'4S'!AD19)</f>
        <v>##BLANK</v>
      </c>
    </row>
    <row r="4908" spans="2:7">
      <c r="B4908" s="1846" t="str">
        <f>'4S'!CP20</f>
        <v>STWCA032</v>
      </c>
      <c r="E4908" s="1753" t="s">
        <v>11007</v>
      </c>
      <c r="G4908" t="str">
        <f>IF('4S'!AD20="","##BLANK",'4S'!AD20)</f>
        <v>##BLANK</v>
      </c>
    </row>
    <row r="4909" spans="2:7">
      <c r="B4909" s="1846" t="str">
        <f>'4S'!CP21</f>
        <v>STWCA046</v>
      </c>
      <c r="E4909" s="1753" t="s">
        <v>11007</v>
      </c>
      <c r="G4909" t="str">
        <f>IF('4S'!AD21="","##BLANK",'4S'!AD21)</f>
        <v>##BLANK</v>
      </c>
    </row>
    <row r="4910" spans="2:7">
      <c r="B4910" s="1846" t="str">
        <f>'4S'!CP22</f>
        <v>STWCA060</v>
      </c>
      <c r="E4910" s="1753" t="s">
        <v>11007</v>
      </c>
      <c r="G4910" t="str">
        <f>IF('4S'!AD22="","##BLANK",'4S'!AD22)</f>
        <v>##BLANK</v>
      </c>
    </row>
    <row r="4911" spans="2:7">
      <c r="B4911" s="1846" t="str">
        <f>'4S'!CP23</f>
        <v>STWCA104</v>
      </c>
      <c r="E4911" s="1753" t="s">
        <v>11007</v>
      </c>
      <c r="G4911" t="str">
        <f>IF('4S'!AD23="","##BLANK",'4S'!AD23)</f>
        <v>##BLANK</v>
      </c>
    </row>
    <row r="4912" spans="2:7">
      <c r="B4912" s="1846" t="str">
        <f>'4S'!CP24</f>
        <v>STWCA124</v>
      </c>
      <c r="E4912" s="1753" t="s">
        <v>11007</v>
      </c>
      <c r="G4912">
        <f>IF('4S'!AD24="","##BLANK",'4S'!AD24)</f>
        <v>0</v>
      </c>
    </row>
    <row r="4913" spans="2:7">
      <c r="B4913" s="1846" t="str">
        <f>'4S'!CQ8</f>
        <v>STWDA005</v>
      </c>
      <c r="E4913" s="1753" t="s">
        <v>11007</v>
      </c>
      <c r="G4913" t="str">
        <f>IF('4S'!AE8="","##BLANK",'4S'!AE8)</f>
        <v>##BLANK</v>
      </c>
    </row>
    <row r="4914" spans="2:7">
      <c r="B4914" s="1846" t="str">
        <f>'4S'!CQ9</f>
        <v>STWDA019</v>
      </c>
      <c r="E4914" s="1753" t="s">
        <v>11007</v>
      </c>
      <c r="G4914" t="str">
        <f>IF('4S'!AE9="","##BLANK",'4S'!AE9)</f>
        <v>##BLANK</v>
      </c>
    </row>
    <row r="4915" spans="2:7">
      <c r="B4915" s="1846" t="str">
        <f>'4S'!CQ10</f>
        <v>STWDA033</v>
      </c>
      <c r="E4915" s="1753" t="s">
        <v>11007</v>
      </c>
      <c r="G4915" t="str">
        <f>IF('4S'!AE10="","##BLANK",'4S'!AE10)</f>
        <v>##BLANK</v>
      </c>
    </row>
    <row r="4916" spans="2:7">
      <c r="B4916" s="1846" t="str">
        <f>'4S'!CQ11</f>
        <v>STWDA047</v>
      </c>
      <c r="E4916" s="1753" t="s">
        <v>11007</v>
      </c>
      <c r="G4916" t="str">
        <f>IF('4S'!AE11="","##BLANK",'4S'!AE11)</f>
        <v>##BLANK</v>
      </c>
    </row>
    <row r="4917" spans="2:7">
      <c r="B4917" s="1846" t="str">
        <f>'4S'!CQ12</f>
        <v>STWDA061</v>
      </c>
      <c r="E4917" s="1753" t="s">
        <v>11007</v>
      </c>
      <c r="G4917" t="str">
        <f>IF('4S'!AE12="","##BLANK",'4S'!AE12)</f>
        <v>##BLANK</v>
      </c>
    </row>
    <row r="4918" spans="2:7">
      <c r="B4918" s="1846" t="str">
        <f>'4S'!CQ13</f>
        <v>STWDA105</v>
      </c>
      <c r="E4918" s="1753" t="s">
        <v>11007</v>
      </c>
      <c r="G4918" t="str">
        <f>IF('4S'!AE13="","##BLANK",'4S'!AE13)</f>
        <v>##BLANK</v>
      </c>
    </row>
    <row r="4919" spans="2:7">
      <c r="B4919" s="1846" t="str">
        <f>'4S'!CQ14</f>
        <v>STWDA125</v>
      </c>
      <c r="E4919" s="1753" t="s">
        <v>11007</v>
      </c>
      <c r="G4919">
        <f>IF('4S'!AE14="","##BLANK",'4S'!AE14)</f>
        <v>0</v>
      </c>
    </row>
    <row r="4920" spans="2:7">
      <c r="B4920" s="1846" t="str">
        <f>'4S'!CQ18</f>
        <v>STWCA005</v>
      </c>
      <c r="E4920" s="1753" t="s">
        <v>11007</v>
      </c>
      <c r="G4920" t="str">
        <f>IF('4S'!AE18="","##BLANK",'4S'!AE18)</f>
        <v>##BLANK</v>
      </c>
    </row>
    <row r="4921" spans="2:7">
      <c r="B4921" s="1846" t="str">
        <f>'4S'!CQ19</f>
        <v>STWCA019</v>
      </c>
      <c r="E4921" s="1753" t="s">
        <v>11007</v>
      </c>
      <c r="G4921" t="str">
        <f>IF('4S'!AE19="","##BLANK",'4S'!AE19)</f>
        <v>##BLANK</v>
      </c>
    </row>
    <row r="4922" spans="2:7">
      <c r="B4922" s="1846" t="str">
        <f>'4S'!CQ20</f>
        <v>STWCA033</v>
      </c>
      <c r="E4922" s="1753" t="s">
        <v>11007</v>
      </c>
      <c r="G4922" t="str">
        <f>IF('4S'!AE20="","##BLANK",'4S'!AE20)</f>
        <v>##BLANK</v>
      </c>
    </row>
    <row r="4923" spans="2:7">
      <c r="B4923" s="1846" t="str">
        <f>'4S'!CQ21</f>
        <v>STWCA047</v>
      </c>
      <c r="E4923" s="1753" t="s">
        <v>11007</v>
      </c>
      <c r="G4923" t="str">
        <f>IF('4S'!AE21="","##BLANK",'4S'!AE21)</f>
        <v>##BLANK</v>
      </c>
    </row>
    <row r="4924" spans="2:7">
      <c r="B4924" s="1846" t="str">
        <f>'4S'!CQ22</f>
        <v>STWCA061</v>
      </c>
      <c r="E4924" s="1753" t="s">
        <v>11007</v>
      </c>
      <c r="G4924" t="str">
        <f>IF('4S'!AE22="","##BLANK",'4S'!AE22)</f>
        <v>##BLANK</v>
      </c>
    </row>
    <row r="4925" spans="2:7">
      <c r="B4925" s="1846" t="str">
        <f>'4S'!CQ23</f>
        <v>STWCA105</v>
      </c>
      <c r="E4925" s="1753" t="s">
        <v>11007</v>
      </c>
      <c r="G4925" t="str">
        <f>IF('4S'!AE23="","##BLANK",'4S'!AE23)</f>
        <v>##BLANK</v>
      </c>
    </row>
    <row r="4926" spans="2:7">
      <c r="B4926" s="1846" t="str">
        <f>'4S'!CQ24</f>
        <v>STWCA125</v>
      </c>
      <c r="E4926" s="1753" t="s">
        <v>11007</v>
      </c>
      <c r="G4926">
        <f>IF('4S'!AE24="","##BLANK",'4S'!AE24)</f>
        <v>0</v>
      </c>
    </row>
    <row r="4927" spans="2:7">
      <c r="B4927" s="1846" t="str">
        <f>'4S'!CR8</f>
        <v>STWDA006</v>
      </c>
      <c r="E4927" s="1753" t="s">
        <v>11007</v>
      </c>
      <c r="G4927">
        <f>IF('4S'!AF8="","##BLANK",'4S'!AF8)</f>
        <v>0</v>
      </c>
    </row>
    <row r="4928" spans="2:7">
      <c r="B4928" s="1846" t="str">
        <f>'4S'!CR9</f>
        <v>STWDA020</v>
      </c>
      <c r="E4928" s="1753" t="s">
        <v>11007</v>
      </c>
      <c r="G4928">
        <f>IF('4S'!AF9="","##BLANK",'4S'!AF9)</f>
        <v>0</v>
      </c>
    </row>
    <row r="4929" spans="2:7">
      <c r="B4929" s="1846" t="str">
        <f>'4S'!CR10</f>
        <v>STWDA034</v>
      </c>
      <c r="E4929" s="1753" t="s">
        <v>11007</v>
      </c>
      <c r="G4929">
        <f>IF('4S'!AF10="","##BLANK",'4S'!AF10)</f>
        <v>0</v>
      </c>
    </row>
    <row r="4930" spans="2:7">
      <c r="B4930" s="1846" t="str">
        <f>'4S'!CR11</f>
        <v>STWDA048</v>
      </c>
      <c r="E4930" s="1753" t="s">
        <v>11007</v>
      </c>
      <c r="G4930">
        <f>IF('4S'!AF11="","##BLANK",'4S'!AF11)</f>
        <v>0</v>
      </c>
    </row>
    <row r="4931" spans="2:7">
      <c r="B4931" s="1846" t="str">
        <f>'4S'!CR12</f>
        <v>STWDA062</v>
      </c>
      <c r="E4931" s="1753" t="s">
        <v>11007</v>
      </c>
      <c r="G4931">
        <f>IF('4S'!AF12="","##BLANK",'4S'!AF12)</f>
        <v>0</v>
      </c>
    </row>
    <row r="4932" spans="2:7">
      <c r="B4932" s="1846" t="str">
        <f>'4S'!CR13</f>
        <v>STWDA106</v>
      </c>
      <c r="E4932" s="1753" t="s">
        <v>11007</v>
      </c>
      <c r="G4932">
        <f>IF('4S'!AF13="","##BLANK",'4S'!AF13)</f>
        <v>0</v>
      </c>
    </row>
    <row r="4933" spans="2:7">
      <c r="B4933" s="1846" t="str">
        <f>'4S'!CR14</f>
        <v>STWDA126</v>
      </c>
      <c r="E4933" s="1753" t="s">
        <v>11007</v>
      </c>
      <c r="G4933">
        <f>IF('4S'!AF14="","##BLANK",'4S'!AF14)</f>
        <v>0</v>
      </c>
    </row>
    <row r="4934" spans="2:7">
      <c r="B4934" s="1846" t="str">
        <f>'4S'!CR18</f>
        <v>STWCA006</v>
      </c>
      <c r="E4934" s="1753" t="s">
        <v>11007</v>
      </c>
      <c r="G4934">
        <f>IF('4S'!AF18="","##BLANK",'4S'!AF18)</f>
        <v>0</v>
      </c>
    </row>
    <row r="4935" spans="2:7">
      <c r="B4935" s="1846" t="str">
        <f>'4S'!CR19</f>
        <v>STWCA020</v>
      </c>
      <c r="E4935" s="1753" t="s">
        <v>11007</v>
      </c>
      <c r="G4935">
        <f>IF('4S'!AF19="","##BLANK",'4S'!AF19)</f>
        <v>0</v>
      </c>
    </row>
    <row r="4936" spans="2:7">
      <c r="B4936" s="1846" t="str">
        <f>'4S'!CR20</f>
        <v>STWCA034</v>
      </c>
      <c r="E4936" s="1753" t="s">
        <v>11007</v>
      </c>
      <c r="G4936">
        <f>IF('4S'!AF20="","##BLANK",'4S'!AF20)</f>
        <v>0</v>
      </c>
    </row>
    <row r="4937" spans="2:7">
      <c r="B4937" s="1846" t="str">
        <f>'4S'!CR21</f>
        <v>STWCA048</v>
      </c>
      <c r="E4937" s="1753" t="s">
        <v>11007</v>
      </c>
      <c r="G4937">
        <f>IF('4S'!AF21="","##BLANK",'4S'!AF21)</f>
        <v>0</v>
      </c>
    </row>
    <row r="4938" spans="2:7">
      <c r="B4938" s="1846" t="str">
        <f>'4S'!CR22</f>
        <v>STWCA062</v>
      </c>
      <c r="E4938" s="1753" t="s">
        <v>11007</v>
      </c>
      <c r="G4938">
        <f>IF('4S'!AF22="","##BLANK",'4S'!AF22)</f>
        <v>0</v>
      </c>
    </row>
    <row r="4939" spans="2:7">
      <c r="B4939" s="1846" t="str">
        <f>'4S'!CR23</f>
        <v>STWCA106</v>
      </c>
      <c r="E4939" s="1753" t="s">
        <v>11007</v>
      </c>
      <c r="G4939">
        <f>IF('4S'!AF23="","##BLANK",'4S'!AF23)</f>
        <v>0</v>
      </c>
    </row>
    <row r="4940" spans="2:7">
      <c r="B4940" s="1846" t="str">
        <f>'4S'!CR24</f>
        <v>STWCA126</v>
      </c>
      <c r="E4940" s="1753" t="s">
        <v>11007</v>
      </c>
      <c r="G4940">
        <f>IF('4S'!AF24="","##BLANK",'4S'!AF24)</f>
        <v>0</v>
      </c>
    </row>
    <row r="4941" spans="2:7">
      <c r="B4941" s="893" t="str">
        <f>'4S'!BP29</f>
        <v>BN1603</v>
      </c>
      <c r="E4941" s="1753" t="s">
        <v>11007</v>
      </c>
      <c r="G4941" t="str">
        <f>IF('4S'!G29="","##BLANK",'4S'!G29)</f>
        <v>##BLANK</v>
      </c>
    </row>
    <row r="4942" spans="2:7">
      <c r="B4942" s="893" t="str">
        <f>'4S'!BP30</f>
        <v>S4019</v>
      </c>
      <c r="E4942" s="1753" t="s">
        <v>11007</v>
      </c>
      <c r="G4942" t="str">
        <f>IF('4S'!G30="","##BLANK",'4S'!G30)</f>
        <v>##BLANK</v>
      </c>
    </row>
    <row r="4943" spans="2:7">
      <c r="B4943" s="893" t="str">
        <f>'4S'!BP31</f>
        <v>S4020</v>
      </c>
      <c r="E4943" s="1753" t="s">
        <v>11007</v>
      </c>
      <c r="G4943" t="str">
        <f>IF('4S'!G31="","##BLANK",'4S'!G31)</f>
        <v>##BLANK</v>
      </c>
    </row>
    <row r="4944" spans="2:7">
      <c r="B4944" s="893" t="str">
        <f>'4S'!BP32</f>
        <v>S4018</v>
      </c>
      <c r="E4944" s="1753" t="s">
        <v>11007</v>
      </c>
      <c r="G4944" t="str">
        <f>IF('4S'!G32="","##BLANK",'4S'!G32)</f>
        <v>##BLANK</v>
      </c>
    </row>
    <row r="4945" spans="2:7">
      <c r="B4945" s="893" t="str">
        <f>'4S'!BP33</f>
        <v>S4021</v>
      </c>
      <c r="E4945" s="1753" t="s">
        <v>11007</v>
      </c>
      <c r="G4945" t="str">
        <f>IF('4S'!G33="","##BLANK",'4S'!G33)</f>
        <v>##BLANK</v>
      </c>
    </row>
    <row r="4946" spans="2:7">
      <c r="B4946" s="893" t="str">
        <f>'4S'!BP34</f>
        <v>S4022</v>
      </c>
      <c r="E4946" s="1753" t="s">
        <v>11007</v>
      </c>
      <c r="G4946" t="str">
        <f>IF('4S'!G34="","##BLANK",'4S'!G34)</f>
        <v>##BLANK</v>
      </c>
    </row>
    <row r="4947" spans="2:7">
      <c r="B4947" s="893" t="str">
        <f>'4S'!BP35</f>
        <v>S4023</v>
      </c>
      <c r="E4947" s="1753" t="s">
        <v>11007</v>
      </c>
      <c r="G4947" t="str">
        <f>IF('4S'!G35="","##BLANK",'4S'!G35)</f>
        <v>##BLANK</v>
      </c>
    </row>
    <row r="4948" spans="2:7">
      <c r="B4948" s="893" t="str">
        <f>'4S'!BP36</f>
        <v>S4024</v>
      </c>
      <c r="E4948" s="1753" t="s">
        <v>11007</v>
      </c>
      <c r="G4948" t="str">
        <f>IF('4S'!G36="","##BLANK",'4S'!G36)</f>
        <v>##BLANK</v>
      </c>
    </row>
    <row r="4949" spans="2:7">
      <c r="B4949" s="893" t="str">
        <f>'4S'!BP37</f>
        <v>S4025</v>
      </c>
      <c r="E4949" s="1753" t="s">
        <v>11007</v>
      </c>
      <c r="G4949" t="str">
        <f>IF('4S'!G37="","##BLANK",'4S'!G37)</f>
        <v>##BLANK</v>
      </c>
    </row>
    <row r="4950" spans="2:7">
      <c r="B4950" s="893" t="str">
        <f>'4S'!BP38</f>
        <v>S4027</v>
      </c>
      <c r="E4950" s="1753" t="s">
        <v>11007</v>
      </c>
      <c r="G4950" t="str">
        <f>IF('4S'!G38="","##BLANK",'4S'!G38)</f>
        <v>##BLANK</v>
      </c>
    </row>
    <row r="4951" spans="2:7">
      <c r="B4951" s="893" t="str">
        <f>'4T'!AC6</f>
        <v>BN5611INC</v>
      </c>
      <c r="E4951" s="1753" t="s">
        <v>11007</v>
      </c>
      <c r="G4951" t="str">
        <f>IF('4T'!G6="","##BLANK",'4T'!G6)</f>
        <v>##BLANK</v>
      </c>
    </row>
    <row r="4952" spans="2:7">
      <c r="B4952" s="893" t="str">
        <f>'4T'!AC7</f>
        <v>BN5612INC</v>
      </c>
      <c r="E4952" s="1753" t="s">
        <v>11007</v>
      </c>
      <c r="G4952" t="str">
        <f>IF('4T'!G7="","##BLANK",'4T'!G7)</f>
        <v>##BLANK</v>
      </c>
    </row>
    <row r="4953" spans="2:7">
      <c r="B4953" s="893" t="str">
        <f>'4T'!AC8</f>
        <v>BN5613INC</v>
      </c>
      <c r="E4953" s="1753" t="s">
        <v>11007</v>
      </c>
      <c r="G4953" t="str">
        <f>IF('4T'!G8="","##BLANK",'4T'!G8)</f>
        <v>##BLANK</v>
      </c>
    </row>
    <row r="4954" spans="2:7">
      <c r="B4954" s="893" t="str">
        <f>'4T'!AC9</f>
        <v>BN5614INC</v>
      </c>
      <c r="E4954" s="1753" t="s">
        <v>11007</v>
      </c>
      <c r="G4954" t="str">
        <f>IF('4T'!G9="","##BLANK",'4T'!G9)</f>
        <v>##BLANK</v>
      </c>
    </row>
    <row r="4955" spans="2:7">
      <c r="B4955" s="893" t="str">
        <f>'4T'!AC10</f>
        <v>BN5615INC</v>
      </c>
      <c r="E4955" s="1753" t="s">
        <v>11007</v>
      </c>
      <c r="G4955" t="str">
        <f>IF('4T'!G10="","##BLANK",'4T'!G10)</f>
        <v>##BLANK</v>
      </c>
    </row>
    <row r="4956" spans="2:7">
      <c r="B4956" s="893" t="str">
        <f>'4T'!AC11</f>
        <v>BN5616INC</v>
      </c>
      <c r="E4956" s="1753" t="s">
        <v>11007</v>
      </c>
      <c r="G4956" t="str">
        <f>IF('4T'!G11="","##BLANK",'4T'!G11)</f>
        <v>##BLANK</v>
      </c>
    </row>
    <row r="4957" spans="2:7">
      <c r="B4957" s="893" t="str">
        <f>'4T'!AC12</f>
        <v>BN5617INC</v>
      </c>
      <c r="E4957" s="1753" t="s">
        <v>11007</v>
      </c>
      <c r="G4957" t="str">
        <f>IF('4T'!G12="","##BLANK",'4T'!G12)</f>
        <v>##BLANK</v>
      </c>
    </row>
    <row r="4958" spans="2:7">
      <c r="B4958" s="893" t="str">
        <f>'4T'!AC13</f>
        <v>BN5618INC</v>
      </c>
      <c r="E4958" s="1753" t="s">
        <v>11007</v>
      </c>
      <c r="G4958" t="str">
        <f>IF('4T'!G13="","##BLANK",'4T'!G13)</f>
        <v>##BLANK</v>
      </c>
    </row>
    <row r="4959" spans="2:7">
      <c r="B4959" s="893" t="str">
        <f>'4T'!AC14</f>
        <v>BN5619INC</v>
      </c>
      <c r="E4959" s="1753" t="s">
        <v>11007</v>
      </c>
      <c r="G4959">
        <f>IF('4T'!G14="","##BLANK",'4T'!G14)</f>
        <v>0</v>
      </c>
    </row>
    <row r="4960" spans="2:7">
      <c r="B4960" s="893" t="str">
        <f>'4T'!AC17</f>
        <v>BN5620INC</v>
      </c>
      <c r="E4960" s="1753" t="s">
        <v>11007</v>
      </c>
      <c r="G4960" t="str">
        <f>IF('4T'!G17="","##BLANK",'4T'!G17)</f>
        <v>##BLANK</v>
      </c>
    </row>
    <row r="4961" spans="2:7">
      <c r="B4961" s="893" t="str">
        <f>'4T'!AC18</f>
        <v>BN5621INC</v>
      </c>
      <c r="E4961" s="1753" t="s">
        <v>11007</v>
      </c>
      <c r="G4961" t="str">
        <f>IF('4T'!G18="","##BLANK",'4T'!G18)</f>
        <v>##BLANK</v>
      </c>
    </row>
    <row r="4962" spans="2:7">
      <c r="B4962" s="893" t="str">
        <f>'4T'!AC19</f>
        <v>BN5622INC</v>
      </c>
      <c r="E4962" s="1753" t="s">
        <v>11007</v>
      </c>
      <c r="G4962" t="str">
        <f>IF('4T'!G19="","##BLANK",'4T'!G19)</f>
        <v>##BLANK</v>
      </c>
    </row>
    <row r="4963" spans="2:7">
      <c r="B4963" s="893" t="str">
        <f>'4T'!AC20</f>
        <v>BN5623INC</v>
      </c>
      <c r="E4963" s="1753" t="s">
        <v>11007</v>
      </c>
      <c r="G4963" t="str">
        <f>IF('4T'!G20="","##BLANK",'4T'!G20)</f>
        <v>##BLANK</v>
      </c>
    </row>
    <row r="4964" spans="2:7">
      <c r="B4964" s="893" t="str">
        <f>'4T'!AC21</f>
        <v>BN5624INC</v>
      </c>
      <c r="E4964" s="1753" t="s">
        <v>11007</v>
      </c>
      <c r="G4964" t="str">
        <f>IF('4T'!G21="","##BLANK",'4T'!G21)</f>
        <v>##BLANK</v>
      </c>
    </row>
    <row r="4965" spans="2:7">
      <c r="B4965" s="893" t="str">
        <f>'4T'!AC22</f>
        <v>BN5625INC</v>
      </c>
      <c r="E4965" s="1753" t="s">
        <v>11007</v>
      </c>
      <c r="G4965">
        <f>IF('4T'!G22="","##BLANK",'4T'!G22)</f>
        <v>0</v>
      </c>
    </row>
    <row r="4966" spans="2:7">
      <c r="B4966" s="893" t="str">
        <f>'4T'!AD6</f>
        <v>BN5611TPS</v>
      </c>
      <c r="E4966" s="1753" t="s">
        <v>11007</v>
      </c>
      <c r="G4966" t="str">
        <f>IF('4T'!H6="","##BLANK",'4T'!H6)</f>
        <v>##BLANK</v>
      </c>
    </row>
    <row r="4967" spans="2:7">
      <c r="B4967" s="893" t="str">
        <f>'4T'!AD7</f>
        <v>BN5612TPS</v>
      </c>
      <c r="E4967" s="1753" t="s">
        <v>11007</v>
      </c>
      <c r="G4967" t="str">
        <f>IF('4T'!H7="","##BLANK",'4T'!H7)</f>
        <v>##BLANK</v>
      </c>
    </row>
    <row r="4968" spans="2:7">
      <c r="B4968" s="893" t="str">
        <f>'4T'!AD8</f>
        <v>BN5613TPS</v>
      </c>
      <c r="E4968" s="1753" t="s">
        <v>11007</v>
      </c>
      <c r="G4968" t="str">
        <f>IF('4T'!H8="","##BLANK",'4T'!H8)</f>
        <v>##BLANK</v>
      </c>
    </row>
    <row r="4969" spans="2:7">
      <c r="B4969" s="893" t="str">
        <f>'4T'!AD9</f>
        <v>BN5614TPS</v>
      </c>
      <c r="E4969" s="1753" t="s">
        <v>11007</v>
      </c>
      <c r="G4969" t="str">
        <f>IF('4T'!H9="","##BLANK",'4T'!H9)</f>
        <v>##BLANK</v>
      </c>
    </row>
    <row r="4970" spans="2:7">
      <c r="B4970" s="893" t="str">
        <f>'4T'!AD10</f>
        <v>BN5615TPS</v>
      </c>
      <c r="E4970" s="1753" t="s">
        <v>11007</v>
      </c>
      <c r="G4970" t="str">
        <f>IF('4T'!H10="","##BLANK",'4T'!H10)</f>
        <v>##BLANK</v>
      </c>
    </row>
    <row r="4971" spans="2:7">
      <c r="B4971" s="893" t="str">
        <f>'4T'!AD11</f>
        <v>BN5616TPS</v>
      </c>
      <c r="E4971" s="1753" t="s">
        <v>11007</v>
      </c>
      <c r="G4971" t="str">
        <f>IF('4T'!H11="","##BLANK",'4T'!H11)</f>
        <v>##BLANK</v>
      </c>
    </row>
    <row r="4972" spans="2:7">
      <c r="B4972" s="893" t="str">
        <f>'4T'!AD12</f>
        <v>BN5617TPS</v>
      </c>
      <c r="E4972" s="1753" t="s">
        <v>11007</v>
      </c>
      <c r="G4972" t="str">
        <f>IF('4T'!H12="","##BLANK",'4T'!H12)</f>
        <v>##BLANK</v>
      </c>
    </row>
    <row r="4973" spans="2:7">
      <c r="B4973" s="893" t="str">
        <f>'4T'!AD13</f>
        <v>BN5618TPS</v>
      </c>
      <c r="E4973" s="1753" t="s">
        <v>11007</v>
      </c>
      <c r="G4973" t="str">
        <f>IF('4T'!H13="","##BLANK",'4T'!H13)</f>
        <v>##BLANK</v>
      </c>
    </row>
    <row r="4974" spans="2:7">
      <c r="B4974" s="893" t="str">
        <f>'4T'!AD14</f>
        <v>BN5619TPS</v>
      </c>
      <c r="E4974" s="1753" t="s">
        <v>11007</v>
      </c>
      <c r="G4974">
        <f>IF('4T'!H14="","##BLANK",'4T'!H14)</f>
        <v>0</v>
      </c>
    </row>
    <row r="4975" spans="2:7">
      <c r="B4975" s="893" t="str">
        <f>'4T'!AD17</f>
        <v>BN5620TPS</v>
      </c>
      <c r="E4975" s="1753" t="s">
        <v>11007</v>
      </c>
      <c r="G4975" t="str">
        <f>IF('4T'!H17="","##BLANK",'4T'!H17)</f>
        <v>##BLANK</v>
      </c>
    </row>
    <row r="4976" spans="2:7">
      <c r="B4976" s="893" t="str">
        <f>'4T'!AD18</f>
        <v>BN5621TPS</v>
      </c>
      <c r="E4976" s="1753" t="s">
        <v>11007</v>
      </c>
      <c r="G4976" t="str">
        <f>IF('4T'!H18="","##BLANK",'4T'!H18)</f>
        <v>##BLANK</v>
      </c>
    </row>
    <row r="4977" spans="2:7">
      <c r="B4977" s="893" t="str">
        <f>'4T'!AD19</f>
        <v>BN5622TPS</v>
      </c>
      <c r="E4977" s="1753" t="s">
        <v>11007</v>
      </c>
      <c r="G4977" t="str">
        <f>IF('4T'!H19="","##BLANK",'4T'!H19)</f>
        <v>##BLANK</v>
      </c>
    </row>
    <row r="4978" spans="2:7">
      <c r="B4978" s="893" t="str">
        <f>'4T'!AD20</f>
        <v>BN5623TPS</v>
      </c>
      <c r="E4978" s="1753" t="s">
        <v>11007</v>
      </c>
      <c r="G4978" t="str">
        <f>IF('4T'!H20="","##BLANK",'4T'!H20)</f>
        <v>##BLANK</v>
      </c>
    </row>
    <row r="4979" spans="2:7">
      <c r="B4979" s="893" t="str">
        <f>'4T'!AD21</f>
        <v>BN5624TPS</v>
      </c>
      <c r="E4979" s="1753" t="s">
        <v>11007</v>
      </c>
      <c r="G4979" t="str">
        <f>IF('4T'!H21="","##BLANK",'4T'!H21)</f>
        <v>##BLANK</v>
      </c>
    </row>
    <row r="4980" spans="2:7">
      <c r="B4980" s="893" t="str">
        <f>'4T'!AD22</f>
        <v>BN5625TPS</v>
      </c>
      <c r="E4980" s="1753" t="s">
        <v>11007</v>
      </c>
      <c r="G4980">
        <f>IF('4T'!H22="","##BLANK",'4T'!H22)</f>
        <v>0</v>
      </c>
    </row>
    <row r="4981" spans="2:7">
      <c r="B4981" s="893" t="str">
        <f>'4U'!D6</f>
        <v>BP3410</v>
      </c>
      <c r="E4981" s="1753" t="s">
        <v>11007</v>
      </c>
      <c r="G4981" t="str">
        <f>IF('4U'!G6="","##BLANK",'4U'!G6)</f>
        <v>##BLANK</v>
      </c>
    </row>
    <row r="4982" spans="2:7">
      <c r="B4982" s="893" t="str">
        <f>'4U'!D7</f>
        <v>BP3415</v>
      </c>
      <c r="E4982" s="1753" t="s">
        <v>11007</v>
      </c>
      <c r="G4982" t="str">
        <f>IF('4U'!G7="","##BLANK",'4U'!G7)</f>
        <v>##BLANK</v>
      </c>
    </row>
    <row r="4983" spans="2:7">
      <c r="B4983" s="893" t="str">
        <f>'4U'!D8</f>
        <v>BN2130</v>
      </c>
      <c r="E4983" s="1753" t="s">
        <v>11007</v>
      </c>
      <c r="G4983" t="str">
        <f>IF('4U'!G8="","##BLANK",'4U'!G8)</f>
        <v>##BLANK</v>
      </c>
    </row>
    <row r="4984" spans="2:7">
      <c r="B4984" s="893" t="str">
        <f>'4U'!D9</f>
        <v>BN2140</v>
      </c>
      <c r="E4984" s="1753" t="s">
        <v>11007</v>
      </c>
      <c r="G4984" t="str">
        <f>IF('4U'!G9="","##BLANK",'4U'!G9)</f>
        <v>##BLANK</v>
      </c>
    </row>
    <row r="4985" spans="2:7">
      <c r="B4985" s="893" t="str">
        <f>'4U'!D10</f>
        <v>BN2150</v>
      </c>
      <c r="E4985" s="1753" t="s">
        <v>11007</v>
      </c>
      <c r="G4985">
        <f>IF('4U'!G10="","##BLANK",'4U'!G10)</f>
        <v>0</v>
      </c>
    </row>
    <row r="4986" spans="2:7">
      <c r="B4986" s="893" t="str">
        <f>'4U'!D11</f>
        <v>BN2250</v>
      </c>
      <c r="E4986" s="1753" t="s">
        <v>11007</v>
      </c>
      <c r="G4986" t="str">
        <f>IF('4U'!G11="","##BLANK",'4U'!G11)</f>
        <v>##BLANK</v>
      </c>
    </row>
    <row r="4987" spans="2:7">
      <c r="B4987" s="893" t="str">
        <f>'4U'!D12</f>
        <v>BN2260</v>
      </c>
      <c r="E4987" s="1753" t="s">
        <v>11007</v>
      </c>
      <c r="G4987" t="str">
        <f>IF('4U'!G12="","##BLANK",'4U'!G12)</f>
        <v>##BLANK</v>
      </c>
    </row>
    <row r="4988" spans="2:7">
      <c r="B4988" s="893" t="str">
        <f>'4U'!D13</f>
        <v>BN2270</v>
      </c>
      <c r="E4988" s="1753" t="s">
        <v>11007</v>
      </c>
      <c r="G4988">
        <f>IF('4U'!G13="","##BLANK",'4U'!G13)</f>
        <v>0</v>
      </c>
    </row>
    <row r="4989" spans="2:7">
      <c r="B4989" s="893" t="str">
        <f>'4U'!D14</f>
        <v>BN2285</v>
      </c>
      <c r="E4989" s="1753" t="s">
        <v>11007</v>
      </c>
      <c r="G4989" t="str">
        <f>IF('4U'!G14="","##BLANK",'4U'!G14)</f>
        <v>##BLANK</v>
      </c>
    </row>
    <row r="4990" spans="2:7">
      <c r="B4990" s="893" t="str">
        <f>'4U'!D15</f>
        <v>BN1178</v>
      </c>
      <c r="E4990" s="1753" t="s">
        <v>11007</v>
      </c>
      <c r="G4990">
        <f>IF('4U'!G15="","##BLANK",'4U'!G15)</f>
        <v>0</v>
      </c>
    </row>
    <row r="4991" spans="2:7">
      <c r="B4991" s="893" t="str">
        <f>'4U'!D17</f>
        <v>BN2630</v>
      </c>
      <c r="E4991" s="1753" t="s">
        <v>11007</v>
      </c>
      <c r="G4991" t="str">
        <f>IF('4U'!G17="","##BLANK",'4U'!G17)</f>
        <v>##BLANK</v>
      </c>
    </row>
    <row r="4992" spans="2:7">
      <c r="B4992" s="893" t="str">
        <f>'4U'!D18</f>
        <v>BN2620</v>
      </c>
      <c r="E4992" s="1753" t="s">
        <v>11007</v>
      </c>
      <c r="G4992" t="str">
        <f>IF('4U'!G18="","##BLANK",'4U'!G18)</f>
        <v>##BLANK</v>
      </c>
    </row>
    <row r="4993" spans="2:7">
      <c r="B4993" s="893" t="str">
        <f>'4U'!D21</f>
        <v>BM902ECNPS</v>
      </c>
      <c r="E4993" s="1753" t="s">
        <v>11007</v>
      </c>
      <c r="G4993" t="str">
        <f>IF('4U'!G21="","##BLANK",'4U'!G21)</f>
        <v>##BLANK</v>
      </c>
    </row>
    <row r="4994" spans="2:7">
      <c r="B4994" s="893" t="str">
        <f>'4U'!D22</f>
        <v>BM602EC</v>
      </c>
      <c r="E4994" s="1753" t="s">
        <v>11007</v>
      </c>
      <c r="G4994" t="str">
        <f>IF('4U'!G22="","##BLANK",'4U'!G22)</f>
        <v>##BLANK</v>
      </c>
    </row>
    <row r="4995" spans="2:7">
      <c r="B4995" s="893" t="str">
        <f>'4U'!D23</f>
        <v>BM902ECWS</v>
      </c>
      <c r="E4995" s="1753" t="s">
        <v>11007</v>
      </c>
      <c r="G4995">
        <f>IF('4U'!G23="","##BLANK",'4U'!G23)</f>
        <v>0</v>
      </c>
    </row>
    <row r="4996" spans="2:7">
      <c r="B4996" s="893" t="str">
        <f>'4U'!D24</f>
        <v>BN1609</v>
      </c>
      <c r="E4996" s="1753" t="s">
        <v>11007</v>
      </c>
      <c r="G4996" t="str">
        <f>IF('4U'!G24="","##BLANK",'4U'!G24)</f>
        <v>##BLANK</v>
      </c>
    </row>
    <row r="4997" spans="2:7">
      <c r="B4997" s="893" t="str">
        <f>'4U'!D25</f>
        <v>BN1176CA</v>
      </c>
      <c r="E4997" s="1753" t="s">
        <v>11007</v>
      </c>
      <c r="G4997" t="str">
        <f>IF('4U'!G25="","##BLANK",'4U'!G25)</f>
        <v>##BLANK</v>
      </c>
    </row>
    <row r="4998" spans="2:7">
      <c r="B4998" s="893" t="str">
        <f>'4U'!D26</f>
        <v>BN1615</v>
      </c>
      <c r="E4998" s="1753" t="s">
        <v>11007</v>
      </c>
      <c r="G4998" t="str">
        <f>IF('4U'!G26="","##BLANK",'4U'!G26)</f>
        <v>##BLANK</v>
      </c>
    </row>
    <row r="4999" spans="2:7">
      <c r="B4999" s="893" t="str">
        <f>'4U'!D27</f>
        <v>S4016</v>
      </c>
      <c r="E4999" s="1753" t="s">
        <v>11007</v>
      </c>
      <c r="G4999" t="str">
        <f>IF('4U'!G27="","##BLANK",'4U'!G27)</f>
        <v>##BLANK</v>
      </c>
    </row>
    <row r="5000" spans="2:7">
      <c r="B5000" s="893" t="str">
        <f>'4U'!D28</f>
        <v>STWM001</v>
      </c>
      <c r="E5000" s="1753" t="s">
        <v>11007</v>
      </c>
      <c r="G5000" t="str">
        <f>IF('4U'!G28="","##BLANK",'4U'!G28)</f>
        <v>##BLANK</v>
      </c>
    </row>
    <row r="5001" spans="2:7">
      <c r="B5001" s="893" t="str">
        <f>'4U'!D29</f>
        <v>S4017</v>
      </c>
      <c r="E5001" s="1753" t="s">
        <v>11007</v>
      </c>
      <c r="G5001" t="str">
        <f>IF('4U'!G29="","##BLANK",'4U'!G29)</f>
        <v>##BLANK</v>
      </c>
    </row>
    <row r="5002" spans="2:7">
      <c r="B5002" s="893" t="str">
        <f>'4U'!D30</f>
        <v>S4026</v>
      </c>
      <c r="E5002" s="1753" t="s">
        <v>11007</v>
      </c>
      <c r="G5002" t="str">
        <f>IF('4U'!G30="","##BLANK",'4U'!G30)</f>
        <v>##BLANK</v>
      </c>
    </row>
    <row r="5003" spans="2:7">
      <c r="B5003" s="893" t="str">
        <f>'4U'!D31</f>
        <v>CPMS2016</v>
      </c>
      <c r="E5003" s="1753" t="s">
        <v>11007</v>
      </c>
      <c r="G5003" t="str">
        <f>IF('4U'!G31="","##BLANK",'4U'!G31)</f>
        <v>##BLANK</v>
      </c>
    </row>
    <row r="5004" spans="2:7">
      <c r="B5004" s="893" t="str">
        <f>'4V'!AN7</f>
        <v>BM102IR</v>
      </c>
      <c r="E5004" s="1753" t="s">
        <v>11007</v>
      </c>
      <c r="G5004" t="str">
        <f>IF('4V'!G7="","##BLANK",'4V'!G7)</f>
        <v>##BLANK</v>
      </c>
    </row>
    <row r="5005" spans="2:7">
      <c r="B5005" s="893" t="str">
        <f>'4V'!AN8</f>
        <v>BM836IR</v>
      </c>
      <c r="E5005" s="1753" t="s">
        <v>11007</v>
      </c>
      <c r="G5005" t="str">
        <f>IF('4V'!G8="","##BLANK",'4V'!G8)</f>
        <v>##BLANK</v>
      </c>
    </row>
    <row r="5006" spans="2:7">
      <c r="B5006" s="893" t="str">
        <f>'4V'!AN9</f>
        <v>WS1003IR</v>
      </c>
      <c r="E5006" s="1753" t="s">
        <v>11007</v>
      </c>
      <c r="G5006" t="str">
        <f>IF('4V'!G9="","##BLANK",'4V'!G9)</f>
        <v>##BLANK</v>
      </c>
    </row>
    <row r="5007" spans="2:7">
      <c r="B5007" s="893" t="str">
        <f>'4V'!AN10</f>
        <v>BM240IR</v>
      </c>
      <c r="E5007" s="1753" t="s">
        <v>11007</v>
      </c>
      <c r="G5007" t="str">
        <f>IF('4V'!G10="","##BLANK",'4V'!G10)</f>
        <v>##BLANK</v>
      </c>
    </row>
    <row r="5008" spans="2:7">
      <c r="B5008" s="893" t="str">
        <f>'4V'!AN12</f>
        <v>WS1005IR</v>
      </c>
      <c r="E5008" s="1753" t="s">
        <v>11007</v>
      </c>
      <c r="G5008" t="str">
        <f>IF('4V'!G12="","##BLANK",'4V'!G12)</f>
        <v>##BLANK</v>
      </c>
    </row>
    <row r="5009" spans="2:8">
      <c r="B5009" s="893" t="str">
        <f>'4V'!AN13</f>
        <v>WS1006IR</v>
      </c>
      <c r="E5009" s="1753" t="s">
        <v>11007</v>
      </c>
      <c r="G5009" t="str">
        <f>IF('4V'!G13="","##BLANK",'4V'!G13)</f>
        <v>##BLANK</v>
      </c>
    </row>
    <row r="5010" spans="2:8">
      <c r="B5010" s="893" t="str">
        <f>'4V'!AN14</f>
        <v>BM108IR</v>
      </c>
      <c r="E5010" s="1753" t="s">
        <v>11007</v>
      </c>
      <c r="G5010" t="str">
        <f>IF('4V'!G14="","##BLANK",'4V'!G14)</f>
        <v>##BLANK</v>
      </c>
    </row>
    <row r="5011" spans="2:8">
      <c r="B5011" s="893" t="str">
        <f>'4V'!AN15</f>
        <v>BM110IR</v>
      </c>
      <c r="E5011" s="1753" t="s">
        <v>11007</v>
      </c>
      <c r="G5011" t="str">
        <f>IF('4V'!G15="","##BLANK",'4V'!G15)</f>
        <v>##BLANK</v>
      </c>
    </row>
    <row r="5012" spans="2:8">
      <c r="B5012" s="893" t="str">
        <f>'4V'!AN16</f>
        <v>BM816IR</v>
      </c>
      <c r="E5012" s="1753" t="s">
        <v>11007</v>
      </c>
      <c r="G5012">
        <f>IF('4V'!G16="","##BLANK",'4V'!G16)</f>
        <v>0</v>
      </c>
    </row>
    <row r="5013" spans="2:8">
      <c r="B5013" s="893" t="str">
        <f>'4V'!AN17</f>
        <v>BM817IR</v>
      </c>
      <c r="E5013" s="1753" t="s">
        <v>11007</v>
      </c>
      <c r="G5013" t="str">
        <f>IF('4V'!G17="","##BLANK",'4V'!G17)</f>
        <v>##BLANK</v>
      </c>
    </row>
    <row r="5014" spans="2:8">
      <c r="B5014" s="893" t="str">
        <f>'4V'!AN18</f>
        <v>BM316IR</v>
      </c>
      <c r="E5014" s="1753" t="s">
        <v>11007</v>
      </c>
      <c r="G5014">
        <f>IF('4V'!G18="","##BLANK",'4V'!G18)</f>
        <v>0</v>
      </c>
    </row>
    <row r="5015" spans="2:8">
      <c r="B5015" s="893" t="str">
        <f>'4V'!AN19</f>
        <v>FT00865IR</v>
      </c>
      <c r="E5015" s="1753" t="s">
        <v>11007</v>
      </c>
      <c r="G5015" t="str">
        <f>IF('4V'!G19="","##BLANK",'4V'!G19)</f>
        <v>##BLANK</v>
      </c>
    </row>
    <row r="5016" spans="2:8">
      <c r="B5016" s="893" t="str">
        <f>'4V'!AN20</f>
        <v>BM319IR</v>
      </c>
      <c r="E5016" s="1753" t="s">
        <v>11007</v>
      </c>
      <c r="G5016">
        <f>IF('4V'!G20="","##BLANK",'4V'!G20)</f>
        <v>0</v>
      </c>
    </row>
    <row r="5017" spans="2:8">
      <c r="B5017" s="893" t="str">
        <f>'4V'!AN25</f>
        <v>BM3010WR</v>
      </c>
      <c r="E5017" s="1753" t="s">
        <v>11007</v>
      </c>
      <c r="G5017" t="str">
        <f>IF('4V'!G25="","##BLANK",'4V'!G25)</f>
        <v>##BLANK</v>
      </c>
      <c r="H5017" s="2146"/>
    </row>
    <row r="5018" spans="2:8">
      <c r="B5018" s="893" t="str">
        <f>'4V'!AN26</f>
        <v>BM3011WR</v>
      </c>
      <c r="E5018" s="1753" t="s">
        <v>11007</v>
      </c>
      <c r="G5018" t="str">
        <f>IF('4V'!G26="","##BLANK",'4V'!G26)</f>
        <v>##BLANK</v>
      </c>
      <c r="H5018" s="2146"/>
    </row>
    <row r="5019" spans="2:8">
      <c r="B5019" s="893" t="str">
        <f>'4V'!AN27</f>
        <v>W3030WR</v>
      </c>
      <c r="E5019" s="1753" t="s">
        <v>11007</v>
      </c>
      <c r="G5019" t="str">
        <f>IF('4V'!G27="","##BLANK",'4V'!G27)</f>
        <v>##BLANK</v>
      </c>
      <c r="H5019" s="2146"/>
    </row>
    <row r="5020" spans="2:8">
      <c r="B5020" s="893" t="str">
        <f>'4V'!AN28</f>
        <v>W3031WR</v>
      </c>
      <c r="E5020" s="1753" t="s">
        <v>11007</v>
      </c>
      <c r="G5020" t="str">
        <f>IF('4V'!G28="","##BLANK",'4V'!G28)</f>
        <v>##BLANK</v>
      </c>
      <c r="H5020" s="2146"/>
    </row>
    <row r="5021" spans="2:8">
      <c r="B5021" s="893" t="str">
        <f>'4V'!AN29</f>
        <v>W3032WR</v>
      </c>
      <c r="E5021" s="1753" t="s">
        <v>11007</v>
      </c>
      <c r="G5021" t="str">
        <f>IF('4V'!G29="","##BLANK",'4V'!G29)</f>
        <v>##BLANK</v>
      </c>
      <c r="H5021" s="2146"/>
    </row>
    <row r="5022" spans="2:8">
      <c r="B5022" s="893" t="str">
        <f>'4V'!AN32</f>
        <v>W3033WR</v>
      </c>
      <c r="E5022" s="1753" t="s">
        <v>11007</v>
      </c>
      <c r="G5022" t="str">
        <f>IF('4V'!G32="","##BLANK",'4V'!G32)</f>
        <v>##BLANK</v>
      </c>
      <c r="H5022" s="2146"/>
    </row>
    <row r="5023" spans="2:8">
      <c r="B5023" s="893" t="str">
        <f>'4V'!AN33</f>
        <v>W3034WR</v>
      </c>
      <c r="E5023" s="1753" t="s">
        <v>11007</v>
      </c>
      <c r="G5023" t="str">
        <f>IF('4V'!G33="","##BLANK",'4V'!G33)</f>
        <v>##BLANK</v>
      </c>
      <c r="H5023" s="2146"/>
    </row>
    <row r="5024" spans="2:8">
      <c r="B5024" s="893" t="str">
        <f>'4V'!AN34</f>
        <v>W3035WR</v>
      </c>
      <c r="E5024" s="1753" t="s">
        <v>11007</v>
      </c>
      <c r="G5024" t="str">
        <f>IF('4V'!G34="","##BLANK",'4V'!G34)</f>
        <v>##BLANK</v>
      </c>
      <c r="H5024" s="2146"/>
    </row>
    <row r="5025" spans="2:8">
      <c r="B5025" s="893" t="str">
        <f>'4V'!AN36</f>
        <v>W3036WR</v>
      </c>
      <c r="E5025" s="1753" t="s">
        <v>11007</v>
      </c>
      <c r="G5025" t="str">
        <f>IF('4V'!G36="","##BLANK",'4V'!G36)</f>
        <v>##BLANK</v>
      </c>
      <c r="H5025" s="2146"/>
    </row>
    <row r="5026" spans="2:8">
      <c r="B5026" s="893" t="str">
        <f>'4V'!AO7</f>
        <v>BM102PS</v>
      </c>
      <c r="E5026" s="1753" t="s">
        <v>11007</v>
      </c>
      <c r="G5026" t="str">
        <f>IF('4V'!H7="","##BLANK",'4V'!H7)</f>
        <v>##BLANK</v>
      </c>
    </row>
    <row r="5027" spans="2:8">
      <c r="B5027" s="893" t="str">
        <f>'4V'!AO8</f>
        <v>BM836PS</v>
      </c>
      <c r="E5027" s="1753" t="s">
        <v>11007</v>
      </c>
      <c r="G5027" t="str">
        <f>IF('4V'!H8="","##BLANK",'4V'!H8)</f>
        <v>##BLANK</v>
      </c>
    </row>
    <row r="5028" spans="2:8">
      <c r="B5028" s="893" t="str">
        <f>'4V'!AO9</f>
        <v>WS1003PS</v>
      </c>
      <c r="E5028" s="1753" t="s">
        <v>11007</v>
      </c>
      <c r="G5028" t="str">
        <f>IF('4V'!H9="","##BLANK",'4V'!H9)</f>
        <v>##BLANK</v>
      </c>
    </row>
    <row r="5029" spans="2:8">
      <c r="B5029" s="893" t="str">
        <f>'4V'!AO10</f>
        <v>BM240PS</v>
      </c>
      <c r="E5029" s="1753" t="s">
        <v>11007</v>
      </c>
      <c r="G5029" t="str">
        <f>IF('4V'!H10="","##BLANK",'4V'!H10)</f>
        <v>##BLANK</v>
      </c>
    </row>
    <row r="5030" spans="2:8">
      <c r="B5030" s="893" t="str">
        <f>'4V'!AO12</f>
        <v>WS1005PS</v>
      </c>
      <c r="E5030" s="1753" t="s">
        <v>11007</v>
      </c>
      <c r="G5030" t="str">
        <f>IF('4V'!H12="","##BLANK",'4V'!H12)</f>
        <v>##BLANK</v>
      </c>
    </row>
    <row r="5031" spans="2:8">
      <c r="B5031" s="893" t="str">
        <f>'4V'!AO13</f>
        <v>WS1006PS</v>
      </c>
      <c r="E5031" s="1753" t="s">
        <v>11007</v>
      </c>
      <c r="G5031" t="str">
        <f>IF('4V'!H13="","##BLANK",'4V'!H13)</f>
        <v>##BLANK</v>
      </c>
    </row>
    <row r="5032" spans="2:8">
      <c r="B5032" s="893" t="str">
        <f>'4V'!AO14</f>
        <v>BM108PS</v>
      </c>
      <c r="E5032" s="1753" t="s">
        <v>11007</v>
      </c>
      <c r="G5032" t="str">
        <f>IF('4V'!H14="","##BLANK",'4V'!H14)</f>
        <v>##BLANK</v>
      </c>
    </row>
    <row r="5033" spans="2:8">
      <c r="B5033" s="893" t="str">
        <f>'4V'!AO15</f>
        <v>BM110PS</v>
      </c>
      <c r="E5033" s="1753" t="s">
        <v>11007</v>
      </c>
      <c r="G5033" t="str">
        <f>IF('4V'!H15="","##BLANK",'4V'!H15)</f>
        <v>##BLANK</v>
      </c>
    </row>
    <row r="5034" spans="2:8">
      <c r="B5034" s="893" t="str">
        <f>'4V'!AO16</f>
        <v>BM816PS</v>
      </c>
      <c r="E5034" s="1753" t="s">
        <v>11007</v>
      </c>
      <c r="G5034">
        <f>IF('4V'!H16="","##BLANK",'4V'!H16)</f>
        <v>0</v>
      </c>
    </row>
    <row r="5035" spans="2:8">
      <c r="B5035" s="893" t="str">
        <f>'4V'!AO17</f>
        <v>BM817PS</v>
      </c>
      <c r="E5035" s="1753" t="s">
        <v>11007</v>
      </c>
      <c r="G5035" t="str">
        <f>IF('4V'!H17="","##BLANK",'4V'!H17)</f>
        <v>##BLANK</v>
      </c>
    </row>
    <row r="5036" spans="2:8">
      <c r="B5036" s="893" t="str">
        <f>'4V'!AO18</f>
        <v>BM316PS</v>
      </c>
      <c r="E5036" s="1753" t="s">
        <v>11007</v>
      </c>
      <c r="G5036">
        <f>IF('4V'!H18="","##BLANK",'4V'!H18)</f>
        <v>0</v>
      </c>
    </row>
    <row r="5037" spans="2:8">
      <c r="B5037" s="893" t="str">
        <f>'4V'!AO19</f>
        <v>FT00865PS</v>
      </c>
      <c r="E5037" s="1753" t="s">
        <v>11007</v>
      </c>
      <c r="G5037" t="str">
        <f>IF('4V'!H19="","##BLANK",'4V'!H19)</f>
        <v>##BLANK</v>
      </c>
    </row>
    <row r="5038" spans="2:8">
      <c r="B5038" s="893" t="str">
        <f>'4V'!AO20</f>
        <v>BM319PS</v>
      </c>
      <c r="E5038" s="1753" t="s">
        <v>11007</v>
      </c>
      <c r="G5038">
        <f>IF('4V'!H20="","##BLANK",'4V'!H20)</f>
        <v>0</v>
      </c>
    </row>
    <row r="5039" spans="2:8">
      <c r="B5039" s="893" t="str">
        <f>'4V'!AO25</f>
        <v>BM3010RWD</v>
      </c>
      <c r="E5039" s="1753" t="s">
        <v>11007</v>
      </c>
      <c r="G5039" t="str">
        <f>IF('4V'!H25="","##BLANK",'4V'!H25)</f>
        <v>##BLANK</v>
      </c>
    </row>
    <row r="5040" spans="2:8">
      <c r="B5040" s="893" t="str">
        <f>'4V'!AO26</f>
        <v>BM3011RWD</v>
      </c>
      <c r="E5040" s="1753" t="s">
        <v>11007</v>
      </c>
      <c r="G5040" t="str">
        <f>IF('4V'!H26="","##BLANK",'4V'!H26)</f>
        <v>##BLANK</v>
      </c>
    </row>
    <row r="5041" spans="2:7">
      <c r="B5041" s="893" t="str">
        <f>'4V'!AO27</f>
        <v>W3030RWD</v>
      </c>
      <c r="E5041" s="1753" t="s">
        <v>11007</v>
      </c>
      <c r="G5041" t="str">
        <f>IF('4V'!H27="","##BLANK",'4V'!H27)</f>
        <v>##BLANK</v>
      </c>
    </row>
    <row r="5042" spans="2:7">
      <c r="B5042" s="893" t="str">
        <f>'4V'!AO28</f>
        <v>W3031RWD</v>
      </c>
      <c r="E5042" s="1753" t="s">
        <v>11007</v>
      </c>
      <c r="G5042" t="str">
        <f>IF('4V'!H28="","##BLANK",'4V'!H28)</f>
        <v>##BLANK</v>
      </c>
    </row>
    <row r="5043" spans="2:7">
      <c r="B5043" s="893" t="str">
        <f>'4V'!AO29</f>
        <v>W3032RWD</v>
      </c>
      <c r="E5043" s="1753" t="s">
        <v>11007</v>
      </c>
      <c r="G5043" t="str">
        <f>IF('4V'!H29="","##BLANK",'4V'!H29)</f>
        <v>##BLANK</v>
      </c>
    </row>
    <row r="5044" spans="2:7" s="2146" customFormat="1">
      <c r="B5044" s="893" t="str">
        <f>'4V'!AO32</f>
        <v>W3033RWD</v>
      </c>
      <c r="C5044" s="1382"/>
      <c r="E5044" s="1753" t="s">
        <v>11007</v>
      </c>
      <c r="G5044" s="2146" t="str">
        <f>IF('4V'!H32="","##BLANK",'4V'!H32)</f>
        <v>##BLANK</v>
      </c>
    </row>
    <row r="5045" spans="2:7" s="2146" customFormat="1">
      <c r="B5045" s="893" t="str">
        <f>'4V'!AO33</f>
        <v>W3034RWD</v>
      </c>
      <c r="C5045" s="1382"/>
      <c r="E5045" s="1753" t="s">
        <v>11007</v>
      </c>
      <c r="G5045" s="2146" t="str">
        <f>IF('4V'!H33="","##BLANK",'4V'!H33)</f>
        <v>##BLANK</v>
      </c>
    </row>
    <row r="5046" spans="2:7" s="2146" customFormat="1">
      <c r="B5046" s="893" t="str">
        <f>'4V'!AO34</f>
        <v>W3035RWD</v>
      </c>
      <c r="C5046" s="1382"/>
      <c r="E5046" s="1753" t="s">
        <v>11007</v>
      </c>
      <c r="G5046" s="2146" t="str">
        <f>IF('4V'!H34="","##BLANK",'4V'!H34)</f>
        <v>##BLANK</v>
      </c>
    </row>
    <row r="5047" spans="2:7">
      <c r="B5047" s="893" t="str">
        <f>'4V'!AO36</f>
        <v>W3036RWD</v>
      </c>
      <c r="E5047" s="1753" t="s">
        <v>11007</v>
      </c>
      <c r="G5047" t="str">
        <f>IF('4V'!H36="","##BLANK",'4V'!H36)</f>
        <v>##BLANK</v>
      </c>
    </row>
    <row r="5048" spans="2:7">
      <c r="B5048" s="893" t="str">
        <f>'4V'!AP7</f>
        <v>BM102RS</v>
      </c>
      <c r="E5048" s="1753" t="s">
        <v>11007</v>
      </c>
      <c r="G5048" t="str">
        <f>IF('4V'!I7="","##BLANK",'4V'!I7)</f>
        <v>##BLANK</v>
      </c>
    </row>
    <row r="5049" spans="2:7">
      <c r="B5049" s="893" t="str">
        <f>'4V'!AP8</f>
        <v>BM836RS</v>
      </c>
      <c r="E5049" s="1753" t="s">
        <v>11007</v>
      </c>
      <c r="G5049" t="str">
        <f>IF('4V'!I8="","##BLANK",'4V'!I8)</f>
        <v>##BLANK</v>
      </c>
    </row>
    <row r="5050" spans="2:7">
      <c r="B5050" s="893" t="str">
        <f>'4V'!AP9</f>
        <v>WS1003RS</v>
      </c>
      <c r="E5050" s="1753" t="s">
        <v>11007</v>
      </c>
      <c r="G5050" t="str">
        <f>IF('4V'!I9="","##BLANK",'4V'!I9)</f>
        <v>##BLANK</v>
      </c>
    </row>
    <row r="5051" spans="2:7">
      <c r="B5051" s="893" t="str">
        <f>'4V'!AP10</f>
        <v>BM240RS</v>
      </c>
      <c r="E5051" s="1753" t="s">
        <v>11007</v>
      </c>
      <c r="G5051" t="str">
        <f>IF('4V'!I10="","##BLANK",'4V'!I10)</f>
        <v>##BLANK</v>
      </c>
    </row>
    <row r="5052" spans="2:7">
      <c r="B5052" s="893" t="str">
        <f>'4V'!AP12</f>
        <v>WS1005RS</v>
      </c>
      <c r="E5052" s="1753" t="s">
        <v>11007</v>
      </c>
      <c r="G5052" t="str">
        <f>IF('4V'!I12="","##BLANK",'4V'!I12)</f>
        <v>##BLANK</v>
      </c>
    </row>
    <row r="5053" spans="2:7">
      <c r="B5053" s="893" t="str">
        <f>'4V'!AP13</f>
        <v>WS1006RS</v>
      </c>
      <c r="E5053" s="1753" t="s">
        <v>11007</v>
      </c>
      <c r="G5053" t="str">
        <f>IF('4V'!I13="","##BLANK",'4V'!I13)</f>
        <v>##BLANK</v>
      </c>
    </row>
    <row r="5054" spans="2:7">
      <c r="B5054" s="893" t="str">
        <f>'4V'!AP14</f>
        <v>BM108RS</v>
      </c>
      <c r="E5054" s="1753" t="s">
        <v>11007</v>
      </c>
      <c r="G5054" t="str">
        <f>IF('4V'!I14="","##BLANK",'4V'!I14)</f>
        <v>##BLANK</v>
      </c>
    </row>
    <row r="5055" spans="2:7">
      <c r="B5055" s="893" t="str">
        <f>'4V'!AP15</f>
        <v>BM110RS</v>
      </c>
      <c r="E5055" s="1753" t="s">
        <v>11007</v>
      </c>
      <c r="G5055" t="str">
        <f>IF('4V'!I15="","##BLANK",'4V'!I15)</f>
        <v>##BLANK</v>
      </c>
    </row>
    <row r="5056" spans="2:7">
      <c r="B5056" s="893" t="str">
        <f>'4V'!AP16</f>
        <v>BM816RS</v>
      </c>
      <c r="E5056" s="1753" t="s">
        <v>11007</v>
      </c>
      <c r="G5056">
        <f>IF('4V'!I16="","##BLANK",'4V'!I16)</f>
        <v>0</v>
      </c>
    </row>
    <row r="5057" spans="2:7">
      <c r="B5057" s="893" t="str">
        <f>'4V'!AP17</f>
        <v>BM817RS</v>
      </c>
      <c r="E5057" s="1753" t="s">
        <v>11007</v>
      </c>
      <c r="G5057" t="str">
        <f>IF('4V'!I17="","##BLANK",'4V'!I17)</f>
        <v>##BLANK</v>
      </c>
    </row>
    <row r="5058" spans="2:7">
      <c r="B5058" s="893" t="str">
        <f>'4V'!AP18</f>
        <v>BM316RS</v>
      </c>
      <c r="E5058" s="1753" t="s">
        <v>11007</v>
      </c>
      <c r="G5058">
        <f>IF('4V'!I18="","##BLANK",'4V'!I18)</f>
        <v>0</v>
      </c>
    </row>
    <row r="5059" spans="2:7">
      <c r="B5059" s="893" t="str">
        <f>'4V'!AP19</f>
        <v>FT00865RS</v>
      </c>
      <c r="E5059" s="1753" t="s">
        <v>11007</v>
      </c>
      <c r="G5059" t="str">
        <f>IF('4V'!I19="","##BLANK",'4V'!I19)</f>
        <v>##BLANK</v>
      </c>
    </row>
    <row r="5060" spans="2:7">
      <c r="B5060" s="893" t="str">
        <f>'4V'!AP20</f>
        <v>BM319RS</v>
      </c>
      <c r="E5060" s="1753" t="s">
        <v>11007</v>
      </c>
      <c r="G5060">
        <f>IF('4V'!I20="","##BLANK",'4V'!I20)</f>
        <v>0</v>
      </c>
    </row>
    <row r="5061" spans="2:7">
      <c r="B5061" s="893" t="str">
        <f>'4V'!AP25</f>
        <v>BM3010WT</v>
      </c>
      <c r="E5061" s="1753" t="s">
        <v>11007</v>
      </c>
      <c r="G5061" t="str">
        <f>IF('4V'!I25="","##BLANK",'4V'!I25)</f>
        <v>##BLANK</v>
      </c>
    </row>
    <row r="5062" spans="2:7">
      <c r="B5062" s="893" t="str">
        <f>'4V'!AP26</f>
        <v>BM3011WT</v>
      </c>
      <c r="E5062" s="1753" t="s">
        <v>11007</v>
      </c>
      <c r="G5062" t="str">
        <f>IF('4V'!I26="","##BLANK",'4V'!I26)</f>
        <v>##BLANK</v>
      </c>
    </row>
    <row r="5063" spans="2:7">
      <c r="B5063" s="893" t="str">
        <f>'4V'!AP27</f>
        <v>W3030WT</v>
      </c>
      <c r="E5063" s="1753" t="s">
        <v>11007</v>
      </c>
      <c r="G5063" t="str">
        <f>IF('4V'!I27="","##BLANK",'4V'!I27)</f>
        <v>##BLANK</v>
      </c>
    </row>
    <row r="5064" spans="2:7">
      <c r="B5064" s="893" t="str">
        <f>'4V'!AP28</f>
        <v>W3031WT</v>
      </c>
      <c r="E5064" s="1753" t="s">
        <v>11007</v>
      </c>
      <c r="G5064" t="str">
        <f>IF('4V'!I28="","##BLANK",'4V'!I28)</f>
        <v>##BLANK</v>
      </c>
    </row>
    <row r="5065" spans="2:7">
      <c r="B5065" s="893" t="str">
        <f>'4V'!AP29</f>
        <v>W3032WT</v>
      </c>
      <c r="E5065" s="1753" t="s">
        <v>11007</v>
      </c>
      <c r="G5065" t="str">
        <f>IF('4V'!I29="","##BLANK",'4V'!I29)</f>
        <v>##BLANK</v>
      </c>
    </row>
    <row r="5066" spans="2:7" s="2146" customFormat="1">
      <c r="B5066" s="893" t="str">
        <f>'4V'!AP32</f>
        <v>W3033WT</v>
      </c>
      <c r="C5066" s="1382"/>
      <c r="E5066" s="1753" t="s">
        <v>11007</v>
      </c>
      <c r="G5066" s="2146" t="str">
        <f>IF('4V'!I32="","##BLANK",'4V'!I32)</f>
        <v>##BLANK</v>
      </c>
    </row>
    <row r="5067" spans="2:7" s="2146" customFormat="1">
      <c r="B5067" s="893" t="str">
        <f>'4V'!AP33</f>
        <v>W3034WT</v>
      </c>
      <c r="C5067" s="1382"/>
      <c r="E5067" s="1753" t="s">
        <v>11007</v>
      </c>
      <c r="G5067" s="2146" t="str">
        <f>IF('4V'!I33="","##BLANK",'4V'!I33)</f>
        <v>##BLANK</v>
      </c>
    </row>
    <row r="5068" spans="2:7" s="2146" customFormat="1">
      <c r="B5068" s="893" t="str">
        <f>'4V'!AP34</f>
        <v>W3035WT</v>
      </c>
      <c r="C5068" s="1382"/>
      <c r="E5068" s="1753" t="s">
        <v>11007</v>
      </c>
      <c r="G5068" s="2146" t="str">
        <f>IF('4V'!I34="","##BLANK",'4V'!I34)</f>
        <v>##BLANK</v>
      </c>
    </row>
    <row r="5069" spans="2:7">
      <c r="B5069" s="893" t="str">
        <f>'4V'!AP36</f>
        <v>W3036WT</v>
      </c>
      <c r="E5069" s="1753" t="s">
        <v>11007</v>
      </c>
      <c r="G5069" t="str">
        <f>IF('4V'!I36="","##BLANK",'4V'!I36)</f>
        <v>##BLANK</v>
      </c>
    </row>
    <row r="5070" spans="2:7">
      <c r="B5070" s="893" t="str">
        <f>'4V'!AQ7</f>
        <v>BM102BO</v>
      </c>
      <c r="E5070" s="1753" t="s">
        <v>11007</v>
      </c>
      <c r="G5070" t="str">
        <f>IF('4V'!J7="","##BLANK",'4V'!J7)</f>
        <v>##BLANK</v>
      </c>
    </row>
    <row r="5071" spans="2:7">
      <c r="B5071" s="893" t="str">
        <f>'4V'!AQ8</f>
        <v>BM836BO</v>
      </c>
      <c r="E5071" s="1753" t="s">
        <v>11007</v>
      </c>
      <c r="G5071" t="str">
        <f>IF('4V'!J8="","##BLANK",'4V'!J8)</f>
        <v>##BLANK</v>
      </c>
    </row>
    <row r="5072" spans="2:7">
      <c r="B5072" s="893" t="str">
        <f>'4V'!AQ9</f>
        <v>WS1003BO</v>
      </c>
      <c r="E5072" s="1753" t="s">
        <v>11007</v>
      </c>
      <c r="G5072" t="str">
        <f>IF('4V'!J9="","##BLANK",'4V'!J9)</f>
        <v>##BLANK</v>
      </c>
    </row>
    <row r="5073" spans="2:7">
      <c r="B5073" s="893" t="str">
        <f>'4V'!AQ10</f>
        <v>BM240BO</v>
      </c>
      <c r="E5073" s="1753" t="s">
        <v>11007</v>
      </c>
      <c r="G5073" t="str">
        <f>IF('4V'!J10="","##BLANK",'4V'!J10)</f>
        <v>##BLANK</v>
      </c>
    </row>
    <row r="5074" spans="2:7">
      <c r="B5074" s="893" t="str">
        <f>'4V'!AQ12</f>
        <v>WS1005BO</v>
      </c>
      <c r="E5074" s="1753" t="s">
        <v>11007</v>
      </c>
      <c r="G5074" t="str">
        <f>IF('4V'!J12="","##BLANK",'4V'!J12)</f>
        <v>##BLANK</v>
      </c>
    </row>
    <row r="5075" spans="2:7">
      <c r="B5075" s="893" t="str">
        <f>'4V'!AQ13</f>
        <v>WS1006BO</v>
      </c>
      <c r="E5075" s="1753" t="s">
        <v>11007</v>
      </c>
      <c r="G5075" t="str">
        <f>IF('4V'!J13="","##BLANK",'4V'!J13)</f>
        <v>##BLANK</v>
      </c>
    </row>
    <row r="5076" spans="2:7">
      <c r="B5076" s="893" t="str">
        <f>'4V'!AQ14</f>
        <v>BM108BO</v>
      </c>
      <c r="E5076" s="1753" t="s">
        <v>11007</v>
      </c>
      <c r="G5076" t="str">
        <f>IF('4V'!J14="","##BLANK",'4V'!J14)</f>
        <v>##BLANK</v>
      </c>
    </row>
    <row r="5077" spans="2:7">
      <c r="B5077" s="893" t="str">
        <f>'4V'!AQ15</f>
        <v>BM110BO</v>
      </c>
      <c r="E5077" s="1753" t="s">
        <v>11007</v>
      </c>
      <c r="G5077" t="str">
        <f>IF('4V'!J15="","##BLANK",'4V'!J15)</f>
        <v>##BLANK</v>
      </c>
    </row>
    <row r="5078" spans="2:7">
      <c r="B5078" s="893" t="str">
        <f>'4V'!AQ16</f>
        <v>BM816BO</v>
      </c>
      <c r="E5078" s="1753" t="s">
        <v>11007</v>
      </c>
      <c r="G5078">
        <f>IF('4V'!J16="","##BLANK",'4V'!J16)</f>
        <v>0</v>
      </c>
    </row>
    <row r="5079" spans="2:7">
      <c r="B5079" s="893" t="str">
        <f>'4V'!AQ17</f>
        <v>BM817BO</v>
      </c>
      <c r="E5079" s="1753" t="s">
        <v>11007</v>
      </c>
      <c r="G5079" t="str">
        <f>IF('4V'!J17="","##BLANK",'4V'!J17)</f>
        <v>##BLANK</v>
      </c>
    </row>
    <row r="5080" spans="2:7">
      <c r="B5080" s="893" t="str">
        <f>'4V'!AQ18</f>
        <v>BM316BO</v>
      </c>
      <c r="E5080" s="1753" t="s">
        <v>11007</v>
      </c>
      <c r="G5080">
        <f>IF('4V'!J18="","##BLANK",'4V'!J18)</f>
        <v>0</v>
      </c>
    </row>
    <row r="5081" spans="2:7">
      <c r="B5081" s="893" t="str">
        <f>'4V'!AQ19</f>
        <v>FT00865BO</v>
      </c>
      <c r="E5081" s="1753" t="s">
        <v>11007</v>
      </c>
      <c r="G5081" t="str">
        <f>IF('4V'!J19="","##BLANK",'4V'!J19)</f>
        <v>##BLANK</v>
      </c>
    </row>
    <row r="5082" spans="2:7">
      <c r="B5082" s="893" t="str">
        <f>'4V'!AQ20</f>
        <v>BM319BO</v>
      </c>
      <c r="E5082" s="1753" t="s">
        <v>11007</v>
      </c>
      <c r="G5082">
        <f>IF('4V'!J20="","##BLANK",'4V'!J20)</f>
        <v>0</v>
      </c>
    </row>
    <row r="5083" spans="2:7">
      <c r="B5083" s="893" t="str">
        <f>'4V'!AQ25</f>
        <v>BM3010TWD</v>
      </c>
      <c r="E5083" s="1753" t="s">
        <v>11007</v>
      </c>
      <c r="G5083" t="str">
        <f>IF('4V'!J25="","##BLANK",'4V'!J25)</f>
        <v>##BLANK</v>
      </c>
    </row>
    <row r="5084" spans="2:7">
      <c r="B5084" s="893" t="str">
        <f>'4V'!AQ26</f>
        <v>BM3011TWD</v>
      </c>
      <c r="E5084" s="1753" t="s">
        <v>11007</v>
      </c>
      <c r="G5084" t="str">
        <f>IF('4V'!J26="","##BLANK",'4V'!J26)</f>
        <v>##BLANK</v>
      </c>
    </row>
    <row r="5085" spans="2:7">
      <c r="B5085" s="893" t="str">
        <f>'4V'!AQ27</f>
        <v>W3030TWD</v>
      </c>
      <c r="E5085" s="1753" t="s">
        <v>11007</v>
      </c>
      <c r="G5085" t="str">
        <f>IF('4V'!J27="","##BLANK",'4V'!J27)</f>
        <v>##BLANK</v>
      </c>
    </row>
    <row r="5086" spans="2:7">
      <c r="B5086" s="893" t="str">
        <f>'4V'!AQ28</f>
        <v>W3031TWD</v>
      </c>
      <c r="E5086" s="1753" t="s">
        <v>11007</v>
      </c>
      <c r="G5086" t="str">
        <f>IF('4V'!J28="","##BLANK",'4V'!J28)</f>
        <v>##BLANK</v>
      </c>
    </row>
    <row r="5087" spans="2:7">
      <c r="B5087" s="893" t="str">
        <f>'4V'!AQ29</f>
        <v>W3032TWD</v>
      </c>
      <c r="E5087" s="1753" t="s">
        <v>11007</v>
      </c>
      <c r="G5087" t="str">
        <f>IF('4V'!J29="","##BLANK",'4V'!J29)</f>
        <v>##BLANK</v>
      </c>
    </row>
    <row r="5088" spans="2:7" s="2146" customFormat="1">
      <c r="B5088" s="893" t="str">
        <f>'4V'!AQ32</f>
        <v>W3033TWD</v>
      </c>
      <c r="C5088" s="1382"/>
      <c r="E5088" s="1753" t="s">
        <v>11007</v>
      </c>
      <c r="G5088" s="2146" t="str">
        <f>IF('4V'!J32="","##BLANK",'4V'!J32)</f>
        <v>##BLANK</v>
      </c>
    </row>
    <row r="5089" spans="2:7" s="2146" customFormat="1">
      <c r="B5089" s="893" t="str">
        <f>'4V'!AQ33</f>
        <v>W3034TWD</v>
      </c>
      <c r="C5089" s="1382"/>
      <c r="E5089" s="1753" t="s">
        <v>11007</v>
      </c>
      <c r="G5089" s="2146" t="str">
        <f>IF('4V'!J33="","##BLANK",'4V'!J33)</f>
        <v>##BLANK</v>
      </c>
    </row>
    <row r="5090" spans="2:7" s="2146" customFormat="1">
      <c r="B5090" s="893" t="str">
        <f>'4V'!AQ34</f>
        <v>W3035TWD</v>
      </c>
      <c r="C5090" s="1382"/>
      <c r="E5090" s="1753" t="s">
        <v>11007</v>
      </c>
      <c r="G5090" s="2146" t="str">
        <f>IF('4V'!J34="","##BLANK",'4V'!J34)</f>
        <v>##BLANK</v>
      </c>
    </row>
    <row r="5091" spans="2:7">
      <c r="B5091" s="893" t="str">
        <f>'4V'!AQ36</f>
        <v>W3036TWD</v>
      </c>
      <c r="E5091" s="1753" t="s">
        <v>11007</v>
      </c>
      <c r="G5091" t="str">
        <f>IF('4V'!J36="","##BLANK",'4V'!J36)</f>
        <v>##BLANK</v>
      </c>
    </row>
    <row r="5092" spans="2:7">
      <c r="B5092" s="893" t="str">
        <f>'4V'!AR7</f>
        <v>BM102AR</v>
      </c>
      <c r="E5092" s="1753" t="s">
        <v>11007</v>
      </c>
      <c r="G5092" t="str">
        <f>IF('4V'!K7="","##BLANK",'4V'!K7)</f>
        <v>##BLANK</v>
      </c>
    </row>
    <row r="5093" spans="2:7">
      <c r="B5093" s="893" t="str">
        <f>'4V'!AR8</f>
        <v>BM836AR</v>
      </c>
      <c r="E5093" s="1753" t="s">
        <v>11007</v>
      </c>
      <c r="G5093" t="str">
        <f>IF('4V'!K8="","##BLANK",'4V'!K8)</f>
        <v>##BLANK</v>
      </c>
    </row>
    <row r="5094" spans="2:7">
      <c r="B5094" s="893" t="str">
        <f>'4V'!AR9</f>
        <v>WS1003AR</v>
      </c>
      <c r="E5094" s="1753" t="s">
        <v>11007</v>
      </c>
      <c r="G5094" t="str">
        <f>IF('4V'!K9="","##BLANK",'4V'!K9)</f>
        <v>##BLANK</v>
      </c>
    </row>
    <row r="5095" spans="2:7">
      <c r="B5095" s="893" t="str">
        <f>'4V'!AR10</f>
        <v>BM240AR</v>
      </c>
      <c r="E5095" s="1753" t="s">
        <v>11007</v>
      </c>
      <c r="G5095" t="str">
        <f>IF('4V'!K10="","##BLANK",'4V'!K10)</f>
        <v>##BLANK</v>
      </c>
    </row>
    <row r="5096" spans="2:7">
      <c r="B5096" s="893" t="str">
        <f>'4V'!AR12</f>
        <v>WS1005AR</v>
      </c>
      <c r="E5096" s="1753" t="s">
        <v>11007</v>
      </c>
      <c r="G5096" t="str">
        <f>IF('4V'!K12="","##BLANK",'4V'!K12)</f>
        <v>##BLANK</v>
      </c>
    </row>
    <row r="5097" spans="2:7">
      <c r="B5097" s="893" t="str">
        <f>'4V'!AR13</f>
        <v>WS1006AR</v>
      </c>
      <c r="E5097" s="1753" t="s">
        <v>11007</v>
      </c>
      <c r="G5097" t="str">
        <f>IF('4V'!K13="","##BLANK",'4V'!K13)</f>
        <v>##BLANK</v>
      </c>
    </row>
    <row r="5098" spans="2:7">
      <c r="B5098" s="893" t="str">
        <f>'4V'!AR14</f>
        <v>BM108AR</v>
      </c>
      <c r="E5098" s="1753" t="s">
        <v>11007</v>
      </c>
      <c r="G5098" t="str">
        <f>IF('4V'!K14="","##BLANK",'4V'!K14)</f>
        <v>##BLANK</v>
      </c>
    </row>
    <row r="5099" spans="2:7">
      <c r="B5099" s="893" t="str">
        <f>'4V'!AR15</f>
        <v>BM110AR</v>
      </c>
      <c r="E5099" s="1753" t="s">
        <v>11007</v>
      </c>
      <c r="G5099" t="str">
        <f>IF('4V'!K15="","##BLANK",'4V'!K15)</f>
        <v>##BLANK</v>
      </c>
    </row>
    <row r="5100" spans="2:7">
      <c r="B5100" s="893" t="str">
        <f>'4V'!AR16</f>
        <v>BM816AR</v>
      </c>
      <c r="E5100" s="1753" t="s">
        <v>11007</v>
      </c>
      <c r="G5100">
        <f>IF('4V'!K16="","##BLANK",'4V'!K16)</f>
        <v>0</v>
      </c>
    </row>
    <row r="5101" spans="2:7">
      <c r="B5101" s="893" t="str">
        <f>'4V'!AR17</f>
        <v>BM817AR</v>
      </c>
      <c r="E5101" s="1753" t="s">
        <v>11007</v>
      </c>
      <c r="G5101" t="str">
        <f>IF('4V'!K17="","##BLANK",'4V'!K17)</f>
        <v>##BLANK</v>
      </c>
    </row>
    <row r="5102" spans="2:7">
      <c r="B5102" s="893" t="str">
        <f>'4V'!AR18</f>
        <v>BM316AR</v>
      </c>
      <c r="E5102" s="1753" t="s">
        <v>11007</v>
      </c>
      <c r="G5102">
        <f>IF('4V'!K18="","##BLANK",'4V'!K18)</f>
        <v>0</v>
      </c>
    </row>
    <row r="5103" spans="2:7">
      <c r="B5103" s="893" t="str">
        <f>'4V'!AR19</f>
        <v>FT00865AR</v>
      </c>
      <c r="E5103" s="1753" t="s">
        <v>11007</v>
      </c>
      <c r="G5103" t="str">
        <f>IF('4V'!K19="","##BLANK",'4V'!K19)</f>
        <v>##BLANK</v>
      </c>
    </row>
    <row r="5104" spans="2:7">
      <c r="B5104" s="893" t="str">
        <f>'4V'!AR20</f>
        <v>BM319AR</v>
      </c>
      <c r="E5104" s="1753" t="s">
        <v>11007</v>
      </c>
      <c r="G5104">
        <f>IF('4V'!K20="","##BLANK",'4V'!K20)</f>
        <v>0</v>
      </c>
    </row>
    <row r="5105" spans="2:7">
      <c r="B5105" s="893" t="str">
        <f>'4V'!AR25</f>
        <v>BM3010CAW</v>
      </c>
      <c r="E5105" s="1753" t="s">
        <v>11007</v>
      </c>
      <c r="G5105">
        <f>IF('4V'!K25="","##BLANK",'4V'!K25)</f>
        <v>0</v>
      </c>
    </row>
    <row r="5106" spans="2:7">
      <c r="B5106" s="893" t="str">
        <f>'4V'!AR26</f>
        <v>BM3011CAW</v>
      </c>
      <c r="E5106" s="1753" t="s">
        <v>11007</v>
      </c>
      <c r="G5106">
        <f>IF('4V'!K26="","##BLANK",'4V'!K26)</f>
        <v>0</v>
      </c>
    </row>
    <row r="5107" spans="2:7">
      <c r="B5107" s="893" t="str">
        <f>'4V'!AR27</f>
        <v>W3030CAW</v>
      </c>
      <c r="E5107" s="1753" t="s">
        <v>11007</v>
      </c>
      <c r="G5107">
        <f>IF('4V'!K27="","##BLANK",'4V'!K27)</f>
        <v>0</v>
      </c>
    </row>
    <row r="5108" spans="2:7">
      <c r="B5108" s="893" t="str">
        <f>'4V'!AR28</f>
        <v>W3031CAW</v>
      </c>
      <c r="E5108" s="1753" t="s">
        <v>11007</v>
      </c>
      <c r="G5108">
        <f>IF('4V'!K28="","##BLANK",'4V'!K28)</f>
        <v>0</v>
      </c>
    </row>
    <row r="5109" spans="2:7">
      <c r="B5109" s="893" t="str">
        <f>'4V'!AR29</f>
        <v>W3032CAW</v>
      </c>
      <c r="E5109" s="1753" t="s">
        <v>11007</v>
      </c>
      <c r="G5109">
        <f>IF('4V'!K29="","##BLANK",'4V'!K29)</f>
        <v>0</v>
      </c>
    </row>
    <row r="5110" spans="2:7">
      <c r="B5110" s="893" t="str">
        <f>'4V'!AR32</f>
        <v>W3033CAW</v>
      </c>
      <c r="E5110" s="1753" t="s">
        <v>11007</v>
      </c>
      <c r="G5110">
        <f>IF('4V'!K32="","##BLANK",'4V'!K32)</f>
        <v>0</v>
      </c>
    </row>
    <row r="5111" spans="2:7">
      <c r="B5111" s="893" t="str">
        <f>'4V'!AR33</f>
        <v>W3034CAW</v>
      </c>
      <c r="E5111" s="1753" t="s">
        <v>11007</v>
      </c>
      <c r="G5111">
        <f>IF('4V'!K33="","##BLANK",'4V'!K33)</f>
        <v>0</v>
      </c>
    </row>
    <row r="5112" spans="2:7">
      <c r="B5112" s="893" t="str">
        <f>'4V'!AR34</f>
        <v>W3035CAW</v>
      </c>
      <c r="E5112" s="1753" t="s">
        <v>11007</v>
      </c>
      <c r="G5112">
        <f>IF('4V'!K34="","##BLANK",'4V'!K34)</f>
        <v>0</v>
      </c>
    </row>
    <row r="5113" spans="2:7">
      <c r="B5113" s="893" t="str">
        <f>'4V'!AR36</f>
        <v>W3036CAW</v>
      </c>
      <c r="E5113" s="1753" t="s">
        <v>11007</v>
      </c>
      <c r="G5113">
        <f>IF('4V'!K36="","##BLANK",'4V'!K36)</f>
        <v>0</v>
      </c>
    </row>
    <row r="5114" spans="2:7">
      <c r="B5114" s="893" t="str">
        <f>'4V'!AS7</f>
        <v>BM102ASR</v>
      </c>
      <c r="E5114" s="1753" t="s">
        <v>11007</v>
      </c>
      <c r="G5114" t="str">
        <f>IF('4V'!L7="","##BLANK",'4V'!L7)</f>
        <v>##BLANK</v>
      </c>
    </row>
    <row r="5115" spans="2:7">
      <c r="B5115" s="893" t="str">
        <f>'4V'!AS8</f>
        <v>BM836ASR</v>
      </c>
      <c r="E5115" s="1753" t="s">
        <v>11007</v>
      </c>
      <c r="G5115" t="str">
        <f>IF('4V'!L8="","##BLANK",'4V'!L8)</f>
        <v>##BLANK</v>
      </c>
    </row>
    <row r="5116" spans="2:7">
      <c r="B5116" s="893" t="str">
        <f>'4V'!AS9</f>
        <v>WS1003ASR</v>
      </c>
      <c r="E5116" s="1753" t="s">
        <v>11007</v>
      </c>
      <c r="G5116" t="str">
        <f>IF('4V'!L9="","##BLANK",'4V'!L9)</f>
        <v>##BLANK</v>
      </c>
    </row>
    <row r="5117" spans="2:7">
      <c r="B5117" s="893" t="str">
        <f>'4V'!AS10</f>
        <v>BM240ASR</v>
      </c>
      <c r="E5117" s="1753" t="s">
        <v>11007</v>
      </c>
      <c r="G5117" t="str">
        <f>IF('4V'!L10="","##BLANK",'4V'!L10)</f>
        <v>##BLANK</v>
      </c>
    </row>
    <row r="5118" spans="2:7">
      <c r="B5118" s="893" t="str">
        <f>'4V'!AS12</f>
        <v>WS1005ASR</v>
      </c>
      <c r="E5118" s="1753" t="s">
        <v>11007</v>
      </c>
      <c r="G5118" t="str">
        <f>IF('4V'!L12="","##BLANK",'4V'!L12)</f>
        <v>##BLANK</v>
      </c>
    </row>
    <row r="5119" spans="2:7">
      <c r="B5119" s="893" t="str">
        <f>'4V'!AS13</f>
        <v>WS1006ASR</v>
      </c>
      <c r="E5119" s="1753" t="s">
        <v>11007</v>
      </c>
      <c r="G5119" t="str">
        <f>IF('4V'!L13="","##BLANK",'4V'!L13)</f>
        <v>##BLANK</v>
      </c>
    </row>
    <row r="5120" spans="2:7">
      <c r="B5120" s="893" t="str">
        <f>'4V'!AS14</f>
        <v>BM108ASR</v>
      </c>
      <c r="E5120" s="1753" t="s">
        <v>11007</v>
      </c>
      <c r="G5120" t="str">
        <f>IF('4V'!L14="","##BLANK",'4V'!L14)</f>
        <v>##BLANK</v>
      </c>
    </row>
    <row r="5121" spans="2:7">
      <c r="B5121" s="893" t="str">
        <f>'4V'!AS15</f>
        <v>BM110ASR</v>
      </c>
      <c r="E5121" s="1753" t="s">
        <v>11007</v>
      </c>
      <c r="G5121" t="str">
        <f>IF('4V'!L15="","##BLANK",'4V'!L15)</f>
        <v>##BLANK</v>
      </c>
    </row>
    <row r="5122" spans="2:7">
      <c r="B5122" s="893" t="str">
        <f>'4V'!AS16</f>
        <v>BM816ASR</v>
      </c>
      <c r="E5122" s="1753" t="s">
        <v>11007</v>
      </c>
      <c r="G5122">
        <f>IF('4V'!L16="","##BLANK",'4V'!L16)</f>
        <v>0</v>
      </c>
    </row>
    <row r="5123" spans="2:7">
      <c r="B5123" s="893" t="str">
        <f>'4V'!AS17</f>
        <v>BM817ASR</v>
      </c>
      <c r="E5123" s="1753" t="s">
        <v>11007</v>
      </c>
      <c r="G5123" t="str">
        <f>IF('4V'!L17="","##BLANK",'4V'!L17)</f>
        <v>##BLANK</v>
      </c>
    </row>
    <row r="5124" spans="2:7">
      <c r="B5124" s="893" t="str">
        <f>'4V'!AS18</f>
        <v>BM316ASR</v>
      </c>
      <c r="E5124" s="1753" t="s">
        <v>11007</v>
      </c>
      <c r="G5124">
        <f>IF('4V'!L18="","##BLANK",'4V'!L18)</f>
        <v>0</v>
      </c>
    </row>
    <row r="5125" spans="2:7">
      <c r="B5125" s="893" t="str">
        <f>'4V'!AS19</f>
        <v>FT00865ASR</v>
      </c>
      <c r="E5125" s="1753" t="s">
        <v>11007</v>
      </c>
      <c r="G5125" t="str">
        <f>IF('4V'!L19="","##BLANK",'4V'!L19)</f>
        <v>##BLANK</v>
      </c>
    </row>
    <row r="5126" spans="2:7">
      <c r="B5126" s="893" t="str">
        <f>'4V'!AS20</f>
        <v>BM319ASR</v>
      </c>
      <c r="E5126" s="1753" t="s">
        <v>11007</v>
      </c>
      <c r="G5126">
        <f>IF('4V'!L20="","##BLANK",'4V'!L20)</f>
        <v>0</v>
      </c>
    </row>
    <row r="5127" spans="2:7">
      <c r="B5127" s="893" t="str">
        <f>'4V'!AT7</f>
        <v>BM102WROT</v>
      </c>
      <c r="E5127" s="1753" t="s">
        <v>11007</v>
      </c>
      <c r="G5127" t="str">
        <f>IF('4V'!M7="","##BLANK",'4V'!M7)</f>
        <v>##BLANK</v>
      </c>
    </row>
    <row r="5128" spans="2:7">
      <c r="B5128" s="893" t="str">
        <f>'4V'!AT8</f>
        <v>BM836WROT</v>
      </c>
      <c r="E5128" s="1753" t="s">
        <v>11007</v>
      </c>
      <c r="G5128" t="str">
        <f>IF('4V'!M8="","##BLANK",'4V'!M8)</f>
        <v>##BLANK</v>
      </c>
    </row>
    <row r="5129" spans="2:7">
      <c r="B5129" s="893" t="str">
        <f>'4V'!AT9</f>
        <v>WS1003WROT</v>
      </c>
      <c r="E5129" s="1753" t="s">
        <v>11007</v>
      </c>
      <c r="G5129" t="str">
        <f>IF('4V'!M9="","##BLANK",'4V'!M9)</f>
        <v>##BLANK</v>
      </c>
    </row>
    <row r="5130" spans="2:7">
      <c r="B5130" s="893" t="str">
        <f>'4V'!AT10</f>
        <v>BM240WROT</v>
      </c>
      <c r="E5130" s="1753" t="s">
        <v>11007</v>
      </c>
      <c r="G5130" t="str">
        <f>IF('4V'!M10="","##BLANK",'4V'!M10)</f>
        <v>##BLANK</v>
      </c>
    </row>
    <row r="5131" spans="2:7">
      <c r="B5131" s="893" t="str">
        <f>'4V'!AT12</f>
        <v>WS1005WROT</v>
      </c>
      <c r="E5131" s="1753" t="s">
        <v>11007</v>
      </c>
      <c r="G5131" t="str">
        <f>IF('4V'!M12="","##BLANK",'4V'!M12)</f>
        <v>##BLANK</v>
      </c>
    </row>
    <row r="5132" spans="2:7">
      <c r="B5132" s="893" t="str">
        <f>'4V'!AT13</f>
        <v>WS1006WROT</v>
      </c>
      <c r="E5132" s="1753" t="s">
        <v>11007</v>
      </c>
      <c r="G5132" t="str">
        <f>IF('4V'!M13="","##BLANK",'4V'!M13)</f>
        <v>##BLANK</v>
      </c>
    </row>
    <row r="5133" spans="2:7">
      <c r="B5133" s="893" t="str">
        <f>'4V'!AT14</f>
        <v>BM108WROT</v>
      </c>
      <c r="E5133" s="1753" t="s">
        <v>11007</v>
      </c>
      <c r="G5133" t="str">
        <f>IF('4V'!M14="","##BLANK",'4V'!M14)</f>
        <v>##BLANK</v>
      </c>
    </row>
    <row r="5134" spans="2:7">
      <c r="B5134" s="893" t="str">
        <f>'4V'!AT15</f>
        <v>BM110WROT</v>
      </c>
      <c r="E5134" s="1753" t="s">
        <v>11007</v>
      </c>
      <c r="G5134" t="str">
        <f>IF('4V'!M15="","##BLANK",'4V'!M15)</f>
        <v>##BLANK</v>
      </c>
    </row>
    <row r="5135" spans="2:7">
      <c r="B5135" s="893" t="str">
        <f>'4V'!AT16</f>
        <v>BM816WROT</v>
      </c>
      <c r="E5135" s="1753" t="s">
        <v>11007</v>
      </c>
      <c r="G5135">
        <f>IF('4V'!M16="","##BLANK",'4V'!M16)</f>
        <v>0</v>
      </c>
    </row>
    <row r="5136" spans="2:7">
      <c r="B5136" s="893" t="str">
        <f>'4V'!AT17</f>
        <v>BM817WROT</v>
      </c>
      <c r="E5136" s="1753" t="s">
        <v>11007</v>
      </c>
      <c r="G5136" t="str">
        <f>IF('4V'!M17="","##BLANK",'4V'!M17)</f>
        <v>##BLANK</v>
      </c>
    </row>
    <row r="5137" spans="2:7">
      <c r="B5137" s="893" t="str">
        <f>'4V'!AT18</f>
        <v>BM316WROT</v>
      </c>
      <c r="E5137" s="1753" t="s">
        <v>11007</v>
      </c>
      <c r="G5137">
        <f>IF('4V'!M18="","##BLANK",'4V'!M18)</f>
        <v>0</v>
      </c>
    </row>
    <row r="5138" spans="2:7">
      <c r="B5138" s="893" t="str">
        <f>'4V'!AT19</f>
        <v>FT00865WROT</v>
      </c>
      <c r="E5138" s="1753" t="s">
        <v>11007</v>
      </c>
      <c r="G5138" t="str">
        <f>IF('4V'!M19="","##BLANK",'4V'!M19)</f>
        <v>##BLANK</v>
      </c>
    </row>
    <row r="5139" spans="2:7">
      <c r="B5139" s="893" t="str">
        <f>'4V'!AT20</f>
        <v>BM319WROT</v>
      </c>
      <c r="E5139" s="1753" t="s">
        <v>11007</v>
      </c>
      <c r="G5139">
        <f>IF('4V'!M20="","##BLANK",'4V'!M20)</f>
        <v>0</v>
      </c>
    </row>
    <row r="5140" spans="2:7">
      <c r="B5140" s="893" t="str">
        <f>'4V'!AU7</f>
        <v>BM102WRTOT</v>
      </c>
      <c r="E5140" s="1753" t="s">
        <v>11007</v>
      </c>
      <c r="G5140">
        <f>IF('4V'!N7="","##BLANK",'4V'!N7)</f>
        <v>0</v>
      </c>
    </row>
    <row r="5141" spans="2:7">
      <c r="B5141" s="893" t="str">
        <f>'4V'!AU8</f>
        <v>BM836WRTOT</v>
      </c>
      <c r="E5141" s="1753" t="s">
        <v>11007</v>
      </c>
      <c r="G5141">
        <f>IF('4V'!N8="","##BLANK",'4V'!N8)</f>
        <v>0</v>
      </c>
    </row>
    <row r="5142" spans="2:7">
      <c r="B5142" s="893" t="str">
        <f>'4V'!AU9</f>
        <v>WS1003WRTOT</v>
      </c>
      <c r="E5142" s="1753" t="s">
        <v>11007</v>
      </c>
      <c r="G5142">
        <f>IF('4V'!N9="","##BLANK",'4V'!N9)</f>
        <v>0</v>
      </c>
    </row>
    <row r="5143" spans="2:7">
      <c r="B5143" s="893" t="str">
        <f>'4V'!AU10</f>
        <v>BM240WRTOT</v>
      </c>
      <c r="E5143" s="1753" t="s">
        <v>11007</v>
      </c>
      <c r="G5143">
        <f>IF('4V'!N10="","##BLANK",'4V'!N10)</f>
        <v>0</v>
      </c>
    </row>
    <row r="5144" spans="2:7">
      <c r="B5144" s="893" t="str">
        <f>'4V'!AU12</f>
        <v>WS1005WRTOT</v>
      </c>
      <c r="E5144" s="1753" t="s">
        <v>11007</v>
      </c>
      <c r="G5144">
        <f>IF('4V'!N12="","##BLANK",'4V'!N12)</f>
        <v>0</v>
      </c>
    </row>
    <row r="5145" spans="2:7">
      <c r="B5145" s="893" t="str">
        <f>'4V'!AU13</f>
        <v>WS1006WRTOT</v>
      </c>
      <c r="E5145" s="1753" t="s">
        <v>11007</v>
      </c>
      <c r="G5145">
        <f>IF('4V'!N13="","##BLANK",'4V'!N13)</f>
        <v>0</v>
      </c>
    </row>
    <row r="5146" spans="2:7">
      <c r="B5146" s="893" t="str">
        <f>'4V'!AU14</f>
        <v>BM108WRTOT</v>
      </c>
      <c r="E5146" s="1753" t="s">
        <v>11007</v>
      </c>
      <c r="G5146">
        <f>IF('4V'!N14="","##BLANK",'4V'!N14)</f>
        <v>0</v>
      </c>
    </row>
    <row r="5147" spans="2:7">
      <c r="B5147" s="893" t="str">
        <f>'4V'!AU15</f>
        <v>BM110WRTOT</v>
      </c>
      <c r="E5147" s="1753" t="s">
        <v>11007</v>
      </c>
      <c r="G5147">
        <f>IF('4V'!N15="","##BLANK",'4V'!N15)</f>
        <v>0</v>
      </c>
    </row>
    <row r="5148" spans="2:7">
      <c r="B5148" s="893" t="str">
        <f>'4V'!AU16</f>
        <v>BM816WRTOT</v>
      </c>
      <c r="E5148" s="1753" t="s">
        <v>11007</v>
      </c>
      <c r="G5148">
        <f>IF('4V'!N16="","##BLANK",'4V'!N16)</f>
        <v>0</v>
      </c>
    </row>
    <row r="5149" spans="2:7">
      <c r="B5149" s="893" t="str">
        <f>'4V'!AU17</f>
        <v>BM817WRTOT</v>
      </c>
      <c r="E5149" s="1753" t="s">
        <v>11007</v>
      </c>
      <c r="G5149">
        <f>IF('4V'!N17="","##BLANK",'4V'!N17)</f>
        <v>0</v>
      </c>
    </row>
    <row r="5150" spans="2:7">
      <c r="B5150" s="893" t="str">
        <f>'4V'!AU18</f>
        <v>BM316WRTOT</v>
      </c>
      <c r="E5150" s="1753" t="s">
        <v>11007</v>
      </c>
      <c r="G5150">
        <f>IF('4V'!N18="","##BLANK",'4V'!N18)</f>
        <v>0</v>
      </c>
    </row>
    <row r="5151" spans="2:7">
      <c r="B5151" s="893" t="str">
        <f>'4V'!AU19</f>
        <v>FT00865WRTOT</v>
      </c>
      <c r="E5151" s="1753" t="s">
        <v>11007</v>
      </c>
      <c r="G5151">
        <f>IF('4V'!N19="","##BLANK",'4V'!N19)</f>
        <v>0</v>
      </c>
    </row>
    <row r="5152" spans="2:7">
      <c r="B5152" s="893" t="str">
        <f>'4V'!AU20</f>
        <v>BM319WRTOT</v>
      </c>
      <c r="E5152" s="1753" t="s">
        <v>11007</v>
      </c>
      <c r="G5152">
        <f>IF('4V'!N20="","##BLANK",'4V'!N20)</f>
        <v>0</v>
      </c>
    </row>
    <row r="5153" spans="2:8">
      <c r="B5153" s="893" t="str">
        <f>'4W'!AP6</f>
        <v>WWS1001STPPP</v>
      </c>
      <c r="E5153" s="1753" t="s">
        <v>11007</v>
      </c>
      <c r="F5153" s="2146"/>
      <c r="G5153" t="str">
        <f>IF('4W'!G6="","##BLANK",'4W'!G6)</f>
        <v>##BLANK</v>
      </c>
      <c r="H5153" s="2146"/>
    </row>
    <row r="5154" spans="2:8">
      <c r="B5154" s="893" t="str">
        <f>'4W'!AP7</f>
        <v>WWS1002STPPP</v>
      </c>
      <c r="E5154" s="1753" t="s">
        <v>11007</v>
      </c>
      <c r="F5154" s="2146"/>
      <c r="G5154" t="str">
        <f>IF('4W'!G7="","##BLANK",'4W'!G7)</f>
        <v>##BLANK</v>
      </c>
      <c r="H5154" s="2146"/>
    </row>
    <row r="5155" spans="2:8">
      <c r="B5155" s="893" t="str">
        <f>'4W'!AP8</f>
        <v>WWS1003STPPP</v>
      </c>
      <c r="E5155" s="1753" t="s">
        <v>11007</v>
      </c>
      <c r="F5155" s="2146"/>
      <c r="G5155" t="str">
        <f>IF('4W'!G8="","##BLANK",'4W'!G8)</f>
        <v>##BLANK</v>
      </c>
      <c r="H5155" s="2146"/>
    </row>
    <row r="5156" spans="2:8">
      <c r="B5156" s="893" t="str">
        <f>'4W'!AP9</f>
        <v>WWS1004STPPP</v>
      </c>
      <c r="E5156" s="1753" t="s">
        <v>11007</v>
      </c>
      <c r="F5156" s="2146"/>
      <c r="G5156" t="str">
        <f>IF('4W'!G9="","##BLANK",'4W'!G9)</f>
        <v>##BLANK</v>
      </c>
      <c r="H5156" s="2146"/>
    </row>
    <row r="5157" spans="2:8">
      <c r="B5157" s="893" t="str">
        <f>'4W'!AP11</f>
        <v>WWS1005STPPP</v>
      </c>
      <c r="E5157" s="1753" t="s">
        <v>11007</v>
      </c>
      <c r="F5157" s="2146"/>
      <c r="G5157" t="str">
        <f>IF('4W'!G11="","##BLANK",'4W'!G11)</f>
        <v>##BLANK</v>
      </c>
      <c r="H5157" s="2146"/>
    </row>
    <row r="5158" spans="2:8">
      <c r="B5158" s="893" t="str">
        <f>'4W'!AP12</f>
        <v>WWS1006STPPP</v>
      </c>
      <c r="E5158" s="1753" t="s">
        <v>11007</v>
      </c>
      <c r="F5158" s="2146"/>
      <c r="G5158" t="str">
        <f>IF('4W'!G12="","##BLANK",'4W'!G12)</f>
        <v>##BLANK</v>
      </c>
      <c r="H5158" s="2146"/>
    </row>
    <row r="5159" spans="2:8">
      <c r="B5159" s="893" t="str">
        <f>'4W'!AP13</f>
        <v>WWS1007DISTPPP</v>
      </c>
      <c r="E5159" s="1753" t="s">
        <v>11007</v>
      </c>
      <c r="F5159" s="2146"/>
      <c r="G5159" t="str">
        <f>IF('4W'!G13="","##BLANK",'4W'!G13)</f>
        <v>##BLANK</v>
      </c>
      <c r="H5159" s="2146"/>
    </row>
    <row r="5160" spans="2:8">
      <c r="B5160" s="893" t="str">
        <f>'4W'!AP14</f>
        <v>WWS1007INSTPPP</v>
      </c>
      <c r="E5160" s="1753" t="s">
        <v>11007</v>
      </c>
      <c r="F5160" s="2146"/>
      <c r="G5160" t="str">
        <f>IF('4W'!G14="","##BLANK",'4W'!G14)</f>
        <v>##BLANK</v>
      </c>
      <c r="H5160" s="2146"/>
    </row>
    <row r="5161" spans="2:8">
      <c r="B5161" s="893" t="str">
        <f>'4W'!AP15</f>
        <v>BM816STPPP</v>
      </c>
      <c r="E5161" s="1753" t="s">
        <v>11007</v>
      </c>
      <c r="F5161" s="2146"/>
      <c r="G5161">
        <f>IF('4W'!G15="","##BLANK",'4W'!G15)</f>
        <v>0</v>
      </c>
      <c r="H5161" s="2146"/>
    </row>
    <row r="5162" spans="2:8">
      <c r="B5162" s="893" t="str">
        <f>'4W'!AP16</f>
        <v>WWS1008STPPP</v>
      </c>
      <c r="E5162" s="1753" t="s">
        <v>11007</v>
      </c>
      <c r="F5162" s="2146"/>
      <c r="G5162" t="str">
        <f>IF('4W'!G16="","##BLANK",'4W'!G16)</f>
        <v>##BLANK</v>
      </c>
      <c r="H5162" s="2146"/>
    </row>
    <row r="5163" spans="2:8">
      <c r="B5163" s="893" t="str">
        <f>'4W'!AP17</f>
        <v>WWS1009STPPP</v>
      </c>
      <c r="E5163" s="1753" t="s">
        <v>11007</v>
      </c>
      <c r="F5163" s="2146"/>
      <c r="G5163">
        <f>IF('4W'!G17="","##BLANK",'4W'!G17)</f>
        <v>0</v>
      </c>
      <c r="H5163" s="2146"/>
    </row>
    <row r="5164" spans="2:8">
      <c r="B5164" s="893" t="str">
        <f>'4W'!AP18</f>
        <v>FT00865STPPP</v>
      </c>
      <c r="E5164" s="1753" t="s">
        <v>11007</v>
      </c>
      <c r="F5164" s="2146"/>
      <c r="G5164" t="str">
        <f>IF('4W'!G18="","##BLANK",'4W'!G18)</f>
        <v>##BLANK</v>
      </c>
      <c r="H5164" s="2146"/>
    </row>
    <row r="5165" spans="2:8">
      <c r="B5165" s="893" t="str">
        <f>'4W'!AP19</f>
        <v>BM319STPPP</v>
      </c>
      <c r="E5165" s="1753" t="s">
        <v>11007</v>
      </c>
      <c r="F5165" s="2146"/>
      <c r="G5165">
        <f>IF('4W'!G19="","##BLANK",'4W'!G19)</f>
        <v>0</v>
      </c>
      <c r="H5165" s="2146"/>
    </row>
    <row r="5166" spans="2:8">
      <c r="B5166" s="893" t="str">
        <f>'4W'!AP22</f>
        <v>BM402STUTS</v>
      </c>
      <c r="E5166" s="1753" t="s">
        <v>11007</v>
      </c>
      <c r="F5166" s="2146"/>
      <c r="G5166" t="str">
        <f>IF('4W'!G22="","##BLANK",'4W'!G22)</f>
        <v>##BLANK</v>
      </c>
      <c r="H5166" s="2146"/>
    </row>
    <row r="5167" spans="2:8">
      <c r="B5167" s="893" t="str">
        <f>'4W'!AP23</f>
        <v>BM836STUTS</v>
      </c>
      <c r="E5167" s="1753" t="s">
        <v>11007</v>
      </c>
      <c r="F5167" s="2146"/>
      <c r="G5167" t="str">
        <f>IF('4W'!G23="","##BLANK",'4W'!G23)</f>
        <v>##BLANK</v>
      </c>
      <c r="H5167" s="2146"/>
    </row>
    <row r="5168" spans="2:8">
      <c r="B5168" s="893" t="str">
        <f>'4W'!AP24</f>
        <v>WWS1003STUTS</v>
      </c>
      <c r="E5168" s="1753" t="s">
        <v>11007</v>
      </c>
      <c r="F5168" s="2146"/>
      <c r="G5168" t="str">
        <f>IF('4W'!G24="","##BLANK",'4W'!G24)</f>
        <v>##BLANK</v>
      </c>
      <c r="H5168" s="2146"/>
    </row>
    <row r="5169" spans="2:8">
      <c r="B5169" s="893" t="str">
        <f>'4W'!AP25</f>
        <v>BM240STUTS</v>
      </c>
      <c r="E5169" s="1753" t="s">
        <v>11007</v>
      </c>
      <c r="F5169" s="2146"/>
      <c r="G5169" t="str">
        <f>IF('4W'!G25="","##BLANK",'4W'!G25)</f>
        <v>##BLANK</v>
      </c>
      <c r="H5169" s="2146"/>
    </row>
    <row r="5170" spans="2:8">
      <c r="B5170" s="893" t="str">
        <f>'4W'!AP27</f>
        <v>WWS1005STUTS</v>
      </c>
      <c r="E5170" s="1753" t="s">
        <v>11007</v>
      </c>
      <c r="F5170" s="2146"/>
      <c r="G5170" t="str">
        <f>IF('4W'!G27="","##BLANK",'4W'!G27)</f>
        <v>##BLANK</v>
      </c>
      <c r="H5170" s="2146"/>
    </row>
    <row r="5171" spans="2:8">
      <c r="B5171" s="893" t="str">
        <f>'4W'!AP28</f>
        <v>WWS1006STUTS</v>
      </c>
      <c r="E5171" s="1753" t="s">
        <v>11007</v>
      </c>
      <c r="F5171" s="2146"/>
      <c r="G5171" t="str">
        <f>IF('4W'!G28="","##BLANK",'4W'!G28)</f>
        <v>##BLANK</v>
      </c>
      <c r="H5171" s="2146"/>
    </row>
    <row r="5172" spans="2:8">
      <c r="B5172" s="893" t="str">
        <f>'4W'!AP29</f>
        <v>BM408STUTS</v>
      </c>
      <c r="E5172" s="1753" t="s">
        <v>11007</v>
      </c>
      <c r="F5172" s="2146"/>
      <c r="G5172" t="str">
        <f>IF('4W'!G29="","##BLANK",'4W'!G29)</f>
        <v>##BLANK</v>
      </c>
      <c r="H5172" s="2146"/>
    </row>
    <row r="5173" spans="2:8">
      <c r="B5173" s="893" t="str">
        <f>'4W'!AP30</f>
        <v>BM410STUTS</v>
      </c>
      <c r="E5173" s="1753" t="s">
        <v>11007</v>
      </c>
      <c r="F5173" s="2146"/>
      <c r="G5173" t="str">
        <f>IF('4W'!G30="","##BLANK",'4W'!G30)</f>
        <v>##BLANK</v>
      </c>
      <c r="H5173" s="2146"/>
    </row>
    <row r="5174" spans="2:8">
      <c r="B5174" s="893" t="str">
        <f>'4W'!AP31</f>
        <v>BM816STUTS</v>
      </c>
      <c r="E5174" s="1753" t="s">
        <v>11007</v>
      </c>
      <c r="F5174" s="2146"/>
      <c r="G5174">
        <f>IF('4W'!G31="","##BLANK",'4W'!G31)</f>
        <v>0</v>
      </c>
      <c r="H5174" s="2146"/>
    </row>
    <row r="5175" spans="2:8">
      <c r="B5175" s="893" t="str">
        <f>'4W'!AP32</f>
        <v>BM817STUTS</v>
      </c>
      <c r="E5175" s="1753" t="s">
        <v>11007</v>
      </c>
      <c r="F5175" s="2146"/>
      <c r="G5175" t="str">
        <f>IF('4W'!G32="","##BLANK",'4W'!G32)</f>
        <v>##BLANK</v>
      </c>
      <c r="H5175" s="2146"/>
    </row>
    <row r="5176" spans="2:8">
      <c r="B5176" s="893" t="str">
        <f>'4W'!AP33</f>
        <v>BM8390STUTS</v>
      </c>
      <c r="E5176" s="1753" t="s">
        <v>11007</v>
      </c>
      <c r="F5176" s="2146"/>
      <c r="G5176">
        <f>IF('4W'!G33="","##BLANK",'4W'!G33)</f>
        <v>0</v>
      </c>
      <c r="H5176" s="2146"/>
    </row>
    <row r="5177" spans="2:8">
      <c r="B5177" s="893" t="str">
        <f>'4W'!AP34</f>
        <v>FT00865STUTS</v>
      </c>
      <c r="E5177" s="1753" t="s">
        <v>11007</v>
      </c>
      <c r="F5177" s="2146"/>
      <c r="G5177" t="str">
        <f>IF('4W'!G34="","##BLANK",'4W'!G34)</f>
        <v>##BLANK</v>
      </c>
      <c r="H5177" s="2146"/>
    </row>
    <row r="5178" spans="2:8">
      <c r="B5178" s="893" t="str">
        <f>'4W'!AP35</f>
        <v>BM319STUTS</v>
      </c>
      <c r="E5178" s="1753" t="s">
        <v>11007</v>
      </c>
      <c r="F5178" s="2146"/>
      <c r="G5178">
        <f>IF('4W'!G35="","##BLANK",'4W'!G35)</f>
        <v>0</v>
      </c>
      <c r="H5178" s="2146"/>
    </row>
    <row r="5179" spans="2:8">
      <c r="B5179" s="893" t="str">
        <f>'4W'!AP38</f>
        <v>BM402SDLFR</v>
      </c>
      <c r="E5179" s="1753" t="s">
        <v>11007</v>
      </c>
      <c r="F5179" s="2146"/>
      <c r="G5179" t="str">
        <f>IF('4W'!G38="","##BLANK",'4W'!G38)</f>
        <v>##BLANK</v>
      </c>
      <c r="H5179" s="2146"/>
    </row>
    <row r="5180" spans="2:8">
      <c r="B5180" s="893" t="str">
        <f>'4W'!AP39</f>
        <v>BM836SDLFR</v>
      </c>
      <c r="E5180" s="1753" t="s">
        <v>11007</v>
      </c>
      <c r="F5180" s="2146"/>
      <c r="G5180" t="str">
        <f>IF('4W'!G39="","##BLANK",'4W'!G39)</f>
        <v>##BLANK</v>
      </c>
      <c r="H5180" s="2146"/>
    </row>
    <row r="5181" spans="2:8">
      <c r="B5181" s="893" t="str">
        <f>'4W'!AP40</f>
        <v>WWS1003SDLFR</v>
      </c>
      <c r="E5181" s="1753" t="s">
        <v>11007</v>
      </c>
      <c r="F5181" s="2146"/>
      <c r="G5181" t="str">
        <f>IF('4W'!G40="","##BLANK",'4W'!G40)</f>
        <v>##BLANK</v>
      </c>
      <c r="H5181" s="2146"/>
    </row>
    <row r="5182" spans="2:8">
      <c r="B5182" s="893" t="str">
        <f>'4W'!AP41</f>
        <v>BM240SDLFR</v>
      </c>
      <c r="E5182" s="1753" t="s">
        <v>11007</v>
      </c>
      <c r="F5182" s="2146"/>
      <c r="G5182" t="str">
        <f>IF('4W'!G41="","##BLANK",'4W'!G41)</f>
        <v>##BLANK</v>
      </c>
      <c r="H5182" s="2146"/>
    </row>
    <row r="5183" spans="2:8">
      <c r="B5183" s="893" t="str">
        <f>'4W'!AP43</f>
        <v>WWS1005SDLFR</v>
      </c>
      <c r="E5183" s="1753" t="s">
        <v>11007</v>
      </c>
      <c r="F5183" s="2146"/>
      <c r="G5183" t="str">
        <f>IF('4W'!G43="","##BLANK",'4W'!G43)</f>
        <v>##BLANK</v>
      </c>
      <c r="H5183" s="2146"/>
    </row>
    <row r="5184" spans="2:8">
      <c r="B5184" s="893" t="str">
        <f>'4W'!AP44</f>
        <v>WWS1006SDLFR</v>
      </c>
      <c r="E5184" s="1753" t="s">
        <v>11007</v>
      </c>
      <c r="F5184" s="2146"/>
      <c r="G5184" t="str">
        <f>IF('4W'!G44="","##BLANK",'4W'!G44)</f>
        <v>##BLANK</v>
      </c>
      <c r="H5184" s="2146"/>
    </row>
    <row r="5185" spans="2:8">
      <c r="B5185" s="893" t="str">
        <f>'4W'!AP45</f>
        <v>BM408SDLFR</v>
      </c>
      <c r="E5185" s="1753" t="s">
        <v>11007</v>
      </c>
      <c r="F5185" s="2146"/>
      <c r="G5185" t="str">
        <f>IF('4W'!G45="","##BLANK",'4W'!G45)</f>
        <v>##BLANK</v>
      </c>
      <c r="H5185" s="2146"/>
    </row>
    <row r="5186" spans="2:8">
      <c r="B5186" s="893" t="str">
        <f>'4W'!AP46</f>
        <v>BM410SDLFR</v>
      </c>
      <c r="E5186" s="1753" t="s">
        <v>11007</v>
      </c>
      <c r="F5186" s="2146"/>
      <c r="G5186" t="str">
        <f>IF('4W'!G46="","##BLANK",'4W'!G46)</f>
        <v>##BLANK</v>
      </c>
      <c r="H5186" s="2146"/>
    </row>
    <row r="5187" spans="2:8">
      <c r="B5187" s="893" t="str">
        <f>'4W'!AP47</f>
        <v>BM816SDLFR</v>
      </c>
      <c r="E5187" s="1753" t="s">
        <v>11007</v>
      </c>
      <c r="F5187" s="2146"/>
      <c r="G5187">
        <f>IF('4W'!G47="","##BLANK",'4W'!G47)</f>
        <v>0</v>
      </c>
      <c r="H5187" s="2146"/>
    </row>
    <row r="5188" spans="2:8">
      <c r="B5188" s="893" t="str">
        <f>'4W'!AP48</f>
        <v>BM817SDLFR</v>
      </c>
      <c r="E5188" s="1753" t="s">
        <v>11007</v>
      </c>
      <c r="F5188" s="2146"/>
      <c r="G5188" t="str">
        <f>IF('4W'!G48="","##BLANK",'4W'!G48)</f>
        <v>##BLANK</v>
      </c>
      <c r="H5188" s="2146"/>
    </row>
    <row r="5189" spans="2:8">
      <c r="B5189" s="893" t="str">
        <f>'4W'!AP49</f>
        <v>BM8390SDLFR</v>
      </c>
      <c r="E5189" s="1753" t="s">
        <v>11007</v>
      </c>
      <c r="F5189" s="2146"/>
      <c r="G5189">
        <f>IF('4W'!G49="","##BLANK",'4W'!G49)</f>
        <v>0</v>
      </c>
      <c r="H5189" s="2146"/>
    </row>
    <row r="5190" spans="2:8">
      <c r="B5190" s="893" t="str">
        <f>'4W'!AP50</f>
        <v>FT00865SDLFR</v>
      </c>
      <c r="E5190" s="1753" t="s">
        <v>11007</v>
      </c>
      <c r="F5190" s="2146"/>
      <c r="G5190" t="str">
        <f>IF('4W'!G50="","##BLANK",'4W'!G50)</f>
        <v>##BLANK</v>
      </c>
      <c r="H5190" s="2146"/>
    </row>
    <row r="5191" spans="2:8">
      <c r="B5191" s="893" t="str">
        <f>'4W'!AP51</f>
        <v>BM319SDLFR</v>
      </c>
      <c r="E5191" s="1753" t="s">
        <v>11007</v>
      </c>
      <c r="F5191" s="2146"/>
      <c r="G5191">
        <f>IF('4W'!G51="","##BLANK",'4W'!G51)</f>
        <v>0</v>
      </c>
      <c r="H5191" s="2146"/>
    </row>
    <row r="5192" spans="2:8">
      <c r="B5192" s="893" t="str">
        <f>'4W'!AP58</f>
        <v>BM3010NPSC</v>
      </c>
      <c r="E5192" s="1753" t="s">
        <v>11007</v>
      </c>
      <c r="F5192" s="2146"/>
      <c r="G5192" t="str">
        <f>IF('4W'!G58="","##BLANK",'4W'!G58)</f>
        <v>##BLANK</v>
      </c>
      <c r="H5192" s="2146"/>
    </row>
    <row r="5193" spans="2:8">
      <c r="B5193" s="893" t="str">
        <f>'4W'!AP59</f>
        <v>BM3011NPSC</v>
      </c>
      <c r="E5193" s="1753" t="s">
        <v>11007</v>
      </c>
      <c r="F5193" s="2146"/>
      <c r="G5193" t="str">
        <f>IF('4W'!G59="","##BLANK",'4W'!G59)</f>
        <v>##BLANK</v>
      </c>
      <c r="H5193" s="2146"/>
    </row>
    <row r="5194" spans="2:8">
      <c r="B5194" s="893" t="str">
        <f>'4W'!AP60</f>
        <v>W3030NPSC</v>
      </c>
      <c r="E5194" s="1753" t="s">
        <v>11007</v>
      </c>
      <c r="F5194" s="2146"/>
      <c r="G5194" t="str">
        <f>IF('4W'!G60="","##BLANK",'4W'!G60)</f>
        <v>##BLANK</v>
      </c>
      <c r="H5194" s="2146"/>
    </row>
    <row r="5195" spans="2:8">
      <c r="B5195" s="893" t="str">
        <f>'4W'!AP61</f>
        <v>W3031NPSC</v>
      </c>
      <c r="E5195" s="1753" t="s">
        <v>11007</v>
      </c>
      <c r="F5195" s="2146"/>
      <c r="G5195" t="str">
        <f>IF('4W'!G61="","##BLANK",'4W'!G61)</f>
        <v>##BLANK</v>
      </c>
      <c r="H5195" s="2146"/>
    </row>
    <row r="5196" spans="2:8">
      <c r="B5196" s="893" t="str">
        <f>'4W'!AP62</f>
        <v>W3032NPSC</v>
      </c>
      <c r="E5196" s="1753" t="s">
        <v>11007</v>
      </c>
      <c r="F5196" s="2146"/>
      <c r="G5196" t="str">
        <f>IF('4W'!G62="","##BLANK",'4W'!G62)</f>
        <v>##BLANK</v>
      </c>
      <c r="H5196" s="2146"/>
    </row>
    <row r="5197" spans="2:8">
      <c r="B5197" s="893" t="str">
        <f>'4W'!AP63</f>
        <v>W3036NPSC</v>
      </c>
      <c r="E5197" s="1753" t="s">
        <v>11007</v>
      </c>
      <c r="F5197" s="2146"/>
      <c r="G5197" t="str">
        <f>IF('4W'!G63="","##BLANK",'4W'!G63)</f>
        <v>##BLANK</v>
      </c>
      <c r="H5197" s="2146"/>
    </row>
    <row r="5198" spans="2:8">
      <c r="B5198" s="893" t="str">
        <f>'4W'!AP66</f>
        <v>W3033NPSC</v>
      </c>
      <c r="E5198" s="1753" t="s">
        <v>11007</v>
      </c>
      <c r="F5198" s="2146"/>
      <c r="G5198" t="str">
        <f>IF('4W'!G66="","##BLANK",'4W'!G66)</f>
        <v>##BLANK</v>
      </c>
      <c r="H5198" s="2146"/>
    </row>
    <row r="5199" spans="2:8">
      <c r="B5199" s="893" t="str">
        <f>'4W'!AP67</f>
        <v>W3034NPSC</v>
      </c>
      <c r="E5199" s="1753" t="s">
        <v>11007</v>
      </c>
      <c r="F5199" s="2146"/>
      <c r="G5199" t="str">
        <f>IF('4W'!G67="","##BLANK",'4W'!G67)</f>
        <v>##BLANK</v>
      </c>
      <c r="H5199" s="2146"/>
    </row>
    <row r="5200" spans="2:8">
      <c r="B5200" s="893" t="str">
        <f>'4W'!AP68</f>
        <v>W3035NPSC</v>
      </c>
      <c r="E5200" s="1753" t="s">
        <v>11007</v>
      </c>
      <c r="F5200" s="2146"/>
      <c r="G5200" t="str">
        <f>IF('4W'!G68="","##BLANK",'4W'!G68)</f>
        <v>##BLANK</v>
      </c>
      <c r="H5200" s="2146"/>
    </row>
    <row r="5201" spans="2:8">
      <c r="B5201" s="893" t="str">
        <f>'4W'!AQ6</f>
        <v>WWS1001STPTK</v>
      </c>
      <c r="E5201" s="1753" t="s">
        <v>11007</v>
      </c>
      <c r="F5201" s="2146"/>
      <c r="G5201" t="str">
        <f>IF('4W'!H6="","##BLANK",'4W'!H6)</f>
        <v>##BLANK</v>
      </c>
      <c r="H5201" s="2146"/>
    </row>
    <row r="5202" spans="2:8">
      <c r="B5202" s="893" t="str">
        <f>'4W'!AQ7</f>
        <v>WWS1002STPTK</v>
      </c>
      <c r="E5202" s="1753" t="s">
        <v>11007</v>
      </c>
      <c r="F5202" s="2146"/>
      <c r="G5202" t="str">
        <f>IF('4W'!H7="","##BLANK",'4W'!H7)</f>
        <v>##BLANK</v>
      </c>
    </row>
    <row r="5203" spans="2:8">
      <c r="B5203" s="893" t="str">
        <f>'4W'!AQ8</f>
        <v>WWS1003STPTK</v>
      </c>
      <c r="E5203" s="1753" t="s">
        <v>11007</v>
      </c>
      <c r="F5203" s="2146"/>
      <c r="G5203" t="str">
        <f>IF('4W'!H8="","##BLANK",'4W'!H8)</f>
        <v>##BLANK</v>
      </c>
    </row>
    <row r="5204" spans="2:8">
      <c r="B5204" s="893" t="str">
        <f>'4W'!AQ9</f>
        <v>WWS1004STPTK</v>
      </c>
      <c r="E5204" s="1753" t="s">
        <v>11007</v>
      </c>
      <c r="F5204" s="2146"/>
      <c r="G5204" t="str">
        <f>IF('4W'!H9="","##BLANK",'4W'!H9)</f>
        <v>##BLANK</v>
      </c>
    </row>
    <row r="5205" spans="2:8">
      <c r="B5205" s="893" t="str">
        <f>'4W'!AQ11</f>
        <v>WWS1005STPTK</v>
      </c>
      <c r="E5205" s="1753" t="s">
        <v>11007</v>
      </c>
      <c r="F5205" s="2146"/>
      <c r="G5205" t="str">
        <f>IF('4W'!H11="","##BLANK",'4W'!H11)</f>
        <v>##BLANK</v>
      </c>
    </row>
    <row r="5206" spans="2:8">
      <c r="B5206" s="893" t="str">
        <f>'4W'!AQ12</f>
        <v>WWS1006STPTK</v>
      </c>
      <c r="E5206" s="1753" t="s">
        <v>11007</v>
      </c>
      <c r="F5206" s="2146"/>
      <c r="G5206" t="str">
        <f>IF('4W'!H12="","##BLANK",'4W'!H12)</f>
        <v>##BLANK</v>
      </c>
    </row>
    <row r="5207" spans="2:8">
      <c r="B5207" s="893" t="str">
        <f>'4W'!AQ13</f>
        <v>WWS1007DISTPTK</v>
      </c>
      <c r="E5207" s="1753" t="s">
        <v>11007</v>
      </c>
      <c r="F5207" s="2146"/>
      <c r="G5207" t="str">
        <f>IF('4W'!H13="","##BLANK",'4W'!H13)</f>
        <v>##BLANK</v>
      </c>
    </row>
    <row r="5208" spans="2:8">
      <c r="B5208" s="893" t="str">
        <f>'4W'!AQ14</f>
        <v>WWS1007INSTPTK</v>
      </c>
      <c r="E5208" s="1753" t="s">
        <v>11007</v>
      </c>
      <c r="F5208" s="2146"/>
      <c r="G5208" t="str">
        <f>IF('4W'!H14="","##BLANK",'4W'!H14)</f>
        <v>##BLANK</v>
      </c>
    </row>
    <row r="5209" spans="2:8">
      <c r="B5209" s="893" t="str">
        <f>'4W'!AQ15</f>
        <v>BM816STPTK</v>
      </c>
      <c r="E5209" s="1753" t="s">
        <v>11007</v>
      </c>
      <c r="F5209" s="2146"/>
      <c r="G5209">
        <f>IF('4W'!H15="","##BLANK",'4W'!H15)</f>
        <v>0</v>
      </c>
    </row>
    <row r="5210" spans="2:8">
      <c r="B5210" s="893" t="str">
        <f>'4W'!AQ16</f>
        <v>WWS1008STPTK</v>
      </c>
      <c r="E5210" s="1753" t="s">
        <v>11007</v>
      </c>
      <c r="F5210" s="2146"/>
      <c r="G5210" t="str">
        <f>IF('4W'!H16="","##BLANK",'4W'!H16)</f>
        <v>##BLANK</v>
      </c>
    </row>
    <row r="5211" spans="2:8">
      <c r="B5211" s="893" t="str">
        <f>'4W'!AQ17</f>
        <v>WWS1009STPTK</v>
      </c>
      <c r="E5211" s="1753" t="s">
        <v>11007</v>
      </c>
      <c r="G5211">
        <f>IF('4W'!H17="","##BLANK",'4W'!H17)</f>
        <v>0</v>
      </c>
    </row>
    <row r="5212" spans="2:8">
      <c r="B5212" s="893" t="str">
        <f>'4W'!AQ18</f>
        <v>FT00865STPTK</v>
      </c>
      <c r="E5212" s="1753" t="s">
        <v>11007</v>
      </c>
      <c r="G5212" t="str">
        <f>IF('4W'!H18="","##BLANK",'4W'!H18)</f>
        <v>##BLANK</v>
      </c>
    </row>
    <row r="5213" spans="2:8">
      <c r="B5213" s="893" t="str">
        <f>'4W'!AQ19</f>
        <v>BM319STPTK</v>
      </c>
      <c r="E5213" s="1753" t="s">
        <v>11007</v>
      </c>
      <c r="G5213">
        <f>IF('4W'!H19="","##BLANK",'4W'!H19)</f>
        <v>0</v>
      </c>
    </row>
    <row r="5214" spans="2:8">
      <c r="B5214" s="893" t="str">
        <f>'4W'!AQ22</f>
        <v>BM402STRSL</v>
      </c>
      <c r="E5214" s="1753" t="s">
        <v>11007</v>
      </c>
      <c r="G5214" t="str">
        <f>IF('4W'!H22="","##BLANK",'4W'!H22)</f>
        <v>##BLANK</v>
      </c>
    </row>
    <row r="5215" spans="2:8">
      <c r="B5215" s="893" t="str">
        <f>'4W'!AQ23</f>
        <v>BM836STRSL</v>
      </c>
      <c r="E5215" s="1753" t="s">
        <v>11007</v>
      </c>
      <c r="G5215" t="str">
        <f>IF('4W'!H23="","##BLANK",'4W'!H23)</f>
        <v>##BLANK</v>
      </c>
    </row>
    <row r="5216" spans="2:8">
      <c r="B5216" s="893" t="str">
        <f>'4W'!AQ24</f>
        <v>WWS1003STRSL</v>
      </c>
      <c r="E5216" s="1753" t="s">
        <v>11007</v>
      </c>
      <c r="G5216" t="str">
        <f>IF('4W'!H24="","##BLANK",'4W'!H24)</f>
        <v>##BLANK</v>
      </c>
    </row>
    <row r="5217" spans="2:7">
      <c r="B5217" s="893" t="str">
        <f>'4W'!AQ25</f>
        <v>BM240STRSL</v>
      </c>
      <c r="E5217" s="1753" t="s">
        <v>11007</v>
      </c>
      <c r="G5217" t="str">
        <f>IF('4W'!H25="","##BLANK",'4W'!H25)</f>
        <v>##BLANK</v>
      </c>
    </row>
    <row r="5218" spans="2:7">
      <c r="B5218" s="893" t="str">
        <f>'4W'!AQ27</f>
        <v>WWS1005STRSL</v>
      </c>
      <c r="E5218" s="1753" t="s">
        <v>11007</v>
      </c>
      <c r="G5218" t="str">
        <f>IF('4W'!H27="","##BLANK",'4W'!H27)</f>
        <v>##BLANK</v>
      </c>
    </row>
    <row r="5219" spans="2:7">
      <c r="B5219" s="893" t="str">
        <f>'4W'!AQ28</f>
        <v>WWS1006STRSL</v>
      </c>
      <c r="E5219" s="1753" t="s">
        <v>11007</v>
      </c>
      <c r="G5219" t="str">
        <f>IF('4W'!H28="","##BLANK",'4W'!H28)</f>
        <v>##BLANK</v>
      </c>
    </row>
    <row r="5220" spans="2:7">
      <c r="B5220" s="893" t="str">
        <f>'4W'!AQ29</f>
        <v>BM408STRSL</v>
      </c>
      <c r="E5220" s="1753" t="s">
        <v>11007</v>
      </c>
      <c r="G5220" t="str">
        <f>IF('4W'!H29="","##BLANK",'4W'!H29)</f>
        <v>##BLANK</v>
      </c>
    </row>
    <row r="5221" spans="2:7">
      <c r="B5221" s="893" t="str">
        <f>'4W'!AQ30</f>
        <v>BM410STRSL</v>
      </c>
      <c r="E5221" s="1753" t="s">
        <v>11007</v>
      </c>
      <c r="G5221" t="str">
        <f>IF('4W'!H30="","##BLANK",'4W'!H30)</f>
        <v>##BLANK</v>
      </c>
    </row>
    <row r="5222" spans="2:7">
      <c r="B5222" s="893" t="str">
        <f>'4W'!AQ31</f>
        <v>BM816STRSL</v>
      </c>
      <c r="E5222" s="1753" t="s">
        <v>11007</v>
      </c>
      <c r="G5222">
        <f>IF('4W'!H31="","##BLANK",'4W'!H31)</f>
        <v>0</v>
      </c>
    </row>
    <row r="5223" spans="2:7">
      <c r="B5223" s="893" t="str">
        <f>'4W'!AQ32</f>
        <v>BM817STRSL</v>
      </c>
      <c r="E5223" s="1753" t="s">
        <v>11007</v>
      </c>
      <c r="G5223" t="str">
        <f>IF('4W'!H32="","##BLANK",'4W'!H32)</f>
        <v>##BLANK</v>
      </c>
    </row>
    <row r="5224" spans="2:7">
      <c r="B5224" s="893" t="str">
        <f>'4W'!AQ33</f>
        <v>BM8390STRSL</v>
      </c>
      <c r="E5224" s="1753" t="s">
        <v>11007</v>
      </c>
      <c r="G5224">
        <f>IF('4W'!H33="","##BLANK",'4W'!H33)</f>
        <v>0</v>
      </c>
    </row>
    <row r="5225" spans="2:7">
      <c r="B5225" s="893" t="str">
        <f>'4W'!AQ34</f>
        <v>FT00865STRSL</v>
      </c>
      <c r="E5225" s="1753" t="s">
        <v>11007</v>
      </c>
      <c r="G5225" t="str">
        <f>IF('4W'!H34="","##BLANK",'4W'!H34)</f>
        <v>##BLANK</v>
      </c>
    </row>
    <row r="5226" spans="2:7">
      <c r="B5226" s="893" t="str">
        <f>'4W'!AQ35</f>
        <v>BM319STRSL</v>
      </c>
      <c r="E5226" s="1753" t="s">
        <v>11007</v>
      </c>
      <c r="G5226">
        <f>IF('4W'!H35="","##BLANK",'4W'!H35)</f>
        <v>0</v>
      </c>
    </row>
    <row r="5227" spans="2:7">
      <c r="B5227" s="893" t="str">
        <f>'4W'!AQ38</f>
        <v>BM402SDLFP</v>
      </c>
      <c r="E5227" s="1753" t="s">
        <v>11007</v>
      </c>
      <c r="G5227" t="str">
        <f>IF('4W'!H38="","##BLANK",'4W'!H38)</f>
        <v>##BLANK</v>
      </c>
    </row>
    <row r="5228" spans="2:7">
      <c r="B5228" s="893" t="str">
        <f>'4W'!AQ39</f>
        <v>BM836SDLFP</v>
      </c>
      <c r="E5228" s="1753" t="s">
        <v>11007</v>
      </c>
      <c r="G5228" t="str">
        <f>IF('4W'!H39="","##BLANK",'4W'!H39)</f>
        <v>##BLANK</v>
      </c>
    </row>
    <row r="5229" spans="2:7">
      <c r="B5229" s="893" t="str">
        <f>'4W'!AQ40</f>
        <v>WWS1003SDLFP</v>
      </c>
      <c r="E5229" s="1753" t="s">
        <v>11007</v>
      </c>
      <c r="G5229" t="str">
        <f>IF('4W'!H40="","##BLANK",'4W'!H40)</f>
        <v>##BLANK</v>
      </c>
    </row>
    <row r="5230" spans="2:7">
      <c r="B5230" s="893" t="str">
        <f>'4W'!AQ41</f>
        <v>BM240SDLFP</v>
      </c>
      <c r="E5230" s="1753" t="s">
        <v>11007</v>
      </c>
      <c r="G5230" t="str">
        <f>IF('4W'!H41="","##BLANK",'4W'!H41)</f>
        <v>##BLANK</v>
      </c>
    </row>
    <row r="5231" spans="2:7">
      <c r="B5231" s="893" t="str">
        <f>'4W'!AQ43</f>
        <v>WWS1005SDLFP</v>
      </c>
      <c r="E5231" s="1753" t="s">
        <v>11007</v>
      </c>
      <c r="G5231" t="str">
        <f>IF('4W'!H43="","##BLANK",'4W'!H43)</f>
        <v>##BLANK</v>
      </c>
    </row>
    <row r="5232" spans="2:7">
      <c r="B5232" s="893" t="str">
        <f>'4W'!AQ44</f>
        <v>WWS1006SDLFP</v>
      </c>
      <c r="E5232" s="1753" t="s">
        <v>11007</v>
      </c>
      <c r="G5232" t="str">
        <f>IF('4W'!H44="","##BLANK",'4W'!H44)</f>
        <v>##BLANK</v>
      </c>
    </row>
    <row r="5233" spans="2:7">
      <c r="B5233" s="893" t="str">
        <f>'4W'!AQ45</f>
        <v>BM408SDLFP</v>
      </c>
      <c r="E5233" s="1753" t="s">
        <v>11007</v>
      </c>
      <c r="G5233" t="str">
        <f>IF('4W'!H45="","##BLANK",'4W'!H45)</f>
        <v>##BLANK</v>
      </c>
    </row>
    <row r="5234" spans="2:7">
      <c r="B5234" s="893" t="str">
        <f>'4W'!AQ46</f>
        <v>BM410SDLFP</v>
      </c>
      <c r="E5234" s="1753" t="s">
        <v>11007</v>
      </c>
      <c r="G5234" t="str">
        <f>IF('4W'!H46="","##BLANK",'4W'!H46)</f>
        <v>##BLANK</v>
      </c>
    </row>
    <row r="5235" spans="2:7">
      <c r="B5235" s="893" t="str">
        <f>'4W'!AQ47</f>
        <v>BM816SDLFP</v>
      </c>
      <c r="E5235" s="1753" t="s">
        <v>11007</v>
      </c>
      <c r="G5235">
        <f>IF('4W'!H47="","##BLANK",'4W'!H47)</f>
        <v>0</v>
      </c>
    </row>
    <row r="5236" spans="2:7">
      <c r="B5236" s="893" t="str">
        <f>'4W'!AQ48</f>
        <v>BM817SDLFP</v>
      </c>
      <c r="E5236" s="1753" t="s">
        <v>11007</v>
      </c>
      <c r="G5236" t="str">
        <f>IF('4W'!H48="","##BLANK",'4W'!H48)</f>
        <v>##BLANK</v>
      </c>
    </row>
    <row r="5237" spans="2:7">
      <c r="B5237" s="893" t="str">
        <f>'4W'!AQ49</f>
        <v>BM8390SDLFP</v>
      </c>
      <c r="E5237" s="1753" t="s">
        <v>11007</v>
      </c>
      <c r="G5237">
        <f>IF('4W'!H49="","##BLANK",'4W'!H49)</f>
        <v>0</v>
      </c>
    </row>
    <row r="5238" spans="2:7">
      <c r="B5238" s="893" t="str">
        <f>'4W'!AQ50</f>
        <v>FT00865SDLFP</v>
      </c>
      <c r="E5238" s="1753" t="s">
        <v>11007</v>
      </c>
      <c r="G5238" t="str">
        <f>IF('4W'!H50="","##BLANK",'4W'!H50)</f>
        <v>##BLANK</v>
      </c>
    </row>
    <row r="5239" spans="2:7">
      <c r="B5239" s="893" t="str">
        <f>'4W'!AQ51</f>
        <v>BM319SDLFP</v>
      </c>
      <c r="E5239" s="1753" t="s">
        <v>11007</v>
      </c>
      <c r="G5239">
        <f>IF('4W'!H51="","##BLANK",'4W'!H51)</f>
        <v>0</v>
      </c>
    </row>
    <row r="5240" spans="2:7">
      <c r="B5240" s="893" t="str">
        <f>'4W'!AQ58</f>
        <v>BM3010NPST</v>
      </c>
      <c r="E5240" s="1753" t="s">
        <v>11007</v>
      </c>
      <c r="G5240" t="str">
        <f>IF('4W'!H58="","##BLANK",'4W'!H58)</f>
        <v>##BLANK</v>
      </c>
    </row>
    <row r="5241" spans="2:7">
      <c r="B5241" s="893" t="str">
        <f>'4W'!AQ59</f>
        <v>BM3011NPST</v>
      </c>
      <c r="E5241" s="1753" t="s">
        <v>11007</v>
      </c>
      <c r="G5241" t="str">
        <f>IF('4W'!H59="","##BLANK",'4W'!H59)</f>
        <v>##BLANK</v>
      </c>
    </row>
    <row r="5242" spans="2:7">
      <c r="B5242" s="893" t="str">
        <f>'4W'!AQ60</f>
        <v>W3030NPST</v>
      </c>
      <c r="E5242" s="1753" t="s">
        <v>11007</v>
      </c>
      <c r="G5242" t="str">
        <f>IF('4W'!H60="","##BLANK",'4W'!H60)</f>
        <v>##BLANK</v>
      </c>
    </row>
    <row r="5243" spans="2:7">
      <c r="B5243" s="893" t="str">
        <f>'4W'!AQ61</f>
        <v>W3031NPST</v>
      </c>
      <c r="E5243" s="1753" t="s">
        <v>11007</v>
      </c>
      <c r="G5243" t="str">
        <f>IF('4W'!H61="","##BLANK",'4W'!H61)</f>
        <v>##BLANK</v>
      </c>
    </row>
    <row r="5244" spans="2:7">
      <c r="B5244" s="893" t="str">
        <f>'4W'!AQ62</f>
        <v>W3032NPST</v>
      </c>
      <c r="E5244" s="1753" t="s">
        <v>11007</v>
      </c>
      <c r="G5244" t="str">
        <f>IF('4W'!H62="","##BLANK",'4W'!H62)</f>
        <v>##BLANK</v>
      </c>
    </row>
    <row r="5245" spans="2:7">
      <c r="B5245" s="893" t="str">
        <f>'4W'!AQ63</f>
        <v>W3036NPST</v>
      </c>
      <c r="E5245" s="1753" t="s">
        <v>11007</v>
      </c>
      <c r="G5245" t="str">
        <f>IF('4W'!H63="","##BLANK",'4W'!H63)</f>
        <v>##BLANK</v>
      </c>
    </row>
    <row r="5246" spans="2:7">
      <c r="B5246" s="893" t="str">
        <f>'4W'!AQ66</f>
        <v>W3033NPST</v>
      </c>
      <c r="E5246" s="1753" t="s">
        <v>11007</v>
      </c>
      <c r="G5246" t="str">
        <f>IF('4W'!H66="","##BLANK",'4W'!H66)</f>
        <v>##BLANK</v>
      </c>
    </row>
    <row r="5247" spans="2:7">
      <c r="B5247" s="893" t="str">
        <f>'4W'!AQ67</f>
        <v>W3034NPST</v>
      </c>
      <c r="E5247" s="1753" t="s">
        <v>11007</v>
      </c>
      <c r="G5247" t="str">
        <f>IF('4W'!H67="","##BLANK",'4W'!H67)</f>
        <v>##BLANK</v>
      </c>
    </row>
    <row r="5248" spans="2:7">
      <c r="B5248" s="893" t="str">
        <f>'4W'!AQ68</f>
        <v>W3035NPST</v>
      </c>
      <c r="E5248" s="1753" t="s">
        <v>11007</v>
      </c>
      <c r="G5248" t="str">
        <f>IF('4W'!H68="","##BLANK",'4W'!H68)</f>
        <v>##BLANK</v>
      </c>
    </row>
    <row r="5249" spans="2:7">
      <c r="B5249" s="893" t="str">
        <f>'4W'!AR6</f>
        <v>WWS1001STPTR</v>
      </c>
      <c r="E5249" s="1753" t="s">
        <v>11007</v>
      </c>
      <c r="G5249" t="str">
        <f>IF('4W'!I6="","##BLANK",'4W'!I6)</f>
        <v>##BLANK</v>
      </c>
    </row>
    <row r="5250" spans="2:7">
      <c r="B5250" s="893" t="str">
        <f>'4W'!AR7</f>
        <v>WWS1002STPTR</v>
      </c>
      <c r="E5250" s="1753" t="s">
        <v>11007</v>
      </c>
      <c r="G5250" t="str">
        <f>IF('4W'!I7="","##BLANK",'4W'!I7)</f>
        <v>##BLANK</v>
      </c>
    </row>
    <row r="5251" spans="2:7">
      <c r="B5251" s="893" t="str">
        <f>'4W'!AR8</f>
        <v>WWS1003STPTR</v>
      </c>
      <c r="E5251" s="1753" t="s">
        <v>11007</v>
      </c>
      <c r="G5251" t="str">
        <f>IF('4W'!I8="","##BLANK",'4W'!I8)</f>
        <v>##BLANK</v>
      </c>
    </row>
    <row r="5252" spans="2:7">
      <c r="B5252" s="893" t="str">
        <f>'4W'!AR9</f>
        <v>WWS1004STPTR</v>
      </c>
      <c r="E5252" s="1753" t="s">
        <v>11007</v>
      </c>
      <c r="G5252" t="str">
        <f>IF('4W'!I9="","##BLANK",'4W'!I9)</f>
        <v>##BLANK</v>
      </c>
    </row>
    <row r="5253" spans="2:7">
      <c r="B5253" s="893" t="str">
        <f>'4W'!AR11</f>
        <v>WWS1005STPTR</v>
      </c>
      <c r="E5253" s="1753" t="s">
        <v>11007</v>
      </c>
      <c r="G5253" t="str">
        <f>IF('4W'!I11="","##BLANK",'4W'!I11)</f>
        <v>##BLANK</v>
      </c>
    </row>
    <row r="5254" spans="2:7">
      <c r="B5254" s="893" t="str">
        <f>'4W'!AR12</f>
        <v>WWS1006STPTR</v>
      </c>
      <c r="E5254" s="1753" t="s">
        <v>11007</v>
      </c>
      <c r="G5254" t="str">
        <f>IF('4W'!I12="","##BLANK",'4W'!I12)</f>
        <v>##BLANK</v>
      </c>
    </row>
    <row r="5255" spans="2:7">
      <c r="B5255" s="893" t="str">
        <f>'4W'!AR13</f>
        <v>WWS1007DISTPTR</v>
      </c>
      <c r="E5255" s="1753" t="s">
        <v>11007</v>
      </c>
      <c r="G5255" t="str">
        <f>IF('4W'!I13="","##BLANK",'4W'!I13)</f>
        <v>##BLANK</v>
      </c>
    </row>
    <row r="5256" spans="2:7">
      <c r="B5256" s="893" t="str">
        <f>'4W'!AR14</f>
        <v>WWS1007INSTPTR</v>
      </c>
      <c r="E5256" s="1753" t="s">
        <v>11007</v>
      </c>
      <c r="G5256" t="str">
        <f>IF('4W'!I14="","##BLANK",'4W'!I14)</f>
        <v>##BLANK</v>
      </c>
    </row>
    <row r="5257" spans="2:7">
      <c r="B5257" s="893" t="str">
        <f>'4W'!AR15</f>
        <v>BM816STPTR</v>
      </c>
      <c r="E5257" s="1753" t="s">
        <v>11007</v>
      </c>
      <c r="G5257">
        <f>IF('4W'!I15="","##BLANK",'4W'!I15)</f>
        <v>0</v>
      </c>
    </row>
    <row r="5258" spans="2:7">
      <c r="B5258" s="893" t="str">
        <f>'4W'!AR16</f>
        <v>WWS1008STPTR</v>
      </c>
      <c r="E5258" s="1753" t="s">
        <v>11007</v>
      </c>
      <c r="G5258" t="str">
        <f>IF('4W'!I16="","##BLANK",'4W'!I16)</f>
        <v>##BLANK</v>
      </c>
    </row>
    <row r="5259" spans="2:7">
      <c r="B5259" s="893" t="str">
        <f>'4W'!AR17</f>
        <v>WWS1009STPTR</v>
      </c>
      <c r="E5259" s="1753" t="s">
        <v>11007</v>
      </c>
      <c r="G5259">
        <f>IF('4W'!I17="","##BLANK",'4W'!I17)</f>
        <v>0</v>
      </c>
    </row>
    <row r="5260" spans="2:7">
      <c r="B5260" s="893" t="str">
        <f>'4W'!AR18</f>
        <v>FT00865STPTR</v>
      </c>
      <c r="E5260" s="1753" t="s">
        <v>11007</v>
      </c>
      <c r="G5260" t="str">
        <f>IF('4W'!I18="","##BLANK",'4W'!I18)</f>
        <v>##BLANK</v>
      </c>
    </row>
    <row r="5261" spans="2:7">
      <c r="B5261" s="893" t="str">
        <f>'4W'!AR19</f>
        <v>BM319STPTR</v>
      </c>
      <c r="E5261" s="1753" t="s">
        <v>11007</v>
      </c>
      <c r="G5261">
        <f>IF('4W'!I19="","##BLANK",'4W'!I19)</f>
        <v>0</v>
      </c>
    </row>
    <row r="5262" spans="2:7">
      <c r="B5262" s="893" t="str">
        <f>'4W'!AR22</f>
        <v>BM402STCAD</v>
      </c>
      <c r="E5262" s="1753" t="s">
        <v>11007</v>
      </c>
      <c r="G5262" t="str">
        <f>IF('4W'!I22="","##BLANK",'4W'!I22)</f>
        <v>##BLANK</v>
      </c>
    </row>
    <row r="5263" spans="2:7">
      <c r="B5263" s="893" t="str">
        <f>'4W'!AR23</f>
        <v>BM836STCAD</v>
      </c>
      <c r="E5263" s="1753" t="s">
        <v>11007</v>
      </c>
      <c r="G5263" t="str">
        <f>IF('4W'!I23="","##BLANK",'4W'!I23)</f>
        <v>##BLANK</v>
      </c>
    </row>
    <row r="5264" spans="2:7">
      <c r="B5264" s="893" t="str">
        <f>'4W'!AR24</f>
        <v>WWS1003STCAD</v>
      </c>
      <c r="E5264" s="1753" t="s">
        <v>11007</v>
      </c>
      <c r="G5264" t="str">
        <f>IF('4W'!I24="","##BLANK",'4W'!I24)</f>
        <v>##BLANK</v>
      </c>
    </row>
    <row r="5265" spans="2:7">
      <c r="B5265" s="893" t="str">
        <f>'4W'!AR25</f>
        <v>BM240STCAD</v>
      </c>
      <c r="E5265" s="1753" t="s">
        <v>11007</v>
      </c>
      <c r="G5265" t="str">
        <f>IF('4W'!I25="","##BLANK",'4W'!I25)</f>
        <v>##BLANK</v>
      </c>
    </row>
    <row r="5266" spans="2:7">
      <c r="B5266" s="893" t="str">
        <f>'4W'!AR27</f>
        <v>WWS1005STCAD</v>
      </c>
      <c r="E5266" s="1753" t="s">
        <v>11007</v>
      </c>
      <c r="G5266" t="str">
        <f>IF('4W'!I27="","##BLANK",'4W'!I27)</f>
        <v>##BLANK</v>
      </c>
    </row>
    <row r="5267" spans="2:7">
      <c r="B5267" s="893" t="str">
        <f>'4W'!AR28</f>
        <v>WWS1006STCAD</v>
      </c>
      <c r="E5267" s="1753" t="s">
        <v>11007</v>
      </c>
      <c r="G5267" t="str">
        <f>IF('4W'!I28="","##BLANK",'4W'!I28)</f>
        <v>##BLANK</v>
      </c>
    </row>
    <row r="5268" spans="2:7">
      <c r="B5268" s="893" t="str">
        <f>'4W'!AR29</f>
        <v>BM408STCAD</v>
      </c>
      <c r="E5268" s="1753" t="s">
        <v>11007</v>
      </c>
      <c r="G5268" t="str">
        <f>IF('4W'!I29="","##BLANK",'4W'!I29)</f>
        <v>##BLANK</v>
      </c>
    </row>
    <row r="5269" spans="2:7">
      <c r="B5269" s="893" t="str">
        <f>'4W'!AR30</f>
        <v>BM410STCAD</v>
      </c>
      <c r="E5269" s="1753" t="s">
        <v>11007</v>
      </c>
      <c r="G5269" t="str">
        <f>IF('4W'!I30="","##BLANK",'4W'!I30)</f>
        <v>##BLANK</v>
      </c>
    </row>
    <row r="5270" spans="2:7">
      <c r="B5270" s="893" t="str">
        <f>'4W'!AR31</f>
        <v>BM816STCAD</v>
      </c>
      <c r="E5270" s="1753" t="s">
        <v>11007</v>
      </c>
      <c r="G5270">
        <f>IF('4W'!I31="","##BLANK",'4W'!I31)</f>
        <v>0</v>
      </c>
    </row>
    <row r="5271" spans="2:7">
      <c r="B5271" s="893" t="str">
        <f>'4W'!AR32</f>
        <v>BM817STCAD</v>
      </c>
      <c r="E5271" s="1753" t="s">
        <v>11007</v>
      </c>
      <c r="G5271" t="str">
        <f>IF('4W'!I32="","##BLANK",'4W'!I32)</f>
        <v>##BLANK</v>
      </c>
    </row>
    <row r="5272" spans="2:7">
      <c r="B5272" s="893" t="str">
        <f>'4W'!AR33</f>
        <v>BM8390STCAD</v>
      </c>
      <c r="E5272" s="1753" t="s">
        <v>11007</v>
      </c>
      <c r="G5272">
        <f>IF('4W'!I33="","##BLANK",'4W'!I33)</f>
        <v>0</v>
      </c>
    </row>
    <row r="5273" spans="2:7">
      <c r="B5273" s="893" t="str">
        <f>'4W'!AR34</f>
        <v>FT00865STCAD</v>
      </c>
      <c r="E5273" s="1753" t="s">
        <v>11007</v>
      </c>
      <c r="G5273" t="str">
        <f>IF('4W'!I34="","##BLANK",'4W'!I34)</f>
        <v>##BLANK</v>
      </c>
    </row>
    <row r="5274" spans="2:7">
      <c r="B5274" s="893" t="str">
        <f>'4W'!AR35</f>
        <v>BM319STCAD</v>
      </c>
      <c r="E5274" s="1753" t="s">
        <v>11007</v>
      </c>
      <c r="G5274">
        <f>IF('4W'!I35="","##BLANK",'4W'!I35)</f>
        <v>0</v>
      </c>
    </row>
    <row r="5275" spans="2:7">
      <c r="B5275" s="893" t="str">
        <f>'4W'!AR38</f>
        <v>BM402SDLRR</v>
      </c>
      <c r="E5275" s="1753" t="s">
        <v>11007</v>
      </c>
      <c r="G5275" t="str">
        <f>IF('4W'!I38="","##BLANK",'4W'!I38)</f>
        <v>##BLANK</v>
      </c>
    </row>
    <row r="5276" spans="2:7">
      <c r="B5276" s="893" t="str">
        <f>'4W'!AR39</f>
        <v>BM836SDLRR</v>
      </c>
      <c r="E5276" s="1753" t="s">
        <v>11007</v>
      </c>
      <c r="G5276" t="str">
        <f>IF('4W'!I39="","##BLANK",'4W'!I39)</f>
        <v>##BLANK</v>
      </c>
    </row>
    <row r="5277" spans="2:7">
      <c r="B5277" s="893" t="str">
        <f>'4W'!AR40</f>
        <v>WWS1003SDLRR</v>
      </c>
      <c r="E5277" s="1753" t="s">
        <v>11007</v>
      </c>
      <c r="G5277" t="str">
        <f>IF('4W'!I40="","##BLANK",'4W'!I40)</f>
        <v>##BLANK</v>
      </c>
    </row>
    <row r="5278" spans="2:7">
      <c r="B5278" s="893" t="str">
        <f>'4W'!AR41</f>
        <v>BM240SDLRR</v>
      </c>
      <c r="E5278" s="1753" t="s">
        <v>11007</v>
      </c>
      <c r="G5278" t="str">
        <f>IF('4W'!I41="","##BLANK",'4W'!I41)</f>
        <v>##BLANK</v>
      </c>
    </row>
    <row r="5279" spans="2:7">
      <c r="B5279" s="893" t="str">
        <f>'4W'!AR43</f>
        <v>WWS1005SDLRR</v>
      </c>
      <c r="E5279" s="1753" t="s">
        <v>11007</v>
      </c>
      <c r="G5279" t="str">
        <f>IF('4W'!I43="","##BLANK",'4W'!I43)</f>
        <v>##BLANK</v>
      </c>
    </row>
    <row r="5280" spans="2:7">
      <c r="B5280" s="893" t="str">
        <f>'4W'!AR44</f>
        <v>WWS1006SDLRR</v>
      </c>
      <c r="E5280" s="1753" t="s">
        <v>11007</v>
      </c>
      <c r="G5280" t="str">
        <f>IF('4W'!I44="","##BLANK",'4W'!I44)</f>
        <v>##BLANK</v>
      </c>
    </row>
    <row r="5281" spans="2:7">
      <c r="B5281" s="893" t="str">
        <f>'4W'!AR45</f>
        <v>BM408SDLRR</v>
      </c>
      <c r="E5281" s="1753" t="s">
        <v>11007</v>
      </c>
      <c r="G5281" t="str">
        <f>IF('4W'!I45="","##BLANK",'4W'!I45)</f>
        <v>##BLANK</v>
      </c>
    </row>
    <row r="5282" spans="2:7">
      <c r="B5282" s="893" t="str">
        <f>'4W'!AR46</f>
        <v>BM410SDLRR</v>
      </c>
      <c r="E5282" s="1753" t="s">
        <v>11007</v>
      </c>
      <c r="G5282" t="str">
        <f>IF('4W'!I46="","##BLANK",'4W'!I46)</f>
        <v>##BLANK</v>
      </c>
    </row>
    <row r="5283" spans="2:7">
      <c r="B5283" s="893" t="str">
        <f>'4W'!AR47</f>
        <v>BM816SDLRR</v>
      </c>
      <c r="E5283" s="1753" t="s">
        <v>11007</v>
      </c>
      <c r="G5283">
        <f>IF('4W'!I47="","##BLANK",'4W'!I47)</f>
        <v>0</v>
      </c>
    </row>
    <row r="5284" spans="2:7">
      <c r="B5284" s="893" t="str">
        <f>'4W'!AR48</f>
        <v>BM817SDLRR</v>
      </c>
      <c r="E5284" s="1753" t="s">
        <v>11007</v>
      </c>
      <c r="G5284" t="str">
        <f>IF('4W'!I48="","##BLANK",'4W'!I48)</f>
        <v>##BLANK</v>
      </c>
    </row>
    <row r="5285" spans="2:7">
      <c r="B5285" s="893" t="str">
        <f>'4W'!AR49</f>
        <v>BM8390SDLRR</v>
      </c>
      <c r="E5285" s="1753" t="s">
        <v>11007</v>
      </c>
      <c r="G5285">
        <f>IF('4W'!I49="","##BLANK",'4W'!I49)</f>
        <v>0</v>
      </c>
    </row>
    <row r="5286" spans="2:7">
      <c r="B5286" s="893" t="str">
        <f>'4W'!AR50</f>
        <v>FT00865SDLRR</v>
      </c>
      <c r="E5286" s="1753" t="s">
        <v>11007</v>
      </c>
      <c r="G5286" t="str">
        <f>IF('4W'!I50="","##BLANK",'4W'!I50)</f>
        <v>##BLANK</v>
      </c>
    </row>
    <row r="5287" spans="2:7">
      <c r="B5287" s="893" t="str">
        <f>'4W'!AR51</f>
        <v>BM319SDLRR</v>
      </c>
      <c r="E5287" s="1753" t="s">
        <v>11007</v>
      </c>
      <c r="G5287">
        <f>IF('4W'!I51="","##BLANK",'4W'!I51)</f>
        <v>0</v>
      </c>
    </row>
    <row r="5288" spans="2:7">
      <c r="B5288" s="893" t="str">
        <f>'4W'!AR58</f>
        <v>BM3010SL</v>
      </c>
      <c r="E5288" s="1753" t="s">
        <v>11007</v>
      </c>
      <c r="G5288" t="str">
        <f>IF('4W'!I58="","##BLANK",'4W'!I58)</f>
        <v>##BLANK</v>
      </c>
    </row>
    <row r="5289" spans="2:7">
      <c r="B5289" s="893" t="str">
        <f>'4W'!AR59</f>
        <v>BM3011SL</v>
      </c>
      <c r="E5289" s="1753" t="s">
        <v>11007</v>
      </c>
      <c r="G5289" t="str">
        <f>IF('4W'!I59="","##BLANK",'4W'!I59)</f>
        <v>##BLANK</v>
      </c>
    </row>
    <row r="5290" spans="2:7">
      <c r="B5290" s="893" t="str">
        <f>'4W'!AR60</f>
        <v>W3030SL</v>
      </c>
      <c r="E5290" s="1753" t="s">
        <v>11007</v>
      </c>
      <c r="G5290" t="str">
        <f>IF('4W'!I60="","##BLANK",'4W'!I60)</f>
        <v>##BLANK</v>
      </c>
    </row>
    <row r="5291" spans="2:7">
      <c r="B5291" s="893" t="str">
        <f>'4W'!AR61</f>
        <v>W3031SL</v>
      </c>
      <c r="E5291" s="1753" t="s">
        <v>11007</v>
      </c>
      <c r="G5291" t="str">
        <f>IF('4W'!I61="","##BLANK",'4W'!I61)</f>
        <v>##BLANK</v>
      </c>
    </row>
    <row r="5292" spans="2:7">
      <c r="B5292" s="893" t="str">
        <f>'4W'!AR62</f>
        <v>W3032SL</v>
      </c>
      <c r="E5292" s="1753" t="s">
        <v>11007</v>
      </c>
      <c r="G5292" t="str">
        <f>IF('4W'!I62="","##BLANK",'4W'!I62)</f>
        <v>##BLANK</v>
      </c>
    </row>
    <row r="5293" spans="2:7">
      <c r="B5293" s="893" t="str">
        <f>'4W'!AR63</f>
        <v>W3036SL</v>
      </c>
      <c r="E5293" s="1753" t="s">
        <v>11007</v>
      </c>
      <c r="G5293" t="str">
        <f>IF('4W'!I63="","##BLANK",'4W'!I63)</f>
        <v>##BLANK</v>
      </c>
    </row>
    <row r="5294" spans="2:7">
      <c r="B5294" s="893" t="str">
        <f>'4W'!AR66</f>
        <v>W3033SL</v>
      </c>
      <c r="E5294" s="1753" t="s">
        <v>11007</v>
      </c>
      <c r="G5294" t="str">
        <f>IF('4W'!I66="","##BLANK",'4W'!I66)</f>
        <v>##BLANK</v>
      </c>
    </row>
    <row r="5295" spans="2:7">
      <c r="B5295" s="893" t="str">
        <f>'4W'!AR67</f>
        <v>W3034SL</v>
      </c>
      <c r="E5295" s="1753" t="s">
        <v>11007</v>
      </c>
      <c r="G5295" t="str">
        <f>IF('4W'!I67="","##BLANK",'4W'!I67)</f>
        <v>##BLANK</v>
      </c>
    </row>
    <row r="5296" spans="2:7">
      <c r="B5296" s="893" t="str">
        <f>'4W'!AR68</f>
        <v>W3035SL</v>
      </c>
      <c r="E5296" s="1753" t="s">
        <v>11007</v>
      </c>
      <c r="G5296" t="str">
        <f>IF('4W'!I68="","##BLANK",'4W'!I68)</f>
        <v>##BLANK</v>
      </c>
    </row>
    <row r="5297" spans="2:7">
      <c r="B5297" s="893" t="str">
        <f>'4W'!AS6</f>
        <v>WWS1001STPTOT</v>
      </c>
      <c r="E5297" s="1753" t="s">
        <v>11007</v>
      </c>
      <c r="G5297">
        <f>IF('4W'!J6="","##BLANK",'4W'!J6)</f>
        <v>0</v>
      </c>
    </row>
    <row r="5298" spans="2:7">
      <c r="B5298" s="893" t="str">
        <f>'4W'!AS7</f>
        <v>WWS1002STPTOT</v>
      </c>
      <c r="E5298" s="1753" t="s">
        <v>11007</v>
      </c>
      <c r="G5298">
        <f>IF('4W'!J7="","##BLANK",'4W'!J7)</f>
        <v>0</v>
      </c>
    </row>
    <row r="5299" spans="2:7">
      <c r="B5299" s="893" t="str">
        <f>'4W'!AS8</f>
        <v>WWS1003STPTOT</v>
      </c>
      <c r="E5299" s="1753" t="s">
        <v>11007</v>
      </c>
      <c r="G5299">
        <f>IF('4W'!J8="","##BLANK",'4W'!J8)</f>
        <v>0</v>
      </c>
    </row>
    <row r="5300" spans="2:7">
      <c r="B5300" s="893" t="str">
        <f>'4W'!AS9</f>
        <v>WWS1004STPTOT</v>
      </c>
      <c r="E5300" s="1753" t="s">
        <v>11007</v>
      </c>
      <c r="G5300">
        <f>IF('4W'!J9="","##BLANK",'4W'!J9)</f>
        <v>0</v>
      </c>
    </row>
    <row r="5301" spans="2:7">
      <c r="B5301" s="893" t="str">
        <f>'4W'!AS11</f>
        <v>WWS1005STPTOT</v>
      </c>
      <c r="E5301" s="1753" t="s">
        <v>11007</v>
      </c>
      <c r="G5301">
        <f>IF('4W'!J11="","##BLANK",'4W'!J11)</f>
        <v>0</v>
      </c>
    </row>
    <row r="5302" spans="2:7">
      <c r="B5302" s="893" t="str">
        <f>'4W'!AS12</f>
        <v>WWS1006STPTOT</v>
      </c>
      <c r="E5302" s="1753" t="s">
        <v>11007</v>
      </c>
      <c r="G5302">
        <f>IF('4W'!J12="","##BLANK",'4W'!J12)</f>
        <v>0</v>
      </c>
    </row>
    <row r="5303" spans="2:7">
      <c r="B5303" s="893" t="str">
        <f>'4W'!AS13</f>
        <v>WWS1007DISTPTOT</v>
      </c>
      <c r="E5303" s="1753" t="s">
        <v>11007</v>
      </c>
      <c r="G5303">
        <f>IF('4W'!J13="","##BLANK",'4W'!J13)</f>
        <v>0</v>
      </c>
    </row>
    <row r="5304" spans="2:7">
      <c r="B5304" s="893" t="str">
        <f>'4W'!AS14</f>
        <v>WWS1007INSTPTOT</v>
      </c>
      <c r="E5304" s="1753" t="s">
        <v>11007</v>
      </c>
      <c r="G5304">
        <f>IF('4W'!J14="","##BLANK",'4W'!J14)</f>
        <v>0</v>
      </c>
    </row>
    <row r="5305" spans="2:7">
      <c r="B5305" s="893" t="str">
        <f>'4W'!AS15</f>
        <v>BM816STPTOT</v>
      </c>
      <c r="E5305" s="1753" t="s">
        <v>11007</v>
      </c>
      <c r="G5305">
        <f>IF('4W'!J15="","##BLANK",'4W'!J15)</f>
        <v>0</v>
      </c>
    </row>
    <row r="5306" spans="2:7">
      <c r="B5306" s="893" t="str">
        <f>'4W'!AS16</f>
        <v>WWS1008STPTOT</v>
      </c>
      <c r="E5306" s="1753" t="s">
        <v>11007</v>
      </c>
      <c r="G5306">
        <f>IF('4W'!J16="","##BLANK",'4W'!J16)</f>
        <v>0</v>
      </c>
    </row>
    <row r="5307" spans="2:7">
      <c r="B5307" s="893" t="str">
        <f>'4W'!AS17</f>
        <v>WWS1009STPTOT</v>
      </c>
      <c r="E5307" s="1753" t="s">
        <v>11007</v>
      </c>
      <c r="G5307">
        <f>IF('4W'!J17="","##BLANK",'4W'!J17)</f>
        <v>0</v>
      </c>
    </row>
    <row r="5308" spans="2:7">
      <c r="B5308" s="893" t="str">
        <f>'4W'!AS18</f>
        <v>FT00865STPTOT</v>
      </c>
      <c r="E5308" s="1753" t="s">
        <v>11007</v>
      </c>
      <c r="G5308">
        <f>IF('4W'!J18="","##BLANK",'4W'!J18)</f>
        <v>0</v>
      </c>
    </row>
    <row r="5309" spans="2:7">
      <c r="B5309" s="893" t="str">
        <f>'4W'!AS19</f>
        <v>BM319STPTOT</v>
      </c>
      <c r="E5309" s="1753" t="s">
        <v>11007</v>
      </c>
      <c r="G5309">
        <f>IF('4W'!J19="","##BLANK",'4W'!J19)</f>
        <v>0</v>
      </c>
    </row>
    <row r="5310" spans="2:7">
      <c r="B5310" s="893" t="str">
        <f>'4W'!AS22</f>
        <v>BM402STAD</v>
      </c>
      <c r="E5310" s="1753" t="s">
        <v>11007</v>
      </c>
      <c r="G5310" t="str">
        <f>IF('4W'!J22="","##BLANK",'4W'!J22)</f>
        <v>##BLANK</v>
      </c>
    </row>
    <row r="5311" spans="2:7">
      <c r="B5311" s="893" t="str">
        <f>'4W'!AS23</f>
        <v>BM836STAD</v>
      </c>
      <c r="E5311" s="1753" t="s">
        <v>11007</v>
      </c>
      <c r="G5311" t="str">
        <f>IF('4W'!J23="","##BLANK",'4W'!J23)</f>
        <v>##BLANK</v>
      </c>
    </row>
    <row r="5312" spans="2:7">
      <c r="B5312" s="893" t="str">
        <f>'4W'!AS24</f>
        <v>WWS1003STAD</v>
      </c>
      <c r="E5312" s="1753" t="s">
        <v>11007</v>
      </c>
      <c r="G5312" t="str">
        <f>IF('4W'!J24="","##BLANK",'4W'!J24)</f>
        <v>##BLANK</v>
      </c>
    </row>
    <row r="5313" spans="2:7">
      <c r="B5313" s="893" t="str">
        <f>'4W'!AS25</f>
        <v>BM240STAD</v>
      </c>
      <c r="E5313" s="1753" t="s">
        <v>11007</v>
      </c>
      <c r="G5313" t="str">
        <f>IF('4W'!J25="","##BLANK",'4W'!J25)</f>
        <v>##BLANK</v>
      </c>
    </row>
    <row r="5314" spans="2:7">
      <c r="B5314" s="893" t="str">
        <f>'4W'!AS27</f>
        <v>WWS1005STAD</v>
      </c>
      <c r="E5314" s="1753" t="s">
        <v>11007</v>
      </c>
      <c r="G5314" t="str">
        <f>IF('4W'!J27="","##BLANK",'4W'!J27)</f>
        <v>##BLANK</v>
      </c>
    </row>
    <row r="5315" spans="2:7">
      <c r="B5315" s="893" t="str">
        <f>'4W'!AS28</f>
        <v>WWS1006STAD</v>
      </c>
      <c r="E5315" s="1753" t="s">
        <v>11007</v>
      </c>
      <c r="G5315" t="str">
        <f>IF('4W'!J28="","##BLANK",'4W'!J28)</f>
        <v>##BLANK</v>
      </c>
    </row>
    <row r="5316" spans="2:7">
      <c r="B5316" s="893" t="str">
        <f>'4W'!AS29</f>
        <v>BM408STAD</v>
      </c>
      <c r="E5316" s="1753" t="s">
        <v>11007</v>
      </c>
      <c r="G5316" t="str">
        <f>IF('4W'!J29="","##BLANK",'4W'!J29)</f>
        <v>##BLANK</v>
      </c>
    </row>
    <row r="5317" spans="2:7">
      <c r="B5317" s="893" t="str">
        <f>'4W'!AS30</f>
        <v>BM410STAD</v>
      </c>
      <c r="E5317" s="1753" t="s">
        <v>11007</v>
      </c>
      <c r="G5317" t="str">
        <f>IF('4W'!J30="","##BLANK",'4W'!J30)</f>
        <v>##BLANK</v>
      </c>
    </row>
    <row r="5318" spans="2:7">
      <c r="B5318" s="893" t="str">
        <f>'4W'!AS31</f>
        <v>BM816STAD</v>
      </c>
      <c r="E5318" s="1753" t="s">
        <v>11007</v>
      </c>
      <c r="G5318">
        <f>IF('4W'!J31="","##BLANK",'4W'!J31)</f>
        <v>0</v>
      </c>
    </row>
    <row r="5319" spans="2:7">
      <c r="B5319" s="893" t="str">
        <f>'4W'!AS32</f>
        <v>BM817STAD</v>
      </c>
      <c r="E5319" s="1753" t="s">
        <v>11007</v>
      </c>
      <c r="G5319" t="str">
        <f>IF('4W'!J32="","##BLANK",'4W'!J32)</f>
        <v>##BLANK</v>
      </c>
    </row>
    <row r="5320" spans="2:7">
      <c r="B5320" s="893" t="str">
        <f>'4W'!AS33</f>
        <v>BM8390STAD</v>
      </c>
      <c r="E5320" s="1753" t="s">
        <v>11007</v>
      </c>
      <c r="G5320">
        <f>IF('4W'!J33="","##BLANK",'4W'!J33)</f>
        <v>0</v>
      </c>
    </row>
    <row r="5321" spans="2:7">
      <c r="B5321" s="893" t="str">
        <f>'4W'!AS34</f>
        <v>FT00865STAD</v>
      </c>
      <c r="E5321" s="1753" t="s">
        <v>11007</v>
      </c>
      <c r="G5321" t="str">
        <f>IF('4W'!J34="","##BLANK",'4W'!J34)</f>
        <v>##BLANK</v>
      </c>
    </row>
    <row r="5322" spans="2:7">
      <c r="B5322" s="893" t="str">
        <f>'4W'!AS35</f>
        <v>BM319STAD</v>
      </c>
      <c r="E5322" s="1753" t="s">
        <v>11007</v>
      </c>
      <c r="G5322">
        <f>IF('4W'!J35="","##BLANK",'4W'!J35)</f>
        <v>0</v>
      </c>
    </row>
    <row r="5323" spans="2:7">
      <c r="B5323" s="893" t="str">
        <f>'4W'!AS38</f>
        <v>BM402SDRTF</v>
      </c>
      <c r="E5323" s="1753" t="s">
        <v>11007</v>
      </c>
      <c r="G5323" t="str">
        <f>IF('4W'!J38="","##BLANK",'4W'!J38)</f>
        <v>##BLANK</v>
      </c>
    </row>
    <row r="5324" spans="2:7">
      <c r="B5324" s="893" t="str">
        <f>'4W'!AS39</f>
        <v>BM836SDRTF</v>
      </c>
      <c r="E5324" s="1753" t="s">
        <v>11007</v>
      </c>
      <c r="G5324" t="str">
        <f>IF('4W'!J39="","##BLANK",'4W'!J39)</f>
        <v>##BLANK</v>
      </c>
    </row>
    <row r="5325" spans="2:7">
      <c r="B5325" s="893" t="str">
        <f>'4W'!AS40</f>
        <v>WWS1003SDRTF</v>
      </c>
      <c r="E5325" s="1753" t="s">
        <v>11007</v>
      </c>
      <c r="G5325" t="str">
        <f>IF('4W'!J40="","##BLANK",'4W'!J40)</f>
        <v>##BLANK</v>
      </c>
    </row>
    <row r="5326" spans="2:7">
      <c r="B5326" s="893" t="str">
        <f>'4W'!AS41</f>
        <v>BM240SDRTF</v>
      </c>
      <c r="E5326" s="1753" t="s">
        <v>11007</v>
      </c>
      <c r="G5326" t="str">
        <f>IF('4W'!J41="","##BLANK",'4W'!J41)</f>
        <v>##BLANK</v>
      </c>
    </row>
    <row r="5327" spans="2:7">
      <c r="B5327" s="893" t="str">
        <f>'4W'!AS43</f>
        <v>WWS1005SDRTF</v>
      </c>
      <c r="E5327" s="1753" t="s">
        <v>11007</v>
      </c>
      <c r="G5327" t="str">
        <f>IF('4W'!J43="","##BLANK",'4W'!J43)</f>
        <v>##BLANK</v>
      </c>
    </row>
    <row r="5328" spans="2:7">
      <c r="B5328" s="893" t="str">
        <f>'4W'!AS44</f>
        <v>WWS1006SDRTF</v>
      </c>
      <c r="E5328" s="1753" t="s">
        <v>11007</v>
      </c>
      <c r="G5328" t="str">
        <f>IF('4W'!J44="","##BLANK",'4W'!J44)</f>
        <v>##BLANK</v>
      </c>
    </row>
    <row r="5329" spans="2:7">
      <c r="B5329" s="893" t="str">
        <f>'4W'!AS45</f>
        <v>BM408SDRTF</v>
      </c>
      <c r="E5329" s="1753" t="s">
        <v>11007</v>
      </c>
      <c r="G5329" t="str">
        <f>IF('4W'!J45="","##BLANK",'4W'!J45)</f>
        <v>##BLANK</v>
      </c>
    </row>
    <row r="5330" spans="2:7">
      <c r="B5330" s="893" t="str">
        <f>'4W'!AS46</f>
        <v>BM410SDRTF</v>
      </c>
      <c r="E5330" s="1753" t="s">
        <v>11007</v>
      </c>
      <c r="G5330" t="str">
        <f>IF('4W'!J46="","##BLANK",'4W'!J46)</f>
        <v>##BLANK</v>
      </c>
    </row>
    <row r="5331" spans="2:7">
      <c r="B5331" s="893" t="str">
        <f>'4W'!AS47</f>
        <v>BM816SDRTF</v>
      </c>
      <c r="E5331" s="1753" t="s">
        <v>11007</v>
      </c>
      <c r="G5331">
        <f>IF('4W'!J47="","##BLANK",'4W'!J47)</f>
        <v>0</v>
      </c>
    </row>
    <row r="5332" spans="2:7">
      <c r="B5332" s="893" t="str">
        <f>'4W'!AS48</f>
        <v>BM817SDRTF</v>
      </c>
      <c r="E5332" s="1753" t="s">
        <v>11007</v>
      </c>
      <c r="G5332" t="str">
        <f>IF('4W'!J48="","##BLANK",'4W'!J48)</f>
        <v>##BLANK</v>
      </c>
    </row>
    <row r="5333" spans="2:7">
      <c r="B5333" s="893" t="str">
        <f>'4W'!AS49</f>
        <v>BM8390SDRTF</v>
      </c>
      <c r="E5333" s="1753" t="s">
        <v>11007</v>
      </c>
      <c r="G5333">
        <f>IF('4W'!J49="","##BLANK",'4W'!J49)</f>
        <v>0</v>
      </c>
    </row>
    <row r="5334" spans="2:7">
      <c r="B5334" s="893" t="str">
        <f>'4W'!AS50</f>
        <v>FT00865SDRTF</v>
      </c>
      <c r="E5334" s="1753" t="s">
        <v>11007</v>
      </c>
      <c r="G5334" t="str">
        <f>IF('4W'!J50="","##BLANK",'4W'!J50)</f>
        <v>##BLANK</v>
      </c>
    </row>
    <row r="5335" spans="2:7">
      <c r="B5335" s="893" t="str">
        <f>'4W'!AS51</f>
        <v>BM319SDRTF</v>
      </c>
      <c r="E5335" s="1753" t="s">
        <v>11007</v>
      </c>
      <c r="G5335">
        <f>IF('4W'!J51="","##BLANK",'4W'!J51)</f>
        <v>0</v>
      </c>
    </row>
    <row r="5336" spans="2:7">
      <c r="B5336" s="893" t="str">
        <f>'4W'!AS58</f>
        <v>BM3010OTHTOT</v>
      </c>
      <c r="E5336" s="1753" t="s">
        <v>11007</v>
      </c>
      <c r="G5336">
        <f>IF('4W'!J58="","##BLANK",'4W'!J58)</f>
        <v>0</v>
      </c>
    </row>
    <row r="5337" spans="2:7">
      <c r="B5337" s="893" t="str">
        <f>'4W'!AS59</f>
        <v>BM3011OTHTOT</v>
      </c>
      <c r="E5337" s="1753" t="s">
        <v>11007</v>
      </c>
      <c r="G5337">
        <f>IF('4W'!J59="","##BLANK",'4W'!J59)</f>
        <v>0</v>
      </c>
    </row>
    <row r="5338" spans="2:7">
      <c r="B5338" s="893" t="str">
        <f>'4W'!AS60</f>
        <v>W3030OTHTOT</v>
      </c>
      <c r="E5338" s="1753" t="s">
        <v>11007</v>
      </c>
      <c r="G5338">
        <f>IF('4W'!J60="","##BLANK",'4W'!J60)</f>
        <v>0</v>
      </c>
    </row>
    <row r="5339" spans="2:7">
      <c r="B5339" s="893" t="str">
        <f>'4W'!AS61</f>
        <v>W3031OTHTOT</v>
      </c>
      <c r="E5339" s="1753" t="s">
        <v>11007</v>
      </c>
      <c r="G5339">
        <f>IF('4W'!J61="","##BLANK",'4W'!J61)</f>
        <v>0</v>
      </c>
    </row>
    <row r="5340" spans="2:7">
      <c r="B5340" s="893" t="str">
        <f>'4W'!AS62</f>
        <v>W3032OTHTOT</v>
      </c>
      <c r="E5340" s="1753" t="s">
        <v>11007</v>
      </c>
      <c r="G5340">
        <f>IF('4W'!J62="","##BLANK",'4W'!J62)</f>
        <v>0</v>
      </c>
    </row>
    <row r="5341" spans="2:7">
      <c r="B5341" s="893" t="str">
        <f>'4W'!AS63</f>
        <v>W3036OTHTOT</v>
      </c>
      <c r="E5341" s="1753" t="s">
        <v>11007</v>
      </c>
      <c r="G5341">
        <f>IF('4W'!J63="","##BLANK",'4W'!J63)</f>
        <v>0</v>
      </c>
    </row>
    <row r="5342" spans="2:7">
      <c r="B5342" s="893" t="str">
        <f>'4W'!AS66</f>
        <v>W3033OTHTOT</v>
      </c>
      <c r="E5342" s="1753" t="s">
        <v>11007</v>
      </c>
      <c r="G5342">
        <f>IF('4W'!J66="","##BLANK",'4W'!J66)</f>
        <v>0</v>
      </c>
    </row>
    <row r="5343" spans="2:7">
      <c r="B5343" s="893" t="str">
        <f>'4W'!AS67</f>
        <v>W3034OTHTOT</v>
      </c>
      <c r="E5343" s="1753" t="s">
        <v>11007</v>
      </c>
      <c r="G5343">
        <f>IF('4W'!J67="","##BLANK",'4W'!J67)</f>
        <v>0</v>
      </c>
    </row>
    <row r="5344" spans="2:7">
      <c r="B5344" s="893" t="str">
        <f>'4W'!AS68</f>
        <v>W3035OTHTOT</v>
      </c>
      <c r="E5344" s="1753" t="s">
        <v>11007</v>
      </c>
      <c r="G5344">
        <f>IF('4W'!J68="","##BLANK",'4W'!J68)</f>
        <v>0</v>
      </c>
    </row>
    <row r="5345" spans="2:7">
      <c r="B5345" s="893" t="str">
        <f>'4W'!AT22</f>
        <v>BM402STIRS</v>
      </c>
      <c r="E5345" s="1753" t="s">
        <v>11007</v>
      </c>
      <c r="G5345" t="str">
        <f>IF('4W'!K22="","##BLANK",'4W'!K22)</f>
        <v>##BLANK</v>
      </c>
    </row>
    <row r="5346" spans="2:7">
      <c r="B5346" s="893" t="str">
        <f>'4W'!AT23</f>
        <v>BM836STIRS</v>
      </c>
      <c r="E5346" s="1753" t="s">
        <v>11007</v>
      </c>
      <c r="G5346" t="str">
        <f>IF('4W'!K23="","##BLANK",'4W'!K23)</f>
        <v>##BLANK</v>
      </c>
    </row>
    <row r="5347" spans="2:7">
      <c r="B5347" s="893" t="str">
        <f>'4W'!AT24</f>
        <v>WWS1003STIRS</v>
      </c>
      <c r="E5347" s="1753" t="s">
        <v>11007</v>
      </c>
      <c r="G5347" t="str">
        <f>IF('4W'!K24="","##BLANK",'4W'!K24)</f>
        <v>##BLANK</v>
      </c>
    </row>
    <row r="5348" spans="2:7">
      <c r="B5348" s="893" t="str">
        <f>'4W'!AT25</f>
        <v>BM240STIRS</v>
      </c>
      <c r="E5348" s="1753" t="s">
        <v>11007</v>
      </c>
      <c r="G5348" t="str">
        <f>IF('4W'!K25="","##BLANK",'4W'!K25)</f>
        <v>##BLANK</v>
      </c>
    </row>
    <row r="5349" spans="2:7">
      <c r="B5349" s="893" t="str">
        <f>'4W'!AT27</f>
        <v>WWS1005STIRS</v>
      </c>
      <c r="E5349" s="1753" t="s">
        <v>11007</v>
      </c>
      <c r="G5349" t="str">
        <f>IF('4W'!K27="","##BLANK",'4W'!K27)</f>
        <v>##BLANK</v>
      </c>
    </row>
    <row r="5350" spans="2:7">
      <c r="B5350" s="893" t="str">
        <f>'4W'!AT28</f>
        <v>WWS1006STIRS</v>
      </c>
      <c r="E5350" s="1753" t="s">
        <v>11007</v>
      </c>
      <c r="G5350" t="str">
        <f>IF('4W'!K28="","##BLANK",'4W'!K28)</f>
        <v>##BLANK</v>
      </c>
    </row>
    <row r="5351" spans="2:7">
      <c r="B5351" s="893" t="str">
        <f>'4W'!AT29</f>
        <v>BM408STIRS</v>
      </c>
      <c r="E5351" s="1753" t="s">
        <v>11007</v>
      </c>
      <c r="G5351" t="str">
        <f>IF('4W'!K29="","##BLANK",'4W'!K29)</f>
        <v>##BLANK</v>
      </c>
    </row>
    <row r="5352" spans="2:7">
      <c r="B5352" s="893" t="str">
        <f>'4W'!AT30</f>
        <v>BM410STIRS</v>
      </c>
      <c r="E5352" s="1753" t="s">
        <v>11007</v>
      </c>
      <c r="G5352" t="str">
        <f>IF('4W'!K30="","##BLANK",'4W'!K30)</f>
        <v>##BLANK</v>
      </c>
    </row>
    <row r="5353" spans="2:7">
      <c r="B5353" s="893" t="str">
        <f>'4W'!AT31</f>
        <v>BM816STIRS</v>
      </c>
      <c r="E5353" s="1753" t="s">
        <v>11007</v>
      </c>
      <c r="G5353">
        <f>IF('4W'!K31="","##BLANK",'4W'!K31)</f>
        <v>0</v>
      </c>
    </row>
    <row r="5354" spans="2:7">
      <c r="B5354" s="893" t="str">
        <f>'4W'!AT32</f>
        <v>BM817STIRS</v>
      </c>
      <c r="E5354" s="1753" t="s">
        <v>11007</v>
      </c>
      <c r="G5354" t="str">
        <f>IF('4W'!K32="","##BLANK",'4W'!K32)</f>
        <v>##BLANK</v>
      </c>
    </row>
    <row r="5355" spans="2:7">
      <c r="B5355" s="893" t="str">
        <f>'4W'!AT33</f>
        <v>BM8390STIRS</v>
      </c>
      <c r="E5355" s="1753" t="s">
        <v>11007</v>
      </c>
      <c r="G5355">
        <f>IF('4W'!K33="","##BLANK",'4W'!K33)</f>
        <v>0</v>
      </c>
    </row>
    <row r="5356" spans="2:7">
      <c r="B5356" s="893" t="str">
        <f>'4W'!AT34</f>
        <v>FT00865STIRS</v>
      </c>
      <c r="E5356" s="1753" t="s">
        <v>11007</v>
      </c>
      <c r="G5356" t="str">
        <f>IF('4W'!K34="","##BLANK",'4W'!K34)</f>
        <v>##BLANK</v>
      </c>
    </row>
    <row r="5357" spans="2:7">
      <c r="B5357" s="893" t="str">
        <f>'4W'!AT35</f>
        <v>BM319STIRS</v>
      </c>
      <c r="E5357" s="1753" t="s">
        <v>11007</v>
      </c>
      <c r="G5357">
        <f>IF('4W'!K35="","##BLANK",'4W'!K35)</f>
        <v>0</v>
      </c>
    </row>
    <row r="5358" spans="2:7">
      <c r="B5358" s="893" t="str">
        <f>'4W'!AT38</f>
        <v>BM402SDSOT</v>
      </c>
      <c r="E5358" s="1753" t="s">
        <v>11007</v>
      </c>
      <c r="G5358" t="str">
        <f>IF('4W'!K38="","##BLANK",'4W'!K38)</f>
        <v>##BLANK</v>
      </c>
    </row>
    <row r="5359" spans="2:7">
      <c r="B5359" s="893" t="str">
        <f>'4W'!AT39</f>
        <v>BM836SDSOT</v>
      </c>
      <c r="E5359" s="1753" t="s">
        <v>11007</v>
      </c>
      <c r="G5359" t="str">
        <f>IF('4W'!K39="","##BLANK",'4W'!K39)</f>
        <v>##BLANK</v>
      </c>
    </row>
    <row r="5360" spans="2:7">
      <c r="B5360" s="893" t="str">
        <f>'4W'!AT40</f>
        <v>WWS1003SDSOT</v>
      </c>
      <c r="E5360" s="1753" t="s">
        <v>11007</v>
      </c>
      <c r="G5360" t="str">
        <f>IF('4W'!K40="","##BLANK",'4W'!K40)</f>
        <v>##BLANK</v>
      </c>
    </row>
    <row r="5361" spans="2:7">
      <c r="B5361" s="893" t="str">
        <f>'4W'!AT41</f>
        <v>BM240SDSOT</v>
      </c>
      <c r="E5361" s="1753" t="s">
        <v>11007</v>
      </c>
      <c r="G5361" t="str">
        <f>IF('4W'!K41="","##BLANK",'4W'!K41)</f>
        <v>##BLANK</v>
      </c>
    </row>
    <row r="5362" spans="2:7">
      <c r="B5362" s="893" t="str">
        <f>'4W'!AT43</f>
        <v>WWS1005SDSOT</v>
      </c>
      <c r="E5362" s="1753" t="s">
        <v>11007</v>
      </c>
      <c r="G5362" t="str">
        <f>IF('4W'!K43="","##BLANK",'4W'!K43)</f>
        <v>##BLANK</v>
      </c>
    </row>
    <row r="5363" spans="2:7">
      <c r="B5363" s="893" t="str">
        <f>'4W'!AT44</f>
        <v>WWS1006SDSOT</v>
      </c>
      <c r="E5363" s="1753" t="s">
        <v>11007</v>
      </c>
      <c r="G5363" t="str">
        <f>IF('4W'!K44="","##BLANK",'4W'!K44)</f>
        <v>##BLANK</v>
      </c>
    </row>
    <row r="5364" spans="2:7">
      <c r="B5364" s="893" t="str">
        <f>'4W'!AT45</f>
        <v>BM408SDSOT</v>
      </c>
      <c r="E5364" s="1753" t="s">
        <v>11007</v>
      </c>
      <c r="G5364" t="str">
        <f>IF('4W'!K45="","##BLANK",'4W'!K45)</f>
        <v>##BLANK</v>
      </c>
    </row>
    <row r="5365" spans="2:7">
      <c r="B5365" s="893" t="str">
        <f>'4W'!AT46</f>
        <v>BM410SDSOT</v>
      </c>
      <c r="E5365" s="1753" t="s">
        <v>11007</v>
      </c>
      <c r="G5365" t="str">
        <f>IF('4W'!K46="","##BLANK",'4W'!K46)</f>
        <v>##BLANK</v>
      </c>
    </row>
    <row r="5366" spans="2:7">
      <c r="B5366" s="893" t="str">
        <f>'4W'!AT47</f>
        <v>BM816SDSOT</v>
      </c>
      <c r="E5366" s="1753" t="s">
        <v>11007</v>
      </c>
      <c r="G5366">
        <f>IF('4W'!K47="","##BLANK",'4W'!K47)</f>
        <v>0</v>
      </c>
    </row>
    <row r="5367" spans="2:7">
      <c r="B5367" s="893" t="str">
        <f>'4W'!AT48</f>
        <v>BM817SDSOT</v>
      </c>
      <c r="E5367" s="1753" t="s">
        <v>11007</v>
      </c>
      <c r="G5367" t="str">
        <f>IF('4W'!K48="","##BLANK",'4W'!K48)</f>
        <v>##BLANK</v>
      </c>
    </row>
    <row r="5368" spans="2:7">
      <c r="B5368" s="893" t="str">
        <f>'4W'!AT49</f>
        <v>BM8390SDSOT</v>
      </c>
      <c r="E5368" s="1753" t="s">
        <v>11007</v>
      </c>
      <c r="G5368">
        <f>IF('4W'!K49="","##BLANK",'4W'!K49)</f>
        <v>0</v>
      </c>
    </row>
    <row r="5369" spans="2:7">
      <c r="B5369" s="893" t="str">
        <f>'4W'!AT50</f>
        <v>FT00865SDSOT</v>
      </c>
      <c r="E5369" s="1753" t="s">
        <v>11007</v>
      </c>
      <c r="G5369" t="str">
        <f>IF('4W'!K50="","##BLANK",'4W'!K50)</f>
        <v>##BLANK</v>
      </c>
    </row>
    <row r="5370" spans="2:7">
      <c r="B5370" s="893" t="str">
        <f>'4W'!AT51</f>
        <v>BM319SDSOT</v>
      </c>
      <c r="E5370" s="1753" t="s">
        <v>11007</v>
      </c>
      <c r="G5370">
        <f>IF('4W'!K51="","##BLANK",'4W'!K51)</f>
        <v>0</v>
      </c>
    </row>
    <row r="5371" spans="2:7">
      <c r="B5371" s="893" t="str">
        <f>'4W'!AU22</f>
        <v>BM402STIDS</v>
      </c>
      <c r="E5371" s="1753" t="s">
        <v>11007</v>
      </c>
      <c r="G5371" t="str">
        <f>IF('4W'!L22="","##BLANK",'4W'!L22)</f>
        <v>##BLANK</v>
      </c>
    </row>
    <row r="5372" spans="2:7">
      <c r="B5372" s="893" t="str">
        <f>'4W'!AU23</f>
        <v>BM836STIDS</v>
      </c>
      <c r="E5372" s="1753" t="s">
        <v>11007</v>
      </c>
      <c r="G5372" t="str">
        <f>IF('4W'!L23="","##BLANK",'4W'!L23)</f>
        <v>##BLANK</v>
      </c>
    </row>
    <row r="5373" spans="2:7">
      <c r="B5373" s="893" t="str">
        <f>'4W'!AU24</f>
        <v>WWS1003STIDS</v>
      </c>
      <c r="E5373" s="1753" t="s">
        <v>11007</v>
      </c>
      <c r="G5373" t="str">
        <f>IF('4W'!L24="","##BLANK",'4W'!L24)</f>
        <v>##BLANK</v>
      </c>
    </row>
    <row r="5374" spans="2:7">
      <c r="B5374" s="893" t="str">
        <f>'4W'!AU25</f>
        <v>BM240STIDS</v>
      </c>
      <c r="E5374" s="1753" t="s">
        <v>11007</v>
      </c>
      <c r="G5374" t="str">
        <f>IF('4W'!L25="","##BLANK",'4W'!L25)</f>
        <v>##BLANK</v>
      </c>
    </row>
    <row r="5375" spans="2:7">
      <c r="B5375" s="893" t="str">
        <f>'4W'!AU27</f>
        <v>WWS1005STIDS</v>
      </c>
      <c r="E5375" s="1753" t="s">
        <v>11007</v>
      </c>
      <c r="G5375" t="str">
        <f>IF('4W'!L27="","##BLANK",'4W'!L27)</f>
        <v>##BLANK</v>
      </c>
    </row>
    <row r="5376" spans="2:7">
      <c r="B5376" s="893" t="str">
        <f>'4W'!AU28</f>
        <v>WWS1006STIDS</v>
      </c>
      <c r="E5376" s="1753" t="s">
        <v>11007</v>
      </c>
      <c r="G5376" t="str">
        <f>IF('4W'!L28="","##BLANK",'4W'!L28)</f>
        <v>##BLANK</v>
      </c>
    </row>
    <row r="5377" spans="2:7">
      <c r="B5377" s="893" t="str">
        <f>'4W'!AU29</f>
        <v>BM408STIDS</v>
      </c>
      <c r="E5377" s="1753" t="s">
        <v>11007</v>
      </c>
      <c r="G5377" t="str">
        <f>IF('4W'!L29="","##BLANK",'4W'!L29)</f>
        <v>##BLANK</v>
      </c>
    </row>
    <row r="5378" spans="2:7">
      <c r="B5378" s="893" t="str">
        <f>'4W'!AU30</f>
        <v>BM410STIDS</v>
      </c>
      <c r="E5378" s="1753" t="s">
        <v>11007</v>
      </c>
      <c r="G5378" t="str">
        <f>IF('4W'!L30="","##BLANK",'4W'!L30)</f>
        <v>##BLANK</v>
      </c>
    </row>
    <row r="5379" spans="2:7">
      <c r="B5379" s="893" t="str">
        <f>'4W'!AU31</f>
        <v>BM816STIDS</v>
      </c>
      <c r="E5379" s="1753" t="s">
        <v>11007</v>
      </c>
      <c r="G5379">
        <f>IF('4W'!L31="","##BLANK",'4W'!L31)</f>
        <v>0</v>
      </c>
    </row>
    <row r="5380" spans="2:7">
      <c r="B5380" s="893" t="str">
        <f>'4W'!AU32</f>
        <v>BM817STIDS</v>
      </c>
      <c r="E5380" s="1753" t="s">
        <v>11007</v>
      </c>
      <c r="G5380" t="str">
        <f>IF('4W'!L32="","##BLANK",'4W'!L32)</f>
        <v>##BLANK</v>
      </c>
    </row>
    <row r="5381" spans="2:7">
      <c r="B5381" s="893" t="str">
        <f>'4W'!AU33</f>
        <v>BM8390STIDS</v>
      </c>
      <c r="E5381" s="1753" t="s">
        <v>11007</v>
      </c>
      <c r="G5381">
        <f>IF('4W'!L33="","##BLANK",'4W'!L33)</f>
        <v>0</v>
      </c>
    </row>
    <row r="5382" spans="2:7">
      <c r="B5382" s="893" t="str">
        <f>'4W'!AU34</f>
        <v>FT00865STIDS</v>
      </c>
      <c r="E5382" s="1753" t="s">
        <v>11007</v>
      </c>
      <c r="G5382" t="str">
        <f>IF('4W'!L34="","##BLANK",'4W'!L34)</f>
        <v>##BLANK</v>
      </c>
    </row>
    <row r="5383" spans="2:7">
      <c r="B5383" s="893" t="str">
        <f>'4W'!AU35</f>
        <v>BM319STIDS</v>
      </c>
      <c r="E5383" s="1753" t="s">
        <v>11007</v>
      </c>
      <c r="G5383">
        <f>IF('4W'!L35="","##BLANK",'4W'!L35)</f>
        <v>0</v>
      </c>
    </row>
    <row r="5384" spans="2:7">
      <c r="B5384" s="893" t="str">
        <f>'4W'!AU38</f>
        <v>BM402SDTOT</v>
      </c>
      <c r="E5384" s="1753" t="s">
        <v>11007</v>
      </c>
      <c r="G5384">
        <f>IF('4W'!L38="","##BLANK",'4W'!L38)</f>
        <v>0</v>
      </c>
    </row>
    <row r="5385" spans="2:7">
      <c r="B5385" s="893" t="str">
        <f>'4W'!AU39</f>
        <v>BM836SDTOT</v>
      </c>
      <c r="E5385" s="1753" t="s">
        <v>11007</v>
      </c>
      <c r="G5385">
        <f>IF('4W'!L39="","##BLANK",'4W'!L39)</f>
        <v>0</v>
      </c>
    </row>
    <row r="5386" spans="2:7">
      <c r="B5386" s="893" t="str">
        <f>'4W'!AU40</f>
        <v>WWS1003SDTOT</v>
      </c>
      <c r="E5386" s="1753" t="s">
        <v>11007</v>
      </c>
      <c r="G5386">
        <f>IF('4W'!L40="","##BLANK",'4W'!L40)</f>
        <v>0</v>
      </c>
    </row>
    <row r="5387" spans="2:7">
      <c r="B5387" s="893" t="str">
        <f>'4W'!AU41</f>
        <v>BM240SDTOT</v>
      </c>
      <c r="E5387" s="1753" t="s">
        <v>11007</v>
      </c>
      <c r="G5387">
        <f>IF('4W'!L41="","##BLANK",'4W'!L41)</f>
        <v>0</v>
      </c>
    </row>
    <row r="5388" spans="2:7">
      <c r="B5388" s="893" t="str">
        <f>'4W'!AU43</f>
        <v>WWS1005SDTOT</v>
      </c>
      <c r="E5388" s="1753" t="s">
        <v>11007</v>
      </c>
      <c r="G5388">
        <f>IF('4W'!L43="","##BLANK",'4W'!L43)</f>
        <v>0</v>
      </c>
    </row>
    <row r="5389" spans="2:7">
      <c r="B5389" s="893" t="str">
        <f>'4W'!AU44</f>
        <v>WWS1006SDTOT</v>
      </c>
      <c r="E5389" s="1753" t="s">
        <v>11007</v>
      </c>
      <c r="G5389">
        <f>IF('4W'!L44="","##BLANK",'4W'!L44)</f>
        <v>0</v>
      </c>
    </row>
    <row r="5390" spans="2:7">
      <c r="B5390" s="893" t="str">
        <f>'4W'!AU45</f>
        <v>BM408SDTOT</v>
      </c>
      <c r="E5390" s="1753" t="s">
        <v>11007</v>
      </c>
      <c r="G5390">
        <f>IF('4W'!L45="","##BLANK",'4W'!L45)</f>
        <v>0</v>
      </c>
    </row>
    <row r="5391" spans="2:7">
      <c r="B5391" s="893" t="str">
        <f>'4W'!AU46</f>
        <v>BM410SDTOT</v>
      </c>
      <c r="E5391" s="1753" t="s">
        <v>11007</v>
      </c>
      <c r="G5391">
        <f>IF('4W'!L46="","##BLANK",'4W'!L46)</f>
        <v>0</v>
      </c>
    </row>
    <row r="5392" spans="2:7">
      <c r="B5392" s="893" t="str">
        <f>'4W'!AU47</f>
        <v>BM816SDTOT</v>
      </c>
      <c r="E5392" s="1753" t="s">
        <v>11007</v>
      </c>
      <c r="G5392">
        <f>IF('4W'!L47="","##BLANK",'4W'!L47)</f>
        <v>0</v>
      </c>
    </row>
    <row r="5393" spans="2:7">
      <c r="B5393" s="893" t="str">
        <f>'4W'!AU48</f>
        <v>BM817SDTOT</v>
      </c>
      <c r="E5393" s="1753" t="s">
        <v>11007</v>
      </c>
      <c r="G5393">
        <f>IF('4W'!L48="","##BLANK",'4W'!L48)</f>
        <v>0</v>
      </c>
    </row>
    <row r="5394" spans="2:7">
      <c r="B5394" s="893" t="str">
        <f>'4W'!AU49</f>
        <v>BM8390SDTOT</v>
      </c>
      <c r="E5394" s="1753" t="s">
        <v>11007</v>
      </c>
      <c r="G5394">
        <f>IF('4W'!L49="","##BLANK",'4W'!L49)</f>
        <v>0</v>
      </c>
    </row>
    <row r="5395" spans="2:7">
      <c r="B5395" s="893" t="str">
        <f>'4W'!AU50</f>
        <v>FT00865SDTOT</v>
      </c>
      <c r="E5395" s="1753" t="s">
        <v>11007</v>
      </c>
      <c r="G5395">
        <f>IF('4W'!L50="","##BLANK",'4W'!L50)</f>
        <v>0</v>
      </c>
    </row>
    <row r="5396" spans="2:7">
      <c r="B5396" s="893" t="str">
        <f>'4W'!AU51</f>
        <v>BM319SDTOT</v>
      </c>
      <c r="E5396" s="1753" t="s">
        <v>11007</v>
      </c>
      <c r="G5396">
        <f>IF('4W'!L51="","##BLANK",'4W'!L51)</f>
        <v>0</v>
      </c>
    </row>
    <row r="5397" spans="2:7">
      <c r="B5397" s="893" t="str">
        <f>'4W'!AV22</f>
        <v>BM402STPCC</v>
      </c>
      <c r="E5397" s="1753" t="s">
        <v>11007</v>
      </c>
      <c r="G5397" t="str">
        <f>IF('4W'!M22="","##BLANK",'4W'!M22)</f>
        <v>##BLANK</v>
      </c>
    </row>
    <row r="5398" spans="2:7">
      <c r="B5398" s="893" t="str">
        <f>'4W'!AV23</f>
        <v>BM836STPCC</v>
      </c>
      <c r="E5398" s="1753" t="s">
        <v>11007</v>
      </c>
      <c r="G5398" t="str">
        <f>IF('4W'!M23="","##BLANK",'4W'!M23)</f>
        <v>##BLANK</v>
      </c>
    </row>
    <row r="5399" spans="2:7">
      <c r="B5399" s="893" t="str">
        <f>'4W'!AV24</f>
        <v>WWS1003STPCC</v>
      </c>
      <c r="E5399" s="1753" t="s">
        <v>11007</v>
      </c>
      <c r="G5399" t="str">
        <f>IF('4W'!M24="","##BLANK",'4W'!M24)</f>
        <v>##BLANK</v>
      </c>
    </row>
    <row r="5400" spans="2:7">
      <c r="B5400" s="893" t="str">
        <f>'4W'!AV25</f>
        <v>BM240STPCC</v>
      </c>
      <c r="E5400" s="1753" t="s">
        <v>11007</v>
      </c>
      <c r="G5400" t="str">
        <f>IF('4W'!M25="","##BLANK",'4W'!M25)</f>
        <v>##BLANK</v>
      </c>
    </row>
    <row r="5401" spans="2:7">
      <c r="B5401" s="893" t="str">
        <f>'4W'!AV27</f>
        <v>WWS1005STPCC</v>
      </c>
      <c r="E5401" s="1753" t="s">
        <v>11007</v>
      </c>
      <c r="G5401" t="str">
        <f>IF('4W'!M27="","##BLANK",'4W'!M27)</f>
        <v>##BLANK</v>
      </c>
    </row>
    <row r="5402" spans="2:7">
      <c r="B5402" s="893" t="str">
        <f>'4W'!AV28</f>
        <v>WWS1006STPCC</v>
      </c>
      <c r="E5402" s="1753" t="s">
        <v>11007</v>
      </c>
      <c r="G5402" t="str">
        <f>IF('4W'!M28="","##BLANK",'4W'!M28)</f>
        <v>##BLANK</v>
      </c>
    </row>
    <row r="5403" spans="2:7">
      <c r="B5403" s="893" t="str">
        <f>'4W'!AV29</f>
        <v>BM408STPCC</v>
      </c>
      <c r="E5403" s="1753" t="s">
        <v>11007</v>
      </c>
      <c r="G5403" t="str">
        <f>IF('4W'!M29="","##BLANK",'4W'!M29)</f>
        <v>##BLANK</v>
      </c>
    </row>
    <row r="5404" spans="2:7">
      <c r="B5404" s="893" t="str">
        <f>'4W'!AV30</f>
        <v>BM410STPCC</v>
      </c>
      <c r="E5404" s="1753" t="s">
        <v>11007</v>
      </c>
      <c r="G5404" t="str">
        <f>IF('4W'!M30="","##BLANK",'4W'!M30)</f>
        <v>##BLANK</v>
      </c>
    </row>
    <row r="5405" spans="2:7">
      <c r="B5405" s="893" t="str">
        <f>'4W'!AV31</f>
        <v>BM816STPCC</v>
      </c>
      <c r="E5405" s="1753" t="s">
        <v>11007</v>
      </c>
      <c r="G5405">
        <f>IF('4W'!M31="","##BLANK",'4W'!M31)</f>
        <v>0</v>
      </c>
    </row>
    <row r="5406" spans="2:7">
      <c r="B5406" s="893" t="str">
        <f>'4W'!AV32</f>
        <v>BM817STPCC</v>
      </c>
      <c r="E5406" s="1753" t="s">
        <v>11007</v>
      </c>
      <c r="G5406" t="str">
        <f>IF('4W'!M32="","##BLANK",'4W'!M32)</f>
        <v>##BLANK</v>
      </c>
    </row>
    <row r="5407" spans="2:7">
      <c r="B5407" s="893" t="str">
        <f>'4W'!AV33</f>
        <v>BM8390STPCC</v>
      </c>
      <c r="E5407" s="1753" t="s">
        <v>11007</v>
      </c>
      <c r="G5407">
        <f>IF('4W'!M33="","##BLANK",'4W'!M33)</f>
        <v>0</v>
      </c>
    </row>
    <row r="5408" spans="2:7">
      <c r="B5408" s="893" t="str">
        <f>'4W'!AV34</f>
        <v>FT00865STPCC</v>
      </c>
      <c r="E5408" s="1753" t="s">
        <v>11007</v>
      </c>
      <c r="G5408" t="str">
        <f>IF('4W'!M34="","##BLANK",'4W'!M34)</f>
        <v>##BLANK</v>
      </c>
    </row>
    <row r="5409" spans="2:7">
      <c r="B5409" s="893" t="str">
        <f>'4W'!AV35</f>
        <v>BM319STPCC</v>
      </c>
      <c r="E5409" s="1753" t="s">
        <v>11007</v>
      </c>
      <c r="G5409">
        <f>IF('4W'!M35="","##BLANK",'4W'!M35)</f>
        <v>0</v>
      </c>
    </row>
    <row r="5410" spans="2:7">
      <c r="B5410" s="893" t="str">
        <f>'4W'!AW22</f>
        <v>BM402STSLOT</v>
      </c>
      <c r="E5410" s="1753" t="s">
        <v>11007</v>
      </c>
      <c r="G5410" t="str">
        <f>IF('4W'!N22="","##BLANK",'4W'!N22)</f>
        <v>##BLANK</v>
      </c>
    </row>
    <row r="5411" spans="2:7">
      <c r="B5411" s="893" t="str">
        <f>'4W'!AW23</f>
        <v>BM836STSLOT</v>
      </c>
      <c r="E5411" s="1753" t="s">
        <v>11007</v>
      </c>
      <c r="G5411" t="str">
        <f>IF('4W'!N23="","##BLANK",'4W'!N23)</f>
        <v>##BLANK</v>
      </c>
    </row>
    <row r="5412" spans="2:7">
      <c r="B5412" s="893" t="str">
        <f>'4W'!AW24</f>
        <v>WWS1003STSLOT</v>
      </c>
      <c r="E5412" s="1753" t="s">
        <v>11007</v>
      </c>
      <c r="G5412" t="str">
        <f>IF('4W'!N24="","##BLANK",'4W'!N24)</f>
        <v>##BLANK</v>
      </c>
    </row>
    <row r="5413" spans="2:7">
      <c r="B5413" s="893" t="str">
        <f>'4W'!AW25</f>
        <v>BM240STSLOT</v>
      </c>
      <c r="E5413" s="1753" t="s">
        <v>11007</v>
      </c>
      <c r="G5413" t="str">
        <f>IF('4W'!N25="","##BLANK",'4W'!N25)</f>
        <v>##BLANK</v>
      </c>
    </row>
    <row r="5414" spans="2:7">
      <c r="B5414" s="893" t="str">
        <f>'4W'!AW27</f>
        <v>WWS1005STSLOT</v>
      </c>
      <c r="E5414" s="1753" t="s">
        <v>11007</v>
      </c>
      <c r="G5414" t="str">
        <f>IF('4W'!N27="","##BLANK",'4W'!N27)</f>
        <v>##BLANK</v>
      </c>
    </row>
    <row r="5415" spans="2:7">
      <c r="B5415" s="893" t="str">
        <f>'4W'!AW28</f>
        <v>WWS1006STSLOT</v>
      </c>
      <c r="E5415" s="1753" t="s">
        <v>11007</v>
      </c>
      <c r="G5415" t="str">
        <f>IF('4W'!N28="","##BLANK",'4W'!N28)</f>
        <v>##BLANK</v>
      </c>
    </row>
    <row r="5416" spans="2:7">
      <c r="B5416" s="893" t="str">
        <f>'4W'!AW29</f>
        <v>BM408STSLOT</v>
      </c>
      <c r="E5416" s="1753" t="s">
        <v>11007</v>
      </c>
      <c r="G5416" t="str">
        <f>IF('4W'!N29="","##BLANK",'4W'!N29)</f>
        <v>##BLANK</v>
      </c>
    </row>
    <row r="5417" spans="2:7">
      <c r="B5417" s="893" t="str">
        <f>'4W'!AW30</f>
        <v>BM410STSLOT</v>
      </c>
      <c r="E5417" s="1753" t="s">
        <v>11007</v>
      </c>
      <c r="G5417" t="str">
        <f>IF('4W'!N30="","##BLANK",'4W'!N30)</f>
        <v>##BLANK</v>
      </c>
    </row>
    <row r="5418" spans="2:7">
      <c r="B5418" s="893" t="str">
        <f>'4W'!AW31</f>
        <v>BM816STSLOT</v>
      </c>
      <c r="E5418" s="1753" t="s">
        <v>11007</v>
      </c>
      <c r="G5418">
        <f>IF('4W'!N31="","##BLANK",'4W'!N31)</f>
        <v>0</v>
      </c>
    </row>
    <row r="5419" spans="2:7">
      <c r="B5419" s="893" t="str">
        <f>'4W'!AW32</f>
        <v>BM817STSLOT</v>
      </c>
      <c r="E5419" s="1753" t="s">
        <v>11007</v>
      </c>
      <c r="G5419" t="str">
        <f>IF('4W'!N32="","##BLANK",'4W'!N32)</f>
        <v>##BLANK</v>
      </c>
    </row>
    <row r="5420" spans="2:7">
      <c r="B5420" s="893" t="str">
        <f>'4W'!AW33</f>
        <v>BM8390STSLOT</v>
      </c>
      <c r="E5420" s="1753" t="s">
        <v>11007</v>
      </c>
      <c r="G5420">
        <f>IF('4W'!N33="","##BLANK",'4W'!N33)</f>
        <v>0</v>
      </c>
    </row>
    <row r="5421" spans="2:7">
      <c r="B5421" s="893" t="str">
        <f>'4W'!AW34</f>
        <v>FT00865STSLOT</v>
      </c>
      <c r="E5421" s="1753" t="s">
        <v>11007</v>
      </c>
      <c r="G5421" t="str">
        <f>IF('4W'!N34="","##BLANK",'4W'!N34)</f>
        <v>##BLANK</v>
      </c>
    </row>
    <row r="5422" spans="2:7">
      <c r="B5422" s="893" t="str">
        <f>'4W'!AW35</f>
        <v>BM319STSLOT</v>
      </c>
      <c r="E5422" s="1753" t="s">
        <v>11007</v>
      </c>
      <c r="G5422">
        <f>IF('4W'!N35="","##BLANK",'4W'!N35)</f>
        <v>0</v>
      </c>
    </row>
    <row r="5423" spans="2:7">
      <c r="B5423" s="893" t="str">
        <f>'4W'!AX22</f>
        <v>BM402STTOT</v>
      </c>
      <c r="E5423" s="1753" t="s">
        <v>11007</v>
      </c>
      <c r="G5423">
        <f>IF('4W'!O22="","##BLANK",'4W'!O22)</f>
        <v>0</v>
      </c>
    </row>
    <row r="5424" spans="2:7">
      <c r="B5424" s="893" t="str">
        <f>'4W'!AX23</f>
        <v>BM836STTOT</v>
      </c>
      <c r="E5424" s="1753" t="s">
        <v>11007</v>
      </c>
      <c r="G5424">
        <f>IF('4W'!O23="","##BLANK",'4W'!O23)</f>
        <v>0</v>
      </c>
    </row>
    <row r="5425" spans="2:7">
      <c r="B5425" s="893" t="str">
        <f>'4W'!AX24</f>
        <v>WWS1003STTOT</v>
      </c>
      <c r="E5425" s="1753" t="s">
        <v>11007</v>
      </c>
      <c r="G5425">
        <f>IF('4W'!O24="","##BLANK",'4W'!O24)</f>
        <v>0</v>
      </c>
    </row>
    <row r="5426" spans="2:7">
      <c r="B5426" s="893" t="str">
        <f>'4W'!AX25</f>
        <v>BM240STTOT</v>
      </c>
      <c r="E5426" s="1753" t="s">
        <v>11007</v>
      </c>
      <c r="G5426">
        <f>IF('4W'!O25="","##BLANK",'4W'!O25)</f>
        <v>0</v>
      </c>
    </row>
    <row r="5427" spans="2:7">
      <c r="B5427" s="893" t="str">
        <f>'4W'!AX27</f>
        <v>WWS1005STTOT</v>
      </c>
      <c r="E5427" s="1753" t="s">
        <v>11007</v>
      </c>
      <c r="G5427">
        <f>IF('4W'!O27="","##BLANK",'4W'!O27)</f>
        <v>0</v>
      </c>
    </row>
    <row r="5428" spans="2:7">
      <c r="B5428" s="893" t="str">
        <f>'4W'!AX28</f>
        <v>WWS1006STTOT</v>
      </c>
      <c r="E5428" s="1753" t="s">
        <v>11007</v>
      </c>
      <c r="G5428">
        <f>IF('4W'!O28="","##BLANK",'4W'!O28)</f>
        <v>0</v>
      </c>
    </row>
    <row r="5429" spans="2:7">
      <c r="B5429" s="893" t="str">
        <f>'4W'!AX29</f>
        <v>BM408STTOT</v>
      </c>
      <c r="E5429" s="1753" t="s">
        <v>11007</v>
      </c>
      <c r="G5429">
        <f>IF('4W'!O29="","##BLANK",'4W'!O29)</f>
        <v>0</v>
      </c>
    </row>
    <row r="5430" spans="2:7">
      <c r="B5430" s="893" t="str">
        <f>'4W'!AX30</f>
        <v>BM410STTOT</v>
      </c>
      <c r="E5430" s="1753" t="s">
        <v>11007</v>
      </c>
      <c r="G5430">
        <f>IF('4W'!O30="","##BLANK",'4W'!O30)</f>
        <v>0</v>
      </c>
    </row>
    <row r="5431" spans="2:7">
      <c r="B5431" s="893" t="str">
        <f>'4W'!AX31</f>
        <v>BM816STTOT</v>
      </c>
      <c r="E5431" s="1753" t="s">
        <v>11007</v>
      </c>
      <c r="G5431">
        <f>IF('4W'!O31="","##BLANK",'4W'!O31)</f>
        <v>0</v>
      </c>
    </row>
    <row r="5432" spans="2:7">
      <c r="B5432" s="893" t="str">
        <f>'4W'!AX32</f>
        <v>BM817STTOT</v>
      </c>
      <c r="E5432" s="1753" t="s">
        <v>11007</v>
      </c>
      <c r="G5432">
        <f>IF('4W'!O32="","##BLANK",'4W'!O32)</f>
        <v>0</v>
      </c>
    </row>
    <row r="5433" spans="2:7">
      <c r="B5433" s="893" t="str">
        <f>'4W'!AX33</f>
        <v>BM8390STTOT</v>
      </c>
      <c r="E5433" s="1753" t="s">
        <v>11007</v>
      </c>
      <c r="G5433">
        <f>IF('4W'!O33="","##BLANK",'4W'!O33)</f>
        <v>0</v>
      </c>
    </row>
    <row r="5434" spans="2:7">
      <c r="B5434" s="893" t="str">
        <f>'4W'!AX34</f>
        <v>FT00865STTOT</v>
      </c>
      <c r="E5434" s="1753" t="s">
        <v>11007</v>
      </c>
      <c r="G5434">
        <f>IF('4W'!O34="","##BLANK",'4W'!O34)</f>
        <v>0</v>
      </c>
    </row>
    <row r="5435" spans="2:7">
      <c r="B5435" s="893" t="str">
        <f>'4W'!AX35</f>
        <v>BM319STTOT</v>
      </c>
      <c r="E5435" s="1753" t="s">
        <v>11007</v>
      </c>
      <c r="G5435">
        <f>IF('4W'!O35="","##BLANK",'4W'!O35)</f>
        <v>0</v>
      </c>
    </row>
    <row r="5436" spans="2:7">
      <c r="B5436" s="893" t="str">
        <f>Bioresources!D6</f>
        <v>CR3001BIOM</v>
      </c>
      <c r="D5436" s="2146"/>
      <c r="E5436" s="1753" t="s">
        <v>11007</v>
      </c>
      <c r="G5436" t="str">
        <f>IF(Bioresources!G6="","##BLANK",Bioresources!G6)</f>
        <v>##BLANK</v>
      </c>
    </row>
    <row r="5437" spans="2:7">
      <c r="B5437" s="893" t="str">
        <f>Bioresources!D7</f>
        <v>CR3002BIOM</v>
      </c>
      <c r="D5437" s="2146"/>
      <c r="E5437" s="1753" t="s">
        <v>11007</v>
      </c>
      <c r="G5437" t="str">
        <f>IF(Bioresources!G7="","##BLANK",Bioresources!G7)</f>
        <v>##BLANK</v>
      </c>
    </row>
    <row r="5438" spans="2:7">
      <c r="B5438" s="893" t="str">
        <f>Bioresources!D8</f>
        <v>CR3003BIOM</v>
      </c>
      <c r="D5438" s="2146"/>
      <c r="E5438" s="1753" t="s">
        <v>11007</v>
      </c>
      <c r="G5438" t="str">
        <f>IF(Bioresources!G8="","##BLANK",Bioresources!G8)</f>
        <v>##BLANK</v>
      </c>
    </row>
    <row r="5439" spans="2:7">
      <c r="B5439" s="893" t="str">
        <f>Bioresources!D9</f>
        <v>CR3004BIOM</v>
      </c>
      <c r="D5439" s="2146"/>
      <c r="E5439" s="1753" t="s">
        <v>11007</v>
      </c>
      <c r="G5439" t="str">
        <f>IF(Bioresources!G9="","##BLANK",Bioresources!G9)</f>
        <v>##BLANK</v>
      </c>
    </row>
    <row r="5440" spans="2:7">
      <c r="B5440" s="893" t="str">
        <f>Bioresources!D10</f>
        <v>CR3005BIOM</v>
      </c>
      <c r="D5440" s="2146"/>
      <c r="E5440" s="1753" t="s">
        <v>11007</v>
      </c>
      <c r="G5440" t="str">
        <f>IF(Bioresources!G10="","##BLANK",Bioresources!G10)</f>
        <v>##BLANK</v>
      </c>
    </row>
    <row r="5441" spans="2:7">
      <c r="B5441" s="893" t="str">
        <f>Bioresources!D11</f>
        <v>CR3006BIOM</v>
      </c>
      <c r="D5441" s="2146"/>
      <c r="E5441" s="1753" t="s">
        <v>11007</v>
      </c>
      <c r="G5441" t="str">
        <f>IF(Bioresources!G11="","##BLANK",Bioresources!G11)</f>
        <v>##BLANK</v>
      </c>
    </row>
    <row r="5442" spans="2:7">
      <c r="B5442" s="893" t="str">
        <f>Bioresources!D14</f>
        <v>CR3007BIOM</v>
      </c>
      <c r="D5442" s="2146"/>
      <c r="E5442" s="1753" t="s">
        <v>11007</v>
      </c>
      <c r="G5442" t="str">
        <f>IF(Bioresources!G14="","##BLANK",Bioresources!G14)</f>
        <v>##BLANK</v>
      </c>
    </row>
    <row r="5443" spans="2:7">
      <c r="B5443" s="893" t="str">
        <f>Bioresources!D15</f>
        <v>CR3008BIOM</v>
      </c>
      <c r="D5443" s="2146"/>
      <c r="E5443" s="1753" t="s">
        <v>11007</v>
      </c>
      <c r="G5443" t="str">
        <f>IF(Bioresources!G15="","##BLANK",Bioresources!G15)</f>
        <v>##BLANK</v>
      </c>
    </row>
    <row r="5444" spans="2:7">
      <c r="B5444" s="893" t="str">
        <f>Bioresources!D16</f>
        <v>CR3009BIOM</v>
      </c>
      <c r="D5444" s="2146"/>
      <c r="E5444" s="1753" t="s">
        <v>11007</v>
      </c>
      <c r="G5444" t="str">
        <f>IF(Bioresources!G16="","##BLANK",Bioresources!G16)</f>
        <v>##BLANK</v>
      </c>
    </row>
    <row r="5445" spans="2:7">
      <c r="B5445" s="893" t="str">
        <f>Bioresources!D19</f>
        <v>CR3010BIOM</v>
      </c>
      <c r="D5445" s="2146"/>
      <c r="E5445" s="1753" t="s">
        <v>11007</v>
      </c>
      <c r="G5445" t="str">
        <f>IF(Bioresources!G19="","##BLANK",Bioresources!G19)</f>
        <v>##BLANK</v>
      </c>
    </row>
    <row r="5446" spans="2:7">
      <c r="B5446" s="893" t="str">
        <f>Bioresources!D20</f>
        <v>CR3011BIOM</v>
      </c>
      <c r="D5446" s="2146"/>
      <c r="E5446" s="1753" t="s">
        <v>11007</v>
      </c>
      <c r="G5446" t="str">
        <f>IF(Bioresources!G20="","##BLANK",Bioresources!G20)</f>
        <v>##BLANK</v>
      </c>
    </row>
    <row r="5447" spans="2:7">
      <c r="B5447" s="893" t="str">
        <f>Bioresources!D23</f>
        <v>CR3012BIOM</v>
      </c>
      <c r="D5447" s="2146"/>
      <c r="E5447" s="1753" t="s">
        <v>11007</v>
      </c>
      <c r="G5447" t="str">
        <f>IF(Bioresources!G23="","##BLANK",Bioresources!G23)</f>
        <v>##BLANK</v>
      </c>
    </row>
    <row r="5448" spans="2:7">
      <c r="B5448" s="893" t="str">
        <f>Bioresources!D24</f>
        <v>CR3013BIOM</v>
      </c>
      <c r="D5448" s="2146"/>
      <c r="E5448" s="1753" t="s">
        <v>11007</v>
      </c>
      <c r="G5448" t="str">
        <f>IF(Bioresources!G24="","##BLANK",Bioresources!G24)</f>
        <v>##BLANK</v>
      </c>
    </row>
    <row r="5449" spans="2:7">
      <c r="B5449" s="893" t="str">
        <f>Bioresources!D25</f>
        <v>CR3014BIOM</v>
      </c>
      <c r="D5449" s="2146"/>
      <c r="E5449" s="1753" t="s">
        <v>11007</v>
      </c>
      <c r="G5449" t="str">
        <f>IF(Bioresources!G25="","##BLANK",Bioresources!G25)</f>
        <v>##BLANK</v>
      </c>
    </row>
    <row r="5450" spans="2:7">
      <c r="B5450" s="893" t="str">
        <f>Bioresources!D26</f>
        <v>CR3015BIOM</v>
      </c>
      <c r="D5450" s="2146"/>
      <c r="E5450" s="1753" t="s">
        <v>11007</v>
      </c>
      <c r="G5450" t="str">
        <f>IF(Bioresources!G26="","##BLANK",Bioresources!G26)</f>
        <v>##BLANK</v>
      </c>
    </row>
    <row r="5451" spans="2:7">
      <c r="B5451" s="893" t="str">
        <f>Bioresources!D27</f>
        <v>CR3016BIOM</v>
      </c>
      <c r="D5451" s="2146"/>
      <c r="E5451" s="1753" t="s">
        <v>11007</v>
      </c>
      <c r="G5451" t="str">
        <f>IF(Bioresources!G27="","##BLANK",Bioresources!G27)</f>
        <v>##BLANK</v>
      </c>
    </row>
    <row r="5452" spans="2:7">
      <c r="B5452" s="893" t="str">
        <f>Bioresources!D30</f>
        <v>CR3017BIOM</v>
      </c>
      <c r="D5452" s="2146"/>
      <c r="E5452" s="1753" t="s">
        <v>11007</v>
      </c>
      <c r="G5452" t="str">
        <f>IF(Bioresources!G30="","##BLANK",Bioresources!G30)</f>
        <v>##BLANK</v>
      </c>
    </row>
    <row r="5453" spans="2:7">
      <c r="B5453" s="893" t="str">
        <f>Bioresources!D31</f>
        <v>CR3018BIOM</v>
      </c>
      <c r="D5453" s="2146"/>
      <c r="E5453" s="1753" t="s">
        <v>11007</v>
      </c>
      <c r="G5453" t="str">
        <f>IF(Bioresources!G31="","##BLANK",Bioresources!G31)</f>
        <v>##BLANK</v>
      </c>
    </row>
    <row r="5454" spans="2:7">
      <c r="B5454" s="893" t="str">
        <f>Bioresources!D32</f>
        <v>CR3019BIOM</v>
      </c>
      <c r="D5454" s="2146"/>
      <c r="E5454" s="1753" t="s">
        <v>11007</v>
      </c>
      <c r="G5454" t="str">
        <f>IF(Bioresources!G32="","##BLANK",Bioresources!G32)</f>
        <v>##BLANK</v>
      </c>
    </row>
    <row r="5455" spans="2:7">
      <c r="B5455" s="893" t="str">
        <f>Bioresources!D33</f>
        <v>CR3020BIOM</v>
      </c>
      <c r="D5455" s="2146"/>
      <c r="E5455" s="1753" t="s">
        <v>11007</v>
      </c>
      <c r="G5455" t="str">
        <f>IF(Bioresources!G33="","##BLANK",Bioresources!G33)</f>
        <v>##BLANK</v>
      </c>
    </row>
    <row r="5456" spans="2:7">
      <c r="B5456" s="893" t="str">
        <f>Bioresources!D34</f>
        <v>CR3021BIOM</v>
      </c>
      <c r="D5456" s="2146"/>
      <c r="E5456" s="1753" t="s">
        <v>11007</v>
      </c>
      <c r="G5456" t="str">
        <f>IF(Bioresources!G34="","##BLANK",Bioresources!G34)</f>
        <v>##BLANK</v>
      </c>
    </row>
    <row r="5457" spans="2:7">
      <c r="B5457" s="893" t="str">
        <f>Bioresources!D37</f>
        <v>CR3022BIOM</v>
      </c>
      <c r="D5457" s="2146"/>
      <c r="E5457" s="1753" t="s">
        <v>11007</v>
      </c>
      <c r="G5457" t="str">
        <f>IF(Bioresources!G37="","##BLANK",Bioresources!G37)</f>
        <v>##BLANK</v>
      </c>
    </row>
    <row r="5458" spans="2:7">
      <c r="B5458" s="893" t="str">
        <f>Bioresources!D38</f>
        <v>CR3023BIOM</v>
      </c>
      <c r="D5458" s="2146"/>
      <c r="E5458" s="1753" t="s">
        <v>11007</v>
      </c>
      <c r="G5458" t="str">
        <f>IF(Bioresources!G38="","##BLANK",Bioresources!G38)</f>
        <v>##BLANK</v>
      </c>
    </row>
    <row r="5459" spans="2:7">
      <c r="B5459" s="893" t="str">
        <f>Bioresources!D39</f>
        <v>CR3024BIOM</v>
      </c>
      <c r="D5459" s="2146"/>
      <c r="E5459" s="1753" t="s">
        <v>11007</v>
      </c>
      <c r="G5459" t="str">
        <f>IF(Bioresources!G39="","##BLANK",Bioresources!G39)</f>
        <v>##BLANK</v>
      </c>
    </row>
    <row r="5460" spans="2:7">
      <c r="B5460" s="893" t="str">
        <f>Bioresources!D40</f>
        <v>CR3025BIOM</v>
      </c>
      <c r="D5460" s="2146"/>
      <c r="E5460" s="1753" t="s">
        <v>11007</v>
      </c>
      <c r="G5460" t="str">
        <f>IF(Bioresources!G40="","##BLANK",Bioresources!G40)</f>
        <v>##BLANK</v>
      </c>
    </row>
    <row r="5461" spans="2:7">
      <c r="B5461" s="893" t="str">
        <f>Bioresources!D41</f>
        <v>CR3026BIOM</v>
      </c>
      <c r="D5461" s="2146"/>
      <c r="E5461" s="1753" t="s">
        <v>11007</v>
      </c>
      <c r="G5461" t="str">
        <f>IF(Bioresources!G41="","##BLANK",Bioresources!G41)</f>
        <v>##BLANK</v>
      </c>
    </row>
  </sheetData>
  <conditionalFormatting sqref="C1572">
    <cfRule type="duplicateValues" dxfId="45" priority="75"/>
  </conditionalFormatting>
  <conditionalFormatting sqref="D2478:D2729">
    <cfRule type="duplicateValues" dxfId="44"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43" priority="22"/>
  </conditionalFormatting>
  <conditionalFormatting sqref="D2032:D2035 D682:D683 D690 C1459:C1463 H1459:H1477 H1481 H1488:H1489 H2461 H2463 H2456 H2451 H2446 H5017:H5025 F5153:F5165 F5192:F5200 C5436:D5461">
    <cfRule type="duplicateValues" dxfId="42" priority="2518"/>
  </conditionalFormatting>
  <conditionalFormatting sqref="B1073">
    <cfRule type="duplicateValues" dxfId="41" priority="21"/>
  </conditionalFormatting>
  <conditionalFormatting sqref="B1080">
    <cfRule type="duplicateValues" dxfId="40" priority="20"/>
  </conditionalFormatting>
  <conditionalFormatting sqref="B1079">
    <cfRule type="duplicateValues" dxfId="39" priority="19"/>
  </conditionalFormatting>
  <conditionalFormatting sqref="B1087">
    <cfRule type="duplicateValues" dxfId="38" priority="18"/>
  </conditionalFormatting>
  <conditionalFormatting sqref="B437">
    <cfRule type="duplicateValues" dxfId="37" priority="17"/>
  </conditionalFormatting>
  <conditionalFormatting sqref="B673">
    <cfRule type="duplicateValues" dxfId="36" priority="16"/>
  </conditionalFormatting>
  <conditionalFormatting sqref="B652">
    <cfRule type="duplicateValues" dxfId="35" priority="15"/>
  </conditionalFormatting>
  <conditionalFormatting sqref="B631">
    <cfRule type="duplicateValues" dxfId="34" priority="14"/>
  </conditionalFormatting>
  <conditionalFormatting sqref="B610">
    <cfRule type="duplicateValues" dxfId="33" priority="13"/>
  </conditionalFormatting>
  <conditionalFormatting sqref="B588">
    <cfRule type="duplicateValues" dxfId="32" priority="12"/>
  </conditionalFormatting>
  <conditionalFormatting sqref="B566">
    <cfRule type="duplicateValues" dxfId="31" priority="11"/>
  </conditionalFormatting>
  <conditionalFormatting sqref="B544">
    <cfRule type="duplicateValues" dxfId="30" priority="10"/>
  </conditionalFormatting>
  <conditionalFormatting sqref="B523">
    <cfRule type="duplicateValues" dxfId="29" priority="9"/>
  </conditionalFormatting>
  <conditionalFormatting sqref="B502">
    <cfRule type="duplicateValues" dxfId="28" priority="8"/>
  </conditionalFormatting>
  <conditionalFormatting sqref="B481">
    <cfRule type="duplicateValues" dxfId="27" priority="7"/>
  </conditionalFormatting>
  <conditionalFormatting sqref="B459">
    <cfRule type="duplicateValues" dxfId="26" priority="6"/>
  </conditionalFormatting>
  <conditionalFormatting sqref="B2279">
    <cfRule type="duplicateValues" dxfId="25" priority="5"/>
  </conditionalFormatting>
  <conditionalFormatting sqref="B2294">
    <cfRule type="duplicateValues" dxfId="24" priority="4"/>
  </conditionalFormatting>
  <conditionalFormatting sqref="B5044:B5046">
    <cfRule type="duplicateValues" dxfId="23" priority="3"/>
  </conditionalFormatting>
  <conditionalFormatting sqref="B5066:B5068">
    <cfRule type="duplicateValues" dxfId="22" priority="2"/>
  </conditionalFormatting>
  <conditionalFormatting sqref="B5088:B5090">
    <cfRule type="duplicateValues" dxfId="21"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worksheet>
</file>

<file path=xl/worksheets/sheet58.xml><?xml version="1.0" encoding="utf-8"?>
<worksheet xmlns="http://schemas.openxmlformats.org/spreadsheetml/2006/main" xmlns:r="http://schemas.openxmlformats.org/officeDocument/2006/relationships">
  <sheetPr codeName="Sheet50">
    <pageSetUpPr fitToPage="1"/>
  </sheetPr>
  <dimension ref="A1:J26"/>
  <sheetViews>
    <sheetView workbookViewId="0"/>
  </sheetViews>
  <sheetFormatPr defaultRowHeight="14.25"/>
  <cols>
    <col min="1" max="1" width="36.625" bestFit="1" customWidth="1"/>
    <col min="2" max="2" width="36.125" customWidth="1"/>
    <col min="3" max="4" width="8.625" customWidth="1"/>
    <col min="5" max="5" width="2.625" customWidth="1"/>
    <col min="6" max="8" width="10" customWidth="1"/>
  </cols>
  <sheetData>
    <row r="1" spans="1:10" ht="18.75">
      <c r="A1" s="1" t="s">
        <v>2859</v>
      </c>
      <c r="B1" s="1"/>
      <c r="C1" s="1"/>
      <c r="D1" s="1"/>
      <c r="E1" s="1"/>
      <c r="F1" s="1"/>
      <c r="G1" s="1"/>
      <c r="H1" s="1"/>
      <c r="I1" s="1"/>
      <c r="J1" s="1"/>
    </row>
    <row r="2" spans="1:10">
      <c r="A2" s="49"/>
      <c r="B2" s="49"/>
      <c r="E2" s="49"/>
    </row>
    <row r="3" spans="1:10" s="26" customFormat="1" ht="25.5">
      <c r="A3" s="50" t="s">
        <v>2860</v>
      </c>
      <c r="B3" s="50" t="s">
        <v>2861</v>
      </c>
      <c r="C3" s="50" t="s">
        <v>2862</v>
      </c>
      <c r="D3" s="50" t="s">
        <v>2863</v>
      </c>
      <c r="F3" s="51" t="s">
        <v>2864</v>
      </c>
      <c r="G3" s="50"/>
      <c r="H3" s="50"/>
    </row>
    <row r="4" spans="1:10">
      <c r="A4" s="49"/>
      <c r="B4" s="49" t="s">
        <v>2386</v>
      </c>
      <c r="C4" s="49"/>
      <c r="D4" s="49" t="s">
        <v>116</v>
      </c>
    </row>
    <row r="5" spans="1:10">
      <c r="A5" s="49" t="s">
        <v>2865</v>
      </c>
      <c r="B5" s="49" t="s">
        <v>2866</v>
      </c>
      <c r="C5" s="49" t="s">
        <v>114</v>
      </c>
      <c r="D5" s="49" t="s">
        <v>116</v>
      </c>
      <c r="F5" s="51" t="s">
        <v>2867</v>
      </c>
    </row>
    <row r="6" spans="1:10">
      <c r="A6" s="49" t="s">
        <v>2868</v>
      </c>
      <c r="B6" s="49" t="s">
        <v>2869</v>
      </c>
      <c r="C6" s="49" t="s">
        <v>1989</v>
      </c>
      <c r="D6" s="49" t="s">
        <v>116</v>
      </c>
      <c r="F6" s="49" t="s">
        <v>50</v>
      </c>
    </row>
    <row r="7" spans="1:10">
      <c r="A7" s="49" t="s">
        <v>2870</v>
      </c>
      <c r="B7" s="49" t="s">
        <v>2871</v>
      </c>
      <c r="C7" s="49" t="s">
        <v>492</v>
      </c>
      <c r="D7" s="49" t="s">
        <v>116</v>
      </c>
      <c r="F7" s="49" t="s">
        <v>46</v>
      </c>
    </row>
    <row r="8" spans="1:10">
      <c r="A8" s="49" t="s">
        <v>2872</v>
      </c>
      <c r="B8" s="49" t="s">
        <v>2873</v>
      </c>
      <c r="C8" s="49" t="s">
        <v>1288</v>
      </c>
      <c r="D8" s="49" t="s">
        <v>116</v>
      </c>
      <c r="F8" s="49" t="s">
        <v>2148</v>
      </c>
    </row>
    <row r="9" spans="1:10">
      <c r="A9" s="49" t="s">
        <v>3750</v>
      </c>
      <c r="B9" s="49" t="s">
        <v>2875</v>
      </c>
      <c r="C9" s="49" t="s">
        <v>3749</v>
      </c>
      <c r="D9" s="49" t="s">
        <v>116</v>
      </c>
    </row>
    <row r="10" spans="1:10">
      <c r="A10" s="49" t="s">
        <v>2874</v>
      </c>
      <c r="B10" s="49" t="s">
        <v>12214</v>
      </c>
      <c r="C10" s="49" t="s">
        <v>1476</v>
      </c>
      <c r="D10" s="49" t="s">
        <v>116</v>
      </c>
      <c r="F10" s="51" t="s">
        <v>2878</v>
      </c>
    </row>
    <row r="11" spans="1:10">
      <c r="A11" s="49" t="s">
        <v>2876</v>
      </c>
      <c r="B11" s="49" t="s">
        <v>2877</v>
      </c>
      <c r="C11" s="49" t="s">
        <v>1097</v>
      </c>
      <c r="D11" s="49" t="s">
        <v>116</v>
      </c>
      <c r="F11" s="49" t="s">
        <v>5425</v>
      </c>
    </row>
    <row r="12" spans="1:10">
      <c r="A12" s="49" t="s">
        <v>2879</v>
      </c>
      <c r="B12" s="49" t="s">
        <v>2880</v>
      </c>
      <c r="C12" s="49" t="s">
        <v>1608</v>
      </c>
      <c r="D12" s="49" t="s">
        <v>116</v>
      </c>
      <c r="F12" s="49" t="s">
        <v>5379</v>
      </c>
    </row>
    <row r="13" spans="1:10">
      <c r="A13" s="49" t="s">
        <v>2881</v>
      </c>
      <c r="B13" s="49" t="s">
        <v>2882</v>
      </c>
      <c r="C13" s="49" t="s">
        <v>2883</v>
      </c>
      <c r="D13" s="49" t="s">
        <v>116</v>
      </c>
      <c r="F13" s="49" t="s">
        <v>13444</v>
      </c>
    </row>
    <row r="14" spans="1:10">
      <c r="A14" s="49" t="s">
        <v>2884</v>
      </c>
      <c r="B14" s="49" t="s">
        <v>2885</v>
      </c>
      <c r="C14" s="49" t="s">
        <v>2090</v>
      </c>
      <c r="D14" s="49" t="s">
        <v>116</v>
      </c>
      <c r="F14" s="49" t="s">
        <v>13445</v>
      </c>
    </row>
    <row r="15" spans="1:10">
      <c r="A15" s="49" t="s">
        <v>2886</v>
      </c>
      <c r="B15" s="49" t="s">
        <v>2887</v>
      </c>
      <c r="C15" s="49" t="s">
        <v>2237</v>
      </c>
      <c r="D15" s="49" t="s">
        <v>116</v>
      </c>
      <c r="F15" s="49" t="s">
        <v>2148</v>
      </c>
    </row>
    <row r="16" spans="1:10">
      <c r="A16" s="49" t="s">
        <v>2888</v>
      </c>
      <c r="B16" s="49" t="s">
        <v>2888</v>
      </c>
      <c r="C16" s="49" t="s">
        <v>2889</v>
      </c>
      <c r="D16" s="49" t="s">
        <v>39</v>
      </c>
      <c r="F16" s="49"/>
    </row>
    <row r="17" spans="1:4">
      <c r="A17" s="49" t="s">
        <v>2891</v>
      </c>
      <c r="B17" s="49" t="s">
        <v>2892</v>
      </c>
      <c r="C17" s="49" t="s">
        <v>2893</v>
      </c>
      <c r="D17" s="49" t="s">
        <v>39</v>
      </c>
    </row>
    <row r="18" spans="1:4">
      <c r="A18" s="49" t="s">
        <v>2894</v>
      </c>
      <c r="B18" s="49" t="s">
        <v>2895</v>
      </c>
      <c r="C18" s="49" t="s">
        <v>2896</v>
      </c>
      <c r="D18" s="49" t="s">
        <v>39</v>
      </c>
    </row>
    <row r="19" spans="1:4">
      <c r="A19" s="49" t="s">
        <v>2897</v>
      </c>
      <c r="B19" s="49" t="s">
        <v>2898</v>
      </c>
      <c r="C19" s="49" t="s">
        <v>2899</v>
      </c>
      <c r="D19" s="49" t="s">
        <v>39</v>
      </c>
    </row>
    <row r="20" spans="1:4">
      <c r="A20" s="49" t="s">
        <v>2900</v>
      </c>
      <c r="B20" s="49" t="s">
        <v>12215</v>
      </c>
      <c r="C20" s="49" t="s">
        <v>2901</v>
      </c>
      <c r="D20" s="49" t="s">
        <v>39</v>
      </c>
    </row>
    <row r="21" spans="1:4">
      <c r="A21" s="49" t="s">
        <v>2902</v>
      </c>
      <c r="B21" s="49" t="s">
        <v>2903</v>
      </c>
      <c r="C21" s="49" t="s">
        <v>2904</v>
      </c>
      <c r="D21" s="49" t="s">
        <v>39</v>
      </c>
    </row>
    <row r="22" spans="1:4">
      <c r="A22" s="49" t="s">
        <v>2905</v>
      </c>
      <c r="B22" s="49" t="s">
        <v>2906</v>
      </c>
      <c r="C22" s="49" t="s">
        <v>2907</v>
      </c>
      <c r="D22" s="49" t="s">
        <v>39</v>
      </c>
    </row>
    <row r="23" spans="1:4">
      <c r="A23" s="49" t="s">
        <v>2908</v>
      </c>
      <c r="B23" s="49" t="s">
        <v>2909</v>
      </c>
      <c r="C23" s="49" t="s">
        <v>2910</v>
      </c>
      <c r="D23" s="49" t="s">
        <v>39</v>
      </c>
    </row>
    <row r="24" spans="1:4" s="2146" customFormat="1">
      <c r="A24" s="49" t="s">
        <v>3170</v>
      </c>
      <c r="B24" s="49" t="s">
        <v>3171</v>
      </c>
      <c r="C24" s="49" t="s">
        <v>1800</v>
      </c>
      <c r="D24" s="49" t="s">
        <v>116</v>
      </c>
    </row>
    <row r="25" spans="1:4" s="2146" customFormat="1">
      <c r="A25" s="49" t="s">
        <v>13226</v>
      </c>
      <c r="B25" s="49" t="s">
        <v>13223</v>
      </c>
      <c r="C25" s="49" t="s">
        <v>13224</v>
      </c>
      <c r="D25" s="49" t="s">
        <v>116</v>
      </c>
    </row>
    <row r="26" spans="1:4">
      <c r="A26" s="49" t="s">
        <v>13228</v>
      </c>
      <c r="B26" s="49" t="s">
        <v>13227</v>
      </c>
      <c r="C26" s="49" t="s">
        <v>13225</v>
      </c>
      <c r="D26" s="49" t="s">
        <v>116</v>
      </c>
    </row>
  </sheetData>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59.xml><?xml version="1.0" encoding="utf-8"?>
<worksheet xmlns="http://schemas.openxmlformats.org/spreadsheetml/2006/main" xmlns:r="http://schemas.openxmlformats.org/officeDocument/2006/relationships">
  <sheetPr codeName="Sheet51"/>
  <dimension ref="A1:CJ728"/>
  <sheetViews>
    <sheetView workbookViewId="0"/>
  </sheetViews>
  <sheetFormatPr defaultRowHeight="14.25"/>
  <cols>
    <col min="2" max="2" width="21.125" bestFit="1" customWidth="1"/>
    <col min="17" max="17" width="9" style="534"/>
    <col min="68" max="68" width="9" style="534"/>
    <col min="81" max="85" width="9" style="2146"/>
    <col min="87" max="87" width="3.75" style="675" customWidth="1"/>
    <col min="88" max="88" width="11" customWidth="1"/>
  </cols>
  <sheetData>
    <row r="1" spans="1:88" s="2361" customFormat="1" ht="89.25" customHeight="1">
      <c r="Q1" s="2362"/>
      <c r="T1" s="2361" t="s">
        <v>5375</v>
      </c>
      <c r="Y1" s="2361" t="s">
        <v>5376</v>
      </c>
      <c r="AI1" s="2361" t="s">
        <v>0</v>
      </c>
      <c r="AN1" s="2361" t="s">
        <v>5377</v>
      </c>
      <c r="AS1" s="2361" t="s">
        <v>5378</v>
      </c>
      <c r="AX1" s="2361" t="s">
        <v>5379</v>
      </c>
      <c r="BC1" s="2361" t="s">
        <v>5380</v>
      </c>
      <c r="BH1" s="2361" t="s">
        <v>5381</v>
      </c>
      <c r="BI1" s="2361" t="s">
        <v>5382</v>
      </c>
      <c r="BJ1" s="2361" t="s">
        <v>5383</v>
      </c>
      <c r="BK1" s="2361" t="s">
        <v>5384</v>
      </c>
      <c r="BL1" s="2361" t="s">
        <v>5385</v>
      </c>
      <c r="BM1" s="2361" t="s">
        <v>5386</v>
      </c>
      <c r="BP1" s="2370" t="s">
        <v>13436</v>
      </c>
      <c r="BQ1" s="2366"/>
      <c r="BR1" s="2366"/>
      <c r="BS1" s="2366"/>
      <c r="BT1" s="2366"/>
      <c r="BU1" s="2366"/>
      <c r="BV1" s="2366"/>
      <c r="BW1" s="2369" t="s">
        <v>5387</v>
      </c>
      <c r="BX1" s="2365"/>
      <c r="BY1" s="2365"/>
      <c r="BZ1" s="2365"/>
      <c r="CA1" s="2365"/>
      <c r="CB1" s="2365"/>
      <c r="CC1" s="2368" t="s">
        <v>13443</v>
      </c>
      <c r="CD1" s="2367"/>
      <c r="CE1" s="2367"/>
      <c r="CF1" s="2367"/>
      <c r="CG1" s="2367"/>
      <c r="CH1" s="2367"/>
      <c r="CI1" s="2371"/>
    </row>
    <row r="2" spans="1:88" s="2359" customFormat="1" ht="123.75">
      <c r="A2" s="2359" t="s">
        <v>1</v>
      </c>
      <c r="B2" s="2359" t="s">
        <v>2</v>
      </c>
      <c r="C2" s="2359" t="s">
        <v>3</v>
      </c>
      <c r="D2" s="2359" t="s">
        <v>4</v>
      </c>
      <c r="E2" s="2359" t="s">
        <v>5</v>
      </c>
      <c r="F2" s="2359" t="s">
        <v>6</v>
      </c>
      <c r="G2" s="2359" t="s">
        <v>7</v>
      </c>
      <c r="H2" s="2359" t="s">
        <v>8</v>
      </c>
      <c r="I2" s="2359" t="s">
        <v>9</v>
      </c>
      <c r="J2" s="2359" t="s">
        <v>10</v>
      </c>
      <c r="K2" s="2359" t="s">
        <v>5388</v>
      </c>
      <c r="L2" s="2359" t="s">
        <v>11</v>
      </c>
      <c r="M2" s="2359" t="s">
        <v>12</v>
      </c>
      <c r="N2" s="2359" t="s">
        <v>13</v>
      </c>
      <c r="O2" s="2359" t="s">
        <v>14</v>
      </c>
      <c r="P2" s="2359" t="s">
        <v>15</v>
      </c>
      <c r="Q2" s="2360" t="s">
        <v>16</v>
      </c>
      <c r="R2" s="2359" t="s">
        <v>5389</v>
      </c>
      <c r="S2" s="2359" t="s">
        <v>17</v>
      </c>
      <c r="T2" s="2359" t="s">
        <v>5390</v>
      </c>
      <c r="U2" s="2359" t="s">
        <v>5391</v>
      </c>
      <c r="V2" s="2359" t="s">
        <v>5392</v>
      </c>
      <c r="W2" s="2359" t="s">
        <v>5393</v>
      </c>
      <c r="X2" s="2359" t="s">
        <v>5394</v>
      </c>
      <c r="Y2" s="2359" t="s">
        <v>23</v>
      </c>
      <c r="Z2" s="2359" t="s">
        <v>24</v>
      </c>
      <c r="AA2" s="2359" t="s">
        <v>25</v>
      </c>
      <c r="AB2" s="2359" t="s">
        <v>26</v>
      </c>
      <c r="AC2" s="2359" t="s">
        <v>27</v>
      </c>
      <c r="AD2" s="2359" t="s">
        <v>3269</v>
      </c>
      <c r="AE2" s="2359" t="s">
        <v>3270</v>
      </c>
      <c r="AF2" s="2359" t="s">
        <v>3271</v>
      </c>
      <c r="AG2" s="2359" t="s">
        <v>28</v>
      </c>
      <c r="AH2" s="2359" t="s">
        <v>3272</v>
      </c>
      <c r="AI2" s="2359" t="s">
        <v>29</v>
      </c>
      <c r="AJ2" s="2359" t="s">
        <v>30</v>
      </c>
      <c r="AK2" s="2359" t="s">
        <v>31</v>
      </c>
      <c r="AL2" s="2359" t="s">
        <v>32</v>
      </c>
      <c r="AM2" s="2359" t="s">
        <v>33</v>
      </c>
      <c r="AN2" s="2359" t="s">
        <v>29</v>
      </c>
      <c r="AO2" s="2359" t="s">
        <v>30</v>
      </c>
      <c r="AP2" s="2359" t="s">
        <v>31</v>
      </c>
      <c r="AQ2" s="2359" t="s">
        <v>32</v>
      </c>
      <c r="AR2" s="2359" t="s">
        <v>33</v>
      </c>
      <c r="AS2" s="2359" t="s">
        <v>29</v>
      </c>
      <c r="AT2" s="2359" t="s">
        <v>30</v>
      </c>
      <c r="AU2" s="2359" t="s">
        <v>31</v>
      </c>
      <c r="AV2" s="2359" t="s">
        <v>32</v>
      </c>
      <c r="AW2" s="2359" t="s">
        <v>33</v>
      </c>
      <c r="AX2" s="2359" t="s">
        <v>29</v>
      </c>
      <c r="AY2" s="2359" t="s">
        <v>30</v>
      </c>
      <c r="AZ2" s="2359" t="s">
        <v>31</v>
      </c>
      <c r="BA2" s="2359" t="s">
        <v>32</v>
      </c>
      <c r="BB2" s="2359" t="s">
        <v>33</v>
      </c>
      <c r="BC2" s="2359" t="s">
        <v>29</v>
      </c>
      <c r="BD2" s="2359" t="s">
        <v>30</v>
      </c>
      <c r="BE2" s="2359" t="s">
        <v>31</v>
      </c>
      <c r="BF2" s="2359" t="s">
        <v>32</v>
      </c>
      <c r="BG2" s="2359" t="s">
        <v>33</v>
      </c>
      <c r="BH2" s="2359" t="s">
        <v>34</v>
      </c>
      <c r="BI2" s="2359" t="s">
        <v>34</v>
      </c>
      <c r="BJ2" s="2359" t="s">
        <v>34</v>
      </c>
      <c r="BK2" s="2359" t="s">
        <v>34</v>
      </c>
      <c r="BL2" s="2359" t="s">
        <v>34</v>
      </c>
      <c r="BM2" s="2359" t="s">
        <v>34</v>
      </c>
      <c r="BN2" s="2359" t="s">
        <v>35</v>
      </c>
      <c r="BO2" s="2359" t="s">
        <v>36</v>
      </c>
      <c r="BP2" s="2372" t="s">
        <v>3273</v>
      </c>
      <c r="BQ2" s="2373" t="s">
        <v>3274</v>
      </c>
      <c r="BR2" s="2373" t="s">
        <v>5395</v>
      </c>
      <c r="BS2" s="2373" t="s">
        <v>5396</v>
      </c>
      <c r="BT2" s="2373" t="s">
        <v>5397</v>
      </c>
      <c r="BU2" s="2373" t="s">
        <v>5398</v>
      </c>
      <c r="BV2" s="2373" t="s">
        <v>5399</v>
      </c>
      <c r="BW2" s="2374" t="s">
        <v>5400</v>
      </c>
      <c r="BX2" s="2374" t="s">
        <v>5401</v>
      </c>
      <c r="BY2" s="2374" t="s">
        <v>5402</v>
      </c>
      <c r="BZ2" s="2374" t="s">
        <v>5403</v>
      </c>
      <c r="CA2" s="2374" t="s">
        <v>5404</v>
      </c>
      <c r="CB2" s="2374" t="s">
        <v>5405</v>
      </c>
      <c r="CC2" s="2375" t="s">
        <v>13437</v>
      </c>
      <c r="CD2" s="2375" t="s">
        <v>13438</v>
      </c>
      <c r="CE2" s="2375" t="s">
        <v>13439</v>
      </c>
      <c r="CF2" s="2375" t="s">
        <v>13440</v>
      </c>
      <c r="CG2" s="2375" t="s">
        <v>13441</v>
      </c>
      <c r="CH2" s="2375" t="s">
        <v>13442</v>
      </c>
      <c r="CI2" s="2376"/>
      <c r="CJ2" s="2359" t="s">
        <v>9</v>
      </c>
    </row>
    <row r="3" spans="1:88">
      <c r="A3" t="s">
        <v>37</v>
      </c>
      <c r="B3" t="s">
        <v>38</v>
      </c>
      <c r="C3" t="s">
        <v>39</v>
      </c>
      <c r="D3" t="s">
        <v>40</v>
      </c>
      <c r="E3" t="s">
        <v>41</v>
      </c>
      <c r="F3" t="s">
        <v>42</v>
      </c>
      <c r="G3" t="s">
        <v>43</v>
      </c>
      <c r="H3" t="s">
        <v>44</v>
      </c>
      <c r="I3" t="s">
        <v>3188</v>
      </c>
      <c r="J3" t="s">
        <v>5406</v>
      </c>
      <c r="K3" t="s">
        <v>45</v>
      </c>
      <c r="M3" t="s">
        <v>46</v>
      </c>
      <c r="N3" t="s">
        <v>47</v>
      </c>
      <c r="O3" t="s">
        <v>48</v>
      </c>
      <c r="P3" t="s">
        <v>49</v>
      </c>
      <c r="Q3" s="534">
        <v>1</v>
      </c>
      <c r="R3" t="s">
        <v>3263</v>
      </c>
      <c r="S3">
        <v>189.3</v>
      </c>
      <c r="T3">
        <v>183.9</v>
      </c>
      <c r="U3">
        <v>178.5</v>
      </c>
      <c r="V3">
        <v>173.1</v>
      </c>
      <c r="W3">
        <v>167.7</v>
      </c>
      <c r="X3">
        <v>162.19999999999999</v>
      </c>
      <c r="AE3" t="s">
        <v>50</v>
      </c>
      <c r="AH3">
        <v>0</v>
      </c>
      <c r="AI3" t="s">
        <v>50</v>
      </c>
      <c r="AJ3" t="s">
        <v>50</v>
      </c>
      <c r="AK3" t="s">
        <v>50</v>
      </c>
      <c r="AL3" t="s">
        <v>50</v>
      </c>
      <c r="AM3" t="s">
        <v>50</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51</v>
      </c>
      <c r="BP3" s="534">
        <v>183.49</v>
      </c>
      <c r="BQ3" s="722">
        <v>180.89</v>
      </c>
      <c r="BR3" t="s">
        <v>50</v>
      </c>
      <c r="BS3" t="s">
        <v>52</v>
      </c>
      <c r="BT3">
        <v>0</v>
      </c>
      <c r="BU3" t="s">
        <v>5379</v>
      </c>
      <c r="BV3">
        <v>0</v>
      </c>
      <c r="BW3">
        <v>172.99</v>
      </c>
      <c r="BX3" t="s">
        <v>50</v>
      </c>
      <c r="BY3">
        <v>0</v>
      </c>
      <c r="BZ3">
        <v>0</v>
      </c>
      <c r="CA3" t="s">
        <v>5379</v>
      </c>
      <c r="CB3">
        <v>0</v>
      </c>
      <c r="CC3" s="2146">
        <v>172.67</v>
      </c>
      <c r="CD3" s="2146" t="s">
        <v>50</v>
      </c>
      <c r="CE3" s="2146">
        <v>0</v>
      </c>
      <c r="CF3" s="2146">
        <v>0</v>
      </c>
      <c r="CG3" s="2146">
        <v>0</v>
      </c>
      <c r="CH3">
        <v>0</v>
      </c>
      <c r="CJ3" t="s">
        <v>5407</v>
      </c>
    </row>
    <row r="4" spans="1:88">
      <c r="A4" t="s">
        <v>37</v>
      </c>
      <c r="B4" t="s">
        <v>53</v>
      </c>
      <c r="C4" t="s">
        <v>39</v>
      </c>
      <c r="D4" t="s">
        <v>40</v>
      </c>
      <c r="E4" t="s">
        <v>41</v>
      </c>
      <c r="F4" t="s">
        <v>42</v>
      </c>
      <c r="G4" t="s">
        <v>54</v>
      </c>
      <c r="H4" t="s">
        <v>55</v>
      </c>
      <c r="I4" t="s">
        <v>3189</v>
      </c>
      <c r="J4" t="s">
        <v>5408</v>
      </c>
      <c r="K4" t="s">
        <v>45</v>
      </c>
      <c r="M4" t="s">
        <v>46</v>
      </c>
      <c r="N4" t="s">
        <v>56</v>
      </c>
      <c r="O4" t="s">
        <v>48</v>
      </c>
      <c r="P4" t="s">
        <v>57</v>
      </c>
      <c r="Q4" s="534">
        <v>1</v>
      </c>
      <c r="R4" t="s">
        <v>3263</v>
      </c>
      <c r="S4">
        <v>158.4</v>
      </c>
      <c r="T4">
        <v>156.30000000000001</v>
      </c>
      <c r="U4">
        <v>155.6</v>
      </c>
      <c r="V4">
        <v>153.30000000000001</v>
      </c>
      <c r="W4">
        <v>150.30000000000001</v>
      </c>
      <c r="X4">
        <v>147.4</v>
      </c>
      <c r="AH4">
        <v>0</v>
      </c>
      <c r="AK4" t="s">
        <v>50</v>
      </c>
      <c r="AM4" t="s">
        <v>50</v>
      </c>
      <c r="BH4">
        <v>0.75</v>
      </c>
      <c r="BI4">
        <v>1.75</v>
      </c>
      <c r="BN4">
        <v>1</v>
      </c>
      <c r="BO4" t="s">
        <v>51</v>
      </c>
      <c r="BP4" s="534">
        <v>154.9</v>
      </c>
      <c r="BQ4" s="722">
        <v>154.4</v>
      </c>
      <c r="BR4" t="s">
        <v>50</v>
      </c>
      <c r="BS4" t="s">
        <v>52</v>
      </c>
      <c r="BT4">
        <v>0</v>
      </c>
      <c r="BU4" t="s">
        <v>52</v>
      </c>
      <c r="BV4">
        <v>0</v>
      </c>
      <c r="BW4">
        <v>159.69</v>
      </c>
      <c r="BX4" t="s">
        <v>46</v>
      </c>
      <c r="BY4">
        <v>0</v>
      </c>
      <c r="BZ4">
        <v>0</v>
      </c>
      <c r="CA4">
        <v>0</v>
      </c>
      <c r="CB4">
        <v>0</v>
      </c>
      <c r="CC4" s="2146">
        <v>151.68543751188128</v>
      </c>
      <c r="CD4" s="2146" t="s">
        <v>50</v>
      </c>
      <c r="CE4" s="2146">
        <v>0</v>
      </c>
      <c r="CF4" s="2146">
        <v>0</v>
      </c>
      <c r="CG4" s="2146">
        <v>0</v>
      </c>
      <c r="CH4">
        <v>0</v>
      </c>
      <c r="CJ4" t="s">
        <v>5409</v>
      </c>
    </row>
    <row r="5" spans="1:88">
      <c r="A5" t="s">
        <v>37</v>
      </c>
      <c r="B5" t="s">
        <v>58</v>
      </c>
      <c r="C5" t="s">
        <v>39</v>
      </c>
      <c r="D5" t="s">
        <v>40</v>
      </c>
      <c r="E5" t="s">
        <v>41</v>
      </c>
      <c r="F5" t="s">
        <v>42</v>
      </c>
      <c r="G5" t="s">
        <v>59</v>
      </c>
      <c r="H5" t="s">
        <v>60</v>
      </c>
      <c r="I5" t="s">
        <v>3190</v>
      </c>
      <c r="J5" t="s">
        <v>5408</v>
      </c>
      <c r="K5" t="s">
        <v>45</v>
      </c>
      <c r="M5" t="s">
        <v>46</v>
      </c>
      <c r="N5" t="s">
        <v>61</v>
      </c>
      <c r="O5" t="s">
        <v>48</v>
      </c>
      <c r="P5" t="s">
        <v>49</v>
      </c>
      <c r="Q5" s="534">
        <v>1</v>
      </c>
      <c r="R5" t="s">
        <v>3263</v>
      </c>
      <c r="S5">
        <v>1114.7</v>
      </c>
      <c r="T5">
        <v>1110.4000000000001</v>
      </c>
      <c r="U5">
        <v>1103.5</v>
      </c>
      <c r="V5">
        <v>1100.8</v>
      </c>
      <c r="W5">
        <v>1068.0999999999999</v>
      </c>
      <c r="X5">
        <v>1067</v>
      </c>
      <c r="AH5">
        <v>0</v>
      </c>
      <c r="AK5" t="s">
        <v>50</v>
      </c>
      <c r="AM5" t="s">
        <v>50</v>
      </c>
      <c r="BH5">
        <v>0.59</v>
      </c>
      <c r="BI5">
        <v>1.91</v>
      </c>
      <c r="BN5">
        <v>1</v>
      </c>
      <c r="BO5" t="s">
        <v>51</v>
      </c>
      <c r="BP5" s="534">
        <v>1151.93</v>
      </c>
      <c r="BQ5" s="722">
        <v>1139.08</v>
      </c>
      <c r="BR5" t="s">
        <v>50</v>
      </c>
      <c r="BS5" t="s">
        <v>52</v>
      </c>
      <c r="BT5">
        <v>0</v>
      </c>
      <c r="BU5" t="s">
        <v>52</v>
      </c>
      <c r="BV5">
        <v>0</v>
      </c>
      <c r="BW5">
        <v>1153.02</v>
      </c>
      <c r="BX5" t="s">
        <v>50</v>
      </c>
      <c r="BY5">
        <v>0</v>
      </c>
      <c r="BZ5">
        <v>0</v>
      </c>
      <c r="CA5">
        <v>0</v>
      </c>
      <c r="CB5">
        <v>0</v>
      </c>
      <c r="CC5" s="2146">
        <v>1135.5530304347826</v>
      </c>
      <c r="CD5" s="2146" t="s">
        <v>50</v>
      </c>
      <c r="CE5" s="2146">
        <v>0</v>
      </c>
      <c r="CF5" s="2146">
        <v>0</v>
      </c>
      <c r="CG5" s="2146">
        <v>0</v>
      </c>
      <c r="CH5">
        <v>0</v>
      </c>
      <c r="CJ5" t="s">
        <v>5410</v>
      </c>
    </row>
    <row r="6" spans="1:88">
      <c r="A6" t="s">
        <v>37</v>
      </c>
      <c r="B6" t="s">
        <v>62</v>
      </c>
      <c r="C6" t="s">
        <v>39</v>
      </c>
      <c r="D6" t="s">
        <v>40</v>
      </c>
      <c r="E6" t="s">
        <v>41</v>
      </c>
      <c r="F6" t="s">
        <v>42</v>
      </c>
      <c r="G6" t="s">
        <v>63</v>
      </c>
      <c r="H6" t="s">
        <v>64</v>
      </c>
      <c r="I6" t="s">
        <v>3191</v>
      </c>
      <c r="J6" t="s">
        <v>5406</v>
      </c>
      <c r="K6" t="s">
        <v>45</v>
      </c>
      <c r="N6" t="s">
        <v>65</v>
      </c>
      <c r="O6" t="s">
        <v>48</v>
      </c>
      <c r="P6" t="s">
        <v>49</v>
      </c>
      <c r="Q6" s="534">
        <v>1</v>
      </c>
      <c r="R6" t="s">
        <v>3263</v>
      </c>
      <c r="S6">
        <v>0</v>
      </c>
      <c r="T6">
        <v>-6.7</v>
      </c>
      <c r="U6">
        <v>-12.5</v>
      </c>
      <c r="V6">
        <v>-14.1</v>
      </c>
      <c r="W6">
        <v>-42.1</v>
      </c>
      <c r="X6">
        <v>-42.1</v>
      </c>
      <c r="AF6" t="s">
        <v>50</v>
      </c>
      <c r="AH6">
        <v>0</v>
      </c>
      <c r="AI6" t="s">
        <v>50</v>
      </c>
      <c r="AJ6" t="s">
        <v>50</v>
      </c>
      <c r="AK6" t="s">
        <v>50</v>
      </c>
      <c r="AL6" t="s">
        <v>50</v>
      </c>
      <c r="AM6" t="s">
        <v>50</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51</v>
      </c>
      <c r="BP6" s="534">
        <v>0</v>
      </c>
      <c r="BQ6" s="722">
        <v>-6.7</v>
      </c>
      <c r="BR6" t="s">
        <v>50</v>
      </c>
      <c r="BS6" t="s">
        <v>52</v>
      </c>
      <c r="BT6">
        <v>0</v>
      </c>
      <c r="BU6" t="s">
        <v>52</v>
      </c>
      <c r="BV6">
        <v>0</v>
      </c>
      <c r="BW6">
        <v>-12.5</v>
      </c>
      <c r="BX6" t="s">
        <v>50</v>
      </c>
      <c r="BY6">
        <v>0</v>
      </c>
      <c r="BZ6">
        <v>0</v>
      </c>
      <c r="CA6">
        <v>0</v>
      </c>
      <c r="CB6">
        <v>0</v>
      </c>
      <c r="CC6" s="2146">
        <v>-32.700000000000003</v>
      </c>
      <c r="CD6" s="2146" t="s">
        <v>50</v>
      </c>
      <c r="CE6" s="2146">
        <v>0</v>
      </c>
      <c r="CF6" s="2146">
        <v>0</v>
      </c>
      <c r="CG6" s="2146" t="s">
        <v>5425</v>
      </c>
      <c r="CH6">
        <v>1.2648000000000001</v>
      </c>
      <c r="CJ6" t="s">
        <v>5411</v>
      </c>
    </row>
    <row r="7" spans="1:88">
      <c r="A7" t="s">
        <v>37</v>
      </c>
      <c r="B7" t="s">
        <v>66</v>
      </c>
      <c r="C7" t="s">
        <v>39</v>
      </c>
      <c r="D7" t="s">
        <v>40</v>
      </c>
      <c r="E7" t="s">
        <v>41</v>
      </c>
      <c r="F7" t="s">
        <v>42</v>
      </c>
      <c r="G7" t="s">
        <v>67</v>
      </c>
      <c r="H7" t="s">
        <v>68</v>
      </c>
      <c r="I7" t="s">
        <v>3192</v>
      </c>
      <c r="J7" t="s">
        <v>69</v>
      </c>
      <c r="N7" t="s">
        <v>65</v>
      </c>
      <c r="O7" t="s">
        <v>70</v>
      </c>
      <c r="P7" t="s">
        <v>70</v>
      </c>
      <c r="Q7" s="534" t="s">
        <v>70</v>
      </c>
      <c r="S7" t="s">
        <v>70</v>
      </c>
      <c r="T7" t="s">
        <v>70</v>
      </c>
      <c r="U7" t="s">
        <v>70</v>
      </c>
      <c r="V7" t="s">
        <v>70</v>
      </c>
      <c r="W7" t="s">
        <v>70</v>
      </c>
      <c r="X7" t="s">
        <v>70</v>
      </c>
      <c r="AG7" t="s">
        <v>50</v>
      </c>
      <c r="AH7">
        <v>0</v>
      </c>
      <c r="BP7" s="534" t="s">
        <v>52</v>
      </c>
      <c r="BQ7" s="723" t="s">
        <v>52</v>
      </c>
      <c r="BR7" t="s">
        <v>52</v>
      </c>
      <c r="BS7" t="s">
        <v>52</v>
      </c>
      <c r="BT7">
        <v>0</v>
      </c>
      <c r="BU7" t="s">
        <v>52</v>
      </c>
      <c r="BV7">
        <v>0</v>
      </c>
      <c r="BW7">
        <v>-2.5499999999999998</v>
      </c>
      <c r="BX7" t="s">
        <v>2148</v>
      </c>
      <c r="BY7">
        <v>0</v>
      </c>
      <c r="BZ7">
        <v>0</v>
      </c>
      <c r="CA7">
        <v>0</v>
      </c>
      <c r="CB7">
        <v>0</v>
      </c>
      <c r="CC7" s="2146">
        <v>-5.1060000000000008</v>
      </c>
      <c r="CD7" s="2146" t="s">
        <v>2148</v>
      </c>
      <c r="CE7" s="2146">
        <v>0</v>
      </c>
      <c r="CF7" s="2146">
        <v>0</v>
      </c>
      <c r="CG7" s="2146">
        <v>0</v>
      </c>
      <c r="CH7">
        <v>0</v>
      </c>
      <c r="CJ7" t="s">
        <v>5412</v>
      </c>
    </row>
    <row r="8" spans="1:88">
      <c r="A8" t="s">
        <v>37</v>
      </c>
      <c r="B8" t="s">
        <v>71</v>
      </c>
      <c r="C8" t="s">
        <v>39</v>
      </c>
      <c r="D8" t="s">
        <v>40</v>
      </c>
      <c r="E8" t="s">
        <v>41</v>
      </c>
      <c r="F8" t="s">
        <v>72</v>
      </c>
      <c r="G8" t="s">
        <v>73</v>
      </c>
      <c r="H8" t="s">
        <v>74</v>
      </c>
      <c r="I8" t="s">
        <v>3193</v>
      </c>
      <c r="J8" t="s">
        <v>5408</v>
      </c>
      <c r="K8" t="s">
        <v>45</v>
      </c>
      <c r="M8" t="s">
        <v>46</v>
      </c>
      <c r="N8" t="s">
        <v>75</v>
      </c>
      <c r="O8" t="s">
        <v>76</v>
      </c>
      <c r="P8" t="s">
        <v>77</v>
      </c>
      <c r="Q8" s="534">
        <v>2</v>
      </c>
      <c r="R8" t="s">
        <v>3264</v>
      </c>
      <c r="S8">
        <v>99.95</v>
      </c>
      <c r="T8">
        <v>99.95</v>
      </c>
      <c r="U8">
        <v>99.95</v>
      </c>
      <c r="V8">
        <v>99.95</v>
      </c>
      <c r="W8">
        <v>99.95</v>
      </c>
      <c r="X8">
        <v>99.95</v>
      </c>
      <c r="Y8" t="s">
        <v>50</v>
      </c>
      <c r="AE8" t="s">
        <v>50</v>
      </c>
      <c r="AH8">
        <v>0</v>
      </c>
      <c r="AI8" t="s">
        <v>50</v>
      </c>
      <c r="AJ8" t="s">
        <v>50</v>
      </c>
      <c r="AK8" t="s">
        <v>50</v>
      </c>
      <c r="AL8" t="s">
        <v>50</v>
      </c>
      <c r="AM8" t="s">
        <v>50</v>
      </c>
      <c r="BH8">
        <v>0.72</v>
      </c>
      <c r="BN8">
        <v>1</v>
      </c>
      <c r="BO8" t="s">
        <v>51</v>
      </c>
      <c r="BP8" s="534">
        <v>99.97</v>
      </c>
      <c r="BQ8" s="724">
        <v>99.99</v>
      </c>
      <c r="BR8" t="s">
        <v>50</v>
      </c>
      <c r="BS8" t="s">
        <v>52</v>
      </c>
      <c r="BT8">
        <v>0</v>
      </c>
      <c r="BU8" t="s">
        <v>52</v>
      </c>
      <c r="BV8">
        <v>0</v>
      </c>
      <c r="BW8">
        <v>99.96</v>
      </c>
      <c r="BX8" t="s">
        <v>50</v>
      </c>
      <c r="BY8">
        <v>0</v>
      </c>
      <c r="BZ8">
        <v>0</v>
      </c>
      <c r="CA8">
        <v>0</v>
      </c>
      <c r="CB8">
        <v>0</v>
      </c>
      <c r="CC8" s="2146">
        <v>99.96</v>
      </c>
      <c r="CD8" s="2146" t="s">
        <v>50</v>
      </c>
      <c r="CE8" s="2146">
        <v>0</v>
      </c>
      <c r="CF8" s="2146">
        <v>0</v>
      </c>
      <c r="CG8" s="2146">
        <v>0</v>
      </c>
      <c r="CH8">
        <v>0</v>
      </c>
      <c r="CJ8" t="s">
        <v>5413</v>
      </c>
    </row>
    <row r="9" spans="1:88">
      <c r="A9" t="s">
        <v>37</v>
      </c>
      <c r="B9" t="s">
        <v>78</v>
      </c>
      <c r="C9" t="s">
        <v>39</v>
      </c>
      <c r="D9" t="s">
        <v>40</v>
      </c>
      <c r="E9" t="s">
        <v>41</v>
      </c>
      <c r="F9" t="s">
        <v>72</v>
      </c>
      <c r="G9" t="s">
        <v>79</v>
      </c>
      <c r="H9" t="s">
        <v>80</v>
      </c>
      <c r="I9" t="s">
        <v>3194</v>
      </c>
      <c r="J9" t="s">
        <v>5408</v>
      </c>
      <c r="K9" t="s">
        <v>45</v>
      </c>
      <c r="N9" t="s">
        <v>24</v>
      </c>
      <c r="O9" t="s">
        <v>48</v>
      </c>
      <c r="P9" t="s">
        <v>81</v>
      </c>
      <c r="Q9" s="534">
        <v>2</v>
      </c>
      <c r="R9" t="s">
        <v>3263</v>
      </c>
      <c r="S9">
        <v>0.66</v>
      </c>
      <c r="T9">
        <v>0.66</v>
      </c>
      <c r="U9">
        <v>0.66</v>
      </c>
      <c r="V9">
        <v>0.66</v>
      </c>
      <c r="W9">
        <v>0.66</v>
      </c>
      <c r="X9">
        <v>0.66</v>
      </c>
      <c r="Z9" t="s">
        <v>50</v>
      </c>
      <c r="AE9" t="s">
        <v>50</v>
      </c>
      <c r="AH9">
        <v>0</v>
      </c>
      <c r="AI9" t="s">
        <v>50</v>
      </c>
      <c r="AJ9" t="s">
        <v>50</v>
      </c>
      <c r="AK9" t="s">
        <v>50</v>
      </c>
      <c r="AL9" t="s">
        <v>50</v>
      </c>
      <c r="AM9" t="s">
        <v>50</v>
      </c>
      <c r="AN9">
        <v>1.3</v>
      </c>
      <c r="AO9">
        <v>1.3</v>
      </c>
      <c r="AP9">
        <v>1.3</v>
      </c>
      <c r="AQ9">
        <v>1.3</v>
      </c>
      <c r="AR9">
        <v>1.3</v>
      </c>
      <c r="AS9">
        <v>0.66</v>
      </c>
      <c r="AT9">
        <v>0.66</v>
      </c>
      <c r="AU9">
        <v>0.66</v>
      </c>
      <c r="AV9">
        <v>0.66</v>
      </c>
      <c r="AW9">
        <v>0.66</v>
      </c>
      <c r="BH9">
        <v>0.438</v>
      </c>
      <c r="BN9">
        <v>1</v>
      </c>
      <c r="BO9" t="s">
        <v>51</v>
      </c>
      <c r="BP9" s="534">
        <v>0.34</v>
      </c>
      <c r="BQ9" s="724">
        <v>0.31</v>
      </c>
      <c r="BR9" t="s">
        <v>50</v>
      </c>
      <c r="BS9" t="s">
        <v>52</v>
      </c>
      <c r="BT9">
        <v>0</v>
      </c>
      <c r="BU9" t="s">
        <v>52</v>
      </c>
      <c r="BV9">
        <v>0</v>
      </c>
      <c r="BW9">
        <v>0.28000000000000003</v>
      </c>
      <c r="BX9" t="s">
        <v>50</v>
      </c>
      <c r="BY9">
        <v>0</v>
      </c>
      <c r="BZ9">
        <v>0</v>
      </c>
      <c r="CA9">
        <v>0</v>
      </c>
      <c r="CB9">
        <v>0</v>
      </c>
      <c r="CC9" s="2146">
        <v>0.27</v>
      </c>
      <c r="CD9" s="2146" t="s">
        <v>50</v>
      </c>
      <c r="CE9" s="2146">
        <v>0</v>
      </c>
      <c r="CF9" s="2146">
        <v>0</v>
      </c>
      <c r="CG9" s="2146">
        <v>0</v>
      </c>
      <c r="CH9">
        <v>0</v>
      </c>
      <c r="CJ9" t="s">
        <v>5414</v>
      </c>
    </row>
    <row r="10" spans="1:88">
      <c r="A10" t="s">
        <v>37</v>
      </c>
      <c r="B10" t="s">
        <v>82</v>
      </c>
      <c r="C10" t="s">
        <v>39</v>
      </c>
      <c r="D10" t="s">
        <v>40</v>
      </c>
      <c r="E10" t="s">
        <v>41</v>
      </c>
      <c r="F10" t="s">
        <v>83</v>
      </c>
      <c r="G10" t="s">
        <v>84</v>
      </c>
      <c r="H10" t="s">
        <v>85</v>
      </c>
      <c r="I10" t="s">
        <v>3195</v>
      </c>
      <c r="J10" t="s">
        <v>5406</v>
      </c>
      <c r="K10" t="s">
        <v>45</v>
      </c>
      <c r="N10" t="s">
        <v>86</v>
      </c>
      <c r="O10" t="s">
        <v>48</v>
      </c>
      <c r="P10" t="s">
        <v>87</v>
      </c>
      <c r="Q10" s="534">
        <v>0</v>
      </c>
      <c r="R10" t="s">
        <v>3263</v>
      </c>
      <c r="S10">
        <v>320</v>
      </c>
      <c r="T10">
        <v>320</v>
      </c>
      <c r="U10">
        <v>320</v>
      </c>
      <c r="V10">
        <v>320</v>
      </c>
      <c r="W10">
        <v>320</v>
      </c>
      <c r="X10">
        <v>320</v>
      </c>
      <c r="AE10" t="s">
        <v>50</v>
      </c>
      <c r="AH10">
        <v>0</v>
      </c>
      <c r="AI10" t="s">
        <v>50</v>
      </c>
      <c r="AJ10" t="s">
        <v>50</v>
      </c>
      <c r="AK10" t="s">
        <v>50</v>
      </c>
      <c r="AL10" t="s">
        <v>50</v>
      </c>
      <c r="AM10" t="s">
        <v>50</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51</v>
      </c>
      <c r="BP10" s="534">
        <v>1687</v>
      </c>
      <c r="BQ10" s="724">
        <v>1771</v>
      </c>
      <c r="BR10" t="s">
        <v>46</v>
      </c>
      <c r="BS10" t="s">
        <v>52</v>
      </c>
      <c r="BT10">
        <v>0</v>
      </c>
      <c r="BU10" t="s">
        <v>5415</v>
      </c>
      <c r="BV10">
        <v>-1.6375500000000001</v>
      </c>
      <c r="BW10">
        <v>1840</v>
      </c>
      <c r="BX10" t="s">
        <v>46</v>
      </c>
      <c r="BY10">
        <v>0</v>
      </c>
      <c r="BZ10">
        <v>0</v>
      </c>
      <c r="CA10" t="s">
        <v>5415</v>
      </c>
      <c r="CB10">
        <v>-1.6375999999999999</v>
      </c>
      <c r="CC10" s="2146">
        <v>7890</v>
      </c>
      <c r="CD10" s="2146" t="s">
        <v>46</v>
      </c>
      <c r="CE10" s="2146">
        <v>0</v>
      </c>
      <c r="CF10" s="2146">
        <v>0</v>
      </c>
      <c r="CG10" s="2146" t="s">
        <v>13444</v>
      </c>
      <c r="CH10">
        <v>-1.6375999999999999</v>
      </c>
      <c r="CJ10" t="s">
        <v>5416</v>
      </c>
    </row>
    <row r="11" spans="1:88">
      <c r="A11" t="s">
        <v>37</v>
      </c>
      <c r="B11" t="s">
        <v>88</v>
      </c>
      <c r="C11" t="s">
        <v>39</v>
      </c>
      <c r="D11" t="s">
        <v>40</v>
      </c>
      <c r="E11" t="s">
        <v>41</v>
      </c>
      <c r="F11" t="s">
        <v>83</v>
      </c>
      <c r="G11" t="s">
        <v>89</v>
      </c>
      <c r="H11" t="s">
        <v>90</v>
      </c>
      <c r="I11" t="s">
        <v>3196</v>
      </c>
      <c r="J11" t="s">
        <v>5408</v>
      </c>
      <c r="K11" t="s">
        <v>45</v>
      </c>
      <c r="N11" t="s">
        <v>91</v>
      </c>
      <c r="O11" t="s">
        <v>48</v>
      </c>
      <c r="P11" t="s">
        <v>92</v>
      </c>
      <c r="Q11" s="534">
        <v>0</v>
      </c>
      <c r="R11" t="s">
        <v>3263</v>
      </c>
      <c r="S11">
        <v>3100</v>
      </c>
      <c r="T11">
        <v>3100</v>
      </c>
      <c r="U11">
        <v>3100</v>
      </c>
      <c r="V11">
        <v>3100</v>
      </c>
      <c r="W11">
        <v>3100</v>
      </c>
      <c r="X11">
        <v>3100</v>
      </c>
      <c r="AE11" t="s">
        <v>50</v>
      </c>
      <c r="AH11">
        <v>0</v>
      </c>
      <c r="AI11" t="s">
        <v>50</v>
      </c>
      <c r="AJ11" t="s">
        <v>50</v>
      </c>
      <c r="AK11" t="s">
        <v>50</v>
      </c>
      <c r="AL11" t="s">
        <v>50</v>
      </c>
      <c r="AM11" t="s">
        <v>50</v>
      </c>
      <c r="AN11">
        <v>4350</v>
      </c>
      <c r="AO11">
        <v>4350</v>
      </c>
      <c r="AP11">
        <v>4350</v>
      </c>
      <c r="AQ11">
        <v>4350</v>
      </c>
      <c r="AR11">
        <v>4350</v>
      </c>
      <c r="AS11">
        <v>3500</v>
      </c>
      <c r="AT11">
        <v>3500</v>
      </c>
      <c r="AU11">
        <v>3500</v>
      </c>
      <c r="AV11">
        <v>3500</v>
      </c>
      <c r="AW11">
        <v>3500</v>
      </c>
      <c r="BH11">
        <v>2.6649999999999998E-3</v>
      </c>
      <c r="BN11">
        <v>1</v>
      </c>
      <c r="BO11" t="s">
        <v>51</v>
      </c>
      <c r="BP11" s="534">
        <v>2414</v>
      </c>
      <c r="BQ11" s="725">
        <v>2201</v>
      </c>
      <c r="BR11" t="s">
        <v>50</v>
      </c>
      <c r="BS11" t="s">
        <v>52</v>
      </c>
      <c r="BT11">
        <v>0</v>
      </c>
      <c r="BU11" t="s">
        <v>52</v>
      </c>
      <c r="BV11">
        <v>0</v>
      </c>
      <c r="BW11">
        <v>3077</v>
      </c>
      <c r="BX11" t="s">
        <v>50</v>
      </c>
      <c r="BY11">
        <v>0</v>
      </c>
      <c r="BZ11">
        <v>0</v>
      </c>
      <c r="CA11">
        <v>0</v>
      </c>
      <c r="CB11">
        <v>0</v>
      </c>
      <c r="CC11" s="2146">
        <v>2923</v>
      </c>
      <c r="CD11" s="2146" t="s">
        <v>50</v>
      </c>
      <c r="CE11" s="2146">
        <v>0</v>
      </c>
      <c r="CF11" s="2146">
        <v>0</v>
      </c>
      <c r="CG11" s="2146">
        <v>0</v>
      </c>
      <c r="CH11">
        <v>0</v>
      </c>
      <c r="CJ11" t="s">
        <v>5417</v>
      </c>
    </row>
    <row r="12" spans="1:88">
      <c r="A12" t="s">
        <v>37</v>
      </c>
      <c r="B12" t="s">
        <v>93</v>
      </c>
      <c r="C12" t="s">
        <v>39</v>
      </c>
      <c r="D12" t="s">
        <v>40</v>
      </c>
      <c r="E12" t="s">
        <v>41</v>
      </c>
      <c r="F12" t="s">
        <v>83</v>
      </c>
      <c r="G12" t="s">
        <v>94</v>
      </c>
      <c r="H12" t="s">
        <v>95</v>
      </c>
      <c r="I12" t="s">
        <v>3197</v>
      </c>
      <c r="J12" t="s">
        <v>69</v>
      </c>
      <c r="N12" t="s">
        <v>86</v>
      </c>
      <c r="O12" t="s">
        <v>48</v>
      </c>
      <c r="P12" t="s">
        <v>96</v>
      </c>
      <c r="Q12" s="534">
        <v>0</v>
      </c>
      <c r="R12" t="s">
        <v>3263</v>
      </c>
      <c r="S12">
        <v>110</v>
      </c>
      <c r="T12">
        <v>110</v>
      </c>
      <c r="U12">
        <v>110</v>
      </c>
      <c r="V12">
        <v>110</v>
      </c>
      <c r="W12">
        <v>110</v>
      </c>
      <c r="X12">
        <v>110</v>
      </c>
      <c r="AE12" t="s">
        <v>50</v>
      </c>
      <c r="AH12">
        <v>0</v>
      </c>
      <c r="BP12" s="534">
        <v>378</v>
      </c>
      <c r="BQ12" s="724">
        <v>400</v>
      </c>
      <c r="BR12" t="s">
        <v>46</v>
      </c>
      <c r="BS12" t="s">
        <v>52</v>
      </c>
      <c r="BT12">
        <v>0</v>
      </c>
      <c r="BU12" t="s">
        <v>52</v>
      </c>
      <c r="BV12">
        <v>0</v>
      </c>
      <c r="BW12">
        <v>111</v>
      </c>
      <c r="BX12" t="s">
        <v>46</v>
      </c>
      <c r="BY12">
        <v>0</v>
      </c>
      <c r="BZ12">
        <v>0</v>
      </c>
      <c r="CA12">
        <v>0</v>
      </c>
      <c r="CB12">
        <v>0</v>
      </c>
      <c r="CC12" s="2146">
        <v>282</v>
      </c>
      <c r="CD12" s="2146" t="s">
        <v>46</v>
      </c>
      <c r="CE12" s="2146">
        <v>0</v>
      </c>
      <c r="CF12" s="2146">
        <v>0</v>
      </c>
      <c r="CG12" s="2146">
        <v>0</v>
      </c>
      <c r="CH12">
        <v>0</v>
      </c>
      <c r="CJ12" t="s">
        <v>5418</v>
      </c>
    </row>
    <row r="13" spans="1:88">
      <c r="A13" t="s">
        <v>37</v>
      </c>
      <c r="B13" t="s">
        <v>97</v>
      </c>
      <c r="C13" t="s">
        <v>39</v>
      </c>
      <c r="D13" t="s">
        <v>40</v>
      </c>
      <c r="E13" t="s">
        <v>41</v>
      </c>
      <c r="F13" t="s">
        <v>83</v>
      </c>
      <c r="G13" t="s">
        <v>98</v>
      </c>
      <c r="H13" t="s">
        <v>99</v>
      </c>
      <c r="I13" t="s">
        <v>3198</v>
      </c>
      <c r="J13" t="s">
        <v>69</v>
      </c>
      <c r="N13" t="s">
        <v>86</v>
      </c>
      <c r="O13" t="s">
        <v>48</v>
      </c>
      <c r="P13" t="s">
        <v>96</v>
      </c>
      <c r="Q13" s="534">
        <v>0</v>
      </c>
      <c r="R13" t="s">
        <v>3263</v>
      </c>
      <c r="S13">
        <v>550</v>
      </c>
      <c r="T13">
        <v>550</v>
      </c>
      <c r="U13">
        <v>550</v>
      </c>
      <c r="V13">
        <v>550</v>
      </c>
      <c r="W13">
        <v>550</v>
      </c>
      <c r="X13">
        <v>550</v>
      </c>
      <c r="AE13" t="s">
        <v>50</v>
      </c>
      <c r="AH13">
        <v>0</v>
      </c>
      <c r="BP13" s="534">
        <v>495</v>
      </c>
      <c r="BQ13" s="724">
        <v>266</v>
      </c>
      <c r="BR13" t="s">
        <v>50</v>
      </c>
      <c r="BS13" t="s">
        <v>52</v>
      </c>
      <c r="BT13">
        <v>0</v>
      </c>
      <c r="BU13" t="s">
        <v>52</v>
      </c>
      <c r="BV13">
        <v>0</v>
      </c>
      <c r="BW13">
        <v>436</v>
      </c>
      <c r="BX13" t="s">
        <v>50</v>
      </c>
      <c r="BY13">
        <v>0</v>
      </c>
      <c r="BZ13">
        <v>0</v>
      </c>
      <c r="CA13">
        <v>0</v>
      </c>
      <c r="CB13">
        <v>0</v>
      </c>
      <c r="CC13" s="2146">
        <v>484</v>
      </c>
      <c r="CD13" s="2146" t="s">
        <v>50</v>
      </c>
      <c r="CE13" s="2146">
        <v>0</v>
      </c>
      <c r="CF13" s="2146">
        <v>0</v>
      </c>
      <c r="CG13" s="2146">
        <v>0</v>
      </c>
      <c r="CH13">
        <v>0</v>
      </c>
      <c r="CJ13" t="s">
        <v>5419</v>
      </c>
    </row>
    <row r="14" spans="1:88">
      <c r="A14" t="s">
        <v>37</v>
      </c>
      <c r="B14" t="s">
        <v>100</v>
      </c>
      <c r="C14" t="s">
        <v>39</v>
      </c>
      <c r="D14" t="s">
        <v>101</v>
      </c>
      <c r="E14" t="s">
        <v>102</v>
      </c>
      <c r="F14" t="s">
        <v>103</v>
      </c>
      <c r="G14" t="s">
        <v>104</v>
      </c>
      <c r="H14" t="s">
        <v>105</v>
      </c>
      <c r="I14" t="s">
        <v>3199</v>
      </c>
      <c r="J14" t="s">
        <v>5406</v>
      </c>
      <c r="K14" t="s">
        <v>45</v>
      </c>
      <c r="M14" t="s">
        <v>46</v>
      </c>
      <c r="N14" t="s">
        <v>106</v>
      </c>
      <c r="O14" t="s">
        <v>107</v>
      </c>
      <c r="P14" t="s">
        <v>108</v>
      </c>
      <c r="Q14" s="534">
        <v>2</v>
      </c>
      <c r="R14" t="s">
        <v>3264</v>
      </c>
      <c r="S14" t="s">
        <v>70</v>
      </c>
      <c r="T14" t="s">
        <v>70</v>
      </c>
      <c r="U14" t="s">
        <v>70</v>
      </c>
      <c r="V14" t="s">
        <v>70</v>
      </c>
      <c r="W14" t="s">
        <v>70</v>
      </c>
      <c r="X14" t="s">
        <v>70</v>
      </c>
      <c r="AH14">
        <v>0</v>
      </c>
      <c r="AI14" t="s">
        <v>50</v>
      </c>
      <c r="AJ14" t="s">
        <v>50</v>
      </c>
      <c r="AK14" t="s">
        <v>50</v>
      </c>
      <c r="AL14" t="s">
        <v>50</v>
      </c>
      <c r="AM14" t="s">
        <v>50</v>
      </c>
      <c r="AN14" t="s">
        <v>109</v>
      </c>
      <c r="AO14" t="s">
        <v>109</v>
      </c>
      <c r="AP14" t="s">
        <v>109</v>
      </c>
      <c r="AQ14" t="s">
        <v>109</v>
      </c>
      <c r="AR14" t="s">
        <v>109</v>
      </c>
      <c r="AS14" t="s">
        <v>109</v>
      </c>
      <c r="AT14" t="s">
        <v>109</v>
      </c>
      <c r="AU14" t="s">
        <v>109</v>
      </c>
      <c r="AV14" t="s">
        <v>109</v>
      </c>
      <c r="AW14" t="s">
        <v>109</v>
      </c>
      <c r="AX14" t="s">
        <v>109</v>
      </c>
      <c r="AY14" t="s">
        <v>109</v>
      </c>
      <c r="AZ14" t="s">
        <v>109</v>
      </c>
      <c r="BA14" t="s">
        <v>109</v>
      </c>
      <c r="BB14" t="s">
        <v>109</v>
      </c>
      <c r="BC14" t="s">
        <v>109</v>
      </c>
      <c r="BD14" t="s">
        <v>109</v>
      </c>
      <c r="BE14" t="s">
        <v>109</v>
      </c>
      <c r="BF14" t="s">
        <v>109</v>
      </c>
      <c r="BG14" t="s">
        <v>109</v>
      </c>
      <c r="BH14" t="s">
        <v>109</v>
      </c>
      <c r="BL14" t="s">
        <v>109</v>
      </c>
      <c r="BN14">
        <v>1</v>
      </c>
      <c r="BO14" t="s">
        <v>51</v>
      </c>
      <c r="BP14" s="534" t="s">
        <v>52</v>
      </c>
      <c r="BQ14" s="723">
        <v>76.7</v>
      </c>
      <c r="BR14" t="s">
        <v>52</v>
      </c>
      <c r="BS14" t="s">
        <v>52</v>
      </c>
      <c r="BT14">
        <v>0</v>
      </c>
      <c r="BU14" t="s">
        <v>52</v>
      </c>
      <c r="BV14">
        <v>0</v>
      </c>
      <c r="BW14">
        <v>78.510000000000005</v>
      </c>
      <c r="BX14" t="s">
        <v>2148</v>
      </c>
      <c r="BY14">
        <v>0</v>
      </c>
      <c r="BZ14">
        <v>0</v>
      </c>
      <c r="CA14">
        <v>0</v>
      </c>
      <c r="CB14">
        <v>0</v>
      </c>
      <c r="CC14" s="2146">
        <v>80.909102903993897</v>
      </c>
      <c r="CD14" s="2146" t="s">
        <v>2148</v>
      </c>
      <c r="CE14" s="2146">
        <v>0</v>
      </c>
      <c r="CF14" s="2146">
        <v>0</v>
      </c>
      <c r="CG14" s="2146">
        <v>0</v>
      </c>
      <c r="CH14">
        <v>0</v>
      </c>
      <c r="CJ14" t="s">
        <v>5420</v>
      </c>
    </row>
    <row r="15" spans="1:88">
      <c r="A15" t="s">
        <v>37</v>
      </c>
      <c r="B15" t="s">
        <v>110</v>
      </c>
      <c r="C15" t="s">
        <v>39</v>
      </c>
      <c r="D15" t="s">
        <v>101</v>
      </c>
      <c r="E15" t="s">
        <v>102</v>
      </c>
      <c r="F15" t="s">
        <v>103</v>
      </c>
      <c r="G15" t="s">
        <v>111</v>
      </c>
      <c r="H15" t="s">
        <v>112</v>
      </c>
      <c r="I15" t="s">
        <v>3200</v>
      </c>
      <c r="J15" t="s">
        <v>69</v>
      </c>
      <c r="N15" t="s">
        <v>113</v>
      </c>
      <c r="O15" t="s">
        <v>107</v>
      </c>
      <c r="P15" t="s">
        <v>5421</v>
      </c>
      <c r="Q15" s="534">
        <v>1</v>
      </c>
      <c r="R15" t="s">
        <v>3264</v>
      </c>
      <c r="S15" t="s">
        <v>70</v>
      </c>
      <c r="T15" t="s">
        <v>70</v>
      </c>
      <c r="U15" t="s">
        <v>70</v>
      </c>
      <c r="V15" t="s">
        <v>70</v>
      </c>
      <c r="W15" t="s">
        <v>70</v>
      </c>
      <c r="X15" t="s">
        <v>70</v>
      </c>
      <c r="AH15">
        <v>0</v>
      </c>
      <c r="BP15" s="534" t="s">
        <v>52</v>
      </c>
      <c r="BQ15" s="723" t="s">
        <v>5422</v>
      </c>
      <c r="BR15" t="s">
        <v>52</v>
      </c>
      <c r="BS15" t="s">
        <v>52</v>
      </c>
      <c r="BT15">
        <v>0</v>
      </c>
      <c r="BU15" t="s">
        <v>52</v>
      </c>
      <c r="BV15">
        <v>0</v>
      </c>
      <c r="BW15">
        <v>69.599999999999994</v>
      </c>
      <c r="BX15" t="s">
        <v>2148</v>
      </c>
      <c r="BY15">
        <v>0</v>
      </c>
      <c r="BZ15">
        <v>0</v>
      </c>
      <c r="CA15">
        <v>0</v>
      </c>
      <c r="CB15">
        <v>0</v>
      </c>
      <c r="CC15" s="2146">
        <v>67.7</v>
      </c>
      <c r="CD15" s="2146" t="s">
        <v>2148</v>
      </c>
      <c r="CE15" s="2146">
        <v>0</v>
      </c>
      <c r="CF15" s="2146">
        <v>0</v>
      </c>
      <c r="CG15" s="2146">
        <v>0</v>
      </c>
      <c r="CH15">
        <v>0</v>
      </c>
      <c r="CJ15" t="s">
        <v>5423</v>
      </c>
    </row>
    <row r="16" spans="1:88">
      <c r="A16" t="s">
        <v>114</v>
      </c>
      <c r="B16" t="s">
        <v>115</v>
      </c>
      <c r="C16" t="s">
        <v>116</v>
      </c>
      <c r="D16" t="s">
        <v>40</v>
      </c>
      <c r="E16" t="s">
        <v>41</v>
      </c>
      <c r="F16" t="s">
        <v>117</v>
      </c>
      <c r="G16" t="s">
        <v>54</v>
      </c>
      <c r="H16" t="s">
        <v>118</v>
      </c>
      <c r="I16" t="s">
        <v>5424</v>
      </c>
      <c r="J16" t="s">
        <v>5406</v>
      </c>
      <c r="K16" t="s">
        <v>45</v>
      </c>
      <c r="N16" t="s">
        <v>86</v>
      </c>
      <c r="O16" t="s">
        <v>119</v>
      </c>
      <c r="P16" t="s">
        <v>120</v>
      </c>
      <c r="Q16" s="534">
        <v>2</v>
      </c>
      <c r="R16" t="s">
        <v>3263</v>
      </c>
      <c r="S16">
        <v>19.36</v>
      </c>
      <c r="T16">
        <v>16.899999999999999</v>
      </c>
      <c r="U16">
        <v>14.5</v>
      </c>
      <c r="V16">
        <v>12</v>
      </c>
      <c r="W16">
        <v>12</v>
      </c>
      <c r="X16">
        <v>12</v>
      </c>
      <c r="AA16" t="s">
        <v>50</v>
      </c>
      <c r="AE16" t="s">
        <v>50</v>
      </c>
      <c r="AH16">
        <v>0</v>
      </c>
      <c r="AI16" t="s">
        <v>50</v>
      </c>
      <c r="AJ16" t="s">
        <v>50</v>
      </c>
      <c r="AK16" t="s">
        <v>50</v>
      </c>
      <c r="AL16" t="s">
        <v>50</v>
      </c>
      <c r="AM16" t="s">
        <v>50</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51</v>
      </c>
      <c r="BP16" s="534">
        <v>19.167000000000002</v>
      </c>
      <c r="BQ16" s="726">
        <v>8.1999999999999993</v>
      </c>
      <c r="BR16" t="s">
        <v>50</v>
      </c>
      <c r="BS16" t="s">
        <v>52</v>
      </c>
      <c r="BT16">
        <v>0</v>
      </c>
      <c r="BU16" t="s">
        <v>5425</v>
      </c>
      <c r="BV16">
        <v>5.6719999999999997</v>
      </c>
      <c r="BW16">
        <v>11.72</v>
      </c>
      <c r="BX16" t="s">
        <v>50</v>
      </c>
      <c r="BY16">
        <v>0</v>
      </c>
      <c r="BZ16">
        <v>0</v>
      </c>
      <c r="CA16" t="s">
        <v>5425</v>
      </c>
      <c r="CB16">
        <v>0.79410000000000003</v>
      </c>
      <c r="CC16" s="2146">
        <v>7.4</v>
      </c>
      <c r="CD16" s="2146" t="s">
        <v>50</v>
      </c>
      <c r="CE16" s="2146">
        <v>0</v>
      </c>
      <c r="CF16" s="2146">
        <v>0</v>
      </c>
      <c r="CG16" s="2146" t="s">
        <v>5425</v>
      </c>
      <c r="CH16">
        <v>5.6719999999999997</v>
      </c>
      <c r="CJ16" t="s">
        <v>5426</v>
      </c>
    </row>
    <row r="17" spans="1:88">
      <c r="A17" t="s">
        <v>114</v>
      </c>
      <c r="B17" t="s">
        <v>121</v>
      </c>
      <c r="C17" t="s">
        <v>116</v>
      </c>
      <c r="D17" t="s">
        <v>40</v>
      </c>
      <c r="E17" t="s">
        <v>41</v>
      </c>
      <c r="F17" t="s">
        <v>117</v>
      </c>
      <c r="G17" t="s">
        <v>59</v>
      </c>
      <c r="H17" t="s">
        <v>122</v>
      </c>
      <c r="I17" t="s">
        <v>123</v>
      </c>
      <c r="J17" t="s">
        <v>5406</v>
      </c>
      <c r="K17" t="s">
        <v>45</v>
      </c>
      <c r="M17" t="s">
        <v>46</v>
      </c>
      <c r="N17" t="s">
        <v>124</v>
      </c>
      <c r="O17" t="s">
        <v>48</v>
      </c>
      <c r="P17" t="s">
        <v>87</v>
      </c>
      <c r="Q17" s="534">
        <v>0</v>
      </c>
      <c r="R17" t="s">
        <v>3263</v>
      </c>
      <c r="S17">
        <v>517</v>
      </c>
      <c r="V17">
        <v>361</v>
      </c>
      <c r="X17">
        <v>257</v>
      </c>
      <c r="AE17" t="s">
        <v>50</v>
      </c>
      <c r="AH17">
        <v>0</v>
      </c>
      <c r="AK17" t="s">
        <v>50</v>
      </c>
      <c r="AM17" t="s">
        <v>50</v>
      </c>
      <c r="AP17">
        <v>441</v>
      </c>
      <c r="AR17">
        <v>337</v>
      </c>
      <c r="AU17">
        <v>366</v>
      </c>
      <c r="AW17">
        <v>262</v>
      </c>
      <c r="BB17">
        <v>230</v>
      </c>
      <c r="BG17">
        <v>150</v>
      </c>
      <c r="BH17">
        <v>0.03</v>
      </c>
      <c r="BL17">
        <v>1.4999999999999999E-2</v>
      </c>
      <c r="BN17">
        <v>1</v>
      </c>
      <c r="BO17" t="s">
        <v>51</v>
      </c>
      <c r="BP17" s="534">
        <v>505</v>
      </c>
      <c r="BQ17" s="727">
        <v>462</v>
      </c>
      <c r="BR17" t="s">
        <v>52</v>
      </c>
      <c r="BS17" t="s">
        <v>52</v>
      </c>
      <c r="BT17">
        <v>0</v>
      </c>
      <c r="BU17" t="s">
        <v>52</v>
      </c>
      <c r="BV17">
        <v>0</v>
      </c>
      <c r="BW17">
        <v>460</v>
      </c>
      <c r="BX17" t="s">
        <v>2148</v>
      </c>
      <c r="BY17">
        <v>0</v>
      </c>
      <c r="BZ17">
        <v>0</v>
      </c>
      <c r="CA17">
        <v>0</v>
      </c>
      <c r="CB17">
        <v>0</v>
      </c>
      <c r="CC17" s="2146">
        <v>297</v>
      </c>
      <c r="CD17" s="2146" t="s">
        <v>50</v>
      </c>
      <c r="CE17" s="2146">
        <v>0</v>
      </c>
      <c r="CF17" s="2146">
        <v>0</v>
      </c>
      <c r="CG17" s="2146">
        <v>0</v>
      </c>
      <c r="CH17">
        <v>0</v>
      </c>
      <c r="CJ17" t="s">
        <v>5427</v>
      </c>
    </row>
    <row r="18" spans="1:88">
      <c r="A18" t="s">
        <v>114</v>
      </c>
      <c r="B18" t="s">
        <v>125</v>
      </c>
      <c r="C18" t="s">
        <v>116</v>
      </c>
      <c r="D18" t="s">
        <v>40</v>
      </c>
      <c r="E18" t="s">
        <v>41</v>
      </c>
      <c r="F18" t="s">
        <v>117</v>
      </c>
      <c r="G18" t="s">
        <v>63</v>
      </c>
      <c r="H18" t="s">
        <v>126</v>
      </c>
      <c r="I18" t="s">
        <v>127</v>
      </c>
      <c r="J18" t="s">
        <v>5406</v>
      </c>
      <c r="K18" t="s">
        <v>45</v>
      </c>
      <c r="N18" t="s">
        <v>24</v>
      </c>
      <c r="O18" t="s">
        <v>48</v>
      </c>
      <c r="P18" t="s">
        <v>81</v>
      </c>
      <c r="Q18" s="534">
        <v>2</v>
      </c>
      <c r="R18" t="s">
        <v>3263</v>
      </c>
      <c r="S18">
        <v>1.51</v>
      </c>
      <c r="T18">
        <v>1.42</v>
      </c>
      <c r="U18">
        <v>1.32</v>
      </c>
      <c r="V18">
        <v>1.23</v>
      </c>
      <c r="W18">
        <v>1.23</v>
      </c>
      <c r="X18">
        <v>1.23</v>
      </c>
      <c r="Z18" t="s">
        <v>50</v>
      </c>
      <c r="AE18" t="s">
        <v>50</v>
      </c>
      <c r="AH18">
        <v>0</v>
      </c>
      <c r="AI18" t="s">
        <v>50</v>
      </c>
      <c r="AJ18" t="s">
        <v>50</v>
      </c>
      <c r="AK18" t="s">
        <v>50</v>
      </c>
      <c r="AL18" t="s">
        <v>50</v>
      </c>
      <c r="AM18" t="s">
        <v>50</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51</v>
      </c>
      <c r="BP18" s="534">
        <v>1.48</v>
      </c>
      <c r="BQ18" s="728">
        <v>1.38</v>
      </c>
      <c r="BR18" t="s">
        <v>50</v>
      </c>
      <c r="BS18" t="s">
        <v>52</v>
      </c>
      <c r="BT18">
        <v>0</v>
      </c>
      <c r="BU18" t="s">
        <v>5379</v>
      </c>
      <c r="BV18">
        <v>0</v>
      </c>
      <c r="BW18">
        <v>1.38</v>
      </c>
      <c r="BX18" t="s">
        <v>46</v>
      </c>
      <c r="BY18">
        <v>0</v>
      </c>
      <c r="BZ18">
        <v>0</v>
      </c>
      <c r="CA18" t="s">
        <v>5378</v>
      </c>
      <c r="CB18">
        <v>0</v>
      </c>
      <c r="CC18" s="2146">
        <v>1.23</v>
      </c>
      <c r="CD18" s="2146" t="s">
        <v>50</v>
      </c>
      <c r="CE18" s="2146">
        <v>0</v>
      </c>
      <c r="CF18" s="2146">
        <v>0</v>
      </c>
      <c r="CG18" s="2146">
        <v>0</v>
      </c>
      <c r="CH18">
        <v>0</v>
      </c>
      <c r="CJ18" t="s">
        <v>5428</v>
      </c>
    </row>
    <row r="19" spans="1:88">
      <c r="A19" t="s">
        <v>114</v>
      </c>
      <c r="B19" t="s">
        <v>128</v>
      </c>
      <c r="C19" t="s">
        <v>116</v>
      </c>
      <c r="D19" t="s">
        <v>40</v>
      </c>
      <c r="E19" t="s">
        <v>41</v>
      </c>
      <c r="F19" t="s">
        <v>129</v>
      </c>
      <c r="G19" t="s">
        <v>73</v>
      </c>
      <c r="H19" t="s">
        <v>130</v>
      </c>
      <c r="I19" t="s">
        <v>131</v>
      </c>
      <c r="J19" t="s">
        <v>5406</v>
      </c>
      <c r="K19" t="s">
        <v>45</v>
      </c>
      <c r="N19" t="s">
        <v>113</v>
      </c>
      <c r="O19" t="s">
        <v>76</v>
      </c>
      <c r="P19" t="s">
        <v>132</v>
      </c>
      <c r="Q19" s="534">
        <v>0</v>
      </c>
      <c r="R19" t="s">
        <v>3264</v>
      </c>
      <c r="S19">
        <v>0</v>
      </c>
      <c r="T19">
        <v>0</v>
      </c>
      <c r="U19">
        <v>0</v>
      </c>
      <c r="V19">
        <v>0</v>
      </c>
      <c r="W19">
        <v>0</v>
      </c>
      <c r="X19">
        <v>0</v>
      </c>
      <c r="AH19">
        <v>0</v>
      </c>
      <c r="AI19" t="s">
        <v>50</v>
      </c>
      <c r="AJ19" t="s">
        <v>50</v>
      </c>
      <c r="AK19" t="s">
        <v>50</v>
      </c>
      <c r="AL19" t="s">
        <v>50</v>
      </c>
      <c r="AM19" t="s">
        <v>50</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51</v>
      </c>
      <c r="BP19" s="534">
        <v>1</v>
      </c>
      <c r="BQ19" s="727">
        <v>3</v>
      </c>
      <c r="BR19" t="s">
        <v>50</v>
      </c>
      <c r="BS19" t="s">
        <v>52</v>
      </c>
      <c r="BT19">
        <v>0</v>
      </c>
      <c r="BU19" t="s">
        <v>5425</v>
      </c>
      <c r="BV19">
        <v>7.4999999999999997E-2</v>
      </c>
      <c r="BW19">
        <v>0</v>
      </c>
      <c r="BX19" t="s">
        <v>50</v>
      </c>
      <c r="BY19">
        <v>0</v>
      </c>
      <c r="BZ19">
        <v>0</v>
      </c>
      <c r="CA19">
        <v>0</v>
      </c>
      <c r="CB19">
        <v>0</v>
      </c>
      <c r="CC19" s="2146">
        <v>8</v>
      </c>
      <c r="CD19" s="2146" t="s">
        <v>50</v>
      </c>
      <c r="CE19" s="2146">
        <v>0</v>
      </c>
      <c r="CF19" s="2146">
        <v>0</v>
      </c>
      <c r="CG19" s="2146" t="s">
        <v>5425</v>
      </c>
      <c r="CH19">
        <v>0.2</v>
      </c>
      <c r="CJ19" t="s">
        <v>5429</v>
      </c>
    </row>
    <row r="20" spans="1:88">
      <c r="A20" t="s">
        <v>114</v>
      </c>
      <c r="B20" t="s">
        <v>133</v>
      </c>
      <c r="C20" t="s">
        <v>116</v>
      </c>
      <c r="D20" t="s">
        <v>40</v>
      </c>
      <c r="E20" t="s">
        <v>41</v>
      </c>
      <c r="F20" t="s">
        <v>134</v>
      </c>
      <c r="G20" t="s">
        <v>84</v>
      </c>
      <c r="H20" t="s">
        <v>135</v>
      </c>
      <c r="I20" t="s">
        <v>136</v>
      </c>
      <c r="J20" t="s">
        <v>5408</v>
      </c>
      <c r="K20" t="s">
        <v>45</v>
      </c>
      <c r="N20" t="s">
        <v>137</v>
      </c>
      <c r="O20" t="s">
        <v>76</v>
      </c>
      <c r="P20" t="s">
        <v>138</v>
      </c>
      <c r="Q20" s="534">
        <v>1</v>
      </c>
      <c r="R20" t="s">
        <v>3263</v>
      </c>
      <c r="S20">
        <v>27.5</v>
      </c>
      <c r="X20">
        <v>24.7</v>
      </c>
      <c r="AE20" t="s">
        <v>50</v>
      </c>
      <c r="AH20">
        <v>0</v>
      </c>
      <c r="AM20" t="s">
        <v>50</v>
      </c>
      <c r="AR20">
        <v>27.5</v>
      </c>
      <c r="AW20">
        <v>24.7</v>
      </c>
      <c r="BH20">
        <v>8.6999999999999994E-2</v>
      </c>
      <c r="BN20">
        <v>5</v>
      </c>
      <c r="BO20" t="s">
        <v>139</v>
      </c>
      <c r="BP20" s="534">
        <v>46.9</v>
      </c>
      <c r="BQ20" s="729">
        <v>46.3</v>
      </c>
      <c r="BR20" t="s">
        <v>52</v>
      </c>
      <c r="BS20" t="s">
        <v>52</v>
      </c>
      <c r="BT20">
        <v>0</v>
      </c>
      <c r="BU20" t="s">
        <v>52</v>
      </c>
      <c r="BV20">
        <v>0</v>
      </c>
      <c r="BW20">
        <v>46.3</v>
      </c>
      <c r="BX20" t="s">
        <v>2148</v>
      </c>
      <c r="BY20">
        <v>0</v>
      </c>
      <c r="BZ20">
        <v>0</v>
      </c>
      <c r="CA20">
        <v>0</v>
      </c>
      <c r="CB20">
        <v>0</v>
      </c>
      <c r="CC20" s="2146">
        <v>45.3</v>
      </c>
      <c r="CD20" s="2146" t="s">
        <v>2148</v>
      </c>
      <c r="CE20" s="2146">
        <v>0</v>
      </c>
      <c r="CF20" s="2146">
        <v>0</v>
      </c>
      <c r="CG20" s="2146">
        <v>0</v>
      </c>
      <c r="CH20">
        <v>0</v>
      </c>
      <c r="CJ20" t="s">
        <v>5430</v>
      </c>
    </row>
    <row r="21" spans="1:88">
      <c r="A21" t="s">
        <v>114</v>
      </c>
      <c r="B21" t="s">
        <v>140</v>
      </c>
      <c r="C21" t="s">
        <v>116</v>
      </c>
      <c r="D21" t="s">
        <v>40</v>
      </c>
      <c r="E21" t="s">
        <v>41</v>
      </c>
      <c r="F21" t="s">
        <v>134</v>
      </c>
      <c r="G21" t="s">
        <v>89</v>
      </c>
      <c r="H21" t="s">
        <v>141</v>
      </c>
      <c r="I21" t="s">
        <v>142</v>
      </c>
      <c r="J21" t="s">
        <v>69</v>
      </c>
      <c r="N21" t="s">
        <v>143</v>
      </c>
      <c r="O21" t="s">
        <v>48</v>
      </c>
      <c r="P21" t="s">
        <v>144</v>
      </c>
      <c r="Q21" s="534">
        <v>0</v>
      </c>
      <c r="R21" t="s">
        <v>3263</v>
      </c>
      <c r="S21">
        <v>1</v>
      </c>
      <c r="X21">
        <v>1</v>
      </c>
      <c r="AH21">
        <v>0</v>
      </c>
      <c r="BP21" s="534">
        <v>1</v>
      </c>
      <c r="BQ21" s="727">
        <v>1</v>
      </c>
      <c r="BR21" t="s">
        <v>52</v>
      </c>
      <c r="BS21" t="s">
        <v>52</v>
      </c>
      <c r="BT21">
        <v>0</v>
      </c>
      <c r="BU21" t="s">
        <v>52</v>
      </c>
      <c r="BV21">
        <v>0</v>
      </c>
      <c r="BW21">
        <v>1</v>
      </c>
      <c r="BX21" t="s">
        <v>2148</v>
      </c>
      <c r="BY21">
        <v>0</v>
      </c>
      <c r="BZ21">
        <v>0</v>
      </c>
      <c r="CA21">
        <v>0</v>
      </c>
      <c r="CB21">
        <v>0</v>
      </c>
      <c r="CC21" s="2146">
        <v>1</v>
      </c>
      <c r="CD21" s="2146" t="s">
        <v>2148</v>
      </c>
      <c r="CE21" s="2146">
        <v>0</v>
      </c>
      <c r="CF21" s="2146">
        <v>0</v>
      </c>
      <c r="CG21" s="2146">
        <v>0</v>
      </c>
      <c r="CH21">
        <v>0</v>
      </c>
      <c r="CJ21" t="s">
        <v>5431</v>
      </c>
    </row>
    <row r="22" spans="1:88">
      <c r="A22" t="s">
        <v>114</v>
      </c>
      <c r="B22" t="s">
        <v>145</v>
      </c>
      <c r="C22" t="s">
        <v>116</v>
      </c>
      <c r="D22" t="s">
        <v>40</v>
      </c>
      <c r="E22" t="s">
        <v>41</v>
      </c>
      <c r="F22" t="s">
        <v>146</v>
      </c>
      <c r="G22" t="s">
        <v>147</v>
      </c>
      <c r="H22" t="s">
        <v>148</v>
      </c>
      <c r="I22" t="s">
        <v>149</v>
      </c>
      <c r="J22" t="s">
        <v>69</v>
      </c>
      <c r="N22" t="s">
        <v>61</v>
      </c>
      <c r="O22" t="s">
        <v>107</v>
      </c>
      <c r="P22" t="s">
        <v>150</v>
      </c>
      <c r="Q22" s="534">
        <v>0</v>
      </c>
      <c r="R22" t="s">
        <v>3264</v>
      </c>
      <c r="S22">
        <v>100</v>
      </c>
      <c r="X22">
        <v>100</v>
      </c>
      <c r="AH22">
        <v>0</v>
      </c>
      <c r="BP22" s="534">
        <v>100</v>
      </c>
      <c r="BQ22" s="727">
        <v>100</v>
      </c>
      <c r="BR22" t="s">
        <v>52</v>
      </c>
      <c r="BS22" t="s">
        <v>52</v>
      </c>
      <c r="BT22">
        <v>0</v>
      </c>
      <c r="BU22" t="s">
        <v>52</v>
      </c>
      <c r="BV22">
        <v>0</v>
      </c>
      <c r="BW22">
        <v>100</v>
      </c>
      <c r="BX22" t="s">
        <v>2148</v>
      </c>
      <c r="BY22">
        <v>0</v>
      </c>
      <c r="BZ22">
        <v>0</v>
      </c>
      <c r="CA22">
        <v>0</v>
      </c>
      <c r="CB22">
        <v>0</v>
      </c>
      <c r="CC22" s="2146">
        <v>100</v>
      </c>
      <c r="CD22" s="2146" t="s">
        <v>2148</v>
      </c>
      <c r="CE22" s="2146">
        <v>0</v>
      </c>
      <c r="CF22" s="2146">
        <v>0</v>
      </c>
      <c r="CG22" s="2146">
        <v>0</v>
      </c>
      <c r="CH22">
        <v>0</v>
      </c>
      <c r="CJ22" t="s">
        <v>5432</v>
      </c>
    </row>
    <row r="23" spans="1:88">
      <c r="A23" t="s">
        <v>114</v>
      </c>
      <c r="B23" t="s">
        <v>151</v>
      </c>
      <c r="C23" t="s">
        <v>116</v>
      </c>
      <c r="D23" t="s">
        <v>40</v>
      </c>
      <c r="E23" t="s">
        <v>41</v>
      </c>
      <c r="F23" t="s">
        <v>146</v>
      </c>
      <c r="G23" t="s">
        <v>152</v>
      </c>
      <c r="H23" t="s">
        <v>153</v>
      </c>
      <c r="I23" t="s">
        <v>154</v>
      </c>
      <c r="J23" t="s">
        <v>69</v>
      </c>
      <c r="N23" t="s">
        <v>61</v>
      </c>
      <c r="O23" t="s">
        <v>107</v>
      </c>
      <c r="P23" t="s">
        <v>150</v>
      </c>
      <c r="Q23" s="534">
        <v>0</v>
      </c>
      <c r="R23" t="s">
        <v>3264</v>
      </c>
      <c r="S23">
        <v>100</v>
      </c>
      <c r="X23">
        <v>100</v>
      </c>
      <c r="AH23">
        <v>0</v>
      </c>
      <c r="BP23" s="534">
        <v>100</v>
      </c>
      <c r="BQ23" s="727">
        <v>100</v>
      </c>
      <c r="BR23" t="s">
        <v>52</v>
      </c>
      <c r="BS23" t="s">
        <v>52</v>
      </c>
      <c r="BT23">
        <v>0</v>
      </c>
      <c r="BU23" t="s">
        <v>52</v>
      </c>
      <c r="BV23">
        <v>0</v>
      </c>
      <c r="BW23">
        <v>100</v>
      </c>
      <c r="BX23" t="s">
        <v>2148</v>
      </c>
      <c r="BY23">
        <v>0</v>
      </c>
      <c r="BZ23">
        <v>0</v>
      </c>
      <c r="CA23">
        <v>0</v>
      </c>
      <c r="CB23">
        <v>0</v>
      </c>
      <c r="CC23" s="2146">
        <v>100</v>
      </c>
      <c r="CD23" s="2146" t="s">
        <v>2148</v>
      </c>
      <c r="CE23" s="2146">
        <v>0</v>
      </c>
      <c r="CF23" s="2146">
        <v>0</v>
      </c>
      <c r="CG23" s="2146">
        <v>0</v>
      </c>
      <c r="CH23">
        <v>0</v>
      </c>
      <c r="CJ23" t="s">
        <v>5433</v>
      </c>
    </row>
    <row r="24" spans="1:88">
      <c r="A24" t="s">
        <v>114</v>
      </c>
      <c r="B24" t="s">
        <v>155</v>
      </c>
      <c r="C24" t="s">
        <v>116</v>
      </c>
      <c r="D24" t="s">
        <v>40</v>
      </c>
      <c r="E24" t="s">
        <v>41</v>
      </c>
      <c r="F24" t="s">
        <v>146</v>
      </c>
      <c r="G24" t="s">
        <v>156</v>
      </c>
      <c r="H24" t="s">
        <v>157</v>
      </c>
      <c r="I24" t="s">
        <v>158</v>
      </c>
      <c r="J24" t="s">
        <v>5408</v>
      </c>
      <c r="K24" t="s">
        <v>45</v>
      </c>
      <c r="N24" t="s">
        <v>56</v>
      </c>
      <c r="O24" t="s">
        <v>48</v>
      </c>
      <c r="P24" t="s">
        <v>159</v>
      </c>
      <c r="Q24" s="534">
        <v>0</v>
      </c>
      <c r="R24" t="s">
        <v>3264</v>
      </c>
      <c r="S24">
        <v>0</v>
      </c>
      <c r="X24">
        <v>7</v>
      </c>
      <c r="AH24">
        <v>0</v>
      </c>
      <c r="AM24" t="s">
        <v>50</v>
      </c>
      <c r="AR24">
        <v>0</v>
      </c>
      <c r="AW24">
        <v>7</v>
      </c>
      <c r="BH24">
        <v>0.222</v>
      </c>
      <c r="BN24">
        <v>5</v>
      </c>
      <c r="BO24" t="s">
        <v>139</v>
      </c>
      <c r="BP24" s="534">
        <v>0</v>
      </c>
      <c r="BQ24" s="727">
        <v>-2</v>
      </c>
      <c r="BR24" t="s">
        <v>52</v>
      </c>
      <c r="BS24" t="s">
        <v>52</v>
      </c>
      <c r="BT24">
        <v>0</v>
      </c>
      <c r="BU24" t="s">
        <v>52</v>
      </c>
      <c r="BV24">
        <v>0</v>
      </c>
      <c r="BW24">
        <v>-2</v>
      </c>
      <c r="BX24" t="s">
        <v>2148</v>
      </c>
      <c r="BY24">
        <v>0</v>
      </c>
      <c r="BZ24">
        <v>0</v>
      </c>
      <c r="CA24">
        <v>0</v>
      </c>
      <c r="CB24">
        <v>0</v>
      </c>
      <c r="CC24" s="2146">
        <v>-4</v>
      </c>
      <c r="CD24" s="2146" t="s">
        <v>2148</v>
      </c>
      <c r="CE24" s="2146">
        <v>0</v>
      </c>
      <c r="CF24" s="2146">
        <v>0</v>
      </c>
      <c r="CG24" s="2146">
        <v>0</v>
      </c>
      <c r="CH24">
        <v>0</v>
      </c>
      <c r="CJ24" t="s">
        <v>5434</v>
      </c>
    </row>
    <row r="25" spans="1:88">
      <c r="A25" t="s">
        <v>114</v>
      </c>
      <c r="B25" t="s">
        <v>160</v>
      </c>
      <c r="C25" t="s">
        <v>116</v>
      </c>
      <c r="D25" t="s">
        <v>40</v>
      </c>
      <c r="E25" t="s">
        <v>41</v>
      </c>
      <c r="F25" t="s">
        <v>146</v>
      </c>
      <c r="G25" t="s">
        <v>161</v>
      </c>
      <c r="H25" t="s">
        <v>162</v>
      </c>
      <c r="I25" t="s">
        <v>163</v>
      </c>
      <c r="J25" t="s">
        <v>5406</v>
      </c>
      <c r="K25" t="s">
        <v>45</v>
      </c>
      <c r="L25" t="s">
        <v>50</v>
      </c>
      <c r="M25" t="s">
        <v>46</v>
      </c>
      <c r="N25" t="s">
        <v>47</v>
      </c>
      <c r="O25" t="s">
        <v>48</v>
      </c>
      <c r="P25" t="s">
        <v>49</v>
      </c>
      <c r="Q25" s="534">
        <v>0</v>
      </c>
      <c r="R25" t="s">
        <v>3263</v>
      </c>
      <c r="S25">
        <v>192</v>
      </c>
      <c r="T25">
        <v>192</v>
      </c>
      <c r="U25">
        <v>192</v>
      </c>
      <c r="V25">
        <v>192</v>
      </c>
      <c r="W25">
        <v>192</v>
      </c>
      <c r="X25">
        <v>192</v>
      </c>
      <c r="AE25" t="s">
        <v>50</v>
      </c>
      <c r="AH25">
        <v>0</v>
      </c>
      <c r="AI25" t="s">
        <v>50</v>
      </c>
      <c r="AJ25" t="s">
        <v>50</v>
      </c>
      <c r="AK25" t="s">
        <v>50</v>
      </c>
      <c r="AL25" t="s">
        <v>50</v>
      </c>
      <c r="AM25" t="s">
        <v>50</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51</v>
      </c>
      <c r="BP25" s="534">
        <v>191</v>
      </c>
      <c r="BQ25" s="727">
        <v>189</v>
      </c>
      <c r="BR25" t="s">
        <v>50</v>
      </c>
      <c r="BS25" t="s">
        <v>5425</v>
      </c>
      <c r="BT25">
        <v>0.51500000000000001</v>
      </c>
      <c r="BU25" t="s">
        <v>52</v>
      </c>
      <c r="BV25">
        <v>0</v>
      </c>
      <c r="BW25">
        <v>186</v>
      </c>
      <c r="BX25" t="s">
        <v>50</v>
      </c>
      <c r="BY25" t="s">
        <v>5425</v>
      </c>
      <c r="BZ25">
        <v>2.5750000000000002</v>
      </c>
      <c r="CA25">
        <v>0</v>
      </c>
      <c r="CB25">
        <v>0</v>
      </c>
      <c r="CC25" s="2146">
        <v>183.3</v>
      </c>
      <c r="CD25" s="2146" t="s">
        <v>50</v>
      </c>
      <c r="CE25" s="2146" t="s">
        <v>5425</v>
      </c>
      <c r="CF25" s="2146">
        <v>4.6349999999999998</v>
      </c>
      <c r="CG25" s="2146">
        <v>0</v>
      </c>
      <c r="CH25">
        <v>0</v>
      </c>
      <c r="CJ25" t="s">
        <v>5435</v>
      </c>
    </row>
    <row r="26" spans="1:88">
      <c r="A26" t="s">
        <v>114</v>
      </c>
      <c r="B26" t="s">
        <v>164</v>
      </c>
      <c r="C26" t="s">
        <v>116</v>
      </c>
      <c r="D26" t="s">
        <v>40</v>
      </c>
      <c r="E26" t="s">
        <v>41</v>
      </c>
      <c r="F26" t="s">
        <v>165</v>
      </c>
      <c r="G26" t="s">
        <v>166</v>
      </c>
      <c r="H26" t="s">
        <v>167</v>
      </c>
      <c r="I26" t="s">
        <v>168</v>
      </c>
      <c r="J26" t="s">
        <v>69</v>
      </c>
      <c r="N26" t="s">
        <v>169</v>
      </c>
      <c r="O26" t="s">
        <v>76</v>
      </c>
      <c r="P26" t="s">
        <v>170</v>
      </c>
      <c r="Q26" s="534">
        <v>0</v>
      </c>
      <c r="R26" t="s">
        <v>3264</v>
      </c>
      <c r="S26">
        <v>49</v>
      </c>
      <c r="X26">
        <v>50</v>
      </c>
      <c r="AF26" t="s">
        <v>50</v>
      </c>
      <c r="AH26">
        <v>0</v>
      </c>
      <c r="BP26" s="534">
        <v>49</v>
      </c>
      <c r="BQ26" s="727">
        <v>98.85</v>
      </c>
      <c r="BR26" t="s">
        <v>52</v>
      </c>
      <c r="BS26" t="s">
        <v>52</v>
      </c>
      <c r="BT26">
        <v>0</v>
      </c>
      <c r="BU26" t="s">
        <v>52</v>
      </c>
      <c r="BV26">
        <v>0</v>
      </c>
      <c r="BW26">
        <v>98.83</v>
      </c>
      <c r="BX26" t="s">
        <v>2148</v>
      </c>
      <c r="BY26">
        <v>0</v>
      </c>
      <c r="BZ26">
        <v>0</v>
      </c>
      <c r="CA26">
        <v>0</v>
      </c>
      <c r="CB26">
        <v>0</v>
      </c>
      <c r="CC26" s="2146">
        <v>98.832999999999998</v>
      </c>
      <c r="CD26" s="2146" t="s">
        <v>2148</v>
      </c>
      <c r="CE26" s="2146">
        <v>0</v>
      </c>
      <c r="CF26" s="2146">
        <v>0</v>
      </c>
      <c r="CG26" s="2146">
        <v>0</v>
      </c>
      <c r="CH26">
        <v>0</v>
      </c>
      <c r="CJ26" t="s">
        <v>5436</v>
      </c>
    </row>
    <row r="27" spans="1:88">
      <c r="A27" t="s">
        <v>114</v>
      </c>
      <c r="B27" t="s">
        <v>171</v>
      </c>
      <c r="C27" t="s">
        <v>116</v>
      </c>
      <c r="D27" t="s">
        <v>40</v>
      </c>
      <c r="E27" t="s">
        <v>41</v>
      </c>
      <c r="F27" t="s">
        <v>165</v>
      </c>
      <c r="G27" t="s">
        <v>172</v>
      </c>
      <c r="H27" t="s">
        <v>173</v>
      </c>
      <c r="I27" t="s">
        <v>174</v>
      </c>
      <c r="J27" t="s">
        <v>5408</v>
      </c>
      <c r="K27" t="s">
        <v>45</v>
      </c>
      <c r="N27" t="s">
        <v>175</v>
      </c>
      <c r="O27" t="s">
        <v>48</v>
      </c>
      <c r="P27" t="s">
        <v>176</v>
      </c>
      <c r="Q27" s="534">
        <v>0</v>
      </c>
      <c r="R27" t="s">
        <v>3264</v>
      </c>
      <c r="S27">
        <v>0</v>
      </c>
      <c r="X27">
        <v>16</v>
      </c>
      <c r="AF27" t="s">
        <v>50</v>
      </c>
      <c r="AH27">
        <v>0</v>
      </c>
      <c r="AM27" t="s">
        <v>50</v>
      </c>
      <c r="AR27">
        <v>0</v>
      </c>
      <c r="AW27">
        <v>16</v>
      </c>
      <c r="BH27">
        <v>0.156</v>
      </c>
      <c r="BN27">
        <v>5</v>
      </c>
      <c r="BO27" t="s">
        <v>139</v>
      </c>
      <c r="BP27" s="534">
        <v>0</v>
      </c>
      <c r="BQ27" s="727">
        <v>0</v>
      </c>
      <c r="BR27" t="s">
        <v>52</v>
      </c>
      <c r="BS27" t="s">
        <v>52</v>
      </c>
      <c r="BT27">
        <v>0</v>
      </c>
      <c r="BU27" t="s">
        <v>52</v>
      </c>
      <c r="BV27">
        <v>0</v>
      </c>
      <c r="BW27">
        <v>2</v>
      </c>
      <c r="BX27" t="s">
        <v>2148</v>
      </c>
      <c r="BY27">
        <v>0</v>
      </c>
      <c r="BZ27">
        <v>0</v>
      </c>
      <c r="CA27">
        <v>0</v>
      </c>
      <c r="CB27">
        <v>0</v>
      </c>
      <c r="CC27" s="2146">
        <v>4</v>
      </c>
      <c r="CD27" s="2146" t="s">
        <v>2148</v>
      </c>
      <c r="CE27" s="2146">
        <v>0</v>
      </c>
      <c r="CF27" s="2146">
        <v>0</v>
      </c>
      <c r="CG27" s="2146">
        <v>0</v>
      </c>
      <c r="CH27">
        <v>0</v>
      </c>
      <c r="CJ27" t="s">
        <v>5437</v>
      </c>
    </row>
    <row r="28" spans="1:88">
      <c r="A28" t="s">
        <v>114</v>
      </c>
      <c r="B28" t="s">
        <v>177</v>
      </c>
      <c r="C28" t="s">
        <v>116</v>
      </c>
      <c r="D28" t="s">
        <v>40</v>
      </c>
      <c r="E28" t="s">
        <v>41</v>
      </c>
      <c r="F28" t="s">
        <v>178</v>
      </c>
      <c r="G28" t="s">
        <v>179</v>
      </c>
      <c r="H28" t="s">
        <v>180</v>
      </c>
      <c r="I28" t="s">
        <v>181</v>
      </c>
      <c r="J28" t="s">
        <v>69</v>
      </c>
      <c r="N28" t="s">
        <v>182</v>
      </c>
      <c r="O28" t="s">
        <v>76</v>
      </c>
      <c r="P28" t="s">
        <v>259</v>
      </c>
      <c r="Q28" s="534">
        <v>0</v>
      </c>
      <c r="R28" t="s">
        <v>3264</v>
      </c>
      <c r="S28">
        <v>0</v>
      </c>
      <c r="X28">
        <v>7</v>
      </c>
      <c r="AH28">
        <v>0</v>
      </c>
      <c r="BP28" s="534">
        <v>0</v>
      </c>
      <c r="BQ28" s="727">
        <v>5</v>
      </c>
      <c r="BR28" t="s">
        <v>52</v>
      </c>
      <c r="BS28" t="s">
        <v>52</v>
      </c>
      <c r="BT28">
        <v>0</v>
      </c>
      <c r="BU28" t="s">
        <v>52</v>
      </c>
      <c r="BV28">
        <v>0</v>
      </c>
      <c r="BW28">
        <v>11</v>
      </c>
      <c r="BX28" t="s">
        <v>2148</v>
      </c>
      <c r="BY28">
        <v>0</v>
      </c>
      <c r="BZ28">
        <v>0</v>
      </c>
      <c r="CA28">
        <v>0</v>
      </c>
      <c r="CB28">
        <v>0</v>
      </c>
      <c r="CC28" s="2146">
        <v>19.600000000000001</v>
      </c>
      <c r="CD28" s="2146" t="s">
        <v>2148</v>
      </c>
      <c r="CE28" s="2146">
        <v>0</v>
      </c>
      <c r="CF28" s="2146">
        <v>0</v>
      </c>
      <c r="CG28" s="2146">
        <v>0</v>
      </c>
      <c r="CH28">
        <v>0</v>
      </c>
      <c r="CJ28" t="s">
        <v>5438</v>
      </c>
    </row>
    <row r="29" spans="1:88">
      <c r="A29" t="s">
        <v>114</v>
      </c>
      <c r="B29" t="s">
        <v>183</v>
      </c>
      <c r="C29" t="s">
        <v>116</v>
      </c>
      <c r="D29" t="s">
        <v>40</v>
      </c>
      <c r="E29" t="s">
        <v>41</v>
      </c>
      <c r="F29" t="s">
        <v>178</v>
      </c>
      <c r="G29" t="s">
        <v>184</v>
      </c>
      <c r="H29" t="s">
        <v>185</v>
      </c>
      <c r="I29" t="s">
        <v>186</v>
      </c>
      <c r="J29" t="s">
        <v>69</v>
      </c>
      <c r="N29" t="s">
        <v>182</v>
      </c>
      <c r="O29" t="s">
        <v>76</v>
      </c>
      <c r="P29" t="s">
        <v>264</v>
      </c>
      <c r="Q29" s="534">
        <v>0</v>
      </c>
      <c r="R29" t="s">
        <v>3264</v>
      </c>
      <c r="S29">
        <v>50</v>
      </c>
      <c r="X29">
        <v>60</v>
      </c>
      <c r="AH29">
        <v>0</v>
      </c>
      <c r="BP29" s="534">
        <v>54</v>
      </c>
      <c r="BQ29" s="727">
        <v>53</v>
      </c>
      <c r="BR29" t="s">
        <v>52</v>
      </c>
      <c r="BS29" t="s">
        <v>52</v>
      </c>
      <c r="BT29">
        <v>0</v>
      </c>
      <c r="BU29" t="s">
        <v>52</v>
      </c>
      <c r="BV29">
        <v>0</v>
      </c>
      <c r="BW29">
        <v>55</v>
      </c>
      <c r="BX29" t="s">
        <v>2148</v>
      </c>
      <c r="BY29">
        <v>0</v>
      </c>
      <c r="BZ29">
        <v>0</v>
      </c>
      <c r="CA29">
        <v>0</v>
      </c>
      <c r="CB29">
        <v>0</v>
      </c>
      <c r="CC29" s="2146">
        <v>57</v>
      </c>
      <c r="CD29" s="2146" t="s">
        <v>2148</v>
      </c>
      <c r="CE29" s="2146">
        <v>0</v>
      </c>
      <c r="CF29" s="2146">
        <v>0</v>
      </c>
      <c r="CG29" s="2146">
        <v>0</v>
      </c>
      <c r="CH29">
        <v>0</v>
      </c>
      <c r="CJ29" t="s">
        <v>5439</v>
      </c>
    </row>
    <row r="30" spans="1:88">
      <c r="A30" t="s">
        <v>114</v>
      </c>
      <c r="B30" t="s">
        <v>187</v>
      </c>
      <c r="C30" t="s">
        <v>116</v>
      </c>
      <c r="D30" t="s">
        <v>40</v>
      </c>
      <c r="E30" t="s">
        <v>41</v>
      </c>
      <c r="F30" t="s">
        <v>188</v>
      </c>
      <c r="G30" t="s">
        <v>189</v>
      </c>
      <c r="H30" t="s">
        <v>190</v>
      </c>
      <c r="I30" t="s">
        <v>191</v>
      </c>
      <c r="J30" t="s">
        <v>69</v>
      </c>
      <c r="N30" t="s">
        <v>192</v>
      </c>
      <c r="O30" t="s">
        <v>76</v>
      </c>
      <c r="P30" t="s">
        <v>193</v>
      </c>
      <c r="Q30" s="534" t="s">
        <v>51</v>
      </c>
      <c r="R30" t="s">
        <v>3264</v>
      </c>
      <c r="S30">
        <v>56</v>
      </c>
      <c r="X30">
        <v>60</v>
      </c>
      <c r="AH30">
        <v>0</v>
      </c>
      <c r="BP30" s="534" t="s">
        <v>3302</v>
      </c>
      <c r="BQ30" s="730">
        <v>56</v>
      </c>
      <c r="BR30" t="s">
        <v>52</v>
      </c>
      <c r="BS30" t="s">
        <v>52</v>
      </c>
      <c r="BT30">
        <v>0</v>
      </c>
      <c r="BU30" t="s">
        <v>52</v>
      </c>
      <c r="BV30">
        <v>0</v>
      </c>
      <c r="BW30">
        <v>52</v>
      </c>
      <c r="BX30" t="s">
        <v>2148</v>
      </c>
      <c r="BY30">
        <v>0</v>
      </c>
      <c r="BZ30">
        <v>0</v>
      </c>
      <c r="CA30">
        <v>0</v>
      </c>
      <c r="CB30">
        <v>0</v>
      </c>
      <c r="CC30" s="2146">
        <v>55</v>
      </c>
      <c r="CD30" s="2146" t="s">
        <v>2148</v>
      </c>
      <c r="CE30" s="2146">
        <v>0</v>
      </c>
      <c r="CF30" s="2146">
        <v>0</v>
      </c>
      <c r="CG30" s="2146">
        <v>0</v>
      </c>
      <c r="CH30">
        <v>0</v>
      </c>
      <c r="CJ30" t="s">
        <v>5440</v>
      </c>
    </row>
    <row r="31" spans="1:88">
      <c r="A31" t="s">
        <v>114</v>
      </c>
      <c r="B31" t="s">
        <v>195</v>
      </c>
      <c r="C31" t="s">
        <v>116</v>
      </c>
      <c r="D31" t="s">
        <v>40</v>
      </c>
      <c r="E31" t="s">
        <v>41</v>
      </c>
      <c r="F31" t="s">
        <v>196</v>
      </c>
      <c r="G31" t="s">
        <v>197</v>
      </c>
      <c r="H31" t="s">
        <v>198</v>
      </c>
      <c r="I31" t="s">
        <v>199</v>
      </c>
      <c r="J31" t="s">
        <v>5408</v>
      </c>
      <c r="K31" t="s">
        <v>45</v>
      </c>
      <c r="M31" t="s">
        <v>46</v>
      </c>
      <c r="N31" t="s">
        <v>91</v>
      </c>
      <c r="O31" t="s">
        <v>200</v>
      </c>
      <c r="P31" t="s">
        <v>201</v>
      </c>
      <c r="Q31" s="534" t="s">
        <v>51</v>
      </c>
      <c r="S31" t="s">
        <v>202</v>
      </c>
      <c r="T31" t="s">
        <v>203</v>
      </c>
      <c r="U31" t="s">
        <v>203</v>
      </c>
      <c r="V31" t="s">
        <v>203</v>
      </c>
      <c r="W31" t="s">
        <v>203</v>
      </c>
      <c r="X31" t="s">
        <v>203</v>
      </c>
      <c r="AE31" t="s">
        <v>50</v>
      </c>
      <c r="AH31">
        <v>4</v>
      </c>
      <c r="AI31" t="s">
        <v>50</v>
      </c>
      <c r="AJ31" t="s">
        <v>50</v>
      </c>
      <c r="AK31" t="s">
        <v>50</v>
      </c>
      <c r="AL31" t="s">
        <v>50</v>
      </c>
      <c r="AM31" t="s">
        <v>50</v>
      </c>
      <c r="BN31">
        <v>1</v>
      </c>
      <c r="BO31" t="s">
        <v>51</v>
      </c>
      <c r="BP31" s="534" t="s">
        <v>202</v>
      </c>
      <c r="BQ31" s="729" t="s">
        <v>203</v>
      </c>
      <c r="BR31" t="s">
        <v>50</v>
      </c>
      <c r="BS31" t="s">
        <v>52</v>
      </c>
      <c r="BT31">
        <v>0</v>
      </c>
      <c r="BU31" t="s">
        <v>52</v>
      </c>
      <c r="BV31">
        <v>0</v>
      </c>
      <c r="BW31" t="s">
        <v>3950</v>
      </c>
      <c r="BX31" t="s">
        <v>46</v>
      </c>
      <c r="BY31">
        <v>0</v>
      </c>
      <c r="BZ31">
        <v>0</v>
      </c>
      <c r="CA31" t="s">
        <v>5415</v>
      </c>
      <c r="CB31">
        <v>-0.55800000000000005</v>
      </c>
      <c r="CC31" s="2146" t="s">
        <v>203</v>
      </c>
      <c r="CD31" s="2146" t="s">
        <v>50</v>
      </c>
      <c r="CE31" s="2146">
        <v>0</v>
      </c>
      <c r="CF31" s="2146">
        <v>0</v>
      </c>
      <c r="CG31" s="2146">
        <v>0</v>
      </c>
      <c r="CH31">
        <v>0</v>
      </c>
      <c r="CJ31" t="s">
        <v>5441</v>
      </c>
    </row>
    <row r="32" spans="1:88">
      <c r="A32" t="s">
        <v>114</v>
      </c>
      <c r="B32" t="s">
        <v>204</v>
      </c>
      <c r="C32" t="s">
        <v>116</v>
      </c>
      <c r="D32" t="s">
        <v>40</v>
      </c>
      <c r="E32" t="s">
        <v>41</v>
      </c>
      <c r="F32" t="s">
        <v>196</v>
      </c>
      <c r="G32" t="s">
        <v>205</v>
      </c>
      <c r="H32" t="s">
        <v>206</v>
      </c>
      <c r="I32" t="s">
        <v>207</v>
      </c>
      <c r="J32" t="s">
        <v>5408</v>
      </c>
      <c r="K32" t="s">
        <v>45</v>
      </c>
      <c r="M32" t="s">
        <v>46</v>
      </c>
      <c r="N32" t="s">
        <v>91</v>
      </c>
      <c r="O32" t="s">
        <v>200</v>
      </c>
      <c r="P32" t="s">
        <v>201</v>
      </c>
      <c r="Q32" s="534" t="s">
        <v>51</v>
      </c>
      <c r="S32" t="s">
        <v>202</v>
      </c>
      <c r="T32" t="s">
        <v>203</v>
      </c>
      <c r="U32" t="s">
        <v>203</v>
      </c>
      <c r="V32" t="s">
        <v>203</v>
      </c>
      <c r="W32" t="s">
        <v>203</v>
      </c>
      <c r="X32" t="s">
        <v>203</v>
      </c>
      <c r="AE32" t="s">
        <v>50</v>
      </c>
      <c r="AH32">
        <v>3</v>
      </c>
      <c r="AI32" t="s">
        <v>50</v>
      </c>
      <c r="AJ32" t="s">
        <v>50</v>
      </c>
      <c r="AK32" t="s">
        <v>50</v>
      </c>
      <c r="AL32" t="s">
        <v>50</v>
      </c>
      <c r="AM32" t="s">
        <v>50</v>
      </c>
      <c r="BN32">
        <v>1</v>
      </c>
      <c r="BO32" t="s">
        <v>51</v>
      </c>
      <c r="BP32" s="534" t="s">
        <v>202</v>
      </c>
      <c r="BQ32" s="729" t="s">
        <v>203</v>
      </c>
      <c r="BR32" t="s">
        <v>50</v>
      </c>
      <c r="BS32" t="s">
        <v>52</v>
      </c>
      <c r="BT32">
        <v>0</v>
      </c>
      <c r="BU32" t="s">
        <v>52</v>
      </c>
      <c r="BV32">
        <v>0</v>
      </c>
      <c r="BW32" t="s">
        <v>203</v>
      </c>
      <c r="BX32" t="s">
        <v>50</v>
      </c>
      <c r="BY32">
        <v>0</v>
      </c>
      <c r="BZ32">
        <v>0</v>
      </c>
      <c r="CA32">
        <v>0</v>
      </c>
      <c r="CB32">
        <v>0</v>
      </c>
      <c r="CC32" s="2146" t="s">
        <v>203</v>
      </c>
      <c r="CD32" s="2146" t="s">
        <v>50</v>
      </c>
      <c r="CE32" s="2146">
        <v>0</v>
      </c>
      <c r="CF32" s="2146">
        <v>0</v>
      </c>
      <c r="CG32" s="2146">
        <v>0</v>
      </c>
      <c r="CH32">
        <v>0</v>
      </c>
      <c r="CJ32" t="s">
        <v>5442</v>
      </c>
    </row>
    <row r="33" spans="1:88">
      <c r="A33" t="s">
        <v>114</v>
      </c>
      <c r="B33" t="s">
        <v>208</v>
      </c>
      <c r="C33" t="s">
        <v>116</v>
      </c>
      <c r="D33" t="s">
        <v>40</v>
      </c>
      <c r="E33" t="s">
        <v>41</v>
      </c>
      <c r="F33" t="s">
        <v>209</v>
      </c>
      <c r="G33" t="s">
        <v>210</v>
      </c>
      <c r="H33" t="s">
        <v>211</v>
      </c>
      <c r="I33" t="s">
        <v>212</v>
      </c>
      <c r="J33" t="s">
        <v>5408</v>
      </c>
      <c r="K33" t="s">
        <v>45</v>
      </c>
      <c r="M33" t="s">
        <v>46</v>
      </c>
      <c r="N33" t="s">
        <v>75</v>
      </c>
      <c r="O33" t="s">
        <v>76</v>
      </c>
      <c r="P33" t="s">
        <v>77</v>
      </c>
      <c r="Q33" s="534">
        <v>2</v>
      </c>
      <c r="R33" t="s">
        <v>3264</v>
      </c>
      <c r="S33">
        <v>99.96</v>
      </c>
      <c r="T33">
        <v>99.96</v>
      </c>
      <c r="U33">
        <v>99.96</v>
      </c>
      <c r="V33">
        <v>100</v>
      </c>
      <c r="W33">
        <v>100</v>
      </c>
      <c r="X33">
        <v>100</v>
      </c>
      <c r="Y33" t="s">
        <v>50</v>
      </c>
      <c r="AE33" t="s">
        <v>50</v>
      </c>
      <c r="AH33">
        <v>0</v>
      </c>
      <c r="AK33" t="s">
        <v>50</v>
      </c>
      <c r="AL33" t="s">
        <v>50</v>
      </c>
      <c r="AM33" t="s">
        <v>50</v>
      </c>
      <c r="AP33">
        <v>99.89</v>
      </c>
      <c r="AQ33">
        <v>99.89</v>
      </c>
      <c r="AR33">
        <v>99.89</v>
      </c>
      <c r="AU33">
        <v>99.95</v>
      </c>
      <c r="AV33">
        <v>99.95</v>
      </c>
      <c r="AW33">
        <v>99.95</v>
      </c>
      <c r="BH33">
        <v>17.412500000000001</v>
      </c>
      <c r="BN33">
        <v>1</v>
      </c>
      <c r="BO33" t="s">
        <v>51</v>
      </c>
      <c r="BP33" s="534">
        <v>99.95</v>
      </c>
      <c r="BQ33" s="728">
        <v>99.97</v>
      </c>
      <c r="BR33" t="s">
        <v>50</v>
      </c>
      <c r="BS33" t="s">
        <v>52</v>
      </c>
      <c r="BT33">
        <v>0</v>
      </c>
      <c r="BU33" t="s">
        <v>52</v>
      </c>
      <c r="BV33">
        <v>0</v>
      </c>
      <c r="BW33">
        <v>99.97</v>
      </c>
      <c r="BX33" t="s">
        <v>50</v>
      </c>
      <c r="BY33">
        <v>0</v>
      </c>
      <c r="BZ33">
        <v>0</v>
      </c>
      <c r="CA33">
        <v>0</v>
      </c>
      <c r="CB33">
        <v>0</v>
      </c>
      <c r="CC33" s="2146">
        <v>99.96</v>
      </c>
      <c r="CD33" s="2146" t="s">
        <v>46</v>
      </c>
      <c r="CE33" s="2146">
        <v>0</v>
      </c>
      <c r="CF33" s="2146">
        <v>0</v>
      </c>
      <c r="CG33" s="2146" t="s">
        <v>13445</v>
      </c>
      <c r="CH33">
        <v>0</v>
      </c>
      <c r="CJ33" t="s">
        <v>5443</v>
      </c>
    </row>
    <row r="34" spans="1:88">
      <c r="A34" t="s">
        <v>114</v>
      </c>
      <c r="B34" t="s">
        <v>213</v>
      </c>
      <c r="C34" t="s">
        <v>116</v>
      </c>
      <c r="D34" t="s">
        <v>214</v>
      </c>
      <c r="E34" t="s">
        <v>215</v>
      </c>
      <c r="F34" t="s">
        <v>117</v>
      </c>
      <c r="G34" t="s">
        <v>216</v>
      </c>
      <c r="H34" t="s">
        <v>217</v>
      </c>
      <c r="I34" t="s">
        <v>218</v>
      </c>
      <c r="J34" t="s">
        <v>5406</v>
      </c>
      <c r="K34" t="s">
        <v>45</v>
      </c>
      <c r="N34" t="s">
        <v>219</v>
      </c>
      <c r="O34" t="s">
        <v>48</v>
      </c>
      <c r="P34" t="s">
        <v>220</v>
      </c>
      <c r="Q34" s="534">
        <v>0</v>
      </c>
      <c r="R34" t="s">
        <v>3264</v>
      </c>
      <c r="S34">
        <v>0</v>
      </c>
      <c r="X34">
        <v>27</v>
      </c>
      <c r="AC34" t="s">
        <v>50</v>
      </c>
      <c r="AE34" t="s">
        <v>50</v>
      </c>
      <c r="AH34">
        <v>0</v>
      </c>
      <c r="AM34" t="s">
        <v>50</v>
      </c>
      <c r="AR34">
        <v>-24</v>
      </c>
      <c r="AW34">
        <v>24</v>
      </c>
      <c r="BB34">
        <v>30</v>
      </c>
      <c r="BG34">
        <v>78</v>
      </c>
      <c r="BH34">
        <v>4.2000000000000003E-2</v>
      </c>
      <c r="BL34">
        <v>3.5999999999999997E-2</v>
      </c>
      <c r="BN34">
        <v>5</v>
      </c>
      <c r="BO34" t="s">
        <v>139</v>
      </c>
      <c r="BP34" s="534">
        <v>0</v>
      </c>
      <c r="BQ34" s="727">
        <v>61</v>
      </c>
      <c r="BR34" t="s">
        <v>52</v>
      </c>
      <c r="BS34" t="s">
        <v>52</v>
      </c>
      <c r="BT34">
        <v>0</v>
      </c>
      <c r="BU34" t="s">
        <v>52</v>
      </c>
      <c r="BV34">
        <v>0</v>
      </c>
      <c r="BW34">
        <v>45</v>
      </c>
      <c r="BX34" t="s">
        <v>2148</v>
      </c>
      <c r="BY34">
        <v>0</v>
      </c>
      <c r="BZ34">
        <v>0</v>
      </c>
      <c r="CA34">
        <v>0</v>
      </c>
      <c r="CB34">
        <v>0</v>
      </c>
      <c r="CC34" s="2146">
        <v>79</v>
      </c>
      <c r="CD34" s="2146" t="s">
        <v>2148</v>
      </c>
      <c r="CE34" s="2146">
        <v>0</v>
      </c>
      <c r="CF34" s="2146">
        <v>0</v>
      </c>
      <c r="CG34" s="2146">
        <v>0</v>
      </c>
      <c r="CH34">
        <v>0</v>
      </c>
      <c r="CJ34" t="s">
        <v>5444</v>
      </c>
    </row>
    <row r="35" spans="1:88">
      <c r="A35" t="s">
        <v>114</v>
      </c>
      <c r="B35" t="s">
        <v>221</v>
      </c>
      <c r="C35" t="s">
        <v>116</v>
      </c>
      <c r="D35" t="s">
        <v>214</v>
      </c>
      <c r="E35" t="s">
        <v>215</v>
      </c>
      <c r="F35" t="s">
        <v>117</v>
      </c>
      <c r="G35" t="s">
        <v>222</v>
      </c>
      <c r="H35" t="s">
        <v>223</v>
      </c>
      <c r="I35" t="s">
        <v>224</v>
      </c>
      <c r="J35" t="s">
        <v>5408</v>
      </c>
      <c r="K35" t="s">
        <v>45</v>
      </c>
      <c r="N35" t="s">
        <v>219</v>
      </c>
      <c r="O35" t="s">
        <v>48</v>
      </c>
      <c r="P35" t="s">
        <v>225</v>
      </c>
      <c r="Q35" s="534">
        <v>0</v>
      </c>
      <c r="R35" t="s">
        <v>3264</v>
      </c>
      <c r="S35">
        <v>0</v>
      </c>
      <c r="X35">
        <v>22</v>
      </c>
      <c r="AE35" t="s">
        <v>50</v>
      </c>
      <c r="AH35">
        <v>0</v>
      </c>
      <c r="AM35" t="s">
        <v>50</v>
      </c>
      <c r="AR35">
        <v>-66</v>
      </c>
      <c r="AW35">
        <v>21</v>
      </c>
      <c r="BH35">
        <v>2.3E-2</v>
      </c>
      <c r="BN35">
        <v>5</v>
      </c>
      <c r="BO35" t="s">
        <v>139</v>
      </c>
      <c r="BP35" s="534">
        <v>0</v>
      </c>
      <c r="BQ35" s="727">
        <v>536</v>
      </c>
      <c r="BR35" t="s">
        <v>52</v>
      </c>
      <c r="BS35" t="s">
        <v>52</v>
      </c>
      <c r="BT35">
        <v>0</v>
      </c>
      <c r="BU35" t="s">
        <v>52</v>
      </c>
      <c r="BV35">
        <v>0</v>
      </c>
      <c r="BW35">
        <v>717</v>
      </c>
      <c r="BX35" t="s">
        <v>2148</v>
      </c>
      <c r="BY35">
        <v>0</v>
      </c>
      <c r="BZ35">
        <v>0</v>
      </c>
      <c r="CA35">
        <v>0</v>
      </c>
      <c r="CB35">
        <v>0</v>
      </c>
      <c r="CC35" s="2146">
        <v>1357</v>
      </c>
      <c r="CD35" s="2146" t="s">
        <v>2148</v>
      </c>
      <c r="CE35" s="2146">
        <v>0</v>
      </c>
      <c r="CF35" s="2146">
        <v>0</v>
      </c>
      <c r="CG35" s="2146">
        <v>0</v>
      </c>
      <c r="CH35">
        <v>0</v>
      </c>
      <c r="CJ35" t="s">
        <v>5445</v>
      </c>
    </row>
    <row r="36" spans="1:88">
      <c r="A36" t="s">
        <v>114</v>
      </c>
      <c r="B36" t="s">
        <v>226</v>
      </c>
      <c r="C36" t="s">
        <v>116</v>
      </c>
      <c r="D36" t="s">
        <v>214</v>
      </c>
      <c r="E36" t="s">
        <v>215</v>
      </c>
      <c r="F36" t="s">
        <v>117</v>
      </c>
      <c r="G36" t="s">
        <v>227</v>
      </c>
      <c r="H36" t="s">
        <v>228</v>
      </c>
      <c r="I36" t="s">
        <v>229</v>
      </c>
      <c r="J36" t="s">
        <v>69</v>
      </c>
      <c r="N36" t="s">
        <v>230</v>
      </c>
      <c r="O36" t="s">
        <v>76</v>
      </c>
      <c r="P36" t="s">
        <v>231</v>
      </c>
      <c r="Q36" s="534">
        <v>0</v>
      </c>
      <c r="R36" t="s">
        <v>3264</v>
      </c>
      <c r="X36">
        <v>25</v>
      </c>
      <c r="AH36">
        <v>0</v>
      </c>
      <c r="BP36" s="534">
        <v>0</v>
      </c>
      <c r="BQ36" s="727">
        <v>4</v>
      </c>
      <c r="BR36" t="s">
        <v>52</v>
      </c>
      <c r="BS36" t="s">
        <v>52</v>
      </c>
      <c r="BT36">
        <v>0</v>
      </c>
      <c r="BU36" t="s">
        <v>52</v>
      </c>
      <c r="BV36">
        <v>0</v>
      </c>
      <c r="BW36">
        <v>25</v>
      </c>
      <c r="BX36" t="s">
        <v>2148</v>
      </c>
      <c r="BY36">
        <v>0</v>
      </c>
      <c r="BZ36">
        <v>0</v>
      </c>
      <c r="CA36">
        <v>0</v>
      </c>
      <c r="CB36">
        <v>0</v>
      </c>
      <c r="CC36" s="2146">
        <v>46</v>
      </c>
      <c r="CD36" s="2146" t="s">
        <v>2148</v>
      </c>
      <c r="CE36" s="2146">
        <v>0</v>
      </c>
      <c r="CF36" s="2146">
        <v>0</v>
      </c>
      <c r="CG36" s="2146">
        <v>0</v>
      </c>
      <c r="CH36">
        <v>0</v>
      </c>
      <c r="CJ36" t="s">
        <v>5446</v>
      </c>
    </row>
    <row r="37" spans="1:88">
      <c r="A37" t="s">
        <v>114</v>
      </c>
      <c r="B37" t="s">
        <v>232</v>
      </c>
      <c r="C37" t="s">
        <v>116</v>
      </c>
      <c r="D37" t="s">
        <v>214</v>
      </c>
      <c r="E37" t="s">
        <v>215</v>
      </c>
      <c r="F37" t="s">
        <v>129</v>
      </c>
      <c r="G37" t="s">
        <v>233</v>
      </c>
      <c r="H37" t="s">
        <v>234</v>
      </c>
      <c r="I37" t="s">
        <v>235</v>
      </c>
      <c r="J37" t="s">
        <v>5406</v>
      </c>
      <c r="K37" t="s">
        <v>45</v>
      </c>
      <c r="N37" t="s">
        <v>113</v>
      </c>
      <c r="O37" t="s">
        <v>76</v>
      </c>
      <c r="P37" t="s">
        <v>132</v>
      </c>
      <c r="Q37" s="534">
        <v>0</v>
      </c>
      <c r="R37" t="s">
        <v>3264</v>
      </c>
      <c r="S37">
        <v>0</v>
      </c>
      <c r="T37">
        <v>0</v>
      </c>
      <c r="U37">
        <v>0</v>
      </c>
      <c r="V37">
        <v>0</v>
      </c>
      <c r="W37">
        <v>0</v>
      </c>
      <c r="X37">
        <v>0</v>
      </c>
      <c r="AH37">
        <v>0</v>
      </c>
      <c r="AI37" t="s">
        <v>50</v>
      </c>
      <c r="AJ37" t="s">
        <v>50</v>
      </c>
      <c r="AK37" t="s">
        <v>50</v>
      </c>
      <c r="AL37" t="s">
        <v>50</v>
      </c>
      <c r="AM37" t="s">
        <v>50</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51</v>
      </c>
      <c r="BP37" s="534">
        <v>1</v>
      </c>
      <c r="BQ37" s="727">
        <v>4</v>
      </c>
      <c r="BR37" t="s">
        <v>50</v>
      </c>
      <c r="BS37" t="s">
        <v>52</v>
      </c>
      <c r="BT37">
        <v>0</v>
      </c>
      <c r="BU37" t="s">
        <v>5425</v>
      </c>
      <c r="BV37">
        <v>0.1</v>
      </c>
      <c r="BW37">
        <v>1</v>
      </c>
      <c r="BX37" t="s">
        <v>50</v>
      </c>
      <c r="BY37">
        <v>0</v>
      </c>
      <c r="BZ37">
        <v>0</v>
      </c>
      <c r="CA37" t="s">
        <v>5425</v>
      </c>
      <c r="CB37">
        <v>2.5000000000000001E-2</v>
      </c>
      <c r="CC37" s="2146">
        <v>5</v>
      </c>
      <c r="CD37" s="2146" t="s">
        <v>50</v>
      </c>
      <c r="CE37" s="2146">
        <v>0</v>
      </c>
      <c r="CF37" s="2146">
        <v>0</v>
      </c>
      <c r="CG37" s="2146" t="s">
        <v>5425</v>
      </c>
      <c r="CH37">
        <v>0.125</v>
      </c>
      <c r="CJ37" t="s">
        <v>5447</v>
      </c>
    </row>
    <row r="38" spans="1:88">
      <c r="A38" t="s">
        <v>114</v>
      </c>
      <c r="B38" t="s">
        <v>236</v>
      </c>
      <c r="C38" t="s">
        <v>116</v>
      </c>
      <c r="D38" t="s">
        <v>214</v>
      </c>
      <c r="E38" t="s">
        <v>215</v>
      </c>
      <c r="F38" t="s">
        <v>165</v>
      </c>
      <c r="G38" t="s">
        <v>237</v>
      </c>
      <c r="H38" t="s">
        <v>238</v>
      </c>
      <c r="I38" t="s">
        <v>239</v>
      </c>
      <c r="J38" t="s">
        <v>5406</v>
      </c>
      <c r="K38" t="s">
        <v>45</v>
      </c>
      <c r="N38" t="s">
        <v>175</v>
      </c>
      <c r="O38" t="s">
        <v>76</v>
      </c>
      <c r="P38" t="s">
        <v>240</v>
      </c>
      <c r="Q38" s="534">
        <v>0</v>
      </c>
      <c r="R38" t="s">
        <v>3264</v>
      </c>
      <c r="S38">
        <v>58</v>
      </c>
      <c r="X38">
        <v>67</v>
      </c>
      <c r="AF38" t="s">
        <v>50</v>
      </c>
      <c r="AH38">
        <v>0</v>
      </c>
      <c r="AM38" t="s">
        <v>50</v>
      </c>
      <c r="AR38">
        <v>58</v>
      </c>
      <c r="AW38">
        <v>67</v>
      </c>
      <c r="BB38">
        <v>67</v>
      </c>
      <c r="BG38">
        <v>75</v>
      </c>
      <c r="BH38">
        <v>0.373</v>
      </c>
      <c r="BL38">
        <v>0.373</v>
      </c>
      <c r="BN38">
        <v>5</v>
      </c>
      <c r="BO38" t="s">
        <v>139</v>
      </c>
      <c r="BP38" s="534">
        <v>71</v>
      </c>
      <c r="BQ38" s="727">
        <v>71</v>
      </c>
      <c r="BR38" t="s">
        <v>52</v>
      </c>
      <c r="BS38" t="s">
        <v>52</v>
      </c>
      <c r="BT38">
        <v>0</v>
      </c>
      <c r="BU38" t="s">
        <v>52</v>
      </c>
      <c r="BV38">
        <v>0</v>
      </c>
      <c r="BW38">
        <v>65</v>
      </c>
      <c r="BX38" t="s">
        <v>2148</v>
      </c>
      <c r="BY38">
        <v>0</v>
      </c>
      <c r="BZ38">
        <v>0</v>
      </c>
      <c r="CA38">
        <v>0</v>
      </c>
      <c r="CB38">
        <v>0</v>
      </c>
      <c r="CC38" s="2146">
        <v>63.3</v>
      </c>
      <c r="CD38" s="2146" t="s">
        <v>2148</v>
      </c>
      <c r="CE38" s="2146">
        <v>0</v>
      </c>
      <c r="CF38" s="2146">
        <v>0</v>
      </c>
      <c r="CG38" s="2146">
        <v>0</v>
      </c>
      <c r="CH38">
        <v>0</v>
      </c>
      <c r="CJ38" t="s">
        <v>5448</v>
      </c>
    </row>
    <row r="39" spans="1:88">
      <c r="A39" t="s">
        <v>114</v>
      </c>
      <c r="B39" t="s">
        <v>241</v>
      </c>
      <c r="C39" t="s">
        <v>116</v>
      </c>
      <c r="D39" t="s">
        <v>214</v>
      </c>
      <c r="E39" t="s">
        <v>215</v>
      </c>
      <c r="F39" t="s">
        <v>165</v>
      </c>
      <c r="G39" t="s">
        <v>242</v>
      </c>
      <c r="H39" t="s">
        <v>243</v>
      </c>
      <c r="I39" t="s">
        <v>244</v>
      </c>
      <c r="J39" t="s">
        <v>69</v>
      </c>
      <c r="N39" t="s">
        <v>169</v>
      </c>
      <c r="O39" t="s">
        <v>76</v>
      </c>
      <c r="P39" t="s">
        <v>170</v>
      </c>
      <c r="Q39" s="534">
        <v>0</v>
      </c>
      <c r="R39" t="s">
        <v>3264</v>
      </c>
      <c r="S39">
        <v>49</v>
      </c>
      <c r="X39">
        <v>50</v>
      </c>
      <c r="AF39" t="s">
        <v>50</v>
      </c>
      <c r="AH39">
        <v>0</v>
      </c>
      <c r="BP39" s="534">
        <v>49</v>
      </c>
      <c r="BQ39" s="727">
        <v>98.85</v>
      </c>
      <c r="BR39" t="s">
        <v>52</v>
      </c>
      <c r="BS39" t="s">
        <v>52</v>
      </c>
      <c r="BT39">
        <v>0</v>
      </c>
      <c r="BU39" t="s">
        <v>52</v>
      </c>
      <c r="BV39">
        <v>0</v>
      </c>
      <c r="BW39">
        <v>98.83</v>
      </c>
      <c r="BX39" t="s">
        <v>2148</v>
      </c>
      <c r="BY39">
        <v>0</v>
      </c>
      <c r="BZ39">
        <v>0</v>
      </c>
      <c r="CA39">
        <v>0</v>
      </c>
      <c r="CB39">
        <v>0</v>
      </c>
      <c r="CC39" s="2146">
        <v>98.832999999999998</v>
      </c>
      <c r="CD39" s="2146" t="s">
        <v>2148</v>
      </c>
      <c r="CE39" s="2146">
        <v>0</v>
      </c>
      <c r="CF39" s="2146">
        <v>0</v>
      </c>
      <c r="CG39" s="2146">
        <v>0</v>
      </c>
      <c r="CH39">
        <v>0</v>
      </c>
      <c r="CJ39" t="s">
        <v>5449</v>
      </c>
    </row>
    <row r="40" spans="1:88">
      <c r="A40" t="s">
        <v>114</v>
      </c>
      <c r="B40" t="s">
        <v>245</v>
      </c>
      <c r="C40" t="s">
        <v>116</v>
      </c>
      <c r="D40" t="s">
        <v>214</v>
      </c>
      <c r="E40" t="s">
        <v>215</v>
      </c>
      <c r="F40" t="s">
        <v>165</v>
      </c>
      <c r="G40" t="s">
        <v>246</v>
      </c>
      <c r="H40" t="s">
        <v>247</v>
      </c>
      <c r="I40" t="s">
        <v>248</v>
      </c>
      <c r="J40" t="s">
        <v>5406</v>
      </c>
      <c r="K40" t="s">
        <v>45</v>
      </c>
      <c r="N40" t="s">
        <v>249</v>
      </c>
      <c r="O40" t="s">
        <v>48</v>
      </c>
      <c r="P40" t="s">
        <v>250</v>
      </c>
      <c r="Q40" s="534">
        <v>0</v>
      </c>
      <c r="R40" t="s">
        <v>3263</v>
      </c>
      <c r="S40">
        <v>408</v>
      </c>
      <c r="T40">
        <v>371</v>
      </c>
      <c r="U40">
        <v>335</v>
      </c>
      <c r="V40">
        <v>298</v>
      </c>
      <c r="W40">
        <v>298</v>
      </c>
      <c r="X40">
        <v>298</v>
      </c>
      <c r="AB40" t="s">
        <v>50</v>
      </c>
      <c r="AE40" t="s">
        <v>50</v>
      </c>
      <c r="AH40">
        <v>0</v>
      </c>
      <c r="AI40" t="s">
        <v>50</v>
      </c>
      <c r="AJ40" t="s">
        <v>50</v>
      </c>
      <c r="AK40" t="s">
        <v>50</v>
      </c>
      <c r="AL40" t="s">
        <v>50</v>
      </c>
      <c r="AM40" t="s">
        <v>50</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51</v>
      </c>
      <c r="BP40" s="534">
        <v>390</v>
      </c>
      <c r="BQ40" s="727">
        <v>144</v>
      </c>
      <c r="BR40" t="s">
        <v>50</v>
      </c>
      <c r="BS40" t="s">
        <v>52</v>
      </c>
      <c r="BT40">
        <v>0</v>
      </c>
      <c r="BU40" t="s">
        <v>5425</v>
      </c>
      <c r="BV40">
        <v>4.3890000000000002</v>
      </c>
      <c r="BW40">
        <v>217</v>
      </c>
      <c r="BX40" t="s">
        <v>50</v>
      </c>
      <c r="BY40">
        <v>0</v>
      </c>
      <c r="BZ40">
        <v>0</v>
      </c>
      <c r="CA40" t="s">
        <v>5425</v>
      </c>
      <c r="CB40">
        <v>2.3085</v>
      </c>
      <c r="CC40" s="2146">
        <v>219</v>
      </c>
      <c r="CD40" s="2146" t="s">
        <v>50</v>
      </c>
      <c r="CE40" s="2146">
        <v>0</v>
      </c>
      <c r="CF40" s="2146">
        <v>0</v>
      </c>
      <c r="CG40" s="2146" t="s">
        <v>5425</v>
      </c>
      <c r="CH40">
        <v>2.2519999999999998</v>
      </c>
      <c r="CJ40" t="s">
        <v>5450</v>
      </c>
    </row>
    <row r="41" spans="1:88">
      <c r="A41" t="s">
        <v>114</v>
      </c>
      <c r="B41" t="s">
        <v>251</v>
      </c>
      <c r="C41" t="s">
        <v>116</v>
      </c>
      <c r="D41" t="s">
        <v>214</v>
      </c>
      <c r="E41" t="s">
        <v>215</v>
      </c>
      <c r="F41" t="s">
        <v>165</v>
      </c>
      <c r="G41" t="s">
        <v>252</v>
      </c>
      <c r="H41" t="s">
        <v>253</v>
      </c>
      <c r="I41" t="s">
        <v>254</v>
      </c>
      <c r="J41" t="s">
        <v>5408</v>
      </c>
      <c r="K41" t="s">
        <v>45</v>
      </c>
      <c r="N41" t="s">
        <v>175</v>
      </c>
      <c r="O41" t="s">
        <v>48</v>
      </c>
      <c r="P41" t="s">
        <v>176</v>
      </c>
      <c r="Q41" s="534">
        <v>0</v>
      </c>
      <c r="R41" t="s">
        <v>3264</v>
      </c>
      <c r="S41">
        <v>0</v>
      </c>
      <c r="X41">
        <v>81</v>
      </c>
      <c r="AF41" t="s">
        <v>50</v>
      </c>
      <c r="AH41">
        <v>0</v>
      </c>
      <c r="AM41" t="s">
        <v>50</v>
      </c>
      <c r="AR41">
        <v>0</v>
      </c>
      <c r="AW41">
        <v>81</v>
      </c>
      <c r="BH41">
        <v>0.62</v>
      </c>
      <c r="BN41">
        <v>1</v>
      </c>
      <c r="BO41" t="s">
        <v>51</v>
      </c>
      <c r="BP41" s="534">
        <v>0</v>
      </c>
      <c r="BQ41" s="727">
        <v>0</v>
      </c>
      <c r="BR41" t="s">
        <v>52</v>
      </c>
      <c r="BS41" t="s">
        <v>52</v>
      </c>
      <c r="BT41">
        <v>0</v>
      </c>
      <c r="BU41" t="s">
        <v>52</v>
      </c>
      <c r="BV41">
        <v>0</v>
      </c>
      <c r="BW41">
        <v>3</v>
      </c>
      <c r="BX41" t="s">
        <v>2148</v>
      </c>
      <c r="BY41">
        <v>0</v>
      </c>
      <c r="BZ41">
        <v>0</v>
      </c>
      <c r="CA41">
        <v>0</v>
      </c>
      <c r="CB41">
        <v>0</v>
      </c>
      <c r="CC41" s="2146">
        <v>36</v>
      </c>
      <c r="CD41" s="2146" t="s">
        <v>2148</v>
      </c>
      <c r="CE41" s="2146">
        <v>0</v>
      </c>
      <c r="CF41" s="2146">
        <v>0</v>
      </c>
      <c r="CG41" s="2146">
        <v>0</v>
      </c>
      <c r="CH41">
        <v>0</v>
      </c>
      <c r="CJ41" t="s">
        <v>5451</v>
      </c>
    </row>
    <row r="42" spans="1:88">
      <c r="A42" t="s">
        <v>114</v>
      </c>
      <c r="B42" t="s">
        <v>255</v>
      </c>
      <c r="C42" t="s">
        <v>116</v>
      </c>
      <c r="D42" t="s">
        <v>214</v>
      </c>
      <c r="E42" t="s">
        <v>215</v>
      </c>
      <c r="F42" t="s">
        <v>178</v>
      </c>
      <c r="G42" t="s">
        <v>256</v>
      </c>
      <c r="H42" t="s">
        <v>257</v>
      </c>
      <c r="I42" t="s">
        <v>258</v>
      </c>
      <c r="J42" t="s">
        <v>69</v>
      </c>
      <c r="N42" t="s">
        <v>182</v>
      </c>
      <c r="O42" t="s">
        <v>76</v>
      </c>
      <c r="P42" t="s">
        <v>259</v>
      </c>
      <c r="Q42" s="534">
        <v>0</v>
      </c>
      <c r="R42" t="s">
        <v>3264</v>
      </c>
      <c r="S42">
        <v>0</v>
      </c>
      <c r="X42">
        <v>7</v>
      </c>
      <c r="AH42">
        <v>0</v>
      </c>
      <c r="BP42" s="534">
        <v>0</v>
      </c>
      <c r="BQ42" s="727">
        <v>5</v>
      </c>
      <c r="BR42" t="s">
        <v>52</v>
      </c>
      <c r="BS42" t="s">
        <v>52</v>
      </c>
      <c r="BT42">
        <v>0</v>
      </c>
      <c r="BU42" t="s">
        <v>52</v>
      </c>
      <c r="BV42">
        <v>0</v>
      </c>
      <c r="BW42">
        <v>11</v>
      </c>
      <c r="BX42" t="s">
        <v>2148</v>
      </c>
      <c r="BY42">
        <v>0</v>
      </c>
      <c r="BZ42">
        <v>0</v>
      </c>
      <c r="CA42">
        <v>0</v>
      </c>
      <c r="CB42">
        <v>0</v>
      </c>
      <c r="CC42" s="2146">
        <v>19.600000000000001</v>
      </c>
      <c r="CD42" s="2146" t="s">
        <v>2148</v>
      </c>
      <c r="CE42" s="2146">
        <v>0</v>
      </c>
      <c r="CF42" s="2146">
        <v>0</v>
      </c>
      <c r="CG42" s="2146">
        <v>0</v>
      </c>
      <c r="CH42">
        <v>0</v>
      </c>
      <c r="CJ42" t="s">
        <v>5452</v>
      </c>
    </row>
    <row r="43" spans="1:88">
      <c r="A43" t="s">
        <v>114</v>
      </c>
      <c r="B43" t="s">
        <v>260</v>
      </c>
      <c r="C43" t="s">
        <v>116</v>
      </c>
      <c r="D43" t="s">
        <v>214</v>
      </c>
      <c r="E43" t="s">
        <v>215</v>
      </c>
      <c r="F43" t="s">
        <v>178</v>
      </c>
      <c r="G43" t="s">
        <v>261</v>
      </c>
      <c r="H43" t="s">
        <v>262</v>
      </c>
      <c r="I43" t="s">
        <v>263</v>
      </c>
      <c r="J43" t="s">
        <v>69</v>
      </c>
      <c r="N43" t="s">
        <v>182</v>
      </c>
      <c r="O43" t="s">
        <v>76</v>
      </c>
      <c r="P43" t="s">
        <v>264</v>
      </c>
      <c r="Q43" s="534">
        <v>0</v>
      </c>
      <c r="R43" t="s">
        <v>3264</v>
      </c>
      <c r="S43">
        <v>50</v>
      </c>
      <c r="X43">
        <v>60</v>
      </c>
      <c r="AH43">
        <v>0</v>
      </c>
      <c r="BP43" s="534">
        <v>54</v>
      </c>
      <c r="BQ43" s="727">
        <v>53</v>
      </c>
      <c r="BR43" t="s">
        <v>52</v>
      </c>
      <c r="BS43" t="s">
        <v>52</v>
      </c>
      <c r="BT43">
        <v>0</v>
      </c>
      <c r="BU43" t="s">
        <v>52</v>
      </c>
      <c r="BV43">
        <v>0</v>
      </c>
      <c r="BW43">
        <v>55</v>
      </c>
      <c r="BX43" t="s">
        <v>2148</v>
      </c>
      <c r="BY43">
        <v>0</v>
      </c>
      <c r="BZ43">
        <v>0</v>
      </c>
      <c r="CA43">
        <v>0</v>
      </c>
      <c r="CB43">
        <v>0</v>
      </c>
      <c r="CC43" s="2146">
        <v>57</v>
      </c>
      <c r="CD43" s="2146" t="s">
        <v>2148</v>
      </c>
      <c r="CE43" s="2146">
        <v>0</v>
      </c>
      <c r="CF43" s="2146">
        <v>0</v>
      </c>
      <c r="CG43" s="2146">
        <v>0</v>
      </c>
      <c r="CH43">
        <v>0</v>
      </c>
      <c r="CJ43" t="s">
        <v>5453</v>
      </c>
    </row>
    <row r="44" spans="1:88">
      <c r="A44" t="s">
        <v>114</v>
      </c>
      <c r="B44" t="s">
        <v>265</v>
      </c>
      <c r="C44" t="s">
        <v>116</v>
      </c>
      <c r="D44" t="s">
        <v>214</v>
      </c>
      <c r="E44" t="s">
        <v>215</v>
      </c>
      <c r="F44" t="s">
        <v>188</v>
      </c>
      <c r="G44" t="s">
        <v>266</v>
      </c>
      <c r="H44" t="s">
        <v>267</v>
      </c>
      <c r="I44" t="s">
        <v>268</v>
      </c>
      <c r="J44" t="s">
        <v>69</v>
      </c>
      <c r="N44" t="s">
        <v>192</v>
      </c>
      <c r="O44" t="s">
        <v>76</v>
      </c>
      <c r="P44" t="s">
        <v>193</v>
      </c>
      <c r="Q44" s="534" t="s">
        <v>51</v>
      </c>
      <c r="R44" t="s">
        <v>3264</v>
      </c>
      <c r="S44">
        <v>56</v>
      </c>
      <c r="X44">
        <v>60</v>
      </c>
      <c r="AH44">
        <v>0</v>
      </c>
      <c r="BP44" s="534" t="s">
        <v>3302</v>
      </c>
      <c r="BQ44" s="729">
        <v>56</v>
      </c>
      <c r="BR44" t="s">
        <v>52</v>
      </c>
      <c r="BS44" t="s">
        <v>52</v>
      </c>
      <c r="BT44">
        <v>0</v>
      </c>
      <c r="BU44" t="s">
        <v>52</v>
      </c>
      <c r="BV44">
        <v>0</v>
      </c>
      <c r="BW44">
        <v>52</v>
      </c>
      <c r="BX44" t="s">
        <v>2148</v>
      </c>
      <c r="BY44">
        <v>0</v>
      </c>
      <c r="BZ44">
        <v>0</v>
      </c>
      <c r="CA44">
        <v>0</v>
      </c>
      <c r="CB44">
        <v>0</v>
      </c>
      <c r="CC44" s="2146">
        <v>55</v>
      </c>
      <c r="CD44" s="2146" t="s">
        <v>2148</v>
      </c>
      <c r="CE44" s="2146">
        <v>0</v>
      </c>
      <c r="CF44" s="2146">
        <v>0</v>
      </c>
      <c r="CG44" s="2146">
        <v>0</v>
      </c>
      <c r="CH44">
        <v>0</v>
      </c>
      <c r="CJ44" t="s">
        <v>5454</v>
      </c>
    </row>
    <row r="45" spans="1:88">
      <c r="A45" t="s">
        <v>114</v>
      </c>
      <c r="B45" t="s">
        <v>269</v>
      </c>
      <c r="C45" t="s">
        <v>116</v>
      </c>
      <c r="D45" t="s">
        <v>214</v>
      </c>
      <c r="E45" t="s">
        <v>215</v>
      </c>
      <c r="F45" t="s">
        <v>196</v>
      </c>
      <c r="G45" t="s">
        <v>270</v>
      </c>
      <c r="H45" t="s">
        <v>271</v>
      </c>
      <c r="I45" t="s">
        <v>272</v>
      </c>
      <c r="J45" t="s">
        <v>5408</v>
      </c>
      <c r="K45" t="s">
        <v>45</v>
      </c>
      <c r="M45" t="s">
        <v>46</v>
      </c>
      <c r="N45" t="s">
        <v>273</v>
      </c>
      <c r="O45" t="s">
        <v>200</v>
      </c>
      <c r="P45" t="s">
        <v>201</v>
      </c>
      <c r="Q45" s="534" t="s">
        <v>51</v>
      </c>
      <c r="S45" t="s">
        <v>202</v>
      </c>
      <c r="T45" t="s">
        <v>203</v>
      </c>
      <c r="U45" t="s">
        <v>203</v>
      </c>
      <c r="V45" t="s">
        <v>203</v>
      </c>
      <c r="W45" t="s">
        <v>203</v>
      </c>
      <c r="X45" t="s">
        <v>203</v>
      </c>
      <c r="AE45" t="s">
        <v>50</v>
      </c>
      <c r="AH45">
        <v>4</v>
      </c>
      <c r="AI45" t="s">
        <v>50</v>
      </c>
      <c r="AJ45" t="s">
        <v>50</v>
      </c>
      <c r="AK45" t="s">
        <v>50</v>
      </c>
      <c r="AL45" t="s">
        <v>50</v>
      </c>
      <c r="AM45" t="s">
        <v>50</v>
      </c>
      <c r="BN45">
        <v>1</v>
      </c>
      <c r="BO45" t="s">
        <v>51</v>
      </c>
      <c r="BP45" s="534" t="s">
        <v>202</v>
      </c>
      <c r="BQ45" s="729" t="s">
        <v>203</v>
      </c>
      <c r="BR45" t="s">
        <v>50</v>
      </c>
      <c r="BS45" t="s">
        <v>52</v>
      </c>
      <c r="BT45">
        <v>0</v>
      </c>
      <c r="BU45" t="s">
        <v>52</v>
      </c>
      <c r="BV45">
        <v>0</v>
      </c>
      <c r="BW45" t="s">
        <v>203</v>
      </c>
      <c r="BX45" t="s">
        <v>50</v>
      </c>
      <c r="BY45">
        <v>0</v>
      </c>
      <c r="BZ45">
        <v>0</v>
      </c>
      <c r="CA45">
        <v>0</v>
      </c>
      <c r="CB45">
        <v>0</v>
      </c>
      <c r="CC45" s="2146" t="s">
        <v>203</v>
      </c>
      <c r="CD45" s="2146" t="s">
        <v>50</v>
      </c>
      <c r="CE45" s="2146">
        <v>0</v>
      </c>
      <c r="CF45" s="2146">
        <v>0</v>
      </c>
      <c r="CG45" s="2146">
        <v>0</v>
      </c>
      <c r="CH45">
        <v>0</v>
      </c>
      <c r="CJ45" t="s">
        <v>5455</v>
      </c>
    </row>
    <row r="46" spans="1:88">
      <c r="A46" t="s">
        <v>114</v>
      </c>
      <c r="B46" t="s">
        <v>274</v>
      </c>
      <c r="C46" t="s">
        <v>116</v>
      </c>
      <c r="D46" t="s">
        <v>214</v>
      </c>
      <c r="E46" t="s">
        <v>215</v>
      </c>
      <c r="F46" t="s">
        <v>196</v>
      </c>
      <c r="G46" t="s">
        <v>275</v>
      </c>
      <c r="H46" t="s">
        <v>276</v>
      </c>
      <c r="I46" t="s">
        <v>277</v>
      </c>
      <c r="J46" t="s">
        <v>5408</v>
      </c>
      <c r="K46" t="s">
        <v>45</v>
      </c>
      <c r="M46" t="s">
        <v>46</v>
      </c>
      <c r="N46" t="s">
        <v>273</v>
      </c>
      <c r="O46" t="s">
        <v>200</v>
      </c>
      <c r="P46" t="s">
        <v>201</v>
      </c>
      <c r="Q46" s="534" t="s">
        <v>51</v>
      </c>
      <c r="S46" t="s">
        <v>202</v>
      </c>
      <c r="T46" t="s">
        <v>203</v>
      </c>
      <c r="U46" t="s">
        <v>203</v>
      </c>
      <c r="V46" t="s">
        <v>203</v>
      </c>
      <c r="W46" t="s">
        <v>203</v>
      </c>
      <c r="X46" t="s">
        <v>203</v>
      </c>
      <c r="AE46" t="s">
        <v>50</v>
      </c>
      <c r="AH46">
        <v>2</v>
      </c>
      <c r="AI46" t="s">
        <v>50</v>
      </c>
      <c r="AJ46" t="s">
        <v>50</v>
      </c>
      <c r="AK46" t="s">
        <v>50</v>
      </c>
      <c r="AL46" t="s">
        <v>50</v>
      </c>
      <c r="AM46" t="s">
        <v>50</v>
      </c>
      <c r="BN46">
        <v>1</v>
      </c>
      <c r="BO46" t="s">
        <v>51</v>
      </c>
      <c r="BP46" s="534" t="s">
        <v>202</v>
      </c>
      <c r="BQ46" s="729" t="s">
        <v>203</v>
      </c>
      <c r="BR46" t="s">
        <v>50</v>
      </c>
      <c r="BS46" t="s">
        <v>52</v>
      </c>
      <c r="BT46">
        <v>0</v>
      </c>
      <c r="BU46" t="s">
        <v>52</v>
      </c>
      <c r="BV46">
        <v>0</v>
      </c>
      <c r="BW46" t="s">
        <v>203</v>
      </c>
      <c r="BX46" t="s">
        <v>50</v>
      </c>
      <c r="BY46">
        <v>0</v>
      </c>
      <c r="BZ46">
        <v>0</v>
      </c>
      <c r="CA46">
        <v>0</v>
      </c>
      <c r="CB46">
        <v>0</v>
      </c>
      <c r="CC46" s="2146" t="s">
        <v>203</v>
      </c>
      <c r="CD46" s="2146" t="s">
        <v>50</v>
      </c>
      <c r="CE46" s="2146">
        <v>0</v>
      </c>
      <c r="CF46" s="2146">
        <v>0</v>
      </c>
      <c r="CG46" s="2146">
        <v>0</v>
      </c>
      <c r="CH46">
        <v>0</v>
      </c>
      <c r="CJ46" t="s">
        <v>5456</v>
      </c>
    </row>
    <row r="47" spans="1:88" ht="19.5">
      <c r="A47" t="s">
        <v>114</v>
      </c>
      <c r="B47" t="s">
        <v>278</v>
      </c>
      <c r="C47" t="s">
        <v>116</v>
      </c>
      <c r="D47" t="s">
        <v>101</v>
      </c>
      <c r="E47" t="s">
        <v>102</v>
      </c>
      <c r="F47" t="s">
        <v>117</v>
      </c>
      <c r="G47" t="s">
        <v>104</v>
      </c>
      <c r="H47" t="s">
        <v>279</v>
      </c>
      <c r="I47" t="s">
        <v>280</v>
      </c>
      <c r="J47" t="s">
        <v>69</v>
      </c>
      <c r="N47" t="s">
        <v>106</v>
      </c>
      <c r="O47" t="s">
        <v>281</v>
      </c>
      <c r="P47" t="s">
        <v>282</v>
      </c>
      <c r="Q47" s="534" t="s">
        <v>51</v>
      </c>
      <c r="S47" t="s">
        <v>283</v>
      </c>
      <c r="T47" t="s">
        <v>283</v>
      </c>
      <c r="U47" t="s">
        <v>283</v>
      </c>
      <c r="V47" t="s">
        <v>283</v>
      </c>
      <c r="W47" t="s">
        <v>283</v>
      </c>
      <c r="X47" t="s">
        <v>283</v>
      </c>
      <c r="AH47">
        <v>0</v>
      </c>
      <c r="BP47" s="534" t="s">
        <v>2797</v>
      </c>
      <c r="BQ47" s="731" t="s">
        <v>3279</v>
      </c>
      <c r="BR47" t="s">
        <v>50</v>
      </c>
      <c r="BS47" t="s">
        <v>52</v>
      </c>
      <c r="BT47">
        <v>0</v>
      </c>
      <c r="BU47" t="s">
        <v>52</v>
      </c>
      <c r="BV47">
        <v>0</v>
      </c>
      <c r="BW47" t="s">
        <v>5457</v>
      </c>
      <c r="BX47" t="s">
        <v>46</v>
      </c>
      <c r="BY47">
        <v>0</v>
      </c>
      <c r="BZ47">
        <v>0</v>
      </c>
      <c r="CA47">
        <v>0</v>
      </c>
      <c r="CB47">
        <v>0</v>
      </c>
      <c r="CC47" s="2146" t="s">
        <v>13446</v>
      </c>
      <c r="CD47" s="2146" t="s">
        <v>50</v>
      </c>
      <c r="CE47" s="2146">
        <v>0</v>
      </c>
      <c r="CF47" s="2146">
        <v>0</v>
      </c>
      <c r="CG47" s="2146">
        <v>0</v>
      </c>
      <c r="CH47">
        <v>0</v>
      </c>
      <c r="CJ47" t="s">
        <v>5458</v>
      </c>
    </row>
    <row r="48" spans="1:88">
      <c r="A48" t="s">
        <v>114</v>
      </c>
      <c r="B48" t="s">
        <v>284</v>
      </c>
      <c r="C48" t="s">
        <v>116</v>
      </c>
      <c r="D48" t="s">
        <v>101</v>
      </c>
      <c r="E48" t="s">
        <v>102</v>
      </c>
      <c r="F48" t="s">
        <v>117</v>
      </c>
      <c r="G48" t="s">
        <v>111</v>
      </c>
      <c r="H48" t="s">
        <v>285</v>
      </c>
      <c r="I48" t="s">
        <v>286</v>
      </c>
      <c r="J48" t="s">
        <v>5406</v>
      </c>
      <c r="K48" t="s">
        <v>45</v>
      </c>
      <c r="M48" t="s">
        <v>46</v>
      </c>
      <c r="N48" t="s">
        <v>106</v>
      </c>
      <c r="O48" t="s">
        <v>107</v>
      </c>
      <c r="P48" t="s">
        <v>108</v>
      </c>
      <c r="Q48" s="534">
        <v>0</v>
      </c>
      <c r="R48" t="s">
        <v>3264</v>
      </c>
      <c r="S48">
        <v>85</v>
      </c>
      <c r="T48" t="s">
        <v>109</v>
      </c>
      <c r="U48" t="s">
        <v>109</v>
      </c>
      <c r="V48" t="s">
        <v>109</v>
      </c>
      <c r="W48" t="s">
        <v>109</v>
      </c>
      <c r="X48" t="s">
        <v>109</v>
      </c>
      <c r="AH48">
        <v>0</v>
      </c>
      <c r="AI48" t="s">
        <v>50</v>
      </c>
      <c r="AJ48" t="s">
        <v>50</v>
      </c>
      <c r="AK48" t="s">
        <v>50</v>
      </c>
      <c r="AL48" t="s">
        <v>50</v>
      </c>
      <c r="AM48" t="s">
        <v>50</v>
      </c>
      <c r="AN48" t="s">
        <v>109</v>
      </c>
      <c r="AO48" t="s">
        <v>109</v>
      </c>
      <c r="AP48" t="s">
        <v>109</v>
      </c>
      <c r="AQ48" t="s">
        <v>109</v>
      </c>
      <c r="AR48" t="s">
        <v>109</v>
      </c>
      <c r="AS48" t="s">
        <v>109</v>
      </c>
      <c r="AT48" t="s">
        <v>109</v>
      </c>
      <c r="AU48" t="s">
        <v>109</v>
      </c>
      <c r="AV48" t="s">
        <v>109</v>
      </c>
      <c r="AW48" t="s">
        <v>109</v>
      </c>
      <c r="AX48" t="s">
        <v>109</v>
      </c>
      <c r="AY48" t="s">
        <v>109</v>
      </c>
      <c r="AZ48" t="s">
        <v>109</v>
      </c>
      <c r="BA48" t="s">
        <v>109</v>
      </c>
      <c r="BB48" t="s">
        <v>109</v>
      </c>
      <c r="BC48" t="s">
        <v>109</v>
      </c>
      <c r="BD48" t="s">
        <v>109</v>
      </c>
      <c r="BE48" t="s">
        <v>109</v>
      </c>
      <c r="BF48" t="s">
        <v>109</v>
      </c>
      <c r="BG48" t="s">
        <v>109</v>
      </c>
      <c r="BH48" t="s">
        <v>109</v>
      </c>
      <c r="BL48" t="s">
        <v>109</v>
      </c>
      <c r="BN48">
        <v>1</v>
      </c>
      <c r="BO48" t="s">
        <v>51</v>
      </c>
      <c r="BP48" s="534" t="s">
        <v>2797</v>
      </c>
      <c r="BQ48" s="729">
        <v>85</v>
      </c>
      <c r="BR48" t="s">
        <v>52</v>
      </c>
      <c r="BS48" t="s">
        <v>52</v>
      </c>
      <c r="BT48">
        <v>0</v>
      </c>
      <c r="BU48" t="s">
        <v>52</v>
      </c>
      <c r="BV48">
        <v>0</v>
      </c>
      <c r="BW48">
        <v>86</v>
      </c>
      <c r="BX48" t="s">
        <v>2148</v>
      </c>
      <c r="BY48">
        <v>0</v>
      </c>
      <c r="BZ48">
        <v>0</v>
      </c>
      <c r="CA48">
        <v>0</v>
      </c>
      <c r="CB48">
        <v>0</v>
      </c>
      <c r="CC48" s="2146">
        <v>88</v>
      </c>
      <c r="CD48" s="2146" t="s">
        <v>2148</v>
      </c>
      <c r="CE48" s="2146">
        <v>0</v>
      </c>
      <c r="CF48" s="2146">
        <v>0</v>
      </c>
      <c r="CG48" s="2146">
        <v>0</v>
      </c>
      <c r="CH48">
        <v>0</v>
      </c>
      <c r="CJ48" t="s">
        <v>5459</v>
      </c>
    </row>
    <row r="49" spans="1:88">
      <c r="A49" t="s">
        <v>114</v>
      </c>
      <c r="B49" t="s">
        <v>287</v>
      </c>
      <c r="C49" t="s">
        <v>116</v>
      </c>
      <c r="D49" t="s">
        <v>101</v>
      </c>
      <c r="E49" t="s">
        <v>102</v>
      </c>
      <c r="F49" t="s">
        <v>117</v>
      </c>
      <c r="G49" t="s">
        <v>288</v>
      </c>
      <c r="H49" t="s">
        <v>289</v>
      </c>
      <c r="I49" t="s">
        <v>290</v>
      </c>
      <c r="J49" t="s">
        <v>69</v>
      </c>
      <c r="N49" t="s">
        <v>192</v>
      </c>
      <c r="O49" t="s">
        <v>5460</v>
      </c>
      <c r="P49" t="s">
        <v>3729</v>
      </c>
      <c r="Q49" s="534" t="s">
        <v>51</v>
      </c>
      <c r="S49" t="s">
        <v>3280</v>
      </c>
      <c r="X49" t="s">
        <v>291</v>
      </c>
      <c r="AH49">
        <v>0</v>
      </c>
      <c r="BP49" s="534" t="s">
        <v>3280</v>
      </c>
      <c r="BQ49" s="732" t="s">
        <v>3281</v>
      </c>
      <c r="BR49" t="s">
        <v>52</v>
      </c>
      <c r="BS49" t="s">
        <v>52</v>
      </c>
      <c r="BT49">
        <v>0</v>
      </c>
      <c r="BU49" t="s">
        <v>52</v>
      </c>
      <c r="BV49">
        <v>0</v>
      </c>
      <c r="BW49" t="s">
        <v>5461</v>
      </c>
      <c r="BX49" t="s">
        <v>2148</v>
      </c>
      <c r="BY49">
        <v>0</v>
      </c>
      <c r="BZ49">
        <v>0</v>
      </c>
      <c r="CA49">
        <v>0</v>
      </c>
      <c r="CB49">
        <v>0</v>
      </c>
      <c r="CC49" s="2146" t="s">
        <v>13447</v>
      </c>
      <c r="CD49" s="2146" t="s">
        <v>2148</v>
      </c>
      <c r="CE49" s="2146">
        <v>0</v>
      </c>
      <c r="CF49" s="2146">
        <v>0</v>
      </c>
      <c r="CG49" s="2146">
        <v>0</v>
      </c>
      <c r="CH49">
        <v>0</v>
      </c>
      <c r="CJ49" t="s">
        <v>5462</v>
      </c>
    </row>
    <row r="50" spans="1:88">
      <c r="A50" t="s">
        <v>114</v>
      </c>
      <c r="B50" t="s">
        <v>292</v>
      </c>
      <c r="C50" t="s">
        <v>116</v>
      </c>
      <c r="D50" t="s">
        <v>101</v>
      </c>
      <c r="E50" t="s">
        <v>102</v>
      </c>
      <c r="F50" t="s">
        <v>129</v>
      </c>
      <c r="G50" t="s">
        <v>293</v>
      </c>
      <c r="H50" t="s">
        <v>294</v>
      </c>
      <c r="I50" t="s">
        <v>295</v>
      </c>
      <c r="J50" t="s">
        <v>5406</v>
      </c>
      <c r="K50" t="s">
        <v>45</v>
      </c>
      <c r="N50" t="s">
        <v>113</v>
      </c>
      <c r="O50" t="s">
        <v>76</v>
      </c>
      <c r="P50" t="s">
        <v>132</v>
      </c>
      <c r="Q50" s="534">
        <v>0</v>
      </c>
      <c r="R50" t="s">
        <v>3264</v>
      </c>
      <c r="S50">
        <v>0</v>
      </c>
      <c r="T50">
        <v>0</v>
      </c>
      <c r="U50">
        <v>0</v>
      </c>
      <c r="V50">
        <v>0</v>
      </c>
      <c r="W50">
        <v>0</v>
      </c>
      <c r="X50">
        <v>0</v>
      </c>
      <c r="AH50">
        <v>0</v>
      </c>
      <c r="AI50" t="s">
        <v>50</v>
      </c>
      <c r="AJ50" t="s">
        <v>50</v>
      </c>
      <c r="AK50" t="s">
        <v>50</v>
      </c>
      <c r="AL50" t="s">
        <v>50</v>
      </c>
      <c r="AM50" t="s">
        <v>50</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51</v>
      </c>
      <c r="BP50" s="534">
        <v>3</v>
      </c>
      <c r="BQ50" s="727">
        <v>5</v>
      </c>
      <c r="BR50" t="s">
        <v>50</v>
      </c>
      <c r="BS50" t="s">
        <v>52</v>
      </c>
      <c r="BT50">
        <v>0</v>
      </c>
      <c r="BU50" t="s">
        <v>5425</v>
      </c>
      <c r="BV50">
        <v>0.125</v>
      </c>
      <c r="BW50">
        <v>3</v>
      </c>
      <c r="BX50" t="s">
        <v>50</v>
      </c>
      <c r="BY50">
        <v>0</v>
      </c>
      <c r="BZ50">
        <v>0</v>
      </c>
      <c r="CA50" t="s">
        <v>5425</v>
      </c>
      <c r="CB50">
        <v>7.4999999999999997E-2</v>
      </c>
      <c r="CC50" s="2146">
        <v>9</v>
      </c>
      <c r="CD50" s="2146" t="s">
        <v>50</v>
      </c>
      <c r="CE50" s="2146">
        <v>0</v>
      </c>
      <c r="CF50" s="2146">
        <v>0</v>
      </c>
      <c r="CG50" s="2146" t="s">
        <v>5425</v>
      </c>
      <c r="CH50">
        <v>0.22500000000000001</v>
      </c>
      <c r="CJ50" t="s">
        <v>5463</v>
      </c>
    </row>
    <row r="51" spans="1:88">
      <c r="A51" t="s">
        <v>114</v>
      </c>
      <c r="B51" t="s">
        <v>296</v>
      </c>
      <c r="C51" t="s">
        <v>116</v>
      </c>
      <c r="D51" t="s">
        <v>101</v>
      </c>
      <c r="E51" t="s">
        <v>102</v>
      </c>
      <c r="F51" t="s">
        <v>129</v>
      </c>
      <c r="G51" t="s">
        <v>297</v>
      </c>
      <c r="H51" t="s">
        <v>298</v>
      </c>
      <c r="I51" t="s">
        <v>299</v>
      </c>
      <c r="J51" t="s">
        <v>5406</v>
      </c>
      <c r="K51" t="s">
        <v>45</v>
      </c>
      <c r="N51" t="s">
        <v>113</v>
      </c>
      <c r="O51" t="s">
        <v>76</v>
      </c>
      <c r="P51" t="s">
        <v>132</v>
      </c>
      <c r="Q51" s="534">
        <v>0</v>
      </c>
      <c r="R51" t="s">
        <v>3264</v>
      </c>
      <c r="S51">
        <v>0</v>
      </c>
      <c r="T51">
        <v>0</v>
      </c>
      <c r="U51">
        <v>0</v>
      </c>
      <c r="V51">
        <v>0</v>
      </c>
      <c r="W51">
        <v>0</v>
      </c>
      <c r="X51">
        <v>0</v>
      </c>
      <c r="AH51">
        <v>0</v>
      </c>
      <c r="AI51" t="s">
        <v>50</v>
      </c>
      <c r="AJ51" t="s">
        <v>50</v>
      </c>
      <c r="AK51" t="s">
        <v>50</v>
      </c>
      <c r="AL51" t="s">
        <v>50</v>
      </c>
      <c r="AM51" t="s">
        <v>50</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51</v>
      </c>
      <c r="BP51" s="534">
        <v>4</v>
      </c>
      <c r="BQ51" s="727">
        <v>6</v>
      </c>
      <c r="BR51" t="s">
        <v>50</v>
      </c>
      <c r="BS51" t="s">
        <v>52</v>
      </c>
      <c r="BT51">
        <v>0</v>
      </c>
      <c r="BU51" t="s">
        <v>5425</v>
      </c>
      <c r="BV51">
        <v>0.15</v>
      </c>
      <c r="BW51">
        <v>4</v>
      </c>
      <c r="BX51" t="s">
        <v>50</v>
      </c>
      <c r="BY51">
        <v>0</v>
      </c>
      <c r="BZ51">
        <v>0</v>
      </c>
      <c r="CA51" t="s">
        <v>5425</v>
      </c>
      <c r="CB51">
        <v>0.1</v>
      </c>
      <c r="CC51" s="2146">
        <v>10</v>
      </c>
      <c r="CD51" s="2146" t="s">
        <v>50</v>
      </c>
      <c r="CE51" s="2146">
        <v>0</v>
      </c>
      <c r="CF51" s="2146">
        <v>0</v>
      </c>
      <c r="CG51" s="2146" t="s">
        <v>5425</v>
      </c>
      <c r="CH51">
        <v>0.25</v>
      </c>
      <c r="CJ51" t="s">
        <v>5464</v>
      </c>
    </row>
    <row r="52" spans="1:88">
      <c r="A52" t="s">
        <v>114</v>
      </c>
      <c r="B52" t="s">
        <v>300</v>
      </c>
      <c r="C52" t="s">
        <v>116</v>
      </c>
      <c r="D52" t="s">
        <v>101</v>
      </c>
      <c r="E52" t="s">
        <v>102</v>
      </c>
      <c r="F52" t="s">
        <v>178</v>
      </c>
      <c r="G52" t="s">
        <v>301</v>
      </c>
      <c r="H52" t="s">
        <v>302</v>
      </c>
      <c r="I52" t="s">
        <v>303</v>
      </c>
      <c r="J52" t="s">
        <v>69</v>
      </c>
      <c r="N52" t="s">
        <v>182</v>
      </c>
      <c r="O52" t="s">
        <v>76</v>
      </c>
      <c r="P52" t="s">
        <v>259</v>
      </c>
      <c r="Q52" s="534">
        <v>0</v>
      </c>
      <c r="R52" t="s">
        <v>3264</v>
      </c>
      <c r="S52">
        <v>0</v>
      </c>
      <c r="X52">
        <v>7</v>
      </c>
      <c r="AH52">
        <v>0</v>
      </c>
      <c r="BP52" s="534">
        <v>0</v>
      </c>
      <c r="BQ52" s="727">
        <v>5</v>
      </c>
      <c r="BR52" t="s">
        <v>52</v>
      </c>
      <c r="BS52" t="s">
        <v>52</v>
      </c>
      <c r="BT52">
        <v>0</v>
      </c>
      <c r="BU52" t="s">
        <v>52</v>
      </c>
      <c r="BV52">
        <v>0</v>
      </c>
      <c r="BW52">
        <v>11</v>
      </c>
      <c r="BX52" t="s">
        <v>2148</v>
      </c>
      <c r="BY52">
        <v>0</v>
      </c>
      <c r="BZ52">
        <v>0</v>
      </c>
      <c r="CA52">
        <v>0</v>
      </c>
      <c r="CB52">
        <v>0</v>
      </c>
      <c r="CC52" s="2146">
        <v>19.600000000000001</v>
      </c>
      <c r="CD52" s="2146" t="s">
        <v>2148</v>
      </c>
      <c r="CE52" s="2146">
        <v>0</v>
      </c>
      <c r="CF52" s="2146">
        <v>0</v>
      </c>
      <c r="CG52" s="2146">
        <v>0</v>
      </c>
      <c r="CH52">
        <v>0</v>
      </c>
      <c r="CJ52" t="s">
        <v>5465</v>
      </c>
    </row>
    <row r="53" spans="1:88">
      <c r="A53" t="s">
        <v>114</v>
      </c>
      <c r="B53" t="s">
        <v>304</v>
      </c>
      <c r="C53" t="s">
        <v>116</v>
      </c>
      <c r="D53" t="s">
        <v>101</v>
      </c>
      <c r="E53" t="s">
        <v>102</v>
      </c>
      <c r="F53" t="s">
        <v>178</v>
      </c>
      <c r="G53" t="s">
        <v>305</v>
      </c>
      <c r="H53" t="s">
        <v>306</v>
      </c>
      <c r="I53" t="s">
        <v>307</v>
      </c>
      <c r="J53" t="s">
        <v>69</v>
      </c>
      <c r="N53" t="s">
        <v>182</v>
      </c>
      <c r="O53" t="s">
        <v>76</v>
      </c>
      <c r="P53" t="s">
        <v>264</v>
      </c>
      <c r="Q53" s="534">
        <v>0</v>
      </c>
      <c r="R53" t="s">
        <v>3264</v>
      </c>
      <c r="S53">
        <v>50</v>
      </c>
      <c r="X53">
        <v>60</v>
      </c>
      <c r="AH53">
        <v>0</v>
      </c>
      <c r="BP53" s="534">
        <v>54</v>
      </c>
      <c r="BQ53" s="727">
        <v>53</v>
      </c>
      <c r="BR53" t="s">
        <v>52</v>
      </c>
      <c r="BS53" t="s">
        <v>52</v>
      </c>
      <c r="BT53">
        <v>0</v>
      </c>
      <c r="BU53" t="s">
        <v>52</v>
      </c>
      <c r="BV53">
        <v>0</v>
      </c>
      <c r="BW53">
        <v>55</v>
      </c>
      <c r="BX53" t="s">
        <v>2148</v>
      </c>
      <c r="BY53">
        <v>0</v>
      </c>
      <c r="BZ53">
        <v>0</v>
      </c>
      <c r="CA53">
        <v>0</v>
      </c>
      <c r="CB53">
        <v>0</v>
      </c>
      <c r="CC53" s="2146">
        <v>57</v>
      </c>
      <c r="CD53" s="2146" t="s">
        <v>2148</v>
      </c>
      <c r="CE53" s="2146">
        <v>0</v>
      </c>
      <c r="CF53" s="2146">
        <v>0</v>
      </c>
      <c r="CG53" s="2146">
        <v>0</v>
      </c>
      <c r="CH53">
        <v>0</v>
      </c>
      <c r="CJ53" t="s">
        <v>5466</v>
      </c>
    </row>
    <row r="54" spans="1:88">
      <c r="A54" t="s">
        <v>114</v>
      </c>
      <c r="B54" t="s">
        <v>308</v>
      </c>
      <c r="C54" t="s">
        <v>116</v>
      </c>
      <c r="D54" t="s">
        <v>101</v>
      </c>
      <c r="E54" t="s">
        <v>102</v>
      </c>
      <c r="F54" t="s">
        <v>188</v>
      </c>
      <c r="G54" t="s">
        <v>309</v>
      </c>
      <c r="H54" t="s">
        <v>310</v>
      </c>
      <c r="I54" t="s">
        <v>311</v>
      </c>
      <c r="J54" t="s">
        <v>69</v>
      </c>
      <c r="N54" t="s">
        <v>192</v>
      </c>
      <c r="O54" t="s">
        <v>76</v>
      </c>
      <c r="P54" t="s">
        <v>193</v>
      </c>
      <c r="Q54" s="534" t="s">
        <v>51</v>
      </c>
      <c r="R54" t="s">
        <v>3264</v>
      </c>
      <c r="S54">
        <v>56</v>
      </c>
      <c r="X54">
        <v>60</v>
      </c>
      <c r="AH54">
        <v>0</v>
      </c>
      <c r="BP54" s="534" t="s">
        <v>3302</v>
      </c>
      <c r="BQ54" s="729">
        <v>56</v>
      </c>
      <c r="BR54" t="s">
        <v>52</v>
      </c>
      <c r="BS54" t="s">
        <v>52</v>
      </c>
      <c r="BT54">
        <v>0</v>
      </c>
      <c r="BU54" t="s">
        <v>52</v>
      </c>
      <c r="BV54">
        <v>0</v>
      </c>
      <c r="BW54">
        <v>52</v>
      </c>
      <c r="BX54" t="s">
        <v>2148</v>
      </c>
      <c r="BY54">
        <v>0</v>
      </c>
      <c r="BZ54">
        <v>0</v>
      </c>
      <c r="CA54">
        <v>0</v>
      </c>
      <c r="CB54">
        <v>0</v>
      </c>
      <c r="CC54" s="2146">
        <v>55</v>
      </c>
      <c r="CD54" s="2146" t="s">
        <v>2148</v>
      </c>
      <c r="CE54" s="2146">
        <v>0</v>
      </c>
      <c r="CF54" s="2146">
        <v>0</v>
      </c>
      <c r="CG54" s="2146">
        <v>0</v>
      </c>
      <c r="CH54">
        <v>0</v>
      </c>
      <c r="CJ54" t="s">
        <v>5467</v>
      </c>
    </row>
    <row r="55" spans="1:88">
      <c r="A55" t="s">
        <v>312</v>
      </c>
      <c r="B55" t="s">
        <v>313</v>
      </c>
      <c r="C55" t="s">
        <v>39</v>
      </c>
      <c r="D55" t="s">
        <v>40</v>
      </c>
      <c r="E55" t="s">
        <v>41</v>
      </c>
      <c r="F55" t="s">
        <v>314</v>
      </c>
      <c r="G55" t="s">
        <v>315</v>
      </c>
      <c r="H55" t="s">
        <v>316</v>
      </c>
      <c r="I55" t="s">
        <v>317</v>
      </c>
      <c r="J55" t="s">
        <v>5406</v>
      </c>
      <c r="K55" t="s">
        <v>45</v>
      </c>
      <c r="N55" t="s">
        <v>86</v>
      </c>
      <c r="O55" t="s">
        <v>119</v>
      </c>
      <c r="P55" t="s">
        <v>120</v>
      </c>
      <c r="Q55" s="534">
        <v>1</v>
      </c>
      <c r="R55" t="s">
        <v>3263</v>
      </c>
      <c r="S55">
        <v>13.7</v>
      </c>
      <c r="T55">
        <v>13.4</v>
      </c>
      <c r="U55">
        <v>13.1</v>
      </c>
      <c r="V55">
        <v>12.8</v>
      </c>
      <c r="W55">
        <v>12.5</v>
      </c>
      <c r="X55">
        <v>12.2</v>
      </c>
      <c r="AA55" t="s">
        <v>50</v>
      </c>
      <c r="AE55" t="s">
        <v>50</v>
      </c>
      <c r="AH55">
        <v>0</v>
      </c>
      <c r="AI55" t="s">
        <v>50</v>
      </c>
      <c r="AJ55" t="s">
        <v>50</v>
      </c>
      <c r="AK55" t="s">
        <v>50</v>
      </c>
      <c r="AL55" t="s">
        <v>50</v>
      </c>
      <c r="AM55" t="s">
        <v>50</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51</v>
      </c>
      <c r="BP55" s="534">
        <v>152.4</v>
      </c>
      <c r="BQ55" s="728">
        <v>15.49</v>
      </c>
      <c r="BR55" t="s">
        <v>46</v>
      </c>
      <c r="BS55" t="s">
        <v>52</v>
      </c>
      <c r="BT55">
        <v>0</v>
      </c>
      <c r="BU55" t="s">
        <v>5415</v>
      </c>
      <c r="BV55">
        <v>-0.7389</v>
      </c>
      <c r="BW55">
        <v>13.12</v>
      </c>
      <c r="BX55" t="s">
        <v>50</v>
      </c>
      <c r="BY55">
        <v>0</v>
      </c>
      <c r="BZ55">
        <v>0</v>
      </c>
      <c r="CA55">
        <v>0</v>
      </c>
      <c r="CB55">
        <v>0</v>
      </c>
      <c r="CC55" s="2146">
        <v>73.7</v>
      </c>
      <c r="CD55" s="2146" t="s">
        <v>46</v>
      </c>
      <c r="CE55" s="2146">
        <v>0</v>
      </c>
      <c r="CF55" s="2146">
        <v>0</v>
      </c>
      <c r="CG55" s="2146" t="s">
        <v>13444</v>
      </c>
      <c r="CH55">
        <v>-0.7389</v>
      </c>
      <c r="CJ55" t="s">
        <v>5468</v>
      </c>
    </row>
    <row r="56" spans="1:88">
      <c r="A56" t="s">
        <v>312</v>
      </c>
      <c r="B56" t="s">
        <v>318</v>
      </c>
      <c r="C56" t="s">
        <v>39</v>
      </c>
      <c r="D56" t="s">
        <v>40</v>
      </c>
      <c r="E56" t="s">
        <v>41</v>
      </c>
      <c r="F56" t="s">
        <v>314</v>
      </c>
      <c r="G56" t="s">
        <v>319</v>
      </c>
      <c r="H56" t="s">
        <v>320</v>
      </c>
      <c r="I56" t="s">
        <v>321</v>
      </c>
      <c r="J56" t="s">
        <v>5408</v>
      </c>
      <c r="K56" t="s">
        <v>322</v>
      </c>
      <c r="M56" t="s">
        <v>46</v>
      </c>
      <c r="N56" t="s">
        <v>91</v>
      </c>
      <c r="O56" t="s">
        <v>200</v>
      </c>
      <c r="P56" t="s">
        <v>323</v>
      </c>
      <c r="Q56" s="534" t="s">
        <v>51</v>
      </c>
      <c r="S56" t="s">
        <v>202</v>
      </c>
      <c r="T56" t="s">
        <v>202</v>
      </c>
      <c r="U56" t="s">
        <v>202</v>
      </c>
      <c r="V56" t="s">
        <v>202</v>
      </c>
      <c r="W56" t="s">
        <v>202</v>
      </c>
      <c r="X56" t="s">
        <v>202</v>
      </c>
      <c r="AE56" t="s">
        <v>50</v>
      </c>
      <c r="AH56">
        <v>2</v>
      </c>
      <c r="AI56" t="s">
        <v>50</v>
      </c>
      <c r="AJ56" t="s">
        <v>50</v>
      </c>
      <c r="AK56" t="s">
        <v>50</v>
      </c>
      <c r="AL56" t="s">
        <v>50</v>
      </c>
      <c r="AM56" t="s">
        <v>50</v>
      </c>
      <c r="AN56" t="s">
        <v>324</v>
      </c>
      <c r="AO56" t="s">
        <v>324</v>
      </c>
      <c r="AP56" t="s">
        <v>324</v>
      </c>
      <c r="AQ56" t="s">
        <v>324</v>
      </c>
      <c r="AR56" t="s">
        <v>324</v>
      </c>
      <c r="AS56" t="s">
        <v>325</v>
      </c>
      <c r="AT56" t="s">
        <v>325</v>
      </c>
      <c r="AU56" t="s">
        <v>325</v>
      </c>
      <c r="AV56" t="s">
        <v>325</v>
      </c>
      <c r="AW56" t="s">
        <v>325</v>
      </c>
      <c r="BH56">
        <v>2.0539999999999998</v>
      </c>
      <c r="BI56">
        <v>0.68500000000000005</v>
      </c>
      <c r="BN56">
        <v>1</v>
      </c>
      <c r="BO56" t="s">
        <v>51</v>
      </c>
      <c r="BP56" s="534" t="s">
        <v>202</v>
      </c>
      <c r="BQ56" s="729" t="s">
        <v>202</v>
      </c>
      <c r="BR56" t="s">
        <v>50</v>
      </c>
      <c r="BS56" t="s">
        <v>52</v>
      </c>
      <c r="BT56">
        <v>0</v>
      </c>
      <c r="BU56" t="s">
        <v>52</v>
      </c>
      <c r="BV56">
        <v>0</v>
      </c>
      <c r="BW56" t="s">
        <v>202</v>
      </c>
      <c r="BX56" t="s">
        <v>50</v>
      </c>
      <c r="BY56">
        <v>0</v>
      </c>
      <c r="BZ56">
        <v>0</v>
      </c>
      <c r="CA56">
        <v>0</v>
      </c>
      <c r="CB56">
        <v>0</v>
      </c>
      <c r="CC56" s="2146" t="s">
        <v>325</v>
      </c>
      <c r="CD56" s="2146" t="s">
        <v>46</v>
      </c>
      <c r="CE56" s="2146">
        <v>0</v>
      </c>
      <c r="CF56" s="2146">
        <v>0</v>
      </c>
      <c r="CG56" s="2146" t="s">
        <v>13445</v>
      </c>
      <c r="CH56">
        <v>0</v>
      </c>
      <c r="CJ56" t="s">
        <v>5469</v>
      </c>
    </row>
    <row r="57" spans="1:88">
      <c r="A57" t="s">
        <v>312</v>
      </c>
      <c r="B57" t="s">
        <v>326</v>
      </c>
      <c r="C57" t="s">
        <v>39</v>
      </c>
      <c r="D57" t="s">
        <v>40</v>
      </c>
      <c r="E57" t="s">
        <v>41</v>
      </c>
      <c r="F57" t="s">
        <v>314</v>
      </c>
      <c r="G57" t="s">
        <v>327</v>
      </c>
      <c r="H57" t="s">
        <v>328</v>
      </c>
      <c r="I57" t="s">
        <v>329</v>
      </c>
      <c r="J57" t="s">
        <v>5408</v>
      </c>
      <c r="K57" t="s">
        <v>322</v>
      </c>
      <c r="M57" t="s">
        <v>46</v>
      </c>
      <c r="N57" t="s">
        <v>91</v>
      </c>
      <c r="O57" t="s">
        <v>200</v>
      </c>
      <c r="P57" t="s">
        <v>323</v>
      </c>
      <c r="Q57" s="534" t="s">
        <v>51</v>
      </c>
      <c r="S57" t="s">
        <v>202</v>
      </c>
      <c r="T57" t="s">
        <v>202</v>
      </c>
      <c r="U57" t="s">
        <v>202</v>
      </c>
      <c r="V57" t="s">
        <v>202</v>
      </c>
      <c r="W57" t="s">
        <v>202</v>
      </c>
      <c r="X57" t="s">
        <v>202</v>
      </c>
      <c r="AE57" t="s">
        <v>50</v>
      </c>
      <c r="AH57">
        <v>2</v>
      </c>
      <c r="AI57" t="s">
        <v>50</v>
      </c>
      <c r="AJ57" t="s">
        <v>50</v>
      </c>
      <c r="AK57" t="s">
        <v>50</v>
      </c>
      <c r="AL57" t="s">
        <v>50</v>
      </c>
      <c r="AM57" t="s">
        <v>50</v>
      </c>
      <c r="AN57" t="s">
        <v>324</v>
      </c>
      <c r="AO57" t="s">
        <v>324</v>
      </c>
      <c r="AP57" t="s">
        <v>324</v>
      </c>
      <c r="AQ57" t="s">
        <v>324</v>
      </c>
      <c r="AR57" t="s">
        <v>324</v>
      </c>
      <c r="AS57" t="s">
        <v>325</v>
      </c>
      <c r="AT57" t="s">
        <v>325</v>
      </c>
      <c r="AU57" t="s">
        <v>325</v>
      </c>
      <c r="AV57" t="s">
        <v>325</v>
      </c>
      <c r="AW57" t="s">
        <v>325</v>
      </c>
      <c r="BH57">
        <v>2.1190000000000002</v>
      </c>
      <c r="BI57">
        <v>0.70599999999999996</v>
      </c>
      <c r="BN57">
        <v>1</v>
      </c>
      <c r="BO57" t="s">
        <v>51</v>
      </c>
      <c r="BP57" s="534" t="s">
        <v>202</v>
      </c>
      <c r="BQ57" s="729" t="s">
        <v>202</v>
      </c>
      <c r="BR57" t="s">
        <v>50</v>
      </c>
      <c r="BS57" t="s">
        <v>52</v>
      </c>
      <c r="BT57">
        <v>0</v>
      </c>
      <c r="BU57" t="s">
        <v>52</v>
      </c>
      <c r="BV57">
        <v>0</v>
      </c>
      <c r="BW57" t="s">
        <v>202</v>
      </c>
      <c r="BX57" t="s">
        <v>50</v>
      </c>
      <c r="BY57">
        <v>0</v>
      </c>
      <c r="BZ57">
        <v>0</v>
      </c>
      <c r="CA57">
        <v>0</v>
      </c>
      <c r="CB57">
        <v>0</v>
      </c>
      <c r="CC57" s="2146" t="s">
        <v>202</v>
      </c>
      <c r="CD57" s="2146" t="s">
        <v>50</v>
      </c>
      <c r="CE57" s="2146">
        <v>0</v>
      </c>
      <c r="CF57" s="2146">
        <v>0</v>
      </c>
      <c r="CG57" s="2146">
        <v>0</v>
      </c>
      <c r="CH57">
        <v>0</v>
      </c>
      <c r="CJ57" t="s">
        <v>5470</v>
      </c>
    </row>
    <row r="58" spans="1:88">
      <c r="A58" t="s">
        <v>312</v>
      </c>
      <c r="B58" t="s">
        <v>330</v>
      </c>
      <c r="C58" t="s">
        <v>39</v>
      </c>
      <c r="D58" t="s">
        <v>40</v>
      </c>
      <c r="E58" t="s">
        <v>41</v>
      </c>
      <c r="F58" t="s">
        <v>331</v>
      </c>
      <c r="G58" t="s">
        <v>332</v>
      </c>
      <c r="H58" t="s">
        <v>333</v>
      </c>
      <c r="I58" t="s">
        <v>334</v>
      </c>
      <c r="J58" t="s">
        <v>5406</v>
      </c>
      <c r="K58" t="s">
        <v>45</v>
      </c>
      <c r="N58" t="s">
        <v>137</v>
      </c>
      <c r="O58" t="s">
        <v>48</v>
      </c>
      <c r="P58" t="s">
        <v>335</v>
      </c>
      <c r="Q58" s="534">
        <v>0</v>
      </c>
      <c r="R58" t="s">
        <v>3263</v>
      </c>
      <c r="S58">
        <v>288589</v>
      </c>
      <c r="T58">
        <v>288589</v>
      </c>
      <c r="U58">
        <v>288589</v>
      </c>
      <c r="V58">
        <v>9063</v>
      </c>
      <c r="W58">
        <v>9063</v>
      </c>
      <c r="X58">
        <v>9063</v>
      </c>
      <c r="AD58" t="s">
        <v>50</v>
      </c>
      <c r="AE58" t="s">
        <v>50</v>
      </c>
      <c r="AH58">
        <v>0</v>
      </c>
      <c r="AI58" t="s">
        <v>50</v>
      </c>
      <c r="AJ58" t="s">
        <v>50</v>
      </c>
      <c r="AK58" t="s">
        <v>50</v>
      </c>
      <c r="AL58" t="s">
        <v>50</v>
      </c>
      <c r="AM58" t="s">
        <v>50</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51</v>
      </c>
      <c r="BP58" s="534">
        <v>288589</v>
      </c>
      <c r="BQ58" s="727">
        <v>288589</v>
      </c>
      <c r="BR58" t="s">
        <v>50</v>
      </c>
      <c r="BS58" t="s">
        <v>52</v>
      </c>
      <c r="BT58">
        <v>0</v>
      </c>
      <c r="BU58" t="s">
        <v>52</v>
      </c>
      <c r="BV58">
        <v>0</v>
      </c>
      <c r="BW58">
        <v>288589</v>
      </c>
      <c r="BX58" t="s">
        <v>50</v>
      </c>
      <c r="BY58">
        <v>0</v>
      </c>
      <c r="BZ58">
        <v>0</v>
      </c>
      <c r="CA58">
        <v>0</v>
      </c>
      <c r="CB58">
        <v>0</v>
      </c>
      <c r="CC58" s="2146">
        <v>9063</v>
      </c>
      <c r="CD58" s="2146" t="s">
        <v>50</v>
      </c>
      <c r="CE58" s="2146">
        <v>0</v>
      </c>
      <c r="CF58" s="2146">
        <v>0</v>
      </c>
      <c r="CG58" s="2146">
        <v>0</v>
      </c>
      <c r="CH58">
        <v>0</v>
      </c>
      <c r="CJ58" t="s">
        <v>5471</v>
      </c>
    </row>
    <row r="59" spans="1:88">
      <c r="A59" t="s">
        <v>312</v>
      </c>
      <c r="B59" t="s">
        <v>336</v>
      </c>
      <c r="C59" t="s">
        <v>39</v>
      </c>
      <c r="D59" t="s">
        <v>40</v>
      </c>
      <c r="E59" t="s">
        <v>41</v>
      </c>
      <c r="F59" t="s">
        <v>337</v>
      </c>
      <c r="G59" t="s">
        <v>338</v>
      </c>
      <c r="H59" t="s">
        <v>339</v>
      </c>
      <c r="I59" t="s">
        <v>340</v>
      </c>
      <c r="J59" t="s">
        <v>69</v>
      </c>
      <c r="N59" t="s">
        <v>61</v>
      </c>
      <c r="O59" t="s">
        <v>107</v>
      </c>
      <c r="P59" t="s">
        <v>150</v>
      </c>
      <c r="Q59" s="534">
        <v>0</v>
      </c>
      <c r="R59" t="s">
        <v>3264</v>
      </c>
      <c r="S59">
        <v>100</v>
      </c>
      <c r="T59">
        <v>100</v>
      </c>
      <c r="U59">
        <v>100</v>
      </c>
      <c r="V59">
        <v>100</v>
      </c>
      <c r="W59">
        <v>100</v>
      </c>
      <c r="X59">
        <v>100</v>
      </c>
      <c r="AH59">
        <v>0</v>
      </c>
      <c r="BP59" s="534">
        <v>100</v>
      </c>
      <c r="BQ59" s="727">
        <v>100</v>
      </c>
      <c r="BR59" t="s">
        <v>50</v>
      </c>
      <c r="BS59" t="s">
        <v>52</v>
      </c>
      <c r="BT59">
        <v>0</v>
      </c>
      <c r="BU59" t="s">
        <v>52</v>
      </c>
      <c r="BV59">
        <v>0</v>
      </c>
      <c r="BW59">
        <v>100</v>
      </c>
      <c r="BX59" t="s">
        <v>50</v>
      </c>
      <c r="BY59">
        <v>0</v>
      </c>
      <c r="BZ59">
        <v>0</v>
      </c>
      <c r="CA59">
        <v>0</v>
      </c>
      <c r="CB59">
        <v>0</v>
      </c>
      <c r="CC59" s="2146">
        <v>100</v>
      </c>
      <c r="CD59" s="2146" t="s">
        <v>50</v>
      </c>
      <c r="CE59" s="2146">
        <v>0</v>
      </c>
      <c r="CF59" s="2146">
        <v>0</v>
      </c>
      <c r="CG59" s="2146">
        <v>0</v>
      </c>
      <c r="CH59">
        <v>0</v>
      </c>
      <c r="CJ59" t="s">
        <v>5472</v>
      </c>
    </row>
    <row r="60" spans="1:88">
      <c r="A60" t="s">
        <v>312</v>
      </c>
      <c r="B60" t="s">
        <v>341</v>
      </c>
      <c r="C60" t="s">
        <v>39</v>
      </c>
      <c r="D60" t="s">
        <v>40</v>
      </c>
      <c r="E60" t="s">
        <v>41</v>
      </c>
      <c r="F60" t="s">
        <v>337</v>
      </c>
      <c r="G60" t="s">
        <v>342</v>
      </c>
      <c r="H60" t="s">
        <v>343</v>
      </c>
      <c r="I60" t="s">
        <v>344</v>
      </c>
      <c r="J60" t="s">
        <v>5408</v>
      </c>
      <c r="K60" t="s">
        <v>45</v>
      </c>
      <c r="N60" t="s">
        <v>143</v>
      </c>
      <c r="O60" t="s">
        <v>48</v>
      </c>
      <c r="P60" t="s">
        <v>345</v>
      </c>
      <c r="Q60" s="534">
        <v>1</v>
      </c>
      <c r="R60" t="s">
        <v>3263</v>
      </c>
      <c r="S60">
        <v>0</v>
      </c>
      <c r="T60">
        <v>10.199999999999999</v>
      </c>
      <c r="U60">
        <v>10.199999999999999</v>
      </c>
      <c r="V60">
        <v>10.199999999999999</v>
      </c>
      <c r="W60">
        <v>10.199999999999999</v>
      </c>
      <c r="X60">
        <v>10.199999999999999</v>
      </c>
      <c r="AH60">
        <v>0</v>
      </c>
      <c r="AI60" t="s">
        <v>50</v>
      </c>
      <c r="AJ60" t="s">
        <v>50</v>
      </c>
      <c r="AK60" t="s">
        <v>50</v>
      </c>
      <c r="AL60" t="s">
        <v>50</v>
      </c>
      <c r="AM60" t="s">
        <v>50</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51</v>
      </c>
      <c r="BP60" s="534">
        <v>10.199999999999999</v>
      </c>
      <c r="BQ60" s="733">
        <v>1.54</v>
      </c>
      <c r="BR60" t="s">
        <v>50</v>
      </c>
      <c r="BS60" t="s">
        <v>52</v>
      </c>
      <c r="BT60">
        <v>0</v>
      </c>
      <c r="BU60" t="s">
        <v>52</v>
      </c>
      <c r="BV60">
        <v>0</v>
      </c>
      <c r="BW60">
        <v>3.09</v>
      </c>
      <c r="BX60" t="s">
        <v>50</v>
      </c>
      <c r="BY60">
        <v>0</v>
      </c>
      <c r="BZ60">
        <v>0</v>
      </c>
      <c r="CA60">
        <v>0</v>
      </c>
      <c r="CB60">
        <v>0</v>
      </c>
      <c r="CC60" s="2146">
        <v>3.09</v>
      </c>
      <c r="CD60" s="2146" t="s">
        <v>50</v>
      </c>
      <c r="CE60" s="2146">
        <v>0</v>
      </c>
      <c r="CF60" s="2146">
        <v>0</v>
      </c>
      <c r="CG60" s="2146">
        <v>0</v>
      </c>
      <c r="CH60">
        <v>0</v>
      </c>
      <c r="CJ60" t="s">
        <v>5473</v>
      </c>
    </row>
    <row r="61" spans="1:88">
      <c r="A61" t="s">
        <v>312</v>
      </c>
      <c r="B61" t="s">
        <v>346</v>
      </c>
      <c r="C61" t="s">
        <v>39</v>
      </c>
      <c r="D61" t="s">
        <v>40</v>
      </c>
      <c r="E61" t="s">
        <v>41</v>
      </c>
      <c r="F61" t="s">
        <v>347</v>
      </c>
      <c r="G61" t="s">
        <v>348</v>
      </c>
      <c r="H61" t="s">
        <v>349</v>
      </c>
      <c r="I61" t="s">
        <v>350</v>
      </c>
      <c r="J61" t="s">
        <v>5408</v>
      </c>
      <c r="K61" t="s">
        <v>45</v>
      </c>
      <c r="N61" t="s">
        <v>75</v>
      </c>
      <c r="O61" t="s">
        <v>76</v>
      </c>
      <c r="P61" t="s">
        <v>77</v>
      </c>
      <c r="Q61" s="534">
        <v>2</v>
      </c>
      <c r="R61" t="s">
        <v>3264</v>
      </c>
      <c r="S61">
        <v>99.96</v>
      </c>
      <c r="T61">
        <v>99.96</v>
      </c>
      <c r="U61">
        <v>99.96</v>
      </c>
      <c r="V61">
        <v>100</v>
      </c>
      <c r="W61">
        <v>100</v>
      </c>
      <c r="X61">
        <v>100</v>
      </c>
      <c r="Y61" t="s">
        <v>50</v>
      </c>
      <c r="AE61" t="s">
        <v>50</v>
      </c>
      <c r="AH61">
        <v>0</v>
      </c>
      <c r="AI61" t="s">
        <v>50</v>
      </c>
      <c r="AJ61" t="s">
        <v>50</v>
      </c>
      <c r="AK61" t="s">
        <v>50</v>
      </c>
      <c r="AL61" t="s">
        <v>50</v>
      </c>
      <c r="AM61" t="s">
        <v>50</v>
      </c>
      <c r="AN61">
        <v>99.94</v>
      </c>
      <c r="AO61">
        <v>99.94</v>
      </c>
      <c r="AP61">
        <v>99.94</v>
      </c>
      <c r="AQ61">
        <v>99.94</v>
      </c>
      <c r="AR61">
        <v>99.94</v>
      </c>
      <c r="AS61">
        <v>99.95</v>
      </c>
      <c r="AT61">
        <v>99.95</v>
      </c>
      <c r="AU61">
        <v>99.95</v>
      </c>
      <c r="AV61">
        <v>99.95</v>
      </c>
      <c r="AW61">
        <v>99.95</v>
      </c>
      <c r="BH61">
        <v>0.28399999999999997</v>
      </c>
      <c r="BN61">
        <v>100</v>
      </c>
      <c r="BO61" t="s">
        <v>351</v>
      </c>
      <c r="BP61" s="534">
        <v>99.92</v>
      </c>
      <c r="BQ61" s="728">
        <v>99.93</v>
      </c>
      <c r="BR61" t="s">
        <v>46</v>
      </c>
      <c r="BS61" t="s">
        <v>52</v>
      </c>
      <c r="BT61">
        <v>0</v>
      </c>
      <c r="BU61" t="s">
        <v>5415</v>
      </c>
      <c r="BV61">
        <v>-0.28399999999999997</v>
      </c>
      <c r="BW61">
        <v>99.97</v>
      </c>
      <c r="BX61" t="s">
        <v>50</v>
      </c>
      <c r="BY61">
        <v>0</v>
      </c>
      <c r="BZ61">
        <v>0</v>
      </c>
      <c r="CA61">
        <v>0</v>
      </c>
      <c r="CB61">
        <v>0</v>
      </c>
      <c r="CC61" s="2146">
        <v>99.93</v>
      </c>
      <c r="CD61" s="2146" t="s">
        <v>46</v>
      </c>
      <c r="CE61" s="2146">
        <v>0</v>
      </c>
      <c r="CF61" s="2146">
        <v>0</v>
      </c>
      <c r="CG61" s="2146" t="s">
        <v>13444</v>
      </c>
      <c r="CH61">
        <v>-0.28399999999999997</v>
      </c>
      <c r="CJ61" t="s">
        <v>5474</v>
      </c>
    </row>
    <row r="62" spans="1:88">
      <c r="A62" t="s">
        <v>312</v>
      </c>
      <c r="B62" t="s">
        <v>352</v>
      </c>
      <c r="C62" t="s">
        <v>39</v>
      </c>
      <c r="D62" t="s">
        <v>40</v>
      </c>
      <c r="E62" t="s">
        <v>41</v>
      </c>
      <c r="F62" t="s">
        <v>353</v>
      </c>
      <c r="G62" t="s">
        <v>354</v>
      </c>
      <c r="H62" t="s">
        <v>355</v>
      </c>
      <c r="I62" t="s">
        <v>356</v>
      </c>
      <c r="J62" t="s">
        <v>5406</v>
      </c>
      <c r="K62" t="s">
        <v>45</v>
      </c>
      <c r="N62" t="s">
        <v>24</v>
      </c>
      <c r="O62" t="s">
        <v>48</v>
      </c>
      <c r="P62" t="s">
        <v>357</v>
      </c>
      <c r="Q62" s="534">
        <v>0</v>
      </c>
      <c r="R62" t="s">
        <v>3263</v>
      </c>
      <c r="S62">
        <v>2450</v>
      </c>
      <c r="T62">
        <v>2422</v>
      </c>
      <c r="U62">
        <v>2409</v>
      </c>
      <c r="V62">
        <v>2322</v>
      </c>
      <c r="W62">
        <v>2275</v>
      </c>
      <c r="X62">
        <v>2221</v>
      </c>
      <c r="Z62" t="s">
        <v>50</v>
      </c>
      <c r="AE62" t="s">
        <v>50</v>
      </c>
      <c r="AH62">
        <v>0</v>
      </c>
      <c r="AI62" t="s">
        <v>50</v>
      </c>
      <c r="AJ62" t="s">
        <v>50</v>
      </c>
      <c r="AK62" t="s">
        <v>50</v>
      </c>
      <c r="AL62" t="s">
        <v>50</v>
      </c>
      <c r="AM62" t="s">
        <v>50</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51</v>
      </c>
      <c r="BP62" s="534">
        <v>2576</v>
      </c>
      <c r="BQ62" s="727">
        <v>2329</v>
      </c>
      <c r="BR62" t="s">
        <v>50</v>
      </c>
      <c r="BS62" t="s">
        <v>52</v>
      </c>
      <c r="BT62">
        <v>0</v>
      </c>
      <c r="BU62" t="s">
        <v>5379</v>
      </c>
      <c r="BV62">
        <v>0</v>
      </c>
      <c r="BW62">
        <v>2162</v>
      </c>
      <c r="BX62" t="s">
        <v>50</v>
      </c>
      <c r="BY62">
        <v>0</v>
      </c>
      <c r="BZ62">
        <v>0</v>
      </c>
      <c r="CA62" t="s">
        <v>5379</v>
      </c>
      <c r="CB62">
        <v>0</v>
      </c>
      <c r="CC62" s="2146">
        <v>1711</v>
      </c>
      <c r="CD62" s="2146" t="s">
        <v>50</v>
      </c>
      <c r="CE62" s="2146">
        <v>0</v>
      </c>
      <c r="CF62" s="2146">
        <v>0</v>
      </c>
      <c r="CG62" s="2146" t="s">
        <v>5379</v>
      </c>
      <c r="CH62">
        <v>0</v>
      </c>
      <c r="CJ62" t="s">
        <v>5475</v>
      </c>
    </row>
    <row r="63" spans="1:88">
      <c r="A63" t="s">
        <v>312</v>
      </c>
      <c r="B63" t="s">
        <v>358</v>
      </c>
      <c r="C63" t="s">
        <v>39</v>
      </c>
      <c r="D63" t="s">
        <v>40</v>
      </c>
      <c r="E63" t="s">
        <v>41</v>
      </c>
      <c r="F63" t="s">
        <v>359</v>
      </c>
      <c r="G63" t="s">
        <v>360</v>
      </c>
      <c r="H63" t="s">
        <v>361</v>
      </c>
      <c r="I63" t="s">
        <v>362</v>
      </c>
      <c r="J63" t="s">
        <v>5406</v>
      </c>
      <c r="K63" t="s">
        <v>45</v>
      </c>
      <c r="M63" t="s">
        <v>46</v>
      </c>
      <c r="N63" t="s">
        <v>47</v>
      </c>
      <c r="O63" t="s">
        <v>48</v>
      </c>
      <c r="P63" t="s">
        <v>49</v>
      </c>
      <c r="Q63" s="534">
        <v>1</v>
      </c>
      <c r="R63" t="s">
        <v>3263</v>
      </c>
      <c r="S63">
        <v>48</v>
      </c>
      <c r="T63">
        <v>48</v>
      </c>
      <c r="U63">
        <v>47</v>
      </c>
      <c r="V63">
        <v>45</v>
      </c>
      <c r="W63">
        <v>44</v>
      </c>
      <c r="X63">
        <v>43</v>
      </c>
      <c r="AE63" t="s">
        <v>50</v>
      </c>
      <c r="AH63">
        <v>0</v>
      </c>
      <c r="AI63" t="s">
        <v>50</v>
      </c>
      <c r="AJ63" t="s">
        <v>50</v>
      </c>
      <c r="AK63" t="s">
        <v>50</v>
      </c>
      <c r="AL63" t="s">
        <v>50</v>
      </c>
      <c r="AM63" t="s">
        <v>50</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51</v>
      </c>
      <c r="BP63" s="534">
        <v>45.1</v>
      </c>
      <c r="BQ63" s="727">
        <v>44.2</v>
      </c>
      <c r="BR63" t="s">
        <v>50</v>
      </c>
      <c r="BS63" t="s">
        <v>52</v>
      </c>
      <c r="BT63">
        <v>0</v>
      </c>
      <c r="BU63" t="s">
        <v>5379</v>
      </c>
      <c r="BV63">
        <v>0</v>
      </c>
      <c r="BW63">
        <v>47.4</v>
      </c>
      <c r="BX63" t="s">
        <v>46</v>
      </c>
      <c r="BY63">
        <v>0</v>
      </c>
      <c r="BZ63">
        <v>0</v>
      </c>
      <c r="CA63" t="s">
        <v>5415</v>
      </c>
      <c r="CB63">
        <v>0</v>
      </c>
      <c r="CC63" s="2146">
        <v>49.58</v>
      </c>
      <c r="CD63" s="2146" t="s">
        <v>46</v>
      </c>
      <c r="CE63" s="2146">
        <v>0</v>
      </c>
      <c r="CF63" s="2146">
        <v>0</v>
      </c>
      <c r="CG63" s="2146" t="s">
        <v>13444</v>
      </c>
      <c r="CH63">
        <v>-1.0824</v>
      </c>
      <c r="CJ63" t="s">
        <v>5476</v>
      </c>
    </row>
    <row r="64" spans="1:88">
      <c r="A64" t="s">
        <v>312</v>
      </c>
      <c r="B64" t="s">
        <v>363</v>
      </c>
      <c r="C64" t="s">
        <v>39</v>
      </c>
      <c r="D64" t="s">
        <v>40</v>
      </c>
      <c r="E64" t="s">
        <v>41</v>
      </c>
      <c r="F64" t="s">
        <v>364</v>
      </c>
      <c r="G64" t="s">
        <v>365</v>
      </c>
      <c r="H64" t="s">
        <v>366</v>
      </c>
      <c r="I64" t="s">
        <v>367</v>
      </c>
      <c r="J64" t="s">
        <v>5406</v>
      </c>
      <c r="K64" t="s">
        <v>45</v>
      </c>
      <c r="N64" t="s">
        <v>368</v>
      </c>
      <c r="O64" t="s">
        <v>76</v>
      </c>
      <c r="P64" t="s">
        <v>369</v>
      </c>
      <c r="Q64" s="534">
        <v>1</v>
      </c>
      <c r="R64" t="s">
        <v>3264</v>
      </c>
      <c r="S64">
        <v>45.6</v>
      </c>
      <c r="T64">
        <v>50.4</v>
      </c>
      <c r="U64">
        <v>54.8</v>
      </c>
      <c r="V64">
        <v>58.8</v>
      </c>
      <c r="W64">
        <v>62.5</v>
      </c>
      <c r="X64">
        <v>65.900000000000006</v>
      </c>
      <c r="AH64">
        <v>0</v>
      </c>
      <c r="AI64" t="s">
        <v>50</v>
      </c>
      <c r="AJ64" t="s">
        <v>50</v>
      </c>
      <c r="AK64" t="s">
        <v>50</v>
      </c>
      <c r="AL64" t="s">
        <v>50</v>
      </c>
      <c r="AM64" t="s">
        <v>50</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51</v>
      </c>
      <c r="BP64" s="534">
        <v>45.8</v>
      </c>
      <c r="BQ64" s="733">
        <v>47.3</v>
      </c>
      <c r="BR64" t="s">
        <v>46</v>
      </c>
      <c r="BS64" t="s">
        <v>52</v>
      </c>
      <c r="BT64">
        <v>0</v>
      </c>
      <c r="BU64" t="s">
        <v>5415</v>
      </c>
      <c r="BV64">
        <v>-0.1178</v>
      </c>
      <c r="BW64">
        <v>49.6</v>
      </c>
      <c r="BX64" t="s">
        <v>46</v>
      </c>
      <c r="BY64">
        <v>0</v>
      </c>
      <c r="BZ64">
        <v>0</v>
      </c>
      <c r="CA64" t="s">
        <v>5415</v>
      </c>
      <c r="CB64">
        <v>-0.152</v>
      </c>
      <c r="CC64" s="2146">
        <v>52.67</v>
      </c>
      <c r="CD64" s="2146" t="s">
        <v>46</v>
      </c>
      <c r="CE64" s="2146">
        <v>0</v>
      </c>
      <c r="CF64" s="2146">
        <v>0</v>
      </c>
      <c r="CG64" s="2146" t="s">
        <v>13444</v>
      </c>
      <c r="CH64">
        <v>-0.152</v>
      </c>
      <c r="CJ64" t="s">
        <v>5477</v>
      </c>
    </row>
    <row r="65" spans="1:88">
      <c r="A65" t="s">
        <v>312</v>
      </c>
      <c r="B65" t="s">
        <v>370</v>
      </c>
      <c r="C65" t="s">
        <v>39</v>
      </c>
      <c r="D65" t="s">
        <v>40</v>
      </c>
      <c r="E65" t="s">
        <v>41</v>
      </c>
      <c r="F65" t="s">
        <v>371</v>
      </c>
      <c r="G65" t="s">
        <v>372</v>
      </c>
      <c r="H65" t="s">
        <v>373</v>
      </c>
      <c r="I65" t="s">
        <v>374</v>
      </c>
      <c r="J65" t="s">
        <v>69</v>
      </c>
      <c r="N65" t="s">
        <v>182</v>
      </c>
      <c r="O65" t="s">
        <v>48</v>
      </c>
      <c r="P65" t="s">
        <v>375</v>
      </c>
      <c r="Q65" s="534">
        <v>0</v>
      </c>
      <c r="R65" t="s">
        <v>3263</v>
      </c>
      <c r="S65">
        <v>40</v>
      </c>
      <c r="T65">
        <v>32</v>
      </c>
      <c r="U65">
        <v>25</v>
      </c>
      <c r="V65">
        <v>23</v>
      </c>
      <c r="W65">
        <v>22</v>
      </c>
      <c r="X65">
        <v>20</v>
      </c>
      <c r="AH65">
        <v>0</v>
      </c>
      <c r="BP65" s="534">
        <v>38.5</v>
      </c>
      <c r="BQ65" s="727">
        <v>35.26</v>
      </c>
      <c r="BR65" t="s">
        <v>46</v>
      </c>
      <c r="BS65" t="s">
        <v>52</v>
      </c>
      <c r="BT65">
        <v>0</v>
      </c>
      <c r="BU65" t="s">
        <v>52</v>
      </c>
      <c r="BV65">
        <v>0</v>
      </c>
      <c r="BW65">
        <v>31.8</v>
      </c>
      <c r="BX65" t="s">
        <v>46</v>
      </c>
      <c r="BY65">
        <v>0</v>
      </c>
      <c r="BZ65">
        <v>0</v>
      </c>
      <c r="CA65">
        <v>0</v>
      </c>
      <c r="CB65">
        <v>0</v>
      </c>
      <c r="CC65" s="2146">
        <v>28.35</v>
      </c>
      <c r="CD65" s="2146" t="s">
        <v>46</v>
      </c>
      <c r="CE65" s="2146">
        <v>0</v>
      </c>
      <c r="CF65" s="2146">
        <v>0</v>
      </c>
      <c r="CG65" s="2146">
        <v>0</v>
      </c>
      <c r="CH65">
        <v>0</v>
      </c>
      <c r="CJ65" t="s">
        <v>5478</v>
      </c>
    </row>
    <row r="66" spans="1:88" ht="25.5">
      <c r="A66" t="s">
        <v>312</v>
      </c>
      <c r="B66" t="s">
        <v>376</v>
      </c>
      <c r="C66" t="s">
        <v>39</v>
      </c>
      <c r="D66" t="s">
        <v>40</v>
      </c>
      <c r="E66" t="s">
        <v>41</v>
      </c>
      <c r="F66" t="s">
        <v>371</v>
      </c>
      <c r="G66" t="s">
        <v>377</v>
      </c>
      <c r="H66" t="s">
        <v>378</v>
      </c>
      <c r="I66" t="s">
        <v>379</v>
      </c>
      <c r="J66" t="s">
        <v>69</v>
      </c>
      <c r="N66" t="s">
        <v>65</v>
      </c>
      <c r="O66" t="s">
        <v>200</v>
      </c>
      <c r="P66" t="s">
        <v>13331</v>
      </c>
      <c r="Q66" s="534">
        <v>0</v>
      </c>
      <c r="S66" t="s">
        <v>324</v>
      </c>
      <c r="T66" t="s">
        <v>324</v>
      </c>
      <c r="U66" t="s">
        <v>324</v>
      </c>
      <c r="V66" t="s">
        <v>325</v>
      </c>
      <c r="W66" t="s">
        <v>325</v>
      </c>
      <c r="X66" t="s">
        <v>202</v>
      </c>
      <c r="AF66" t="s">
        <v>50</v>
      </c>
      <c r="AH66">
        <v>0</v>
      </c>
      <c r="BP66" s="534" t="s">
        <v>324</v>
      </c>
      <c r="BQ66" s="729" t="s">
        <v>324</v>
      </c>
      <c r="BR66" t="s">
        <v>50</v>
      </c>
      <c r="BS66" t="s">
        <v>52</v>
      </c>
      <c r="BT66">
        <v>0</v>
      </c>
      <c r="BU66" t="s">
        <v>52</v>
      </c>
      <c r="BV66">
        <v>0</v>
      </c>
      <c r="BW66" t="s">
        <v>324</v>
      </c>
      <c r="BX66" t="s">
        <v>50</v>
      </c>
      <c r="BY66">
        <v>0</v>
      </c>
      <c r="BZ66">
        <v>0</v>
      </c>
      <c r="CA66">
        <v>0</v>
      </c>
      <c r="CB66">
        <v>0</v>
      </c>
      <c r="CC66" s="2146">
        <v>-1</v>
      </c>
      <c r="CD66" s="2146" t="s">
        <v>50</v>
      </c>
      <c r="CE66" s="2146">
        <v>0</v>
      </c>
      <c r="CF66" s="2146">
        <v>0</v>
      </c>
      <c r="CG66" s="2146">
        <v>0</v>
      </c>
      <c r="CH66">
        <v>0</v>
      </c>
      <c r="CJ66" t="s">
        <v>5479</v>
      </c>
    </row>
    <row r="67" spans="1:88">
      <c r="A67" t="s">
        <v>312</v>
      </c>
      <c r="B67" t="s">
        <v>380</v>
      </c>
      <c r="C67" t="s">
        <v>39</v>
      </c>
      <c r="D67" t="s">
        <v>40</v>
      </c>
      <c r="E67" t="s">
        <v>41</v>
      </c>
      <c r="F67" t="s">
        <v>371</v>
      </c>
      <c r="G67" t="s">
        <v>381</v>
      </c>
      <c r="H67" t="s">
        <v>382</v>
      </c>
      <c r="I67" t="s">
        <v>383</v>
      </c>
      <c r="J67" t="s">
        <v>69</v>
      </c>
      <c r="N67" t="s">
        <v>169</v>
      </c>
      <c r="O67" t="s">
        <v>107</v>
      </c>
      <c r="P67" t="s">
        <v>384</v>
      </c>
      <c r="Q67" s="534">
        <v>0</v>
      </c>
      <c r="R67" t="s">
        <v>3264</v>
      </c>
      <c r="S67" t="s">
        <v>385</v>
      </c>
      <c r="T67" t="s">
        <v>386</v>
      </c>
      <c r="U67" t="s">
        <v>386</v>
      </c>
      <c r="V67" t="s">
        <v>386</v>
      </c>
      <c r="W67" t="s">
        <v>386</v>
      </c>
      <c r="X67" t="s">
        <v>386</v>
      </c>
      <c r="AF67" t="s">
        <v>50</v>
      </c>
      <c r="AH67">
        <v>0</v>
      </c>
      <c r="BP67" s="534">
        <v>17596</v>
      </c>
      <c r="BQ67" s="734" t="s">
        <v>1828</v>
      </c>
      <c r="BR67" t="s">
        <v>50</v>
      </c>
      <c r="BS67" t="s">
        <v>52</v>
      </c>
      <c r="BT67">
        <v>0</v>
      </c>
      <c r="BU67" t="s">
        <v>52</v>
      </c>
      <c r="BV67">
        <v>0</v>
      </c>
      <c r="BW67" t="s">
        <v>1828</v>
      </c>
      <c r="BX67" t="s">
        <v>50</v>
      </c>
      <c r="BY67">
        <v>0</v>
      </c>
      <c r="BZ67">
        <v>0</v>
      </c>
      <c r="CA67">
        <v>0</v>
      </c>
      <c r="CB67">
        <v>0</v>
      </c>
      <c r="CC67" s="2146">
        <v>17657.490000000002</v>
      </c>
      <c r="CD67" s="2146" t="s">
        <v>50</v>
      </c>
      <c r="CE67" s="2146">
        <v>0</v>
      </c>
      <c r="CF67" s="2146">
        <v>0</v>
      </c>
      <c r="CG67" s="2146">
        <v>0</v>
      </c>
      <c r="CH67">
        <v>0</v>
      </c>
      <c r="CJ67" t="s">
        <v>5480</v>
      </c>
    </row>
    <row r="68" spans="1:88">
      <c r="A68" t="s">
        <v>312</v>
      </c>
      <c r="B68" t="s">
        <v>387</v>
      </c>
      <c r="C68" t="s">
        <v>39</v>
      </c>
      <c r="D68" t="s">
        <v>40</v>
      </c>
      <c r="E68" t="s">
        <v>41</v>
      </c>
      <c r="F68" t="s">
        <v>371</v>
      </c>
      <c r="G68" t="s">
        <v>388</v>
      </c>
      <c r="H68" t="s">
        <v>389</v>
      </c>
      <c r="I68" t="s">
        <v>390</v>
      </c>
      <c r="J68" t="s">
        <v>69</v>
      </c>
      <c r="N68" t="s">
        <v>391</v>
      </c>
      <c r="O68" t="s">
        <v>76</v>
      </c>
      <c r="P68" t="s">
        <v>392</v>
      </c>
      <c r="Q68" s="534">
        <v>0</v>
      </c>
      <c r="R68" t="s">
        <v>3264</v>
      </c>
      <c r="S68">
        <v>97</v>
      </c>
      <c r="T68">
        <v>100</v>
      </c>
      <c r="U68">
        <v>100</v>
      </c>
      <c r="V68">
        <v>100</v>
      </c>
      <c r="W68">
        <v>100</v>
      </c>
      <c r="X68">
        <v>100</v>
      </c>
      <c r="AH68">
        <v>0</v>
      </c>
      <c r="BP68" s="534">
        <v>99</v>
      </c>
      <c r="BQ68" s="727">
        <v>96.1</v>
      </c>
      <c r="BR68" t="s">
        <v>46</v>
      </c>
      <c r="BS68" t="s">
        <v>52</v>
      </c>
      <c r="BT68">
        <v>0</v>
      </c>
      <c r="BU68" t="s">
        <v>52</v>
      </c>
      <c r="BV68">
        <v>0</v>
      </c>
      <c r="BW68">
        <v>95.83</v>
      </c>
      <c r="BX68" t="s">
        <v>46</v>
      </c>
      <c r="BY68">
        <v>0</v>
      </c>
      <c r="BZ68">
        <v>0</v>
      </c>
      <c r="CA68">
        <v>0</v>
      </c>
      <c r="CB68">
        <v>0</v>
      </c>
      <c r="CC68" s="2146">
        <v>98.08</v>
      </c>
      <c r="CD68" s="2146" t="s">
        <v>46</v>
      </c>
      <c r="CE68" s="2146">
        <v>0</v>
      </c>
      <c r="CF68" s="2146">
        <v>0</v>
      </c>
      <c r="CG68" s="2146">
        <v>0</v>
      </c>
      <c r="CH68">
        <v>0</v>
      </c>
      <c r="CJ68" t="s">
        <v>5481</v>
      </c>
    </row>
    <row r="69" spans="1:88">
      <c r="A69" t="s">
        <v>312</v>
      </c>
      <c r="B69" t="s">
        <v>393</v>
      </c>
      <c r="C69" t="s">
        <v>39</v>
      </c>
      <c r="D69" t="s">
        <v>101</v>
      </c>
      <c r="E69" t="s">
        <v>102</v>
      </c>
      <c r="F69" t="s">
        <v>364</v>
      </c>
      <c r="G69" t="s">
        <v>394</v>
      </c>
      <c r="H69" t="s">
        <v>395</v>
      </c>
      <c r="I69" t="s">
        <v>396</v>
      </c>
      <c r="J69" t="s">
        <v>69</v>
      </c>
      <c r="N69" t="s">
        <v>56</v>
      </c>
      <c r="O69" t="s">
        <v>48</v>
      </c>
      <c r="P69" t="s">
        <v>397</v>
      </c>
      <c r="Q69" s="534">
        <v>1</v>
      </c>
      <c r="R69" t="s">
        <v>3263</v>
      </c>
      <c r="S69">
        <v>145.6</v>
      </c>
      <c r="T69">
        <v>145.4</v>
      </c>
      <c r="U69">
        <v>144.5</v>
      </c>
      <c r="V69">
        <v>143.6</v>
      </c>
      <c r="W69">
        <v>142.80000000000001</v>
      </c>
      <c r="X69">
        <v>142</v>
      </c>
      <c r="AH69">
        <v>0</v>
      </c>
      <c r="BP69" s="534">
        <v>143</v>
      </c>
      <c r="BQ69" s="733">
        <v>141.1</v>
      </c>
      <c r="BR69" t="s">
        <v>50</v>
      </c>
      <c r="BS69" t="s">
        <v>52</v>
      </c>
      <c r="BT69">
        <v>0</v>
      </c>
      <c r="BU69" t="s">
        <v>52</v>
      </c>
      <c r="BV69">
        <v>0</v>
      </c>
      <c r="BW69">
        <v>144.1</v>
      </c>
      <c r="BX69" t="s">
        <v>50</v>
      </c>
      <c r="BY69">
        <v>0</v>
      </c>
      <c r="BZ69">
        <v>0</v>
      </c>
      <c r="CA69">
        <v>0</v>
      </c>
      <c r="CB69">
        <v>0</v>
      </c>
      <c r="CC69" s="2146">
        <v>144.5</v>
      </c>
      <c r="CD69" s="2146" t="s">
        <v>46</v>
      </c>
      <c r="CE69" s="2146">
        <v>0</v>
      </c>
      <c r="CF69" s="2146">
        <v>0</v>
      </c>
      <c r="CG69" s="2146">
        <v>0</v>
      </c>
      <c r="CH69">
        <v>0</v>
      </c>
      <c r="CJ69" t="s">
        <v>5482</v>
      </c>
    </row>
    <row r="70" spans="1:88">
      <c r="A70" t="s">
        <v>312</v>
      </c>
      <c r="B70" t="s">
        <v>398</v>
      </c>
      <c r="C70" t="s">
        <v>39</v>
      </c>
      <c r="D70" t="s">
        <v>101</v>
      </c>
      <c r="E70" t="s">
        <v>102</v>
      </c>
      <c r="F70" t="s">
        <v>399</v>
      </c>
      <c r="G70" t="s">
        <v>400</v>
      </c>
      <c r="H70" t="s">
        <v>401</v>
      </c>
      <c r="I70" t="s">
        <v>402</v>
      </c>
      <c r="J70" t="s">
        <v>69</v>
      </c>
      <c r="N70" t="s">
        <v>113</v>
      </c>
      <c r="O70" t="s">
        <v>76</v>
      </c>
      <c r="P70" t="s">
        <v>403</v>
      </c>
      <c r="Q70" s="534">
        <v>1</v>
      </c>
      <c r="R70" t="s">
        <v>3263</v>
      </c>
      <c r="S70">
        <v>2.1</v>
      </c>
      <c r="T70">
        <v>2</v>
      </c>
      <c r="U70">
        <v>2</v>
      </c>
      <c r="V70">
        <v>1.9</v>
      </c>
      <c r="W70">
        <v>1.9</v>
      </c>
      <c r="X70">
        <v>1.8</v>
      </c>
      <c r="AH70">
        <v>0</v>
      </c>
      <c r="BP70" s="534">
        <v>2.5</v>
      </c>
      <c r="BQ70" s="733">
        <v>0.37</v>
      </c>
      <c r="BR70" t="s">
        <v>50</v>
      </c>
      <c r="BS70" t="s">
        <v>52</v>
      </c>
      <c r="BT70">
        <v>0</v>
      </c>
      <c r="BU70" t="s">
        <v>52</v>
      </c>
      <c r="BV70">
        <v>0</v>
      </c>
      <c r="BW70">
        <v>0.94</v>
      </c>
      <c r="BX70" t="s">
        <v>50</v>
      </c>
      <c r="BY70">
        <v>0</v>
      </c>
      <c r="BZ70">
        <v>0</v>
      </c>
      <c r="CA70">
        <v>0</v>
      </c>
      <c r="CB70">
        <v>0</v>
      </c>
      <c r="CC70" s="2146">
        <v>0</v>
      </c>
      <c r="CD70" s="2146" t="s">
        <v>50</v>
      </c>
      <c r="CE70" s="2146">
        <v>0</v>
      </c>
      <c r="CF70" s="2146">
        <v>0</v>
      </c>
      <c r="CG70" s="2146">
        <v>0</v>
      </c>
      <c r="CH70">
        <v>0</v>
      </c>
      <c r="CJ70" t="s">
        <v>5483</v>
      </c>
    </row>
    <row r="71" spans="1:88">
      <c r="A71" t="s">
        <v>312</v>
      </c>
      <c r="B71" t="s">
        <v>404</v>
      </c>
      <c r="C71" t="s">
        <v>39</v>
      </c>
      <c r="D71" t="s">
        <v>101</v>
      </c>
      <c r="E71" t="s">
        <v>102</v>
      </c>
      <c r="F71" t="s">
        <v>117</v>
      </c>
      <c r="G71" t="s">
        <v>405</v>
      </c>
      <c r="H71" t="s">
        <v>406</v>
      </c>
      <c r="I71" t="s">
        <v>407</v>
      </c>
      <c r="J71" t="s">
        <v>5406</v>
      </c>
      <c r="K71" t="s">
        <v>45</v>
      </c>
      <c r="M71" t="s">
        <v>46</v>
      </c>
      <c r="N71" t="s">
        <v>106</v>
      </c>
      <c r="O71" t="s">
        <v>5460</v>
      </c>
      <c r="P71" t="s">
        <v>408</v>
      </c>
      <c r="Q71" s="534" t="s">
        <v>51</v>
      </c>
      <c r="R71" t="s">
        <v>3264</v>
      </c>
      <c r="S71">
        <v>85.3</v>
      </c>
      <c r="T71" t="s">
        <v>409</v>
      </c>
      <c r="U71" t="s">
        <v>409</v>
      </c>
      <c r="V71" t="s">
        <v>409</v>
      </c>
      <c r="W71" t="s">
        <v>409</v>
      </c>
      <c r="X71" t="s">
        <v>409</v>
      </c>
      <c r="AH71">
        <v>0</v>
      </c>
      <c r="AI71" t="s">
        <v>50</v>
      </c>
      <c r="AJ71" t="s">
        <v>50</v>
      </c>
      <c r="AK71" t="s">
        <v>50</v>
      </c>
      <c r="AL71" t="s">
        <v>50</v>
      </c>
      <c r="AM71" t="s">
        <v>50</v>
      </c>
      <c r="AN71" t="s">
        <v>109</v>
      </c>
      <c r="AO71" t="s">
        <v>109</v>
      </c>
      <c r="AP71" t="s">
        <v>109</v>
      </c>
      <c r="AQ71" t="s">
        <v>109</v>
      </c>
      <c r="AR71" t="s">
        <v>109</v>
      </c>
      <c r="AS71" t="s">
        <v>109</v>
      </c>
      <c r="AT71" t="s">
        <v>109</v>
      </c>
      <c r="AU71" t="s">
        <v>109</v>
      </c>
      <c r="AV71" t="s">
        <v>109</v>
      </c>
      <c r="AW71" t="s">
        <v>109</v>
      </c>
      <c r="AX71" t="s">
        <v>109</v>
      </c>
      <c r="AY71" t="s">
        <v>109</v>
      </c>
      <c r="AZ71" t="s">
        <v>109</v>
      </c>
      <c r="BA71" t="s">
        <v>109</v>
      </c>
      <c r="BB71" t="s">
        <v>109</v>
      </c>
      <c r="BC71" t="s">
        <v>109</v>
      </c>
      <c r="BD71" t="s">
        <v>109</v>
      </c>
      <c r="BE71" t="s">
        <v>109</v>
      </c>
      <c r="BF71" t="s">
        <v>109</v>
      </c>
      <c r="BG71" t="s">
        <v>109</v>
      </c>
      <c r="BH71" t="s">
        <v>109</v>
      </c>
      <c r="BL71" t="s">
        <v>109</v>
      </c>
      <c r="BN71">
        <v>1</v>
      </c>
      <c r="BO71" t="s">
        <v>51</v>
      </c>
      <c r="BP71" s="534">
        <v>80</v>
      </c>
      <c r="BQ71" s="732">
        <v>85.1</v>
      </c>
      <c r="BR71" t="s">
        <v>50</v>
      </c>
      <c r="BS71" t="s">
        <v>52</v>
      </c>
      <c r="BT71">
        <v>0</v>
      </c>
      <c r="BU71" t="s">
        <v>52</v>
      </c>
      <c r="BV71">
        <v>0</v>
      </c>
      <c r="BW71">
        <v>85.9</v>
      </c>
      <c r="BX71" t="s">
        <v>46</v>
      </c>
      <c r="BY71">
        <v>0</v>
      </c>
      <c r="BZ71">
        <v>0</v>
      </c>
      <c r="CA71">
        <v>0</v>
      </c>
      <c r="CB71">
        <v>0</v>
      </c>
      <c r="CC71" s="2146">
        <v>83.38</v>
      </c>
      <c r="CD71" s="2146" t="s">
        <v>46</v>
      </c>
      <c r="CE71" s="2146">
        <v>0</v>
      </c>
      <c r="CF71" s="2146">
        <v>0</v>
      </c>
      <c r="CG71" s="2146">
        <v>0</v>
      </c>
      <c r="CH71">
        <v>0</v>
      </c>
      <c r="CJ71" t="s">
        <v>5484</v>
      </c>
    </row>
    <row r="72" spans="1:88">
      <c r="A72" t="s">
        <v>312</v>
      </c>
      <c r="B72" t="s">
        <v>410</v>
      </c>
      <c r="C72" t="s">
        <v>39</v>
      </c>
      <c r="D72" t="s">
        <v>101</v>
      </c>
      <c r="E72" t="s">
        <v>102</v>
      </c>
      <c r="F72" t="s">
        <v>117</v>
      </c>
      <c r="G72" t="s">
        <v>411</v>
      </c>
      <c r="H72" t="s">
        <v>412</v>
      </c>
      <c r="I72" t="s">
        <v>413</v>
      </c>
      <c r="J72" t="s">
        <v>69</v>
      </c>
      <c r="N72" t="s">
        <v>192</v>
      </c>
      <c r="O72" t="s">
        <v>76</v>
      </c>
      <c r="P72" t="s">
        <v>193</v>
      </c>
      <c r="Q72" s="534">
        <v>0</v>
      </c>
      <c r="R72" t="s">
        <v>3264</v>
      </c>
      <c r="S72">
        <v>93</v>
      </c>
      <c r="T72">
        <v>93</v>
      </c>
      <c r="U72">
        <v>93</v>
      </c>
      <c r="V72">
        <v>93</v>
      </c>
      <c r="W72">
        <v>93</v>
      </c>
      <c r="X72" t="s">
        <v>414</v>
      </c>
      <c r="AH72">
        <v>0</v>
      </c>
      <c r="BP72" s="534">
        <v>69</v>
      </c>
      <c r="BQ72" s="727">
        <v>83</v>
      </c>
      <c r="BR72" t="s">
        <v>46</v>
      </c>
      <c r="BS72" t="s">
        <v>52</v>
      </c>
      <c r="BT72">
        <v>0</v>
      </c>
      <c r="BU72" t="s">
        <v>52</v>
      </c>
      <c r="BV72">
        <v>0</v>
      </c>
      <c r="BW72">
        <v>86</v>
      </c>
      <c r="BX72" t="s">
        <v>46</v>
      </c>
      <c r="BY72">
        <v>0</v>
      </c>
      <c r="BZ72">
        <v>0</v>
      </c>
      <c r="CA72">
        <v>0</v>
      </c>
      <c r="CB72">
        <v>0</v>
      </c>
      <c r="CC72" s="2146">
        <v>87</v>
      </c>
      <c r="CD72" s="2146" t="s">
        <v>46</v>
      </c>
      <c r="CE72" s="2146">
        <v>0</v>
      </c>
      <c r="CF72" s="2146">
        <v>0</v>
      </c>
      <c r="CG72" s="2146">
        <v>0</v>
      </c>
      <c r="CH72">
        <v>0</v>
      </c>
      <c r="CJ72" t="s">
        <v>5485</v>
      </c>
    </row>
    <row r="73" spans="1:88">
      <c r="A73" t="s">
        <v>312</v>
      </c>
      <c r="B73" t="s">
        <v>415</v>
      </c>
      <c r="C73" t="s">
        <v>39</v>
      </c>
      <c r="D73" t="s">
        <v>101</v>
      </c>
      <c r="E73" t="s">
        <v>102</v>
      </c>
      <c r="F73" t="s">
        <v>117</v>
      </c>
      <c r="G73" t="s">
        <v>416</v>
      </c>
      <c r="H73" t="s">
        <v>417</v>
      </c>
      <c r="I73" t="s">
        <v>418</v>
      </c>
      <c r="J73" t="s">
        <v>69</v>
      </c>
      <c r="N73" t="s">
        <v>113</v>
      </c>
      <c r="O73" t="s">
        <v>76</v>
      </c>
      <c r="P73" t="s">
        <v>193</v>
      </c>
      <c r="Q73" s="534">
        <v>0</v>
      </c>
      <c r="R73" t="s">
        <v>3264</v>
      </c>
      <c r="S73">
        <v>70</v>
      </c>
      <c r="T73">
        <v>71</v>
      </c>
      <c r="U73">
        <v>71</v>
      </c>
      <c r="V73">
        <v>72</v>
      </c>
      <c r="W73">
        <v>72</v>
      </c>
      <c r="X73">
        <v>72</v>
      </c>
      <c r="AH73">
        <v>0</v>
      </c>
      <c r="BP73" s="534">
        <v>73</v>
      </c>
      <c r="BQ73" s="727">
        <v>70</v>
      </c>
      <c r="BR73" t="s">
        <v>46</v>
      </c>
      <c r="BS73" t="s">
        <v>52</v>
      </c>
      <c r="BT73">
        <v>0</v>
      </c>
      <c r="BU73" t="s">
        <v>52</v>
      </c>
      <c r="BV73">
        <v>0</v>
      </c>
      <c r="BW73">
        <v>72</v>
      </c>
      <c r="BX73" t="s">
        <v>50</v>
      </c>
      <c r="BY73">
        <v>0</v>
      </c>
      <c r="BZ73">
        <v>0</v>
      </c>
      <c r="CA73">
        <v>0</v>
      </c>
      <c r="CB73">
        <v>0</v>
      </c>
      <c r="CC73" s="2146">
        <v>68.900000000000006</v>
      </c>
      <c r="CD73" s="2146" t="s">
        <v>46</v>
      </c>
      <c r="CE73" s="2146">
        <v>0</v>
      </c>
      <c r="CF73" s="2146">
        <v>0</v>
      </c>
      <c r="CG73" s="2146">
        <v>0</v>
      </c>
      <c r="CH73">
        <v>0</v>
      </c>
      <c r="CJ73" t="s">
        <v>5486</v>
      </c>
    </row>
    <row r="74" spans="1:88">
      <c r="A74" t="s">
        <v>312</v>
      </c>
      <c r="B74" t="s">
        <v>419</v>
      </c>
      <c r="C74" t="s">
        <v>39</v>
      </c>
      <c r="D74" t="s">
        <v>101</v>
      </c>
      <c r="E74" t="s">
        <v>102</v>
      </c>
      <c r="F74" t="s">
        <v>420</v>
      </c>
      <c r="G74" t="s">
        <v>421</v>
      </c>
      <c r="H74" t="s">
        <v>422</v>
      </c>
      <c r="I74" t="s">
        <v>423</v>
      </c>
      <c r="J74" t="s">
        <v>69</v>
      </c>
      <c r="N74" t="s">
        <v>192</v>
      </c>
      <c r="O74" t="s">
        <v>76</v>
      </c>
      <c r="P74" t="s">
        <v>193</v>
      </c>
      <c r="Q74" s="534">
        <v>1</v>
      </c>
      <c r="R74" t="s">
        <v>3264</v>
      </c>
      <c r="S74">
        <v>96.2</v>
      </c>
      <c r="T74">
        <v>96.3</v>
      </c>
      <c r="U74">
        <v>96.4</v>
      </c>
      <c r="V74">
        <v>96.5</v>
      </c>
      <c r="W74" t="s">
        <v>424</v>
      </c>
      <c r="X74" t="s">
        <v>424</v>
      </c>
      <c r="AH74">
        <v>0</v>
      </c>
      <c r="BP74" s="534">
        <v>95.2</v>
      </c>
      <c r="BQ74" s="733">
        <v>94.8</v>
      </c>
      <c r="BR74" t="s">
        <v>46</v>
      </c>
      <c r="BS74" t="s">
        <v>52</v>
      </c>
      <c r="BT74">
        <v>0</v>
      </c>
      <c r="BU74" t="s">
        <v>52</v>
      </c>
      <c r="BV74">
        <v>0</v>
      </c>
      <c r="BW74">
        <v>94.4</v>
      </c>
      <c r="BX74" t="s">
        <v>46</v>
      </c>
      <c r="BY74">
        <v>0</v>
      </c>
      <c r="BZ74">
        <v>0</v>
      </c>
      <c r="CA74">
        <v>0</v>
      </c>
      <c r="CB74">
        <v>0</v>
      </c>
      <c r="CC74" s="2146">
        <v>93.1</v>
      </c>
      <c r="CD74" s="2146" t="s">
        <v>46</v>
      </c>
      <c r="CE74" s="2146">
        <v>0</v>
      </c>
      <c r="CF74" s="2146">
        <v>0</v>
      </c>
      <c r="CG74" s="2146">
        <v>0</v>
      </c>
      <c r="CH74">
        <v>0</v>
      </c>
      <c r="CJ74" t="s">
        <v>5487</v>
      </c>
    </row>
    <row r="75" spans="1:88">
      <c r="A75" t="s">
        <v>312</v>
      </c>
      <c r="B75" t="s">
        <v>425</v>
      </c>
      <c r="C75" t="s">
        <v>39</v>
      </c>
      <c r="D75" t="s">
        <v>101</v>
      </c>
      <c r="E75" t="s">
        <v>102</v>
      </c>
      <c r="F75" t="s">
        <v>426</v>
      </c>
      <c r="G75" t="s">
        <v>427</v>
      </c>
      <c r="H75" t="s">
        <v>428</v>
      </c>
      <c r="I75" t="s">
        <v>429</v>
      </c>
      <c r="J75" t="s">
        <v>69</v>
      </c>
      <c r="N75" t="s">
        <v>113</v>
      </c>
      <c r="O75" t="s">
        <v>48</v>
      </c>
      <c r="P75" t="s">
        <v>357</v>
      </c>
      <c r="Q75" s="534">
        <v>0</v>
      </c>
      <c r="R75" t="s">
        <v>3263</v>
      </c>
      <c r="S75">
        <v>2570</v>
      </c>
      <c r="T75">
        <v>2480</v>
      </c>
      <c r="U75">
        <v>2395</v>
      </c>
      <c r="V75">
        <v>2315</v>
      </c>
      <c r="W75">
        <v>2240</v>
      </c>
      <c r="X75">
        <v>2170</v>
      </c>
      <c r="AH75">
        <v>0</v>
      </c>
      <c r="BP75" s="534">
        <v>2612</v>
      </c>
      <c r="BQ75" s="727">
        <v>2301</v>
      </c>
      <c r="BR75" t="s">
        <v>50</v>
      </c>
      <c r="BS75" t="s">
        <v>52</v>
      </c>
      <c r="BT75">
        <v>0</v>
      </c>
      <c r="BU75" t="s">
        <v>52</v>
      </c>
      <c r="BV75">
        <v>0</v>
      </c>
      <c r="BW75">
        <v>3096</v>
      </c>
      <c r="BX75" t="s">
        <v>46</v>
      </c>
      <c r="BY75">
        <v>0</v>
      </c>
      <c r="BZ75">
        <v>0</v>
      </c>
      <c r="CA75">
        <v>0</v>
      </c>
      <c r="CB75">
        <v>0</v>
      </c>
      <c r="CC75" s="2146">
        <v>2300</v>
      </c>
      <c r="CD75" s="2146" t="s">
        <v>50</v>
      </c>
      <c r="CE75" s="2146">
        <v>0</v>
      </c>
      <c r="CF75" s="2146">
        <v>0</v>
      </c>
      <c r="CG75" s="2146">
        <v>0</v>
      </c>
      <c r="CH75">
        <v>0</v>
      </c>
      <c r="CJ75" t="s">
        <v>5488</v>
      </c>
    </row>
    <row r="76" spans="1:88">
      <c r="A76" t="s">
        <v>430</v>
      </c>
      <c r="B76" t="s">
        <v>431</v>
      </c>
      <c r="C76" t="s">
        <v>39</v>
      </c>
      <c r="D76" t="s">
        <v>40</v>
      </c>
      <c r="E76" t="s">
        <v>41</v>
      </c>
      <c r="F76" t="s">
        <v>432</v>
      </c>
      <c r="G76" t="s">
        <v>315</v>
      </c>
      <c r="H76" t="s">
        <v>433</v>
      </c>
      <c r="I76" t="s">
        <v>434</v>
      </c>
      <c r="J76" t="s">
        <v>5406</v>
      </c>
      <c r="K76" t="s">
        <v>45</v>
      </c>
      <c r="N76" t="s">
        <v>24</v>
      </c>
      <c r="O76" t="s">
        <v>48</v>
      </c>
      <c r="P76" t="s">
        <v>81</v>
      </c>
      <c r="Q76" s="534">
        <v>2</v>
      </c>
      <c r="R76" t="s">
        <v>3263</v>
      </c>
      <c r="S76">
        <v>3.69</v>
      </c>
      <c r="T76">
        <v>2.8</v>
      </c>
      <c r="U76">
        <v>1.9</v>
      </c>
      <c r="V76">
        <v>1.01</v>
      </c>
      <c r="W76">
        <v>1.01</v>
      </c>
      <c r="X76">
        <v>1.01</v>
      </c>
      <c r="Z76" t="s">
        <v>50</v>
      </c>
      <c r="AE76" t="s">
        <v>50</v>
      </c>
      <c r="AH76">
        <v>0</v>
      </c>
      <c r="AI76" t="s">
        <v>50</v>
      </c>
      <c r="AJ76" t="s">
        <v>50</v>
      </c>
      <c r="AK76" t="s">
        <v>50</v>
      </c>
      <c r="AL76" t="s">
        <v>50</v>
      </c>
      <c r="AM76" t="s">
        <v>50</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51</v>
      </c>
      <c r="BP76" s="534">
        <v>2.2799999999999998</v>
      </c>
      <c r="BQ76" s="726">
        <v>1.32</v>
      </c>
      <c r="BR76" t="s">
        <v>50</v>
      </c>
      <c r="BS76" t="s">
        <v>52</v>
      </c>
      <c r="BT76">
        <v>0</v>
      </c>
      <c r="BU76" t="s">
        <v>5379</v>
      </c>
      <c r="BV76">
        <v>0</v>
      </c>
      <c r="BW76">
        <v>1.07</v>
      </c>
      <c r="BX76" t="s">
        <v>50</v>
      </c>
      <c r="BY76">
        <v>0</v>
      </c>
      <c r="BZ76">
        <v>0</v>
      </c>
      <c r="CA76" t="s">
        <v>5379</v>
      </c>
      <c r="CB76">
        <v>0</v>
      </c>
      <c r="CC76" s="2146">
        <v>0.91</v>
      </c>
      <c r="CD76" s="2146" t="s">
        <v>50</v>
      </c>
      <c r="CE76" s="2146">
        <v>0</v>
      </c>
      <c r="CF76" s="2146">
        <v>0</v>
      </c>
      <c r="CG76" s="2146" t="s">
        <v>5425</v>
      </c>
      <c r="CH76">
        <v>2.5000000000000001E-3</v>
      </c>
      <c r="CJ76" t="s">
        <v>5489</v>
      </c>
    </row>
    <row r="77" spans="1:88">
      <c r="A77" t="s">
        <v>430</v>
      </c>
      <c r="B77" t="s">
        <v>435</v>
      </c>
      <c r="C77" t="s">
        <v>39</v>
      </c>
      <c r="D77" t="s">
        <v>40</v>
      </c>
      <c r="E77" t="s">
        <v>41</v>
      </c>
      <c r="F77" t="s">
        <v>432</v>
      </c>
      <c r="G77" t="s">
        <v>319</v>
      </c>
      <c r="H77" t="s">
        <v>436</v>
      </c>
      <c r="I77" t="s">
        <v>437</v>
      </c>
      <c r="J77" t="s">
        <v>5408</v>
      </c>
      <c r="K77" t="s">
        <v>45</v>
      </c>
      <c r="N77" t="s">
        <v>75</v>
      </c>
      <c r="O77" t="s">
        <v>76</v>
      </c>
      <c r="P77" t="s">
        <v>77</v>
      </c>
      <c r="Q77" s="534">
        <v>2</v>
      </c>
      <c r="R77" t="s">
        <v>3264</v>
      </c>
      <c r="S77">
        <v>99.96</v>
      </c>
      <c r="T77">
        <v>100</v>
      </c>
      <c r="U77">
        <v>100</v>
      </c>
      <c r="V77">
        <v>100</v>
      </c>
      <c r="W77">
        <v>100</v>
      </c>
      <c r="X77">
        <v>100</v>
      </c>
      <c r="Y77" t="s">
        <v>50</v>
      </c>
      <c r="AE77" t="s">
        <v>50</v>
      </c>
      <c r="AH77">
        <v>0</v>
      </c>
      <c r="AI77" t="s">
        <v>50</v>
      </c>
      <c r="AJ77" t="s">
        <v>50</v>
      </c>
      <c r="AK77" t="s">
        <v>50</v>
      </c>
      <c r="AL77" t="s">
        <v>50</v>
      </c>
      <c r="AM77" t="s">
        <v>50</v>
      </c>
      <c r="AN77">
        <v>99.92</v>
      </c>
      <c r="AO77">
        <v>99.92</v>
      </c>
      <c r="AP77">
        <v>99.94</v>
      </c>
      <c r="AQ77">
        <v>99.94</v>
      </c>
      <c r="AR77">
        <v>99.94</v>
      </c>
      <c r="AS77">
        <v>99.93</v>
      </c>
      <c r="AT77">
        <v>99.93</v>
      </c>
      <c r="AU77">
        <v>99.95</v>
      </c>
      <c r="AV77">
        <v>99.95</v>
      </c>
      <c r="AW77">
        <v>99.95</v>
      </c>
      <c r="BH77">
        <v>4.7399999999999998E-2</v>
      </c>
      <c r="BN77">
        <v>1</v>
      </c>
      <c r="BO77" t="s">
        <v>51</v>
      </c>
      <c r="BP77" s="534">
        <v>99.88</v>
      </c>
      <c r="BQ77" s="726">
        <v>99.95</v>
      </c>
      <c r="BR77" t="s">
        <v>46</v>
      </c>
      <c r="BS77" t="s">
        <v>52</v>
      </c>
      <c r="BT77">
        <v>0</v>
      </c>
      <c r="BU77" t="s">
        <v>5378</v>
      </c>
      <c r="BV77">
        <v>0</v>
      </c>
      <c r="BW77">
        <v>99.99</v>
      </c>
      <c r="BX77" t="s">
        <v>46</v>
      </c>
      <c r="BY77">
        <v>0</v>
      </c>
      <c r="BZ77">
        <v>0</v>
      </c>
      <c r="CA77" t="s">
        <v>5378</v>
      </c>
      <c r="CB77">
        <v>0</v>
      </c>
      <c r="CC77" s="2146">
        <v>99.97</v>
      </c>
      <c r="CD77" s="2146" t="s">
        <v>46</v>
      </c>
      <c r="CE77" s="2146">
        <v>0</v>
      </c>
      <c r="CF77" s="2146">
        <v>0</v>
      </c>
      <c r="CG77" s="2146" t="s">
        <v>13445</v>
      </c>
      <c r="CH77">
        <v>0</v>
      </c>
      <c r="CJ77" t="s">
        <v>5490</v>
      </c>
    </row>
    <row r="78" spans="1:88">
      <c r="A78" t="s">
        <v>430</v>
      </c>
      <c r="B78" t="s">
        <v>438</v>
      </c>
      <c r="C78" t="s">
        <v>39</v>
      </c>
      <c r="D78" t="s">
        <v>40</v>
      </c>
      <c r="E78" t="s">
        <v>41</v>
      </c>
      <c r="F78" t="s">
        <v>432</v>
      </c>
      <c r="G78" t="s">
        <v>327</v>
      </c>
      <c r="H78" t="s">
        <v>439</v>
      </c>
      <c r="I78" t="s">
        <v>440</v>
      </c>
      <c r="J78" t="s">
        <v>5408</v>
      </c>
      <c r="K78" t="s">
        <v>322</v>
      </c>
      <c r="M78" t="s">
        <v>46</v>
      </c>
      <c r="N78" t="s">
        <v>75</v>
      </c>
      <c r="O78" t="s">
        <v>281</v>
      </c>
      <c r="P78" t="s">
        <v>441</v>
      </c>
      <c r="Q78" s="534" t="s">
        <v>51</v>
      </c>
      <c r="V78" t="s">
        <v>442</v>
      </c>
      <c r="AD78" t="s">
        <v>50</v>
      </c>
      <c r="AE78" t="s">
        <v>50</v>
      </c>
      <c r="AH78">
        <v>0</v>
      </c>
      <c r="AK78" t="s">
        <v>50</v>
      </c>
      <c r="AL78" t="s">
        <v>50</v>
      </c>
      <c r="AM78" t="s">
        <v>50</v>
      </c>
      <c r="BH78">
        <v>0.51</v>
      </c>
      <c r="BI78">
        <v>19</v>
      </c>
      <c r="BN78">
        <v>1</v>
      </c>
      <c r="BO78" t="s">
        <v>51</v>
      </c>
      <c r="BP78" s="534" t="s">
        <v>497</v>
      </c>
      <c r="BQ78" s="724" t="s">
        <v>3284</v>
      </c>
      <c r="BR78" t="s">
        <v>52</v>
      </c>
      <c r="BS78" t="s">
        <v>52</v>
      </c>
      <c r="BT78">
        <v>0</v>
      </c>
      <c r="BU78" t="s">
        <v>52</v>
      </c>
      <c r="BV78">
        <v>0</v>
      </c>
      <c r="BW78" t="s">
        <v>3284</v>
      </c>
      <c r="BX78" t="s">
        <v>50</v>
      </c>
      <c r="BY78">
        <v>0</v>
      </c>
      <c r="BZ78">
        <v>0</v>
      </c>
      <c r="CA78">
        <v>0</v>
      </c>
      <c r="CB78">
        <v>0</v>
      </c>
      <c r="CC78" s="2146" t="s">
        <v>442</v>
      </c>
      <c r="CD78" s="2146" t="s">
        <v>50</v>
      </c>
      <c r="CE78" s="2146">
        <v>0</v>
      </c>
      <c r="CF78" s="2146">
        <v>0</v>
      </c>
      <c r="CG78" s="2146">
        <v>0</v>
      </c>
      <c r="CH78">
        <v>0</v>
      </c>
      <c r="CJ78" t="s">
        <v>5491</v>
      </c>
    </row>
    <row r="79" spans="1:88">
      <c r="A79" t="s">
        <v>430</v>
      </c>
      <c r="B79" t="s">
        <v>443</v>
      </c>
      <c r="C79" t="s">
        <v>39</v>
      </c>
      <c r="D79" t="s">
        <v>40</v>
      </c>
      <c r="E79" t="s">
        <v>41</v>
      </c>
      <c r="F79" t="s">
        <v>432</v>
      </c>
      <c r="G79" t="s">
        <v>444</v>
      </c>
      <c r="H79" t="s">
        <v>445</v>
      </c>
      <c r="I79" t="s">
        <v>446</v>
      </c>
      <c r="J79" t="s">
        <v>5408</v>
      </c>
      <c r="K79" t="s">
        <v>322</v>
      </c>
      <c r="M79" t="s">
        <v>46</v>
      </c>
      <c r="N79" t="s">
        <v>75</v>
      </c>
      <c r="O79" t="s">
        <v>281</v>
      </c>
      <c r="P79" t="s">
        <v>447</v>
      </c>
      <c r="Q79" s="534" t="s">
        <v>51</v>
      </c>
      <c r="W79" t="s">
        <v>448</v>
      </c>
      <c r="X79" t="s">
        <v>449</v>
      </c>
      <c r="AD79" t="s">
        <v>50</v>
      </c>
      <c r="AE79" t="s">
        <v>50</v>
      </c>
      <c r="AH79">
        <v>0</v>
      </c>
      <c r="AL79" t="s">
        <v>50</v>
      </c>
      <c r="AM79" t="s">
        <v>50</v>
      </c>
      <c r="BH79">
        <v>1</v>
      </c>
      <c r="BI79">
        <v>1</v>
      </c>
      <c r="BJ79">
        <v>5.5</v>
      </c>
      <c r="BK79">
        <v>1.5</v>
      </c>
      <c r="BN79">
        <v>1</v>
      </c>
      <c r="BO79" t="s">
        <v>51</v>
      </c>
      <c r="BP79" s="534" t="s">
        <v>497</v>
      </c>
      <c r="BQ79" s="724" t="s">
        <v>3284</v>
      </c>
      <c r="BR79" t="s">
        <v>52</v>
      </c>
      <c r="BS79" t="s">
        <v>52</v>
      </c>
      <c r="BT79">
        <v>0</v>
      </c>
      <c r="BU79" t="s">
        <v>52</v>
      </c>
      <c r="BV79">
        <v>0</v>
      </c>
      <c r="BW79" t="s">
        <v>3284</v>
      </c>
      <c r="BX79" t="s">
        <v>50</v>
      </c>
      <c r="BY79">
        <v>0</v>
      </c>
      <c r="BZ79">
        <v>0</v>
      </c>
      <c r="CA79">
        <v>0</v>
      </c>
      <c r="CB79">
        <v>0</v>
      </c>
      <c r="CC79" s="2146" t="s">
        <v>3284</v>
      </c>
      <c r="CD79" s="2146" t="s">
        <v>2148</v>
      </c>
      <c r="CE79" s="2146">
        <v>0</v>
      </c>
      <c r="CF79" s="2146">
        <v>0</v>
      </c>
      <c r="CG79" s="2146">
        <v>0</v>
      </c>
      <c r="CH79">
        <v>0</v>
      </c>
      <c r="CJ79" t="s">
        <v>5492</v>
      </c>
    </row>
    <row r="80" spans="1:88">
      <c r="A80" t="s">
        <v>430</v>
      </c>
      <c r="B80" t="s">
        <v>450</v>
      </c>
      <c r="C80" t="s">
        <v>39</v>
      </c>
      <c r="D80" t="s">
        <v>40</v>
      </c>
      <c r="E80" t="s">
        <v>41</v>
      </c>
      <c r="F80" t="s">
        <v>451</v>
      </c>
      <c r="G80" t="s">
        <v>332</v>
      </c>
      <c r="H80" t="s">
        <v>452</v>
      </c>
      <c r="I80" t="s">
        <v>453</v>
      </c>
      <c r="J80" t="s">
        <v>5406</v>
      </c>
      <c r="K80" t="s">
        <v>45</v>
      </c>
      <c r="N80" t="s">
        <v>86</v>
      </c>
      <c r="O80" t="s">
        <v>119</v>
      </c>
      <c r="P80" t="s">
        <v>454</v>
      </c>
      <c r="Q80" s="534">
        <v>2</v>
      </c>
      <c r="R80" t="s">
        <v>3263</v>
      </c>
      <c r="S80">
        <v>0.33</v>
      </c>
      <c r="T80">
        <v>0.28999999999999998</v>
      </c>
      <c r="U80">
        <v>0.24</v>
      </c>
      <c r="V80">
        <v>0.2</v>
      </c>
      <c r="W80">
        <v>0.2</v>
      </c>
      <c r="X80">
        <v>0.2</v>
      </c>
      <c r="AA80" t="s">
        <v>50</v>
      </c>
      <c r="AE80" t="s">
        <v>50</v>
      </c>
      <c r="AH80">
        <v>0</v>
      </c>
      <c r="AI80" t="s">
        <v>50</v>
      </c>
      <c r="AJ80" t="s">
        <v>50</v>
      </c>
      <c r="AK80" t="s">
        <v>50</v>
      </c>
      <c r="AL80" t="s">
        <v>50</v>
      </c>
      <c r="AM80" t="s">
        <v>50</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455</v>
      </c>
      <c r="BP80" s="534">
        <v>0.17</v>
      </c>
      <c r="BQ80" s="726">
        <v>8.6999999999999994E-2</v>
      </c>
      <c r="BR80" t="s">
        <v>50</v>
      </c>
      <c r="BS80" t="s">
        <v>52</v>
      </c>
      <c r="BT80">
        <v>0</v>
      </c>
      <c r="BU80" t="s">
        <v>5425</v>
      </c>
      <c r="BV80">
        <v>2.0870400000000001E-2</v>
      </c>
      <c r="BW80">
        <v>0.35</v>
      </c>
      <c r="BX80" t="s">
        <v>46</v>
      </c>
      <c r="BY80">
        <v>0</v>
      </c>
      <c r="BZ80">
        <v>0</v>
      </c>
      <c r="CA80" t="s">
        <v>5415</v>
      </c>
      <c r="CB80">
        <v>-8.3567199999999998E-3</v>
      </c>
      <c r="CC80" s="2146">
        <v>7.0000000000000007E-2</v>
      </c>
      <c r="CD80" s="2146" t="s">
        <v>50</v>
      </c>
      <c r="CE80" s="2146">
        <v>0</v>
      </c>
      <c r="CF80" s="2146">
        <v>0</v>
      </c>
      <c r="CG80" s="2146" t="s">
        <v>5425</v>
      </c>
      <c r="CH80">
        <v>2.0899999999999998E-2</v>
      </c>
      <c r="CJ80" t="s">
        <v>5493</v>
      </c>
    </row>
    <row r="81" spans="1:88">
      <c r="A81" t="s">
        <v>430</v>
      </c>
      <c r="B81" t="s">
        <v>456</v>
      </c>
      <c r="C81" t="s">
        <v>39</v>
      </c>
      <c r="D81" t="s">
        <v>40</v>
      </c>
      <c r="E81" t="s">
        <v>41</v>
      </c>
      <c r="F81" t="s">
        <v>451</v>
      </c>
      <c r="G81" t="s">
        <v>457</v>
      </c>
      <c r="H81" t="s">
        <v>458</v>
      </c>
      <c r="I81" t="s">
        <v>5494</v>
      </c>
      <c r="J81" t="s">
        <v>5406</v>
      </c>
      <c r="K81" t="s">
        <v>45</v>
      </c>
      <c r="N81" t="s">
        <v>47</v>
      </c>
      <c r="O81" t="s">
        <v>48</v>
      </c>
      <c r="P81" t="s">
        <v>459</v>
      </c>
      <c r="Q81" s="534">
        <v>1</v>
      </c>
      <c r="R81" t="s">
        <v>3263</v>
      </c>
      <c r="S81">
        <v>90.8</v>
      </c>
      <c r="T81">
        <v>90.8</v>
      </c>
      <c r="U81">
        <v>90.8</v>
      </c>
      <c r="V81">
        <v>90.8</v>
      </c>
      <c r="W81">
        <v>90.8</v>
      </c>
      <c r="X81">
        <v>90.8</v>
      </c>
      <c r="AE81" t="s">
        <v>50</v>
      </c>
      <c r="AH81">
        <v>0</v>
      </c>
      <c r="AI81" t="s">
        <v>50</v>
      </c>
      <c r="AJ81" t="s">
        <v>50</v>
      </c>
      <c r="AK81" t="s">
        <v>50</v>
      </c>
      <c r="AL81" t="s">
        <v>50</v>
      </c>
      <c r="AM81" t="s">
        <v>50</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51</v>
      </c>
      <c r="BP81" s="534">
        <v>77.89</v>
      </c>
      <c r="BQ81" s="722">
        <v>78.400000000000006</v>
      </c>
      <c r="BR81" t="s">
        <v>50</v>
      </c>
      <c r="BS81" t="s">
        <v>52</v>
      </c>
      <c r="BT81">
        <v>0</v>
      </c>
      <c r="BU81" t="s">
        <v>5379</v>
      </c>
      <c r="BV81">
        <v>0</v>
      </c>
      <c r="BW81">
        <v>88.96</v>
      </c>
      <c r="BX81" t="s">
        <v>50</v>
      </c>
      <c r="BY81">
        <v>0</v>
      </c>
      <c r="BZ81">
        <v>0</v>
      </c>
      <c r="CA81" t="s">
        <v>5379</v>
      </c>
      <c r="CB81">
        <v>0</v>
      </c>
      <c r="CC81" s="2146">
        <v>92.5</v>
      </c>
      <c r="CD81" s="2146" t="s">
        <v>46</v>
      </c>
      <c r="CE81" s="2146">
        <v>0</v>
      </c>
      <c r="CF81" s="2146">
        <v>0</v>
      </c>
      <c r="CG81" s="2146" t="s">
        <v>13444</v>
      </c>
      <c r="CH81">
        <v>-8.7550000000000006E-3</v>
      </c>
      <c r="CJ81" t="s">
        <v>5495</v>
      </c>
    </row>
    <row r="82" spans="1:88">
      <c r="A82" t="s">
        <v>430</v>
      </c>
      <c r="B82" t="s">
        <v>460</v>
      </c>
      <c r="C82" t="s">
        <v>39</v>
      </c>
      <c r="D82" t="s">
        <v>40</v>
      </c>
      <c r="E82" t="s">
        <v>41</v>
      </c>
      <c r="F82" t="s">
        <v>451</v>
      </c>
      <c r="G82" t="s">
        <v>461</v>
      </c>
      <c r="H82" t="s">
        <v>462</v>
      </c>
      <c r="I82" t="s">
        <v>463</v>
      </c>
      <c r="J82" t="s">
        <v>69</v>
      </c>
      <c r="N82" t="s">
        <v>61</v>
      </c>
      <c r="O82" t="s">
        <v>107</v>
      </c>
      <c r="P82" t="s">
        <v>150</v>
      </c>
      <c r="Q82" s="534">
        <v>0</v>
      </c>
      <c r="R82" t="s">
        <v>3264</v>
      </c>
      <c r="S82">
        <v>100</v>
      </c>
      <c r="T82">
        <v>100</v>
      </c>
      <c r="U82">
        <v>100</v>
      </c>
      <c r="V82">
        <v>100</v>
      </c>
      <c r="W82">
        <v>100</v>
      </c>
      <c r="X82">
        <v>100</v>
      </c>
      <c r="AH82">
        <v>0</v>
      </c>
      <c r="BP82" s="534">
        <v>100</v>
      </c>
      <c r="BQ82" s="725">
        <v>100</v>
      </c>
      <c r="BR82" t="s">
        <v>50</v>
      </c>
      <c r="BS82" t="s">
        <v>52</v>
      </c>
      <c r="BT82">
        <v>0</v>
      </c>
      <c r="BU82" t="s">
        <v>52</v>
      </c>
      <c r="BV82">
        <v>0</v>
      </c>
      <c r="BW82">
        <v>100</v>
      </c>
      <c r="BX82" t="s">
        <v>50</v>
      </c>
      <c r="BY82">
        <v>0</v>
      </c>
      <c r="BZ82">
        <v>0</v>
      </c>
      <c r="CA82">
        <v>0</v>
      </c>
      <c r="CB82">
        <v>0</v>
      </c>
      <c r="CC82" s="2146">
        <v>100</v>
      </c>
      <c r="CD82" s="2146" t="s">
        <v>50</v>
      </c>
      <c r="CE82" s="2146">
        <v>0</v>
      </c>
      <c r="CF82" s="2146">
        <v>0</v>
      </c>
      <c r="CG82" s="2146">
        <v>0</v>
      </c>
      <c r="CH82">
        <v>0</v>
      </c>
      <c r="CJ82" t="s">
        <v>5496</v>
      </c>
    </row>
    <row r="83" spans="1:88">
      <c r="A83" t="s">
        <v>430</v>
      </c>
      <c r="B83" t="s">
        <v>464</v>
      </c>
      <c r="C83" t="s">
        <v>39</v>
      </c>
      <c r="D83" t="s">
        <v>40</v>
      </c>
      <c r="E83" t="s">
        <v>41</v>
      </c>
      <c r="F83" t="s">
        <v>451</v>
      </c>
      <c r="G83" t="s">
        <v>465</v>
      </c>
      <c r="H83" t="s">
        <v>466</v>
      </c>
      <c r="I83" t="s">
        <v>467</v>
      </c>
      <c r="J83" t="s">
        <v>5406</v>
      </c>
      <c r="K83" t="s">
        <v>45</v>
      </c>
      <c r="N83" t="s">
        <v>91</v>
      </c>
      <c r="O83" t="s">
        <v>48</v>
      </c>
      <c r="P83" t="s">
        <v>92</v>
      </c>
      <c r="Q83" s="534">
        <v>0</v>
      </c>
      <c r="R83" t="s">
        <v>3263</v>
      </c>
      <c r="S83">
        <v>211</v>
      </c>
      <c r="T83">
        <v>246</v>
      </c>
      <c r="U83">
        <v>234</v>
      </c>
      <c r="V83">
        <v>222</v>
      </c>
      <c r="W83">
        <v>222</v>
      </c>
      <c r="X83">
        <v>222</v>
      </c>
      <c r="AE83" t="s">
        <v>50</v>
      </c>
      <c r="AH83">
        <v>0</v>
      </c>
      <c r="AI83" t="s">
        <v>50</v>
      </c>
      <c r="AJ83" t="s">
        <v>50</v>
      </c>
      <c r="AK83" t="s">
        <v>50</v>
      </c>
      <c r="AL83" t="s">
        <v>50</v>
      </c>
      <c r="AM83" t="s">
        <v>50</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51</v>
      </c>
      <c r="BP83" s="534">
        <v>247</v>
      </c>
      <c r="BQ83" s="725">
        <v>169</v>
      </c>
      <c r="BR83" t="s">
        <v>50</v>
      </c>
      <c r="BS83" t="s">
        <v>52</v>
      </c>
      <c r="BT83">
        <v>0</v>
      </c>
      <c r="BU83" t="s">
        <v>5425</v>
      </c>
      <c r="BV83">
        <v>4.5547599999999997E-3</v>
      </c>
      <c r="BW83">
        <v>209</v>
      </c>
      <c r="BX83" t="s">
        <v>50</v>
      </c>
      <c r="BY83">
        <v>0</v>
      </c>
      <c r="BZ83">
        <v>0</v>
      </c>
      <c r="CA83" t="s">
        <v>5379</v>
      </c>
      <c r="CB83">
        <v>0</v>
      </c>
      <c r="CC83" s="2146">
        <v>243</v>
      </c>
      <c r="CD83" s="2146" t="s">
        <v>46</v>
      </c>
      <c r="CE83" s="2146">
        <v>0</v>
      </c>
      <c r="CF83" s="2146">
        <v>0</v>
      </c>
      <c r="CG83" s="2146" t="s">
        <v>13445</v>
      </c>
      <c r="CH83">
        <v>0</v>
      </c>
      <c r="CJ83" t="s">
        <v>5497</v>
      </c>
    </row>
    <row r="84" spans="1:88">
      <c r="A84" t="s">
        <v>430</v>
      </c>
      <c r="B84" t="s">
        <v>468</v>
      </c>
      <c r="C84" t="s">
        <v>39</v>
      </c>
      <c r="D84" t="s">
        <v>40</v>
      </c>
      <c r="E84" t="s">
        <v>41</v>
      </c>
      <c r="F84" t="s">
        <v>469</v>
      </c>
      <c r="G84" t="s">
        <v>338</v>
      </c>
      <c r="H84" t="s">
        <v>470</v>
      </c>
      <c r="I84" t="s">
        <v>471</v>
      </c>
      <c r="J84" t="s">
        <v>69</v>
      </c>
      <c r="N84" t="s">
        <v>182</v>
      </c>
      <c r="O84" t="s">
        <v>48</v>
      </c>
      <c r="P84" t="s">
        <v>472</v>
      </c>
      <c r="Q84" s="534">
        <v>0</v>
      </c>
      <c r="R84" t="s">
        <v>3263</v>
      </c>
      <c r="S84">
        <v>9889</v>
      </c>
      <c r="T84">
        <v>9783</v>
      </c>
      <c r="U84">
        <v>9762</v>
      </c>
      <c r="V84">
        <v>9752</v>
      </c>
      <c r="W84">
        <v>9740</v>
      </c>
      <c r="X84">
        <v>9727</v>
      </c>
      <c r="AH84">
        <v>0</v>
      </c>
      <c r="BP84" s="534">
        <v>9389</v>
      </c>
      <c r="BQ84" s="725">
        <v>9219</v>
      </c>
      <c r="BR84" t="s">
        <v>50</v>
      </c>
      <c r="BS84" t="s">
        <v>52</v>
      </c>
      <c r="BT84">
        <v>0</v>
      </c>
      <c r="BU84" t="s">
        <v>52</v>
      </c>
      <c r="BV84">
        <v>0</v>
      </c>
      <c r="BW84">
        <v>8385</v>
      </c>
      <c r="BX84" t="s">
        <v>50</v>
      </c>
      <c r="BY84">
        <v>0</v>
      </c>
      <c r="BZ84">
        <v>0</v>
      </c>
      <c r="CA84">
        <v>0</v>
      </c>
      <c r="CB84">
        <v>0</v>
      </c>
      <c r="CC84" s="2146">
        <v>7709</v>
      </c>
      <c r="CD84" s="2146" t="s">
        <v>50</v>
      </c>
      <c r="CE84" s="2146">
        <v>0</v>
      </c>
      <c r="CF84" s="2146">
        <v>0</v>
      </c>
      <c r="CG84" s="2146">
        <v>0</v>
      </c>
      <c r="CH84">
        <v>0</v>
      </c>
      <c r="CJ84" t="s">
        <v>5498</v>
      </c>
    </row>
    <row r="85" spans="1:88">
      <c r="A85" t="s">
        <v>430</v>
      </c>
      <c r="B85" t="s">
        <v>473</v>
      </c>
      <c r="C85" t="s">
        <v>39</v>
      </c>
      <c r="D85" t="s">
        <v>40</v>
      </c>
      <c r="E85" t="s">
        <v>41</v>
      </c>
      <c r="F85" t="s">
        <v>474</v>
      </c>
      <c r="G85" t="s">
        <v>348</v>
      </c>
      <c r="H85" t="s">
        <v>475</v>
      </c>
      <c r="I85" t="s">
        <v>476</v>
      </c>
      <c r="J85" t="s">
        <v>69</v>
      </c>
      <c r="N85" t="s">
        <v>192</v>
      </c>
      <c r="O85" t="s">
        <v>76</v>
      </c>
      <c r="P85" t="s">
        <v>193</v>
      </c>
      <c r="Q85" s="534" t="s">
        <v>51</v>
      </c>
      <c r="R85" t="s">
        <v>3264</v>
      </c>
      <c r="T85">
        <v>80</v>
      </c>
      <c r="U85" t="s">
        <v>194</v>
      </c>
      <c r="V85" t="s">
        <v>194</v>
      </c>
      <c r="W85" t="s">
        <v>194</v>
      </c>
      <c r="X85" t="s">
        <v>194</v>
      </c>
      <c r="AH85">
        <v>0</v>
      </c>
      <c r="BP85" s="534" t="s">
        <v>497</v>
      </c>
      <c r="BQ85" s="724">
        <v>80</v>
      </c>
      <c r="BR85" t="s">
        <v>50</v>
      </c>
      <c r="BS85" t="s">
        <v>52</v>
      </c>
      <c r="BT85">
        <v>0</v>
      </c>
      <c r="BU85" t="s">
        <v>52</v>
      </c>
      <c r="BV85">
        <v>0</v>
      </c>
      <c r="BW85">
        <v>77</v>
      </c>
      <c r="BX85" t="s">
        <v>46</v>
      </c>
      <c r="BY85">
        <v>0</v>
      </c>
      <c r="BZ85">
        <v>0</v>
      </c>
      <c r="CA85">
        <v>0</v>
      </c>
      <c r="CB85">
        <v>0</v>
      </c>
      <c r="CC85" s="2146">
        <v>73</v>
      </c>
      <c r="CD85" s="2146" t="s">
        <v>46</v>
      </c>
      <c r="CE85" s="2146">
        <v>0</v>
      </c>
      <c r="CF85" s="2146">
        <v>0</v>
      </c>
      <c r="CG85" s="2146">
        <v>0</v>
      </c>
      <c r="CH85">
        <v>0</v>
      </c>
      <c r="CJ85" t="s">
        <v>5499</v>
      </c>
    </row>
    <row r="86" spans="1:88">
      <c r="A86" t="s">
        <v>430</v>
      </c>
      <c r="B86" t="s">
        <v>477</v>
      </c>
      <c r="C86" t="s">
        <v>39</v>
      </c>
      <c r="D86" t="s">
        <v>478</v>
      </c>
      <c r="E86" t="s">
        <v>479</v>
      </c>
      <c r="F86" t="s">
        <v>480</v>
      </c>
      <c r="G86" t="s">
        <v>360</v>
      </c>
      <c r="H86" t="s">
        <v>481</v>
      </c>
      <c r="I86" t="s">
        <v>482</v>
      </c>
      <c r="J86" t="s">
        <v>5406</v>
      </c>
      <c r="K86" t="s">
        <v>45</v>
      </c>
      <c r="M86" t="s">
        <v>46</v>
      </c>
      <c r="N86" t="s">
        <v>106</v>
      </c>
      <c r="O86" t="s">
        <v>107</v>
      </c>
      <c r="P86" t="s">
        <v>108</v>
      </c>
      <c r="Q86" s="534">
        <v>1</v>
      </c>
      <c r="R86" t="s">
        <v>3264</v>
      </c>
      <c r="S86">
        <v>80</v>
      </c>
      <c r="T86">
        <v>80</v>
      </c>
      <c r="U86">
        <v>80</v>
      </c>
      <c r="V86">
        <v>80</v>
      </c>
      <c r="W86">
        <v>80</v>
      </c>
      <c r="X86">
        <v>80</v>
      </c>
      <c r="AH86">
        <v>0</v>
      </c>
      <c r="AI86" t="s">
        <v>50</v>
      </c>
      <c r="AJ86" t="s">
        <v>50</v>
      </c>
      <c r="AK86" t="s">
        <v>50</v>
      </c>
      <c r="AL86" t="s">
        <v>50</v>
      </c>
      <c r="AM86" t="s">
        <v>50</v>
      </c>
      <c r="AN86" t="s">
        <v>109</v>
      </c>
      <c r="AO86" t="s">
        <v>109</v>
      </c>
      <c r="AP86" t="s">
        <v>109</v>
      </c>
      <c r="AQ86" t="s">
        <v>109</v>
      </c>
      <c r="AR86" t="s">
        <v>109</v>
      </c>
      <c r="AS86" t="s">
        <v>109</v>
      </c>
      <c r="AT86" t="s">
        <v>109</v>
      </c>
      <c r="AU86" t="s">
        <v>109</v>
      </c>
      <c r="AV86" t="s">
        <v>109</v>
      </c>
      <c r="AW86" t="s">
        <v>109</v>
      </c>
      <c r="AX86" t="s">
        <v>109</v>
      </c>
      <c r="AY86" t="s">
        <v>109</v>
      </c>
      <c r="AZ86" t="s">
        <v>109</v>
      </c>
      <c r="BA86" t="s">
        <v>109</v>
      </c>
      <c r="BB86" t="s">
        <v>109</v>
      </c>
      <c r="BC86" t="s">
        <v>109</v>
      </c>
      <c r="BD86" t="s">
        <v>109</v>
      </c>
      <c r="BE86" t="s">
        <v>109</v>
      </c>
      <c r="BF86" t="s">
        <v>109</v>
      </c>
      <c r="BG86" t="s">
        <v>109</v>
      </c>
      <c r="BH86" t="s">
        <v>109</v>
      </c>
      <c r="BL86" t="s">
        <v>109</v>
      </c>
      <c r="BN86">
        <v>1</v>
      </c>
      <c r="BO86" t="s">
        <v>51</v>
      </c>
      <c r="BP86" s="534" t="s">
        <v>497</v>
      </c>
      <c r="BQ86" s="722">
        <v>88.51</v>
      </c>
      <c r="BR86" t="s">
        <v>50</v>
      </c>
      <c r="BS86" t="s">
        <v>52</v>
      </c>
      <c r="BT86">
        <v>0</v>
      </c>
      <c r="BU86" t="s">
        <v>52</v>
      </c>
      <c r="BV86">
        <v>0</v>
      </c>
      <c r="BW86">
        <v>90.43</v>
      </c>
      <c r="BX86" t="s">
        <v>50</v>
      </c>
      <c r="BY86">
        <v>0</v>
      </c>
      <c r="BZ86">
        <v>0</v>
      </c>
      <c r="CA86">
        <v>0</v>
      </c>
      <c r="CB86">
        <v>0</v>
      </c>
      <c r="CC86" s="2146">
        <v>94</v>
      </c>
      <c r="CD86" s="2146" t="s">
        <v>50</v>
      </c>
      <c r="CE86" s="2146">
        <v>0</v>
      </c>
      <c r="CF86" s="2146">
        <v>0</v>
      </c>
      <c r="CG86" s="2146">
        <v>0</v>
      </c>
      <c r="CH86">
        <v>0</v>
      </c>
      <c r="CJ86" t="s">
        <v>5500</v>
      </c>
    </row>
    <row r="87" spans="1:88">
      <c r="A87" t="s">
        <v>430</v>
      </c>
      <c r="B87" t="s">
        <v>483</v>
      </c>
      <c r="C87" t="s">
        <v>39</v>
      </c>
      <c r="D87" t="s">
        <v>101</v>
      </c>
      <c r="E87" t="s">
        <v>102</v>
      </c>
      <c r="F87" t="s">
        <v>484</v>
      </c>
      <c r="G87" t="s">
        <v>354</v>
      </c>
      <c r="H87" t="s">
        <v>485</v>
      </c>
      <c r="I87" t="s">
        <v>486</v>
      </c>
      <c r="J87" t="s">
        <v>69</v>
      </c>
      <c r="N87" t="s">
        <v>56</v>
      </c>
      <c r="O87" t="s">
        <v>48</v>
      </c>
      <c r="P87" t="s">
        <v>487</v>
      </c>
      <c r="Q87" s="534">
        <v>2</v>
      </c>
      <c r="R87" t="s">
        <v>3263</v>
      </c>
      <c r="S87">
        <v>132.38999999999999</v>
      </c>
      <c r="T87">
        <v>131.44</v>
      </c>
      <c r="U87">
        <v>130.44999999999999</v>
      </c>
      <c r="V87">
        <v>129.44</v>
      </c>
      <c r="W87">
        <v>128.37</v>
      </c>
      <c r="X87">
        <v>127.28</v>
      </c>
      <c r="AH87">
        <v>0</v>
      </c>
      <c r="BP87" s="534">
        <v>129.53</v>
      </c>
      <c r="BQ87" s="726">
        <v>134.87</v>
      </c>
      <c r="BR87" t="s">
        <v>46</v>
      </c>
      <c r="BS87" t="s">
        <v>52</v>
      </c>
      <c r="BT87">
        <v>0</v>
      </c>
      <c r="BU87" t="s">
        <v>52</v>
      </c>
      <c r="BV87">
        <v>0</v>
      </c>
      <c r="BW87">
        <v>135.21</v>
      </c>
      <c r="BX87" t="s">
        <v>46</v>
      </c>
      <c r="BY87">
        <v>0</v>
      </c>
      <c r="BZ87">
        <v>0</v>
      </c>
      <c r="CA87">
        <v>0</v>
      </c>
      <c r="CB87">
        <v>0</v>
      </c>
      <c r="CC87" s="2146">
        <v>136.57</v>
      </c>
      <c r="CD87" s="2146" t="s">
        <v>46</v>
      </c>
      <c r="CE87" s="2146">
        <v>0</v>
      </c>
      <c r="CF87" s="2146">
        <v>0</v>
      </c>
      <c r="CG87" s="2146">
        <v>0</v>
      </c>
      <c r="CH87">
        <v>0</v>
      </c>
      <c r="CJ87" t="s">
        <v>5501</v>
      </c>
    </row>
    <row r="88" spans="1:88">
      <c r="A88" t="s">
        <v>430</v>
      </c>
      <c r="B88" t="s">
        <v>488</v>
      </c>
      <c r="C88" t="s">
        <v>39</v>
      </c>
      <c r="D88" t="s">
        <v>101</v>
      </c>
      <c r="E88" t="s">
        <v>102</v>
      </c>
      <c r="F88" t="s">
        <v>484</v>
      </c>
      <c r="G88" t="s">
        <v>489</v>
      </c>
      <c r="H88" t="s">
        <v>490</v>
      </c>
      <c r="I88" t="s">
        <v>491</v>
      </c>
      <c r="J88" t="s">
        <v>5406</v>
      </c>
      <c r="K88" t="s">
        <v>45</v>
      </c>
      <c r="M88" t="s">
        <v>46</v>
      </c>
      <c r="N88" t="s">
        <v>106</v>
      </c>
      <c r="O88" t="s">
        <v>107</v>
      </c>
      <c r="P88" t="s">
        <v>108</v>
      </c>
      <c r="Q88" s="534">
        <v>1</v>
      </c>
      <c r="R88" t="s">
        <v>3264</v>
      </c>
      <c r="S88">
        <v>80</v>
      </c>
      <c r="T88">
        <v>80</v>
      </c>
      <c r="U88">
        <v>80</v>
      </c>
      <c r="V88">
        <v>80</v>
      </c>
      <c r="W88">
        <v>80</v>
      </c>
      <c r="X88">
        <v>80</v>
      </c>
      <c r="AH88">
        <v>0</v>
      </c>
      <c r="AI88" t="s">
        <v>50</v>
      </c>
      <c r="AJ88" t="s">
        <v>50</v>
      </c>
      <c r="AK88" t="s">
        <v>50</v>
      </c>
      <c r="AL88" t="s">
        <v>50</v>
      </c>
      <c r="AM88" t="s">
        <v>50</v>
      </c>
      <c r="AN88" t="s">
        <v>109</v>
      </c>
      <c r="AO88" t="s">
        <v>109</v>
      </c>
      <c r="AP88" t="s">
        <v>109</v>
      </c>
      <c r="AQ88" t="s">
        <v>109</v>
      </c>
      <c r="AR88" t="s">
        <v>109</v>
      </c>
      <c r="AS88" t="s">
        <v>109</v>
      </c>
      <c r="AT88" t="s">
        <v>109</v>
      </c>
      <c r="AU88" t="s">
        <v>109</v>
      </c>
      <c r="AV88" t="s">
        <v>109</v>
      </c>
      <c r="AW88" t="s">
        <v>109</v>
      </c>
      <c r="AX88" t="s">
        <v>109</v>
      </c>
      <c r="AY88" t="s">
        <v>109</v>
      </c>
      <c r="AZ88" t="s">
        <v>109</v>
      </c>
      <c r="BA88" t="s">
        <v>109</v>
      </c>
      <c r="BB88" t="s">
        <v>109</v>
      </c>
      <c r="BC88" t="s">
        <v>109</v>
      </c>
      <c r="BD88" t="s">
        <v>109</v>
      </c>
      <c r="BE88" t="s">
        <v>109</v>
      </c>
      <c r="BF88" t="s">
        <v>109</v>
      </c>
      <c r="BG88" t="s">
        <v>109</v>
      </c>
      <c r="BH88" t="s">
        <v>109</v>
      </c>
      <c r="BL88" t="s">
        <v>109</v>
      </c>
      <c r="BN88">
        <v>1</v>
      </c>
      <c r="BO88" t="s">
        <v>51</v>
      </c>
      <c r="BP88" s="534">
        <v>77.900000000000006</v>
      </c>
      <c r="BQ88" s="722">
        <v>83.42</v>
      </c>
      <c r="BR88" t="s">
        <v>50</v>
      </c>
      <c r="BS88" t="s">
        <v>52</v>
      </c>
      <c r="BT88">
        <v>0</v>
      </c>
      <c r="BU88" t="s">
        <v>52</v>
      </c>
      <c r="BV88">
        <v>0</v>
      </c>
      <c r="BW88">
        <v>85.98</v>
      </c>
      <c r="BX88" t="s">
        <v>50</v>
      </c>
      <c r="BY88">
        <v>0</v>
      </c>
      <c r="BZ88">
        <v>0</v>
      </c>
      <c r="CA88">
        <v>0</v>
      </c>
      <c r="CB88">
        <v>0</v>
      </c>
      <c r="CC88" s="2146">
        <v>86.5</v>
      </c>
      <c r="CD88" s="2146" t="s">
        <v>50</v>
      </c>
      <c r="CE88" s="2146">
        <v>0</v>
      </c>
      <c r="CF88" s="2146">
        <v>0</v>
      </c>
      <c r="CG88" s="2146">
        <v>0</v>
      </c>
      <c r="CH88">
        <v>0</v>
      </c>
      <c r="CJ88" t="s">
        <v>5502</v>
      </c>
    </row>
    <row r="89" spans="1:88">
      <c r="A89" t="s">
        <v>492</v>
      </c>
      <c r="B89" t="s">
        <v>493</v>
      </c>
      <c r="C89" t="s">
        <v>116</v>
      </c>
      <c r="D89" t="s">
        <v>40</v>
      </c>
      <c r="E89" t="s">
        <v>41</v>
      </c>
      <c r="F89" t="s">
        <v>494</v>
      </c>
      <c r="G89" t="s">
        <v>43</v>
      </c>
      <c r="H89" t="s">
        <v>495</v>
      </c>
      <c r="I89" t="s">
        <v>496</v>
      </c>
      <c r="J89" t="s">
        <v>69</v>
      </c>
      <c r="N89" t="s">
        <v>91</v>
      </c>
      <c r="O89" t="s">
        <v>497</v>
      </c>
      <c r="P89" t="s">
        <v>498</v>
      </c>
      <c r="Q89" s="534" t="s">
        <v>51</v>
      </c>
      <c r="S89" t="s">
        <v>497</v>
      </c>
      <c r="T89" t="s">
        <v>497</v>
      </c>
      <c r="U89" t="s">
        <v>497</v>
      </c>
      <c r="V89" t="s">
        <v>497</v>
      </c>
      <c r="W89" t="s">
        <v>497</v>
      </c>
      <c r="X89" t="s">
        <v>497</v>
      </c>
      <c r="AE89" t="s">
        <v>50</v>
      </c>
      <c r="AH89">
        <v>0</v>
      </c>
      <c r="BP89" s="534" t="s">
        <v>2797</v>
      </c>
      <c r="BQ89" s="724" t="s">
        <v>2797</v>
      </c>
      <c r="BR89" t="s">
        <v>52</v>
      </c>
      <c r="BS89" t="s">
        <v>52</v>
      </c>
      <c r="BT89">
        <v>0</v>
      </c>
      <c r="BU89" t="s">
        <v>52</v>
      </c>
      <c r="BV89">
        <v>0</v>
      </c>
      <c r="BW89" t="s">
        <v>2797</v>
      </c>
      <c r="BX89" t="s">
        <v>2148</v>
      </c>
      <c r="BY89">
        <v>0</v>
      </c>
      <c r="BZ89">
        <v>0</v>
      </c>
      <c r="CA89">
        <v>0</v>
      </c>
      <c r="CB89">
        <v>0</v>
      </c>
      <c r="CC89" s="2146" t="s">
        <v>2797</v>
      </c>
      <c r="CD89" s="2146" t="s">
        <v>2148</v>
      </c>
      <c r="CE89" s="2146">
        <v>0</v>
      </c>
      <c r="CF89" s="2146">
        <v>0</v>
      </c>
      <c r="CG89" s="2146">
        <v>0</v>
      </c>
      <c r="CH89">
        <v>0</v>
      </c>
      <c r="CJ89" t="s">
        <v>5503</v>
      </c>
    </row>
    <row r="90" spans="1:88">
      <c r="A90" t="s">
        <v>492</v>
      </c>
      <c r="B90" t="s">
        <v>499</v>
      </c>
      <c r="C90" t="s">
        <v>116</v>
      </c>
      <c r="D90" t="s">
        <v>40</v>
      </c>
      <c r="E90" t="s">
        <v>41</v>
      </c>
      <c r="F90" t="s">
        <v>500</v>
      </c>
      <c r="G90" t="s">
        <v>73</v>
      </c>
      <c r="H90" t="s">
        <v>501</v>
      </c>
      <c r="I90" t="s">
        <v>502</v>
      </c>
      <c r="J90" t="s">
        <v>5406</v>
      </c>
      <c r="K90" t="s">
        <v>322</v>
      </c>
      <c r="N90" t="s">
        <v>24</v>
      </c>
      <c r="O90" t="s">
        <v>48</v>
      </c>
      <c r="P90" t="s">
        <v>503</v>
      </c>
      <c r="Q90" s="534">
        <v>0</v>
      </c>
      <c r="R90" t="s">
        <v>3263</v>
      </c>
      <c r="S90">
        <v>1402</v>
      </c>
      <c r="T90">
        <v>1236</v>
      </c>
      <c r="U90">
        <v>1069</v>
      </c>
      <c r="V90">
        <v>903</v>
      </c>
      <c r="W90">
        <v>903</v>
      </c>
      <c r="X90">
        <v>903</v>
      </c>
      <c r="Z90" t="s">
        <v>50</v>
      </c>
      <c r="AE90" t="s">
        <v>50</v>
      </c>
      <c r="AH90">
        <v>0</v>
      </c>
      <c r="AI90" t="s">
        <v>50</v>
      </c>
      <c r="AJ90" t="s">
        <v>50</v>
      </c>
      <c r="AK90" t="s">
        <v>50</v>
      </c>
      <c r="AL90" t="s">
        <v>50</v>
      </c>
      <c r="AM90" t="s">
        <v>50</v>
      </c>
      <c r="AN90" t="s">
        <v>504</v>
      </c>
      <c r="AO90" t="s">
        <v>504</v>
      </c>
      <c r="AP90" t="s">
        <v>505</v>
      </c>
      <c r="AQ90" t="s">
        <v>505</v>
      </c>
      <c r="AR90" t="s">
        <v>505</v>
      </c>
      <c r="AS90" t="s">
        <v>506</v>
      </c>
      <c r="AT90" t="s">
        <v>506</v>
      </c>
      <c r="AU90" t="s">
        <v>507</v>
      </c>
      <c r="AV90" t="s">
        <v>507</v>
      </c>
      <c r="AW90" t="s">
        <v>507</v>
      </c>
      <c r="AX90" t="s">
        <v>508</v>
      </c>
      <c r="AY90" t="s">
        <v>508</v>
      </c>
      <c r="AZ90" t="s">
        <v>508</v>
      </c>
      <c r="BA90" t="s">
        <v>508</v>
      </c>
      <c r="BB90" t="s">
        <v>508</v>
      </c>
      <c r="BC90" t="s">
        <v>509</v>
      </c>
      <c r="BD90" t="s">
        <v>510</v>
      </c>
      <c r="BE90" t="s">
        <v>509</v>
      </c>
      <c r="BF90" t="s">
        <v>509</v>
      </c>
      <c r="BG90" t="s">
        <v>509</v>
      </c>
      <c r="BH90">
        <v>2.3E-2</v>
      </c>
      <c r="BL90">
        <v>1.0999999999999999E-2</v>
      </c>
      <c r="BN90">
        <v>1</v>
      </c>
      <c r="BO90" t="s">
        <v>51</v>
      </c>
      <c r="BP90" s="534">
        <v>1405</v>
      </c>
      <c r="BQ90" s="725">
        <v>1225</v>
      </c>
      <c r="BR90" t="s">
        <v>50</v>
      </c>
      <c r="BS90" t="s">
        <v>52</v>
      </c>
      <c r="BT90">
        <v>0</v>
      </c>
      <c r="BU90" t="s">
        <v>5379</v>
      </c>
      <c r="BV90">
        <v>0</v>
      </c>
      <c r="BW90">
        <v>1229</v>
      </c>
      <c r="BX90" t="s">
        <v>46</v>
      </c>
      <c r="BY90">
        <v>0</v>
      </c>
      <c r="BZ90">
        <v>0</v>
      </c>
      <c r="CA90" t="s">
        <v>5378</v>
      </c>
      <c r="CB90">
        <v>0</v>
      </c>
      <c r="CC90" s="2146">
        <v>978</v>
      </c>
      <c r="CD90" s="2146" t="s">
        <v>50</v>
      </c>
      <c r="CE90" s="2146">
        <v>0</v>
      </c>
      <c r="CF90" s="2146">
        <v>0</v>
      </c>
      <c r="CG90" s="2146" t="s">
        <v>5425</v>
      </c>
      <c r="CH90">
        <v>9.9000000000000005E-2</v>
      </c>
      <c r="CJ90" t="s">
        <v>5504</v>
      </c>
    </row>
    <row r="91" spans="1:88">
      <c r="A91" t="s">
        <v>492</v>
      </c>
      <c r="B91" t="s">
        <v>511</v>
      </c>
      <c r="C91" t="s">
        <v>116</v>
      </c>
      <c r="D91" t="s">
        <v>40</v>
      </c>
      <c r="E91" t="s">
        <v>41</v>
      </c>
      <c r="F91" t="s">
        <v>500</v>
      </c>
      <c r="G91" t="s">
        <v>79</v>
      </c>
      <c r="H91" t="s">
        <v>512</v>
      </c>
      <c r="I91" t="s">
        <v>5505</v>
      </c>
      <c r="J91" t="s">
        <v>5408</v>
      </c>
      <c r="K91" t="s">
        <v>322</v>
      </c>
      <c r="M91" t="s">
        <v>46</v>
      </c>
      <c r="N91" t="s">
        <v>75</v>
      </c>
      <c r="O91" t="s">
        <v>76</v>
      </c>
      <c r="P91" t="s">
        <v>77</v>
      </c>
      <c r="Q91" s="534">
        <v>3</v>
      </c>
      <c r="R91" t="s">
        <v>3264</v>
      </c>
      <c r="S91">
        <v>99.94</v>
      </c>
      <c r="T91" t="s">
        <v>513</v>
      </c>
      <c r="U91" t="s">
        <v>513</v>
      </c>
      <c r="V91">
        <v>100</v>
      </c>
      <c r="W91">
        <v>100</v>
      </c>
      <c r="X91">
        <v>100</v>
      </c>
      <c r="Y91" t="s">
        <v>50</v>
      </c>
      <c r="AE91" t="s">
        <v>50</v>
      </c>
      <c r="AH91">
        <v>0</v>
      </c>
      <c r="AK91" t="s">
        <v>50</v>
      </c>
      <c r="AL91" t="s">
        <v>50</v>
      </c>
      <c r="AM91" t="s">
        <v>50</v>
      </c>
      <c r="AN91" t="s">
        <v>514</v>
      </c>
      <c r="AO91" t="s">
        <v>514</v>
      </c>
      <c r="AP91" t="s">
        <v>515</v>
      </c>
      <c r="AQ91" t="s">
        <v>516</v>
      </c>
      <c r="AR91" t="s">
        <v>517</v>
      </c>
      <c r="AS91" t="s">
        <v>518</v>
      </c>
      <c r="AT91" t="s">
        <v>518</v>
      </c>
      <c r="AU91" t="s">
        <v>519</v>
      </c>
      <c r="AV91" t="s">
        <v>520</v>
      </c>
      <c r="AW91" t="s">
        <v>521</v>
      </c>
      <c r="BH91">
        <v>3.98475</v>
      </c>
      <c r="BI91">
        <v>3.98475</v>
      </c>
      <c r="BN91">
        <v>1</v>
      </c>
      <c r="BO91" t="s">
        <v>51</v>
      </c>
      <c r="BP91" s="534">
        <v>99.93</v>
      </c>
      <c r="BQ91" s="726">
        <v>99.936999999999998</v>
      </c>
      <c r="BR91" t="s">
        <v>52</v>
      </c>
      <c r="BS91" t="s">
        <v>52</v>
      </c>
      <c r="BT91">
        <v>0</v>
      </c>
      <c r="BU91" t="s">
        <v>52</v>
      </c>
      <c r="BV91">
        <v>0</v>
      </c>
      <c r="BW91">
        <v>99.944000000000003</v>
      </c>
      <c r="BX91" t="s">
        <v>2148</v>
      </c>
      <c r="BY91">
        <v>0</v>
      </c>
      <c r="BZ91">
        <v>0</v>
      </c>
      <c r="CA91">
        <v>0</v>
      </c>
      <c r="CB91">
        <v>0</v>
      </c>
      <c r="CC91" s="2146">
        <v>99.942999999999998</v>
      </c>
      <c r="CD91" s="2146" t="s">
        <v>46</v>
      </c>
      <c r="CE91" s="2146">
        <v>0</v>
      </c>
      <c r="CF91" s="2146">
        <v>0</v>
      </c>
      <c r="CG91" s="2146" t="s">
        <v>13445</v>
      </c>
      <c r="CH91">
        <v>0</v>
      </c>
      <c r="CJ91" t="s">
        <v>5506</v>
      </c>
    </row>
    <row r="92" spans="1:88">
      <c r="A92" t="s">
        <v>492</v>
      </c>
      <c r="B92" t="s">
        <v>522</v>
      </c>
      <c r="C92" t="s">
        <v>116</v>
      </c>
      <c r="D92" t="s">
        <v>40</v>
      </c>
      <c r="E92" t="s">
        <v>41</v>
      </c>
      <c r="F92" t="s">
        <v>500</v>
      </c>
      <c r="G92" t="s">
        <v>523</v>
      </c>
      <c r="H92" t="s">
        <v>524</v>
      </c>
      <c r="I92" t="s">
        <v>5507</v>
      </c>
      <c r="J92" t="s">
        <v>5406</v>
      </c>
      <c r="K92" t="s">
        <v>322</v>
      </c>
      <c r="M92" t="s">
        <v>46</v>
      </c>
      <c r="N92" t="s">
        <v>24</v>
      </c>
      <c r="O92" t="s">
        <v>48</v>
      </c>
      <c r="P92" t="s">
        <v>503</v>
      </c>
      <c r="Q92" s="534">
        <v>0</v>
      </c>
      <c r="R92" t="s">
        <v>3263</v>
      </c>
      <c r="S92">
        <v>4600</v>
      </c>
      <c r="T92">
        <v>4054</v>
      </c>
      <c r="U92">
        <v>3508</v>
      </c>
      <c r="V92">
        <v>2962</v>
      </c>
      <c r="W92">
        <v>2962</v>
      </c>
      <c r="X92">
        <v>2962</v>
      </c>
      <c r="Z92" t="s">
        <v>50</v>
      </c>
      <c r="AE92" t="s">
        <v>50</v>
      </c>
      <c r="AH92">
        <v>0</v>
      </c>
      <c r="AK92" t="s">
        <v>50</v>
      </c>
      <c r="AL92" t="s">
        <v>50</v>
      </c>
      <c r="AM92" t="s">
        <v>50</v>
      </c>
      <c r="AN92" t="s">
        <v>525</v>
      </c>
      <c r="AO92" t="s">
        <v>525</v>
      </c>
      <c r="AP92" t="s">
        <v>526</v>
      </c>
      <c r="AQ92" t="s">
        <v>527</v>
      </c>
      <c r="AR92" t="s">
        <v>528</v>
      </c>
      <c r="AS92" t="s">
        <v>529</v>
      </c>
      <c r="AT92" t="s">
        <v>529</v>
      </c>
      <c r="AU92" t="s">
        <v>530</v>
      </c>
      <c r="AV92" t="s">
        <v>531</v>
      </c>
      <c r="AW92" t="s">
        <v>532</v>
      </c>
      <c r="AX92" t="s">
        <v>533</v>
      </c>
      <c r="AY92" t="s">
        <v>533</v>
      </c>
      <c r="AZ92" t="s">
        <v>533</v>
      </c>
      <c r="BA92" t="s">
        <v>533</v>
      </c>
      <c r="BB92" t="s">
        <v>533</v>
      </c>
      <c r="BC92" t="s">
        <v>534</v>
      </c>
      <c r="BD92" t="s">
        <v>534</v>
      </c>
      <c r="BE92" t="s">
        <v>534</v>
      </c>
      <c r="BF92" t="s">
        <v>534</v>
      </c>
      <c r="BG92" t="s">
        <v>534</v>
      </c>
      <c r="BH92">
        <v>3.98475</v>
      </c>
      <c r="BI92">
        <v>3.98475</v>
      </c>
      <c r="BL92">
        <v>2E-3</v>
      </c>
      <c r="BN92">
        <v>1</v>
      </c>
      <c r="BO92" t="s">
        <v>51</v>
      </c>
      <c r="BP92" s="534">
        <v>4292</v>
      </c>
      <c r="BQ92" s="725">
        <v>3762</v>
      </c>
      <c r="BR92" t="s">
        <v>52</v>
      </c>
      <c r="BS92" t="s">
        <v>52</v>
      </c>
      <c r="BT92">
        <v>0</v>
      </c>
      <c r="BU92" t="s">
        <v>52</v>
      </c>
      <c r="BV92">
        <v>0</v>
      </c>
      <c r="BW92">
        <v>3227</v>
      </c>
      <c r="BX92" t="s">
        <v>2148</v>
      </c>
      <c r="BY92">
        <v>0</v>
      </c>
      <c r="BZ92">
        <v>0</v>
      </c>
      <c r="CA92">
        <v>0</v>
      </c>
      <c r="CB92">
        <v>0</v>
      </c>
      <c r="CC92" s="2146">
        <v>2776</v>
      </c>
      <c r="CD92" s="2146" t="s">
        <v>50</v>
      </c>
      <c r="CE92" s="2146">
        <v>0</v>
      </c>
      <c r="CF92" s="2146">
        <v>0</v>
      </c>
      <c r="CG92" s="2146" t="s">
        <v>5425</v>
      </c>
      <c r="CH92">
        <v>0.26329999999999998</v>
      </c>
      <c r="CJ92" t="s">
        <v>5508</v>
      </c>
    </row>
    <row r="93" spans="1:88">
      <c r="A93" t="s">
        <v>492</v>
      </c>
      <c r="B93" t="s">
        <v>535</v>
      </c>
      <c r="C93" t="s">
        <v>116</v>
      </c>
      <c r="D93" t="s">
        <v>40</v>
      </c>
      <c r="E93" t="s">
        <v>41</v>
      </c>
      <c r="F93" t="s">
        <v>536</v>
      </c>
      <c r="G93" t="s">
        <v>84</v>
      </c>
      <c r="H93" t="s">
        <v>537</v>
      </c>
      <c r="I93" t="s">
        <v>538</v>
      </c>
      <c r="J93" t="s">
        <v>5406</v>
      </c>
      <c r="K93" t="s">
        <v>322</v>
      </c>
      <c r="M93" t="s">
        <v>46</v>
      </c>
      <c r="N93" t="s">
        <v>86</v>
      </c>
      <c r="O93" t="s">
        <v>119</v>
      </c>
      <c r="P93" t="s">
        <v>539</v>
      </c>
      <c r="Q93" s="534" t="s">
        <v>540</v>
      </c>
      <c r="R93" t="s">
        <v>3263</v>
      </c>
      <c r="S93">
        <v>0.3034722222222222</v>
      </c>
      <c r="T93">
        <v>0.28472222222222221</v>
      </c>
      <c r="U93">
        <v>0.26597222222222222</v>
      </c>
      <c r="V93">
        <v>0.24722222222222223</v>
      </c>
      <c r="W93">
        <v>0.22847222222222222</v>
      </c>
      <c r="X93">
        <v>0.20833333333333334</v>
      </c>
      <c r="AA93" t="s">
        <v>50</v>
      </c>
      <c r="AE93" t="s">
        <v>50</v>
      </c>
      <c r="AH93">
        <v>0</v>
      </c>
      <c r="AI93" t="s">
        <v>50</v>
      </c>
      <c r="AJ93" t="s">
        <v>50</v>
      </c>
      <c r="AK93" t="s">
        <v>50</v>
      </c>
      <c r="AL93" t="s">
        <v>50</v>
      </c>
      <c r="AM93" t="s">
        <v>50</v>
      </c>
      <c r="AN93" t="s">
        <v>541</v>
      </c>
      <c r="AO93" t="s">
        <v>542</v>
      </c>
      <c r="AP93" t="s">
        <v>543</v>
      </c>
      <c r="AQ93" t="s">
        <v>544</v>
      </c>
      <c r="AR93" t="s">
        <v>545</v>
      </c>
      <c r="AS93" t="s">
        <v>546</v>
      </c>
      <c r="AT93" t="s">
        <v>547</v>
      </c>
      <c r="AU93" t="s">
        <v>548</v>
      </c>
      <c r="AV93" t="s">
        <v>549</v>
      </c>
      <c r="AW93" t="s">
        <v>550</v>
      </c>
      <c r="AX93" t="s">
        <v>551</v>
      </c>
      <c r="AY93" t="s">
        <v>552</v>
      </c>
      <c r="AZ93" t="s">
        <v>553</v>
      </c>
      <c r="BA93" t="s">
        <v>554</v>
      </c>
      <c r="BB93" t="s">
        <v>555</v>
      </c>
      <c r="BC93" t="s">
        <v>556</v>
      </c>
      <c r="BD93" t="s">
        <v>556</v>
      </c>
      <c r="BE93" t="s">
        <v>556</v>
      </c>
      <c r="BF93" t="s">
        <v>556</v>
      </c>
      <c r="BG93" t="s">
        <v>556</v>
      </c>
      <c r="BH93">
        <v>0.15</v>
      </c>
      <c r="BL93">
        <v>1.7999999999999999E-2</v>
      </c>
      <c r="BN93">
        <v>1</v>
      </c>
      <c r="BO93" t="s">
        <v>51</v>
      </c>
      <c r="BP93" s="534">
        <v>0.16388888888888889</v>
      </c>
      <c r="BQ93" s="735">
        <v>0.1388888888888889</v>
      </c>
      <c r="BR93" t="s">
        <v>50</v>
      </c>
      <c r="BS93" t="s">
        <v>52</v>
      </c>
      <c r="BT93">
        <v>0</v>
      </c>
      <c r="BU93" t="s">
        <v>5425</v>
      </c>
      <c r="BV93">
        <v>3.78</v>
      </c>
      <c r="BW93" s="1737" t="s">
        <v>9661</v>
      </c>
      <c r="BX93" t="s">
        <v>50</v>
      </c>
      <c r="BY93">
        <v>0</v>
      </c>
      <c r="BZ93">
        <v>0</v>
      </c>
      <c r="CA93" t="s">
        <v>5425</v>
      </c>
      <c r="CB93">
        <v>3.5639999999999996</v>
      </c>
      <c r="CC93" s="2146">
        <v>0.22430555555555556</v>
      </c>
      <c r="CD93" s="2146" t="s">
        <v>50</v>
      </c>
      <c r="CE93" s="2146">
        <v>0</v>
      </c>
      <c r="CF93" s="2146">
        <v>0</v>
      </c>
      <c r="CG93" s="2146" t="s">
        <v>5425</v>
      </c>
      <c r="CH93">
        <v>0.59399999999999997</v>
      </c>
      <c r="CJ93" t="s">
        <v>5509</v>
      </c>
    </row>
    <row r="94" spans="1:88">
      <c r="A94" t="s">
        <v>492</v>
      </c>
      <c r="B94" t="s">
        <v>557</v>
      </c>
      <c r="C94" t="s">
        <v>116</v>
      </c>
      <c r="D94" t="s">
        <v>40</v>
      </c>
      <c r="E94" t="s">
        <v>41</v>
      </c>
      <c r="F94" t="s">
        <v>536</v>
      </c>
      <c r="G94" t="s">
        <v>89</v>
      </c>
      <c r="H94" t="s">
        <v>558</v>
      </c>
      <c r="I94" t="s">
        <v>5510</v>
      </c>
      <c r="J94" t="s">
        <v>5406</v>
      </c>
      <c r="K94" t="s">
        <v>322</v>
      </c>
      <c r="M94" t="s">
        <v>46</v>
      </c>
      <c r="N94" t="s">
        <v>124</v>
      </c>
      <c r="O94" t="s">
        <v>48</v>
      </c>
      <c r="P94" t="s">
        <v>87</v>
      </c>
      <c r="Q94" s="534">
        <v>0</v>
      </c>
      <c r="R94" t="s">
        <v>3263</v>
      </c>
      <c r="S94">
        <v>257</v>
      </c>
      <c r="T94">
        <v>216</v>
      </c>
      <c r="U94">
        <v>216</v>
      </c>
      <c r="V94">
        <v>216</v>
      </c>
      <c r="W94">
        <v>216</v>
      </c>
      <c r="X94">
        <v>216</v>
      </c>
      <c r="AE94" t="s">
        <v>50</v>
      </c>
      <c r="AH94">
        <v>0</v>
      </c>
      <c r="AK94" t="s">
        <v>50</v>
      </c>
      <c r="AL94" t="s">
        <v>50</v>
      </c>
      <c r="AM94" t="s">
        <v>50</v>
      </c>
      <c r="AN94" t="s">
        <v>559</v>
      </c>
      <c r="AO94" t="s">
        <v>559</v>
      </c>
      <c r="AP94" t="s">
        <v>559</v>
      </c>
      <c r="AQ94" t="s">
        <v>559</v>
      </c>
      <c r="AR94" t="s">
        <v>559</v>
      </c>
      <c r="AS94" t="s">
        <v>560</v>
      </c>
      <c r="AT94" t="s">
        <v>560</v>
      </c>
      <c r="AU94" t="s">
        <v>560</v>
      </c>
      <c r="AV94" t="s">
        <v>560</v>
      </c>
      <c r="AW94" t="s">
        <v>560</v>
      </c>
      <c r="AX94" t="s">
        <v>561</v>
      </c>
      <c r="AY94" t="s">
        <v>561</v>
      </c>
      <c r="AZ94" t="s">
        <v>561</v>
      </c>
      <c r="BA94" t="s">
        <v>561</v>
      </c>
      <c r="BB94" t="s">
        <v>561</v>
      </c>
      <c r="BC94">
        <v>0</v>
      </c>
      <c r="BD94">
        <v>0</v>
      </c>
      <c r="BE94">
        <v>0</v>
      </c>
      <c r="BF94">
        <v>0</v>
      </c>
      <c r="BG94">
        <v>0</v>
      </c>
      <c r="BH94">
        <v>3.98475</v>
      </c>
      <c r="BI94">
        <v>3.98475</v>
      </c>
      <c r="BL94">
        <v>1E-3</v>
      </c>
      <c r="BN94">
        <v>1</v>
      </c>
      <c r="BO94" t="s">
        <v>51</v>
      </c>
      <c r="BP94" s="534">
        <v>254</v>
      </c>
      <c r="BQ94" s="725">
        <v>238</v>
      </c>
      <c r="BR94" t="s">
        <v>52</v>
      </c>
      <c r="BS94" t="s">
        <v>52</v>
      </c>
      <c r="BT94">
        <v>0</v>
      </c>
      <c r="BU94" t="s">
        <v>52</v>
      </c>
      <c r="BV94">
        <v>0</v>
      </c>
      <c r="BW94">
        <v>217</v>
      </c>
      <c r="BX94" t="s">
        <v>2148</v>
      </c>
      <c r="BY94">
        <v>0</v>
      </c>
      <c r="BZ94">
        <v>0</v>
      </c>
      <c r="CA94">
        <v>0</v>
      </c>
      <c r="CB94">
        <v>0</v>
      </c>
      <c r="CC94" s="2146">
        <v>202</v>
      </c>
      <c r="CD94" s="2146" t="s">
        <v>50</v>
      </c>
      <c r="CE94" s="2146">
        <v>0</v>
      </c>
      <c r="CF94" s="2146">
        <v>0</v>
      </c>
      <c r="CG94" s="2146" t="s">
        <v>5379</v>
      </c>
      <c r="CH94">
        <v>0</v>
      </c>
      <c r="CJ94" t="s">
        <v>5511</v>
      </c>
    </row>
    <row r="95" spans="1:88">
      <c r="A95" t="s">
        <v>492</v>
      </c>
      <c r="B95" t="s">
        <v>562</v>
      </c>
      <c r="C95" t="s">
        <v>116</v>
      </c>
      <c r="D95" t="s">
        <v>40</v>
      </c>
      <c r="E95" t="s">
        <v>41</v>
      </c>
      <c r="F95" t="s">
        <v>536</v>
      </c>
      <c r="G95" t="s">
        <v>94</v>
      </c>
      <c r="H95" t="s">
        <v>563</v>
      </c>
      <c r="I95" t="s">
        <v>5512</v>
      </c>
      <c r="J95" t="s">
        <v>5408</v>
      </c>
      <c r="K95" t="s">
        <v>322</v>
      </c>
      <c r="M95" t="s">
        <v>46</v>
      </c>
      <c r="N95" t="s">
        <v>91</v>
      </c>
      <c r="O95" t="s">
        <v>48</v>
      </c>
      <c r="P95" t="s">
        <v>92</v>
      </c>
      <c r="Q95" s="534">
        <v>0</v>
      </c>
      <c r="R95" t="s">
        <v>3263</v>
      </c>
      <c r="S95">
        <v>4586</v>
      </c>
      <c r="T95">
        <v>4586</v>
      </c>
      <c r="U95">
        <v>4586</v>
      </c>
      <c r="V95">
        <v>4586</v>
      </c>
      <c r="W95">
        <v>4586</v>
      </c>
      <c r="X95">
        <v>4586</v>
      </c>
      <c r="AE95" t="s">
        <v>50</v>
      </c>
      <c r="AH95">
        <v>0</v>
      </c>
      <c r="AK95" t="s">
        <v>50</v>
      </c>
      <c r="AL95" t="s">
        <v>50</v>
      </c>
      <c r="AM95" t="s">
        <v>50</v>
      </c>
      <c r="AN95" t="s">
        <v>564</v>
      </c>
      <c r="AO95" t="s">
        <v>564</v>
      </c>
      <c r="AP95" t="s">
        <v>564</v>
      </c>
      <c r="AQ95" t="s">
        <v>564</v>
      </c>
      <c r="AR95" t="s">
        <v>564</v>
      </c>
      <c r="AS95" t="s">
        <v>565</v>
      </c>
      <c r="AT95" t="s">
        <v>565</v>
      </c>
      <c r="AU95" t="s">
        <v>565</v>
      </c>
      <c r="AV95" t="s">
        <v>565</v>
      </c>
      <c r="AW95" t="s">
        <v>565</v>
      </c>
      <c r="BH95">
        <v>3.98475</v>
      </c>
      <c r="BI95">
        <v>3.98475</v>
      </c>
      <c r="BN95">
        <v>1</v>
      </c>
      <c r="BO95" t="s">
        <v>51</v>
      </c>
      <c r="BP95" s="534">
        <v>3964</v>
      </c>
      <c r="BQ95" s="725">
        <v>3916</v>
      </c>
      <c r="BR95" t="s">
        <v>52</v>
      </c>
      <c r="BS95" t="s">
        <v>52</v>
      </c>
      <c r="BT95">
        <v>0</v>
      </c>
      <c r="BU95" t="s">
        <v>52</v>
      </c>
      <c r="BV95">
        <v>0</v>
      </c>
      <c r="BW95">
        <v>4048</v>
      </c>
      <c r="BX95" t="s">
        <v>2148</v>
      </c>
      <c r="BY95">
        <v>0</v>
      </c>
      <c r="BZ95">
        <v>0</v>
      </c>
      <c r="CA95">
        <v>0</v>
      </c>
      <c r="CB95">
        <v>0</v>
      </c>
      <c r="CC95" s="2146">
        <v>4102</v>
      </c>
      <c r="CD95" s="2146" t="s">
        <v>50</v>
      </c>
      <c r="CE95" s="2146">
        <v>0</v>
      </c>
      <c r="CF95" s="2146">
        <v>0</v>
      </c>
      <c r="CG95" s="2146">
        <v>0</v>
      </c>
      <c r="CH95">
        <v>0</v>
      </c>
      <c r="CJ95" t="s">
        <v>5513</v>
      </c>
    </row>
    <row r="96" spans="1:88">
      <c r="A96" t="s">
        <v>492</v>
      </c>
      <c r="B96" t="s">
        <v>566</v>
      </c>
      <c r="C96" t="s">
        <v>116</v>
      </c>
      <c r="D96" t="s">
        <v>40</v>
      </c>
      <c r="E96" t="s">
        <v>41</v>
      </c>
      <c r="F96" t="s">
        <v>536</v>
      </c>
      <c r="G96" t="s">
        <v>98</v>
      </c>
      <c r="H96" t="s">
        <v>567</v>
      </c>
      <c r="I96" t="s">
        <v>568</v>
      </c>
      <c r="J96" t="s">
        <v>5406</v>
      </c>
      <c r="K96" t="s">
        <v>322</v>
      </c>
      <c r="N96" t="s">
        <v>47</v>
      </c>
      <c r="O96" t="s">
        <v>48</v>
      </c>
      <c r="P96" t="s">
        <v>49</v>
      </c>
      <c r="Q96" s="534">
        <v>2</v>
      </c>
      <c r="R96" t="s">
        <v>3263</v>
      </c>
      <c r="S96">
        <v>141</v>
      </c>
      <c r="T96">
        <v>139</v>
      </c>
      <c r="U96">
        <v>137</v>
      </c>
      <c r="V96">
        <v>137</v>
      </c>
      <c r="W96">
        <v>137</v>
      </c>
      <c r="X96">
        <v>137</v>
      </c>
      <c r="AE96" t="s">
        <v>50</v>
      </c>
      <c r="AH96">
        <v>0</v>
      </c>
      <c r="AI96" t="s">
        <v>50</v>
      </c>
      <c r="AJ96" t="s">
        <v>50</v>
      </c>
      <c r="AK96" t="s">
        <v>50</v>
      </c>
      <c r="AL96" t="s">
        <v>50</v>
      </c>
      <c r="AM96" t="s">
        <v>50</v>
      </c>
      <c r="AN96" t="s">
        <v>569</v>
      </c>
      <c r="AO96" t="s">
        <v>570</v>
      </c>
      <c r="AP96" t="s">
        <v>570</v>
      </c>
      <c r="AQ96" t="s">
        <v>570</v>
      </c>
      <c r="AR96" t="s">
        <v>570</v>
      </c>
      <c r="AS96" t="s">
        <v>571</v>
      </c>
      <c r="AT96" t="s">
        <v>572</v>
      </c>
      <c r="AU96" t="s">
        <v>572</v>
      </c>
      <c r="AV96" t="s">
        <v>572</v>
      </c>
      <c r="AW96" t="s">
        <v>572</v>
      </c>
      <c r="AX96" t="s">
        <v>573</v>
      </c>
      <c r="AY96" t="s">
        <v>573</v>
      </c>
      <c r="AZ96" t="s">
        <v>573</v>
      </c>
      <c r="BA96" t="s">
        <v>573</v>
      </c>
      <c r="BB96" t="s">
        <v>573</v>
      </c>
      <c r="BC96" t="s">
        <v>574</v>
      </c>
      <c r="BD96" t="s">
        <v>574</v>
      </c>
      <c r="BE96" t="s">
        <v>574</v>
      </c>
      <c r="BF96" t="s">
        <v>574</v>
      </c>
      <c r="BG96" t="s">
        <v>574</v>
      </c>
      <c r="BH96">
        <v>0.115</v>
      </c>
      <c r="BL96">
        <v>0.115</v>
      </c>
      <c r="BN96">
        <v>1</v>
      </c>
      <c r="BO96" t="s">
        <v>51</v>
      </c>
      <c r="BP96" s="534">
        <v>136.77000000000001</v>
      </c>
      <c r="BQ96" s="725">
        <v>134.66</v>
      </c>
      <c r="BR96" t="s">
        <v>50</v>
      </c>
      <c r="BS96" t="s">
        <v>52</v>
      </c>
      <c r="BT96">
        <v>0</v>
      </c>
      <c r="BU96" t="s">
        <v>5379</v>
      </c>
      <c r="BV96">
        <v>0</v>
      </c>
      <c r="BW96">
        <v>133.82</v>
      </c>
      <c r="BX96" t="s">
        <v>50</v>
      </c>
      <c r="BY96">
        <v>0</v>
      </c>
      <c r="BZ96">
        <v>0</v>
      </c>
      <c r="CA96" t="s">
        <v>5379</v>
      </c>
      <c r="CB96">
        <v>0</v>
      </c>
      <c r="CC96" s="2146">
        <v>137.05000000000001</v>
      </c>
      <c r="CD96" s="2146" t="s">
        <v>46</v>
      </c>
      <c r="CE96" s="2146">
        <v>0</v>
      </c>
      <c r="CF96" s="2146">
        <v>0</v>
      </c>
      <c r="CG96" s="2146" t="s">
        <v>13445</v>
      </c>
      <c r="CH96">
        <v>0</v>
      </c>
      <c r="CJ96" t="s">
        <v>5514</v>
      </c>
    </row>
    <row r="97" spans="1:88">
      <c r="A97" t="s">
        <v>492</v>
      </c>
      <c r="B97" t="s">
        <v>575</v>
      </c>
      <c r="C97" t="s">
        <v>116</v>
      </c>
      <c r="D97" t="s">
        <v>40</v>
      </c>
      <c r="E97" t="s">
        <v>41</v>
      </c>
      <c r="F97" t="s">
        <v>536</v>
      </c>
      <c r="G97" t="s">
        <v>576</v>
      </c>
      <c r="H97" t="s">
        <v>577</v>
      </c>
      <c r="I97" t="s">
        <v>578</v>
      </c>
      <c r="J97" t="s">
        <v>5406</v>
      </c>
      <c r="K97" t="s">
        <v>322</v>
      </c>
      <c r="N97" t="s">
        <v>47</v>
      </c>
      <c r="O97" t="s">
        <v>48</v>
      </c>
      <c r="P97" t="s">
        <v>49</v>
      </c>
      <c r="Q97" s="534">
        <v>2</v>
      </c>
      <c r="R97" t="s">
        <v>3263</v>
      </c>
      <c r="S97">
        <v>66</v>
      </c>
      <c r="T97">
        <v>66</v>
      </c>
      <c r="U97">
        <v>66</v>
      </c>
      <c r="V97">
        <v>66</v>
      </c>
      <c r="W97">
        <v>66</v>
      </c>
      <c r="X97">
        <v>66</v>
      </c>
      <c r="AE97" t="s">
        <v>50</v>
      </c>
      <c r="AH97">
        <v>0</v>
      </c>
      <c r="AI97" t="s">
        <v>50</v>
      </c>
      <c r="AJ97" t="s">
        <v>50</v>
      </c>
      <c r="AK97" t="s">
        <v>50</v>
      </c>
      <c r="AL97" t="s">
        <v>50</v>
      </c>
      <c r="AM97" t="s">
        <v>50</v>
      </c>
      <c r="AN97" t="s">
        <v>579</v>
      </c>
      <c r="AO97" t="s">
        <v>579</v>
      </c>
      <c r="AP97" t="s">
        <v>579</v>
      </c>
      <c r="AQ97" t="s">
        <v>579</v>
      </c>
      <c r="AR97" t="s">
        <v>579</v>
      </c>
      <c r="AS97" t="s">
        <v>580</v>
      </c>
      <c r="AT97" t="s">
        <v>580</v>
      </c>
      <c r="AU97" t="s">
        <v>580</v>
      </c>
      <c r="AV97" t="s">
        <v>580</v>
      </c>
      <c r="AW97" t="s">
        <v>580</v>
      </c>
      <c r="AX97" t="s">
        <v>581</v>
      </c>
      <c r="AY97" t="s">
        <v>581</v>
      </c>
      <c r="AZ97" t="s">
        <v>581</v>
      </c>
      <c r="BA97" t="s">
        <v>581</v>
      </c>
      <c r="BB97" t="s">
        <v>581</v>
      </c>
      <c r="BC97" t="s">
        <v>582</v>
      </c>
      <c r="BD97" t="s">
        <v>582</v>
      </c>
      <c r="BE97" t="s">
        <v>582</v>
      </c>
      <c r="BF97" t="s">
        <v>582</v>
      </c>
      <c r="BG97" t="s">
        <v>582</v>
      </c>
      <c r="BH97">
        <v>0.115</v>
      </c>
      <c r="BL97">
        <v>0.115</v>
      </c>
      <c r="BN97">
        <v>1</v>
      </c>
      <c r="BO97" t="s">
        <v>51</v>
      </c>
      <c r="BP97" s="534">
        <v>60.86</v>
      </c>
      <c r="BQ97" s="725">
        <v>62.42</v>
      </c>
      <c r="BR97" t="s">
        <v>50</v>
      </c>
      <c r="BS97" t="s">
        <v>52</v>
      </c>
      <c r="BT97">
        <v>0</v>
      </c>
      <c r="BU97" t="s">
        <v>5379</v>
      </c>
      <c r="BV97">
        <v>0</v>
      </c>
      <c r="BW97">
        <v>68.08</v>
      </c>
      <c r="BX97" t="s">
        <v>46</v>
      </c>
      <c r="BY97">
        <v>0</v>
      </c>
      <c r="BZ97">
        <v>0</v>
      </c>
      <c r="CA97" t="s">
        <v>5415</v>
      </c>
      <c r="CB97">
        <v>-0.124</v>
      </c>
      <c r="CC97" s="2146">
        <v>66.17</v>
      </c>
      <c r="CD97" s="2146" t="s">
        <v>46</v>
      </c>
      <c r="CE97" s="2146">
        <v>0</v>
      </c>
      <c r="CF97" s="2146">
        <v>0</v>
      </c>
      <c r="CG97" s="2146" t="s">
        <v>13445</v>
      </c>
      <c r="CH97">
        <v>0</v>
      </c>
      <c r="CJ97" t="s">
        <v>5515</v>
      </c>
    </row>
    <row r="98" spans="1:88">
      <c r="A98" t="s">
        <v>492</v>
      </c>
      <c r="B98" t="s">
        <v>583</v>
      </c>
      <c r="C98" t="s">
        <v>116</v>
      </c>
      <c r="D98" t="s">
        <v>40</v>
      </c>
      <c r="E98" t="s">
        <v>41</v>
      </c>
      <c r="F98" t="s">
        <v>584</v>
      </c>
      <c r="G98" t="s">
        <v>147</v>
      </c>
      <c r="H98" t="s">
        <v>585</v>
      </c>
      <c r="I98" t="s">
        <v>586</v>
      </c>
      <c r="J98" t="s">
        <v>69</v>
      </c>
      <c r="N98" t="s">
        <v>192</v>
      </c>
      <c r="O98" t="s">
        <v>107</v>
      </c>
      <c r="P98" t="s">
        <v>587</v>
      </c>
      <c r="Q98" s="534">
        <v>1</v>
      </c>
      <c r="R98" t="s">
        <v>3264</v>
      </c>
      <c r="S98">
        <v>8.1999999999999993</v>
      </c>
      <c r="T98">
        <v>8.1999999999999993</v>
      </c>
      <c r="U98">
        <v>8.1999999999999993</v>
      </c>
      <c r="V98">
        <v>8.1999999999999993</v>
      </c>
      <c r="W98">
        <v>8.1999999999999993</v>
      </c>
      <c r="X98">
        <v>8.1999999999999993</v>
      </c>
      <c r="AH98">
        <v>0</v>
      </c>
      <c r="BP98" s="534">
        <v>8.3000000000000007</v>
      </c>
      <c r="BQ98" s="722">
        <v>8.5</v>
      </c>
      <c r="BR98" t="s">
        <v>50</v>
      </c>
      <c r="BS98" t="s">
        <v>52</v>
      </c>
      <c r="BT98">
        <v>0</v>
      </c>
      <c r="BU98" t="s">
        <v>52</v>
      </c>
      <c r="BV98">
        <v>0</v>
      </c>
      <c r="BW98">
        <v>8.5</v>
      </c>
      <c r="BX98" t="s">
        <v>50</v>
      </c>
      <c r="BY98">
        <v>0</v>
      </c>
      <c r="BZ98">
        <v>0</v>
      </c>
      <c r="CA98">
        <v>0</v>
      </c>
      <c r="CB98">
        <v>0</v>
      </c>
      <c r="CC98" s="2146">
        <v>8.6999999999999993</v>
      </c>
      <c r="CD98" s="2146" t="s">
        <v>50</v>
      </c>
      <c r="CE98" s="2146">
        <v>0</v>
      </c>
      <c r="CF98" s="2146">
        <v>0</v>
      </c>
      <c r="CG98" s="2146">
        <v>0</v>
      </c>
      <c r="CH98">
        <v>0</v>
      </c>
      <c r="CJ98" t="s">
        <v>5516</v>
      </c>
    </row>
    <row r="99" spans="1:88">
      <c r="A99" t="s">
        <v>492</v>
      </c>
      <c r="B99" t="s">
        <v>588</v>
      </c>
      <c r="C99" t="s">
        <v>116</v>
      </c>
      <c r="D99" t="s">
        <v>40</v>
      </c>
      <c r="E99" t="s">
        <v>41</v>
      </c>
      <c r="F99" t="s">
        <v>584</v>
      </c>
      <c r="G99" t="s">
        <v>152</v>
      </c>
      <c r="H99" t="s">
        <v>589</v>
      </c>
      <c r="I99" t="s">
        <v>590</v>
      </c>
      <c r="J99" t="s">
        <v>5406</v>
      </c>
      <c r="K99" t="s">
        <v>45</v>
      </c>
      <c r="M99" t="s">
        <v>46</v>
      </c>
      <c r="N99" t="s">
        <v>106</v>
      </c>
      <c r="O99" t="s">
        <v>107</v>
      </c>
      <c r="P99" t="s">
        <v>108</v>
      </c>
      <c r="Q99" s="534">
        <v>1</v>
      </c>
      <c r="R99" t="s">
        <v>3264</v>
      </c>
      <c r="S99">
        <v>89.4</v>
      </c>
      <c r="T99">
        <v>90</v>
      </c>
      <c r="U99">
        <v>90</v>
      </c>
      <c r="V99">
        <v>90</v>
      </c>
      <c r="W99">
        <v>90</v>
      </c>
      <c r="X99">
        <v>90</v>
      </c>
      <c r="AH99">
        <v>0</v>
      </c>
      <c r="AI99" t="s">
        <v>50</v>
      </c>
      <c r="AJ99" t="s">
        <v>50</v>
      </c>
      <c r="AK99" t="s">
        <v>50</v>
      </c>
      <c r="AL99" t="s">
        <v>50</v>
      </c>
      <c r="AM99" t="s">
        <v>50</v>
      </c>
      <c r="AN99" t="s">
        <v>109</v>
      </c>
      <c r="AO99" t="s">
        <v>109</v>
      </c>
      <c r="AP99" t="s">
        <v>109</v>
      </c>
      <c r="AQ99" t="s">
        <v>109</v>
      </c>
      <c r="AR99" t="s">
        <v>109</v>
      </c>
      <c r="AS99" t="s">
        <v>109</v>
      </c>
      <c r="AT99" t="s">
        <v>109</v>
      </c>
      <c r="AU99" t="s">
        <v>109</v>
      </c>
      <c r="AV99" t="s">
        <v>109</v>
      </c>
      <c r="AW99" t="s">
        <v>109</v>
      </c>
      <c r="AX99" t="s">
        <v>109</v>
      </c>
      <c r="AY99" t="s">
        <v>109</v>
      </c>
      <c r="AZ99" t="s">
        <v>109</v>
      </c>
      <c r="BA99" t="s">
        <v>109</v>
      </c>
      <c r="BB99" t="s">
        <v>109</v>
      </c>
      <c r="BC99" t="s">
        <v>109</v>
      </c>
      <c r="BD99" t="s">
        <v>109</v>
      </c>
      <c r="BE99" t="s">
        <v>109</v>
      </c>
      <c r="BF99" t="s">
        <v>109</v>
      </c>
      <c r="BG99" t="s">
        <v>109</v>
      </c>
      <c r="BH99" t="s">
        <v>109</v>
      </c>
      <c r="BL99" t="s">
        <v>109</v>
      </c>
      <c r="BN99">
        <v>1</v>
      </c>
      <c r="BO99" t="s">
        <v>51</v>
      </c>
      <c r="BP99" s="534">
        <v>83.72</v>
      </c>
      <c r="BQ99" s="722">
        <v>83.64</v>
      </c>
      <c r="BR99" t="s">
        <v>46</v>
      </c>
      <c r="BS99" t="s">
        <v>52</v>
      </c>
      <c r="BT99">
        <v>0</v>
      </c>
      <c r="BU99" t="s">
        <v>52</v>
      </c>
      <c r="BV99">
        <v>0</v>
      </c>
      <c r="BW99">
        <v>87.53</v>
      </c>
      <c r="BX99" t="s">
        <v>46</v>
      </c>
      <c r="BY99">
        <v>0</v>
      </c>
      <c r="BZ99">
        <v>0</v>
      </c>
      <c r="CA99">
        <v>0</v>
      </c>
      <c r="CB99">
        <v>0</v>
      </c>
      <c r="CC99" s="2146">
        <v>86.39</v>
      </c>
      <c r="CD99" s="2146" t="s">
        <v>46</v>
      </c>
      <c r="CE99" s="2146">
        <v>0</v>
      </c>
      <c r="CF99" s="2146">
        <v>0</v>
      </c>
      <c r="CG99" s="2146">
        <v>0</v>
      </c>
      <c r="CH99">
        <v>0</v>
      </c>
      <c r="CJ99" t="s">
        <v>5517</v>
      </c>
    </row>
    <row r="100" spans="1:88">
      <c r="A100" t="s">
        <v>492</v>
      </c>
      <c r="B100" t="s">
        <v>591</v>
      </c>
      <c r="C100" t="s">
        <v>116</v>
      </c>
      <c r="D100" t="s">
        <v>40</v>
      </c>
      <c r="E100" t="s">
        <v>41</v>
      </c>
      <c r="F100" t="s">
        <v>584</v>
      </c>
      <c r="G100" t="s">
        <v>156</v>
      </c>
      <c r="H100" t="s">
        <v>592</v>
      </c>
      <c r="I100" t="s">
        <v>593</v>
      </c>
      <c r="J100" t="s">
        <v>69</v>
      </c>
      <c r="N100" t="s">
        <v>192</v>
      </c>
      <c r="O100" t="s">
        <v>76</v>
      </c>
      <c r="P100" t="s">
        <v>193</v>
      </c>
      <c r="Q100" s="534">
        <v>0</v>
      </c>
      <c r="R100" t="s">
        <v>3264</v>
      </c>
      <c r="S100">
        <v>32</v>
      </c>
      <c r="T100">
        <v>32</v>
      </c>
      <c r="U100">
        <v>32</v>
      </c>
      <c r="V100">
        <v>32</v>
      </c>
      <c r="W100">
        <v>32</v>
      </c>
      <c r="X100">
        <v>32</v>
      </c>
      <c r="AH100">
        <v>0</v>
      </c>
      <c r="BP100" s="534">
        <v>42</v>
      </c>
      <c r="BQ100" s="725">
        <v>49</v>
      </c>
      <c r="BR100" t="s">
        <v>50</v>
      </c>
      <c r="BS100" t="s">
        <v>52</v>
      </c>
      <c r="BT100">
        <v>0</v>
      </c>
      <c r="BU100" t="s">
        <v>52</v>
      </c>
      <c r="BV100">
        <v>0</v>
      </c>
      <c r="BW100">
        <v>46</v>
      </c>
      <c r="BX100" t="s">
        <v>50</v>
      </c>
      <c r="BY100">
        <v>0</v>
      </c>
      <c r="BZ100">
        <v>0</v>
      </c>
      <c r="CA100">
        <v>0</v>
      </c>
      <c r="CB100">
        <v>0</v>
      </c>
      <c r="CC100" s="2146">
        <v>44</v>
      </c>
      <c r="CD100" s="2146" t="s">
        <v>50</v>
      </c>
      <c r="CE100" s="2146">
        <v>0</v>
      </c>
      <c r="CF100" s="2146">
        <v>0</v>
      </c>
      <c r="CG100" s="2146">
        <v>0</v>
      </c>
      <c r="CH100">
        <v>0</v>
      </c>
      <c r="CJ100" t="s">
        <v>5518</v>
      </c>
    </row>
    <row r="101" spans="1:88">
      <c r="A101" t="s">
        <v>492</v>
      </c>
      <c r="B101" t="s">
        <v>594</v>
      </c>
      <c r="C101" t="s">
        <v>116</v>
      </c>
      <c r="D101" t="s">
        <v>40</v>
      </c>
      <c r="E101" t="s">
        <v>41</v>
      </c>
      <c r="F101" t="s">
        <v>595</v>
      </c>
      <c r="G101" t="s">
        <v>166</v>
      </c>
      <c r="H101" t="s">
        <v>596</v>
      </c>
      <c r="I101" t="s">
        <v>597</v>
      </c>
      <c r="J101" t="s">
        <v>69</v>
      </c>
      <c r="N101" t="s">
        <v>192</v>
      </c>
      <c r="O101" t="s">
        <v>76</v>
      </c>
      <c r="P101" t="s">
        <v>193</v>
      </c>
      <c r="Q101" s="534">
        <v>0</v>
      </c>
      <c r="R101" t="s">
        <v>3264</v>
      </c>
      <c r="S101" t="s">
        <v>598</v>
      </c>
      <c r="T101" t="s">
        <v>3265</v>
      </c>
      <c r="U101" t="s">
        <v>3265</v>
      </c>
      <c r="V101" t="s">
        <v>3265</v>
      </c>
      <c r="W101" t="s">
        <v>3265</v>
      </c>
      <c r="X101" t="s">
        <v>3265</v>
      </c>
      <c r="AH101">
        <v>0</v>
      </c>
      <c r="BP101" s="534">
        <v>91</v>
      </c>
      <c r="BQ101" s="724">
        <v>94</v>
      </c>
      <c r="BR101" t="s">
        <v>52</v>
      </c>
      <c r="BS101" t="s">
        <v>52</v>
      </c>
      <c r="BT101">
        <v>0</v>
      </c>
      <c r="BU101" t="s">
        <v>52</v>
      </c>
      <c r="BV101">
        <v>0</v>
      </c>
      <c r="BW101">
        <v>94</v>
      </c>
      <c r="BX101" t="s">
        <v>2148</v>
      </c>
      <c r="BY101">
        <v>0</v>
      </c>
      <c r="BZ101">
        <v>0</v>
      </c>
      <c r="CA101">
        <v>0</v>
      </c>
      <c r="CB101">
        <v>0</v>
      </c>
      <c r="CC101" s="2146">
        <v>94</v>
      </c>
      <c r="CD101" s="2146" t="s">
        <v>50</v>
      </c>
      <c r="CE101" s="2146">
        <v>0</v>
      </c>
      <c r="CF101" s="2146">
        <v>0</v>
      </c>
      <c r="CG101" s="2146">
        <v>0</v>
      </c>
      <c r="CH101">
        <v>0</v>
      </c>
      <c r="CJ101" t="s">
        <v>5519</v>
      </c>
    </row>
    <row r="102" spans="1:88">
      <c r="A102" t="s">
        <v>492</v>
      </c>
      <c r="B102" t="s">
        <v>599</v>
      </c>
      <c r="C102" t="s">
        <v>116</v>
      </c>
      <c r="D102" t="s">
        <v>40</v>
      </c>
      <c r="E102" t="s">
        <v>41</v>
      </c>
      <c r="F102" t="s">
        <v>600</v>
      </c>
      <c r="G102" t="s">
        <v>179</v>
      </c>
      <c r="H102" t="s">
        <v>601</v>
      </c>
      <c r="I102" t="s">
        <v>602</v>
      </c>
      <c r="J102" t="s">
        <v>69</v>
      </c>
      <c r="N102" t="s">
        <v>182</v>
      </c>
      <c r="O102" t="s">
        <v>48</v>
      </c>
      <c r="P102" t="s">
        <v>603</v>
      </c>
      <c r="Q102" s="534">
        <v>0</v>
      </c>
      <c r="R102" t="s">
        <v>3263</v>
      </c>
      <c r="S102">
        <v>206</v>
      </c>
      <c r="T102">
        <v>194</v>
      </c>
      <c r="U102">
        <v>183</v>
      </c>
      <c r="V102">
        <v>172</v>
      </c>
      <c r="W102">
        <v>161</v>
      </c>
      <c r="X102">
        <v>150</v>
      </c>
      <c r="AH102">
        <v>0</v>
      </c>
      <c r="BP102" s="534">
        <v>213.6</v>
      </c>
      <c r="BQ102" s="725">
        <v>225.2</v>
      </c>
      <c r="BR102" t="s">
        <v>46</v>
      </c>
      <c r="BS102" t="s">
        <v>52</v>
      </c>
      <c r="BT102">
        <v>0</v>
      </c>
      <c r="BU102" t="s">
        <v>52</v>
      </c>
      <c r="BV102">
        <v>0</v>
      </c>
      <c r="BW102">
        <v>187.7</v>
      </c>
      <c r="BX102" t="s">
        <v>46</v>
      </c>
      <c r="BY102">
        <v>0</v>
      </c>
      <c r="BZ102">
        <v>0</v>
      </c>
      <c r="CA102">
        <v>0</v>
      </c>
      <c r="CB102">
        <v>0</v>
      </c>
      <c r="CC102" s="2146">
        <v>164</v>
      </c>
      <c r="CD102" s="2146" t="s">
        <v>50</v>
      </c>
      <c r="CE102" s="2146">
        <v>0</v>
      </c>
      <c r="CF102" s="2146">
        <v>0</v>
      </c>
      <c r="CG102" s="2146">
        <v>0</v>
      </c>
      <c r="CH102">
        <v>0</v>
      </c>
      <c r="CJ102" t="s">
        <v>5520</v>
      </c>
    </row>
    <row r="103" spans="1:88" ht="25.5">
      <c r="A103" t="s">
        <v>492</v>
      </c>
      <c r="B103" t="s">
        <v>604</v>
      </c>
      <c r="C103" t="s">
        <v>116</v>
      </c>
      <c r="D103" t="s">
        <v>40</v>
      </c>
      <c r="E103" t="s">
        <v>41</v>
      </c>
      <c r="F103" t="s">
        <v>600</v>
      </c>
      <c r="G103" t="s">
        <v>184</v>
      </c>
      <c r="H103" t="s">
        <v>605</v>
      </c>
      <c r="I103" t="s">
        <v>606</v>
      </c>
      <c r="J103" t="s">
        <v>69</v>
      </c>
      <c r="N103" t="s">
        <v>175</v>
      </c>
      <c r="O103" t="s">
        <v>281</v>
      </c>
      <c r="P103" t="s">
        <v>3201</v>
      </c>
      <c r="Q103" s="534" t="s">
        <v>51</v>
      </c>
      <c r="S103" t="s">
        <v>598</v>
      </c>
      <c r="T103" t="s">
        <v>3266</v>
      </c>
      <c r="U103" t="s">
        <v>3266</v>
      </c>
      <c r="V103" t="s">
        <v>3266</v>
      </c>
      <c r="W103" t="s">
        <v>3266</v>
      </c>
      <c r="X103" t="s">
        <v>3266</v>
      </c>
      <c r="AH103">
        <v>0</v>
      </c>
      <c r="BP103" s="534" t="s">
        <v>2797</v>
      </c>
      <c r="BQ103" s="724" t="s">
        <v>3285</v>
      </c>
      <c r="BR103" t="s">
        <v>50</v>
      </c>
      <c r="BS103" t="s">
        <v>52</v>
      </c>
      <c r="BT103">
        <v>0</v>
      </c>
      <c r="BU103" t="s">
        <v>52</v>
      </c>
      <c r="BV103">
        <v>0</v>
      </c>
      <c r="BW103" t="s">
        <v>3286</v>
      </c>
      <c r="BX103" t="s">
        <v>50</v>
      </c>
      <c r="BY103">
        <v>0</v>
      </c>
      <c r="BZ103">
        <v>0</v>
      </c>
      <c r="CA103">
        <v>0</v>
      </c>
      <c r="CB103">
        <v>0</v>
      </c>
      <c r="CC103" s="2146" t="s">
        <v>13448</v>
      </c>
      <c r="CD103" s="2146" t="s">
        <v>50</v>
      </c>
      <c r="CE103" s="2146">
        <v>0</v>
      </c>
      <c r="CF103" s="2146">
        <v>0</v>
      </c>
      <c r="CG103" s="2146">
        <v>0</v>
      </c>
      <c r="CH103">
        <v>0</v>
      </c>
      <c r="CJ103" t="s">
        <v>5521</v>
      </c>
    </row>
    <row r="104" spans="1:88">
      <c r="A104" t="s">
        <v>492</v>
      </c>
      <c r="B104" t="s">
        <v>607</v>
      </c>
      <c r="C104" t="s">
        <v>116</v>
      </c>
      <c r="D104" t="s">
        <v>214</v>
      </c>
      <c r="E104" t="s">
        <v>215</v>
      </c>
      <c r="F104" t="s">
        <v>494</v>
      </c>
      <c r="G104" t="s">
        <v>608</v>
      </c>
      <c r="H104" t="s">
        <v>609</v>
      </c>
      <c r="I104" t="s">
        <v>610</v>
      </c>
      <c r="J104" t="s">
        <v>69</v>
      </c>
      <c r="N104" t="s">
        <v>273</v>
      </c>
      <c r="O104" t="s">
        <v>497</v>
      </c>
      <c r="P104" t="s">
        <v>498</v>
      </c>
      <c r="Q104" s="534" t="s">
        <v>51</v>
      </c>
      <c r="S104" t="s">
        <v>497</v>
      </c>
      <c r="T104" t="s">
        <v>497</v>
      </c>
      <c r="U104" t="s">
        <v>497</v>
      </c>
      <c r="V104" t="s">
        <v>497</v>
      </c>
      <c r="W104" t="s">
        <v>497</v>
      </c>
      <c r="X104" t="s">
        <v>497</v>
      </c>
      <c r="AE104" t="s">
        <v>50</v>
      </c>
      <c r="AH104">
        <v>0</v>
      </c>
      <c r="BP104" s="534" t="s">
        <v>2797</v>
      </c>
      <c r="BQ104" s="724" t="s">
        <v>2797</v>
      </c>
      <c r="BR104" t="s">
        <v>52</v>
      </c>
      <c r="BS104" t="s">
        <v>52</v>
      </c>
      <c r="BT104">
        <v>0</v>
      </c>
      <c r="BU104" t="s">
        <v>52</v>
      </c>
      <c r="BV104">
        <v>0</v>
      </c>
      <c r="BW104" t="s">
        <v>2797</v>
      </c>
      <c r="BX104" t="s">
        <v>2148</v>
      </c>
      <c r="BY104">
        <v>0</v>
      </c>
      <c r="BZ104">
        <v>0</v>
      </c>
      <c r="CA104">
        <v>0</v>
      </c>
      <c r="CB104">
        <v>0</v>
      </c>
      <c r="CC104" s="2146" t="s">
        <v>2797</v>
      </c>
      <c r="CD104" s="2146" t="s">
        <v>2148</v>
      </c>
      <c r="CE104" s="2146">
        <v>0</v>
      </c>
      <c r="CF104" s="2146">
        <v>0</v>
      </c>
      <c r="CG104" s="2146">
        <v>0</v>
      </c>
      <c r="CH104">
        <v>0</v>
      </c>
      <c r="CJ104" t="s">
        <v>5522</v>
      </c>
    </row>
    <row r="105" spans="1:88">
      <c r="A105" t="s">
        <v>492</v>
      </c>
      <c r="B105" t="s">
        <v>611</v>
      </c>
      <c r="C105" t="s">
        <v>116</v>
      </c>
      <c r="D105" t="s">
        <v>214</v>
      </c>
      <c r="E105" t="s">
        <v>215</v>
      </c>
      <c r="F105" t="s">
        <v>612</v>
      </c>
      <c r="G105" t="s">
        <v>233</v>
      </c>
      <c r="H105" t="s">
        <v>613</v>
      </c>
      <c r="I105" t="s">
        <v>614</v>
      </c>
      <c r="J105" t="s">
        <v>5406</v>
      </c>
      <c r="K105" t="s">
        <v>322</v>
      </c>
      <c r="N105" t="s">
        <v>219</v>
      </c>
      <c r="O105" t="s">
        <v>48</v>
      </c>
      <c r="P105" t="s">
        <v>615</v>
      </c>
      <c r="Q105" s="534">
        <v>0</v>
      </c>
      <c r="R105" t="s">
        <v>3263</v>
      </c>
      <c r="S105">
        <v>1318</v>
      </c>
      <c r="T105">
        <v>1318</v>
      </c>
      <c r="U105">
        <v>1318</v>
      </c>
      <c r="V105">
        <v>1318</v>
      </c>
      <c r="W105">
        <v>1318</v>
      </c>
      <c r="X105">
        <v>1318</v>
      </c>
      <c r="AE105" t="s">
        <v>50</v>
      </c>
      <c r="AH105">
        <v>0</v>
      </c>
      <c r="AI105" t="s">
        <v>50</v>
      </c>
      <c r="AJ105" t="s">
        <v>50</v>
      </c>
      <c r="AK105" t="s">
        <v>50</v>
      </c>
      <c r="AL105" t="s">
        <v>50</v>
      </c>
      <c r="AM105" t="s">
        <v>50</v>
      </c>
      <c r="AN105" t="s">
        <v>616</v>
      </c>
      <c r="AO105" t="s">
        <v>616</v>
      </c>
      <c r="AP105" t="s">
        <v>616</v>
      </c>
      <c r="AQ105" t="s">
        <v>616</v>
      </c>
      <c r="AR105" t="s">
        <v>616</v>
      </c>
      <c r="AS105" t="s">
        <v>617</v>
      </c>
      <c r="AT105" t="s">
        <v>617</v>
      </c>
      <c r="AU105" t="s">
        <v>617</v>
      </c>
      <c r="AV105" t="s">
        <v>617</v>
      </c>
      <c r="AW105" t="s">
        <v>617</v>
      </c>
      <c r="AX105" t="s">
        <v>618</v>
      </c>
      <c r="AY105" t="s">
        <v>618</v>
      </c>
      <c r="AZ105" t="s">
        <v>618</v>
      </c>
      <c r="BA105" t="s">
        <v>618</v>
      </c>
      <c r="BB105" t="s">
        <v>618</v>
      </c>
      <c r="BC105" t="s">
        <v>619</v>
      </c>
      <c r="BD105" t="s">
        <v>619</v>
      </c>
      <c r="BE105" t="s">
        <v>619</v>
      </c>
      <c r="BF105" t="s">
        <v>619</v>
      </c>
      <c r="BG105" t="s">
        <v>619</v>
      </c>
      <c r="BH105">
        <v>3.0000000000000001E-3</v>
      </c>
      <c r="BL105">
        <v>2E-3</v>
      </c>
      <c r="BN105">
        <v>1</v>
      </c>
      <c r="BO105" t="s">
        <v>51</v>
      </c>
      <c r="BP105" s="534">
        <v>1170</v>
      </c>
      <c r="BQ105" s="725">
        <v>1061</v>
      </c>
      <c r="BR105" t="s">
        <v>50</v>
      </c>
      <c r="BS105" t="s">
        <v>52</v>
      </c>
      <c r="BT105">
        <v>0</v>
      </c>
      <c r="BU105" t="s">
        <v>5425</v>
      </c>
      <c r="BV105">
        <v>0.156</v>
      </c>
      <c r="BW105">
        <v>839</v>
      </c>
      <c r="BX105" t="s">
        <v>50</v>
      </c>
      <c r="BY105">
        <v>0</v>
      </c>
      <c r="BZ105">
        <v>0</v>
      </c>
      <c r="CA105" t="s">
        <v>5425</v>
      </c>
      <c r="CB105">
        <v>0.6</v>
      </c>
      <c r="CC105" s="2146">
        <v>944</v>
      </c>
      <c r="CD105" s="2146" t="s">
        <v>50</v>
      </c>
      <c r="CE105" s="2146">
        <v>0</v>
      </c>
      <c r="CF105" s="2146">
        <v>0</v>
      </c>
      <c r="CG105" s="2146" t="s">
        <v>5425</v>
      </c>
      <c r="CH105">
        <v>0.39</v>
      </c>
      <c r="CJ105" t="s">
        <v>5523</v>
      </c>
    </row>
    <row r="106" spans="1:88">
      <c r="A106" t="s">
        <v>492</v>
      </c>
      <c r="B106" t="s">
        <v>620</v>
      </c>
      <c r="C106" t="s">
        <v>116</v>
      </c>
      <c r="D106" t="s">
        <v>214</v>
      </c>
      <c r="E106" t="s">
        <v>215</v>
      </c>
      <c r="F106" t="s">
        <v>612</v>
      </c>
      <c r="G106" t="s">
        <v>621</v>
      </c>
      <c r="H106" t="s">
        <v>622</v>
      </c>
      <c r="I106" t="s">
        <v>623</v>
      </c>
      <c r="J106" t="s">
        <v>5406</v>
      </c>
      <c r="K106" t="s">
        <v>322</v>
      </c>
      <c r="N106" t="s">
        <v>219</v>
      </c>
      <c r="O106" t="s">
        <v>48</v>
      </c>
      <c r="P106" t="s">
        <v>624</v>
      </c>
      <c r="Q106" s="534">
        <v>0</v>
      </c>
      <c r="R106" t="s">
        <v>3263</v>
      </c>
      <c r="S106">
        <v>300</v>
      </c>
      <c r="T106">
        <v>262</v>
      </c>
      <c r="U106">
        <v>224</v>
      </c>
      <c r="V106">
        <v>186</v>
      </c>
      <c r="W106">
        <v>186</v>
      </c>
      <c r="X106">
        <v>186</v>
      </c>
      <c r="AC106" t="s">
        <v>50</v>
      </c>
      <c r="AE106" t="s">
        <v>50</v>
      </c>
      <c r="AH106">
        <v>0</v>
      </c>
      <c r="AI106" t="s">
        <v>50</v>
      </c>
      <c r="AJ106" t="s">
        <v>50</v>
      </c>
      <c r="AK106" t="s">
        <v>50</v>
      </c>
      <c r="AL106" t="s">
        <v>50</v>
      </c>
      <c r="AM106" t="s">
        <v>50</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51</v>
      </c>
      <c r="BP106" s="534">
        <v>228</v>
      </c>
      <c r="BQ106" s="725">
        <v>143</v>
      </c>
      <c r="BR106" t="s">
        <v>50</v>
      </c>
      <c r="BS106" t="s">
        <v>52</v>
      </c>
      <c r="BT106">
        <v>0</v>
      </c>
      <c r="BU106" t="s">
        <v>5425</v>
      </c>
      <c r="BV106">
        <v>0.55900000000000005</v>
      </c>
      <c r="BW106">
        <v>119</v>
      </c>
      <c r="BX106" t="s">
        <v>50</v>
      </c>
      <c r="BY106">
        <v>0</v>
      </c>
      <c r="BZ106">
        <v>0</v>
      </c>
      <c r="CA106" t="s">
        <v>5425</v>
      </c>
      <c r="CB106">
        <v>0.871</v>
      </c>
      <c r="CC106" s="2146">
        <v>96</v>
      </c>
      <c r="CD106" s="2146" t="s">
        <v>50</v>
      </c>
      <c r="CE106" s="2146">
        <v>0</v>
      </c>
      <c r="CF106" s="2146">
        <v>0</v>
      </c>
      <c r="CG106" s="2146" t="s">
        <v>5425</v>
      </c>
      <c r="CH106">
        <v>1.17</v>
      </c>
      <c r="CJ106" t="s">
        <v>5524</v>
      </c>
    </row>
    <row r="107" spans="1:88">
      <c r="A107" t="s">
        <v>492</v>
      </c>
      <c r="B107" t="s">
        <v>625</v>
      </c>
      <c r="C107" t="s">
        <v>116</v>
      </c>
      <c r="D107" t="s">
        <v>214</v>
      </c>
      <c r="E107" t="s">
        <v>215</v>
      </c>
      <c r="F107" t="s">
        <v>612</v>
      </c>
      <c r="G107" t="s">
        <v>626</v>
      </c>
      <c r="H107" t="s">
        <v>627</v>
      </c>
      <c r="I107" t="s">
        <v>5525</v>
      </c>
      <c r="J107" t="s">
        <v>5406</v>
      </c>
      <c r="K107" t="s">
        <v>322</v>
      </c>
      <c r="M107" t="s">
        <v>46</v>
      </c>
      <c r="N107" t="s">
        <v>219</v>
      </c>
      <c r="O107" t="s">
        <v>48</v>
      </c>
      <c r="P107" t="s">
        <v>615</v>
      </c>
      <c r="Q107" s="534">
        <v>0</v>
      </c>
      <c r="R107" t="s">
        <v>3263</v>
      </c>
      <c r="S107">
        <v>496</v>
      </c>
      <c r="T107">
        <v>496</v>
      </c>
      <c r="U107">
        <v>496</v>
      </c>
      <c r="V107">
        <v>496</v>
      </c>
      <c r="W107">
        <v>496</v>
      </c>
      <c r="X107">
        <v>496</v>
      </c>
      <c r="AE107" t="s">
        <v>50</v>
      </c>
      <c r="AH107">
        <v>0</v>
      </c>
      <c r="AK107" t="s">
        <v>50</v>
      </c>
      <c r="AL107" t="s">
        <v>50</v>
      </c>
      <c r="AM107" t="s">
        <v>50</v>
      </c>
      <c r="AN107" t="s">
        <v>628</v>
      </c>
      <c r="AO107" t="s">
        <v>628</v>
      </c>
      <c r="AP107" t="s">
        <v>628</v>
      </c>
      <c r="AQ107" t="s">
        <v>628</v>
      </c>
      <c r="AR107" t="s">
        <v>628</v>
      </c>
      <c r="AS107" t="s">
        <v>629</v>
      </c>
      <c r="AT107" t="s">
        <v>629</v>
      </c>
      <c r="AU107" t="s">
        <v>629</v>
      </c>
      <c r="AV107" t="s">
        <v>629</v>
      </c>
      <c r="AW107" t="s">
        <v>629</v>
      </c>
      <c r="AX107" t="s">
        <v>630</v>
      </c>
      <c r="AY107" t="s">
        <v>630</v>
      </c>
      <c r="AZ107" t="s">
        <v>630</v>
      </c>
      <c r="BA107" t="s">
        <v>630</v>
      </c>
      <c r="BB107" t="s">
        <v>630</v>
      </c>
      <c r="BC107" t="s">
        <v>631</v>
      </c>
      <c r="BD107" t="s">
        <v>631</v>
      </c>
      <c r="BE107" t="s">
        <v>631</v>
      </c>
      <c r="BF107" t="s">
        <v>631</v>
      </c>
      <c r="BG107" t="s">
        <v>631</v>
      </c>
      <c r="BH107">
        <v>2.2286250000000001</v>
      </c>
      <c r="BI107">
        <v>2.2286250000000001</v>
      </c>
      <c r="BL107">
        <v>1.2999999999999999E-2</v>
      </c>
      <c r="BN107">
        <v>1</v>
      </c>
      <c r="BO107" t="s">
        <v>51</v>
      </c>
      <c r="BP107" s="534">
        <v>555</v>
      </c>
      <c r="BQ107" s="725">
        <v>184</v>
      </c>
      <c r="BR107" t="s">
        <v>52</v>
      </c>
      <c r="BS107" t="s">
        <v>52</v>
      </c>
      <c r="BT107">
        <v>0</v>
      </c>
      <c r="BU107" t="s">
        <v>52</v>
      </c>
      <c r="BV107">
        <v>0</v>
      </c>
      <c r="BW107">
        <v>82</v>
      </c>
      <c r="BX107" t="s">
        <v>2148</v>
      </c>
      <c r="BY107">
        <v>0</v>
      </c>
      <c r="BZ107">
        <v>0</v>
      </c>
      <c r="CA107">
        <v>0</v>
      </c>
      <c r="CB107">
        <v>0</v>
      </c>
      <c r="CC107" s="2146">
        <v>55</v>
      </c>
      <c r="CD107" s="2146" t="s">
        <v>50</v>
      </c>
      <c r="CE107" s="2146">
        <v>0</v>
      </c>
      <c r="CF107" s="2146">
        <v>0</v>
      </c>
      <c r="CG107" s="2146" t="s">
        <v>5425</v>
      </c>
      <c r="CH107">
        <v>1.2609999999999999</v>
      </c>
      <c r="CJ107" t="s">
        <v>5526</v>
      </c>
    </row>
    <row r="108" spans="1:88">
      <c r="A108" t="s">
        <v>492</v>
      </c>
      <c r="B108" t="s">
        <v>632</v>
      </c>
      <c r="C108" t="s">
        <v>116</v>
      </c>
      <c r="D108" t="s">
        <v>214</v>
      </c>
      <c r="E108" t="s">
        <v>215</v>
      </c>
      <c r="F108" t="s">
        <v>612</v>
      </c>
      <c r="G108" t="s">
        <v>633</v>
      </c>
      <c r="H108" t="s">
        <v>634</v>
      </c>
      <c r="I108" t="s">
        <v>5527</v>
      </c>
      <c r="J108" t="s">
        <v>5408</v>
      </c>
      <c r="K108" t="s">
        <v>322</v>
      </c>
      <c r="M108" t="s">
        <v>46</v>
      </c>
      <c r="N108" t="s">
        <v>219</v>
      </c>
      <c r="O108" t="s">
        <v>48</v>
      </c>
      <c r="P108" t="s">
        <v>635</v>
      </c>
      <c r="Q108" s="534">
        <v>0</v>
      </c>
      <c r="R108" t="s">
        <v>3263</v>
      </c>
      <c r="S108">
        <v>58</v>
      </c>
      <c r="T108">
        <v>58</v>
      </c>
      <c r="U108">
        <v>58</v>
      </c>
      <c r="V108">
        <v>58</v>
      </c>
      <c r="W108">
        <v>58</v>
      </c>
      <c r="X108">
        <v>58</v>
      </c>
      <c r="AE108" t="s">
        <v>50</v>
      </c>
      <c r="AH108">
        <v>0</v>
      </c>
      <c r="AK108" t="s">
        <v>50</v>
      </c>
      <c r="AL108" t="s">
        <v>50</v>
      </c>
      <c r="AM108" t="s">
        <v>50</v>
      </c>
      <c r="AN108" t="s">
        <v>636</v>
      </c>
      <c r="AO108" t="s">
        <v>636</v>
      </c>
      <c r="AP108" t="s">
        <v>636</v>
      </c>
      <c r="AQ108" t="s">
        <v>636</v>
      </c>
      <c r="AR108" t="s">
        <v>636</v>
      </c>
      <c r="AS108" t="s">
        <v>637</v>
      </c>
      <c r="AT108" t="s">
        <v>637</v>
      </c>
      <c r="AU108" t="s">
        <v>637</v>
      </c>
      <c r="AV108" t="s">
        <v>637</v>
      </c>
      <c r="AW108" t="s">
        <v>637</v>
      </c>
      <c r="BH108">
        <v>2.2286250000000001</v>
      </c>
      <c r="BI108">
        <v>2.2286250000000001</v>
      </c>
      <c r="BN108">
        <v>1</v>
      </c>
      <c r="BO108" t="s">
        <v>51</v>
      </c>
      <c r="BP108" s="534">
        <v>49</v>
      </c>
      <c r="BQ108" s="725">
        <v>48</v>
      </c>
      <c r="BR108" t="s">
        <v>52</v>
      </c>
      <c r="BS108" t="s">
        <v>52</v>
      </c>
      <c r="BT108">
        <v>0</v>
      </c>
      <c r="BU108" t="s">
        <v>52</v>
      </c>
      <c r="BV108">
        <v>0</v>
      </c>
      <c r="BW108">
        <v>49</v>
      </c>
      <c r="BX108" t="s">
        <v>2148</v>
      </c>
      <c r="BY108">
        <v>0</v>
      </c>
      <c r="BZ108">
        <v>0</v>
      </c>
      <c r="CA108">
        <v>0</v>
      </c>
      <c r="CB108">
        <v>0</v>
      </c>
      <c r="CC108" s="2146">
        <v>46</v>
      </c>
      <c r="CD108" s="2146" t="s">
        <v>50</v>
      </c>
      <c r="CE108" s="2146">
        <v>0</v>
      </c>
      <c r="CF108" s="2146">
        <v>0</v>
      </c>
      <c r="CG108" s="2146">
        <v>0</v>
      </c>
      <c r="CH108">
        <v>0</v>
      </c>
      <c r="CJ108" t="s">
        <v>5528</v>
      </c>
    </row>
    <row r="109" spans="1:88">
      <c r="A109" t="s">
        <v>492</v>
      </c>
      <c r="B109" t="s">
        <v>638</v>
      </c>
      <c r="C109" t="s">
        <v>116</v>
      </c>
      <c r="D109" t="s">
        <v>214</v>
      </c>
      <c r="E109" t="s">
        <v>215</v>
      </c>
      <c r="F109" t="s">
        <v>612</v>
      </c>
      <c r="G109" t="s">
        <v>639</v>
      </c>
      <c r="H109" t="s">
        <v>640</v>
      </c>
      <c r="I109" t="s">
        <v>641</v>
      </c>
      <c r="J109" t="s">
        <v>5406</v>
      </c>
      <c r="K109" t="s">
        <v>322</v>
      </c>
      <c r="N109" t="s">
        <v>219</v>
      </c>
      <c r="O109" t="s">
        <v>48</v>
      </c>
      <c r="P109" t="s">
        <v>615</v>
      </c>
      <c r="Q109" s="534">
        <v>0</v>
      </c>
      <c r="R109" t="s">
        <v>3263</v>
      </c>
      <c r="S109">
        <v>228</v>
      </c>
      <c r="T109">
        <v>228</v>
      </c>
      <c r="U109">
        <v>228</v>
      </c>
      <c r="V109">
        <v>228</v>
      </c>
      <c r="W109">
        <v>228</v>
      </c>
      <c r="X109">
        <v>228</v>
      </c>
      <c r="AC109" t="s">
        <v>50</v>
      </c>
      <c r="AE109" t="s">
        <v>50</v>
      </c>
      <c r="AH109">
        <v>0</v>
      </c>
      <c r="AI109" t="s">
        <v>50</v>
      </c>
      <c r="AJ109" t="s">
        <v>50</v>
      </c>
      <c r="AK109" t="s">
        <v>50</v>
      </c>
      <c r="AL109" t="s">
        <v>50</v>
      </c>
      <c r="AM109" t="s">
        <v>50</v>
      </c>
      <c r="AN109" t="s">
        <v>642</v>
      </c>
      <c r="AO109" t="s">
        <v>642</v>
      </c>
      <c r="AP109" t="s">
        <v>642</v>
      </c>
      <c r="AQ109" t="s">
        <v>642</v>
      </c>
      <c r="AR109" t="s">
        <v>642</v>
      </c>
      <c r="AS109" t="s">
        <v>643</v>
      </c>
      <c r="AT109" t="s">
        <v>643</v>
      </c>
      <c r="AU109" t="s">
        <v>643</v>
      </c>
      <c r="AV109" t="s">
        <v>643</v>
      </c>
      <c r="AW109" t="s">
        <v>643</v>
      </c>
      <c r="AX109" t="s">
        <v>644</v>
      </c>
      <c r="AY109" t="s">
        <v>644</v>
      </c>
      <c r="AZ109" t="s">
        <v>644</v>
      </c>
      <c r="BA109" t="s">
        <v>644</v>
      </c>
      <c r="BB109" t="s">
        <v>644</v>
      </c>
      <c r="BC109" t="s">
        <v>645</v>
      </c>
      <c r="BD109" t="s">
        <v>645</v>
      </c>
      <c r="BE109" t="s">
        <v>645</v>
      </c>
      <c r="BF109" t="s">
        <v>645</v>
      </c>
      <c r="BG109" t="s">
        <v>645</v>
      </c>
      <c r="BH109">
        <v>1.7000000000000001E-2</v>
      </c>
      <c r="BL109">
        <v>1.2999999999999999E-2</v>
      </c>
      <c r="BN109">
        <v>1</v>
      </c>
      <c r="BO109" t="s">
        <v>51</v>
      </c>
      <c r="BP109" s="534">
        <v>188</v>
      </c>
      <c r="BQ109" s="725">
        <v>219</v>
      </c>
      <c r="BR109" t="s">
        <v>50</v>
      </c>
      <c r="BS109" t="s">
        <v>52</v>
      </c>
      <c r="BT109">
        <v>0</v>
      </c>
      <c r="BU109" t="s">
        <v>5379</v>
      </c>
      <c r="BV109">
        <v>0</v>
      </c>
      <c r="BW109">
        <v>215</v>
      </c>
      <c r="BX109" t="s">
        <v>50</v>
      </c>
      <c r="BY109">
        <v>0</v>
      </c>
      <c r="BZ109">
        <v>0</v>
      </c>
      <c r="CA109" t="s">
        <v>5379</v>
      </c>
      <c r="CB109">
        <v>0</v>
      </c>
      <c r="CC109" s="2146">
        <v>199</v>
      </c>
      <c r="CD109" s="2146" t="s">
        <v>50</v>
      </c>
      <c r="CE109" s="2146">
        <v>0</v>
      </c>
      <c r="CF109" s="2146">
        <v>0</v>
      </c>
      <c r="CG109" s="2146" t="s">
        <v>5379</v>
      </c>
      <c r="CH109">
        <v>0</v>
      </c>
      <c r="CJ109" t="s">
        <v>5529</v>
      </c>
    </row>
    <row r="110" spans="1:88">
      <c r="A110" t="s">
        <v>492</v>
      </c>
      <c r="B110" t="s">
        <v>646</v>
      </c>
      <c r="C110" t="s">
        <v>116</v>
      </c>
      <c r="D110" t="s">
        <v>214</v>
      </c>
      <c r="E110" t="s">
        <v>215</v>
      </c>
      <c r="F110" t="s">
        <v>612</v>
      </c>
      <c r="G110" t="s">
        <v>647</v>
      </c>
      <c r="H110" t="s">
        <v>648</v>
      </c>
      <c r="I110" t="s">
        <v>649</v>
      </c>
      <c r="J110" t="s">
        <v>5406</v>
      </c>
      <c r="K110" t="s">
        <v>322</v>
      </c>
      <c r="N110" t="s">
        <v>219</v>
      </c>
      <c r="O110" t="s">
        <v>48</v>
      </c>
      <c r="P110" t="s">
        <v>615</v>
      </c>
      <c r="Q110" s="534">
        <v>0</v>
      </c>
      <c r="R110" t="s">
        <v>3263</v>
      </c>
      <c r="S110">
        <v>2931</v>
      </c>
      <c r="T110">
        <v>2931</v>
      </c>
      <c r="U110">
        <v>2931</v>
      </c>
      <c r="V110">
        <v>2931</v>
      </c>
      <c r="W110">
        <v>2931</v>
      </c>
      <c r="X110">
        <v>2931</v>
      </c>
      <c r="AE110" t="s">
        <v>50</v>
      </c>
      <c r="AH110">
        <v>0</v>
      </c>
      <c r="AI110" t="s">
        <v>50</v>
      </c>
      <c r="AJ110" t="s">
        <v>50</v>
      </c>
      <c r="AK110" t="s">
        <v>50</v>
      </c>
      <c r="AL110" t="s">
        <v>50</v>
      </c>
      <c r="AM110" t="s">
        <v>50</v>
      </c>
      <c r="AN110" t="s">
        <v>650</v>
      </c>
      <c r="AO110" t="s">
        <v>650</v>
      </c>
      <c r="AP110" t="s">
        <v>650</v>
      </c>
      <c r="AQ110" t="s">
        <v>650</v>
      </c>
      <c r="AR110" t="s">
        <v>650</v>
      </c>
      <c r="AS110" t="s">
        <v>651</v>
      </c>
      <c r="AT110" t="s">
        <v>651</v>
      </c>
      <c r="AU110" t="s">
        <v>651</v>
      </c>
      <c r="AV110" t="s">
        <v>651</v>
      </c>
      <c r="AW110" t="s">
        <v>651</v>
      </c>
      <c r="AX110" t="s">
        <v>652</v>
      </c>
      <c r="AY110" t="s">
        <v>652</v>
      </c>
      <c r="AZ110" t="s">
        <v>652</v>
      </c>
      <c r="BA110" t="s">
        <v>652</v>
      </c>
      <c r="BB110" t="s">
        <v>652</v>
      </c>
      <c r="BC110" t="s">
        <v>653</v>
      </c>
      <c r="BD110" t="s">
        <v>653</v>
      </c>
      <c r="BE110" t="s">
        <v>653</v>
      </c>
      <c r="BF110" t="s">
        <v>653</v>
      </c>
      <c r="BG110" t="s">
        <v>653</v>
      </c>
      <c r="BH110">
        <v>3.0000000000000001E-3</v>
      </c>
      <c r="BL110">
        <v>2E-3</v>
      </c>
      <c r="BN110">
        <v>1</v>
      </c>
      <c r="BO110" t="s">
        <v>51</v>
      </c>
      <c r="BP110" s="534">
        <v>2479</v>
      </c>
      <c r="BQ110" s="725">
        <v>2506</v>
      </c>
      <c r="BR110" t="s">
        <v>50</v>
      </c>
      <c r="BS110" t="s">
        <v>52</v>
      </c>
      <c r="BT110">
        <v>0</v>
      </c>
      <c r="BU110" t="s">
        <v>5379</v>
      </c>
      <c r="BV110">
        <v>0</v>
      </c>
      <c r="BW110">
        <v>2730</v>
      </c>
      <c r="BX110" t="s">
        <v>50</v>
      </c>
      <c r="BY110">
        <v>0</v>
      </c>
      <c r="BZ110">
        <v>0</v>
      </c>
      <c r="CA110" t="s">
        <v>5379</v>
      </c>
      <c r="CB110">
        <v>0</v>
      </c>
      <c r="CC110" s="2146">
        <v>2726</v>
      </c>
      <c r="CD110" s="2146" t="s">
        <v>50</v>
      </c>
      <c r="CE110" s="2146">
        <v>0</v>
      </c>
      <c r="CF110" s="2146">
        <v>0</v>
      </c>
      <c r="CG110" s="2146" t="s">
        <v>5379</v>
      </c>
      <c r="CH110">
        <v>0</v>
      </c>
      <c r="CJ110" t="s">
        <v>5530</v>
      </c>
    </row>
    <row r="111" spans="1:88">
      <c r="A111" t="s">
        <v>492</v>
      </c>
      <c r="B111" t="s">
        <v>654</v>
      </c>
      <c r="C111" t="s">
        <v>116</v>
      </c>
      <c r="D111" t="s">
        <v>214</v>
      </c>
      <c r="E111" t="s">
        <v>215</v>
      </c>
      <c r="F111" t="s">
        <v>612</v>
      </c>
      <c r="G111" t="s">
        <v>655</v>
      </c>
      <c r="H111" t="s">
        <v>656</v>
      </c>
      <c r="I111" t="s">
        <v>657</v>
      </c>
      <c r="J111" t="s">
        <v>69</v>
      </c>
      <c r="N111" t="s">
        <v>219</v>
      </c>
      <c r="O111" t="s">
        <v>48</v>
      </c>
      <c r="P111" t="s">
        <v>658</v>
      </c>
      <c r="Q111" s="534">
        <v>0</v>
      </c>
      <c r="R111" t="s">
        <v>3263</v>
      </c>
      <c r="S111">
        <v>84</v>
      </c>
      <c r="T111">
        <v>84</v>
      </c>
      <c r="U111">
        <v>84</v>
      </c>
      <c r="V111">
        <v>84</v>
      </c>
      <c r="W111">
        <v>84</v>
      </c>
      <c r="X111">
        <v>84</v>
      </c>
      <c r="AE111" t="s">
        <v>50</v>
      </c>
      <c r="AH111">
        <v>0</v>
      </c>
      <c r="BP111" s="534">
        <v>74</v>
      </c>
      <c r="BQ111" s="725">
        <v>58</v>
      </c>
      <c r="BR111" t="s">
        <v>50</v>
      </c>
      <c r="BS111" t="s">
        <v>52</v>
      </c>
      <c r="BT111">
        <v>0</v>
      </c>
      <c r="BU111" t="s">
        <v>52</v>
      </c>
      <c r="BV111">
        <v>0</v>
      </c>
      <c r="BW111">
        <v>72</v>
      </c>
      <c r="BX111" t="s">
        <v>50</v>
      </c>
      <c r="BY111">
        <v>0</v>
      </c>
      <c r="BZ111">
        <v>0</v>
      </c>
      <c r="CA111">
        <v>0</v>
      </c>
      <c r="CB111">
        <v>0</v>
      </c>
      <c r="CC111" s="2146">
        <v>51</v>
      </c>
      <c r="CD111" s="2146" t="s">
        <v>50</v>
      </c>
      <c r="CE111" s="2146">
        <v>0</v>
      </c>
      <c r="CF111" s="2146">
        <v>0</v>
      </c>
      <c r="CG111" s="2146" t="s">
        <v>52</v>
      </c>
      <c r="CH111">
        <v>0</v>
      </c>
      <c r="CJ111" t="s">
        <v>5531</v>
      </c>
    </row>
    <row r="112" spans="1:88">
      <c r="A112" t="s">
        <v>492</v>
      </c>
      <c r="B112" t="s">
        <v>659</v>
      </c>
      <c r="C112" t="s">
        <v>116</v>
      </c>
      <c r="D112" t="s">
        <v>214</v>
      </c>
      <c r="E112" t="s">
        <v>215</v>
      </c>
      <c r="F112" t="s">
        <v>660</v>
      </c>
      <c r="G112" t="s">
        <v>237</v>
      </c>
      <c r="H112" t="s">
        <v>661</v>
      </c>
      <c r="I112" t="s">
        <v>5532</v>
      </c>
      <c r="J112" t="s">
        <v>5408</v>
      </c>
      <c r="K112" t="s">
        <v>322</v>
      </c>
      <c r="M112" t="s">
        <v>46</v>
      </c>
      <c r="N112" t="s">
        <v>175</v>
      </c>
      <c r="O112" t="s">
        <v>48</v>
      </c>
      <c r="P112" t="s">
        <v>662</v>
      </c>
      <c r="Q112" s="534">
        <v>2</v>
      </c>
      <c r="R112" t="s">
        <v>3263</v>
      </c>
      <c r="S112">
        <v>0</v>
      </c>
      <c r="T112">
        <v>0</v>
      </c>
      <c r="U112">
        <v>0</v>
      </c>
      <c r="V112">
        <v>0</v>
      </c>
      <c r="W112">
        <v>0</v>
      </c>
      <c r="X112">
        <v>0</v>
      </c>
      <c r="AE112" t="s">
        <v>50</v>
      </c>
      <c r="AH112">
        <v>0</v>
      </c>
      <c r="AK112" t="s">
        <v>50</v>
      </c>
      <c r="AL112" t="s">
        <v>50</v>
      </c>
      <c r="AM112" t="s">
        <v>50</v>
      </c>
      <c r="AN112" t="s">
        <v>663</v>
      </c>
      <c r="AO112" t="s">
        <v>663</v>
      </c>
      <c r="AP112" t="s">
        <v>663</v>
      </c>
      <c r="AQ112" t="s">
        <v>663</v>
      </c>
      <c r="AR112" t="s">
        <v>663</v>
      </c>
      <c r="AS112" t="s">
        <v>664</v>
      </c>
      <c r="AT112" t="s">
        <v>664</v>
      </c>
      <c r="AU112" t="s">
        <v>664</v>
      </c>
      <c r="AV112" t="s">
        <v>664</v>
      </c>
      <c r="AW112" t="s">
        <v>664</v>
      </c>
      <c r="BH112">
        <v>2.2286250000000001</v>
      </c>
      <c r="BI112">
        <v>2.2286250000000001</v>
      </c>
      <c r="BN112">
        <v>1</v>
      </c>
      <c r="BO112" t="s">
        <v>51</v>
      </c>
      <c r="BP112" s="534">
        <v>1</v>
      </c>
      <c r="BQ112" s="725">
        <v>1</v>
      </c>
      <c r="BR112" t="s">
        <v>52</v>
      </c>
      <c r="BS112" t="s">
        <v>52</v>
      </c>
      <c r="BT112">
        <v>0</v>
      </c>
      <c r="BU112" t="s">
        <v>52</v>
      </c>
      <c r="BV112">
        <v>0</v>
      </c>
      <c r="BW112">
        <v>0.67</v>
      </c>
      <c r="BX112" t="s">
        <v>2148</v>
      </c>
      <c r="BY112">
        <v>0</v>
      </c>
      <c r="BZ112">
        <v>0</v>
      </c>
      <c r="CA112">
        <v>0</v>
      </c>
      <c r="CB112">
        <v>0</v>
      </c>
      <c r="CC112" s="2146">
        <v>1.33</v>
      </c>
      <c r="CD112" s="2146" t="s">
        <v>46</v>
      </c>
      <c r="CE112" s="2146">
        <v>0</v>
      </c>
      <c r="CF112" s="2146">
        <v>0</v>
      </c>
      <c r="CG112" s="2146" t="s">
        <v>13445</v>
      </c>
      <c r="CH112">
        <v>0</v>
      </c>
      <c r="CJ112" t="s">
        <v>5533</v>
      </c>
    </row>
    <row r="113" spans="1:88">
      <c r="A113" t="s">
        <v>492</v>
      </c>
      <c r="B113" t="s">
        <v>665</v>
      </c>
      <c r="C113" t="s">
        <v>116</v>
      </c>
      <c r="D113" t="s">
        <v>214</v>
      </c>
      <c r="E113" t="s">
        <v>215</v>
      </c>
      <c r="F113" t="s">
        <v>660</v>
      </c>
      <c r="G113" t="s">
        <v>242</v>
      </c>
      <c r="H113" t="s">
        <v>666</v>
      </c>
      <c r="I113" t="s">
        <v>5534</v>
      </c>
      <c r="J113" t="s">
        <v>5406</v>
      </c>
      <c r="K113" t="s">
        <v>322</v>
      </c>
      <c r="M113" t="s">
        <v>46</v>
      </c>
      <c r="N113" t="s">
        <v>249</v>
      </c>
      <c r="O113" t="s">
        <v>48</v>
      </c>
      <c r="P113" t="s">
        <v>250</v>
      </c>
      <c r="Q113" s="534">
        <v>0</v>
      </c>
      <c r="R113" t="s">
        <v>3263</v>
      </c>
      <c r="S113">
        <v>115</v>
      </c>
      <c r="T113">
        <v>115</v>
      </c>
      <c r="U113">
        <v>115</v>
      </c>
      <c r="V113">
        <v>115</v>
      </c>
      <c r="W113">
        <v>115</v>
      </c>
      <c r="X113">
        <v>115</v>
      </c>
      <c r="AB113" t="s">
        <v>50</v>
      </c>
      <c r="AE113" t="s">
        <v>50</v>
      </c>
      <c r="AH113">
        <v>0</v>
      </c>
      <c r="AK113" t="s">
        <v>50</v>
      </c>
      <c r="AL113" t="s">
        <v>50</v>
      </c>
      <c r="AM113" t="s">
        <v>50</v>
      </c>
      <c r="AN113" t="s">
        <v>667</v>
      </c>
      <c r="AO113" t="s">
        <v>667</v>
      </c>
      <c r="AP113" t="s">
        <v>668</v>
      </c>
      <c r="AQ113" t="s">
        <v>669</v>
      </c>
      <c r="AR113" t="s">
        <v>570</v>
      </c>
      <c r="AS113" t="s">
        <v>670</v>
      </c>
      <c r="AT113" t="s">
        <v>670</v>
      </c>
      <c r="AU113" t="s">
        <v>671</v>
      </c>
      <c r="AV113" t="s">
        <v>672</v>
      </c>
      <c r="AW113" t="s">
        <v>673</v>
      </c>
      <c r="AX113" t="s">
        <v>674</v>
      </c>
      <c r="AY113" t="s">
        <v>674</v>
      </c>
      <c r="AZ113" t="s">
        <v>674</v>
      </c>
      <c r="BA113" t="s">
        <v>674</v>
      </c>
      <c r="BB113" t="s">
        <v>674</v>
      </c>
      <c r="BC113" t="s">
        <v>675</v>
      </c>
      <c r="BD113" t="s">
        <v>675</v>
      </c>
      <c r="BE113" t="s">
        <v>675</v>
      </c>
      <c r="BF113" t="s">
        <v>675</v>
      </c>
      <c r="BG113" t="s">
        <v>675</v>
      </c>
      <c r="BH113">
        <v>2.2286250000000001</v>
      </c>
      <c r="BI113">
        <v>2.2286250000000001</v>
      </c>
      <c r="BL113">
        <v>1.6E-2</v>
      </c>
      <c r="BN113">
        <v>1</v>
      </c>
      <c r="BO113" t="s">
        <v>51</v>
      </c>
      <c r="BP113" s="534">
        <v>136</v>
      </c>
      <c r="BQ113" s="725">
        <v>124</v>
      </c>
      <c r="BR113" t="s">
        <v>52</v>
      </c>
      <c r="BS113" t="s">
        <v>52</v>
      </c>
      <c r="BT113">
        <v>0</v>
      </c>
      <c r="BU113" t="s">
        <v>52</v>
      </c>
      <c r="BV113">
        <v>0</v>
      </c>
      <c r="BW113">
        <v>115</v>
      </c>
      <c r="BX113" t="s">
        <v>2148</v>
      </c>
      <c r="BY113">
        <v>0</v>
      </c>
      <c r="BZ113">
        <v>0</v>
      </c>
      <c r="CA113">
        <v>0</v>
      </c>
      <c r="CB113">
        <v>0</v>
      </c>
      <c r="CC113" s="2146">
        <v>105</v>
      </c>
      <c r="CD113" s="2146" t="s">
        <v>50</v>
      </c>
      <c r="CE113" s="2146">
        <v>0</v>
      </c>
      <c r="CF113" s="2146">
        <v>0</v>
      </c>
      <c r="CG113" s="2146" t="s">
        <v>5379</v>
      </c>
      <c r="CH113">
        <v>0</v>
      </c>
      <c r="CJ113" t="s">
        <v>5535</v>
      </c>
    </row>
    <row r="114" spans="1:88">
      <c r="A114" t="s">
        <v>492</v>
      </c>
      <c r="B114" t="s">
        <v>676</v>
      </c>
      <c r="C114" t="s">
        <v>116</v>
      </c>
      <c r="D114" t="s">
        <v>214</v>
      </c>
      <c r="E114" t="s">
        <v>215</v>
      </c>
      <c r="F114" t="s">
        <v>660</v>
      </c>
      <c r="G114" t="s">
        <v>246</v>
      </c>
      <c r="H114" t="s">
        <v>677</v>
      </c>
      <c r="I114" t="s">
        <v>678</v>
      </c>
      <c r="J114" t="s">
        <v>5408</v>
      </c>
      <c r="K114" t="s">
        <v>322</v>
      </c>
      <c r="N114" t="s">
        <v>175</v>
      </c>
      <c r="O114" t="s">
        <v>48</v>
      </c>
      <c r="P114" t="s">
        <v>679</v>
      </c>
      <c r="Q114" s="534">
        <v>0</v>
      </c>
      <c r="R114" t="s">
        <v>3264</v>
      </c>
      <c r="S114">
        <v>32</v>
      </c>
      <c r="T114">
        <v>32</v>
      </c>
      <c r="U114">
        <v>32</v>
      </c>
      <c r="V114">
        <v>32</v>
      </c>
      <c r="W114">
        <v>34</v>
      </c>
      <c r="X114">
        <v>34</v>
      </c>
      <c r="AF114" t="s">
        <v>50</v>
      </c>
      <c r="AH114">
        <v>0</v>
      </c>
      <c r="AI114" t="s">
        <v>50</v>
      </c>
      <c r="AJ114" t="s">
        <v>50</v>
      </c>
      <c r="AK114" t="s">
        <v>50</v>
      </c>
      <c r="AL114" t="s">
        <v>50</v>
      </c>
      <c r="AM114" t="s">
        <v>50</v>
      </c>
      <c r="AN114">
        <v>31</v>
      </c>
      <c r="AO114">
        <v>31</v>
      </c>
      <c r="AP114">
        <v>31</v>
      </c>
      <c r="AQ114">
        <v>31</v>
      </c>
      <c r="AR114">
        <v>31</v>
      </c>
      <c r="AS114" t="s">
        <v>680</v>
      </c>
      <c r="AT114" t="s">
        <v>680</v>
      </c>
      <c r="AU114" t="s">
        <v>680</v>
      </c>
      <c r="AV114" t="s">
        <v>681</v>
      </c>
      <c r="AW114" t="s">
        <v>682</v>
      </c>
      <c r="BH114">
        <v>0.113</v>
      </c>
      <c r="BN114">
        <v>1</v>
      </c>
      <c r="BO114" t="s">
        <v>51</v>
      </c>
      <c r="BP114" s="534">
        <v>33</v>
      </c>
      <c r="BQ114" s="725">
        <v>33</v>
      </c>
      <c r="BR114" t="s">
        <v>50</v>
      </c>
      <c r="BS114" t="s">
        <v>52</v>
      </c>
      <c r="BT114">
        <v>0</v>
      </c>
      <c r="BU114" t="s">
        <v>52</v>
      </c>
      <c r="BV114">
        <v>0</v>
      </c>
      <c r="BW114">
        <v>34</v>
      </c>
      <c r="BX114" t="s">
        <v>50</v>
      </c>
      <c r="BY114">
        <v>0</v>
      </c>
      <c r="BZ114">
        <v>0</v>
      </c>
      <c r="CA114">
        <v>0</v>
      </c>
      <c r="CB114">
        <v>0</v>
      </c>
      <c r="CC114" s="2146">
        <v>34</v>
      </c>
      <c r="CD114" s="2146" t="s">
        <v>50</v>
      </c>
      <c r="CE114" s="2146">
        <v>0</v>
      </c>
      <c r="CF114" s="2146">
        <v>0</v>
      </c>
      <c r="CG114" s="2146">
        <v>0</v>
      </c>
      <c r="CH114">
        <v>0</v>
      </c>
      <c r="CJ114" t="s">
        <v>5536</v>
      </c>
    </row>
    <row r="115" spans="1:88">
      <c r="A115" t="s">
        <v>492</v>
      </c>
      <c r="B115" t="s">
        <v>683</v>
      </c>
      <c r="C115" t="s">
        <v>116</v>
      </c>
      <c r="D115" t="s">
        <v>214</v>
      </c>
      <c r="E115" t="s">
        <v>215</v>
      </c>
      <c r="F115" t="s">
        <v>660</v>
      </c>
      <c r="G115" t="s">
        <v>252</v>
      </c>
      <c r="H115" t="s">
        <v>684</v>
      </c>
      <c r="I115" t="s">
        <v>685</v>
      </c>
      <c r="J115" t="s">
        <v>5408</v>
      </c>
      <c r="K115" t="s">
        <v>322</v>
      </c>
      <c r="M115" t="s">
        <v>46</v>
      </c>
      <c r="N115" t="s">
        <v>175</v>
      </c>
      <c r="O115" t="s">
        <v>281</v>
      </c>
      <c r="P115" t="s">
        <v>686</v>
      </c>
      <c r="Q115" s="534" t="s">
        <v>51</v>
      </c>
      <c r="S115" t="s">
        <v>687</v>
      </c>
      <c r="T115" t="s">
        <v>687</v>
      </c>
      <c r="U115" t="s">
        <v>687</v>
      </c>
      <c r="V115" t="s">
        <v>688</v>
      </c>
      <c r="W115" t="s">
        <v>688</v>
      </c>
      <c r="X115" t="s">
        <v>688</v>
      </c>
      <c r="AD115" t="s">
        <v>50</v>
      </c>
      <c r="AF115" t="s">
        <v>50</v>
      </c>
      <c r="AH115">
        <v>0</v>
      </c>
      <c r="AL115" t="s">
        <v>50</v>
      </c>
      <c r="AM115" t="s">
        <v>50</v>
      </c>
      <c r="AN115" t="s">
        <v>687</v>
      </c>
      <c r="AO115" t="s">
        <v>687</v>
      </c>
      <c r="AP115" t="s">
        <v>687</v>
      </c>
      <c r="AQ115" t="s">
        <v>687</v>
      </c>
      <c r="AR115" t="s">
        <v>687</v>
      </c>
      <c r="AS115" t="s">
        <v>687</v>
      </c>
      <c r="AT115" t="s">
        <v>687</v>
      </c>
      <c r="AU115" t="s">
        <v>687</v>
      </c>
      <c r="AV115" t="s">
        <v>687</v>
      </c>
      <c r="AW115" t="s">
        <v>687</v>
      </c>
      <c r="BH115">
        <v>0.2</v>
      </c>
      <c r="BI115">
        <v>4</v>
      </c>
      <c r="BN115">
        <v>1</v>
      </c>
      <c r="BO115" t="s">
        <v>51</v>
      </c>
      <c r="BP115" s="534" t="s">
        <v>2797</v>
      </c>
      <c r="BQ115" s="724" t="s">
        <v>2797</v>
      </c>
      <c r="BR115" t="s">
        <v>52</v>
      </c>
      <c r="BS115" t="s">
        <v>52</v>
      </c>
      <c r="BT115">
        <v>0</v>
      </c>
      <c r="BU115" t="s">
        <v>52</v>
      </c>
      <c r="BV115">
        <v>0</v>
      </c>
      <c r="BW115" t="s">
        <v>2797</v>
      </c>
      <c r="BX115" t="s">
        <v>2148</v>
      </c>
      <c r="BY115">
        <v>0</v>
      </c>
      <c r="BZ115">
        <v>0</v>
      </c>
      <c r="CA115">
        <v>0</v>
      </c>
      <c r="CB115">
        <v>0</v>
      </c>
      <c r="CC115" s="2146" t="s">
        <v>788</v>
      </c>
      <c r="CD115" s="2146" t="s">
        <v>50</v>
      </c>
      <c r="CE115" s="2146">
        <v>0</v>
      </c>
      <c r="CF115" s="2146">
        <v>0</v>
      </c>
      <c r="CG115" s="2146">
        <v>0</v>
      </c>
      <c r="CH115">
        <v>0</v>
      </c>
      <c r="CJ115" t="s">
        <v>5537</v>
      </c>
    </row>
    <row r="116" spans="1:88">
      <c r="A116" t="s">
        <v>492</v>
      </c>
      <c r="B116" t="s">
        <v>689</v>
      </c>
      <c r="C116" t="s">
        <v>116</v>
      </c>
      <c r="D116" t="s">
        <v>214</v>
      </c>
      <c r="E116" t="s">
        <v>215</v>
      </c>
      <c r="F116" t="s">
        <v>584</v>
      </c>
      <c r="G116" t="s">
        <v>256</v>
      </c>
      <c r="H116" t="s">
        <v>690</v>
      </c>
      <c r="I116" t="s">
        <v>691</v>
      </c>
      <c r="J116" t="s">
        <v>69</v>
      </c>
      <c r="N116" t="s">
        <v>192</v>
      </c>
      <c r="O116" t="s">
        <v>107</v>
      </c>
      <c r="P116" t="s">
        <v>692</v>
      </c>
      <c r="Q116" s="534">
        <v>1</v>
      </c>
      <c r="R116" t="s">
        <v>3264</v>
      </c>
      <c r="S116">
        <v>8.1999999999999993</v>
      </c>
      <c r="T116">
        <v>8.1999999999999993</v>
      </c>
      <c r="U116">
        <v>8.1999999999999993</v>
      </c>
      <c r="V116">
        <v>8.1999999999999993</v>
      </c>
      <c r="W116">
        <v>8.1999999999999993</v>
      </c>
      <c r="X116">
        <v>8.1999999999999993</v>
      </c>
      <c r="AH116">
        <v>0</v>
      </c>
      <c r="BP116" s="534">
        <v>8.3000000000000007</v>
      </c>
      <c r="BQ116" s="722">
        <v>8.5</v>
      </c>
      <c r="BR116" t="s">
        <v>50</v>
      </c>
      <c r="BS116" t="s">
        <v>52</v>
      </c>
      <c r="BT116">
        <v>0</v>
      </c>
      <c r="BU116" t="s">
        <v>52</v>
      </c>
      <c r="BV116">
        <v>0</v>
      </c>
      <c r="BW116">
        <v>8.5</v>
      </c>
      <c r="BX116" t="s">
        <v>50</v>
      </c>
      <c r="BY116">
        <v>0</v>
      </c>
      <c r="BZ116">
        <v>0</v>
      </c>
      <c r="CA116">
        <v>0</v>
      </c>
      <c r="CB116">
        <v>0</v>
      </c>
      <c r="CC116" s="2146">
        <v>8.6999999999999993</v>
      </c>
      <c r="CD116" s="2146" t="s">
        <v>50</v>
      </c>
      <c r="CE116" s="2146">
        <v>0</v>
      </c>
      <c r="CF116" s="2146">
        <v>0</v>
      </c>
      <c r="CG116" s="2146">
        <v>0</v>
      </c>
      <c r="CH116">
        <v>0</v>
      </c>
      <c r="CJ116" t="s">
        <v>5538</v>
      </c>
    </row>
    <row r="117" spans="1:88">
      <c r="A117" t="s">
        <v>492</v>
      </c>
      <c r="B117" t="s">
        <v>693</v>
      </c>
      <c r="C117" t="s">
        <v>116</v>
      </c>
      <c r="D117" t="s">
        <v>214</v>
      </c>
      <c r="E117" t="s">
        <v>215</v>
      </c>
      <c r="F117" t="s">
        <v>584</v>
      </c>
      <c r="G117" t="s">
        <v>261</v>
      </c>
      <c r="H117" t="s">
        <v>694</v>
      </c>
      <c r="I117" t="s">
        <v>3202</v>
      </c>
      <c r="J117" t="s">
        <v>5406</v>
      </c>
      <c r="K117" t="s">
        <v>45</v>
      </c>
      <c r="M117" t="s">
        <v>46</v>
      </c>
      <c r="N117" t="s">
        <v>106</v>
      </c>
      <c r="O117" t="s">
        <v>107</v>
      </c>
      <c r="P117" t="s">
        <v>108</v>
      </c>
      <c r="Q117" s="534">
        <v>1</v>
      </c>
      <c r="R117" t="s">
        <v>3264</v>
      </c>
      <c r="S117">
        <v>89.4</v>
      </c>
      <c r="T117">
        <v>90</v>
      </c>
      <c r="U117">
        <v>90</v>
      </c>
      <c r="V117">
        <v>90</v>
      </c>
      <c r="W117">
        <v>90</v>
      </c>
      <c r="X117">
        <v>90</v>
      </c>
      <c r="AH117">
        <v>0</v>
      </c>
      <c r="AI117" t="s">
        <v>50</v>
      </c>
      <c r="AJ117" t="s">
        <v>50</v>
      </c>
      <c r="AK117" t="s">
        <v>50</v>
      </c>
      <c r="AL117" t="s">
        <v>50</v>
      </c>
      <c r="AM117" t="s">
        <v>50</v>
      </c>
      <c r="AN117" t="s">
        <v>109</v>
      </c>
      <c r="AO117" t="s">
        <v>109</v>
      </c>
      <c r="AP117" t="s">
        <v>109</v>
      </c>
      <c r="AQ117" t="s">
        <v>109</v>
      </c>
      <c r="AR117" t="s">
        <v>109</v>
      </c>
      <c r="AS117" t="s">
        <v>109</v>
      </c>
      <c r="AT117" t="s">
        <v>109</v>
      </c>
      <c r="AU117" t="s">
        <v>109</v>
      </c>
      <c r="AV117" t="s">
        <v>109</v>
      </c>
      <c r="AW117" t="s">
        <v>109</v>
      </c>
      <c r="AX117" t="s">
        <v>109</v>
      </c>
      <c r="AY117" t="s">
        <v>109</v>
      </c>
      <c r="AZ117" t="s">
        <v>109</v>
      </c>
      <c r="BA117" t="s">
        <v>109</v>
      </c>
      <c r="BB117" t="s">
        <v>109</v>
      </c>
      <c r="BC117" t="s">
        <v>109</v>
      </c>
      <c r="BD117" t="s">
        <v>109</v>
      </c>
      <c r="BE117" t="s">
        <v>109</v>
      </c>
      <c r="BF117" t="s">
        <v>109</v>
      </c>
      <c r="BG117" t="s">
        <v>109</v>
      </c>
      <c r="BH117" t="s">
        <v>109</v>
      </c>
      <c r="BL117" t="s">
        <v>109</v>
      </c>
      <c r="BN117">
        <v>1</v>
      </c>
      <c r="BO117" t="s">
        <v>51</v>
      </c>
      <c r="BP117" s="534">
        <v>83.72</v>
      </c>
      <c r="BQ117" s="722">
        <v>83.64</v>
      </c>
      <c r="BR117" t="s">
        <v>46</v>
      </c>
      <c r="BS117" t="s">
        <v>52</v>
      </c>
      <c r="BT117">
        <v>0</v>
      </c>
      <c r="BU117" t="s">
        <v>52</v>
      </c>
      <c r="BV117">
        <v>0</v>
      </c>
      <c r="BW117">
        <v>87.53</v>
      </c>
      <c r="BX117" t="s">
        <v>46</v>
      </c>
      <c r="BY117">
        <v>0</v>
      </c>
      <c r="BZ117">
        <v>0</v>
      </c>
      <c r="CA117">
        <v>0</v>
      </c>
      <c r="CB117">
        <v>0</v>
      </c>
      <c r="CC117" s="2146">
        <v>86.39</v>
      </c>
      <c r="CD117" s="2146" t="s">
        <v>46</v>
      </c>
      <c r="CE117" s="2146">
        <v>0</v>
      </c>
      <c r="CF117" s="2146">
        <v>0</v>
      </c>
      <c r="CG117" s="2146">
        <v>0</v>
      </c>
      <c r="CH117">
        <v>0</v>
      </c>
      <c r="CJ117" t="s">
        <v>5539</v>
      </c>
    </row>
    <row r="118" spans="1:88">
      <c r="A118" t="s">
        <v>492</v>
      </c>
      <c r="B118" t="s">
        <v>695</v>
      </c>
      <c r="C118" t="s">
        <v>116</v>
      </c>
      <c r="D118" t="s">
        <v>214</v>
      </c>
      <c r="E118" t="s">
        <v>215</v>
      </c>
      <c r="F118" t="s">
        <v>584</v>
      </c>
      <c r="G118" t="s">
        <v>696</v>
      </c>
      <c r="H118" t="s">
        <v>697</v>
      </c>
      <c r="I118" t="s">
        <v>698</v>
      </c>
      <c r="J118" t="s">
        <v>69</v>
      </c>
      <c r="N118" t="s">
        <v>192</v>
      </c>
      <c r="O118" t="s">
        <v>76</v>
      </c>
      <c r="P118" t="s">
        <v>193</v>
      </c>
      <c r="Q118" s="534">
        <v>0</v>
      </c>
      <c r="R118" t="s">
        <v>3264</v>
      </c>
      <c r="S118">
        <v>32</v>
      </c>
      <c r="T118">
        <v>32</v>
      </c>
      <c r="U118">
        <v>32</v>
      </c>
      <c r="V118">
        <v>32</v>
      </c>
      <c r="W118">
        <v>32</v>
      </c>
      <c r="X118">
        <v>32</v>
      </c>
      <c r="AH118">
        <v>0</v>
      </c>
      <c r="BP118" s="534">
        <v>42</v>
      </c>
      <c r="BQ118" s="725">
        <v>49</v>
      </c>
      <c r="BR118" t="s">
        <v>50</v>
      </c>
      <c r="BS118" t="s">
        <v>52</v>
      </c>
      <c r="BT118">
        <v>0</v>
      </c>
      <c r="BU118" t="s">
        <v>52</v>
      </c>
      <c r="BV118">
        <v>0</v>
      </c>
      <c r="BW118">
        <v>46</v>
      </c>
      <c r="BX118" t="s">
        <v>50</v>
      </c>
      <c r="BY118">
        <v>0</v>
      </c>
      <c r="BZ118">
        <v>0</v>
      </c>
      <c r="CA118">
        <v>0</v>
      </c>
      <c r="CB118">
        <v>0</v>
      </c>
      <c r="CC118" s="2146">
        <v>44</v>
      </c>
      <c r="CD118" s="2146" t="s">
        <v>50</v>
      </c>
      <c r="CE118" s="2146">
        <v>0</v>
      </c>
      <c r="CF118" s="2146">
        <v>0</v>
      </c>
      <c r="CG118" s="2146">
        <v>0</v>
      </c>
      <c r="CH118">
        <v>0</v>
      </c>
      <c r="CJ118" t="s">
        <v>5540</v>
      </c>
    </row>
    <row r="119" spans="1:88">
      <c r="A119" t="s">
        <v>492</v>
      </c>
      <c r="B119" t="s">
        <v>699</v>
      </c>
      <c r="C119" t="s">
        <v>116</v>
      </c>
      <c r="D119" t="s">
        <v>214</v>
      </c>
      <c r="E119" t="s">
        <v>215</v>
      </c>
      <c r="F119" t="s">
        <v>595</v>
      </c>
      <c r="G119" t="s">
        <v>266</v>
      </c>
      <c r="H119" t="s">
        <v>700</v>
      </c>
      <c r="I119" t="s">
        <v>701</v>
      </c>
      <c r="J119" t="s">
        <v>69</v>
      </c>
      <c r="N119" t="s">
        <v>192</v>
      </c>
      <c r="O119" t="s">
        <v>76</v>
      </c>
      <c r="P119" t="s">
        <v>193</v>
      </c>
      <c r="Q119" s="534">
        <v>0</v>
      </c>
      <c r="R119" t="s">
        <v>3264</v>
      </c>
      <c r="S119" t="s">
        <v>598</v>
      </c>
      <c r="T119" t="s">
        <v>3265</v>
      </c>
      <c r="U119" t="s">
        <v>3265</v>
      </c>
      <c r="V119" t="s">
        <v>3265</v>
      </c>
      <c r="W119" t="s">
        <v>3265</v>
      </c>
      <c r="X119" t="s">
        <v>3265</v>
      </c>
      <c r="AH119">
        <v>0</v>
      </c>
      <c r="BP119" s="534">
        <v>91</v>
      </c>
      <c r="BQ119" s="724">
        <v>94</v>
      </c>
      <c r="BR119" t="s">
        <v>52</v>
      </c>
      <c r="BS119" t="s">
        <v>52</v>
      </c>
      <c r="BT119">
        <v>0</v>
      </c>
      <c r="BU119" t="s">
        <v>52</v>
      </c>
      <c r="BV119">
        <v>0</v>
      </c>
      <c r="BW119">
        <v>94</v>
      </c>
      <c r="BX119" t="s">
        <v>2148</v>
      </c>
      <c r="BY119">
        <v>0</v>
      </c>
      <c r="BZ119">
        <v>0</v>
      </c>
      <c r="CA119">
        <v>0</v>
      </c>
      <c r="CB119">
        <v>0</v>
      </c>
      <c r="CC119" s="2146">
        <v>94</v>
      </c>
      <c r="CD119" s="2146" t="s">
        <v>50</v>
      </c>
      <c r="CE119" s="2146">
        <v>0</v>
      </c>
      <c r="CF119" s="2146">
        <v>0</v>
      </c>
      <c r="CG119" s="2146">
        <v>0</v>
      </c>
      <c r="CH119">
        <v>0</v>
      </c>
      <c r="CJ119" t="s">
        <v>5541</v>
      </c>
    </row>
    <row r="120" spans="1:88">
      <c r="A120" t="s">
        <v>492</v>
      </c>
      <c r="B120" t="s">
        <v>702</v>
      </c>
      <c r="C120" t="s">
        <v>116</v>
      </c>
      <c r="D120" t="s">
        <v>214</v>
      </c>
      <c r="E120" t="s">
        <v>215</v>
      </c>
      <c r="F120" t="s">
        <v>703</v>
      </c>
      <c r="G120" t="s">
        <v>270</v>
      </c>
      <c r="H120" t="s">
        <v>704</v>
      </c>
      <c r="I120" t="s">
        <v>705</v>
      </c>
      <c r="J120" t="s">
        <v>69</v>
      </c>
      <c r="N120" t="s">
        <v>182</v>
      </c>
      <c r="O120" t="s">
        <v>48</v>
      </c>
      <c r="P120" t="s">
        <v>603</v>
      </c>
      <c r="Q120" s="534">
        <v>0</v>
      </c>
      <c r="R120" t="s">
        <v>3263</v>
      </c>
      <c r="S120">
        <v>206</v>
      </c>
      <c r="T120">
        <v>194</v>
      </c>
      <c r="U120">
        <v>183</v>
      </c>
      <c r="V120">
        <v>172</v>
      </c>
      <c r="W120">
        <v>161</v>
      </c>
      <c r="X120">
        <v>150</v>
      </c>
      <c r="AH120">
        <v>0</v>
      </c>
      <c r="BP120" s="534">
        <v>213.6</v>
      </c>
      <c r="BQ120" s="725">
        <v>225.2</v>
      </c>
      <c r="BR120" t="s">
        <v>46</v>
      </c>
      <c r="BS120" t="s">
        <v>52</v>
      </c>
      <c r="BT120">
        <v>0</v>
      </c>
      <c r="BU120" t="s">
        <v>52</v>
      </c>
      <c r="BV120">
        <v>0</v>
      </c>
      <c r="BW120">
        <v>187.7</v>
      </c>
      <c r="BX120" t="s">
        <v>46</v>
      </c>
      <c r="BY120">
        <v>0</v>
      </c>
      <c r="BZ120">
        <v>0</v>
      </c>
      <c r="CA120">
        <v>0</v>
      </c>
      <c r="CB120">
        <v>0</v>
      </c>
      <c r="CC120" s="2146">
        <v>164</v>
      </c>
      <c r="CD120" s="2146" t="s">
        <v>50</v>
      </c>
      <c r="CE120" s="2146">
        <v>0</v>
      </c>
      <c r="CF120" s="2146">
        <v>0</v>
      </c>
      <c r="CG120" s="2146">
        <v>0</v>
      </c>
      <c r="CH120">
        <v>0</v>
      </c>
      <c r="CJ120" t="s">
        <v>5542</v>
      </c>
    </row>
    <row r="121" spans="1:88" ht="25.5">
      <c r="A121" t="s">
        <v>492</v>
      </c>
      <c r="B121" t="s">
        <v>706</v>
      </c>
      <c r="C121" t="s">
        <v>116</v>
      </c>
      <c r="D121" t="s">
        <v>214</v>
      </c>
      <c r="E121" t="s">
        <v>215</v>
      </c>
      <c r="F121" t="s">
        <v>703</v>
      </c>
      <c r="G121" t="s">
        <v>275</v>
      </c>
      <c r="H121" t="s">
        <v>707</v>
      </c>
      <c r="I121" t="s">
        <v>708</v>
      </c>
      <c r="J121" t="s">
        <v>69</v>
      </c>
      <c r="N121" t="s">
        <v>175</v>
      </c>
      <c r="O121" t="s">
        <v>281</v>
      </c>
      <c r="P121" t="s">
        <v>3201</v>
      </c>
      <c r="Q121" s="534" t="s">
        <v>51</v>
      </c>
      <c r="S121" t="s">
        <v>598</v>
      </c>
      <c r="T121" t="s">
        <v>3266</v>
      </c>
      <c r="U121" t="s">
        <v>3266</v>
      </c>
      <c r="V121" t="s">
        <v>3266</v>
      </c>
      <c r="W121" t="s">
        <v>3266</v>
      </c>
      <c r="X121" t="s">
        <v>3266</v>
      </c>
      <c r="AH121">
        <v>0</v>
      </c>
      <c r="BP121" s="534" t="s">
        <v>2797</v>
      </c>
      <c r="BQ121" s="724" t="s">
        <v>3286</v>
      </c>
      <c r="BR121" t="s">
        <v>50</v>
      </c>
      <c r="BS121" t="s">
        <v>52</v>
      </c>
      <c r="BT121">
        <v>0</v>
      </c>
      <c r="BU121" t="s">
        <v>52</v>
      </c>
      <c r="BV121">
        <v>0</v>
      </c>
      <c r="BW121" t="s">
        <v>3286</v>
      </c>
      <c r="BX121" t="s">
        <v>50</v>
      </c>
      <c r="BY121">
        <v>0</v>
      </c>
      <c r="BZ121">
        <v>0</v>
      </c>
      <c r="CA121">
        <v>0</v>
      </c>
      <c r="CB121">
        <v>0</v>
      </c>
      <c r="CC121" s="2146" t="s">
        <v>13448</v>
      </c>
      <c r="CD121" s="2146" t="s">
        <v>50</v>
      </c>
      <c r="CE121" s="2146">
        <v>0</v>
      </c>
      <c r="CF121" s="2146">
        <v>0</v>
      </c>
      <c r="CG121" s="2146">
        <v>0</v>
      </c>
      <c r="CH121">
        <v>0</v>
      </c>
      <c r="CJ121" t="s">
        <v>5543</v>
      </c>
    </row>
    <row r="122" spans="1:88">
      <c r="A122" t="s">
        <v>492</v>
      </c>
      <c r="B122" t="s">
        <v>709</v>
      </c>
      <c r="C122" t="s">
        <v>116</v>
      </c>
      <c r="D122" t="s">
        <v>101</v>
      </c>
      <c r="E122" t="s">
        <v>102</v>
      </c>
      <c r="F122" t="s">
        <v>584</v>
      </c>
      <c r="G122" t="s">
        <v>293</v>
      </c>
      <c r="H122" t="s">
        <v>710</v>
      </c>
      <c r="I122" t="s">
        <v>711</v>
      </c>
      <c r="J122" t="s">
        <v>69</v>
      </c>
      <c r="N122" t="s">
        <v>192</v>
      </c>
      <c r="O122" t="s">
        <v>107</v>
      </c>
      <c r="P122" t="s">
        <v>692</v>
      </c>
      <c r="Q122" s="534">
        <v>1</v>
      </c>
      <c r="R122" t="s">
        <v>3264</v>
      </c>
      <c r="S122">
        <v>8.1999999999999993</v>
      </c>
      <c r="T122">
        <v>8.1999999999999993</v>
      </c>
      <c r="U122">
        <v>8.1999999999999993</v>
      </c>
      <c r="V122">
        <v>8.1999999999999993</v>
      </c>
      <c r="W122">
        <v>8.1999999999999993</v>
      </c>
      <c r="X122">
        <v>8.1999999999999993</v>
      </c>
      <c r="AH122">
        <v>0</v>
      </c>
      <c r="BP122" s="534">
        <v>8.3000000000000007</v>
      </c>
      <c r="BQ122" s="722">
        <v>8.5</v>
      </c>
      <c r="BR122" t="s">
        <v>50</v>
      </c>
      <c r="BS122" t="s">
        <v>52</v>
      </c>
      <c r="BT122">
        <v>0</v>
      </c>
      <c r="BU122" t="s">
        <v>52</v>
      </c>
      <c r="BV122">
        <v>0</v>
      </c>
      <c r="BW122">
        <v>8.5</v>
      </c>
      <c r="BX122" t="s">
        <v>50</v>
      </c>
      <c r="BY122">
        <v>0</v>
      </c>
      <c r="BZ122">
        <v>0</v>
      </c>
      <c r="CA122">
        <v>0</v>
      </c>
      <c r="CB122">
        <v>0</v>
      </c>
      <c r="CC122" s="2146">
        <v>8.6999999999999993</v>
      </c>
      <c r="CD122" s="2146" t="s">
        <v>50</v>
      </c>
      <c r="CE122" s="2146">
        <v>0</v>
      </c>
      <c r="CF122" s="2146">
        <v>0</v>
      </c>
      <c r="CG122" s="2146">
        <v>0</v>
      </c>
      <c r="CH122">
        <v>0</v>
      </c>
      <c r="CJ122" t="s">
        <v>5544</v>
      </c>
    </row>
    <row r="123" spans="1:88">
      <c r="A123" t="s">
        <v>492</v>
      </c>
      <c r="B123" t="s">
        <v>712</v>
      </c>
      <c r="C123" t="s">
        <v>116</v>
      </c>
      <c r="D123" t="s">
        <v>101</v>
      </c>
      <c r="E123" t="s">
        <v>102</v>
      </c>
      <c r="F123" t="s">
        <v>584</v>
      </c>
      <c r="G123" t="s">
        <v>297</v>
      </c>
      <c r="H123" t="s">
        <v>713</v>
      </c>
      <c r="I123" t="s">
        <v>714</v>
      </c>
      <c r="J123" t="s">
        <v>5406</v>
      </c>
      <c r="K123" t="s">
        <v>45</v>
      </c>
      <c r="M123" t="s">
        <v>46</v>
      </c>
      <c r="N123" t="s">
        <v>106</v>
      </c>
      <c r="O123" t="s">
        <v>107</v>
      </c>
      <c r="P123" t="s">
        <v>108</v>
      </c>
      <c r="Q123" s="534">
        <v>1</v>
      </c>
      <c r="R123" t="s">
        <v>3264</v>
      </c>
      <c r="S123">
        <v>89.4</v>
      </c>
      <c r="T123">
        <v>90</v>
      </c>
      <c r="U123">
        <v>90</v>
      </c>
      <c r="V123">
        <v>90</v>
      </c>
      <c r="W123">
        <v>90</v>
      </c>
      <c r="X123">
        <v>90</v>
      </c>
      <c r="AH123">
        <v>0</v>
      </c>
      <c r="AI123" t="s">
        <v>50</v>
      </c>
      <c r="AJ123" t="s">
        <v>50</v>
      </c>
      <c r="AK123" t="s">
        <v>50</v>
      </c>
      <c r="AL123" t="s">
        <v>50</v>
      </c>
      <c r="AM123" t="s">
        <v>50</v>
      </c>
      <c r="AN123" t="s">
        <v>109</v>
      </c>
      <c r="AO123" t="s">
        <v>109</v>
      </c>
      <c r="AP123" t="s">
        <v>109</v>
      </c>
      <c r="AQ123" t="s">
        <v>109</v>
      </c>
      <c r="AR123" t="s">
        <v>109</v>
      </c>
      <c r="AS123" t="s">
        <v>109</v>
      </c>
      <c r="AT123" t="s">
        <v>109</v>
      </c>
      <c r="AU123" t="s">
        <v>109</v>
      </c>
      <c r="AV123" t="s">
        <v>109</v>
      </c>
      <c r="AW123" t="s">
        <v>109</v>
      </c>
      <c r="AX123" t="s">
        <v>109</v>
      </c>
      <c r="AY123" t="s">
        <v>109</v>
      </c>
      <c r="AZ123" t="s">
        <v>109</v>
      </c>
      <c r="BA123" t="s">
        <v>109</v>
      </c>
      <c r="BB123" t="s">
        <v>109</v>
      </c>
      <c r="BC123" t="s">
        <v>109</v>
      </c>
      <c r="BD123" t="s">
        <v>109</v>
      </c>
      <c r="BE123" t="s">
        <v>109</v>
      </c>
      <c r="BF123" t="s">
        <v>109</v>
      </c>
      <c r="BG123" t="s">
        <v>109</v>
      </c>
      <c r="BH123" t="s">
        <v>109</v>
      </c>
      <c r="BL123" t="s">
        <v>109</v>
      </c>
      <c r="BN123">
        <v>1</v>
      </c>
      <c r="BO123" t="s">
        <v>51</v>
      </c>
      <c r="BP123" s="534">
        <v>83.72</v>
      </c>
      <c r="BQ123" s="722">
        <v>83.64</v>
      </c>
      <c r="BR123" t="s">
        <v>46</v>
      </c>
      <c r="BS123" t="s">
        <v>52</v>
      </c>
      <c r="BT123">
        <v>0</v>
      </c>
      <c r="BU123" t="s">
        <v>52</v>
      </c>
      <c r="BV123">
        <v>0</v>
      </c>
      <c r="BW123">
        <v>87.53</v>
      </c>
      <c r="BX123" t="s">
        <v>46</v>
      </c>
      <c r="BY123">
        <v>0</v>
      </c>
      <c r="BZ123">
        <v>0</v>
      </c>
      <c r="CA123">
        <v>0</v>
      </c>
      <c r="CB123">
        <v>0</v>
      </c>
      <c r="CC123" s="2146">
        <v>86.39</v>
      </c>
      <c r="CD123" s="2146" t="s">
        <v>46</v>
      </c>
      <c r="CE123" s="2146">
        <v>0</v>
      </c>
      <c r="CF123" s="2146">
        <v>0</v>
      </c>
      <c r="CG123" s="2146">
        <v>0</v>
      </c>
      <c r="CH123">
        <v>0</v>
      </c>
      <c r="CJ123" t="s">
        <v>5545</v>
      </c>
    </row>
    <row r="124" spans="1:88">
      <c r="A124" t="s">
        <v>492</v>
      </c>
      <c r="B124" t="s">
        <v>715</v>
      </c>
      <c r="C124" t="s">
        <v>116</v>
      </c>
      <c r="D124" t="s">
        <v>101</v>
      </c>
      <c r="E124" t="s">
        <v>102</v>
      </c>
      <c r="F124" t="s">
        <v>584</v>
      </c>
      <c r="G124" t="s">
        <v>716</v>
      </c>
      <c r="H124" t="s">
        <v>717</v>
      </c>
      <c r="I124" t="s">
        <v>718</v>
      </c>
      <c r="J124" t="s">
        <v>69</v>
      </c>
      <c r="N124" t="s">
        <v>192</v>
      </c>
      <c r="O124" t="s">
        <v>76</v>
      </c>
      <c r="P124" t="s">
        <v>193</v>
      </c>
      <c r="Q124" s="534">
        <v>0</v>
      </c>
      <c r="R124" t="s">
        <v>3264</v>
      </c>
      <c r="S124">
        <v>32</v>
      </c>
      <c r="T124">
        <v>32</v>
      </c>
      <c r="U124">
        <v>32</v>
      </c>
      <c r="V124">
        <v>32</v>
      </c>
      <c r="W124">
        <v>32</v>
      </c>
      <c r="X124">
        <v>32</v>
      </c>
      <c r="AH124">
        <v>0</v>
      </c>
      <c r="BP124" s="534">
        <v>42</v>
      </c>
      <c r="BQ124" s="725">
        <v>49</v>
      </c>
      <c r="BR124" t="s">
        <v>50</v>
      </c>
      <c r="BS124" t="s">
        <v>52</v>
      </c>
      <c r="BT124">
        <v>0</v>
      </c>
      <c r="BU124" t="s">
        <v>52</v>
      </c>
      <c r="BV124">
        <v>0</v>
      </c>
      <c r="BW124">
        <v>46</v>
      </c>
      <c r="BX124" t="s">
        <v>50</v>
      </c>
      <c r="BY124">
        <v>0</v>
      </c>
      <c r="BZ124">
        <v>0</v>
      </c>
      <c r="CA124">
        <v>0</v>
      </c>
      <c r="CB124">
        <v>0</v>
      </c>
      <c r="CC124" s="2146">
        <v>44</v>
      </c>
      <c r="CD124" s="2146" t="s">
        <v>50</v>
      </c>
      <c r="CE124" s="2146">
        <v>0</v>
      </c>
      <c r="CF124" s="2146">
        <v>0</v>
      </c>
      <c r="CG124" s="2146">
        <v>0</v>
      </c>
      <c r="CH124">
        <v>0</v>
      </c>
      <c r="CJ124" t="s">
        <v>5546</v>
      </c>
    </row>
    <row r="125" spans="1:88">
      <c r="A125" t="s">
        <v>492</v>
      </c>
      <c r="B125" t="s">
        <v>719</v>
      </c>
      <c r="C125" t="s">
        <v>116</v>
      </c>
      <c r="D125" t="s">
        <v>101</v>
      </c>
      <c r="E125" t="s">
        <v>102</v>
      </c>
      <c r="F125" t="s">
        <v>720</v>
      </c>
      <c r="G125" t="s">
        <v>301</v>
      </c>
      <c r="H125" t="s">
        <v>721</v>
      </c>
      <c r="I125" t="s">
        <v>722</v>
      </c>
      <c r="J125" t="s">
        <v>69</v>
      </c>
      <c r="N125" t="s">
        <v>113</v>
      </c>
      <c r="O125" t="s">
        <v>107</v>
      </c>
      <c r="P125" t="s">
        <v>692</v>
      </c>
      <c r="Q125" s="534">
        <v>1</v>
      </c>
      <c r="R125" t="s">
        <v>3264</v>
      </c>
      <c r="S125">
        <v>7.9</v>
      </c>
      <c r="T125">
        <v>7.9</v>
      </c>
      <c r="U125">
        <v>7.9</v>
      </c>
      <c r="V125">
        <v>7.9</v>
      </c>
      <c r="W125">
        <v>7.9</v>
      </c>
      <c r="X125">
        <v>7.9</v>
      </c>
      <c r="AH125">
        <v>0</v>
      </c>
      <c r="BP125" s="534">
        <v>8.1</v>
      </c>
      <c r="BQ125" s="722">
        <v>8.1999999999999993</v>
      </c>
      <c r="BR125" t="s">
        <v>50</v>
      </c>
      <c r="BS125" t="s">
        <v>52</v>
      </c>
      <c r="BT125">
        <v>0</v>
      </c>
      <c r="BU125" t="s">
        <v>52</v>
      </c>
      <c r="BV125">
        <v>0</v>
      </c>
      <c r="BW125">
        <v>8.1999999999999993</v>
      </c>
      <c r="BX125" t="s">
        <v>50</v>
      </c>
      <c r="BY125">
        <v>0</v>
      </c>
      <c r="BZ125">
        <v>0</v>
      </c>
      <c r="CA125">
        <v>0</v>
      </c>
      <c r="CB125">
        <v>0</v>
      </c>
      <c r="CC125" s="2146">
        <v>8.1999999999999993</v>
      </c>
      <c r="CD125" s="2146" t="s">
        <v>50</v>
      </c>
      <c r="CE125" s="2146">
        <v>0</v>
      </c>
      <c r="CF125" s="2146">
        <v>0</v>
      </c>
      <c r="CG125" s="2146">
        <v>0</v>
      </c>
      <c r="CH125">
        <v>0</v>
      </c>
      <c r="CJ125" t="s">
        <v>5547</v>
      </c>
    </row>
    <row r="126" spans="1:88">
      <c r="A126" t="s">
        <v>492</v>
      </c>
      <c r="B126" t="s">
        <v>723</v>
      </c>
      <c r="C126" t="s">
        <v>116</v>
      </c>
      <c r="D126" t="s">
        <v>101</v>
      </c>
      <c r="E126" t="s">
        <v>102</v>
      </c>
      <c r="F126" t="s">
        <v>720</v>
      </c>
      <c r="G126" t="s">
        <v>305</v>
      </c>
      <c r="H126" t="s">
        <v>724</v>
      </c>
      <c r="I126" t="s">
        <v>725</v>
      </c>
      <c r="J126" t="s">
        <v>69</v>
      </c>
      <c r="N126" t="s">
        <v>113</v>
      </c>
      <c r="O126" t="s">
        <v>76</v>
      </c>
      <c r="P126" t="s">
        <v>193</v>
      </c>
      <c r="Q126" s="534">
        <v>0</v>
      </c>
      <c r="R126" t="s">
        <v>3264</v>
      </c>
      <c r="S126">
        <v>83</v>
      </c>
      <c r="T126">
        <v>83</v>
      </c>
      <c r="U126">
        <v>83</v>
      </c>
      <c r="V126">
        <v>83</v>
      </c>
      <c r="W126">
        <v>83</v>
      </c>
      <c r="X126">
        <v>83</v>
      </c>
      <c r="AH126">
        <v>0</v>
      </c>
      <c r="BP126" s="534">
        <v>78</v>
      </c>
      <c r="BQ126" s="725">
        <v>77</v>
      </c>
      <c r="BR126" t="s">
        <v>46</v>
      </c>
      <c r="BS126" t="s">
        <v>52</v>
      </c>
      <c r="BT126">
        <v>0</v>
      </c>
      <c r="BU126" t="s">
        <v>52</v>
      </c>
      <c r="BV126">
        <v>0</v>
      </c>
      <c r="BW126">
        <v>84</v>
      </c>
      <c r="BX126" t="s">
        <v>50</v>
      </c>
      <c r="BY126">
        <v>0</v>
      </c>
      <c r="BZ126">
        <v>0</v>
      </c>
      <c r="CA126">
        <v>0</v>
      </c>
      <c r="CB126">
        <v>0</v>
      </c>
      <c r="CC126" s="2146">
        <v>78</v>
      </c>
      <c r="CD126" s="2146" t="s">
        <v>46</v>
      </c>
      <c r="CE126" s="2146">
        <v>0</v>
      </c>
      <c r="CF126" s="2146">
        <v>0</v>
      </c>
      <c r="CG126" s="2146">
        <v>0</v>
      </c>
      <c r="CH126">
        <v>0</v>
      </c>
      <c r="CJ126" t="s">
        <v>5548</v>
      </c>
    </row>
    <row r="127" spans="1:88">
      <c r="A127" t="s">
        <v>492</v>
      </c>
      <c r="B127" t="s">
        <v>726</v>
      </c>
      <c r="C127" t="s">
        <v>116</v>
      </c>
      <c r="D127" t="s">
        <v>101</v>
      </c>
      <c r="E127" t="s">
        <v>102</v>
      </c>
      <c r="F127" t="s">
        <v>720</v>
      </c>
      <c r="G127" t="s">
        <v>727</v>
      </c>
      <c r="H127" t="s">
        <v>728</v>
      </c>
      <c r="I127" t="s">
        <v>729</v>
      </c>
      <c r="J127" t="s">
        <v>69</v>
      </c>
      <c r="N127" t="s">
        <v>113</v>
      </c>
      <c r="O127" t="s">
        <v>76</v>
      </c>
      <c r="P127" t="s">
        <v>193</v>
      </c>
      <c r="Q127" s="534">
        <v>0</v>
      </c>
      <c r="R127" t="s">
        <v>3264</v>
      </c>
      <c r="S127">
        <v>84</v>
      </c>
      <c r="T127">
        <v>84</v>
      </c>
      <c r="U127">
        <v>84</v>
      </c>
      <c r="V127">
        <v>84</v>
      </c>
      <c r="W127">
        <v>84</v>
      </c>
      <c r="X127">
        <v>84</v>
      </c>
      <c r="AH127">
        <v>0</v>
      </c>
      <c r="BP127" s="534">
        <v>81</v>
      </c>
      <c r="BQ127" s="725">
        <v>79</v>
      </c>
      <c r="BR127" t="s">
        <v>46</v>
      </c>
      <c r="BS127" t="s">
        <v>52</v>
      </c>
      <c r="BT127">
        <v>0</v>
      </c>
      <c r="BU127" t="s">
        <v>52</v>
      </c>
      <c r="BV127">
        <v>0</v>
      </c>
      <c r="BW127">
        <v>84</v>
      </c>
      <c r="BX127" t="s">
        <v>50</v>
      </c>
      <c r="BY127">
        <v>0</v>
      </c>
      <c r="BZ127">
        <v>0</v>
      </c>
      <c r="CA127">
        <v>0</v>
      </c>
      <c r="CB127">
        <v>0</v>
      </c>
      <c r="CC127" s="2146">
        <v>78</v>
      </c>
      <c r="CD127" s="2146" t="s">
        <v>46</v>
      </c>
      <c r="CE127" s="2146">
        <v>0</v>
      </c>
      <c r="CF127" s="2146">
        <v>0</v>
      </c>
      <c r="CG127" s="2146">
        <v>0</v>
      </c>
      <c r="CH127">
        <v>0</v>
      </c>
      <c r="CJ127" t="s">
        <v>5549</v>
      </c>
    </row>
    <row r="128" spans="1:88">
      <c r="A128" t="s">
        <v>492</v>
      </c>
      <c r="B128" t="s">
        <v>730</v>
      </c>
      <c r="C128" t="s">
        <v>116</v>
      </c>
      <c r="D128" t="s">
        <v>101</v>
      </c>
      <c r="E128" t="s">
        <v>102</v>
      </c>
      <c r="F128" t="s">
        <v>720</v>
      </c>
      <c r="G128" t="s">
        <v>731</v>
      </c>
      <c r="H128" t="s">
        <v>732</v>
      </c>
      <c r="I128" t="s">
        <v>733</v>
      </c>
      <c r="J128" t="s">
        <v>69</v>
      </c>
      <c r="N128" t="s">
        <v>113</v>
      </c>
      <c r="O128" t="s">
        <v>76</v>
      </c>
      <c r="P128" t="s">
        <v>193</v>
      </c>
      <c r="Q128" s="534">
        <v>0</v>
      </c>
      <c r="R128" t="s">
        <v>3264</v>
      </c>
      <c r="S128">
        <v>73</v>
      </c>
      <c r="T128">
        <v>73</v>
      </c>
      <c r="U128">
        <v>73</v>
      </c>
      <c r="V128">
        <v>73</v>
      </c>
      <c r="W128">
        <v>73</v>
      </c>
      <c r="X128">
        <v>73</v>
      </c>
      <c r="AH128">
        <v>0</v>
      </c>
      <c r="BP128" s="534">
        <v>73</v>
      </c>
      <c r="BQ128" s="725">
        <v>70</v>
      </c>
      <c r="BR128" t="s">
        <v>46</v>
      </c>
      <c r="BS128" t="s">
        <v>52</v>
      </c>
      <c r="BT128">
        <v>0</v>
      </c>
      <c r="BU128" t="s">
        <v>52</v>
      </c>
      <c r="BV128">
        <v>0</v>
      </c>
      <c r="BW128">
        <v>67</v>
      </c>
      <c r="BX128" t="s">
        <v>46</v>
      </c>
      <c r="BY128">
        <v>0</v>
      </c>
      <c r="BZ128">
        <v>0</v>
      </c>
      <c r="CA128">
        <v>0</v>
      </c>
      <c r="CB128">
        <v>0</v>
      </c>
      <c r="CC128" s="2146">
        <v>71</v>
      </c>
      <c r="CD128" s="2146" t="s">
        <v>46</v>
      </c>
      <c r="CE128" s="2146">
        <v>0</v>
      </c>
      <c r="CF128" s="2146">
        <v>0</v>
      </c>
      <c r="CG128" s="2146">
        <v>0</v>
      </c>
      <c r="CH128">
        <v>0</v>
      </c>
      <c r="CJ128" t="s">
        <v>5550</v>
      </c>
    </row>
    <row r="129" spans="1:88">
      <c r="A129" t="s">
        <v>492</v>
      </c>
      <c r="B129" t="s">
        <v>734</v>
      </c>
      <c r="C129" t="s">
        <v>116</v>
      </c>
      <c r="D129" t="s">
        <v>101</v>
      </c>
      <c r="E129" t="s">
        <v>102</v>
      </c>
      <c r="F129" t="s">
        <v>595</v>
      </c>
      <c r="G129" t="s">
        <v>309</v>
      </c>
      <c r="H129" t="s">
        <v>735</v>
      </c>
      <c r="I129" t="s">
        <v>736</v>
      </c>
      <c r="J129" t="s">
        <v>69</v>
      </c>
      <c r="N129" t="s">
        <v>192</v>
      </c>
      <c r="O129" t="s">
        <v>76</v>
      </c>
      <c r="P129" t="s">
        <v>193</v>
      </c>
      <c r="Q129" s="534">
        <v>0</v>
      </c>
      <c r="R129" t="s">
        <v>3264</v>
      </c>
      <c r="S129" t="s">
        <v>598</v>
      </c>
      <c r="T129" t="s">
        <v>3265</v>
      </c>
      <c r="U129" t="s">
        <v>3265</v>
      </c>
      <c r="V129" t="s">
        <v>3265</v>
      </c>
      <c r="W129" t="s">
        <v>3265</v>
      </c>
      <c r="X129" t="s">
        <v>3265</v>
      </c>
      <c r="AH129">
        <v>0</v>
      </c>
      <c r="BP129" s="534">
        <v>91</v>
      </c>
      <c r="BQ129" s="724">
        <v>94</v>
      </c>
      <c r="BR129" t="s">
        <v>52</v>
      </c>
      <c r="BS129" t="s">
        <v>52</v>
      </c>
      <c r="BT129">
        <v>0</v>
      </c>
      <c r="BU129" t="s">
        <v>52</v>
      </c>
      <c r="BV129">
        <v>0</v>
      </c>
      <c r="BW129">
        <v>94</v>
      </c>
      <c r="BX129" t="s">
        <v>2148</v>
      </c>
      <c r="BY129">
        <v>0</v>
      </c>
      <c r="BZ129">
        <v>0</v>
      </c>
      <c r="CA129">
        <v>0</v>
      </c>
      <c r="CB129">
        <v>0</v>
      </c>
      <c r="CC129" s="2146">
        <v>94</v>
      </c>
      <c r="CD129" s="2146" t="s">
        <v>50</v>
      </c>
      <c r="CE129" s="2146">
        <v>0</v>
      </c>
      <c r="CF129" s="2146">
        <v>0</v>
      </c>
      <c r="CG129" s="2146">
        <v>0</v>
      </c>
      <c r="CH129">
        <v>0</v>
      </c>
      <c r="CJ129" t="s">
        <v>5551</v>
      </c>
    </row>
    <row r="130" spans="1:88">
      <c r="A130" t="s">
        <v>492</v>
      </c>
      <c r="B130" t="s">
        <v>737</v>
      </c>
      <c r="C130" t="s">
        <v>116</v>
      </c>
      <c r="D130" t="s">
        <v>101</v>
      </c>
      <c r="E130" t="s">
        <v>102</v>
      </c>
      <c r="F130" t="s">
        <v>703</v>
      </c>
      <c r="G130" t="s">
        <v>738</v>
      </c>
      <c r="H130" t="s">
        <v>739</v>
      </c>
      <c r="I130" t="s">
        <v>740</v>
      </c>
      <c r="J130" t="s">
        <v>69</v>
      </c>
      <c r="N130" t="s">
        <v>182</v>
      </c>
      <c r="O130" t="s">
        <v>48</v>
      </c>
      <c r="P130" t="s">
        <v>603</v>
      </c>
      <c r="Q130" s="534">
        <v>0</v>
      </c>
      <c r="R130" t="s">
        <v>3263</v>
      </c>
      <c r="S130">
        <v>206</v>
      </c>
      <c r="T130">
        <v>194</v>
      </c>
      <c r="U130">
        <v>183</v>
      </c>
      <c r="V130">
        <v>172</v>
      </c>
      <c r="W130">
        <v>161</v>
      </c>
      <c r="X130">
        <v>150</v>
      </c>
      <c r="AH130">
        <v>0</v>
      </c>
      <c r="BP130" s="534">
        <v>213.6</v>
      </c>
      <c r="BQ130" s="725">
        <v>225.2</v>
      </c>
      <c r="BR130" t="s">
        <v>46</v>
      </c>
      <c r="BS130" t="s">
        <v>52</v>
      </c>
      <c r="BT130">
        <v>0</v>
      </c>
      <c r="BU130" t="s">
        <v>52</v>
      </c>
      <c r="BV130">
        <v>0</v>
      </c>
      <c r="BW130">
        <v>187.7</v>
      </c>
      <c r="BX130" t="s">
        <v>46</v>
      </c>
      <c r="BY130">
        <v>0</v>
      </c>
      <c r="BZ130">
        <v>0</v>
      </c>
      <c r="CA130">
        <v>0</v>
      </c>
      <c r="CB130">
        <v>0</v>
      </c>
      <c r="CC130" s="2146">
        <v>164</v>
      </c>
      <c r="CD130" s="2146" t="s">
        <v>50</v>
      </c>
      <c r="CE130" s="2146">
        <v>0</v>
      </c>
      <c r="CF130" s="2146">
        <v>0</v>
      </c>
      <c r="CG130" s="2146">
        <v>0</v>
      </c>
      <c r="CH130">
        <v>0</v>
      </c>
      <c r="CJ130" t="s">
        <v>5552</v>
      </c>
    </row>
    <row r="131" spans="1:88" ht="25.5">
      <c r="A131" t="s">
        <v>492</v>
      </c>
      <c r="B131" t="s">
        <v>741</v>
      </c>
      <c r="C131" t="s">
        <v>116</v>
      </c>
      <c r="D131" t="s">
        <v>101</v>
      </c>
      <c r="E131" t="s">
        <v>102</v>
      </c>
      <c r="F131" t="s">
        <v>703</v>
      </c>
      <c r="G131" t="s">
        <v>742</v>
      </c>
      <c r="H131" t="s">
        <v>743</v>
      </c>
      <c r="I131" t="s">
        <v>744</v>
      </c>
      <c r="J131" t="s">
        <v>69</v>
      </c>
      <c r="N131" t="s">
        <v>175</v>
      </c>
      <c r="O131" t="s">
        <v>281</v>
      </c>
      <c r="P131" t="s">
        <v>3201</v>
      </c>
      <c r="Q131" s="534" t="s">
        <v>51</v>
      </c>
      <c r="S131" t="s">
        <v>598</v>
      </c>
      <c r="T131" t="s">
        <v>3266</v>
      </c>
      <c r="U131" t="s">
        <v>3266</v>
      </c>
      <c r="V131" t="s">
        <v>3266</v>
      </c>
      <c r="W131" t="s">
        <v>3266</v>
      </c>
      <c r="X131" t="s">
        <v>3266</v>
      </c>
      <c r="AH131">
        <v>0</v>
      </c>
      <c r="BP131" s="534" t="s">
        <v>2797</v>
      </c>
      <c r="BQ131" s="724" t="s">
        <v>3285</v>
      </c>
      <c r="BR131" t="s">
        <v>50</v>
      </c>
      <c r="BS131" t="s">
        <v>52</v>
      </c>
      <c r="BT131">
        <v>0</v>
      </c>
      <c r="BU131" t="s">
        <v>52</v>
      </c>
      <c r="BV131">
        <v>0</v>
      </c>
      <c r="BW131" t="s">
        <v>3286</v>
      </c>
      <c r="BX131" t="s">
        <v>50</v>
      </c>
      <c r="BY131">
        <v>0</v>
      </c>
      <c r="BZ131">
        <v>0</v>
      </c>
      <c r="CA131">
        <v>0</v>
      </c>
      <c r="CB131">
        <v>0</v>
      </c>
      <c r="CC131" s="2146" t="s">
        <v>13448</v>
      </c>
      <c r="CD131" s="2146" t="s">
        <v>50</v>
      </c>
      <c r="CE131" s="2146">
        <v>0</v>
      </c>
      <c r="CF131" s="2146">
        <v>0</v>
      </c>
      <c r="CG131" s="2146">
        <v>0</v>
      </c>
      <c r="CH131">
        <v>0</v>
      </c>
      <c r="CJ131" t="s">
        <v>5553</v>
      </c>
    </row>
    <row r="132" spans="1:88">
      <c r="A132" t="s">
        <v>492</v>
      </c>
      <c r="B132" t="s">
        <v>745</v>
      </c>
      <c r="C132" t="s">
        <v>116</v>
      </c>
      <c r="D132" t="s">
        <v>101</v>
      </c>
      <c r="E132" t="s">
        <v>102</v>
      </c>
      <c r="F132" t="s">
        <v>746</v>
      </c>
      <c r="G132" t="s">
        <v>747</v>
      </c>
      <c r="H132" t="s">
        <v>748</v>
      </c>
      <c r="I132" t="s">
        <v>749</v>
      </c>
      <c r="J132" t="s">
        <v>5408</v>
      </c>
      <c r="K132" t="s">
        <v>45</v>
      </c>
      <c r="M132" t="s">
        <v>46</v>
      </c>
      <c r="N132" t="s">
        <v>113</v>
      </c>
      <c r="O132" t="s">
        <v>750</v>
      </c>
      <c r="P132" t="s">
        <v>751</v>
      </c>
      <c r="Q132" s="534">
        <v>3</v>
      </c>
      <c r="S132">
        <v>0</v>
      </c>
      <c r="T132" t="s">
        <v>497</v>
      </c>
      <c r="U132" t="s">
        <v>497</v>
      </c>
      <c r="V132" t="s">
        <v>497</v>
      </c>
      <c r="W132" t="s">
        <v>497</v>
      </c>
      <c r="X132">
        <v>5.4930000000000003</v>
      </c>
      <c r="AD132" t="s">
        <v>50</v>
      </c>
      <c r="AH132">
        <v>0</v>
      </c>
      <c r="AK132" t="s">
        <v>50</v>
      </c>
      <c r="AL132" t="s">
        <v>50</v>
      </c>
      <c r="AM132" t="s">
        <v>50</v>
      </c>
      <c r="AN132" t="s">
        <v>497</v>
      </c>
      <c r="AO132" t="s">
        <v>497</v>
      </c>
      <c r="AP132" t="s">
        <v>687</v>
      </c>
      <c r="AQ132" t="s">
        <v>687</v>
      </c>
      <c r="AR132" t="s">
        <v>687</v>
      </c>
      <c r="AS132" t="s">
        <v>497</v>
      </c>
      <c r="AT132" t="s">
        <v>497</v>
      </c>
      <c r="AU132" t="s">
        <v>687</v>
      </c>
      <c r="AV132" t="s">
        <v>687</v>
      </c>
      <c r="AW132" t="s">
        <v>687</v>
      </c>
      <c r="BH132" t="s">
        <v>752</v>
      </c>
      <c r="BI132">
        <v>1.25</v>
      </c>
      <c r="BN132">
        <v>1</v>
      </c>
      <c r="BO132" t="s">
        <v>51</v>
      </c>
      <c r="BP132" s="534" t="s">
        <v>2797</v>
      </c>
      <c r="BQ132" s="724" t="s">
        <v>2797</v>
      </c>
      <c r="BR132" t="s">
        <v>52</v>
      </c>
      <c r="BS132" t="s">
        <v>52</v>
      </c>
      <c r="BT132">
        <v>0</v>
      </c>
      <c r="BU132" t="s">
        <v>52</v>
      </c>
      <c r="BV132">
        <v>0</v>
      </c>
      <c r="BW132" t="s">
        <v>2797</v>
      </c>
      <c r="BX132" t="s">
        <v>2148</v>
      </c>
      <c r="BY132">
        <v>0</v>
      </c>
      <c r="BZ132">
        <v>0</v>
      </c>
      <c r="CA132">
        <v>0</v>
      </c>
      <c r="CB132">
        <v>0</v>
      </c>
      <c r="CC132" s="2146" t="s">
        <v>13449</v>
      </c>
      <c r="CD132" s="2146" t="s">
        <v>2148</v>
      </c>
      <c r="CE132" s="2146">
        <v>0</v>
      </c>
      <c r="CF132" s="2146">
        <v>0</v>
      </c>
      <c r="CG132" s="2146">
        <v>0</v>
      </c>
      <c r="CH132">
        <v>0</v>
      </c>
      <c r="CJ132" t="s">
        <v>5554</v>
      </c>
    </row>
    <row r="133" spans="1:88">
      <c r="A133" t="s">
        <v>753</v>
      </c>
      <c r="B133" t="s">
        <v>754</v>
      </c>
      <c r="C133" t="s">
        <v>39</v>
      </c>
      <c r="D133" t="s">
        <v>40</v>
      </c>
      <c r="E133" t="s">
        <v>41</v>
      </c>
      <c r="F133" t="s">
        <v>755</v>
      </c>
      <c r="G133" t="s">
        <v>315</v>
      </c>
      <c r="H133" t="s">
        <v>756</v>
      </c>
      <c r="I133" t="s">
        <v>757</v>
      </c>
      <c r="J133" t="s">
        <v>5406</v>
      </c>
      <c r="K133" t="s">
        <v>45</v>
      </c>
      <c r="N133" t="s">
        <v>91</v>
      </c>
      <c r="O133" t="s">
        <v>48</v>
      </c>
      <c r="P133" t="s">
        <v>92</v>
      </c>
      <c r="Q133" s="534">
        <v>0</v>
      </c>
      <c r="R133" t="s">
        <v>3263</v>
      </c>
      <c r="S133">
        <v>342</v>
      </c>
      <c r="T133">
        <v>342</v>
      </c>
      <c r="U133">
        <v>342</v>
      </c>
      <c r="V133">
        <v>342</v>
      </c>
      <c r="W133">
        <v>342</v>
      </c>
      <c r="X133">
        <v>342</v>
      </c>
      <c r="AE133" t="s">
        <v>50</v>
      </c>
      <c r="AH133">
        <v>0</v>
      </c>
      <c r="AM133" t="s">
        <v>50</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51</v>
      </c>
      <c r="BP133" s="534">
        <v>294</v>
      </c>
      <c r="BQ133" s="725">
        <v>219</v>
      </c>
      <c r="BR133" t="s">
        <v>50</v>
      </c>
      <c r="BS133" t="s">
        <v>52</v>
      </c>
      <c r="BT133">
        <v>0</v>
      </c>
      <c r="BU133" t="s">
        <v>52</v>
      </c>
      <c r="BV133">
        <v>0</v>
      </c>
      <c r="BW133">
        <v>298</v>
      </c>
      <c r="BX133" t="s">
        <v>50</v>
      </c>
      <c r="BY133">
        <v>0</v>
      </c>
      <c r="BZ133">
        <v>0</v>
      </c>
      <c r="CA133">
        <v>0</v>
      </c>
      <c r="CB133">
        <v>0</v>
      </c>
      <c r="CC133" s="2146">
        <v>347</v>
      </c>
      <c r="CD133" s="2146" t="s">
        <v>2148</v>
      </c>
      <c r="CE133" s="2146">
        <v>0</v>
      </c>
      <c r="CF133" s="2146">
        <v>0</v>
      </c>
      <c r="CG133" s="2146">
        <v>0</v>
      </c>
      <c r="CH133">
        <v>0</v>
      </c>
      <c r="CJ133" t="s">
        <v>5555</v>
      </c>
    </row>
    <row r="134" spans="1:88">
      <c r="A134" t="s">
        <v>753</v>
      </c>
      <c r="B134" t="s">
        <v>758</v>
      </c>
      <c r="C134" t="s">
        <v>39</v>
      </c>
      <c r="D134" t="s">
        <v>40</v>
      </c>
      <c r="E134" t="s">
        <v>41</v>
      </c>
      <c r="F134" t="s">
        <v>755</v>
      </c>
      <c r="G134" t="s">
        <v>319</v>
      </c>
      <c r="H134" t="s">
        <v>759</v>
      </c>
      <c r="I134" t="s">
        <v>760</v>
      </c>
      <c r="J134" t="s">
        <v>5408</v>
      </c>
      <c r="K134" t="s">
        <v>45</v>
      </c>
      <c r="N134" t="s">
        <v>75</v>
      </c>
      <c r="O134" t="s">
        <v>76</v>
      </c>
      <c r="P134" t="s">
        <v>77</v>
      </c>
      <c r="Q134" s="534">
        <v>2</v>
      </c>
      <c r="R134" t="s">
        <v>3264</v>
      </c>
      <c r="S134">
        <v>99.98</v>
      </c>
      <c r="T134">
        <v>99.98</v>
      </c>
      <c r="U134">
        <v>99.98</v>
      </c>
      <c r="V134">
        <v>100</v>
      </c>
      <c r="W134">
        <v>100</v>
      </c>
      <c r="X134">
        <v>100</v>
      </c>
      <c r="Y134" t="s">
        <v>50</v>
      </c>
      <c r="AE134" t="s">
        <v>50</v>
      </c>
      <c r="AH134">
        <v>0</v>
      </c>
      <c r="AI134" t="s">
        <v>50</v>
      </c>
      <c r="AJ134" t="s">
        <v>50</v>
      </c>
      <c r="AK134" t="s">
        <v>50</v>
      </c>
      <c r="AL134" t="s">
        <v>50</v>
      </c>
      <c r="AM134" t="s">
        <v>50</v>
      </c>
      <c r="AN134">
        <v>0</v>
      </c>
      <c r="AO134">
        <v>0</v>
      </c>
      <c r="AP134">
        <v>0</v>
      </c>
      <c r="AQ134">
        <v>0</v>
      </c>
      <c r="AR134">
        <v>0</v>
      </c>
      <c r="AS134">
        <v>99.95</v>
      </c>
      <c r="AT134">
        <v>99.95</v>
      </c>
      <c r="AU134">
        <v>99.95</v>
      </c>
      <c r="AV134">
        <v>99.95</v>
      </c>
      <c r="AW134">
        <v>99.95</v>
      </c>
      <c r="BH134">
        <v>0.31941999999999998</v>
      </c>
      <c r="BN134">
        <v>100</v>
      </c>
      <c r="BO134" t="s">
        <v>51</v>
      </c>
      <c r="BP134" s="534">
        <v>99.97</v>
      </c>
      <c r="BQ134" s="726">
        <v>99.94</v>
      </c>
      <c r="BR134" t="s">
        <v>46</v>
      </c>
      <c r="BS134" t="s">
        <v>52</v>
      </c>
      <c r="BT134">
        <v>0</v>
      </c>
      <c r="BU134" t="s">
        <v>5415</v>
      </c>
      <c r="BV134">
        <v>-0.31941999999999998</v>
      </c>
      <c r="BW134">
        <v>99.99</v>
      </c>
      <c r="BX134" t="s">
        <v>50</v>
      </c>
      <c r="BY134">
        <v>0</v>
      </c>
      <c r="BZ134">
        <v>0</v>
      </c>
      <c r="CA134">
        <v>0</v>
      </c>
      <c r="CB134">
        <v>0</v>
      </c>
      <c r="CC134" s="2146">
        <v>99.93</v>
      </c>
      <c r="CD134" s="2146" t="s">
        <v>46</v>
      </c>
      <c r="CE134" s="2146">
        <v>0</v>
      </c>
      <c r="CF134" s="2146">
        <v>0</v>
      </c>
      <c r="CG134" s="2146" t="s">
        <v>13444</v>
      </c>
      <c r="CH134">
        <v>-0.31940000000000002</v>
      </c>
      <c r="CJ134" t="s">
        <v>5556</v>
      </c>
    </row>
    <row r="135" spans="1:88">
      <c r="A135" t="s">
        <v>753</v>
      </c>
      <c r="B135" t="s">
        <v>761</v>
      </c>
      <c r="C135" t="s">
        <v>39</v>
      </c>
      <c r="D135" t="s">
        <v>40</v>
      </c>
      <c r="E135" t="s">
        <v>41</v>
      </c>
      <c r="F135" t="s">
        <v>755</v>
      </c>
      <c r="G135" t="s">
        <v>327</v>
      </c>
      <c r="H135" t="s">
        <v>762</v>
      </c>
      <c r="I135" t="s">
        <v>763</v>
      </c>
      <c r="J135" t="s">
        <v>5406</v>
      </c>
      <c r="K135" t="s">
        <v>45</v>
      </c>
      <c r="N135" t="s">
        <v>24</v>
      </c>
      <c r="O135" t="s">
        <v>48</v>
      </c>
      <c r="P135" t="s">
        <v>3203</v>
      </c>
      <c r="Q135" s="534">
        <v>3</v>
      </c>
      <c r="R135" t="s">
        <v>3263</v>
      </c>
      <c r="S135">
        <v>0.434</v>
      </c>
      <c r="T135">
        <v>0.42899999999999999</v>
      </c>
      <c r="U135">
        <v>0.42499999999999999</v>
      </c>
      <c r="V135">
        <v>0.42099999999999999</v>
      </c>
      <c r="W135">
        <v>0.41699999999999998</v>
      </c>
      <c r="X135">
        <v>0.41299999999999998</v>
      </c>
      <c r="Z135" t="s">
        <v>50</v>
      </c>
      <c r="AE135" t="s">
        <v>50</v>
      </c>
      <c r="AH135">
        <v>0</v>
      </c>
      <c r="AM135" t="s">
        <v>50</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764</v>
      </c>
      <c r="BP135" s="534">
        <v>0.84099999999999997</v>
      </c>
      <c r="BQ135" s="736">
        <v>0.56999999999999995</v>
      </c>
      <c r="BR135" t="s">
        <v>46</v>
      </c>
      <c r="BS135" t="s">
        <v>52</v>
      </c>
      <c r="BT135">
        <v>0</v>
      </c>
      <c r="BU135" t="s">
        <v>52</v>
      </c>
      <c r="BV135">
        <v>0</v>
      </c>
      <c r="BW135">
        <v>0.67</v>
      </c>
      <c r="BX135" t="s">
        <v>46</v>
      </c>
      <c r="BY135">
        <v>0</v>
      </c>
      <c r="BZ135">
        <v>0</v>
      </c>
      <c r="CA135">
        <v>0</v>
      </c>
      <c r="CB135">
        <v>0</v>
      </c>
      <c r="CC135" s="2146">
        <v>0.54900000000000004</v>
      </c>
      <c r="CD135" s="2146" t="s">
        <v>46</v>
      </c>
      <c r="CE135" s="2146">
        <v>0</v>
      </c>
      <c r="CF135" s="2146">
        <v>0</v>
      </c>
      <c r="CG135" s="2146">
        <v>0</v>
      </c>
      <c r="CH135">
        <v>0</v>
      </c>
      <c r="CJ135" t="s">
        <v>5557</v>
      </c>
    </row>
    <row r="136" spans="1:88">
      <c r="A136" t="s">
        <v>753</v>
      </c>
      <c r="B136" t="s">
        <v>765</v>
      </c>
      <c r="C136" t="s">
        <v>39</v>
      </c>
      <c r="D136" t="s">
        <v>40</v>
      </c>
      <c r="E136" t="s">
        <v>41</v>
      </c>
      <c r="F136" t="s">
        <v>755</v>
      </c>
      <c r="G136" t="s">
        <v>444</v>
      </c>
      <c r="H136" t="s">
        <v>766</v>
      </c>
      <c r="I136" t="s">
        <v>767</v>
      </c>
      <c r="J136" t="s">
        <v>69</v>
      </c>
      <c r="N136" t="s">
        <v>143</v>
      </c>
      <c r="O136" t="s">
        <v>48</v>
      </c>
      <c r="P136" t="s">
        <v>3204</v>
      </c>
      <c r="Q136" s="534">
        <v>0</v>
      </c>
      <c r="R136" t="s">
        <v>3263</v>
      </c>
      <c r="S136">
        <v>0</v>
      </c>
      <c r="T136">
        <v>0</v>
      </c>
      <c r="U136">
        <v>0</v>
      </c>
      <c r="V136">
        <v>0</v>
      </c>
      <c r="W136">
        <v>0</v>
      </c>
      <c r="X136">
        <v>0</v>
      </c>
      <c r="AH136">
        <v>0</v>
      </c>
      <c r="BP136" s="534">
        <v>0</v>
      </c>
      <c r="BQ136" s="725">
        <v>0</v>
      </c>
      <c r="BR136" t="s">
        <v>50</v>
      </c>
      <c r="BS136" t="s">
        <v>52</v>
      </c>
      <c r="BT136">
        <v>0</v>
      </c>
      <c r="BU136" t="s">
        <v>52</v>
      </c>
      <c r="BV136">
        <v>0</v>
      </c>
      <c r="BW136">
        <v>0</v>
      </c>
      <c r="BX136" t="s">
        <v>50</v>
      </c>
      <c r="BY136">
        <v>0</v>
      </c>
      <c r="BZ136">
        <v>0</v>
      </c>
      <c r="CA136">
        <v>0</v>
      </c>
      <c r="CB136">
        <v>0</v>
      </c>
      <c r="CC136" s="2146">
        <v>0</v>
      </c>
      <c r="CD136" s="2146" t="s">
        <v>50</v>
      </c>
      <c r="CE136" s="2146">
        <v>0</v>
      </c>
      <c r="CF136" s="2146">
        <v>0</v>
      </c>
      <c r="CG136" s="2146">
        <v>0</v>
      </c>
      <c r="CH136">
        <v>0</v>
      </c>
      <c r="CJ136" t="s">
        <v>5558</v>
      </c>
    </row>
    <row r="137" spans="1:88">
      <c r="A137" t="s">
        <v>753</v>
      </c>
      <c r="B137" t="s">
        <v>768</v>
      </c>
      <c r="C137" t="s">
        <v>39</v>
      </c>
      <c r="D137" t="s">
        <v>40</v>
      </c>
      <c r="E137" t="s">
        <v>41</v>
      </c>
      <c r="F137" t="s">
        <v>769</v>
      </c>
      <c r="G137" t="s">
        <v>332</v>
      </c>
      <c r="H137" t="s">
        <v>770</v>
      </c>
      <c r="I137" t="s">
        <v>771</v>
      </c>
      <c r="J137" t="s">
        <v>5406</v>
      </c>
      <c r="K137" t="s">
        <v>45</v>
      </c>
      <c r="N137" t="s">
        <v>47</v>
      </c>
      <c r="O137" t="s">
        <v>48</v>
      </c>
      <c r="P137" t="s">
        <v>49</v>
      </c>
      <c r="Q137" s="534">
        <v>2</v>
      </c>
      <c r="R137" t="s">
        <v>3263</v>
      </c>
      <c r="S137">
        <v>30</v>
      </c>
      <c r="T137">
        <v>30</v>
      </c>
      <c r="U137">
        <v>29.95</v>
      </c>
      <c r="V137">
        <v>29.9</v>
      </c>
      <c r="W137">
        <v>29.85</v>
      </c>
      <c r="X137">
        <v>29.8</v>
      </c>
      <c r="AE137" t="s">
        <v>50</v>
      </c>
      <c r="AH137">
        <v>0</v>
      </c>
      <c r="AM137" t="s">
        <v>50</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51</v>
      </c>
      <c r="BP137" s="534">
        <v>28.85</v>
      </c>
      <c r="BQ137" s="726">
        <v>28.23</v>
      </c>
      <c r="BR137" t="s">
        <v>50</v>
      </c>
      <c r="BS137" t="s">
        <v>52</v>
      </c>
      <c r="BT137">
        <v>0</v>
      </c>
      <c r="BU137" t="s">
        <v>52</v>
      </c>
      <c r="BV137">
        <v>0</v>
      </c>
      <c r="BW137">
        <v>30.37</v>
      </c>
      <c r="BX137" t="s">
        <v>46</v>
      </c>
      <c r="BY137">
        <v>0</v>
      </c>
      <c r="BZ137">
        <v>0</v>
      </c>
      <c r="CA137">
        <v>0</v>
      </c>
      <c r="CB137">
        <v>0</v>
      </c>
      <c r="CC137" s="2146">
        <v>32.869999999999997</v>
      </c>
      <c r="CD137" s="2146" t="s">
        <v>46</v>
      </c>
      <c r="CE137" s="2146">
        <v>0</v>
      </c>
      <c r="CF137" s="2146">
        <v>0</v>
      </c>
      <c r="CG137" s="2146">
        <v>0</v>
      </c>
      <c r="CH137">
        <v>0</v>
      </c>
      <c r="CJ137" t="s">
        <v>5559</v>
      </c>
    </row>
    <row r="138" spans="1:88" ht="25.5">
      <c r="A138" t="s">
        <v>753</v>
      </c>
      <c r="B138" t="s">
        <v>772</v>
      </c>
      <c r="C138" t="s">
        <v>39</v>
      </c>
      <c r="D138" t="s">
        <v>40</v>
      </c>
      <c r="E138" t="s">
        <v>41</v>
      </c>
      <c r="F138" t="s">
        <v>773</v>
      </c>
      <c r="G138" t="s">
        <v>338</v>
      </c>
      <c r="H138" t="s">
        <v>774</v>
      </c>
      <c r="I138" t="s">
        <v>775</v>
      </c>
      <c r="J138" t="s">
        <v>5406</v>
      </c>
      <c r="K138" t="s">
        <v>45</v>
      </c>
      <c r="M138" t="s">
        <v>46</v>
      </c>
      <c r="N138" t="s">
        <v>86</v>
      </c>
      <c r="O138" t="s">
        <v>119</v>
      </c>
      <c r="P138" t="s">
        <v>539</v>
      </c>
      <c r="Q138" s="534" t="s">
        <v>540</v>
      </c>
      <c r="R138" t="s">
        <v>3263</v>
      </c>
      <c r="S138">
        <v>0.20833333333333334</v>
      </c>
      <c r="T138">
        <v>0.20833333333333334</v>
      </c>
      <c r="U138">
        <v>0.20833333333333334</v>
      </c>
      <c r="V138">
        <v>0.20833333333333334</v>
      </c>
      <c r="W138">
        <v>0.20833333333333334</v>
      </c>
      <c r="X138">
        <v>0.20833333333333334</v>
      </c>
      <c r="AA138" t="s">
        <v>50</v>
      </c>
      <c r="AE138" t="s">
        <v>50</v>
      </c>
      <c r="AH138">
        <v>0</v>
      </c>
      <c r="AM138" t="s">
        <v>50</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51</v>
      </c>
      <c r="BP138" s="534" t="s">
        <v>3287</v>
      </c>
      <c r="BQ138" s="735" t="s">
        <v>3288</v>
      </c>
      <c r="BR138" t="s">
        <v>50</v>
      </c>
      <c r="BS138" t="s">
        <v>52</v>
      </c>
      <c r="BT138">
        <v>0</v>
      </c>
      <c r="BU138" t="s">
        <v>52</v>
      </c>
      <c r="BV138">
        <v>0</v>
      </c>
      <c r="BW138" t="s">
        <v>5560</v>
      </c>
      <c r="BX138" t="s">
        <v>50</v>
      </c>
      <c r="BY138">
        <v>0</v>
      </c>
      <c r="BZ138">
        <v>0</v>
      </c>
      <c r="CA138">
        <v>0</v>
      </c>
      <c r="CB138">
        <v>0</v>
      </c>
      <c r="CC138" s="2146" t="s">
        <v>13450</v>
      </c>
      <c r="CD138" s="2146" t="s">
        <v>50</v>
      </c>
      <c r="CE138" s="2146">
        <v>0</v>
      </c>
      <c r="CF138" s="2146">
        <v>0</v>
      </c>
      <c r="CG138" s="2146">
        <v>0</v>
      </c>
      <c r="CH138">
        <v>0</v>
      </c>
      <c r="CJ138" t="s">
        <v>5561</v>
      </c>
    </row>
    <row r="139" spans="1:88">
      <c r="A139" t="s">
        <v>753</v>
      </c>
      <c r="B139" t="s">
        <v>776</v>
      </c>
      <c r="C139" t="s">
        <v>39</v>
      </c>
      <c r="D139" t="s">
        <v>40</v>
      </c>
      <c r="E139" t="s">
        <v>41</v>
      </c>
      <c r="F139" t="s">
        <v>777</v>
      </c>
      <c r="G139" t="s">
        <v>348</v>
      </c>
      <c r="H139" t="s">
        <v>778</v>
      </c>
      <c r="I139" t="s">
        <v>779</v>
      </c>
      <c r="J139" t="s">
        <v>5408</v>
      </c>
      <c r="K139" t="s">
        <v>45</v>
      </c>
      <c r="N139" t="s">
        <v>169</v>
      </c>
      <c r="O139" t="s">
        <v>76</v>
      </c>
      <c r="P139" t="s">
        <v>780</v>
      </c>
      <c r="Q139" s="534">
        <v>0</v>
      </c>
      <c r="R139" t="s">
        <v>3264</v>
      </c>
      <c r="S139" t="s">
        <v>497</v>
      </c>
      <c r="T139">
        <v>0</v>
      </c>
      <c r="U139">
        <v>25</v>
      </c>
      <c r="V139">
        <v>50</v>
      </c>
      <c r="W139">
        <v>75</v>
      </c>
      <c r="X139">
        <v>90</v>
      </c>
      <c r="AF139" t="s">
        <v>50</v>
      </c>
      <c r="AH139">
        <v>0</v>
      </c>
      <c r="AM139" t="s">
        <v>50</v>
      </c>
      <c r="AR139">
        <v>0</v>
      </c>
      <c r="AW139">
        <v>90</v>
      </c>
      <c r="BH139">
        <v>4.4095000000000002E-2</v>
      </c>
      <c r="BN139">
        <v>0.1</v>
      </c>
      <c r="BO139" t="s">
        <v>781</v>
      </c>
      <c r="BP139" s="534" t="s">
        <v>2890</v>
      </c>
      <c r="BQ139" s="725">
        <v>20</v>
      </c>
      <c r="BR139" t="s">
        <v>50</v>
      </c>
      <c r="BS139" t="s">
        <v>52</v>
      </c>
      <c r="BT139">
        <v>0</v>
      </c>
      <c r="BU139" t="s">
        <v>52</v>
      </c>
      <c r="BV139">
        <v>0</v>
      </c>
      <c r="BW139">
        <v>40</v>
      </c>
      <c r="BX139" t="s">
        <v>50</v>
      </c>
      <c r="BY139">
        <v>0</v>
      </c>
      <c r="BZ139">
        <v>0</v>
      </c>
      <c r="CA139">
        <v>0</v>
      </c>
      <c r="CB139">
        <v>0</v>
      </c>
      <c r="CC139" s="2146">
        <v>60</v>
      </c>
      <c r="CD139" s="2146" t="s">
        <v>50</v>
      </c>
      <c r="CE139" s="2146">
        <v>0</v>
      </c>
      <c r="CF139" s="2146">
        <v>0</v>
      </c>
      <c r="CG139" s="2146">
        <v>0</v>
      </c>
      <c r="CH139">
        <v>0</v>
      </c>
      <c r="CJ139" t="s">
        <v>5562</v>
      </c>
    </row>
    <row r="140" spans="1:88" ht="25.5">
      <c r="A140" t="s">
        <v>753</v>
      </c>
      <c r="B140" t="s">
        <v>782</v>
      </c>
      <c r="C140" t="s">
        <v>39</v>
      </c>
      <c r="D140" t="s">
        <v>40</v>
      </c>
      <c r="E140" t="s">
        <v>41</v>
      </c>
      <c r="F140" t="s">
        <v>777</v>
      </c>
      <c r="G140" t="s">
        <v>783</v>
      </c>
      <c r="H140" t="s">
        <v>784</v>
      </c>
      <c r="I140" t="s">
        <v>785</v>
      </c>
      <c r="J140" t="s">
        <v>5406</v>
      </c>
      <c r="K140" t="s">
        <v>45</v>
      </c>
      <c r="M140" t="s">
        <v>46</v>
      </c>
      <c r="N140" t="s">
        <v>175</v>
      </c>
      <c r="O140" t="s">
        <v>281</v>
      </c>
      <c r="P140" t="s">
        <v>786</v>
      </c>
      <c r="Q140" s="534" t="s">
        <v>51</v>
      </c>
      <c r="V140" t="s">
        <v>787</v>
      </c>
      <c r="AF140" t="s">
        <v>50</v>
      </c>
      <c r="AH140">
        <v>0</v>
      </c>
      <c r="AM140" t="s">
        <v>50</v>
      </c>
      <c r="AR140" t="s">
        <v>788</v>
      </c>
      <c r="BC140" t="s">
        <v>788</v>
      </c>
      <c r="BH140">
        <v>9.8379999999999995E-3</v>
      </c>
      <c r="BL140">
        <v>7.1520000000000004E-3</v>
      </c>
      <c r="BN140">
        <v>1</v>
      </c>
      <c r="BO140" t="s">
        <v>51</v>
      </c>
      <c r="BP140" s="534" t="s">
        <v>2890</v>
      </c>
      <c r="BQ140" s="724" t="s">
        <v>3289</v>
      </c>
      <c r="BR140" t="s">
        <v>50</v>
      </c>
      <c r="BS140" t="s">
        <v>52</v>
      </c>
      <c r="BT140">
        <v>0</v>
      </c>
      <c r="BU140" t="s">
        <v>52</v>
      </c>
      <c r="BV140">
        <v>0</v>
      </c>
      <c r="BW140" t="s">
        <v>3289</v>
      </c>
      <c r="BX140" t="s">
        <v>50</v>
      </c>
      <c r="BY140">
        <v>0</v>
      </c>
      <c r="BZ140">
        <v>0</v>
      </c>
      <c r="CA140">
        <v>0</v>
      </c>
      <c r="CB140">
        <v>0</v>
      </c>
      <c r="CC140" s="2146" t="s">
        <v>13451</v>
      </c>
      <c r="CD140" s="2146" t="s">
        <v>50</v>
      </c>
      <c r="CE140" s="2146">
        <v>0</v>
      </c>
      <c r="CF140" s="2146">
        <v>0</v>
      </c>
      <c r="CG140" s="2146">
        <v>0</v>
      </c>
      <c r="CH140">
        <v>0</v>
      </c>
      <c r="CJ140" t="s">
        <v>5563</v>
      </c>
    </row>
    <row r="141" spans="1:88">
      <c r="A141" t="s">
        <v>753</v>
      </c>
      <c r="B141" t="s">
        <v>789</v>
      </c>
      <c r="C141" t="s">
        <v>39</v>
      </c>
      <c r="D141" t="s">
        <v>40</v>
      </c>
      <c r="E141" t="s">
        <v>41</v>
      </c>
      <c r="F141" t="s">
        <v>777</v>
      </c>
      <c r="G141" t="s">
        <v>790</v>
      </c>
      <c r="H141" t="s">
        <v>791</v>
      </c>
      <c r="I141" t="s">
        <v>792</v>
      </c>
      <c r="J141" t="s">
        <v>69</v>
      </c>
      <c r="N141" t="s">
        <v>182</v>
      </c>
      <c r="O141" t="s">
        <v>76</v>
      </c>
      <c r="P141" t="s">
        <v>3205</v>
      </c>
      <c r="Q141" s="534">
        <v>0</v>
      </c>
      <c r="R141" t="s">
        <v>3264</v>
      </c>
      <c r="S141">
        <v>0</v>
      </c>
      <c r="T141">
        <v>2</v>
      </c>
      <c r="U141">
        <v>4</v>
      </c>
      <c r="V141">
        <v>6</v>
      </c>
      <c r="W141">
        <v>8</v>
      </c>
      <c r="X141">
        <v>10</v>
      </c>
      <c r="AH141">
        <v>0</v>
      </c>
      <c r="BP141" s="534" t="s">
        <v>2890</v>
      </c>
      <c r="BQ141" s="725" t="s">
        <v>3290</v>
      </c>
      <c r="BR141" t="s">
        <v>50</v>
      </c>
      <c r="BS141" t="s">
        <v>52</v>
      </c>
      <c r="BT141">
        <v>0</v>
      </c>
      <c r="BU141" t="s">
        <v>52</v>
      </c>
      <c r="BV141">
        <v>0</v>
      </c>
      <c r="BW141" t="s">
        <v>3290</v>
      </c>
      <c r="BX141" t="s">
        <v>50</v>
      </c>
      <c r="BY141">
        <v>0</v>
      </c>
      <c r="BZ141">
        <v>0</v>
      </c>
      <c r="CA141">
        <v>0</v>
      </c>
      <c r="CB141">
        <v>0</v>
      </c>
      <c r="CC141" s="2146" t="s">
        <v>3290</v>
      </c>
      <c r="CD141" s="2146" t="s">
        <v>50</v>
      </c>
      <c r="CE141" s="2146">
        <v>0</v>
      </c>
      <c r="CF141" s="2146">
        <v>0</v>
      </c>
      <c r="CG141" s="2146">
        <v>0</v>
      </c>
      <c r="CH141">
        <v>0</v>
      </c>
      <c r="CJ141" t="s">
        <v>5564</v>
      </c>
    </row>
    <row r="142" spans="1:88">
      <c r="A142" t="s">
        <v>753</v>
      </c>
      <c r="B142" t="s">
        <v>793</v>
      </c>
      <c r="C142" t="s">
        <v>39</v>
      </c>
      <c r="D142" t="s">
        <v>40</v>
      </c>
      <c r="E142" t="s">
        <v>41</v>
      </c>
      <c r="F142" t="s">
        <v>794</v>
      </c>
      <c r="G142" t="s">
        <v>354</v>
      </c>
      <c r="H142" t="s">
        <v>795</v>
      </c>
      <c r="I142" t="s">
        <v>796</v>
      </c>
      <c r="J142" t="s">
        <v>69</v>
      </c>
      <c r="N142" t="s">
        <v>797</v>
      </c>
      <c r="O142" t="s">
        <v>281</v>
      </c>
      <c r="P142" t="s">
        <v>3206</v>
      </c>
      <c r="Q142" s="534" t="s">
        <v>51</v>
      </c>
      <c r="S142" t="s">
        <v>798</v>
      </c>
      <c r="T142" t="s">
        <v>798</v>
      </c>
      <c r="U142" t="s">
        <v>798</v>
      </c>
      <c r="V142" t="s">
        <v>798</v>
      </c>
      <c r="W142" t="s">
        <v>798</v>
      </c>
      <c r="X142" t="s">
        <v>798</v>
      </c>
      <c r="AH142">
        <v>0</v>
      </c>
      <c r="BP142" s="534" t="s">
        <v>798</v>
      </c>
      <c r="BQ142" s="724" t="s">
        <v>798</v>
      </c>
      <c r="BR142" t="s">
        <v>50</v>
      </c>
      <c r="BS142" t="s">
        <v>52</v>
      </c>
      <c r="BT142">
        <v>0</v>
      </c>
      <c r="BU142" t="s">
        <v>52</v>
      </c>
      <c r="BV142">
        <v>0</v>
      </c>
      <c r="BW142" t="s">
        <v>798</v>
      </c>
      <c r="BX142" t="s">
        <v>50</v>
      </c>
      <c r="BY142">
        <v>0</v>
      </c>
      <c r="BZ142">
        <v>0</v>
      </c>
      <c r="CA142">
        <v>0</v>
      </c>
      <c r="CB142">
        <v>0</v>
      </c>
      <c r="CC142" s="2146" t="s">
        <v>798</v>
      </c>
      <c r="CD142" s="2146" t="s">
        <v>50</v>
      </c>
      <c r="CE142" s="2146">
        <v>0</v>
      </c>
      <c r="CF142" s="2146">
        <v>0</v>
      </c>
      <c r="CG142" s="2146">
        <v>0</v>
      </c>
      <c r="CH142">
        <v>0</v>
      </c>
      <c r="CJ142" t="s">
        <v>5565</v>
      </c>
    </row>
    <row r="143" spans="1:88">
      <c r="A143" t="s">
        <v>753</v>
      </c>
      <c r="B143" t="s">
        <v>799</v>
      </c>
      <c r="C143" t="s">
        <v>39</v>
      </c>
      <c r="D143" t="s">
        <v>101</v>
      </c>
      <c r="E143" t="s">
        <v>102</v>
      </c>
      <c r="F143" t="s">
        <v>773</v>
      </c>
      <c r="G143" t="s">
        <v>315</v>
      </c>
      <c r="H143" t="s">
        <v>800</v>
      </c>
      <c r="I143" t="s">
        <v>801</v>
      </c>
      <c r="J143" t="s">
        <v>5406</v>
      </c>
      <c r="K143" t="s">
        <v>45</v>
      </c>
      <c r="M143" t="s">
        <v>46</v>
      </c>
      <c r="N143" t="s">
        <v>106</v>
      </c>
      <c r="O143" t="s">
        <v>281</v>
      </c>
      <c r="P143" t="s">
        <v>408</v>
      </c>
      <c r="Q143" s="534" t="s">
        <v>51</v>
      </c>
      <c r="R143" t="s">
        <v>3264</v>
      </c>
      <c r="S143" t="s">
        <v>802</v>
      </c>
      <c r="T143" t="s">
        <v>802</v>
      </c>
      <c r="U143" t="s">
        <v>802</v>
      </c>
      <c r="V143" t="s">
        <v>802</v>
      </c>
      <c r="W143" t="s">
        <v>802</v>
      </c>
      <c r="X143" t="s">
        <v>802</v>
      </c>
      <c r="AH143">
        <v>0</v>
      </c>
      <c r="AI143" t="s">
        <v>50</v>
      </c>
      <c r="AJ143" t="s">
        <v>50</v>
      </c>
      <c r="AK143" t="s">
        <v>50</v>
      </c>
      <c r="AL143" t="s">
        <v>50</v>
      </c>
      <c r="AM143" t="s">
        <v>50</v>
      </c>
      <c r="AN143" t="s">
        <v>109</v>
      </c>
      <c r="AO143" t="s">
        <v>109</v>
      </c>
      <c r="AP143" t="s">
        <v>109</v>
      </c>
      <c r="AQ143" t="s">
        <v>109</v>
      </c>
      <c r="AR143" t="s">
        <v>109</v>
      </c>
      <c r="AS143" t="s">
        <v>109</v>
      </c>
      <c r="AT143" t="s">
        <v>109</v>
      </c>
      <c r="AU143" t="s">
        <v>109</v>
      </c>
      <c r="AV143" t="s">
        <v>109</v>
      </c>
      <c r="AW143" t="s">
        <v>109</v>
      </c>
      <c r="AX143" t="s">
        <v>109</v>
      </c>
      <c r="AY143" t="s">
        <v>109</v>
      </c>
      <c r="AZ143" t="s">
        <v>109</v>
      </c>
      <c r="BA143" t="s">
        <v>109</v>
      </c>
      <c r="BB143" t="s">
        <v>109</v>
      </c>
      <c r="BC143" t="s">
        <v>109</v>
      </c>
      <c r="BD143" t="s">
        <v>109</v>
      </c>
      <c r="BE143" t="s">
        <v>109</v>
      </c>
      <c r="BF143" t="s">
        <v>109</v>
      </c>
      <c r="BG143" t="s">
        <v>109</v>
      </c>
      <c r="BH143" t="s">
        <v>109</v>
      </c>
      <c r="BL143" t="s">
        <v>109</v>
      </c>
      <c r="BN143">
        <v>1</v>
      </c>
      <c r="BO143" t="s">
        <v>51</v>
      </c>
      <c r="BP143" s="534" t="s">
        <v>2890</v>
      </c>
      <c r="BQ143" s="722">
        <v>89.5</v>
      </c>
      <c r="BR143" t="s">
        <v>50</v>
      </c>
      <c r="BS143" t="s">
        <v>52</v>
      </c>
      <c r="BT143">
        <v>0</v>
      </c>
      <c r="BU143" t="s">
        <v>52</v>
      </c>
      <c r="BV143">
        <v>0</v>
      </c>
      <c r="BW143">
        <v>87.68</v>
      </c>
      <c r="BX143" t="s">
        <v>50</v>
      </c>
      <c r="BY143">
        <v>0</v>
      </c>
      <c r="BZ143">
        <v>0</v>
      </c>
      <c r="CA143">
        <v>0</v>
      </c>
      <c r="CB143">
        <v>0</v>
      </c>
      <c r="CC143" s="2146">
        <v>87.9</v>
      </c>
      <c r="CD143" s="2146" t="s">
        <v>2148</v>
      </c>
      <c r="CE143" s="2146">
        <v>0</v>
      </c>
      <c r="CF143" s="2146">
        <v>0</v>
      </c>
      <c r="CG143" s="2146">
        <v>0</v>
      </c>
      <c r="CH143">
        <v>0</v>
      </c>
      <c r="CJ143" t="s">
        <v>5566</v>
      </c>
    </row>
    <row r="144" spans="1:88">
      <c r="A144" t="s">
        <v>753</v>
      </c>
      <c r="B144" t="s">
        <v>803</v>
      </c>
      <c r="C144" t="s">
        <v>39</v>
      </c>
      <c r="D144" t="s">
        <v>101</v>
      </c>
      <c r="E144" t="s">
        <v>102</v>
      </c>
      <c r="F144" t="s">
        <v>777</v>
      </c>
      <c r="G144" t="s">
        <v>332</v>
      </c>
      <c r="H144" t="s">
        <v>804</v>
      </c>
      <c r="I144" t="s">
        <v>805</v>
      </c>
      <c r="J144" t="s">
        <v>5408</v>
      </c>
      <c r="K144" t="s">
        <v>45</v>
      </c>
      <c r="N144" t="s">
        <v>56</v>
      </c>
      <c r="O144" t="s">
        <v>48</v>
      </c>
      <c r="P144" t="s">
        <v>397</v>
      </c>
      <c r="Q144" s="534">
        <v>2</v>
      </c>
      <c r="R144" t="s">
        <v>3263</v>
      </c>
      <c r="S144">
        <v>147.29</v>
      </c>
      <c r="T144">
        <v>146.63</v>
      </c>
      <c r="U144">
        <v>145.96</v>
      </c>
      <c r="V144">
        <v>145.29</v>
      </c>
      <c r="W144">
        <v>144.61000000000001</v>
      </c>
      <c r="X144">
        <v>143.93</v>
      </c>
      <c r="AH144">
        <v>0</v>
      </c>
      <c r="AM144" t="s">
        <v>50</v>
      </c>
      <c r="AR144">
        <v>148</v>
      </c>
      <c r="AW144">
        <v>143.93</v>
      </c>
      <c r="BH144">
        <v>8.1243999999999997E-2</v>
      </c>
      <c r="BN144">
        <v>100</v>
      </c>
      <c r="BO144" t="s">
        <v>351</v>
      </c>
      <c r="BP144" s="534">
        <v>145.55000000000001</v>
      </c>
      <c r="BQ144" s="726">
        <v>143.29</v>
      </c>
      <c r="BR144" t="s">
        <v>50</v>
      </c>
      <c r="BS144" t="s">
        <v>52</v>
      </c>
      <c r="BT144">
        <v>0</v>
      </c>
      <c r="BU144" t="s">
        <v>52</v>
      </c>
      <c r="BV144">
        <v>0</v>
      </c>
      <c r="BW144">
        <v>145.1</v>
      </c>
      <c r="BX144" t="s">
        <v>50</v>
      </c>
      <c r="BY144">
        <v>0</v>
      </c>
      <c r="BZ144">
        <v>0</v>
      </c>
      <c r="CA144">
        <v>0</v>
      </c>
      <c r="CB144">
        <v>0</v>
      </c>
      <c r="CC144" s="2146">
        <v>147.54</v>
      </c>
      <c r="CD144" s="2146" t="s">
        <v>2148</v>
      </c>
      <c r="CE144" s="2146">
        <v>0</v>
      </c>
      <c r="CF144" s="2146">
        <v>0</v>
      </c>
      <c r="CG144" s="2146">
        <v>0</v>
      </c>
      <c r="CH144">
        <v>0</v>
      </c>
      <c r="CJ144" t="s">
        <v>5567</v>
      </c>
    </row>
    <row r="145" spans="1:88">
      <c r="A145" t="s">
        <v>753</v>
      </c>
      <c r="B145" t="s">
        <v>806</v>
      </c>
      <c r="C145" t="s">
        <v>39</v>
      </c>
      <c r="D145" t="s">
        <v>101</v>
      </c>
      <c r="E145" t="s">
        <v>102</v>
      </c>
      <c r="F145" t="s">
        <v>807</v>
      </c>
      <c r="G145" t="s">
        <v>338</v>
      </c>
      <c r="H145" t="s">
        <v>808</v>
      </c>
      <c r="I145" t="s">
        <v>809</v>
      </c>
      <c r="J145" t="s">
        <v>69</v>
      </c>
      <c r="N145" t="s">
        <v>192</v>
      </c>
      <c r="O145" t="s">
        <v>76</v>
      </c>
      <c r="P145" t="s">
        <v>3207</v>
      </c>
      <c r="Q145" s="534">
        <v>0</v>
      </c>
      <c r="R145" t="s">
        <v>3264</v>
      </c>
      <c r="S145" t="s">
        <v>497</v>
      </c>
      <c r="T145">
        <v>70</v>
      </c>
      <c r="U145">
        <v>70</v>
      </c>
      <c r="V145">
        <v>70</v>
      </c>
      <c r="W145">
        <v>70</v>
      </c>
      <c r="X145">
        <v>70</v>
      </c>
      <c r="AH145">
        <v>0</v>
      </c>
      <c r="BP145" s="534" t="s">
        <v>2890</v>
      </c>
      <c r="BQ145" s="725">
        <v>89</v>
      </c>
      <c r="BR145" t="s">
        <v>50</v>
      </c>
      <c r="BS145" t="s">
        <v>52</v>
      </c>
      <c r="BT145">
        <v>0</v>
      </c>
      <c r="BU145" t="s">
        <v>52</v>
      </c>
      <c r="BV145">
        <v>0</v>
      </c>
      <c r="BW145">
        <v>85</v>
      </c>
      <c r="BX145" t="s">
        <v>50</v>
      </c>
      <c r="BY145">
        <v>0</v>
      </c>
      <c r="BZ145">
        <v>0</v>
      </c>
      <c r="CA145">
        <v>0</v>
      </c>
      <c r="CB145">
        <v>0</v>
      </c>
      <c r="CC145" s="2146">
        <v>91</v>
      </c>
      <c r="CD145" s="2146" t="s">
        <v>50</v>
      </c>
      <c r="CE145" s="2146">
        <v>0</v>
      </c>
      <c r="CF145" s="2146">
        <v>0</v>
      </c>
      <c r="CG145" s="2146">
        <v>0</v>
      </c>
      <c r="CH145">
        <v>0</v>
      </c>
      <c r="CJ145" t="s">
        <v>5568</v>
      </c>
    </row>
    <row r="146" spans="1:88">
      <c r="A146" t="s">
        <v>810</v>
      </c>
      <c r="B146" t="s">
        <v>811</v>
      </c>
      <c r="C146" t="s">
        <v>39</v>
      </c>
      <c r="D146" t="s">
        <v>40</v>
      </c>
      <c r="E146" t="s">
        <v>41</v>
      </c>
      <c r="F146" t="s">
        <v>812</v>
      </c>
      <c r="G146" t="s">
        <v>315</v>
      </c>
      <c r="H146" t="s">
        <v>813</v>
      </c>
      <c r="I146" t="s">
        <v>814</v>
      </c>
      <c r="J146" t="s">
        <v>5408</v>
      </c>
      <c r="K146" t="s">
        <v>45</v>
      </c>
      <c r="N146" t="s">
        <v>24</v>
      </c>
      <c r="O146" t="s">
        <v>48</v>
      </c>
      <c r="P146" t="s">
        <v>81</v>
      </c>
      <c r="Q146" s="534">
        <v>2</v>
      </c>
      <c r="R146" t="s">
        <v>3263</v>
      </c>
      <c r="S146">
        <v>1.25</v>
      </c>
      <c r="T146">
        <v>1.25</v>
      </c>
      <c r="U146">
        <v>1.24</v>
      </c>
      <c r="V146">
        <v>1.23</v>
      </c>
      <c r="W146">
        <v>1.23</v>
      </c>
      <c r="X146">
        <v>1.23</v>
      </c>
      <c r="Z146" t="s">
        <v>50</v>
      </c>
      <c r="AE146" t="s">
        <v>50</v>
      </c>
      <c r="AH146">
        <v>0</v>
      </c>
      <c r="AI146" t="s">
        <v>50</v>
      </c>
      <c r="AJ146" t="s">
        <v>50</v>
      </c>
      <c r="AK146" t="s">
        <v>50</v>
      </c>
      <c r="AL146" t="s">
        <v>50</v>
      </c>
      <c r="AM146" t="s">
        <v>50</v>
      </c>
      <c r="AN146">
        <v>2.56</v>
      </c>
      <c r="AO146">
        <v>2.5499999999999998</v>
      </c>
      <c r="AP146">
        <v>2.54</v>
      </c>
      <c r="AQ146">
        <v>2.54</v>
      </c>
      <c r="AR146">
        <v>2.54</v>
      </c>
      <c r="AS146">
        <v>1.31</v>
      </c>
      <c r="AT146">
        <v>1.3</v>
      </c>
      <c r="AU146">
        <v>1.29</v>
      </c>
      <c r="AV146">
        <v>1.29</v>
      </c>
      <c r="AW146">
        <v>1.29</v>
      </c>
      <c r="BH146">
        <v>0.04</v>
      </c>
      <c r="BN146">
        <v>1</v>
      </c>
      <c r="BO146" t="s">
        <v>51</v>
      </c>
      <c r="BP146" s="534">
        <v>0.56000000000000005</v>
      </c>
      <c r="BQ146" s="726">
        <v>0.73</v>
      </c>
      <c r="BR146" t="s">
        <v>50</v>
      </c>
      <c r="BS146" t="s">
        <v>52</v>
      </c>
      <c r="BT146">
        <v>0</v>
      </c>
      <c r="BU146" t="s">
        <v>52</v>
      </c>
      <c r="BV146">
        <v>0</v>
      </c>
      <c r="BW146">
        <v>0.89</v>
      </c>
      <c r="BX146" t="s">
        <v>50</v>
      </c>
      <c r="BY146">
        <v>0</v>
      </c>
      <c r="BZ146">
        <v>0</v>
      </c>
      <c r="CA146">
        <v>0</v>
      </c>
      <c r="CB146">
        <v>0</v>
      </c>
      <c r="CC146" s="2146">
        <v>0.82</v>
      </c>
      <c r="CD146" s="2146" t="s">
        <v>50</v>
      </c>
      <c r="CE146" s="2146">
        <v>0</v>
      </c>
      <c r="CF146" s="2146">
        <v>0</v>
      </c>
      <c r="CG146" s="2146">
        <v>0</v>
      </c>
      <c r="CH146">
        <v>0</v>
      </c>
      <c r="CJ146" t="s">
        <v>5569</v>
      </c>
    </row>
    <row r="147" spans="1:88">
      <c r="A147" t="s">
        <v>810</v>
      </c>
      <c r="B147" t="s">
        <v>815</v>
      </c>
      <c r="C147" t="s">
        <v>39</v>
      </c>
      <c r="D147" t="s">
        <v>40</v>
      </c>
      <c r="E147" t="s">
        <v>41</v>
      </c>
      <c r="F147" t="s">
        <v>812</v>
      </c>
      <c r="G147" t="s">
        <v>319</v>
      </c>
      <c r="H147" t="s">
        <v>816</v>
      </c>
      <c r="I147" t="s">
        <v>817</v>
      </c>
      <c r="J147" t="s">
        <v>5408</v>
      </c>
      <c r="K147" t="s">
        <v>45</v>
      </c>
      <c r="N147" t="s">
        <v>75</v>
      </c>
      <c r="O147" t="s">
        <v>76</v>
      </c>
      <c r="P147" t="s">
        <v>77</v>
      </c>
      <c r="Q147" s="534">
        <v>2</v>
      </c>
      <c r="R147" t="s">
        <v>3264</v>
      </c>
      <c r="S147">
        <v>99.95</v>
      </c>
      <c r="T147">
        <v>99.97</v>
      </c>
      <c r="U147">
        <v>99.97</v>
      </c>
      <c r="V147">
        <v>100</v>
      </c>
      <c r="W147">
        <v>100</v>
      </c>
      <c r="X147">
        <v>100</v>
      </c>
      <c r="Y147" t="s">
        <v>50</v>
      </c>
      <c r="AE147" t="s">
        <v>50</v>
      </c>
      <c r="AH147">
        <v>0</v>
      </c>
      <c r="AI147" t="s">
        <v>50</v>
      </c>
      <c r="AJ147" t="s">
        <v>50</v>
      </c>
      <c r="AK147" t="s">
        <v>50</v>
      </c>
      <c r="AL147" t="s">
        <v>50</v>
      </c>
      <c r="AM147" t="s">
        <v>50</v>
      </c>
      <c r="AN147">
        <v>99.94</v>
      </c>
      <c r="AO147">
        <v>99.94</v>
      </c>
      <c r="AP147">
        <v>99.94</v>
      </c>
      <c r="AQ147">
        <v>99.94</v>
      </c>
      <c r="AR147">
        <v>99.94</v>
      </c>
      <c r="AS147">
        <v>99.95</v>
      </c>
      <c r="AT147">
        <v>99.95</v>
      </c>
      <c r="AU147">
        <v>99.95</v>
      </c>
      <c r="AV147">
        <v>99.95</v>
      </c>
      <c r="AW147">
        <v>99.95</v>
      </c>
      <c r="BH147">
        <v>0.28399999999999997</v>
      </c>
      <c r="BN147">
        <v>100</v>
      </c>
      <c r="BO147" t="s">
        <v>351</v>
      </c>
      <c r="BP147" s="534">
        <v>99.99</v>
      </c>
      <c r="BQ147" s="726">
        <v>100</v>
      </c>
      <c r="BR147" t="s">
        <v>50</v>
      </c>
      <c r="BS147" t="s">
        <v>52</v>
      </c>
      <c r="BT147">
        <v>0</v>
      </c>
      <c r="BU147" t="s">
        <v>52</v>
      </c>
      <c r="BV147">
        <v>0</v>
      </c>
      <c r="BW147">
        <v>99.98</v>
      </c>
      <c r="BX147" t="s">
        <v>50</v>
      </c>
      <c r="BY147">
        <v>0</v>
      </c>
      <c r="BZ147">
        <v>0</v>
      </c>
      <c r="CA147">
        <v>0</v>
      </c>
      <c r="CB147">
        <v>0</v>
      </c>
      <c r="CC147" s="2146">
        <v>100</v>
      </c>
      <c r="CD147" s="2146" t="s">
        <v>50</v>
      </c>
      <c r="CE147" s="2146">
        <v>0</v>
      </c>
      <c r="CF147" s="2146">
        <v>0</v>
      </c>
      <c r="CG147" s="2146">
        <v>0</v>
      </c>
      <c r="CH147">
        <v>0</v>
      </c>
      <c r="CJ147" t="s">
        <v>5570</v>
      </c>
    </row>
    <row r="148" spans="1:88">
      <c r="A148" t="s">
        <v>810</v>
      </c>
      <c r="B148" t="s">
        <v>818</v>
      </c>
      <c r="C148" t="s">
        <v>39</v>
      </c>
      <c r="D148" t="s">
        <v>40</v>
      </c>
      <c r="E148" t="s">
        <v>41</v>
      </c>
      <c r="F148" t="s">
        <v>819</v>
      </c>
      <c r="G148" t="s">
        <v>332</v>
      </c>
      <c r="H148" t="s">
        <v>820</v>
      </c>
      <c r="I148" t="s">
        <v>821</v>
      </c>
      <c r="J148" t="s">
        <v>5406</v>
      </c>
      <c r="K148" t="s">
        <v>45</v>
      </c>
      <c r="N148" t="s">
        <v>47</v>
      </c>
      <c r="O148" t="s">
        <v>48</v>
      </c>
      <c r="P148" t="s">
        <v>49</v>
      </c>
      <c r="Q148" s="534">
        <v>2</v>
      </c>
      <c r="R148" t="s">
        <v>3263</v>
      </c>
      <c r="S148">
        <v>21.47</v>
      </c>
      <c r="X148">
        <v>20</v>
      </c>
      <c r="AE148" t="s">
        <v>50</v>
      </c>
      <c r="AH148">
        <v>0</v>
      </c>
      <c r="AM148" t="s">
        <v>50</v>
      </c>
      <c r="AR148">
        <v>22</v>
      </c>
      <c r="AW148">
        <v>20.100000000000001</v>
      </c>
      <c r="BB148">
        <v>19.899999999999999</v>
      </c>
      <c r="BG148">
        <v>17</v>
      </c>
      <c r="BH148">
        <v>0.1152</v>
      </c>
      <c r="BL148">
        <v>3.8800000000000001E-2</v>
      </c>
      <c r="BN148">
        <v>10</v>
      </c>
      <c r="BO148" t="s">
        <v>822</v>
      </c>
      <c r="BP148" s="534">
        <v>20.88</v>
      </c>
      <c r="BQ148" s="726">
        <v>19.632999999999999</v>
      </c>
      <c r="BR148" t="s">
        <v>52</v>
      </c>
      <c r="BS148" t="s">
        <v>52</v>
      </c>
      <c r="BT148">
        <v>0</v>
      </c>
      <c r="BU148" t="s">
        <v>52</v>
      </c>
      <c r="BV148">
        <v>0</v>
      </c>
      <c r="BW148">
        <v>19</v>
      </c>
      <c r="BX148" t="s">
        <v>2148</v>
      </c>
      <c r="BY148">
        <v>0</v>
      </c>
      <c r="BZ148">
        <v>0</v>
      </c>
      <c r="CA148">
        <v>0</v>
      </c>
      <c r="CB148">
        <v>0</v>
      </c>
      <c r="CC148" s="2146">
        <v>19.11</v>
      </c>
      <c r="CD148" s="2146" t="s">
        <v>2148</v>
      </c>
      <c r="CE148" s="2146">
        <v>0</v>
      </c>
      <c r="CF148" s="2146">
        <v>0</v>
      </c>
      <c r="CG148" s="2146">
        <v>0</v>
      </c>
      <c r="CH148">
        <v>0</v>
      </c>
      <c r="CJ148" t="s">
        <v>5571</v>
      </c>
    </row>
    <row r="149" spans="1:88">
      <c r="A149" t="s">
        <v>810</v>
      </c>
      <c r="B149" t="s">
        <v>823</v>
      </c>
      <c r="C149" t="s">
        <v>39</v>
      </c>
      <c r="D149" t="s">
        <v>40</v>
      </c>
      <c r="E149" t="s">
        <v>41</v>
      </c>
      <c r="F149" t="s">
        <v>819</v>
      </c>
      <c r="G149" t="s">
        <v>457</v>
      </c>
      <c r="H149" t="s">
        <v>824</v>
      </c>
      <c r="I149" t="s">
        <v>825</v>
      </c>
      <c r="J149" t="s">
        <v>5406</v>
      </c>
      <c r="K149" t="s">
        <v>45</v>
      </c>
      <c r="N149" t="s">
        <v>86</v>
      </c>
      <c r="O149" t="s">
        <v>48</v>
      </c>
      <c r="P149" t="s">
        <v>826</v>
      </c>
      <c r="Q149" s="534">
        <v>1</v>
      </c>
      <c r="R149" t="s">
        <v>3264</v>
      </c>
      <c r="X149">
        <v>12</v>
      </c>
      <c r="AE149" t="s">
        <v>50</v>
      </c>
      <c r="AH149">
        <v>0</v>
      </c>
      <c r="AM149" t="s">
        <v>50</v>
      </c>
      <c r="AR149">
        <v>0</v>
      </c>
      <c r="AW149">
        <v>11.5</v>
      </c>
      <c r="BB149">
        <v>12.5</v>
      </c>
      <c r="BG149">
        <v>18</v>
      </c>
      <c r="BH149">
        <v>8.1799999999999998E-2</v>
      </c>
      <c r="BL149">
        <v>0.18529999999999999</v>
      </c>
      <c r="BN149">
        <v>1</v>
      </c>
      <c r="BO149" t="s">
        <v>51</v>
      </c>
      <c r="BP149" s="534">
        <v>0</v>
      </c>
      <c r="BQ149" s="722">
        <v>0</v>
      </c>
      <c r="BR149" t="s">
        <v>52</v>
      </c>
      <c r="BS149" t="s">
        <v>52</v>
      </c>
      <c r="BT149">
        <v>0</v>
      </c>
      <c r="BU149" t="s">
        <v>52</v>
      </c>
      <c r="BV149">
        <v>0</v>
      </c>
      <c r="BW149">
        <v>0</v>
      </c>
      <c r="BX149" t="s">
        <v>2148</v>
      </c>
      <c r="BY149">
        <v>0</v>
      </c>
      <c r="BZ149">
        <v>0</v>
      </c>
      <c r="CA149">
        <v>0</v>
      </c>
      <c r="CB149">
        <v>0</v>
      </c>
      <c r="CC149" s="2146">
        <v>4.3</v>
      </c>
      <c r="CD149" s="2146" t="s">
        <v>2148</v>
      </c>
      <c r="CE149" s="2146">
        <v>0</v>
      </c>
      <c r="CF149" s="2146">
        <v>0</v>
      </c>
      <c r="CG149" s="2146">
        <v>0</v>
      </c>
      <c r="CH149">
        <v>0</v>
      </c>
      <c r="CJ149" t="s">
        <v>5572</v>
      </c>
    </row>
    <row r="150" spans="1:88">
      <c r="A150" t="s">
        <v>810</v>
      </c>
      <c r="B150" t="s">
        <v>827</v>
      </c>
      <c r="C150" t="s">
        <v>39</v>
      </c>
      <c r="D150" t="s">
        <v>40</v>
      </c>
      <c r="E150" t="s">
        <v>41</v>
      </c>
      <c r="F150" t="s">
        <v>819</v>
      </c>
      <c r="G150" t="s">
        <v>461</v>
      </c>
      <c r="H150" t="s">
        <v>828</v>
      </c>
      <c r="I150" t="s">
        <v>829</v>
      </c>
      <c r="J150" t="s">
        <v>5408</v>
      </c>
      <c r="K150" t="s">
        <v>45</v>
      </c>
      <c r="N150" t="s">
        <v>86</v>
      </c>
      <c r="O150" t="s">
        <v>119</v>
      </c>
      <c r="P150" t="s">
        <v>120</v>
      </c>
      <c r="Q150" s="534">
        <v>1</v>
      </c>
      <c r="R150" t="s">
        <v>3263</v>
      </c>
      <c r="S150">
        <v>4.4000000000000004</v>
      </c>
      <c r="T150">
        <v>4.4000000000000004</v>
      </c>
      <c r="U150">
        <v>4.4000000000000004</v>
      </c>
      <c r="V150">
        <v>4.4000000000000004</v>
      </c>
      <c r="W150">
        <v>4.4000000000000004</v>
      </c>
      <c r="X150">
        <v>4.4000000000000004</v>
      </c>
      <c r="AA150" t="s">
        <v>50</v>
      </c>
      <c r="AE150" t="s">
        <v>50</v>
      </c>
      <c r="AH150">
        <v>0</v>
      </c>
      <c r="AI150" t="s">
        <v>50</v>
      </c>
      <c r="AJ150" t="s">
        <v>50</v>
      </c>
      <c r="AK150" t="s">
        <v>50</v>
      </c>
      <c r="AL150" t="s">
        <v>50</v>
      </c>
      <c r="AM150" t="s">
        <v>50</v>
      </c>
      <c r="AN150">
        <v>10.3</v>
      </c>
      <c r="AO150">
        <v>10.3</v>
      </c>
      <c r="AP150">
        <v>10.3</v>
      </c>
      <c r="AQ150">
        <v>10.3</v>
      </c>
      <c r="AR150">
        <v>10.3</v>
      </c>
      <c r="AS150">
        <v>6.4</v>
      </c>
      <c r="AT150">
        <v>6.4</v>
      </c>
      <c r="AU150">
        <v>6.4</v>
      </c>
      <c r="AV150">
        <v>6.4</v>
      </c>
      <c r="AW150">
        <v>6.4</v>
      </c>
      <c r="BH150">
        <v>7.4999999999999997E-2</v>
      </c>
      <c r="BN150">
        <v>1</v>
      </c>
      <c r="BO150" t="s">
        <v>51</v>
      </c>
      <c r="BP150" s="534">
        <v>2.2599999999999998</v>
      </c>
      <c r="BQ150" s="722">
        <v>2.54</v>
      </c>
      <c r="BR150" t="s">
        <v>50</v>
      </c>
      <c r="BS150" t="s">
        <v>52</v>
      </c>
      <c r="BT150">
        <v>0</v>
      </c>
      <c r="BU150" t="s">
        <v>52</v>
      </c>
      <c r="BV150">
        <v>0</v>
      </c>
      <c r="BW150">
        <v>1.9</v>
      </c>
      <c r="BX150" t="s">
        <v>50</v>
      </c>
      <c r="BY150">
        <v>0</v>
      </c>
      <c r="BZ150">
        <v>0</v>
      </c>
      <c r="CA150">
        <v>0</v>
      </c>
      <c r="CB150">
        <v>0</v>
      </c>
      <c r="CC150" s="2146">
        <v>0.7</v>
      </c>
      <c r="CD150" s="2146" t="s">
        <v>50</v>
      </c>
      <c r="CE150" s="2146">
        <v>0</v>
      </c>
      <c r="CF150" s="2146">
        <v>0</v>
      </c>
      <c r="CG150" s="2146">
        <v>0</v>
      </c>
      <c r="CH150">
        <v>0</v>
      </c>
      <c r="CJ150" t="s">
        <v>5573</v>
      </c>
    </row>
    <row r="151" spans="1:88">
      <c r="A151" t="s">
        <v>810</v>
      </c>
      <c r="B151" t="s">
        <v>830</v>
      </c>
      <c r="C151" t="s">
        <v>39</v>
      </c>
      <c r="D151" t="s">
        <v>40</v>
      </c>
      <c r="E151" t="s">
        <v>41</v>
      </c>
      <c r="F151" t="s">
        <v>819</v>
      </c>
      <c r="G151" t="s">
        <v>465</v>
      </c>
      <c r="H151" t="s">
        <v>831</v>
      </c>
      <c r="I151" t="s">
        <v>832</v>
      </c>
      <c r="J151" t="s">
        <v>5408</v>
      </c>
      <c r="K151" t="s">
        <v>45</v>
      </c>
      <c r="M151" t="s">
        <v>46</v>
      </c>
      <c r="N151" t="s">
        <v>91</v>
      </c>
      <c r="O151" t="s">
        <v>200</v>
      </c>
      <c r="P151" t="s">
        <v>323</v>
      </c>
      <c r="Q151" s="534" t="s">
        <v>51</v>
      </c>
      <c r="S151" t="s">
        <v>202</v>
      </c>
      <c r="T151" t="s">
        <v>202</v>
      </c>
      <c r="U151" t="s">
        <v>202</v>
      </c>
      <c r="V151" t="s">
        <v>202</v>
      </c>
      <c r="W151" t="s">
        <v>202</v>
      </c>
      <c r="X151" t="s">
        <v>202</v>
      </c>
      <c r="AE151" t="s">
        <v>50</v>
      </c>
      <c r="AH151">
        <v>10</v>
      </c>
      <c r="AI151" t="s">
        <v>50</v>
      </c>
      <c r="AJ151" t="s">
        <v>50</v>
      </c>
      <c r="AK151" t="s">
        <v>50</v>
      </c>
      <c r="AL151" t="s">
        <v>50</v>
      </c>
      <c r="AM151" t="s">
        <v>50</v>
      </c>
      <c r="AN151" t="s">
        <v>324</v>
      </c>
      <c r="AO151" t="s">
        <v>324</v>
      </c>
      <c r="AP151" t="s">
        <v>324</v>
      </c>
      <c r="AQ151" t="s">
        <v>324</v>
      </c>
      <c r="AR151" t="s">
        <v>324</v>
      </c>
      <c r="AS151" t="s">
        <v>325</v>
      </c>
      <c r="AT151" t="s">
        <v>325</v>
      </c>
      <c r="AU151" t="s">
        <v>325</v>
      </c>
      <c r="AV151" t="s">
        <v>325</v>
      </c>
      <c r="AW151" t="s">
        <v>325</v>
      </c>
      <c r="BH151">
        <v>0.22500000000000001</v>
      </c>
      <c r="BN151">
        <v>1</v>
      </c>
      <c r="BO151" t="s">
        <v>51</v>
      </c>
      <c r="BP151" s="534" t="s">
        <v>202</v>
      </c>
      <c r="BQ151" s="724" t="s">
        <v>202</v>
      </c>
      <c r="BR151" t="s">
        <v>50</v>
      </c>
      <c r="BS151" t="s">
        <v>52</v>
      </c>
      <c r="BT151">
        <v>0</v>
      </c>
      <c r="BU151" t="s">
        <v>52</v>
      </c>
      <c r="BV151">
        <v>0</v>
      </c>
      <c r="BW151" t="s">
        <v>202</v>
      </c>
      <c r="BX151" t="s">
        <v>50</v>
      </c>
      <c r="BY151">
        <v>0</v>
      </c>
      <c r="BZ151">
        <v>0</v>
      </c>
      <c r="CA151">
        <v>0</v>
      </c>
      <c r="CB151">
        <v>0</v>
      </c>
      <c r="CC151" s="2146" t="s">
        <v>202</v>
      </c>
      <c r="CD151" s="2146" t="s">
        <v>50</v>
      </c>
      <c r="CE151" s="2146">
        <v>0</v>
      </c>
      <c r="CF151" s="2146">
        <v>0</v>
      </c>
      <c r="CG151" s="2146">
        <v>0</v>
      </c>
      <c r="CH151">
        <v>0</v>
      </c>
      <c r="CJ151" t="s">
        <v>5574</v>
      </c>
    </row>
    <row r="152" spans="1:88">
      <c r="A152" t="s">
        <v>810</v>
      </c>
      <c r="B152" t="s">
        <v>833</v>
      </c>
      <c r="C152" t="s">
        <v>39</v>
      </c>
      <c r="D152" t="s">
        <v>40</v>
      </c>
      <c r="E152" t="s">
        <v>41</v>
      </c>
      <c r="F152" t="s">
        <v>819</v>
      </c>
      <c r="G152" t="s">
        <v>834</v>
      </c>
      <c r="H152" t="s">
        <v>835</v>
      </c>
      <c r="I152" t="s">
        <v>836</v>
      </c>
      <c r="J152" t="s">
        <v>5408</v>
      </c>
      <c r="K152" t="s">
        <v>45</v>
      </c>
      <c r="N152" t="s">
        <v>368</v>
      </c>
      <c r="O152" t="s">
        <v>48</v>
      </c>
      <c r="P152" t="s">
        <v>837</v>
      </c>
      <c r="Q152" s="534">
        <v>0</v>
      </c>
      <c r="R152" t="s">
        <v>3264</v>
      </c>
      <c r="X152">
        <v>9300</v>
      </c>
      <c r="AH152">
        <v>0</v>
      </c>
      <c r="AM152" t="s">
        <v>50</v>
      </c>
      <c r="AR152">
        <v>0</v>
      </c>
      <c r="AW152">
        <v>9200</v>
      </c>
      <c r="BH152">
        <v>2.6599999999999999E-5</v>
      </c>
      <c r="BN152">
        <v>1</v>
      </c>
      <c r="BO152" t="s">
        <v>51</v>
      </c>
      <c r="BP152" s="534">
        <v>2217</v>
      </c>
      <c r="BQ152" s="725">
        <v>2553</v>
      </c>
      <c r="BR152" t="s">
        <v>52</v>
      </c>
      <c r="BS152" t="s">
        <v>52</v>
      </c>
      <c r="BT152">
        <v>0</v>
      </c>
      <c r="BU152" t="s">
        <v>52</v>
      </c>
      <c r="BV152">
        <v>0</v>
      </c>
      <c r="BW152">
        <v>4647</v>
      </c>
      <c r="BX152" t="s">
        <v>2148</v>
      </c>
      <c r="BY152">
        <v>0</v>
      </c>
      <c r="BZ152">
        <v>0</v>
      </c>
      <c r="CA152">
        <v>0</v>
      </c>
      <c r="CB152">
        <v>0</v>
      </c>
      <c r="CC152" s="2146">
        <v>6298</v>
      </c>
      <c r="CD152" s="2146" t="s">
        <v>2148</v>
      </c>
      <c r="CE152" s="2146">
        <v>0</v>
      </c>
      <c r="CF152" s="2146">
        <v>0</v>
      </c>
      <c r="CG152" s="2146">
        <v>0</v>
      </c>
      <c r="CH152">
        <v>0</v>
      </c>
      <c r="CJ152" t="s">
        <v>5575</v>
      </c>
    </row>
    <row r="153" spans="1:88">
      <c r="A153" t="s">
        <v>810</v>
      </c>
      <c r="B153" t="s">
        <v>838</v>
      </c>
      <c r="C153" t="s">
        <v>39</v>
      </c>
      <c r="D153" t="s">
        <v>40</v>
      </c>
      <c r="E153" t="s">
        <v>41</v>
      </c>
      <c r="F153" t="s">
        <v>819</v>
      </c>
      <c r="G153" t="s">
        <v>839</v>
      </c>
      <c r="H153" t="s">
        <v>840</v>
      </c>
      <c r="I153" t="s">
        <v>13332</v>
      </c>
      <c r="J153" t="s">
        <v>69</v>
      </c>
      <c r="N153" t="s">
        <v>56</v>
      </c>
      <c r="O153" t="s">
        <v>48</v>
      </c>
      <c r="P153" t="s">
        <v>397</v>
      </c>
      <c r="Q153" s="534">
        <v>1</v>
      </c>
      <c r="R153" t="s">
        <v>3263</v>
      </c>
      <c r="S153">
        <v>142</v>
      </c>
      <c r="T153">
        <v>142</v>
      </c>
      <c r="X153">
        <v>140</v>
      </c>
      <c r="AH153">
        <v>0</v>
      </c>
      <c r="BP153" s="534">
        <v>138.41900000000001</v>
      </c>
      <c r="BQ153" s="725">
        <v>133.57900000000001</v>
      </c>
      <c r="BR153" t="s">
        <v>50</v>
      </c>
      <c r="BS153" t="s">
        <v>52</v>
      </c>
      <c r="BT153">
        <v>0</v>
      </c>
      <c r="BU153" t="s">
        <v>52</v>
      </c>
      <c r="BV153">
        <v>0</v>
      </c>
      <c r="BW153">
        <v>143.9</v>
      </c>
      <c r="BX153" t="s">
        <v>2148</v>
      </c>
      <c r="BY153">
        <v>0</v>
      </c>
      <c r="BZ153">
        <v>0</v>
      </c>
      <c r="CA153">
        <v>0</v>
      </c>
      <c r="CB153">
        <v>0</v>
      </c>
      <c r="CC153" s="2146">
        <v>141</v>
      </c>
      <c r="CD153" s="2146" t="s">
        <v>2148</v>
      </c>
      <c r="CE153" s="2146">
        <v>0</v>
      </c>
      <c r="CF153" s="2146">
        <v>0</v>
      </c>
      <c r="CG153" s="2146">
        <v>0</v>
      </c>
      <c r="CH153">
        <v>0</v>
      </c>
      <c r="CJ153" t="s">
        <v>5576</v>
      </c>
    </row>
    <row r="154" spans="1:88">
      <c r="A154" t="s">
        <v>810</v>
      </c>
      <c r="B154" t="s">
        <v>841</v>
      </c>
      <c r="C154" t="s">
        <v>39</v>
      </c>
      <c r="D154" t="s">
        <v>40</v>
      </c>
      <c r="E154" t="s">
        <v>41</v>
      </c>
      <c r="F154" t="s">
        <v>842</v>
      </c>
      <c r="G154" t="s">
        <v>338</v>
      </c>
      <c r="H154" t="s">
        <v>843</v>
      </c>
      <c r="I154" t="s">
        <v>844</v>
      </c>
      <c r="J154" t="s">
        <v>5408</v>
      </c>
      <c r="K154" t="s">
        <v>45</v>
      </c>
      <c r="N154" t="s">
        <v>47</v>
      </c>
      <c r="O154" t="s">
        <v>76</v>
      </c>
      <c r="P154" t="s">
        <v>845</v>
      </c>
      <c r="Q154" s="534">
        <v>1</v>
      </c>
      <c r="R154" t="s">
        <v>3264</v>
      </c>
      <c r="S154">
        <v>77</v>
      </c>
      <c r="X154">
        <v>85</v>
      </c>
      <c r="AE154" t="s">
        <v>50</v>
      </c>
      <c r="AH154">
        <v>0</v>
      </c>
      <c r="AM154" t="s">
        <v>50</v>
      </c>
      <c r="AR154">
        <v>77</v>
      </c>
      <c r="AW154">
        <v>84.5</v>
      </c>
      <c r="BH154">
        <v>1E-3</v>
      </c>
      <c r="BN154">
        <v>1</v>
      </c>
      <c r="BO154" t="s">
        <v>51</v>
      </c>
      <c r="BP154" s="534">
        <v>54</v>
      </c>
      <c r="BQ154" s="722">
        <v>79.22</v>
      </c>
      <c r="BR154" t="s">
        <v>52</v>
      </c>
      <c r="BS154" t="s">
        <v>52</v>
      </c>
      <c r="BT154">
        <v>0</v>
      </c>
      <c r="BU154" t="s">
        <v>52</v>
      </c>
      <c r="BV154">
        <v>0</v>
      </c>
      <c r="BW154">
        <v>80</v>
      </c>
      <c r="BX154" t="s">
        <v>2148</v>
      </c>
      <c r="BY154">
        <v>0</v>
      </c>
      <c r="BZ154">
        <v>0</v>
      </c>
      <c r="CA154">
        <v>0</v>
      </c>
      <c r="CB154">
        <v>0</v>
      </c>
      <c r="CC154" s="2146">
        <v>62.4</v>
      </c>
      <c r="CD154" s="2146" t="s">
        <v>2148</v>
      </c>
      <c r="CE154" s="2146">
        <v>0</v>
      </c>
      <c r="CF154" s="2146">
        <v>0</v>
      </c>
      <c r="CG154" s="2146">
        <v>0</v>
      </c>
      <c r="CH154">
        <v>0</v>
      </c>
      <c r="CJ154" t="s">
        <v>5577</v>
      </c>
    </row>
    <row r="155" spans="1:88">
      <c r="A155" t="s">
        <v>810</v>
      </c>
      <c r="B155" t="s">
        <v>846</v>
      </c>
      <c r="C155" t="s">
        <v>39</v>
      </c>
      <c r="D155" t="s">
        <v>40</v>
      </c>
      <c r="E155" t="s">
        <v>41</v>
      </c>
      <c r="F155" t="s">
        <v>847</v>
      </c>
      <c r="G155" t="s">
        <v>348</v>
      </c>
      <c r="H155" t="s">
        <v>848</v>
      </c>
      <c r="I155" t="s">
        <v>849</v>
      </c>
      <c r="J155" t="s">
        <v>69</v>
      </c>
      <c r="N155" t="s">
        <v>182</v>
      </c>
      <c r="O155" t="s">
        <v>48</v>
      </c>
      <c r="P155" t="s">
        <v>850</v>
      </c>
      <c r="Q155" s="534">
        <v>2</v>
      </c>
      <c r="R155" t="s">
        <v>3263</v>
      </c>
      <c r="S155">
        <v>580</v>
      </c>
      <c r="X155">
        <v>530</v>
      </c>
      <c r="AH155">
        <v>0</v>
      </c>
      <c r="BP155" s="534">
        <v>592</v>
      </c>
      <c r="BQ155" s="726">
        <v>589.45000000000005</v>
      </c>
      <c r="BR155" t="s">
        <v>52</v>
      </c>
      <c r="BS155" t="s">
        <v>52</v>
      </c>
      <c r="BT155">
        <v>0</v>
      </c>
      <c r="BU155" t="s">
        <v>52</v>
      </c>
      <c r="BV155">
        <v>0</v>
      </c>
      <c r="BW155">
        <v>650.25</v>
      </c>
      <c r="BX155" t="s">
        <v>2148</v>
      </c>
      <c r="BY155">
        <v>0</v>
      </c>
      <c r="BZ155">
        <v>0</v>
      </c>
      <c r="CA155">
        <v>0</v>
      </c>
      <c r="CB155">
        <v>0</v>
      </c>
      <c r="CC155" s="2146">
        <v>604.92999999999995</v>
      </c>
      <c r="CD155" s="2146" t="s">
        <v>2148</v>
      </c>
      <c r="CE155" s="2146">
        <v>0</v>
      </c>
      <c r="CF155" s="2146">
        <v>0</v>
      </c>
      <c r="CG155" s="2146">
        <v>0</v>
      </c>
      <c r="CH155">
        <v>0</v>
      </c>
      <c r="CJ155" t="s">
        <v>5578</v>
      </c>
    </row>
    <row r="156" spans="1:88" ht="25.5">
      <c r="A156" t="s">
        <v>810</v>
      </c>
      <c r="B156" t="s">
        <v>851</v>
      </c>
      <c r="C156" t="s">
        <v>39</v>
      </c>
      <c r="D156" t="s">
        <v>40</v>
      </c>
      <c r="E156" t="s">
        <v>41</v>
      </c>
      <c r="F156" t="s">
        <v>847</v>
      </c>
      <c r="G156" t="s">
        <v>783</v>
      </c>
      <c r="H156" t="s">
        <v>852</v>
      </c>
      <c r="I156" t="s">
        <v>853</v>
      </c>
      <c r="J156" t="s">
        <v>69</v>
      </c>
      <c r="N156" t="s">
        <v>175</v>
      </c>
      <c r="O156" t="s">
        <v>281</v>
      </c>
      <c r="P156" t="s">
        <v>854</v>
      </c>
      <c r="Q156" s="534" t="s">
        <v>51</v>
      </c>
      <c r="S156" t="s">
        <v>855</v>
      </c>
      <c r="T156" t="s">
        <v>856</v>
      </c>
      <c r="U156" t="s">
        <v>856</v>
      </c>
      <c r="V156" t="s">
        <v>856</v>
      </c>
      <c r="W156" t="s">
        <v>856</v>
      </c>
      <c r="X156" t="s">
        <v>856</v>
      </c>
      <c r="AH156">
        <v>0</v>
      </c>
      <c r="BP156" s="534" t="s">
        <v>2797</v>
      </c>
      <c r="BQ156" s="724" t="s">
        <v>3292</v>
      </c>
      <c r="BR156" t="s">
        <v>52</v>
      </c>
      <c r="BS156" t="s">
        <v>52</v>
      </c>
      <c r="BT156">
        <v>0</v>
      </c>
      <c r="BU156" t="s">
        <v>52</v>
      </c>
      <c r="BV156">
        <v>0</v>
      </c>
      <c r="BW156" t="s">
        <v>5579</v>
      </c>
      <c r="BX156" t="s">
        <v>2148</v>
      </c>
      <c r="BY156">
        <v>0</v>
      </c>
      <c r="BZ156">
        <v>0</v>
      </c>
      <c r="CA156">
        <v>0</v>
      </c>
      <c r="CB156">
        <v>0</v>
      </c>
      <c r="CC156" s="2146" t="s">
        <v>5579</v>
      </c>
      <c r="CD156" s="2146" t="s">
        <v>2148</v>
      </c>
      <c r="CE156" s="2146">
        <v>0</v>
      </c>
      <c r="CF156" s="2146">
        <v>0</v>
      </c>
      <c r="CG156" s="2146">
        <v>0</v>
      </c>
      <c r="CH156">
        <v>0</v>
      </c>
      <c r="CJ156" t="s">
        <v>5580</v>
      </c>
    </row>
    <row r="157" spans="1:88">
      <c r="A157" t="s">
        <v>810</v>
      </c>
      <c r="B157" t="s">
        <v>857</v>
      </c>
      <c r="C157" t="s">
        <v>39</v>
      </c>
      <c r="D157" t="s">
        <v>40</v>
      </c>
      <c r="E157" t="s">
        <v>41</v>
      </c>
      <c r="F157" t="s">
        <v>858</v>
      </c>
      <c r="G157" t="s">
        <v>354</v>
      </c>
      <c r="H157" t="s">
        <v>859</v>
      </c>
      <c r="I157" t="s">
        <v>860</v>
      </c>
      <c r="J157" t="s">
        <v>69</v>
      </c>
      <c r="N157" t="s">
        <v>861</v>
      </c>
      <c r="O157" t="s">
        <v>48</v>
      </c>
      <c r="P157" t="s">
        <v>862</v>
      </c>
      <c r="Q157" s="534">
        <v>0</v>
      </c>
      <c r="R157" t="s">
        <v>3264</v>
      </c>
      <c r="S157">
        <v>84</v>
      </c>
      <c r="X157">
        <v>175</v>
      </c>
      <c r="AH157">
        <v>0</v>
      </c>
      <c r="BP157" s="534">
        <v>158</v>
      </c>
      <c r="BQ157" s="725">
        <v>201.5</v>
      </c>
      <c r="BR157" t="s">
        <v>52</v>
      </c>
      <c r="BS157" t="s">
        <v>52</v>
      </c>
      <c r="BT157">
        <v>0</v>
      </c>
      <c r="BU157" t="s">
        <v>52</v>
      </c>
      <c r="BV157">
        <v>0</v>
      </c>
      <c r="BW157">
        <v>80</v>
      </c>
      <c r="BX157" t="s">
        <v>2148</v>
      </c>
      <c r="BY157">
        <v>0</v>
      </c>
      <c r="BZ157">
        <v>0</v>
      </c>
      <c r="CA157">
        <v>0</v>
      </c>
      <c r="CB157">
        <v>0</v>
      </c>
      <c r="CC157" s="2146">
        <v>28</v>
      </c>
      <c r="CD157" s="2146" t="s">
        <v>2148</v>
      </c>
      <c r="CE157" s="2146">
        <v>0</v>
      </c>
      <c r="CF157" s="2146">
        <v>0</v>
      </c>
      <c r="CG157" s="2146">
        <v>0</v>
      </c>
      <c r="CH157">
        <v>0</v>
      </c>
      <c r="CJ157" t="s">
        <v>5581</v>
      </c>
    </row>
    <row r="158" spans="1:88">
      <c r="A158" t="s">
        <v>810</v>
      </c>
      <c r="B158" t="s">
        <v>863</v>
      </c>
      <c r="C158" t="s">
        <v>39</v>
      </c>
      <c r="D158" t="s">
        <v>101</v>
      </c>
      <c r="E158" t="s">
        <v>102</v>
      </c>
      <c r="F158" t="s">
        <v>842</v>
      </c>
      <c r="G158" t="s">
        <v>315</v>
      </c>
      <c r="H158" t="s">
        <v>864</v>
      </c>
      <c r="I158" t="s">
        <v>801</v>
      </c>
      <c r="J158" t="s">
        <v>5406</v>
      </c>
      <c r="K158" t="s">
        <v>45</v>
      </c>
      <c r="M158" t="s">
        <v>46</v>
      </c>
      <c r="N158" t="s">
        <v>106</v>
      </c>
      <c r="O158" t="s">
        <v>107</v>
      </c>
      <c r="P158" t="s">
        <v>865</v>
      </c>
      <c r="Q158" s="534">
        <v>1</v>
      </c>
      <c r="R158" t="s">
        <v>3264</v>
      </c>
      <c r="S158">
        <v>87</v>
      </c>
      <c r="X158">
        <v>89</v>
      </c>
      <c r="AH158">
        <v>0</v>
      </c>
      <c r="AM158" t="s">
        <v>50</v>
      </c>
      <c r="AN158" t="s">
        <v>109</v>
      </c>
      <c r="AO158" t="s">
        <v>109</v>
      </c>
      <c r="AP158" t="s">
        <v>109</v>
      </c>
      <c r="AQ158" t="s">
        <v>109</v>
      </c>
      <c r="AR158" t="s">
        <v>109</v>
      </c>
      <c r="AS158" t="s">
        <v>109</v>
      </c>
      <c r="AT158" t="s">
        <v>109</v>
      </c>
      <c r="AU158" t="s">
        <v>109</v>
      </c>
      <c r="AV158" t="s">
        <v>109</v>
      </c>
      <c r="AW158" t="s">
        <v>109</v>
      </c>
      <c r="AX158" t="s">
        <v>109</v>
      </c>
      <c r="AY158" t="s">
        <v>109</v>
      </c>
      <c r="AZ158" t="s">
        <v>109</v>
      </c>
      <c r="BA158" t="s">
        <v>109</v>
      </c>
      <c r="BB158" t="s">
        <v>109</v>
      </c>
      <c r="BC158" t="s">
        <v>109</v>
      </c>
      <c r="BD158" t="s">
        <v>109</v>
      </c>
      <c r="BE158" t="s">
        <v>109</v>
      </c>
      <c r="BF158" t="s">
        <v>109</v>
      </c>
      <c r="BG158" t="s">
        <v>109</v>
      </c>
      <c r="BH158" t="s">
        <v>109</v>
      </c>
      <c r="BL158" t="s">
        <v>109</v>
      </c>
      <c r="BN158">
        <v>1</v>
      </c>
      <c r="BO158" t="s">
        <v>51</v>
      </c>
      <c r="BP158" s="534">
        <v>87.5</v>
      </c>
      <c r="BQ158" s="722">
        <v>86.2</v>
      </c>
      <c r="BR158" t="s">
        <v>52</v>
      </c>
      <c r="BS158" t="s">
        <v>52</v>
      </c>
      <c r="BT158">
        <v>0</v>
      </c>
      <c r="BU158" t="s">
        <v>52</v>
      </c>
      <c r="BV158">
        <v>0</v>
      </c>
      <c r="BW158">
        <v>86.49</v>
      </c>
      <c r="BX158" t="s">
        <v>2148</v>
      </c>
      <c r="BY158">
        <v>0</v>
      </c>
      <c r="BZ158">
        <v>0</v>
      </c>
      <c r="CA158">
        <v>0</v>
      </c>
      <c r="CB158">
        <v>0</v>
      </c>
      <c r="CC158" s="2146">
        <v>87.6</v>
      </c>
      <c r="CD158" s="2146" t="s">
        <v>2148</v>
      </c>
      <c r="CE158" s="2146">
        <v>0</v>
      </c>
      <c r="CF158" s="2146">
        <v>0</v>
      </c>
      <c r="CG158" s="2146">
        <v>0</v>
      </c>
      <c r="CH158">
        <v>0</v>
      </c>
      <c r="CJ158" t="s">
        <v>5582</v>
      </c>
    </row>
    <row r="159" spans="1:88">
      <c r="A159" t="s">
        <v>810</v>
      </c>
      <c r="B159" t="s">
        <v>866</v>
      </c>
      <c r="C159" t="s">
        <v>39</v>
      </c>
      <c r="D159" t="s">
        <v>101</v>
      </c>
      <c r="E159" t="s">
        <v>102</v>
      </c>
      <c r="F159" t="s">
        <v>842</v>
      </c>
      <c r="G159" t="s">
        <v>319</v>
      </c>
      <c r="H159" t="s">
        <v>867</v>
      </c>
      <c r="I159" t="s">
        <v>868</v>
      </c>
      <c r="J159" t="s">
        <v>5408</v>
      </c>
      <c r="K159" t="s">
        <v>45</v>
      </c>
      <c r="M159" t="s">
        <v>46</v>
      </c>
      <c r="N159" t="s">
        <v>113</v>
      </c>
      <c r="O159" t="s">
        <v>750</v>
      </c>
      <c r="P159" t="s">
        <v>751</v>
      </c>
      <c r="Q159" s="534">
        <v>2</v>
      </c>
      <c r="S159">
        <v>0</v>
      </c>
      <c r="T159" t="s">
        <v>497</v>
      </c>
      <c r="U159" t="s">
        <v>497</v>
      </c>
      <c r="V159" t="s">
        <v>497</v>
      </c>
      <c r="W159" t="s">
        <v>497</v>
      </c>
      <c r="X159">
        <v>1.18</v>
      </c>
      <c r="AD159" t="s">
        <v>50</v>
      </c>
      <c r="AH159">
        <v>0</v>
      </c>
      <c r="AI159" t="s">
        <v>50</v>
      </c>
      <c r="AJ159" t="s">
        <v>50</v>
      </c>
      <c r="AK159" t="s">
        <v>50</v>
      </c>
      <c r="AL159" t="s">
        <v>50</v>
      </c>
      <c r="AM159" t="s">
        <v>50</v>
      </c>
      <c r="AN159" t="s">
        <v>497</v>
      </c>
      <c r="AO159" t="s">
        <v>497</v>
      </c>
      <c r="AP159" t="s">
        <v>497</v>
      </c>
      <c r="AQ159" t="s">
        <v>497</v>
      </c>
      <c r="AR159">
        <v>0</v>
      </c>
      <c r="AS159" t="s">
        <v>497</v>
      </c>
      <c r="AT159" t="s">
        <v>497</v>
      </c>
      <c r="AU159" t="s">
        <v>497</v>
      </c>
      <c r="AV159" t="s">
        <v>497</v>
      </c>
      <c r="AW159">
        <v>1.1000000000000001</v>
      </c>
      <c r="BH159">
        <v>0.05</v>
      </c>
      <c r="BI159">
        <v>0.17</v>
      </c>
      <c r="BN159">
        <v>1</v>
      </c>
      <c r="BO159" t="s">
        <v>51</v>
      </c>
      <c r="BP159" s="534" t="s">
        <v>2797</v>
      </c>
      <c r="BQ159" s="724">
        <v>0.33600000000000002</v>
      </c>
      <c r="BR159" t="s">
        <v>52</v>
      </c>
      <c r="BS159" t="s">
        <v>52</v>
      </c>
      <c r="BT159">
        <v>0</v>
      </c>
      <c r="BU159" t="s">
        <v>52</v>
      </c>
      <c r="BV159">
        <v>0</v>
      </c>
      <c r="BW159">
        <v>0.68300000000000005</v>
      </c>
      <c r="BX159" t="s">
        <v>2148</v>
      </c>
      <c r="BY159">
        <v>0</v>
      </c>
      <c r="BZ159">
        <v>0</v>
      </c>
      <c r="CA159">
        <v>0</v>
      </c>
      <c r="CB159">
        <v>0</v>
      </c>
      <c r="CC159" s="2146">
        <v>1.08</v>
      </c>
      <c r="CD159" s="2146" t="s">
        <v>2148</v>
      </c>
      <c r="CE159" s="2146">
        <v>0</v>
      </c>
      <c r="CF159" s="2146">
        <v>0</v>
      </c>
      <c r="CG159" s="2146">
        <v>0</v>
      </c>
      <c r="CH159">
        <v>0</v>
      </c>
      <c r="CJ159" t="s">
        <v>5583</v>
      </c>
    </row>
    <row r="160" spans="1:88">
      <c r="A160" t="s">
        <v>810</v>
      </c>
      <c r="B160" t="s">
        <v>869</v>
      </c>
      <c r="C160" t="s">
        <v>39</v>
      </c>
      <c r="D160" t="s">
        <v>101</v>
      </c>
      <c r="E160" t="s">
        <v>102</v>
      </c>
      <c r="F160" t="s">
        <v>870</v>
      </c>
      <c r="G160" t="s">
        <v>332</v>
      </c>
      <c r="H160" t="s">
        <v>871</v>
      </c>
      <c r="I160" t="s">
        <v>872</v>
      </c>
      <c r="J160" t="s">
        <v>69</v>
      </c>
      <c r="N160" t="s">
        <v>113</v>
      </c>
      <c r="O160" t="s">
        <v>76</v>
      </c>
      <c r="P160" t="s">
        <v>873</v>
      </c>
      <c r="Q160" s="534">
        <v>2</v>
      </c>
      <c r="R160" t="s">
        <v>3263</v>
      </c>
      <c r="X160" t="s">
        <v>874</v>
      </c>
      <c r="AH160">
        <v>0</v>
      </c>
      <c r="BP160" s="534">
        <v>3.36</v>
      </c>
      <c r="BQ160" s="724">
        <v>3.71</v>
      </c>
      <c r="BR160" t="s">
        <v>52</v>
      </c>
      <c r="BS160" t="s">
        <v>52</v>
      </c>
      <c r="BT160">
        <v>0</v>
      </c>
      <c r="BU160" t="s">
        <v>52</v>
      </c>
      <c r="BV160">
        <v>0</v>
      </c>
      <c r="BW160">
        <v>3.23</v>
      </c>
      <c r="BX160" t="s">
        <v>2148</v>
      </c>
      <c r="BY160">
        <v>0</v>
      </c>
      <c r="BZ160">
        <v>0</v>
      </c>
      <c r="CA160">
        <v>0</v>
      </c>
      <c r="CB160">
        <v>0</v>
      </c>
      <c r="CC160" s="2146">
        <v>3.03</v>
      </c>
      <c r="CD160" s="2146" t="s">
        <v>2148</v>
      </c>
      <c r="CE160" s="2146">
        <v>0</v>
      </c>
      <c r="CF160" s="2146">
        <v>0</v>
      </c>
      <c r="CG160" s="2146">
        <v>0</v>
      </c>
      <c r="CH160">
        <v>0</v>
      </c>
      <c r="CJ160" t="s">
        <v>5584</v>
      </c>
    </row>
    <row r="161" spans="1:88">
      <c r="A161" t="s">
        <v>875</v>
      </c>
      <c r="B161" t="s">
        <v>876</v>
      </c>
      <c r="C161" t="s">
        <v>39</v>
      </c>
      <c r="D161" t="s">
        <v>40</v>
      </c>
      <c r="E161" t="s">
        <v>41</v>
      </c>
      <c r="F161" t="s">
        <v>877</v>
      </c>
      <c r="G161" t="s">
        <v>315</v>
      </c>
      <c r="H161" t="s">
        <v>878</v>
      </c>
      <c r="I161" t="s">
        <v>879</v>
      </c>
      <c r="J161" t="s">
        <v>5408</v>
      </c>
      <c r="K161" t="s">
        <v>45</v>
      </c>
      <c r="M161" t="s">
        <v>46</v>
      </c>
      <c r="N161" t="s">
        <v>61</v>
      </c>
      <c r="O161" t="s">
        <v>107</v>
      </c>
      <c r="P161" t="s">
        <v>150</v>
      </c>
      <c r="Q161" s="534">
        <v>0</v>
      </c>
      <c r="R161" t="s">
        <v>3264</v>
      </c>
      <c r="S161">
        <v>100</v>
      </c>
      <c r="T161">
        <v>100</v>
      </c>
      <c r="U161">
        <v>100</v>
      </c>
      <c r="V161">
        <v>100</v>
      </c>
      <c r="W161">
        <v>100</v>
      </c>
      <c r="X161">
        <v>100</v>
      </c>
      <c r="AH161">
        <v>0</v>
      </c>
      <c r="AI161" t="s">
        <v>50</v>
      </c>
      <c r="AJ161" t="s">
        <v>50</v>
      </c>
      <c r="AK161" t="s">
        <v>50</v>
      </c>
      <c r="AL161" t="s">
        <v>50</v>
      </c>
      <c r="AM161" t="s">
        <v>50</v>
      </c>
      <c r="AN161" t="s">
        <v>880</v>
      </c>
      <c r="AO161" t="s">
        <v>880</v>
      </c>
      <c r="AP161" t="s">
        <v>880</v>
      </c>
      <c r="AQ161" t="s">
        <v>880</v>
      </c>
      <c r="AR161" t="s">
        <v>880</v>
      </c>
      <c r="AS161">
        <v>98</v>
      </c>
      <c r="AT161">
        <v>98</v>
      </c>
      <c r="AU161">
        <v>98</v>
      </c>
      <c r="AV161">
        <v>98</v>
      </c>
      <c r="AW161">
        <v>98</v>
      </c>
      <c r="BH161">
        <v>0.2</v>
      </c>
      <c r="BN161">
        <v>1</v>
      </c>
      <c r="BO161" t="s">
        <v>51</v>
      </c>
      <c r="BP161" s="534">
        <v>100</v>
      </c>
      <c r="BQ161" s="725">
        <v>100</v>
      </c>
      <c r="BR161" t="s">
        <v>50</v>
      </c>
      <c r="BS161" t="s">
        <v>52</v>
      </c>
      <c r="BT161">
        <v>0</v>
      </c>
      <c r="BU161" t="s">
        <v>52</v>
      </c>
      <c r="BV161">
        <v>0</v>
      </c>
      <c r="BW161">
        <v>100</v>
      </c>
      <c r="BX161" t="s">
        <v>50</v>
      </c>
      <c r="BY161">
        <v>0</v>
      </c>
      <c r="BZ161">
        <v>0</v>
      </c>
      <c r="CA161">
        <v>0</v>
      </c>
      <c r="CB161">
        <v>0</v>
      </c>
      <c r="CC161" s="2146">
        <v>100</v>
      </c>
      <c r="CD161" s="2146" t="s">
        <v>50</v>
      </c>
      <c r="CE161" s="2146">
        <v>0</v>
      </c>
      <c r="CF161" s="2146">
        <v>0</v>
      </c>
      <c r="CG161" s="2146">
        <v>0</v>
      </c>
      <c r="CH161">
        <v>0</v>
      </c>
      <c r="CJ161" t="s">
        <v>5585</v>
      </c>
    </row>
    <row r="162" spans="1:88">
      <c r="A162" t="s">
        <v>875</v>
      </c>
      <c r="B162" t="s">
        <v>881</v>
      </c>
      <c r="C162" t="s">
        <v>39</v>
      </c>
      <c r="D162" t="s">
        <v>40</v>
      </c>
      <c r="E162" t="s">
        <v>41</v>
      </c>
      <c r="F162" t="s">
        <v>877</v>
      </c>
      <c r="G162" t="s">
        <v>319</v>
      </c>
      <c r="H162" t="s">
        <v>882</v>
      </c>
      <c r="I162" t="s">
        <v>883</v>
      </c>
      <c r="J162" t="s">
        <v>69</v>
      </c>
      <c r="N162" t="s">
        <v>61</v>
      </c>
      <c r="O162" t="s">
        <v>107</v>
      </c>
      <c r="P162" t="s">
        <v>150</v>
      </c>
      <c r="Q162" s="534">
        <v>0</v>
      </c>
      <c r="R162" t="s">
        <v>3264</v>
      </c>
      <c r="S162">
        <v>100</v>
      </c>
      <c r="T162">
        <v>100</v>
      </c>
      <c r="U162">
        <v>100</v>
      </c>
      <c r="V162">
        <v>100</v>
      </c>
      <c r="W162">
        <v>100</v>
      </c>
      <c r="X162">
        <v>100</v>
      </c>
      <c r="AH162">
        <v>0</v>
      </c>
      <c r="BP162" s="534">
        <v>100</v>
      </c>
      <c r="BQ162" s="724">
        <v>100</v>
      </c>
      <c r="BR162" t="s">
        <v>50</v>
      </c>
      <c r="BS162" t="s">
        <v>52</v>
      </c>
      <c r="BT162">
        <v>0</v>
      </c>
      <c r="BU162" t="s">
        <v>52</v>
      </c>
      <c r="BV162">
        <v>0</v>
      </c>
      <c r="BW162">
        <v>100</v>
      </c>
      <c r="BX162" t="s">
        <v>50</v>
      </c>
      <c r="BY162">
        <v>0</v>
      </c>
      <c r="BZ162">
        <v>0</v>
      </c>
      <c r="CA162">
        <v>0</v>
      </c>
      <c r="CB162">
        <v>0</v>
      </c>
      <c r="CC162" s="2146">
        <v>100</v>
      </c>
      <c r="CD162" s="2146" t="s">
        <v>50</v>
      </c>
      <c r="CE162" s="2146">
        <v>0</v>
      </c>
      <c r="CF162" s="2146">
        <v>0</v>
      </c>
      <c r="CG162" s="2146">
        <v>0</v>
      </c>
      <c r="CH162">
        <v>0</v>
      </c>
      <c r="CJ162" t="s">
        <v>5586</v>
      </c>
    </row>
    <row r="163" spans="1:88">
      <c r="A163" t="s">
        <v>875</v>
      </c>
      <c r="B163" t="s">
        <v>884</v>
      </c>
      <c r="C163" t="s">
        <v>39</v>
      </c>
      <c r="D163" t="s">
        <v>40</v>
      </c>
      <c r="E163" t="s">
        <v>41</v>
      </c>
      <c r="F163" t="s">
        <v>877</v>
      </c>
      <c r="G163" t="s">
        <v>327</v>
      </c>
      <c r="H163" t="s">
        <v>885</v>
      </c>
      <c r="I163" t="s">
        <v>886</v>
      </c>
      <c r="J163" t="s">
        <v>5406</v>
      </c>
      <c r="K163" t="s">
        <v>45</v>
      </c>
      <c r="N163" t="s">
        <v>86</v>
      </c>
      <c r="O163" t="s">
        <v>119</v>
      </c>
      <c r="P163" t="s">
        <v>454</v>
      </c>
      <c r="Q163" s="534">
        <v>2</v>
      </c>
      <c r="R163" t="s">
        <v>3263</v>
      </c>
      <c r="S163">
        <v>0.28999999999999998</v>
      </c>
      <c r="T163">
        <v>0.26</v>
      </c>
      <c r="U163">
        <v>0.23</v>
      </c>
      <c r="V163">
        <v>0.2</v>
      </c>
      <c r="W163">
        <v>0.2</v>
      </c>
      <c r="X163">
        <v>0.2</v>
      </c>
      <c r="AA163" t="s">
        <v>50</v>
      </c>
      <c r="AE163" t="s">
        <v>50</v>
      </c>
      <c r="AH163">
        <v>0</v>
      </c>
      <c r="AI163" t="s">
        <v>50</v>
      </c>
      <c r="AJ163" t="s">
        <v>50</v>
      </c>
      <c r="AK163" t="s">
        <v>50</v>
      </c>
      <c r="AL163" t="s">
        <v>50</v>
      </c>
      <c r="AM163" t="s">
        <v>50</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51</v>
      </c>
      <c r="BP163" s="534">
        <v>0.48</v>
      </c>
      <c r="BQ163" s="726">
        <v>0.1</v>
      </c>
      <c r="BR163" t="s">
        <v>50</v>
      </c>
      <c r="BS163" t="s">
        <v>52</v>
      </c>
      <c r="BT163">
        <v>0</v>
      </c>
      <c r="BU163" t="s">
        <v>5425</v>
      </c>
      <c r="BV163">
        <v>0.2</v>
      </c>
      <c r="BW163">
        <v>7.2999999999999995E-2</v>
      </c>
      <c r="BX163" t="s">
        <v>50</v>
      </c>
      <c r="BY163">
        <v>0</v>
      </c>
      <c r="BZ163">
        <v>0</v>
      </c>
      <c r="CA163" t="s">
        <v>5425</v>
      </c>
      <c r="CB163">
        <v>0.254</v>
      </c>
      <c r="CC163" s="2146">
        <v>0.05</v>
      </c>
      <c r="CD163" s="2146" t="s">
        <v>50</v>
      </c>
      <c r="CE163" s="2146">
        <v>0</v>
      </c>
      <c r="CF163" s="2146">
        <v>0</v>
      </c>
      <c r="CG163" s="2146" t="s">
        <v>5425</v>
      </c>
      <c r="CH163">
        <v>0.29239999999999999</v>
      </c>
      <c r="CJ163" t="s">
        <v>5587</v>
      </c>
    </row>
    <row r="164" spans="1:88">
      <c r="A164" t="s">
        <v>875</v>
      </c>
      <c r="B164" t="s">
        <v>887</v>
      </c>
      <c r="C164" t="s">
        <v>39</v>
      </c>
      <c r="D164" t="s">
        <v>40</v>
      </c>
      <c r="E164" t="s">
        <v>41</v>
      </c>
      <c r="F164" t="s">
        <v>877</v>
      </c>
      <c r="G164" t="s">
        <v>444</v>
      </c>
      <c r="H164" t="s">
        <v>888</v>
      </c>
      <c r="I164" t="s">
        <v>889</v>
      </c>
      <c r="J164" t="s">
        <v>5408</v>
      </c>
      <c r="K164" t="s">
        <v>45</v>
      </c>
      <c r="N164" t="s">
        <v>91</v>
      </c>
      <c r="O164" t="s">
        <v>48</v>
      </c>
      <c r="P164" t="s">
        <v>92</v>
      </c>
      <c r="Q164" s="534">
        <v>0</v>
      </c>
      <c r="R164" t="s">
        <v>3263</v>
      </c>
      <c r="S164">
        <v>227</v>
      </c>
      <c r="T164">
        <v>290</v>
      </c>
      <c r="U164">
        <v>290</v>
      </c>
      <c r="V164">
        <v>290</v>
      </c>
      <c r="W164">
        <v>290</v>
      </c>
      <c r="X164">
        <v>290</v>
      </c>
      <c r="AE164" t="s">
        <v>50</v>
      </c>
      <c r="AH164">
        <v>0</v>
      </c>
      <c r="AI164" t="s">
        <v>50</v>
      </c>
      <c r="AJ164" t="s">
        <v>50</v>
      </c>
      <c r="AK164" t="s">
        <v>50</v>
      </c>
      <c r="AL164" t="s">
        <v>50</v>
      </c>
      <c r="AM164" t="s">
        <v>50</v>
      </c>
      <c r="AN164">
        <v>470</v>
      </c>
      <c r="AO164">
        <v>470</v>
      </c>
      <c r="AP164">
        <v>470</v>
      </c>
      <c r="AQ164">
        <v>470</v>
      </c>
      <c r="AR164">
        <v>470</v>
      </c>
      <c r="AS164">
        <v>345</v>
      </c>
      <c r="AT164">
        <v>345</v>
      </c>
      <c r="AU164">
        <v>345</v>
      </c>
      <c r="AV164">
        <v>345</v>
      </c>
      <c r="AW164">
        <v>345</v>
      </c>
      <c r="BH164">
        <v>3.0000000000000001E-3</v>
      </c>
      <c r="BN164">
        <v>1</v>
      </c>
      <c r="BO164" t="s">
        <v>51</v>
      </c>
      <c r="BP164" s="534">
        <v>221</v>
      </c>
      <c r="BQ164" s="725">
        <v>212</v>
      </c>
      <c r="BR164" t="s">
        <v>50</v>
      </c>
      <c r="BS164" t="s">
        <v>52</v>
      </c>
      <c r="BT164">
        <v>0</v>
      </c>
      <c r="BU164" t="s">
        <v>52</v>
      </c>
      <c r="BV164">
        <v>0</v>
      </c>
      <c r="BW164">
        <v>234</v>
      </c>
      <c r="BX164" t="s">
        <v>50</v>
      </c>
      <c r="BY164">
        <v>0</v>
      </c>
      <c r="BZ164">
        <v>0</v>
      </c>
      <c r="CA164">
        <v>0</v>
      </c>
      <c r="CB164">
        <v>0</v>
      </c>
      <c r="CC164" s="2146">
        <v>214</v>
      </c>
      <c r="CD164" s="2146" t="s">
        <v>50</v>
      </c>
      <c r="CE164" s="2146">
        <v>0</v>
      </c>
      <c r="CF164" s="2146">
        <v>0</v>
      </c>
      <c r="CG164" s="2146">
        <v>0</v>
      </c>
      <c r="CH164">
        <v>0</v>
      </c>
      <c r="CJ164" t="s">
        <v>5588</v>
      </c>
    </row>
    <row r="165" spans="1:88">
      <c r="A165" t="s">
        <v>875</v>
      </c>
      <c r="B165" t="s">
        <v>890</v>
      </c>
      <c r="C165" t="s">
        <v>39</v>
      </c>
      <c r="D165" t="s">
        <v>40</v>
      </c>
      <c r="E165" t="s">
        <v>41</v>
      </c>
      <c r="F165" t="s">
        <v>877</v>
      </c>
      <c r="G165" t="s">
        <v>891</v>
      </c>
      <c r="H165" t="s">
        <v>892</v>
      </c>
      <c r="I165" t="s">
        <v>893</v>
      </c>
      <c r="J165" t="s">
        <v>5408</v>
      </c>
      <c r="K165" t="s">
        <v>45</v>
      </c>
      <c r="N165" t="s">
        <v>75</v>
      </c>
      <c r="O165" t="s">
        <v>76</v>
      </c>
      <c r="P165" t="s">
        <v>77</v>
      </c>
      <c r="Q165" s="534">
        <v>2</v>
      </c>
      <c r="R165" t="s">
        <v>3264</v>
      </c>
      <c r="S165">
        <v>100</v>
      </c>
      <c r="T165">
        <v>100</v>
      </c>
      <c r="U165">
        <v>100</v>
      </c>
      <c r="V165">
        <v>100</v>
      </c>
      <c r="W165">
        <v>100</v>
      </c>
      <c r="X165">
        <v>100</v>
      </c>
      <c r="Y165" t="s">
        <v>50</v>
      </c>
      <c r="AE165" t="s">
        <v>50</v>
      </c>
      <c r="AH165">
        <v>0</v>
      </c>
      <c r="AI165" t="s">
        <v>50</v>
      </c>
      <c r="AJ165" t="s">
        <v>50</v>
      </c>
      <c r="AK165" t="s">
        <v>50</v>
      </c>
      <c r="AL165" t="s">
        <v>50</v>
      </c>
      <c r="AM165" t="s">
        <v>50</v>
      </c>
      <c r="AN165">
        <v>99.93</v>
      </c>
      <c r="AO165">
        <v>99.93</v>
      </c>
      <c r="AP165">
        <v>99.94</v>
      </c>
      <c r="AQ165">
        <v>99.94</v>
      </c>
      <c r="AR165">
        <v>99.94</v>
      </c>
      <c r="AS165">
        <v>99.94</v>
      </c>
      <c r="AT165">
        <v>99.94</v>
      </c>
      <c r="AU165">
        <v>99.95</v>
      </c>
      <c r="AV165">
        <v>99.95</v>
      </c>
      <c r="AW165">
        <v>99.95</v>
      </c>
      <c r="BH165">
        <v>0.14000000000000001</v>
      </c>
      <c r="BN165">
        <v>100</v>
      </c>
      <c r="BO165" t="s">
        <v>351</v>
      </c>
      <c r="BP165" s="534">
        <v>99.98</v>
      </c>
      <c r="BQ165" s="726">
        <v>99.95</v>
      </c>
      <c r="BR165" t="s">
        <v>46</v>
      </c>
      <c r="BS165" t="s">
        <v>52</v>
      </c>
      <c r="BT165">
        <v>0</v>
      </c>
      <c r="BU165" t="s">
        <v>5378</v>
      </c>
      <c r="BV165">
        <v>0</v>
      </c>
      <c r="BW165">
        <v>99.98</v>
      </c>
      <c r="BX165" t="s">
        <v>46</v>
      </c>
      <c r="BY165">
        <v>0</v>
      </c>
      <c r="BZ165">
        <v>0</v>
      </c>
      <c r="CA165" t="s">
        <v>5378</v>
      </c>
      <c r="CB165">
        <v>0</v>
      </c>
      <c r="CC165" s="2146">
        <v>99.98</v>
      </c>
      <c r="CD165" s="2146" t="s">
        <v>46</v>
      </c>
      <c r="CE165" s="2146">
        <v>0</v>
      </c>
      <c r="CF165" s="2146">
        <v>0</v>
      </c>
      <c r="CG165" s="2146" t="s">
        <v>13445</v>
      </c>
      <c r="CH165">
        <v>0</v>
      </c>
      <c r="CJ165" t="s">
        <v>5589</v>
      </c>
    </row>
    <row r="166" spans="1:88">
      <c r="A166" t="s">
        <v>875</v>
      </c>
      <c r="B166" t="s">
        <v>894</v>
      </c>
      <c r="C166" t="s">
        <v>39</v>
      </c>
      <c r="D166" t="s">
        <v>40</v>
      </c>
      <c r="E166" t="s">
        <v>41</v>
      </c>
      <c r="F166" t="s">
        <v>877</v>
      </c>
      <c r="G166" t="s">
        <v>895</v>
      </c>
      <c r="H166" t="s">
        <v>896</v>
      </c>
      <c r="I166" t="s">
        <v>897</v>
      </c>
      <c r="J166" t="s">
        <v>5406</v>
      </c>
      <c r="K166" t="s">
        <v>45</v>
      </c>
      <c r="N166" t="s">
        <v>24</v>
      </c>
      <c r="O166" t="s">
        <v>48</v>
      </c>
      <c r="P166" t="s">
        <v>357</v>
      </c>
      <c r="Q166" s="534">
        <v>0</v>
      </c>
      <c r="R166" t="s">
        <v>3263</v>
      </c>
      <c r="S166">
        <v>350</v>
      </c>
      <c r="T166">
        <v>350</v>
      </c>
      <c r="U166">
        <v>350</v>
      </c>
      <c r="V166">
        <v>350</v>
      </c>
      <c r="W166">
        <v>350</v>
      </c>
      <c r="X166">
        <v>350</v>
      </c>
      <c r="Z166" t="s">
        <v>50</v>
      </c>
      <c r="AE166" t="s">
        <v>50</v>
      </c>
      <c r="AH166">
        <v>0</v>
      </c>
      <c r="AI166" t="s">
        <v>50</v>
      </c>
      <c r="AJ166" t="s">
        <v>50</v>
      </c>
      <c r="AK166" t="s">
        <v>50</v>
      </c>
      <c r="AL166" t="s">
        <v>50</v>
      </c>
      <c r="AM166" t="s">
        <v>50</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51</v>
      </c>
      <c r="BP166" s="534">
        <v>540</v>
      </c>
      <c r="BQ166" s="725">
        <v>419</v>
      </c>
      <c r="BR166" t="s">
        <v>46</v>
      </c>
      <c r="BS166" t="s">
        <v>52</v>
      </c>
      <c r="BT166">
        <v>0</v>
      </c>
      <c r="BU166" t="s">
        <v>5415</v>
      </c>
      <c r="BV166">
        <v>-4.3999999999999997E-2</v>
      </c>
      <c r="BW166">
        <v>375</v>
      </c>
      <c r="BX166" t="s">
        <v>46</v>
      </c>
      <c r="BY166">
        <v>0</v>
      </c>
      <c r="BZ166">
        <v>0</v>
      </c>
      <c r="CA166" t="s">
        <v>5378</v>
      </c>
      <c r="CB166">
        <v>0</v>
      </c>
      <c r="CC166" s="2146">
        <v>365</v>
      </c>
      <c r="CD166" s="2146" t="s">
        <v>46</v>
      </c>
      <c r="CE166" s="2146">
        <v>0</v>
      </c>
      <c r="CF166" s="2146">
        <v>0</v>
      </c>
      <c r="CG166" s="2146" t="s">
        <v>13445</v>
      </c>
      <c r="CH166">
        <v>0</v>
      </c>
      <c r="CJ166" t="s">
        <v>5590</v>
      </c>
    </row>
    <row r="167" spans="1:88">
      <c r="A167" t="s">
        <v>875</v>
      </c>
      <c r="B167" t="s">
        <v>898</v>
      </c>
      <c r="C167" t="s">
        <v>39</v>
      </c>
      <c r="D167" t="s">
        <v>40</v>
      </c>
      <c r="E167" t="s">
        <v>41</v>
      </c>
      <c r="F167" t="s">
        <v>877</v>
      </c>
      <c r="G167" t="s">
        <v>899</v>
      </c>
      <c r="H167" t="s">
        <v>900</v>
      </c>
      <c r="I167" t="s">
        <v>901</v>
      </c>
      <c r="J167" t="s">
        <v>5408</v>
      </c>
      <c r="K167" t="s">
        <v>45</v>
      </c>
      <c r="M167" t="s">
        <v>46</v>
      </c>
      <c r="N167" t="s">
        <v>75</v>
      </c>
      <c r="O167" t="s">
        <v>281</v>
      </c>
      <c r="P167" t="s">
        <v>902</v>
      </c>
      <c r="Q167" s="534" t="s">
        <v>51</v>
      </c>
      <c r="S167" t="s">
        <v>688</v>
      </c>
      <c r="T167" t="s">
        <v>688</v>
      </c>
      <c r="U167" t="s">
        <v>688</v>
      </c>
      <c r="V167" t="s">
        <v>688</v>
      </c>
      <c r="W167" t="s">
        <v>688</v>
      </c>
      <c r="X167" t="s">
        <v>688</v>
      </c>
      <c r="AD167" t="s">
        <v>50</v>
      </c>
      <c r="AE167" t="s">
        <v>50</v>
      </c>
      <c r="AH167">
        <v>0</v>
      </c>
      <c r="AI167" t="s">
        <v>50</v>
      </c>
      <c r="AJ167" t="s">
        <v>50</v>
      </c>
      <c r="AK167" t="s">
        <v>50</v>
      </c>
      <c r="AL167" t="s">
        <v>50</v>
      </c>
      <c r="AM167" t="s">
        <v>50</v>
      </c>
      <c r="AS167" t="s">
        <v>687</v>
      </c>
      <c r="AT167" t="s">
        <v>687</v>
      </c>
      <c r="AU167" t="s">
        <v>687</v>
      </c>
      <c r="AV167" t="s">
        <v>687</v>
      </c>
      <c r="AW167" t="s">
        <v>687</v>
      </c>
      <c r="BH167">
        <v>3</v>
      </c>
      <c r="BN167">
        <v>1</v>
      </c>
      <c r="BO167" t="s">
        <v>51</v>
      </c>
      <c r="BP167" s="534" t="s">
        <v>2890</v>
      </c>
      <c r="BQ167" s="724" t="s">
        <v>788</v>
      </c>
      <c r="BR167" t="s">
        <v>50</v>
      </c>
      <c r="BS167" t="s">
        <v>52</v>
      </c>
      <c r="BT167">
        <v>0</v>
      </c>
      <c r="BU167" t="s">
        <v>52</v>
      </c>
      <c r="BV167">
        <v>0</v>
      </c>
      <c r="BW167" t="s">
        <v>788</v>
      </c>
      <c r="BX167" t="s">
        <v>50</v>
      </c>
      <c r="BY167">
        <v>0</v>
      </c>
      <c r="BZ167">
        <v>0</v>
      </c>
      <c r="CA167">
        <v>0</v>
      </c>
      <c r="CB167">
        <v>0</v>
      </c>
      <c r="CC167" s="2146" t="s">
        <v>788</v>
      </c>
      <c r="CD167" s="2146" t="s">
        <v>50</v>
      </c>
      <c r="CE167" s="2146">
        <v>0</v>
      </c>
      <c r="CF167" s="2146">
        <v>0</v>
      </c>
      <c r="CG167" s="2146">
        <v>0</v>
      </c>
      <c r="CH167">
        <v>0</v>
      </c>
      <c r="CJ167" t="s">
        <v>5591</v>
      </c>
    </row>
    <row r="168" spans="1:88">
      <c r="A168" t="s">
        <v>875</v>
      </c>
      <c r="B168" t="s">
        <v>903</v>
      </c>
      <c r="C168" t="s">
        <v>39</v>
      </c>
      <c r="D168" t="s">
        <v>40</v>
      </c>
      <c r="E168" t="s">
        <v>41</v>
      </c>
      <c r="F168" t="s">
        <v>904</v>
      </c>
      <c r="G168" t="s">
        <v>338</v>
      </c>
      <c r="H168" t="s">
        <v>905</v>
      </c>
      <c r="I168" t="s">
        <v>906</v>
      </c>
      <c r="J168" t="s">
        <v>69</v>
      </c>
      <c r="N168" t="s">
        <v>143</v>
      </c>
      <c r="O168" t="s">
        <v>48</v>
      </c>
      <c r="P168" t="s">
        <v>907</v>
      </c>
      <c r="Q168" s="534">
        <v>0</v>
      </c>
      <c r="R168" t="s">
        <v>3263</v>
      </c>
      <c r="S168">
        <v>1</v>
      </c>
      <c r="T168">
        <v>1</v>
      </c>
      <c r="U168">
        <v>1</v>
      </c>
      <c r="V168">
        <v>1</v>
      </c>
      <c r="W168">
        <v>1</v>
      </c>
      <c r="X168">
        <v>1</v>
      </c>
      <c r="AH168">
        <v>0</v>
      </c>
      <c r="BP168" s="534">
        <v>0</v>
      </c>
      <c r="BQ168" s="725">
        <v>0</v>
      </c>
      <c r="BR168" t="s">
        <v>50</v>
      </c>
      <c r="BS168" t="s">
        <v>52</v>
      </c>
      <c r="BT168">
        <v>0</v>
      </c>
      <c r="BU168" t="s">
        <v>52</v>
      </c>
      <c r="BV168">
        <v>0</v>
      </c>
      <c r="BW168">
        <v>0</v>
      </c>
      <c r="BX168" t="s">
        <v>50</v>
      </c>
      <c r="BY168">
        <v>0</v>
      </c>
      <c r="BZ168">
        <v>0</v>
      </c>
      <c r="CA168">
        <v>0</v>
      </c>
      <c r="CB168">
        <v>0</v>
      </c>
      <c r="CC168" s="2146">
        <v>0</v>
      </c>
      <c r="CD168" s="2146" t="s">
        <v>50</v>
      </c>
      <c r="CE168" s="2146">
        <v>0</v>
      </c>
      <c r="CF168" s="2146">
        <v>0</v>
      </c>
      <c r="CG168" s="2146">
        <v>0</v>
      </c>
      <c r="CH168">
        <v>0</v>
      </c>
      <c r="CJ168" t="s">
        <v>5592</v>
      </c>
    </row>
    <row r="169" spans="1:88">
      <c r="A169" t="s">
        <v>875</v>
      </c>
      <c r="B169" t="s">
        <v>908</v>
      </c>
      <c r="C169" t="s">
        <v>39</v>
      </c>
      <c r="D169" t="s">
        <v>40</v>
      </c>
      <c r="E169" t="s">
        <v>41</v>
      </c>
      <c r="F169" t="s">
        <v>904</v>
      </c>
      <c r="G169" t="s">
        <v>342</v>
      </c>
      <c r="H169" t="s">
        <v>909</v>
      </c>
      <c r="I169" t="s">
        <v>910</v>
      </c>
      <c r="J169" t="s">
        <v>5406</v>
      </c>
      <c r="K169" t="s">
        <v>45</v>
      </c>
      <c r="N169" t="s">
        <v>137</v>
      </c>
      <c r="O169" t="s">
        <v>76</v>
      </c>
      <c r="P169" t="s">
        <v>911</v>
      </c>
      <c r="Q169" s="534">
        <v>0</v>
      </c>
      <c r="R169" t="s">
        <v>3264</v>
      </c>
      <c r="S169">
        <v>36</v>
      </c>
      <c r="T169">
        <v>36</v>
      </c>
      <c r="U169">
        <v>36</v>
      </c>
      <c r="V169">
        <v>36</v>
      </c>
      <c r="W169">
        <v>56</v>
      </c>
      <c r="X169">
        <v>56</v>
      </c>
      <c r="AE169" t="s">
        <v>50</v>
      </c>
      <c r="AH169">
        <v>0</v>
      </c>
      <c r="AL169" t="s">
        <v>50</v>
      </c>
      <c r="AM169" t="s">
        <v>50</v>
      </c>
      <c r="AQ169">
        <v>51</v>
      </c>
      <c r="AR169">
        <v>51</v>
      </c>
      <c r="AV169">
        <v>56</v>
      </c>
      <c r="AW169">
        <v>56</v>
      </c>
      <c r="BA169">
        <v>56</v>
      </c>
      <c r="BB169">
        <v>56</v>
      </c>
      <c r="BF169">
        <v>66</v>
      </c>
      <c r="BG169">
        <v>66</v>
      </c>
      <c r="BH169">
        <v>1.485E-2</v>
      </c>
      <c r="BL169">
        <v>5.1999999999999998E-3</v>
      </c>
      <c r="BN169">
        <v>1</v>
      </c>
      <c r="BO169" t="s">
        <v>51</v>
      </c>
      <c r="BP169" s="534">
        <v>36</v>
      </c>
      <c r="BQ169" s="725">
        <v>36</v>
      </c>
      <c r="BR169" t="s">
        <v>50</v>
      </c>
      <c r="BS169" t="s">
        <v>52</v>
      </c>
      <c r="BT169">
        <v>0</v>
      </c>
      <c r="BU169" t="s">
        <v>52</v>
      </c>
      <c r="BV169">
        <v>0</v>
      </c>
      <c r="BW169">
        <v>36</v>
      </c>
      <c r="BX169" t="s">
        <v>50</v>
      </c>
      <c r="BY169">
        <v>0</v>
      </c>
      <c r="BZ169">
        <v>0</v>
      </c>
      <c r="CA169">
        <v>0</v>
      </c>
      <c r="CB169">
        <v>0</v>
      </c>
      <c r="CC169" s="2146">
        <v>36</v>
      </c>
      <c r="CD169" s="2146" t="s">
        <v>50</v>
      </c>
      <c r="CE169" s="2146">
        <v>0</v>
      </c>
      <c r="CF169" s="2146">
        <v>0</v>
      </c>
      <c r="CG169" s="2146">
        <v>0</v>
      </c>
      <c r="CH169">
        <v>0</v>
      </c>
      <c r="CJ169" t="s">
        <v>5593</v>
      </c>
    </row>
    <row r="170" spans="1:88">
      <c r="A170" t="s">
        <v>875</v>
      </c>
      <c r="B170" t="s">
        <v>912</v>
      </c>
      <c r="C170" t="s">
        <v>39</v>
      </c>
      <c r="D170" t="s">
        <v>40</v>
      </c>
      <c r="E170" t="s">
        <v>41</v>
      </c>
      <c r="F170" t="s">
        <v>913</v>
      </c>
      <c r="G170" t="s">
        <v>354</v>
      </c>
      <c r="H170" t="s">
        <v>914</v>
      </c>
      <c r="I170" t="s">
        <v>915</v>
      </c>
      <c r="J170" t="s">
        <v>5406</v>
      </c>
      <c r="K170" t="s">
        <v>45</v>
      </c>
      <c r="N170" t="s">
        <v>47</v>
      </c>
      <c r="O170" t="s">
        <v>48</v>
      </c>
      <c r="P170" t="s">
        <v>49</v>
      </c>
      <c r="Q170" s="534">
        <v>2</v>
      </c>
      <c r="R170" t="s">
        <v>3263</v>
      </c>
      <c r="S170">
        <v>24.5</v>
      </c>
      <c r="T170">
        <v>24.4</v>
      </c>
      <c r="U170">
        <v>24.3</v>
      </c>
      <c r="V170">
        <v>24.2</v>
      </c>
      <c r="W170">
        <v>24.1</v>
      </c>
      <c r="X170">
        <v>24</v>
      </c>
      <c r="AE170" t="s">
        <v>50</v>
      </c>
      <c r="AH170">
        <v>0</v>
      </c>
      <c r="AI170" t="s">
        <v>50</v>
      </c>
      <c r="AJ170" t="s">
        <v>50</v>
      </c>
      <c r="AK170" t="s">
        <v>50</v>
      </c>
      <c r="AL170" t="s">
        <v>50</v>
      </c>
      <c r="AM170" t="s">
        <v>50</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51</v>
      </c>
      <c r="BP170" s="534">
        <v>24.2</v>
      </c>
      <c r="BQ170" s="722">
        <v>24.17</v>
      </c>
      <c r="BR170" t="s">
        <v>50</v>
      </c>
      <c r="BS170" t="s">
        <v>52</v>
      </c>
      <c r="BT170">
        <v>0</v>
      </c>
      <c r="BU170" t="s">
        <v>5379</v>
      </c>
      <c r="BV170">
        <v>0</v>
      </c>
      <c r="BW170">
        <v>24.34</v>
      </c>
      <c r="BX170" t="s">
        <v>46</v>
      </c>
      <c r="BY170">
        <v>0</v>
      </c>
      <c r="BZ170">
        <v>0</v>
      </c>
      <c r="CA170" t="s">
        <v>5378</v>
      </c>
      <c r="CB170">
        <v>0</v>
      </c>
      <c r="CC170" s="2146">
        <v>24.2</v>
      </c>
      <c r="CD170" s="2146" t="s">
        <v>50</v>
      </c>
      <c r="CE170" s="2146">
        <v>0</v>
      </c>
      <c r="CF170" s="2146">
        <v>0</v>
      </c>
      <c r="CG170" s="2146" t="s">
        <v>5379</v>
      </c>
      <c r="CH170">
        <v>0</v>
      </c>
      <c r="CJ170" t="s">
        <v>5594</v>
      </c>
    </row>
    <row r="171" spans="1:88">
      <c r="A171" t="s">
        <v>875</v>
      </c>
      <c r="B171" t="s">
        <v>916</v>
      </c>
      <c r="C171" t="s">
        <v>39</v>
      </c>
      <c r="D171" t="s">
        <v>40</v>
      </c>
      <c r="E171" t="s">
        <v>41</v>
      </c>
      <c r="F171" t="s">
        <v>913</v>
      </c>
      <c r="G171" t="s">
        <v>489</v>
      </c>
      <c r="H171" t="s">
        <v>917</v>
      </c>
      <c r="I171" t="s">
        <v>918</v>
      </c>
      <c r="J171" t="s">
        <v>5408</v>
      </c>
      <c r="K171" t="s">
        <v>45</v>
      </c>
      <c r="N171" t="s">
        <v>56</v>
      </c>
      <c r="O171" t="s">
        <v>48</v>
      </c>
      <c r="P171" t="s">
        <v>397</v>
      </c>
      <c r="Q171" s="534">
        <v>1</v>
      </c>
      <c r="R171" t="s">
        <v>3263</v>
      </c>
      <c r="S171">
        <v>162.80000000000001</v>
      </c>
      <c r="T171">
        <v>161.19999999999999</v>
      </c>
      <c r="U171">
        <v>160</v>
      </c>
      <c r="V171">
        <v>158.80000000000001</v>
      </c>
      <c r="W171">
        <v>157.69999999999999</v>
      </c>
      <c r="X171">
        <v>156.9</v>
      </c>
      <c r="AH171">
        <v>0</v>
      </c>
      <c r="AI171" t="s">
        <v>50</v>
      </c>
      <c r="AJ171" t="s">
        <v>50</v>
      </c>
      <c r="AK171" t="s">
        <v>50</v>
      </c>
      <c r="AL171" t="s">
        <v>50</v>
      </c>
      <c r="AM171" t="s">
        <v>50</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51</v>
      </c>
      <c r="BP171" s="534">
        <v>161.1</v>
      </c>
      <c r="BQ171" s="722">
        <v>160.9</v>
      </c>
      <c r="BR171" t="s">
        <v>50</v>
      </c>
      <c r="BS171" t="s">
        <v>52</v>
      </c>
      <c r="BT171">
        <v>0</v>
      </c>
      <c r="BU171" t="s">
        <v>52</v>
      </c>
      <c r="BV171">
        <v>0</v>
      </c>
      <c r="BW171">
        <v>159.72999999999999</v>
      </c>
      <c r="BX171" t="s">
        <v>50</v>
      </c>
      <c r="BY171">
        <v>0</v>
      </c>
      <c r="BZ171">
        <v>0</v>
      </c>
      <c r="CA171">
        <v>0</v>
      </c>
      <c r="CB171">
        <v>0</v>
      </c>
      <c r="CC171" s="2146">
        <v>158.80000000000001</v>
      </c>
      <c r="CD171" s="2146" t="s">
        <v>50</v>
      </c>
      <c r="CE171" s="2146">
        <v>0</v>
      </c>
      <c r="CF171" s="2146">
        <v>0</v>
      </c>
      <c r="CG171" s="2146">
        <v>0</v>
      </c>
      <c r="CH171">
        <v>0</v>
      </c>
      <c r="CJ171" t="s">
        <v>5595</v>
      </c>
    </row>
    <row r="172" spans="1:88">
      <c r="A172" t="s">
        <v>875</v>
      </c>
      <c r="B172" t="s">
        <v>919</v>
      </c>
      <c r="C172" t="s">
        <v>39</v>
      </c>
      <c r="D172" t="s">
        <v>40</v>
      </c>
      <c r="E172" t="s">
        <v>41</v>
      </c>
      <c r="F172" t="s">
        <v>913</v>
      </c>
      <c r="G172" t="s">
        <v>920</v>
      </c>
      <c r="H172" t="s">
        <v>921</v>
      </c>
      <c r="I172" t="s">
        <v>922</v>
      </c>
      <c r="J172" t="s">
        <v>69</v>
      </c>
      <c r="N172" t="s">
        <v>923</v>
      </c>
      <c r="O172" t="s">
        <v>48</v>
      </c>
      <c r="P172" t="s">
        <v>924</v>
      </c>
      <c r="Q172" s="534">
        <v>0</v>
      </c>
      <c r="R172" t="s">
        <v>3264</v>
      </c>
      <c r="S172">
        <v>6221</v>
      </c>
      <c r="T172">
        <v>8000</v>
      </c>
      <c r="U172">
        <v>8500</v>
      </c>
      <c r="V172">
        <v>9000</v>
      </c>
      <c r="W172">
        <v>9500</v>
      </c>
      <c r="X172" t="s">
        <v>925</v>
      </c>
      <c r="AH172">
        <v>0</v>
      </c>
      <c r="BP172" s="534">
        <v>7249</v>
      </c>
      <c r="BQ172" s="725">
        <v>13314</v>
      </c>
      <c r="BR172" t="s">
        <v>50</v>
      </c>
      <c r="BS172" t="s">
        <v>52</v>
      </c>
      <c r="BT172">
        <v>0</v>
      </c>
      <c r="BU172" t="s">
        <v>52</v>
      </c>
      <c r="BV172">
        <v>0</v>
      </c>
      <c r="BW172">
        <v>10703</v>
      </c>
      <c r="BX172" t="s">
        <v>50</v>
      </c>
      <c r="BY172">
        <v>0</v>
      </c>
      <c r="BZ172">
        <v>0</v>
      </c>
      <c r="CA172">
        <v>0</v>
      </c>
      <c r="CB172">
        <v>0</v>
      </c>
      <c r="CC172" s="2146">
        <v>9551</v>
      </c>
      <c r="CD172" s="2146" t="s">
        <v>50</v>
      </c>
      <c r="CE172" s="2146">
        <v>0</v>
      </c>
      <c r="CF172" s="2146">
        <v>0</v>
      </c>
      <c r="CG172" s="2146">
        <v>0</v>
      </c>
      <c r="CH172">
        <v>0</v>
      </c>
      <c r="CJ172" t="s">
        <v>5596</v>
      </c>
    </row>
    <row r="173" spans="1:88">
      <c r="A173" t="s">
        <v>875</v>
      </c>
      <c r="B173" t="s">
        <v>926</v>
      </c>
      <c r="C173" t="s">
        <v>39</v>
      </c>
      <c r="D173" t="s">
        <v>40</v>
      </c>
      <c r="E173" t="s">
        <v>41</v>
      </c>
      <c r="F173" t="s">
        <v>913</v>
      </c>
      <c r="G173" t="s">
        <v>927</v>
      </c>
      <c r="H173" t="s">
        <v>928</v>
      </c>
      <c r="I173" t="s">
        <v>929</v>
      </c>
      <c r="J173" t="s">
        <v>69</v>
      </c>
      <c r="N173" t="s">
        <v>182</v>
      </c>
      <c r="O173" t="s">
        <v>48</v>
      </c>
      <c r="P173" t="s">
        <v>930</v>
      </c>
      <c r="Q173" s="534">
        <v>0</v>
      </c>
      <c r="R173" t="s">
        <v>3263</v>
      </c>
      <c r="S173">
        <v>529</v>
      </c>
      <c r="T173">
        <v>525</v>
      </c>
      <c r="U173">
        <v>525</v>
      </c>
      <c r="V173">
        <v>525</v>
      </c>
      <c r="W173">
        <v>525</v>
      </c>
      <c r="X173">
        <v>525</v>
      </c>
      <c r="AH173">
        <v>0</v>
      </c>
      <c r="BP173" s="534">
        <v>509</v>
      </c>
      <c r="BQ173" s="725">
        <v>470</v>
      </c>
      <c r="BR173" t="s">
        <v>50</v>
      </c>
      <c r="BS173" t="s">
        <v>52</v>
      </c>
      <c r="BT173">
        <v>0</v>
      </c>
      <c r="BU173" t="s">
        <v>52</v>
      </c>
      <c r="BV173">
        <v>0</v>
      </c>
      <c r="BW173">
        <v>420</v>
      </c>
      <c r="BX173" t="s">
        <v>50</v>
      </c>
      <c r="BY173">
        <v>0</v>
      </c>
      <c r="BZ173">
        <v>0</v>
      </c>
      <c r="CA173">
        <v>0</v>
      </c>
      <c r="CB173">
        <v>0</v>
      </c>
      <c r="CC173" s="2146">
        <v>376</v>
      </c>
      <c r="CD173" s="2146" t="s">
        <v>50</v>
      </c>
      <c r="CE173" s="2146">
        <v>0</v>
      </c>
      <c r="CF173" s="2146">
        <v>0</v>
      </c>
      <c r="CG173" s="2146">
        <v>0</v>
      </c>
      <c r="CH173">
        <v>0</v>
      </c>
      <c r="CJ173" t="s">
        <v>5597</v>
      </c>
    </row>
    <row r="174" spans="1:88">
      <c r="A174" t="s">
        <v>875</v>
      </c>
      <c r="B174" t="s">
        <v>931</v>
      </c>
      <c r="C174" t="s">
        <v>39</v>
      </c>
      <c r="D174" t="s">
        <v>40</v>
      </c>
      <c r="E174" t="s">
        <v>41</v>
      </c>
      <c r="F174" t="s">
        <v>913</v>
      </c>
      <c r="G174" t="s">
        <v>932</v>
      </c>
      <c r="H174" t="s">
        <v>933</v>
      </c>
      <c r="I174" t="s">
        <v>934</v>
      </c>
      <c r="J174" t="s">
        <v>69</v>
      </c>
      <c r="N174" t="s">
        <v>249</v>
      </c>
      <c r="O174" t="s">
        <v>48</v>
      </c>
      <c r="P174" t="s">
        <v>935</v>
      </c>
      <c r="Q174" s="534">
        <v>1</v>
      </c>
      <c r="R174" t="s">
        <v>3263</v>
      </c>
      <c r="S174">
        <v>0.3</v>
      </c>
      <c r="T174">
        <v>0</v>
      </c>
      <c r="U174">
        <v>0</v>
      </c>
      <c r="V174">
        <v>0</v>
      </c>
      <c r="W174">
        <v>0</v>
      </c>
      <c r="X174">
        <v>0</v>
      </c>
      <c r="AE174" t="s">
        <v>50</v>
      </c>
      <c r="AH174">
        <v>0</v>
      </c>
      <c r="BP174" s="534">
        <v>0.3</v>
      </c>
      <c r="BQ174" s="722">
        <v>0.6</v>
      </c>
      <c r="BR174" t="s">
        <v>46</v>
      </c>
      <c r="BS174" t="s">
        <v>52</v>
      </c>
      <c r="BT174">
        <v>0</v>
      </c>
      <c r="BU174" t="s">
        <v>52</v>
      </c>
      <c r="BV174">
        <v>0</v>
      </c>
      <c r="BW174">
        <v>0.3</v>
      </c>
      <c r="BX174" t="s">
        <v>46</v>
      </c>
      <c r="BY174">
        <v>0</v>
      </c>
      <c r="BZ174">
        <v>0</v>
      </c>
      <c r="CA174">
        <v>0</v>
      </c>
      <c r="CB174">
        <v>0</v>
      </c>
      <c r="CC174" s="2146">
        <v>0.6</v>
      </c>
      <c r="CD174" s="2146" t="s">
        <v>46</v>
      </c>
      <c r="CE174" s="2146">
        <v>0</v>
      </c>
      <c r="CF174" s="2146">
        <v>0</v>
      </c>
      <c r="CG174" s="2146">
        <v>0</v>
      </c>
      <c r="CH174">
        <v>0</v>
      </c>
      <c r="CJ174" t="s">
        <v>5598</v>
      </c>
    </row>
    <row r="175" spans="1:88">
      <c r="A175" t="s">
        <v>875</v>
      </c>
      <c r="B175" t="s">
        <v>936</v>
      </c>
      <c r="C175" t="s">
        <v>39</v>
      </c>
      <c r="D175" t="s">
        <v>40</v>
      </c>
      <c r="E175" t="s">
        <v>41</v>
      </c>
      <c r="F175" t="s">
        <v>913</v>
      </c>
      <c r="G175" t="s">
        <v>937</v>
      </c>
      <c r="H175" t="s">
        <v>938</v>
      </c>
      <c r="I175" t="s">
        <v>939</v>
      </c>
      <c r="J175" t="s">
        <v>69</v>
      </c>
      <c r="N175" t="s">
        <v>175</v>
      </c>
      <c r="O175" t="s">
        <v>48</v>
      </c>
      <c r="P175" t="s">
        <v>940</v>
      </c>
      <c r="Q175" s="534">
        <v>0</v>
      </c>
      <c r="R175" t="s">
        <v>3264</v>
      </c>
      <c r="S175">
        <v>0</v>
      </c>
      <c r="T175">
        <v>0</v>
      </c>
      <c r="U175">
        <v>0</v>
      </c>
      <c r="V175">
        <v>0</v>
      </c>
      <c r="W175">
        <v>0</v>
      </c>
      <c r="X175">
        <v>14</v>
      </c>
      <c r="AF175" t="s">
        <v>50</v>
      </c>
      <c r="AH175">
        <v>0</v>
      </c>
      <c r="BP175" s="534">
        <v>0</v>
      </c>
      <c r="BQ175" s="725">
        <v>0</v>
      </c>
      <c r="BR175" t="s">
        <v>50</v>
      </c>
      <c r="BS175" t="s">
        <v>52</v>
      </c>
      <c r="BT175">
        <v>0</v>
      </c>
      <c r="BU175" t="s">
        <v>52</v>
      </c>
      <c r="BV175">
        <v>0</v>
      </c>
      <c r="BW175">
        <v>0</v>
      </c>
      <c r="BX175" t="s">
        <v>50</v>
      </c>
      <c r="BY175">
        <v>0</v>
      </c>
      <c r="BZ175">
        <v>0</v>
      </c>
      <c r="CA175">
        <v>0</v>
      </c>
      <c r="CB175">
        <v>0</v>
      </c>
      <c r="CC175" s="2146">
        <v>0</v>
      </c>
      <c r="CD175" s="2146" t="s">
        <v>50</v>
      </c>
      <c r="CE175" s="2146">
        <v>0</v>
      </c>
      <c r="CF175" s="2146">
        <v>0</v>
      </c>
      <c r="CG175" s="2146">
        <v>0</v>
      </c>
      <c r="CH175">
        <v>0</v>
      </c>
      <c r="CJ175" t="s">
        <v>5599</v>
      </c>
    </row>
    <row r="176" spans="1:88">
      <c r="A176" t="s">
        <v>875</v>
      </c>
      <c r="B176" t="s">
        <v>941</v>
      </c>
      <c r="C176" t="s">
        <v>39</v>
      </c>
      <c r="D176" t="s">
        <v>101</v>
      </c>
      <c r="E176" t="s">
        <v>102</v>
      </c>
      <c r="F176" t="s">
        <v>942</v>
      </c>
      <c r="G176" t="s">
        <v>332</v>
      </c>
      <c r="H176" t="s">
        <v>943</v>
      </c>
      <c r="I176" t="s">
        <v>944</v>
      </c>
      <c r="J176" t="s">
        <v>69</v>
      </c>
      <c r="N176" t="s">
        <v>113</v>
      </c>
      <c r="O176" t="s">
        <v>48</v>
      </c>
      <c r="P176" t="s">
        <v>945</v>
      </c>
      <c r="Q176" s="534">
        <v>0</v>
      </c>
      <c r="R176" t="s">
        <v>3264</v>
      </c>
      <c r="S176">
        <v>2000</v>
      </c>
      <c r="T176">
        <v>5000</v>
      </c>
      <c r="U176">
        <v>5000</v>
      </c>
      <c r="V176">
        <v>5000</v>
      </c>
      <c r="W176">
        <v>5000</v>
      </c>
      <c r="X176">
        <v>5000</v>
      </c>
      <c r="AH176">
        <v>0</v>
      </c>
      <c r="BP176" s="534">
        <v>2851</v>
      </c>
      <c r="BQ176" s="725">
        <v>5686</v>
      </c>
      <c r="BR176" t="s">
        <v>50</v>
      </c>
      <c r="BS176" t="s">
        <v>52</v>
      </c>
      <c r="BT176">
        <v>0</v>
      </c>
      <c r="BU176" t="s">
        <v>52</v>
      </c>
      <c r="BV176">
        <v>0</v>
      </c>
      <c r="BW176">
        <v>5809</v>
      </c>
      <c r="BX176" t="s">
        <v>50</v>
      </c>
      <c r="BY176">
        <v>0</v>
      </c>
      <c r="BZ176">
        <v>0</v>
      </c>
      <c r="CA176">
        <v>0</v>
      </c>
      <c r="CB176">
        <v>0</v>
      </c>
      <c r="CC176" s="2146">
        <v>8150</v>
      </c>
      <c r="CD176" s="2146" t="s">
        <v>50</v>
      </c>
      <c r="CE176" s="2146">
        <v>0</v>
      </c>
      <c r="CF176" s="2146">
        <v>0</v>
      </c>
      <c r="CG176" s="2146">
        <v>0</v>
      </c>
      <c r="CH176">
        <v>0</v>
      </c>
      <c r="CJ176" t="s">
        <v>5600</v>
      </c>
    </row>
    <row r="177" spans="1:88">
      <c r="A177" t="s">
        <v>875</v>
      </c>
      <c r="B177" t="s">
        <v>946</v>
      </c>
      <c r="C177" t="s">
        <v>39</v>
      </c>
      <c r="D177" t="s">
        <v>101</v>
      </c>
      <c r="E177" t="s">
        <v>102</v>
      </c>
      <c r="F177" t="s">
        <v>942</v>
      </c>
      <c r="G177" t="s">
        <v>457</v>
      </c>
      <c r="H177" t="s">
        <v>947</v>
      </c>
      <c r="I177" t="s">
        <v>948</v>
      </c>
      <c r="J177" t="s">
        <v>69</v>
      </c>
      <c r="N177" t="s">
        <v>113</v>
      </c>
      <c r="O177" t="s">
        <v>76</v>
      </c>
      <c r="P177" t="s">
        <v>949</v>
      </c>
      <c r="Q177" s="534">
        <v>2</v>
      </c>
      <c r="R177" t="s">
        <v>3263</v>
      </c>
      <c r="S177">
        <v>0.83</v>
      </c>
      <c r="T177" t="s">
        <v>950</v>
      </c>
      <c r="U177" t="s">
        <v>950</v>
      </c>
      <c r="V177" t="s">
        <v>950</v>
      </c>
      <c r="W177" t="s">
        <v>950</v>
      </c>
      <c r="X177" t="s">
        <v>950</v>
      </c>
      <c r="AH177">
        <v>0</v>
      </c>
      <c r="BP177" s="534">
        <v>0.9</v>
      </c>
      <c r="BQ177" s="726">
        <v>0.75</v>
      </c>
      <c r="BR177" t="s">
        <v>50</v>
      </c>
      <c r="BS177" t="s">
        <v>52</v>
      </c>
      <c r="BT177">
        <v>0</v>
      </c>
      <c r="BU177" t="s">
        <v>52</v>
      </c>
      <c r="BV177">
        <v>0</v>
      </c>
      <c r="BW177">
        <v>0.67</v>
      </c>
      <c r="BX177" t="s">
        <v>50</v>
      </c>
      <c r="BY177">
        <v>0</v>
      </c>
      <c r="BZ177">
        <v>0</v>
      </c>
      <c r="CA177">
        <v>0</v>
      </c>
      <c r="CB177">
        <v>0</v>
      </c>
      <c r="CC177" s="2146">
        <v>0.64</v>
      </c>
      <c r="CD177" s="2146" t="s">
        <v>50</v>
      </c>
      <c r="CE177" s="2146">
        <v>0</v>
      </c>
      <c r="CF177" s="2146">
        <v>0</v>
      </c>
      <c r="CG177" s="2146">
        <v>0</v>
      </c>
      <c r="CH177">
        <v>0</v>
      </c>
      <c r="CJ177" t="s">
        <v>5601</v>
      </c>
    </row>
    <row r="178" spans="1:88">
      <c r="A178" t="s">
        <v>875</v>
      </c>
      <c r="B178" t="s">
        <v>951</v>
      </c>
      <c r="C178" t="s">
        <v>39</v>
      </c>
      <c r="D178" t="s">
        <v>101</v>
      </c>
      <c r="E178" t="s">
        <v>102</v>
      </c>
      <c r="F178" t="s">
        <v>942</v>
      </c>
      <c r="G178" t="s">
        <v>461</v>
      </c>
      <c r="H178" t="s">
        <v>952</v>
      </c>
      <c r="I178" t="s">
        <v>953</v>
      </c>
      <c r="J178" t="s">
        <v>69</v>
      </c>
      <c r="N178" t="s">
        <v>113</v>
      </c>
      <c r="O178" t="s">
        <v>76</v>
      </c>
      <c r="P178" t="s">
        <v>193</v>
      </c>
      <c r="Q178" s="534">
        <v>0</v>
      </c>
      <c r="R178" t="s">
        <v>3263</v>
      </c>
      <c r="S178">
        <v>17</v>
      </c>
      <c r="T178" t="s">
        <v>954</v>
      </c>
      <c r="U178" t="s">
        <v>954</v>
      </c>
      <c r="V178" t="s">
        <v>954</v>
      </c>
      <c r="W178" t="s">
        <v>954</v>
      </c>
      <c r="X178" t="s">
        <v>954</v>
      </c>
      <c r="AH178">
        <v>0</v>
      </c>
      <c r="BP178" s="534">
        <v>9</v>
      </c>
      <c r="BQ178" s="725">
        <v>9</v>
      </c>
      <c r="BR178" t="s">
        <v>50</v>
      </c>
      <c r="BS178" t="s">
        <v>52</v>
      </c>
      <c r="BT178">
        <v>0</v>
      </c>
      <c r="BU178" t="s">
        <v>52</v>
      </c>
      <c r="BV178">
        <v>0</v>
      </c>
      <c r="BW178">
        <v>6.3</v>
      </c>
      <c r="BX178" t="s">
        <v>50</v>
      </c>
      <c r="BY178">
        <v>0</v>
      </c>
      <c r="BZ178">
        <v>0</v>
      </c>
      <c r="CA178">
        <v>0</v>
      </c>
      <c r="CB178">
        <v>0</v>
      </c>
      <c r="CC178" s="2146">
        <v>9</v>
      </c>
      <c r="CD178" s="2146" t="s">
        <v>50</v>
      </c>
      <c r="CE178" s="2146">
        <v>0</v>
      </c>
      <c r="CF178" s="2146">
        <v>0</v>
      </c>
      <c r="CG178" s="2146">
        <v>0</v>
      </c>
      <c r="CH178">
        <v>0</v>
      </c>
      <c r="CJ178" t="s">
        <v>5602</v>
      </c>
    </row>
    <row r="179" spans="1:88">
      <c r="A179" t="s">
        <v>875</v>
      </c>
      <c r="B179" t="s">
        <v>955</v>
      </c>
      <c r="C179" t="s">
        <v>39</v>
      </c>
      <c r="D179" t="s">
        <v>101</v>
      </c>
      <c r="E179" t="s">
        <v>102</v>
      </c>
      <c r="F179" t="s">
        <v>956</v>
      </c>
      <c r="G179" t="s">
        <v>348</v>
      </c>
      <c r="H179" t="s">
        <v>957</v>
      </c>
      <c r="I179" t="s">
        <v>958</v>
      </c>
      <c r="J179" t="s">
        <v>69</v>
      </c>
      <c r="N179" t="s">
        <v>192</v>
      </c>
      <c r="O179" t="s">
        <v>76</v>
      </c>
      <c r="P179" t="s">
        <v>193</v>
      </c>
      <c r="Q179" s="534">
        <v>1</v>
      </c>
      <c r="R179" t="s">
        <v>3264</v>
      </c>
      <c r="S179">
        <v>88</v>
      </c>
      <c r="T179">
        <v>89</v>
      </c>
      <c r="U179">
        <v>89.5</v>
      </c>
      <c r="V179">
        <v>90</v>
      </c>
      <c r="W179">
        <v>90</v>
      </c>
      <c r="X179">
        <v>91</v>
      </c>
      <c r="AH179">
        <v>0</v>
      </c>
      <c r="BP179" s="534">
        <v>89</v>
      </c>
      <c r="BQ179" s="722">
        <v>91.5</v>
      </c>
      <c r="BR179" t="s">
        <v>50</v>
      </c>
      <c r="BS179" t="s">
        <v>52</v>
      </c>
      <c r="BT179">
        <v>0</v>
      </c>
      <c r="BU179" t="s">
        <v>52</v>
      </c>
      <c r="BV179">
        <v>0</v>
      </c>
      <c r="BW179">
        <v>92.3</v>
      </c>
      <c r="BX179" t="s">
        <v>50</v>
      </c>
      <c r="BY179">
        <v>0</v>
      </c>
      <c r="BZ179">
        <v>0</v>
      </c>
      <c r="CA179">
        <v>0</v>
      </c>
      <c r="CB179">
        <v>0</v>
      </c>
      <c r="CC179" s="2146">
        <v>92</v>
      </c>
      <c r="CD179" s="2146" t="s">
        <v>50</v>
      </c>
      <c r="CE179" s="2146">
        <v>0</v>
      </c>
      <c r="CF179" s="2146">
        <v>0</v>
      </c>
      <c r="CG179" s="2146">
        <v>0</v>
      </c>
      <c r="CH179">
        <v>0</v>
      </c>
      <c r="CJ179" t="s">
        <v>5603</v>
      </c>
    </row>
    <row r="180" spans="1:88">
      <c r="A180" t="s">
        <v>875</v>
      </c>
      <c r="B180" t="s">
        <v>959</v>
      </c>
      <c r="C180" t="s">
        <v>39</v>
      </c>
      <c r="D180" t="s">
        <v>101</v>
      </c>
      <c r="E180" t="s">
        <v>102</v>
      </c>
      <c r="F180" t="s">
        <v>956</v>
      </c>
      <c r="G180" t="s">
        <v>783</v>
      </c>
      <c r="H180" t="s">
        <v>960</v>
      </c>
      <c r="I180" t="s">
        <v>961</v>
      </c>
      <c r="J180" t="s">
        <v>5406</v>
      </c>
      <c r="K180" t="s">
        <v>45</v>
      </c>
      <c r="M180" t="s">
        <v>46</v>
      </c>
      <c r="N180" t="s">
        <v>106</v>
      </c>
      <c r="O180" t="s">
        <v>107</v>
      </c>
      <c r="P180" t="s">
        <v>108</v>
      </c>
      <c r="Q180" s="534">
        <v>1</v>
      </c>
      <c r="R180" t="s">
        <v>3264</v>
      </c>
      <c r="S180">
        <v>85</v>
      </c>
      <c r="T180">
        <v>85.6</v>
      </c>
      <c r="U180">
        <v>86.2</v>
      </c>
      <c r="V180">
        <v>86.8</v>
      </c>
      <c r="W180">
        <v>87.4</v>
      </c>
      <c r="X180">
        <v>88</v>
      </c>
      <c r="AH180">
        <v>0</v>
      </c>
      <c r="AI180" t="s">
        <v>50</v>
      </c>
      <c r="AJ180" t="s">
        <v>50</v>
      </c>
      <c r="AK180" t="s">
        <v>50</v>
      </c>
      <c r="AL180" t="s">
        <v>50</v>
      </c>
      <c r="AM180" t="s">
        <v>50</v>
      </c>
      <c r="AN180" t="s">
        <v>109</v>
      </c>
      <c r="AO180" t="s">
        <v>109</v>
      </c>
      <c r="AP180" t="s">
        <v>109</v>
      </c>
      <c r="AQ180" t="s">
        <v>109</v>
      </c>
      <c r="AR180" t="s">
        <v>109</v>
      </c>
      <c r="AS180" t="s">
        <v>109</v>
      </c>
      <c r="AT180" t="s">
        <v>109</v>
      </c>
      <c r="AU180" t="s">
        <v>109</v>
      </c>
      <c r="AV180" t="s">
        <v>109</v>
      </c>
      <c r="AW180" t="s">
        <v>109</v>
      </c>
      <c r="AX180" t="s">
        <v>109</v>
      </c>
      <c r="AY180" t="s">
        <v>109</v>
      </c>
      <c r="AZ180" t="s">
        <v>109</v>
      </c>
      <c r="BA180" t="s">
        <v>109</v>
      </c>
      <c r="BB180" t="s">
        <v>109</v>
      </c>
      <c r="BC180" t="s">
        <v>109</v>
      </c>
      <c r="BD180" t="s">
        <v>109</v>
      </c>
      <c r="BE180" t="s">
        <v>109</v>
      </c>
      <c r="BF180" t="s">
        <v>109</v>
      </c>
      <c r="BG180" t="s">
        <v>109</v>
      </c>
      <c r="BH180" t="s">
        <v>109</v>
      </c>
      <c r="BL180" t="s">
        <v>109</v>
      </c>
      <c r="BN180">
        <v>1</v>
      </c>
      <c r="BO180" t="s">
        <v>51</v>
      </c>
      <c r="BP180" s="534">
        <v>80.7</v>
      </c>
      <c r="BQ180" s="722">
        <v>80.8</v>
      </c>
      <c r="BR180" t="s">
        <v>46</v>
      </c>
      <c r="BS180" t="s">
        <v>52</v>
      </c>
      <c r="BT180">
        <v>0</v>
      </c>
      <c r="BU180" t="s">
        <v>52</v>
      </c>
      <c r="BV180">
        <v>0</v>
      </c>
      <c r="BW180">
        <v>79.599999999999994</v>
      </c>
      <c r="BX180" t="s">
        <v>46</v>
      </c>
      <c r="BY180">
        <v>0</v>
      </c>
      <c r="BZ180">
        <v>0</v>
      </c>
      <c r="CA180">
        <v>0</v>
      </c>
      <c r="CB180">
        <v>0</v>
      </c>
      <c r="CC180" s="2146">
        <v>78.7</v>
      </c>
      <c r="CD180" s="2146" t="s">
        <v>46</v>
      </c>
      <c r="CE180" s="2146">
        <v>0</v>
      </c>
      <c r="CF180" s="2146">
        <v>0</v>
      </c>
      <c r="CG180" s="2146">
        <v>0</v>
      </c>
      <c r="CH180">
        <v>0</v>
      </c>
      <c r="CJ180" t="s">
        <v>5604</v>
      </c>
    </row>
    <row r="181" spans="1:88">
      <c r="A181" t="s">
        <v>875</v>
      </c>
      <c r="B181" t="s">
        <v>962</v>
      </c>
      <c r="C181" t="s">
        <v>39</v>
      </c>
      <c r="D181" t="s">
        <v>101</v>
      </c>
      <c r="E181" t="s">
        <v>102</v>
      </c>
      <c r="F181" t="s">
        <v>956</v>
      </c>
      <c r="G181" t="s">
        <v>790</v>
      </c>
      <c r="H181" t="s">
        <v>963</v>
      </c>
      <c r="I181" t="s">
        <v>964</v>
      </c>
      <c r="J181" t="s">
        <v>69</v>
      </c>
      <c r="N181" t="s">
        <v>192</v>
      </c>
      <c r="O181" t="s">
        <v>48</v>
      </c>
      <c r="P181" t="s">
        <v>965</v>
      </c>
      <c r="Q181" s="534">
        <v>1</v>
      </c>
      <c r="R181" t="s">
        <v>3263</v>
      </c>
      <c r="S181">
        <v>7.6</v>
      </c>
      <c r="T181">
        <v>7.4</v>
      </c>
      <c r="U181">
        <v>7.2</v>
      </c>
      <c r="V181">
        <v>7</v>
      </c>
      <c r="W181">
        <v>6.8</v>
      </c>
      <c r="X181">
        <v>6.6</v>
      </c>
      <c r="AH181">
        <v>0</v>
      </c>
      <c r="BP181" s="534">
        <v>8.1</v>
      </c>
      <c r="BQ181" s="722">
        <v>10</v>
      </c>
      <c r="BR181" t="s">
        <v>46</v>
      </c>
      <c r="BS181" t="s">
        <v>52</v>
      </c>
      <c r="BT181">
        <v>0</v>
      </c>
      <c r="BU181" t="s">
        <v>52</v>
      </c>
      <c r="BV181">
        <v>0</v>
      </c>
      <c r="BW181">
        <v>11.3</v>
      </c>
      <c r="BX181" t="s">
        <v>46</v>
      </c>
      <c r="BY181">
        <v>0</v>
      </c>
      <c r="BZ181">
        <v>0</v>
      </c>
      <c r="CA181">
        <v>0</v>
      </c>
      <c r="CB181">
        <v>0</v>
      </c>
      <c r="CC181" s="2146">
        <v>9.8000000000000007</v>
      </c>
      <c r="CD181" s="2146" t="s">
        <v>46</v>
      </c>
      <c r="CE181" s="2146">
        <v>0</v>
      </c>
      <c r="CF181" s="2146">
        <v>0</v>
      </c>
      <c r="CG181" s="2146">
        <v>0</v>
      </c>
      <c r="CH181">
        <v>0</v>
      </c>
      <c r="CJ181" t="s">
        <v>5605</v>
      </c>
    </row>
    <row r="182" spans="1:88">
      <c r="A182" t="s">
        <v>966</v>
      </c>
      <c r="B182" t="s">
        <v>967</v>
      </c>
      <c r="C182" t="s">
        <v>39</v>
      </c>
      <c r="D182" t="s">
        <v>40</v>
      </c>
      <c r="E182" t="s">
        <v>41</v>
      </c>
      <c r="F182" t="s">
        <v>968</v>
      </c>
      <c r="G182" t="s">
        <v>315</v>
      </c>
      <c r="H182" t="s">
        <v>969</v>
      </c>
      <c r="I182" t="s">
        <v>970</v>
      </c>
      <c r="J182" t="s">
        <v>5406</v>
      </c>
      <c r="K182" t="s">
        <v>45</v>
      </c>
      <c r="N182" t="s">
        <v>192</v>
      </c>
      <c r="O182" t="s">
        <v>107</v>
      </c>
      <c r="P182" t="s">
        <v>971</v>
      </c>
      <c r="Q182" s="534">
        <v>1</v>
      </c>
      <c r="R182" t="s">
        <v>3264</v>
      </c>
      <c r="S182">
        <v>4.5999999999999996</v>
      </c>
      <c r="T182">
        <v>4.5999999999999996</v>
      </c>
      <c r="U182">
        <v>4.5999999999999996</v>
      </c>
      <c r="V182">
        <v>4.5999999999999996</v>
      </c>
      <c r="W182">
        <v>4.5999999999999996</v>
      </c>
      <c r="X182">
        <v>4.5999999999999996</v>
      </c>
      <c r="AH182">
        <v>0</v>
      </c>
      <c r="AJ182" t="s">
        <v>50</v>
      </c>
      <c r="AK182" t="s">
        <v>50</v>
      </c>
      <c r="AL182" t="s">
        <v>50</v>
      </c>
      <c r="AM182" t="s">
        <v>50</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972</v>
      </c>
      <c r="BP182" s="534" t="s">
        <v>52</v>
      </c>
      <c r="BQ182" s="722">
        <v>4.4000000000000004</v>
      </c>
      <c r="BR182" t="s">
        <v>46</v>
      </c>
      <c r="BS182" t="s">
        <v>52</v>
      </c>
      <c r="BT182">
        <v>0</v>
      </c>
      <c r="BU182" t="s">
        <v>52</v>
      </c>
      <c r="BV182">
        <v>0</v>
      </c>
      <c r="BW182">
        <v>4.5</v>
      </c>
      <c r="BX182" t="s">
        <v>46</v>
      </c>
      <c r="BY182">
        <v>0</v>
      </c>
      <c r="BZ182">
        <v>0</v>
      </c>
      <c r="CA182" t="s">
        <v>5378</v>
      </c>
      <c r="CB182">
        <v>0</v>
      </c>
      <c r="CC182" s="2146">
        <v>4.5</v>
      </c>
      <c r="CD182" s="2146" t="s">
        <v>46</v>
      </c>
      <c r="CE182" s="2146">
        <v>0</v>
      </c>
      <c r="CF182" s="2146">
        <v>0</v>
      </c>
      <c r="CG182" s="2146" t="s">
        <v>13445</v>
      </c>
      <c r="CH182">
        <v>0</v>
      </c>
      <c r="CJ182" t="s">
        <v>5606</v>
      </c>
    </row>
    <row r="183" spans="1:88">
      <c r="A183" t="s">
        <v>966</v>
      </c>
      <c r="B183" t="s">
        <v>973</v>
      </c>
      <c r="C183" t="s">
        <v>39</v>
      </c>
      <c r="D183" t="s">
        <v>40</v>
      </c>
      <c r="E183" t="s">
        <v>41</v>
      </c>
      <c r="F183" t="s">
        <v>974</v>
      </c>
      <c r="G183" t="s">
        <v>332</v>
      </c>
      <c r="H183" t="s">
        <v>975</v>
      </c>
      <c r="I183" t="s">
        <v>976</v>
      </c>
      <c r="J183" t="s">
        <v>5406</v>
      </c>
      <c r="K183" t="s">
        <v>45</v>
      </c>
      <c r="N183" t="s">
        <v>192</v>
      </c>
      <c r="O183" t="s">
        <v>107</v>
      </c>
      <c r="P183" t="s">
        <v>971</v>
      </c>
      <c r="Q183" s="534">
        <v>1</v>
      </c>
      <c r="R183" t="s">
        <v>3264</v>
      </c>
      <c r="S183">
        <v>4.3</v>
      </c>
      <c r="T183">
        <v>4.3</v>
      </c>
      <c r="U183">
        <v>4.3</v>
      </c>
      <c r="V183">
        <v>4.3</v>
      </c>
      <c r="W183">
        <v>4.3</v>
      </c>
      <c r="X183">
        <v>4.3</v>
      </c>
      <c r="AH183">
        <v>0</v>
      </c>
      <c r="AJ183" t="s">
        <v>50</v>
      </c>
      <c r="AK183" t="s">
        <v>50</v>
      </c>
      <c r="AL183" t="s">
        <v>50</v>
      </c>
      <c r="AM183" t="s">
        <v>50</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972</v>
      </c>
      <c r="BP183" s="534" t="s">
        <v>52</v>
      </c>
      <c r="BQ183" s="722">
        <v>4.0999999999999996</v>
      </c>
      <c r="BR183" t="s">
        <v>46</v>
      </c>
      <c r="BS183" t="s">
        <v>52</v>
      </c>
      <c r="BT183">
        <v>0</v>
      </c>
      <c r="BU183" t="s">
        <v>52</v>
      </c>
      <c r="BV183">
        <v>0</v>
      </c>
      <c r="BW183">
        <v>4.2</v>
      </c>
      <c r="BX183" t="s">
        <v>46</v>
      </c>
      <c r="BY183">
        <v>0</v>
      </c>
      <c r="BZ183">
        <v>0</v>
      </c>
      <c r="CA183" t="s">
        <v>5378</v>
      </c>
      <c r="CB183">
        <v>0</v>
      </c>
      <c r="CC183" s="2146">
        <v>4.2</v>
      </c>
      <c r="CD183" s="2146" t="s">
        <v>46</v>
      </c>
      <c r="CE183" s="2146">
        <v>0</v>
      </c>
      <c r="CF183" s="2146">
        <v>0</v>
      </c>
      <c r="CG183" s="2146" t="s">
        <v>13445</v>
      </c>
      <c r="CH183">
        <v>0</v>
      </c>
      <c r="CJ183" t="s">
        <v>5607</v>
      </c>
    </row>
    <row r="184" spans="1:88">
      <c r="A184" t="s">
        <v>966</v>
      </c>
      <c r="B184" t="s">
        <v>977</v>
      </c>
      <c r="C184" t="s">
        <v>39</v>
      </c>
      <c r="D184" t="s">
        <v>40</v>
      </c>
      <c r="E184" t="s">
        <v>41</v>
      </c>
      <c r="F184" t="s">
        <v>978</v>
      </c>
      <c r="G184" t="s">
        <v>338</v>
      </c>
      <c r="H184" t="s">
        <v>979</v>
      </c>
      <c r="I184" t="s">
        <v>980</v>
      </c>
      <c r="J184" t="s">
        <v>5406</v>
      </c>
      <c r="K184" t="s">
        <v>45</v>
      </c>
      <c r="N184" t="s">
        <v>192</v>
      </c>
      <c r="O184" t="s">
        <v>107</v>
      </c>
      <c r="P184" t="s">
        <v>971</v>
      </c>
      <c r="Q184" s="534">
        <v>1</v>
      </c>
      <c r="R184" t="s">
        <v>3264</v>
      </c>
      <c r="S184">
        <v>3.6</v>
      </c>
      <c r="T184">
        <v>4</v>
      </c>
      <c r="U184">
        <v>4</v>
      </c>
      <c r="V184">
        <v>4</v>
      </c>
      <c r="W184">
        <v>4</v>
      </c>
      <c r="X184">
        <v>4</v>
      </c>
      <c r="AH184">
        <v>0</v>
      </c>
      <c r="AJ184" t="s">
        <v>50</v>
      </c>
      <c r="AK184" t="s">
        <v>50</v>
      </c>
      <c r="AL184" t="s">
        <v>50</v>
      </c>
      <c r="AM184" t="s">
        <v>50</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972</v>
      </c>
      <c r="BP184" s="534" t="s">
        <v>52</v>
      </c>
      <c r="BQ184" s="722">
        <v>3.4</v>
      </c>
      <c r="BR184" t="s">
        <v>46</v>
      </c>
      <c r="BS184" t="s">
        <v>52</v>
      </c>
      <c r="BT184">
        <v>0</v>
      </c>
      <c r="BU184" t="s">
        <v>52</v>
      </c>
      <c r="BV184">
        <v>0</v>
      </c>
      <c r="BW184">
        <v>3.8</v>
      </c>
      <c r="BX184" t="s">
        <v>46</v>
      </c>
      <c r="BY184">
        <v>0</v>
      </c>
      <c r="BZ184">
        <v>0</v>
      </c>
      <c r="CA184" t="s">
        <v>5415</v>
      </c>
      <c r="CB184">
        <v>-2.5899999999999996E-2</v>
      </c>
      <c r="CC184" s="2146">
        <v>3.8</v>
      </c>
      <c r="CD184" s="2146" t="s">
        <v>46</v>
      </c>
      <c r="CE184" s="2146">
        <v>0</v>
      </c>
      <c r="CF184" s="2146">
        <v>0</v>
      </c>
      <c r="CG184" s="2146" t="s">
        <v>13444</v>
      </c>
      <c r="CH184">
        <v>-2.5899999999999996E-2</v>
      </c>
      <c r="CJ184" t="s">
        <v>5608</v>
      </c>
    </row>
    <row r="185" spans="1:88">
      <c r="A185" t="s">
        <v>966</v>
      </c>
      <c r="B185" t="s">
        <v>981</v>
      </c>
      <c r="C185" t="s">
        <v>39</v>
      </c>
      <c r="D185" t="s">
        <v>40</v>
      </c>
      <c r="E185" t="s">
        <v>41</v>
      </c>
      <c r="F185" t="s">
        <v>978</v>
      </c>
      <c r="G185" t="s">
        <v>342</v>
      </c>
      <c r="H185" t="s">
        <v>982</v>
      </c>
      <c r="I185" t="s">
        <v>983</v>
      </c>
      <c r="J185" t="s">
        <v>5406</v>
      </c>
      <c r="K185" t="s">
        <v>45</v>
      </c>
      <c r="N185" t="s">
        <v>47</v>
      </c>
      <c r="O185" t="s">
        <v>48</v>
      </c>
      <c r="P185" t="s">
        <v>49</v>
      </c>
      <c r="Q185" s="534">
        <v>1</v>
      </c>
      <c r="R185" t="s">
        <v>3263</v>
      </c>
      <c r="S185">
        <v>93</v>
      </c>
      <c r="T185">
        <v>91.8</v>
      </c>
      <c r="U185">
        <v>90.9</v>
      </c>
      <c r="V185">
        <v>90</v>
      </c>
      <c r="W185">
        <v>89.1</v>
      </c>
      <c r="X185">
        <v>88.1</v>
      </c>
      <c r="AE185" t="s">
        <v>50</v>
      </c>
      <c r="AH185">
        <v>0</v>
      </c>
      <c r="AI185" t="s">
        <v>50</v>
      </c>
      <c r="AJ185" t="s">
        <v>50</v>
      </c>
      <c r="AK185" t="s">
        <v>50</v>
      </c>
      <c r="AL185" t="s">
        <v>50</v>
      </c>
      <c r="AM185" t="s">
        <v>50</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51</v>
      </c>
      <c r="BP185" s="534">
        <v>92.45</v>
      </c>
      <c r="BQ185" s="722">
        <v>88.11</v>
      </c>
      <c r="BR185" t="s">
        <v>50</v>
      </c>
      <c r="BS185" t="s">
        <v>52</v>
      </c>
      <c r="BT185">
        <v>0</v>
      </c>
      <c r="BU185" t="s">
        <v>5425</v>
      </c>
      <c r="BV185">
        <v>0.84626632607813057</v>
      </c>
      <c r="BW185">
        <v>88.6</v>
      </c>
      <c r="BX185" t="s">
        <v>50</v>
      </c>
      <c r="BY185">
        <v>0</v>
      </c>
      <c r="BZ185">
        <v>0</v>
      </c>
      <c r="CA185" t="s">
        <v>5425</v>
      </c>
      <c r="CB185">
        <v>0.40899999999999997</v>
      </c>
      <c r="CC185" s="2146">
        <v>87.7</v>
      </c>
      <c r="CD185" s="2146" t="s">
        <v>50</v>
      </c>
      <c r="CE185" s="2146">
        <v>0</v>
      </c>
      <c r="CF185" s="2146">
        <v>0</v>
      </c>
      <c r="CG185" s="2146" t="s">
        <v>5425</v>
      </c>
      <c r="CH185">
        <v>0.189</v>
      </c>
      <c r="CJ185" t="s">
        <v>5609</v>
      </c>
    </row>
    <row r="186" spans="1:88">
      <c r="A186" t="s">
        <v>966</v>
      </c>
      <c r="B186" t="s">
        <v>984</v>
      </c>
      <c r="C186" t="s">
        <v>39</v>
      </c>
      <c r="D186" t="s">
        <v>40</v>
      </c>
      <c r="E186" t="s">
        <v>41</v>
      </c>
      <c r="F186" t="s">
        <v>985</v>
      </c>
      <c r="G186" t="s">
        <v>348</v>
      </c>
      <c r="H186" t="s">
        <v>986</v>
      </c>
      <c r="I186" t="s">
        <v>987</v>
      </c>
      <c r="J186" t="s">
        <v>5406</v>
      </c>
      <c r="K186" t="s">
        <v>45</v>
      </c>
      <c r="N186" t="s">
        <v>192</v>
      </c>
      <c r="O186" t="s">
        <v>107</v>
      </c>
      <c r="P186" t="s">
        <v>971</v>
      </c>
      <c r="Q186" s="534">
        <v>1</v>
      </c>
      <c r="R186" t="s">
        <v>3264</v>
      </c>
      <c r="S186">
        <v>4.5</v>
      </c>
      <c r="T186">
        <v>4.5</v>
      </c>
      <c r="U186">
        <v>4.5</v>
      </c>
      <c r="V186">
        <v>4.5</v>
      </c>
      <c r="W186">
        <v>4.5</v>
      </c>
      <c r="X186">
        <v>4.5</v>
      </c>
      <c r="AH186">
        <v>0</v>
      </c>
      <c r="AJ186" t="s">
        <v>50</v>
      </c>
      <c r="AK186" t="s">
        <v>50</v>
      </c>
      <c r="AL186" t="s">
        <v>50</v>
      </c>
      <c r="AM186" t="s">
        <v>50</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972</v>
      </c>
      <c r="BP186" s="534" t="s">
        <v>52</v>
      </c>
      <c r="BQ186" s="722">
        <v>4.2</v>
      </c>
      <c r="BR186" t="s">
        <v>46</v>
      </c>
      <c r="BS186" t="s">
        <v>52</v>
      </c>
      <c r="BT186">
        <v>0</v>
      </c>
      <c r="BU186" t="s">
        <v>52</v>
      </c>
      <c r="BV186">
        <v>0</v>
      </c>
      <c r="BW186">
        <v>4.3</v>
      </c>
      <c r="BX186" t="s">
        <v>46</v>
      </c>
      <c r="BY186">
        <v>0</v>
      </c>
      <c r="BZ186">
        <v>0</v>
      </c>
      <c r="CA186" t="s">
        <v>5415</v>
      </c>
      <c r="CB186">
        <v>-1.6000000000000001E-3</v>
      </c>
      <c r="CC186" s="2146">
        <v>4.3</v>
      </c>
      <c r="CD186" s="2146" t="s">
        <v>46</v>
      </c>
      <c r="CE186" s="2146">
        <v>0</v>
      </c>
      <c r="CF186" s="2146">
        <v>0</v>
      </c>
      <c r="CG186" s="2146" t="s">
        <v>13444</v>
      </c>
      <c r="CH186">
        <v>-1.6000000000000001E-3</v>
      </c>
      <c r="CJ186" t="s">
        <v>5610</v>
      </c>
    </row>
    <row r="187" spans="1:88">
      <c r="A187" t="s">
        <v>966</v>
      </c>
      <c r="B187" t="s">
        <v>988</v>
      </c>
      <c r="C187" t="s">
        <v>39</v>
      </c>
      <c r="D187" t="s">
        <v>40</v>
      </c>
      <c r="E187" t="s">
        <v>41</v>
      </c>
      <c r="F187" t="s">
        <v>985</v>
      </c>
      <c r="G187" t="s">
        <v>783</v>
      </c>
      <c r="H187" t="s">
        <v>989</v>
      </c>
      <c r="I187" t="s">
        <v>990</v>
      </c>
      <c r="J187" t="s">
        <v>5406</v>
      </c>
      <c r="K187" t="s">
        <v>45</v>
      </c>
      <c r="M187" t="s">
        <v>46</v>
      </c>
      <c r="N187" t="s">
        <v>106</v>
      </c>
      <c r="O187" t="s">
        <v>107</v>
      </c>
      <c r="P187" t="s">
        <v>108</v>
      </c>
      <c r="Q187" s="534">
        <v>1</v>
      </c>
      <c r="R187" t="s">
        <v>3264</v>
      </c>
      <c r="S187">
        <v>78</v>
      </c>
      <c r="X187" t="s">
        <v>636</v>
      </c>
      <c r="AH187">
        <v>0</v>
      </c>
      <c r="AI187" t="s">
        <v>50</v>
      </c>
      <c r="AJ187" t="s">
        <v>50</v>
      </c>
      <c r="AK187" t="s">
        <v>50</v>
      </c>
      <c r="AL187" t="s">
        <v>50</v>
      </c>
      <c r="AM187" t="s">
        <v>50</v>
      </c>
      <c r="AN187" t="s">
        <v>109</v>
      </c>
      <c r="AO187" t="s">
        <v>109</v>
      </c>
      <c r="AP187" t="s">
        <v>109</v>
      </c>
      <c r="AQ187" t="s">
        <v>109</v>
      </c>
      <c r="AR187" t="s">
        <v>109</v>
      </c>
      <c r="AS187" t="s">
        <v>109</v>
      </c>
      <c r="AT187" t="s">
        <v>109</v>
      </c>
      <c r="AU187" t="s">
        <v>109</v>
      </c>
      <c r="AV187" t="s">
        <v>109</v>
      </c>
      <c r="AW187" t="s">
        <v>109</v>
      </c>
      <c r="AX187" t="s">
        <v>109</v>
      </c>
      <c r="AY187" t="s">
        <v>109</v>
      </c>
      <c r="AZ187" t="s">
        <v>109</v>
      </c>
      <c r="BA187" t="s">
        <v>109</v>
      </c>
      <c r="BB187" t="s">
        <v>109</v>
      </c>
      <c r="BC187" t="s">
        <v>109</v>
      </c>
      <c r="BD187" t="s">
        <v>109</v>
      </c>
      <c r="BE187" t="s">
        <v>109</v>
      </c>
      <c r="BF187" t="s">
        <v>109</v>
      </c>
      <c r="BG187" t="s">
        <v>109</v>
      </c>
      <c r="BH187" t="s">
        <v>109</v>
      </c>
      <c r="BL187" t="s">
        <v>109</v>
      </c>
      <c r="BN187">
        <v>1</v>
      </c>
      <c r="BO187" t="s">
        <v>51</v>
      </c>
      <c r="BP187" s="534" t="s">
        <v>52</v>
      </c>
      <c r="BQ187" s="722">
        <v>81.95</v>
      </c>
      <c r="BR187" t="s">
        <v>52</v>
      </c>
      <c r="BS187" t="s">
        <v>52</v>
      </c>
      <c r="BT187">
        <v>0</v>
      </c>
      <c r="BU187" t="s">
        <v>52</v>
      </c>
      <c r="BV187">
        <v>0</v>
      </c>
      <c r="BW187">
        <v>84.6</v>
      </c>
      <c r="BX187" t="s">
        <v>2148</v>
      </c>
      <c r="BY187">
        <v>0</v>
      </c>
      <c r="BZ187">
        <v>0</v>
      </c>
      <c r="CA187">
        <v>0</v>
      </c>
      <c r="CB187">
        <v>0</v>
      </c>
      <c r="CC187" s="2146">
        <v>85.6</v>
      </c>
      <c r="CD187" s="2146" t="s">
        <v>2148</v>
      </c>
      <c r="CE187" s="2146">
        <v>0</v>
      </c>
      <c r="CF187" s="2146">
        <v>0</v>
      </c>
      <c r="CG187" s="2146">
        <v>0</v>
      </c>
      <c r="CH187">
        <v>0</v>
      </c>
      <c r="CJ187" t="s">
        <v>5611</v>
      </c>
    </row>
    <row r="188" spans="1:88">
      <c r="A188" t="s">
        <v>966</v>
      </c>
      <c r="B188" t="s">
        <v>991</v>
      </c>
      <c r="C188" t="s">
        <v>39</v>
      </c>
      <c r="D188" t="s">
        <v>40</v>
      </c>
      <c r="E188" t="s">
        <v>41</v>
      </c>
      <c r="F188" t="s">
        <v>992</v>
      </c>
      <c r="G188" t="s">
        <v>354</v>
      </c>
      <c r="H188" t="s">
        <v>993</v>
      </c>
      <c r="I188" t="s">
        <v>994</v>
      </c>
      <c r="J188" t="s">
        <v>69</v>
      </c>
      <c r="N188" t="s">
        <v>113</v>
      </c>
      <c r="O188" t="s">
        <v>76</v>
      </c>
      <c r="P188" t="s">
        <v>193</v>
      </c>
      <c r="Q188" s="534">
        <v>0</v>
      </c>
      <c r="R188" t="s">
        <v>3264</v>
      </c>
      <c r="S188">
        <v>72</v>
      </c>
      <c r="X188" t="s">
        <v>636</v>
      </c>
      <c r="AH188">
        <v>0</v>
      </c>
      <c r="BP188" s="534">
        <v>72</v>
      </c>
      <c r="BQ188" s="725">
        <v>71</v>
      </c>
      <c r="BR188" t="s">
        <v>52</v>
      </c>
      <c r="BS188" t="s">
        <v>52</v>
      </c>
      <c r="BT188">
        <v>0</v>
      </c>
      <c r="BU188" t="s">
        <v>52</v>
      </c>
      <c r="BV188">
        <v>0</v>
      </c>
      <c r="BW188">
        <v>0.74</v>
      </c>
      <c r="BX188" t="s">
        <v>2148</v>
      </c>
      <c r="BY188">
        <v>0</v>
      </c>
      <c r="BZ188">
        <v>0</v>
      </c>
      <c r="CA188">
        <v>0</v>
      </c>
      <c r="CB188">
        <v>0</v>
      </c>
      <c r="CC188" s="2146">
        <v>71</v>
      </c>
      <c r="CD188" s="2146" t="s">
        <v>2148</v>
      </c>
      <c r="CE188" s="2146">
        <v>0</v>
      </c>
      <c r="CF188" s="2146">
        <v>0</v>
      </c>
      <c r="CG188" s="2146">
        <v>0</v>
      </c>
      <c r="CH188">
        <v>0</v>
      </c>
      <c r="CJ188" t="s">
        <v>5612</v>
      </c>
    </row>
    <row r="189" spans="1:88">
      <c r="A189" t="s">
        <v>966</v>
      </c>
      <c r="B189" t="s">
        <v>995</v>
      </c>
      <c r="C189" t="s">
        <v>39</v>
      </c>
      <c r="D189" t="s">
        <v>40</v>
      </c>
      <c r="E189" t="s">
        <v>41</v>
      </c>
      <c r="F189" t="s">
        <v>996</v>
      </c>
      <c r="G189" t="s">
        <v>360</v>
      </c>
      <c r="H189" t="s">
        <v>997</v>
      </c>
      <c r="I189" t="s">
        <v>998</v>
      </c>
      <c r="J189" t="s">
        <v>5406</v>
      </c>
      <c r="K189" t="s">
        <v>45</v>
      </c>
      <c r="N189" t="s">
        <v>192</v>
      </c>
      <c r="O189" t="s">
        <v>107</v>
      </c>
      <c r="P189" t="s">
        <v>971</v>
      </c>
      <c r="Q189" s="534">
        <v>1</v>
      </c>
      <c r="R189" t="s">
        <v>3264</v>
      </c>
      <c r="S189">
        <v>4.5</v>
      </c>
      <c r="T189">
        <v>4.5</v>
      </c>
      <c r="U189">
        <v>4.5</v>
      </c>
      <c r="V189">
        <v>4.5</v>
      </c>
      <c r="W189">
        <v>4.5</v>
      </c>
      <c r="X189">
        <v>4.5</v>
      </c>
      <c r="AH189">
        <v>0</v>
      </c>
      <c r="AJ189" t="s">
        <v>50</v>
      </c>
      <c r="AK189" t="s">
        <v>50</v>
      </c>
      <c r="AL189" t="s">
        <v>50</v>
      </c>
      <c r="AM189" t="s">
        <v>50</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972</v>
      </c>
      <c r="BP189" s="534" t="s">
        <v>52</v>
      </c>
      <c r="BQ189" s="722">
        <v>4.2</v>
      </c>
      <c r="BR189" t="s">
        <v>46</v>
      </c>
      <c r="BS189" t="s">
        <v>52</v>
      </c>
      <c r="BT189">
        <v>0</v>
      </c>
      <c r="BU189" t="s">
        <v>52</v>
      </c>
      <c r="BV189">
        <v>0</v>
      </c>
      <c r="BW189">
        <v>4.2</v>
      </c>
      <c r="BX189" t="s">
        <v>46</v>
      </c>
      <c r="BY189">
        <v>0</v>
      </c>
      <c r="BZ189">
        <v>0</v>
      </c>
      <c r="CA189" t="s">
        <v>5415</v>
      </c>
      <c r="CB189">
        <v>-4.7699999999999999E-2</v>
      </c>
      <c r="CC189" s="2146">
        <v>4.3</v>
      </c>
      <c r="CD189" s="2146" t="s">
        <v>46</v>
      </c>
      <c r="CE189" s="2146">
        <v>0</v>
      </c>
      <c r="CF189" s="2146">
        <v>0</v>
      </c>
      <c r="CG189" s="2146" t="s">
        <v>13444</v>
      </c>
      <c r="CH189">
        <v>-2.4299999999999999E-2</v>
      </c>
      <c r="CJ189" t="s">
        <v>5613</v>
      </c>
    </row>
    <row r="190" spans="1:88">
      <c r="A190" t="s">
        <v>966</v>
      </c>
      <c r="B190" t="s">
        <v>999</v>
      </c>
      <c r="C190" t="s">
        <v>39</v>
      </c>
      <c r="D190" t="s">
        <v>40</v>
      </c>
      <c r="E190" t="s">
        <v>41</v>
      </c>
      <c r="F190" t="s">
        <v>996</v>
      </c>
      <c r="G190" t="s">
        <v>1000</v>
      </c>
      <c r="H190" t="s">
        <v>1001</v>
      </c>
      <c r="I190" t="s">
        <v>1002</v>
      </c>
      <c r="J190" t="s">
        <v>5406</v>
      </c>
      <c r="K190" t="s">
        <v>322</v>
      </c>
      <c r="N190" t="s">
        <v>124</v>
      </c>
      <c r="O190" t="s">
        <v>48</v>
      </c>
      <c r="P190" t="s">
        <v>1003</v>
      </c>
      <c r="Q190" s="534">
        <v>0</v>
      </c>
      <c r="R190" t="s">
        <v>3263</v>
      </c>
      <c r="S190">
        <v>60</v>
      </c>
      <c r="T190">
        <v>60</v>
      </c>
      <c r="U190">
        <v>60</v>
      </c>
      <c r="V190">
        <v>60</v>
      </c>
      <c r="W190">
        <v>60</v>
      </c>
      <c r="X190">
        <v>60</v>
      </c>
      <c r="AE190" t="s">
        <v>50</v>
      </c>
      <c r="AH190">
        <v>0</v>
      </c>
      <c r="AI190" t="s">
        <v>50</v>
      </c>
      <c r="AJ190" t="s">
        <v>50</v>
      </c>
      <c r="AK190" t="s">
        <v>50</v>
      </c>
      <c r="AL190" t="s">
        <v>50</v>
      </c>
      <c r="AM190" t="s">
        <v>50</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51</v>
      </c>
      <c r="BP190" s="534">
        <v>60</v>
      </c>
      <c r="BQ190" s="725">
        <v>53</v>
      </c>
      <c r="BR190" t="s">
        <v>50</v>
      </c>
      <c r="BS190" t="s">
        <v>52</v>
      </c>
      <c r="BT190">
        <v>0</v>
      </c>
      <c r="BU190" t="s">
        <v>5425</v>
      </c>
      <c r="BV190">
        <v>2E-3</v>
      </c>
      <c r="BW190">
        <v>49</v>
      </c>
      <c r="BX190" t="s">
        <v>50</v>
      </c>
      <c r="BY190">
        <v>0</v>
      </c>
      <c r="BZ190">
        <v>0</v>
      </c>
      <c r="CA190" t="s">
        <v>5425</v>
      </c>
      <c r="CB190">
        <v>3.0000000000000001E-3</v>
      </c>
      <c r="CC190" s="2146">
        <v>47</v>
      </c>
      <c r="CD190" s="2146" t="s">
        <v>50</v>
      </c>
      <c r="CE190" s="2146">
        <v>0</v>
      </c>
      <c r="CF190" s="2146">
        <v>0</v>
      </c>
      <c r="CG190" s="2146" t="s">
        <v>5425</v>
      </c>
      <c r="CH190">
        <v>4.0000000000000001E-3</v>
      </c>
      <c r="CJ190" t="s">
        <v>5614</v>
      </c>
    </row>
    <row r="191" spans="1:88">
      <c r="A191" t="s">
        <v>966</v>
      </c>
      <c r="B191" t="s">
        <v>1004</v>
      </c>
      <c r="C191" t="s">
        <v>39</v>
      </c>
      <c r="D191" t="s">
        <v>40</v>
      </c>
      <c r="E191" t="s">
        <v>41</v>
      </c>
      <c r="F191" t="s">
        <v>1005</v>
      </c>
      <c r="G191" t="s">
        <v>365</v>
      </c>
      <c r="H191" t="s">
        <v>1006</v>
      </c>
      <c r="I191" t="s">
        <v>1007</v>
      </c>
      <c r="J191" t="s">
        <v>5406</v>
      </c>
      <c r="K191" t="s">
        <v>45</v>
      </c>
      <c r="N191" t="s">
        <v>192</v>
      </c>
      <c r="O191" t="s">
        <v>107</v>
      </c>
      <c r="P191" t="s">
        <v>971</v>
      </c>
      <c r="Q191" s="534">
        <v>1</v>
      </c>
      <c r="R191" t="s">
        <v>3264</v>
      </c>
      <c r="S191">
        <v>4.7</v>
      </c>
      <c r="T191">
        <v>4.7</v>
      </c>
      <c r="U191">
        <v>4.7</v>
      </c>
      <c r="V191">
        <v>4.7</v>
      </c>
      <c r="W191">
        <v>4.7</v>
      </c>
      <c r="X191">
        <v>4.7</v>
      </c>
      <c r="AH191">
        <v>0</v>
      </c>
      <c r="AJ191" t="s">
        <v>50</v>
      </c>
      <c r="AK191" t="s">
        <v>50</v>
      </c>
      <c r="AL191" t="s">
        <v>50</v>
      </c>
      <c r="AM191" t="s">
        <v>50</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972</v>
      </c>
      <c r="BP191" s="534" t="s">
        <v>52</v>
      </c>
      <c r="BQ191" s="722">
        <v>4.5999999999999996</v>
      </c>
      <c r="BR191" t="s">
        <v>46</v>
      </c>
      <c r="BS191" t="s">
        <v>52</v>
      </c>
      <c r="BT191">
        <v>0</v>
      </c>
      <c r="BU191" t="s">
        <v>52</v>
      </c>
      <c r="BV191">
        <v>0</v>
      </c>
      <c r="BW191">
        <v>4.5999999999999996</v>
      </c>
      <c r="BX191" t="s">
        <v>46</v>
      </c>
      <c r="BY191">
        <v>0</v>
      </c>
      <c r="BZ191">
        <v>0</v>
      </c>
      <c r="CA191" t="s">
        <v>5378</v>
      </c>
      <c r="CB191">
        <v>0</v>
      </c>
      <c r="CC191" s="2146">
        <v>4.5999999999999996</v>
      </c>
      <c r="CD191" s="2146" t="s">
        <v>46</v>
      </c>
      <c r="CE191" s="2146">
        <v>0</v>
      </c>
      <c r="CF191" s="2146">
        <v>0</v>
      </c>
      <c r="CG191" s="2146" t="s">
        <v>5379</v>
      </c>
      <c r="CH191">
        <v>0</v>
      </c>
      <c r="CJ191" t="s">
        <v>5615</v>
      </c>
    </row>
    <row r="192" spans="1:88">
      <c r="A192" t="s">
        <v>966</v>
      </c>
      <c r="B192" t="s">
        <v>1008</v>
      </c>
      <c r="C192" t="s">
        <v>39</v>
      </c>
      <c r="D192" t="s">
        <v>40</v>
      </c>
      <c r="E192" t="s">
        <v>41</v>
      </c>
      <c r="F192" t="s">
        <v>1005</v>
      </c>
      <c r="G192" t="s">
        <v>394</v>
      </c>
      <c r="H192" t="s">
        <v>1009</v>
      </c>
      <c r="I192" t="s">
        <v>1010</v>
      </c>
      <c r="J192" t="s">
        <v>5406</v>
      </c>
      <c r="K192" t="s">
        <v>45</v>
      </c>
      <c r="N192" t="s">
        <v>86</v>
      </c>
      <c r="O192" t="s">
        <v>119</v>
      </c>
      <c r="P192" t="s">
        <v>120</v>
      </c>
      <c r="Q192" s="534">
        <v>1</v>
      </c>
      <c r="R192" t="s">
        <v>3263</v>
      </c>
      <c r="S192">
        <v>13</v>
      </c>
      <c r="T192">
        <v>12.7</v>
      </c>
      <c r="U192">
        <v>12.3</v>
      </c>
      <c r="V192">
        <v>12</v>
      </c>
      <c r="W192">
        <v>12</v>
      </c>
      <c r="X192">
        <v>12</v>
      </c>
      <c r="AA192" t="s">
        <v>50</v>
      </c>
      <c r="AE192" t="s">
        <v>50</v>
      </c>
      <c r="AH192">
        <v>0</v>
      </c>
      <c r="AI192" t="s">
        <v>50</v>
      </c>
      <c r="AJ192" t="s">
        <v>50</v>
      </c>
      <c r="AK192" t="s">
        <v>50</v>
      </c>
      <c r="AL192" t="s">
        <v>50</v>
      </c>
      <c r="AM192" t="s">
        <v>50</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51</v>
      </c>
      <c r="BP192" s="534">
        <v>8</v>
      </c>
      <c r="BQ192" s="722">
        <v>32.049999999999997</v>
      </c>
      <c r="BR192" t="s">
        <v>46</v>
      </c>
      <c r="BS192" t="s">
        <v>52</v>
      </c>
      <c r="BT192">
        <v>0</v>
      </c>
      <c r="BU192" t="s">
        <v>5415</v>
      </c>
      <c r="BV192">
        <v>-0.93184</v>
      </c>
      <c r="BW192">
        <v>12.9</v>
      </c>
      <c r="BX192" t="s">
        <v>46</v>
      </c>
      <c r="BY192">
        <v>0</v>
      </c>
      <c r="BZ192">
        <v>0</v>
      </c>
      <c r="CA192" t="s">
        <v>5378</v>
      </c>
      <c r="CB192">
        <v>0</v>
      </c>
      <c r="CC192" s="2146">
        <v>44.6</v>
      </c>
      <c r="CD192" s="2146" t="s">
        <v>46</v>
      </c>
      <c r="CE192" s="2146">
        <v>0</v>
      </c>
      <c r="CF192" s="2146">
        <v>0</v>
      </c>
      <c r="CG192" s="2146" t="s">
        <v>13444</v>
      </c>
      <c r="CH192">
        <v>-1.331</v>
      </c>
      <c r="CJ192" t="s">
        <v>5616</v>
      </c>
    </row>
    <row r="193" spans="1:88">
      <c r="A193" t="s">
        <v>966</v>
      </c>
      <c r="B193" t="s">
        <v>1011</v>
      </c>
      <c r="C193" t="s">
        <v>39</v>
      </c>
      <c r="D193" t="s">
        <v>40</v>
      </c>
      <c r="E193" t="s">
        <v>41</v>
      </c>
      <c r="F193" t="s">
        <v>1012</v>
      </c>
      <c r="G193" t="s">
        <v>372</v>
      </c>
      <c r="H193" t="s">
        <v>1013</v>
      </c>
      <c r="I193" t="s">
        <v>1014</v>
      </c>
      <c r="J193" t="s">
        <v>5406</v>
      </c>
      <c r="K193" t="s">
        <v>45</v>
      </c>
      <c r="N193" t="s">
        <v>192</v>
      </c>
      <c r="O193" t="s">
        <v>107</v>
      </c>
      <c r="P193" t="s">
        <v>971</v>
      </c>
      <c r="Q193" s="534">
        <v>1</v>
      </c>
      <c r="R193" t="s">
        <v>3264</v>
      </c>
      <c r="S193">
        <v>4.0999999999999996</v>
      </c>
      <c r="T193">
        <v>4.0999999999999996</v>
      </c>
      <c r="U193">
        <v>4.0999999999999996</v>
      </c>
      <c r="V193">
        <v>4.0999999999999996</v>
      </c>
      <c r="W193">
        <v>4.0999999999999996</v>
      </c>
      <c r="X193">
        <v>4.0999999999999996</v>
      </c>
      <c r="AH193">
        <v>0</v>
      </c>
      <c r="AJ193" t="s">
        <v>50</v>
      </c>
      <c r="AK193" t="s">
        <v>50</v>
      </c>
      <c r="AL193" t="s">
        <v>50</v>
      </c>
      <c r="AM193" t="s">
        <v>50</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972</v>
      </c>
      <c r="BP193" s="534" t="s">
        <v>52</v>
      </c>
      <c r="BQ193" s="722">
        <v>4.2</v>
      </c>
      <c r="BR193" t="s">
        <v>50</v>
      </c>
      <c r="BS193" t="s">
        <v>52</v>
      </c>
      <c r="BT193">
        <v>0</v>
      </c>
      <c r="BU193" t="s">
        <v>52</v>
      </c>
      <c r="BV193">
        <v>0</v>
      </c>
      <c r="BW193">
        <v>4.4000000000000004</v>
      </c>
      <c r="BX193" t="s">
        <v>50</v>
      </c>
      <c r="BY193">
        <v>0</v>
      </c>
      <c r="BZ193">
        <v>0</v>
      </c>
      <c r="CA193" t="s">
        <v>5425</v>
      </c>
      <c r="CB193">
        <v>4.3200000000000002E-2</v>
      </c>
      <c r="CC193" s="2146">
        <v>4.4000000000000004</v>
      </c>
      <c r="CD193" s="2146" t="s">
        <v>50</v>
      </c>
      <c r="CE193" s="2146">
        <v>0</v>
      </c>
      <c r="CF193" s="2146">
        <v>0</v>
      </c>
      <c r="CG193" s="2146" t="s">
        <v>5425</v>
      </c>
      <c r="CH193">
        <v>4.3200000000000002E-2</v>
      </c>
      <c r="CJ193" t="s">
        <v>5617</v>
      </c>
    </row>
    <row r="194" spans="1:88">
      <c r="A194" t="s">
        <v>966</v>
      </c>
      <c r="B194" t="s">
        <v>1015</v>
      </c>
      <c r="C194" t="s">
        <v>39</v>
      </c>
      <c r="D194" t="s">
        <v>40</v>
      </c>
      <c r="E194" t="s">
        <v>41</v>
      </c>
      <c r="F194" t="s">
        <v>1012</v>
      </c>
      <c r="G194" t="s">
        <v>377</v>
      </c>
      <c r="H194" t="s">
        <v>1016</v>
      </c>
      <c r="I194" t="s">
        <v>1017</v>
      </c>
      <c r="J194" t="s">
        <v>5408</v>
      </c>
      <c r="K194" t="s">
        <v>45</v>
      </c>
      <c r="M194" t="s">
        <v>46</v>
      </c>
      <c r="N194" t="s">
        <v>61</v>
      </c>
      <c r="O194" t="s">
        <v>48</v>
      </c>
      <c r="P194" t="s">
        <v>49</v>
      </c>
      <c r="Q194" s="534">
        <v>0</v>
      </c>
      <c r="R194" t="s">
        <v>3263</v>
      </c>
      <c r="S194">
        <v>0</v>
      </c>
      <c r="T194">
        <v>0</v>
      </c>
      <c r="U194">
        <v>0</v>
      </c>
      <c r="V194">
        <v>0</v>
      </c>
      <c r="W194">
        <v>0</v>
      </c>
      <c r="X194">
        <v>0</v>
      </c>
      <c r="AH194">
        <v>0</v>
      </c>
      <c r="AI194" t="s">
        <v>50</v>
      </c>
      <c r="AJ194" t="s">
        <v>50</v>
      </c>
      <c r="AK194" t="s">
        <v>50</v>
      </c>
      <c r="AL194" t="s">
        <v>50</v>
      </c>
      <c r="AM194" t="s">
        <v>50</v>
      </c>
      <c r="AN194" t="s">
        <v>1018</v>
      </c>
      <c r="AO194" t="s">
        <v>1018</v>
      </c>
      <c r="AP194" t="s">
        <v>1018</v>
      </c>
      <c r="AQ194" t="s">
        <v>1018</v>
      </c>
      <c r="AR194" t="s">
        <v>1018</v>
      </c>
      <c r="AS194">
        <v>0</v>
      </c>
      <c r="AT194">
        <v>0</v>
      </c>
      <c r="AU194">
        <v>0</v>
      </c>
      <c r="AV194">
        <v>0</v>
      </c>
      <c r="AW194">
        <v>0</v>
      </c>
      <c r="BH194">
        <v>0.504</v>
      </c>
      <c r="BN194">
        <v>1</v>
      </c>
      <c r="BO194" t="s">
        <v>51</v>
      </c>
      <c r="BP194" s="534" t="s">
        <v>52</v>
      </c>
      <c r="BQ194" s="725">
        <v>0</v>
      </c>
      <c r="BR194" t="s">
        <v>50</v>
      </c>
      <c r="BS194" t="s">
        <v>52</v>
      </c>
      <c r="BT194">
        <v>0</v>
      </c>
      <c r="BU194" t="s">
        <v>52</v>
      </c>
      <c r="BV194">
        <v>0</v>
      </c>
      <c r="BW194">
        <v>0</v>
      </c>
      <c r="BX194" t="s">
        <v>50</v>
      </c>
      <c r="BY194">
        <v>0</v>
      </c>
      <c r="BZ194">
        <v>0</v>
      </c>
      <c r="CA194">
        <v>0</v>
      </c>
      <c r="CB194">
        <v>0</v>
      </c>
      <c r="CC194" s="2146">
        <v>0</v>
      </c>
      <c r="CD194" s="2146" t="s">
        <v>50</v>
      </c>
      <c r="CE194" s="2146">
        <v>0</v>
      </c>
      <c r="CF194" s="2146">
        <v>0</v>
      </c>
      <c r="CG194" s="2146">
        <v>0</v>
      </c>
      <c r="CH194">
        <v>0</v>
      </c>
      <c r="CJ194" t="s">
        <v>5618</v>
      </c>
    </row>
    <row r="195" spans="1:88">
      <c r="A195" t="s">
        <v>966</v>
      </c>
      <c r="B195" t="s">
        <v>1019</v>
      </c>
      <c r="C195" t="s">
        <v>39</v>
      </c>
      <c r="D195" t="s">
        <v>40</v>
      </c>
      <c r="E195" t="s">
        <v>41</v>
      </c>
      <c r="F195" t="s">
        <v>1020</v>
      </c>
      <c r="G195" t="s">
        <v>400</v>
      </c>
      <c r="H195" t="s">
        <v>1021</v>
      </c>
      <c r="I195" t="s">
        <v>1022</v>
      </c>
      <c r="J195" t="s">
        <v>5408</v>
      </c>
      <c r="K195" t="s">
        <v>45</v>
      </c>
      <c r="N195" t="s">
        <v>75</v>
      </c>
      <c r="O195" t="s">
        <v>76</v>
      </c>
      <c r="P195" t="s">
        <v>77</v>
      </c>
      <c r="Q195" s="534">
        <v>2</v>
      </c>
      <c r="R195" t="s">
        <v>3264</v>
      </c>
      <c r="S195">
        <v>100</v>
      </c>
      <c r="T195">
        <v>100</v>
      </c>
      <c r="U195">
        <v>100</v>
      </c>
      <c r="V195">
        <v>100</v>
      </c>
      <c r="W195">
        <v>100</v>
      </c>
      <c r="X195">
        <v>100</v>
      </c>
      <c r="Y195" t="s">
        <v>50</v>
      </c>
      <c r="AE195" t="s">
        <v>50</v>
      </c>
      <c r="AH195">
        <v>0</v>
      </c>
      <c r="AI195" t="s">
        <v>50</v>
      </c>
      <c r="AJ195" t="s">
        <v>50</v>
      </c>
      <c r="AK195" t="s">
        <v>50</v>
      </c>
      <c r="AL195" t="s">
        <v>50</v>
      </c>
      <c r="AM195" t="s">
        <v>50</v>
      </c>
      <c r="AN195">
        <v>99.94</v>
      </c>
      <c r="AO195">
        <v>99.94</v>
      </c>
      <c r="AP195">
        <v>99.94</v>
      </c>
      <c r="AQ195">
        <v>99.94</v>
      </c>
      <c r="AR195">
        <v>99.94</v>
      </c>
      <c r="AS195">
        <v>99.95</v>
      </c>
      <c r="AT195">
        <v>99.95</v>
      </c>
      <c r="AU195">
        <v>99.95</v>
      </c>
      <c r="AV195">
        <v>99.95</v>
      </c>
      <c r="AW195">
        <v>99.95</v>
      </c>
      <c r="BH195">
        <v>0.28399999999999997</v>
      </c>
      <c r="BN195">
        <v>100</v>
      </c>
      <c r="BO195" t="s">
        <v>351</v>
      </c>
      <c r="BP195" s="534">
        <v>99.96</v>
      </c>
      <c r="BQ195" s="726">
        <v>99.96</v>
      </c>
      <c r="BR195" t="s">
        <v>46</v>
      </c>
      <c r="BS195" t="s">
        <v>52</v>
      </c>
      <c r="BT195">
        <v>0</v>
      </c>
      <c r="BU195" t="s">
        <v>5378</v>
      </c>
      <c r="BV195">
        <v>0</v>
      </c>
      <c r="BW195">
        <v>99.95</v>
      </c>
      <c r="BX195" t="s">
        <v>46</v>
      </c>
      <c r="BY195">
        <v>0</v>
      </c>
      <c r="BZ195">
        <v>0</v>
      </c>
      <c r="CA195" t="s">
        <v>5378</v>
      </c>
      <c r="CB195">
        <v>0</v>
      </c>
      <c r="CC195" s="2146">
        <v>99.95</v>
      </c>
      <c r="CD195" s="2146" t="s">
        <v>46</v>
      </c>
      <c r="CE195" s="2146">
        <v>0</v>
      </c>
      <c r="CF195" s="2146">
        <v>0</v>
      </c>
      <c r="CG195" s="2146" t="s">
        <v>13445</v>
      </c>
      <c r="CH195">
        <v>0</v>
      </c>
      <c r="CJ195" t="s">
        <v>5619</v>
      </c>
    </row>
    <row r="196" spans="1:88">
      <c r="A196" t="s">
        <v>966</v>
      </c>
      <c r="B196" t="s">
        <v>1023</v>
      </c>
      <c r="C196" t="s">
        <v>39</v>
      </c>
      <c r="D196" t="s">
        <v>40</v>
      </c>
      <c r="E196" t="s">
        <v>41</v>
      </c>
      <c r="F196" t="s">
        <v>1024</v>
      </c>
      <c r="G196" t="s">
        <v>405</v>
      </c>
      <c r="H196" t="s">
        <v>1025</v>
      </c>
      <c r="I196" t="s">
        <v>1026</v>
      </c>
      <c r="J196" t="s">
        <v>69</v>
      </c>
      <c r="N196" t="s">
        <v>175</v>
      </c>
      <c r="O196" t="s">
        <v>48</v>
      </c>
      <c r="P196" t="s">
        <v>1027</v>
      </c>
      <c r="Q196" s="534">
        <v>0</v>
      </c>
      <c r="R196" t="s">
        <v>3263</v>
      </c>
      <c r="S196">
        <v>0</v>
      </c>
      <c r="T196">
        <v>0</v>
      </c>
      <c r="U196">
        <v>0</v>
      </c>
      <c r="V196">
        <v>0</v>
      </c>
      <c r="W196">
        <v>0</v>
      </c>
      <c r="X196">
        <v>0</v>
      </c>
      <c r="AE196" t="s">
        <v>50</v>
      </c>
      <c r="AH196">
        <v>0</v>
      </c>
      <c r="BP196" s="534" t="s">
        <v>52</v>
      </c>
      <c r="BQ196" s="725">
        <v>25</v>
      </c>
      <c r="BR196" t="s">
        <v>46</v>
      </c>
      <c r="BS196" t="s">
        <v>52</v>
      </c>
      <c r="BT196">
        <v>0</v>
      </c>
      <c r="BU196" t="s">
        <v>52</v>
      </c>
      <c r="BV196">
        <v>0</v>
      </c>
      <c r="BW196">
        <v>5</v>
      </c>
      <c r="BX196" t="s">
        <v>46</v>
      </c>
      <c r="BY196">
        <v>0</v>
      </c>
      <c r="BZ196">
        <v>0</v>
      </c>
      <c r="CA196">
        <v>0</v>
      </c>
      <c r="CB196">
        <v>0</v>
      </c>
      <c r="CC196" s="2146">
        <v>215</v>
      </c>
      <c r="CD196" s="2146" t="s">
        <v>46</v>
      </c>
      <c r="CE196" s="2146">
        <v>0</v>
      </c>
      <c r="CF196" s="2146">
        <v>0</v>
      </c>
      <c r="CG196" s="2146">
        <v>0</v>
      </c>
      <c r="CH196">
        <v>0</v>
      </c>
      <c r="CJ196" t="s">
        <v>5620</v>
      </c>
    </row>
    <row r="197" spans="1:88">
      <c r="A197" t="s">
        <v>966</v>
      </c>
      <c r="B197" t="s">
        <v>1028</v>
      </c>
      <c r="C197" t="s">
        <v>39</v>
      </c>
      <c r="D197" t="s">
        <v>40</v>
      </c>
      <c r="E197" t="s">
        <v>41</v>
      </c>
      <c r="F197" t="s">
        <v>1024</v>
      </c>
      <c r="G197" t="s">
        <v>411</v>
      </c>
      <c r="H197" t="s">
        <v>1029</v>
      </c>
      <c r="I197" t="s">
        <v>1030</v>
      </c>
      <c r="J197" t="s">
        <v>69</v>
      </c>
      <c r="N197" t="s">
        <v>175</v>
      </c>
      <c r="O197" t="s">
        <v>48</v>
      </c>
      <c r="P197" t="s">
        <v>1031</v>
      </c>
      <c r="Q197" s="534">
        <v>0</v>
      </c>
      <c r="R197" t="s">
        <v>3263</v>
      </c>
      <c r="S197">
        <v>0</v>
      </c>
      <c r="T197">
        <v>0</v>
      </c>
      <c r="U197">
        <v>0</v>
      </c>
      <c r="V197">
        <v>0</v>
      </c>
      <c r="W197">
        <v>0</v>
      </c>
      <c r="X197">
        <v>0</v>
      </c>
      <c r="AE197" t="s">
        <v>50</v>
      </c>
      <c r="AH197">
        <v>0</v>
      </c>
      <c r="BP197" s="534" t="s">
        <v>52</v>
      </c>
      <c r="BQ197" s="725">
        <v>0</v>
      </c>
      <c r="BR197" t="s">
        <v>50</v>
      </c>
      <c r="BS197" t="s">
        <v>52</v>
      </c>
      <c r="BT197">
        <v>0</v>
      </c>
      <c r="BU197" t="s">
        <v>52</v>
      </c>
      <c r="BV197">
        <v>0</v>
      </c>
      <c r="BW197">
        <v>2</v>
      </c>
      <c r="BX197" t="s">
        <v>46</v>
      </c>
      <c r="BY197">
        <v>0</v>
      </c>
      <c r="BZ197">
        <v>0</v>
      </c>
      <c r="CA197">
        <v>0</v>
      </c>
      <c r="CB197">
        <v>0</v>
      </c>
      <c r="CC197" s="2146">
        <v>1</v>
      </c>
      <c r="CD197" s="2146" t="s">
        <v>46</v>
      </c>
      <c r="CE197" s="2146">
        <v>0</v>
      </c>
      <c r="CF197" s="2146">
        <v>0</v>
      </c>
      <c r="CG197" s="2146">
        <v>0</v>
      </c>
      <c r="CH197">
        <v>0</v>
      </c>
      <c r="CJ197" t="s">
        <v>5621</v>
      </c>
    </row>
    <row r="198" spans="1:88">
      <c r="A198" t="s">
        <v>966</v>
      </c>
      <c r="B198" t="s">
        <v>1032</v>
      </c>
      <c r="C198" t="s">
        <v>39</v>
      </c>
      <c r="D198" t="s">
        <v>40</v>
      </c>
      <c r="E198" t="s">
        <v>41</v>
      </c>
      <c r="F198" t="s">
        <v>1033</v>
      </c>
      <c r="G198" t="s">
        <v>421</v>
      </c>
      <c r="H198" t="s">
        <v>1034</v>
      </c>
      <c r="I198" t="s">
        <v>1035</v>
      </c>
      <c r="J198" t="s">
        <v>69</v>
      </c>
      <c r="N198" t="s">
        <v>797</v>
      </c>
      <c r="O198" t="s">
        <v>48</v>
      </c>
      <c r="P198" t="s">
        <v>1036</v>
      </c>
      <c r="Q198" s="534">
        <v>0</v>
      </c>
      <c r="R198" t="s">
        <v>3263</v>
      </c>
      <c r="S198">
        <v>0</v>
      </c>
      <c r="T198">
        <v>0</v>
      </c>
      <c r="U198">
        <v>0</v>
      </c>
      <c r="V198">
        <v>0</v>
      </c>
      <c r="W198">
        <v>0</v>
      </c>
      <c r="X198">
        <v>0</v>
      </c>
      <c r="AH198">
        <v>0</v>
      </c>
      <c r="BP198" s="534" t="s">
        <v>52</v>
      </c>
      <c r="BQ198" s="725">
        <v>0</v>
      </c>
      <c r="BR198" t="s">
        <v>50</v>
      </c>
      <c r="BS198" t="s">
        <v>52</v>
      </c>
      <c r="BT198">
        <v>0</v>
      </c>
      <c r="BU198" t="s">
        <v>52</v>
      </c>
      <c r="BV198">
        <v>0</v>
      </c>
      <c r="BW198">
        <v>0</v>
      </c>
      <c r="BX198" t="s">
        <v>50</v>
      </c>
      <c r="BY198">
        <v>0</v>
      </c>
      <c r="BZ198">
        <v>0</v>
      </c>
      <c r="CA198">
        <v>0</v>
      </c>
      <c r="CB198">
        <v>0</v>
      </c>
      <c r="CC198" s="2146">
        <v>0</v>
      </c>
      <c r="CD198" s="2146" t="s">
        <v>50</v>
      </c>
      <c r="CE198" s="2146">
        <v>0</v>
      </c>
      <c r="CF198" s="2146">
        <v>0</v>
      </c>
      <c r="CG198" s="2146">
        <v>0</v>
      </c>
      <c r="CH198">
        <v>0</v>
      </c>
      <c r="CJ198" t="s">
        <v>5622</v>
      </c>
    </row>
    <row r="199" spans="1:88">
      <c r="A199" t="s">
        <v>966</v>
      </c>
      <c r="B199" t="s">
        <v>1037</v>
      </c>
      <c r="C199" t="s">
        <v>39</v>
      </c>
      <c r="D199" t="s">
        <v>40</v>
      </c>
      <c r="E199" t="s">
        <v>41</v>
      </c>
      <c r="F199" t="s">
        <v>1038</v>
      </c>
      <c r="G199" t="s">
        <v>427</v>
      </c>
      <c r="H199" t="s">
        <v>1039</v>
      </c>
      <c r="I199" t="s">
        <v>1040</v>
      </c>
      <c r="J199" t="s">
        <v>69</v>
      </c>
      <c r="N199" t="s">
        <v>1041</v>
      </c>
      <c r="O199" t="s">
        <v>48</v>
      </c>
      <c r="P199" t="s">
        <v>1042</v>
      </c>
      <c r="Q199" s="534">
        <v>0</v>
      </c>
      <c r="R199" t="s">
        <v>3263</v>
      </c>
      <c r="S199">
        <v>0</v>
      </c>
      <c r="T199">
        <v>0</v>
      </c>
      <c r="U199">
        <v>0</v>
      </c>
      <c r="V199">
        <v>0</v>
      </c>
      <c r="W199">
        <v>0</v>
      </c>
      <c r="X199">
        <v>0</v>
      </c>
      <c r="AH199">
        <v>0</v>
      </c>
      <c r="BP199" s="534" t="s">
        <v>52</v>
      </c>
      <c r="BQ199" s="725">
        <v>0</v>
      </c>
      <c r="BR199" t="s">
        <v>50</v>
      </c>
      <c r="BS199" t="s">
        <v>52</v>
      </c>
      <c r="BT199">
        <v>0</v>
      </c>
      <c r="BU199" t="s">
        <v>52</v>
      </c>
      <c r="BV199">
        <v>0</v>
      </c>
      <c r="BW199">
        <v>0</v>
      </c>
      <c r="BX199" t="s">
        <v>50</v>
      </c>
      <c r="BY199">
        <v>0</v>
      </c>
      <c r="BZ199">
        <v>0</v>
      </c>
      <c r="CA199">
        <v>0</v>
      </c>
      <c r="CB199">
        <v>0</v>
      </c>
      <c r="CC199" s="2146">
        <v>0</v>
      </c>
      <c r="CD199" s="2146" t="s">
        <v>50</v>
      </c>
      <c r="CE199" s="2146">
        <v>0</v>
      </c>
      <c r="CF199" s="2146">
        <v>0</v>
      </c>
      <c r="CG199" s="2146">
        <v>0</v>
      </c>
      <c r="CH199">
        <v>0</v>
      </c>
      <c r="CJ199" t="s">
        <v>5623</v>
      </c>
    </row>
    <row r="200" spans="1:88">
      <c r="A200" t="s">
        <v>966</v>
      </c>
      <c r="B200" t="s">
        <v>1043</v>
      </c>
      <c r="C200" t="s">
        <v>39</v>
      </c>
      <c r="D200" t="s">
        <v>40</v>
      </c>
      <c r="E200" t="s">
        <v>41</v>
      </c>
      <c r="F200" t="s">
        <v>1044</v>
      </c>
      <c r="G200" t="s">
        <v>1045</v>
      </c>
      <c r="H200" t="s">
        <v>1046</v>
      </c>
      <c r="I200" t="s">
        <v>1047</v>
      </c>
      <c r="J200" t="s">
        <v>69</v>
      </c>
      <c r="N200" t="s">
        <v>175</v>
      </c>
      <c r="O200" t="s">
        <v>48</v>
      </c>
      <c r="P200" t="s">
        <v>1048</v>
      </c>
      <c r="Q200" s="534">
        <v>0</v>
      </c>
      <c r="R200" t="s">
        <v>3263</v>
      </c>
      <c r="S200">
        <v>0</v>
      </c>
      <c r="T200">
        <v>0</v>
      </c>
      <c r="U200">
        <v>0</v>
      </c>
      <c r="V200">
        <v>0</v>
      </c>
      <c r="W200">
        <v>0</v>
      </c>
      <c r="X200">
        <v>0</v>
      </c>
      <c r="AF200" t="s">
        <v>50</v>
      </c>
      <c r="AH200">
        <v>0</v>
      </c>
      <c r="BP200" s="534" t="s">
        <v>52</v>
      </c>
      <c r="BQ200" s="725">
        <v>0</v>
      </c>
      <c r="BR200" t="s">
        <v>50</v>
      </c>
      <c r="BS200" t="s">
        <v>52</v>
      </c>
      <c r="BT200">
        <v>0</v>
      </c>
      <c r="BU200" t="s">
        <v>52</v>
      </c>
      <c r="BV200">
        <v>0</v>
      </c>
      <c r="BW200">
        <v>1</v>
      </c>
      <c r="BX200" t="s">
        <v>46</v>
      </c>
      <c r="BY200">
        <v>0</v>
      </c>
      <c r="BZ200">
        <v>0</v>
      </c>
      <c r="CA200">
        <v>0</v>
      </c>
      <c r="CB200">
        <v>0</v>
      </c>
      <c r="CC200" s="2146">
        <v>0</v>
      </c>
      <c r="CD200" s="2146" t="s">
        <v>50</v>
      </c>
      <c r="CE200" s="2146">
        <v>0</v>
      </c>
      <c r="CF200" s="2146">
        <v>0</v>
      </c>
      <c r="CG200" s="2146">
        <v>0</v>
      </c>
      <c r="CH200">
        <v>0</v>
      </c>
      <c r="CJ200" t="s">
        <v>5624</v>
      </c>
    </row>
    <row r="201" spans="1:88">
      <c r="A201" t="s">
        <v>966</v>
      </c>
      <c r="B201" t="s">
        <v>1049</v>
      </c>
      <c r="C201" t="s">
        <v>39</v>
      </c>
      <c r="D201" t="s">
        <v>40</v>
      </c>
      <c r="E201" t="s">
        <v>41</v>
      </c>
      <c r="F201" t="s">
        <v>1050</v>
      </c>
      <c r="G201" t="s">
        <v>1051</v>
      </c>
      <c r="H201" t="s">
        <v>1052</v>
      </c>
      <c r="I201" t="s">
        <v>1053</v>
      </c>
      <c r="J201" t="s">
        <v>5406</v>
      </c>
      <c r="K201" t="s">
        <v>322</v>
      </c>
      <c r="N201" t="s">
        <v>24</v>
      </c>
      <c r="O201" t="s">
        <v>48</v>
      </c>
      <c r="P201" t="s">
        <v>81</v>
      </c>
      <c r="Q201" s="534">
        <v>2</v>
      </c>
      <c r="R201" t="s">
        <v>3263</v>
      </c>
      <c r="S201">
        <v>1.17</v>
      </c>
      <c r="T201">
        <v>0.97</v>
      </c>
      <c r="U201">
        <v>0.78</v>
      </c>
      <c r="V201">
        <v>0.57999999999999996</v>
      </c>
      <c r="W201">
        <v>0.57999999999999996</v>
      </c>
      <c r="X201">
        <v>0.57999999999999996</v>
      </c>
      <c r="Z201" t="s">
        <v>50</v>
      </c>
      <c r="AE201" t="s">
        <v>50</v>
      </c>
      <c r="AH201">
        <v>0</v>
      </c>
      <c r="AI201" t="s">
        <v>50</v>
      </c>
      <c r="AJ201" t="s">
        <v>50</v>
      </c>
      <c r="AK201" t="s">
        <v>50</v>
      </c>
      <c r="AL201" t="s">
        <v>50</v>
      </c>
      <c r="AM201" t="s">
        <v>50</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764</v>
      </c>
      <c r="BP201" s="534">
        <v>1.19</v>
      </c>
      <c r="BQ201" s="726">
        <v>0.98</v>
      </c>
      <c r="BR201" t="s">
        <v>46</v>
      </c>
      <c r="BS201" t="s">
        <v>52</v>
      </c>
      <c r="BT201">
        <v>0</v>
      </c>
      <c r="BU201" t="s">
        <v>5378</v>
      </c>
      <c r="BV201">
        <v>0</v>
      </c>
      <c r="BW201">
        <v>0.96</v>
      </c>
      <c r="BX201" t="s">
        <v>46</v>
      </c>
      <c r="BY201">
        <v>0</v>
      </c>
      <c r="BZ201">
        <v>0</v>
      </c>
      <c r="CA201" t="s">
        <v>5378</v>
      </c>
      <c r="CB201">
        <v>0</v>
      </c>
      <c r="CC201" s="2146">
        <v>0.82</v>
      </c>
      <c r="CD201" s="2146" t="s">
        <v>46</v>
      </c>
      <c r="CE201" s="2146">
        <v>0</v>
      </c>
      <c r="CF201" s="2146">
        <v>0</v>
      </c>
      <c r="CG201" s="2146" t="s">
        <v>13444</v>
      </c>
      <c r="CH201">
        <v>-0.35799999999999998</v>
      </c>
      <c r="CJ201" t="s">
        <v>5625</v>
      </c>
    </row>
    <row r="202" spans="1:88">
      <c r="A202" t="s">
        <v>966</v>
      </c>
      <c r="B202" t="s">
        <v>1054</v>
      </c>
      <c r="C202" t="s">
        <v>39</v>
      </c>
      <c r="D202" t="s">
        <v>40</v>
      </c>
      <c r="E202" t="s">
        <v>41</v>
      </c>
      <c r="F202" t="s">
        <v>1050</v>
      </c>
      <c r="G202" t="s">
        <v>1055</v>
      </c>
      <c r="H202" t="s">
        <v>1056</v>
      </c>
      <c r="I202" t="s">
        <v>1057</v>
      </c>
      <c r="J202" t="s">
        <v>5408</v>
      </c>
      <c r="K202" t="s">
        <v>322</v>
      </c>
      <c r="M202" t="s">
        <v>46</v>
      </c>
      <c r="N202" t="s">
        <v>91</v>
      </c>
      <c r="O202" t="s">
        <v>200</v>
      </c>
      <c r="P202" t="s">
        <v>323</v>
      </c>
      <c r="Q202" s="534" t="s">
        <v>51</v>
      </c>
      <c r="S202" t="s">
        <v>202</v>
      </c>
      <c r="T202" t="s">
        <v>202</v>
      </c>
      <c r="U202" t="s">
        <v>202</v>
      </c>
      <c r="V202" t="s">
        <v>202</v>
      </c>
      <c r="W202" t="s">
        <v>202</v>
      </c>
      <c r="X202" t="s">
        <v>202</v>
      </c>
      <c r="AE202" t="s">
        <v>50</v>
      </c>
      <c r="AH202">
        <v>4</v>
      </c>
      <c r="AI202" t="s">
        <v>50</v>
      </c>
      <c r="AJ202" t="s">
        <v>50</v>
      </c>
      <c r="AK202" t="s">
        <v>50</v>
      </c>
      <c r="AL202" t="s">
        <v>50</v>
      </c>
      <c r="AM202" t="s">
        <v>50</v>
      </c>
      <c r="AN202" t="s">
        <v>1058</v>
      </c>
      <c r="AO202" t="s">
        <v>1058</v>
      </c>
      <c r="AP202" t="s">
        <v>1058</v>
      </c>
      <c r="AQ202" t="s">
        <v>1058</v>
      </c>
      <c r="AR202" t="s">
        <v>1058</v>
      </c>
      <c r="AS202" t="s">
        <v>1058</v>
      </c>
      <c r="AT202" t="s">
        <v>1058</v>
      </c>
      <c r="AU202" t="s">
        <v>1058</v>
      </c>
      <c r="AV202" t="s">
        <v>1058</v>
      </c>
      <c r="AW202" t="s">
        <v>1058</v>
      </c>
      <c r="BH202">
        <v>4</v>
      </c>
      <c r="BN202">
        <v>1</v>
      </c>
      <c r="BO202" t="s">
        <v>51</v>
      </c>
      <c r="BP202" s="534" t="s">
        <v>202</v>
      </c>
      <c r="BQ202" s="724" t="s">
        <v>202</v>
      </c>
      <c r="BR202" t="s">
        <v>50</v>
      </c>
      <c r="BS202" t="s">
        <v>52</v>
      </c>
      <c r="BT202">
        <v>0</v>
      </c>
      <c r="BU202" t="s">
        <v>52</v>
      </c>
      <c r="BV202">
        <v>0</v>
      </c>
      <c r="BW202" t="s">
        <v>202</v>
      </c>
      <c r="BX202" t="s">
        <v>50</v>
      </c>
      <c r="BY202">
        <v>0</v>
      </c>
      <c r="BZ202">
        <v>0</v>
      </c>
      <c r="CA202">
        <v>0</v>
      </c>
      <c r="CB202">
        <v>0</v>
      </c>
      <c r="CC202" s="2146" t="s">
        <v>202</v>
      </c>
      <c r="CD202" s="2146" t="s">
        <v>50</v>
      </c>
      <c r="CE202" s="2146">
        <v>0</v>
      </c>
      <c r="CF202" s="2146">
        <v>0</v>
      </c>
      <c r="CG202" s="2146">
        <v>0</v>
      </c>
      <c r="CH202">
        <v>0</v>
      </c>
      <c r="CJ202" t="s">
        <v>5626</v>
      </c>
    </row>
    <row r="203" spans="1:88">
      <c r="A203" t="s">
        <v>966</v>
      </c>
      <c r="B203" t="s">
        <v>1059</v>
      </c>
      <c r="C203" t="s">
        <v>39</v>
      </c>
      <c r="D203" t="s">
        <v>40</v>
      </c>
      <c r="E203" t="s">
        <v>41</v>
      </c>
      <c r="F203" t="s">
        <v>1050</v>
      </c>
      <c r="G203" t="s">
        <v>1060</v>
      </c>
      <c r="H203" t="s">
        <v>1061</v>
      </c>
      <c r="I203" t="s">
        <v>1062</v>
      </c>
      <c r="J203" t="s">
        <v>69</v>
      </c>
      <c r="N203" t="s">
        <v>137</v>
      </c>
      <c r="O203" t="s">
        <v>48</v>
      </c>
      <c r="P203" t="s">
        <v>1063</v>
      </c>
      <c r="Q203" s="534">
        <v>0</v>
      </c>
      <c r="R203" t="s">
        <v>3263</v>
      </c>
      <c r="S203">
        <v>55</v>
      </c>
      <c r="X203">
        <v>0</v>
      </c>
      <c r="AE203" t="s">
        <v>50</v>
      </c>
      <c r="AH203">
        <v>0</v>
      </c>
      <c r="BP203" s="534" t="s">
        <v>52</v>
      </c>
      <c r="BQ203" s="725">
        <v>55</v>
      </c>
      <c r="BR203" t="s">
        <v>52</v>
      </c>
      <c r="BS203" t="s">
        <v>52</v>
      </c>
      <c r="BT203">
        <v>0</v>
      </c>
      <c r="BU203" t="s">
        <v>52</v>
      </c>
      <c r="BV203">
        <v>0</v>
      </c>
      <c r="BW203">
        <v>33</v>
      </c>
      <c r="BX203" t="s">
        <v>2148</v>
      </c>
      <c r="BY203">
        <v>0</v>
      </c>
      <c r="BZ203">
        <v>0</v>
      </c>
      <c r="CA203">
        <v>0</v>
      </c>
      <c r="CB203">
        <v>0</v>
      </c>
      <c r="CC203" s="2146">
        <v>7</v>
      </c>
      <c r="CD203" s="2146" t="s">
        <v>2148</v>
      </c>
      <c r="CE203" s="2146">
        <v>0</v>
      </c>
      <c r="CF203" s="2146">
        <v>0</v>
      </c>
      <c r="CG203" s="2146">
        <v>0</v>
      </c>
      <c r="CH203">
        <v>0</v>
      </c>
      <c r="CJ203" t="s">
        <v>5627</v>
      </c>
    </row>
    <row r="204" spans="1:88">
      <c r="A204" t="s">
        <v>966</v>
      </c>
      <c r="B204" t="s">
        <v>1064</v>
      </c>
      <c r="C204" t="s">
        <v>39</v>
      </c>
      <c r="D204" t="s">
        <v>40</v>
      </c>
      <c r="E204" t="s">
        <v>41</v>
      </c>
      <c r="F204" t="s">
        <v>1050</v>
      </c>
      <c r="G204" t="s">
        <v>1065</v>
      </c>
      <c r="H204" t="s">
        <v>1066</v>
      </c>
      <c r="I204" t="s">
        <v>1067</v>
      </c>
      <c r="J204" t="s">
        <v>5408</v>
      </c>
      <c r="K204" t="s">
        <v>322</v>
      </c>
      <c r="N204" t="s">
        <v>91</v>
      </c>
      <c r="O204" t="s">
        <v>48</v>
      </c>
      <c r="P204" t="s">
        <v>92</v>
      </c>
      <c r="Q204" s="534">
        <v>0</v>
      </c>
      <c r="R204" t="s">
        <v>3263</v>
      </c>
      <c r="S204">
        <v>2429</v>
      </c>
      <c r="T204">
        <v>2429</v>
      </c>
      <c r="U204">
        <v>2429</v>
      </c>
      <c r="V204">
        <v>2429</v>
      </c>
      <c r="W204">
        <v>2429</v>
      </c>
      <c r="X204">
        <v>2429</v>
      </c>
      <c r="AE204" t="s">
        <v>50</v>
      </c>
      <c r="AH204">
        <v>0</v>
      </c>
      <c r="AI204" t="s">
        <v>50</v>
      </c>
      <c r="AJ204" t="s">
        <v>50</v>
      </c>
      <c r="AK204" t="s">
        <v>50</v>
      </c>
      <c r="AL204" t="s">
        <v>50</v>
      </c>
      <c r="AM204" t="s">
        <v>50</v>
      </c>
      <c r="AN204">
        <v>4014</v>
      </c>
      <c r="AO204">
        <v>4014</v>
      </c>
      <c r="AP204">
        <v>4014</v>
      </c>
      <c r="AQ204">
        <v>4014</v>
      </c>
      <c r="AR204">
        <v>4014</v>
      </c>
      <c r="AS204">
        <v>3048</v>
      </c>
      <c r="AT204">
        <v>3048</v>
      </c>
      <c r="AU204">
        <v>3048</v>
      </c>
      <c r="AV204">
        <v>3048</v>
      </c>
      <c r="AW204">
        <v>3048</v>
      </c>
      <c r="BH204">
        <v>7.1199999999999996E-4</v>
      </c>
      <c r="BN204">
        <v>1</v>
      </c>
      <c r="BO204" t="s">
        <v>51</v>
      </c>
      <c r="BP204" s="534">
        <v>2372</v>
      </c>
      <c r="BQ204" s="725">
        <v>2307</v>
      </c>
      <c r="BR204" t="s">
        <v>50</v>
      </c>
      <c r="BS204" t="s">
        <v>52</v>
      </c>
      <c r="BT204">
        <v>0</v>
      </c>
      <c r="BU204" t="s">
        <v>52</v>
      </c>
      <c r="BV204">
        <v>0</v>
      </c>
      <c r="BW204">
        <v>3032</v>
      </c>
      <c r="BX204" t="s">
        <v>46</v>
      </c>
      <c r="BY204">
        <v>0</v>
      </c>
      <c r="BZ204">
        <v>0</v>
      </c>
      <c r="CA204" t="s">
        <v>5378</v>
      </c>
      <c r="CB204">
        <v>0</v>
      </c>
      <c r="CC204" s="2146">
        <v>2747</v>
      </c>
      <c r="CD204" s="2146" t="s">
        <v>46</v>
      </c>
      <c r="CE204" s="2146">
        <v>0</v>
      </c>
      <c r="CF204" s="2146">
        <v>0</v>
      </c>
      <c r="CG204" s="2146" t="s">
        <v>13445</v>
      </c>
      <c r="CH204">
        <v>0</v>
      </c>
      <c r="CJ204" t="s">
        <v>5628</v>
      </c>
    </row>
    <row r="205" spans="1:88">
      <c r="A205" t="s">
        <v>966</v>
      </c>
      <c r="B205" t="s">
        <v>1068</v>
      </c>
      <c r="C205" t="s">
        <v>39</v>
      </c>
      <c r="D205" t="s">
        <v>40</v>
      </c>
      <c r="E205" t="s">
        <v>41</v>
      </c>
      <c r="F205" t="s">
        <v>1069</v>
      </c>
      <c r="G205" t="s">
        <v>1070</v>
      </c>
      <c r="H205" t="s">
        <v>1071</v>
      </c>
      <c r="I205" t="s">
        <v>1072</v>
      </c>
      <c r="J205" t="s">
        <v>69</v>
      </c>
      <c r="N205" t="s">
        <v>182</v>
      </c>
      <c r="O205" t="s">
        <v>48</v>
      </c>
      <c r="P205" t="s">
        <v>1073</v>
      </c>
      <c r="Q205" s="534">
        <v>1</v>
      </c>
      <c r="R205" t="s">
        <v>3263</v>
      </c>
      <c r="S205">
        <v>39.4</v>
      </c>
      <c r="X205">
        <v>37.700000000000003</v>
      </c>
      <c r="AH205">
        <v>0</v>
      </c>
      <c r="BP205" s="534" t="s">
        <v>52</v>
      </c>
      <c r="BQ205" s="722">
        <v>36.799999999999997</v>
      </c>
      <c r="BR205" t="s">
        <v>52</v>
      </c>
      <c r="BS205" t="s">
        <v>52</v>
      </c>
      <c r="BT205">
        <v>0</v>
      </c>
      <c r="BU205" t="s">
        <v>52</v>
      </c>
      <c r="BV205">
        <v>0</v>
      </c>
      <c r="BW205">
        <v>37.200000000000003</v>
      </c>
      <c r="BX205" t="s">
        <v>2148</v>
      </c>
      <c r="BY205">
        <v>0</v>
      </c>
      <c r="BZ205">
        <v>0</v>
      </c>
      <c r="CA205">
        <v>0</v>
      </c>
      <c r="CB205">
        <v>0</v>
      </c>
      <c r="CC205" s="2146">
        <v>37.200000000000003</v>
      </c>
      <c r="CD205" s="2146" t="s">
        <v>2148</v>
      </c>
      <c r="CE205" s="2146">
        <v>0</v>
      </c>
      <c r="CF205" s="2146">
        <v>0</v>
      </c>
      <c r="CG205" s="2146">
        <v>0</v>
      </c>
      <c r="CH205">
        <v>0</v>
      </c>
      <c r="CJ205" t="s">
        <v>5629</v>
      </c>
    </row>
    <row r="206" spans="1:88">
      <c r="A206" t="s">
        <v>966</v>
      </c>
      <c r="B206" t="s">
        <v>1074</v>
      </c>
      <c r="C206" t="s">
        <v>39</v>
      </c>
      <c r="D206" t="s">
        <v>40</v>
      </c>
      <c r="E206" t="s">
        <v>41</v>
      </c>
      <c r="F206" t="s">
        <v>1069</v>
      </c>
      <c r="G206" t="s">
        <v>1075</v>
      </c>
      <c r="H206" t="s">
        <v>1076</v>
      </c>
      <c r="I206" t="s">
        <v>1077</v>
      </c>
      <c r="J206" t="s">
        <v>69</v>
      </c>
      <c r="N206" t="s">
        <v>65</v>
      </c>
      <c r="O206" t="s">
        <v>70</v>
      </c>
      <c r="P206" t="s">
        <v>1078</v>
      </c>
      <c r="Q206" s="534" t="s">
        <v>70</v>
      </c>
      <c r="S206" t="s">
        <v>70</v>
      </c>
      <c r="T206" t="s">
        <v>70</v>
      </c>
      <c r="U206" t="s">
        <v>70</v>
      </c>
      <c r="V206" t="s">
        <v>70</v>
      </c>
      <c r="W206" t="s">
        <v>70</v>
      </c>
      <c r="X206" t="s">
        <v>70</v>
      </c>
      <c r="AG206" t="s">
        <v>50</v>
      </c>
      <c r="AH206">
        <v>0</v>
      </c>
      <c r="BP206" s="534" t="s">
        <v>52</v>
      </c>
      <c r="BQ206" s="724" t="s">
        <v>52</v>
      </c>
      <c r="BR206" t="s">
        <v>52</v>
      </c>
      <c r="BS206" t="s">
        <v>52</v>
      </c>
      <c r="BT206">
        <v>0</v>
      </c>
      <c r="BU206" t="s">
        <v>52</v>
      </c>
      <c r="BV206">
        <v>0</v>
      </c>
      <c r="BW206">
        <v>-0.18</v>
      </c>
      <c r="BX206" t="s">
        <v>50</v>
      </c>
      <c r="BY206">
        <v>0</v>
      </c>
      <c r="BZ206">
        <v>0</v>
      </c>
      <c r="CA206">
        <v>0</v>
      </c>
      <c r="CB206">
        <v>0</v>
      </c>
      <c r="CC206" s="2146">
        <v>-0.24</v>
      </c>
      <c r="CD206" s="2146" t="s">
        <v>50</v>
      </c>
      <c r="CE206" s="2146">
        <v>0</v>
      </c>
      <c r="CF206" s="2146">
        <v>0</v>
      </c>
      <c r="CG206" s="2146">
        <v>0</v>
      </c>
      <c r="CH206">
        <v>0</v>
      </c>
      <c r="CJ206" t="s">
        <v>5630</v>
      </c>
    </row>
    <row r="207" spans="1:88">
      <c r="A207" t="s">
        <v>966</v>
      </c>
      <c r="B207" t="s">
        <v>1079</v>
      </c>
      <c r="C207" t="s">
        <v>39</v>
      </c>
      <c r="D207" t="s">
        <v>101</v>
      </c>
      <c r="E207" t="s">
        <v>102</v>
      </c>
      <c r="F207" t="s">
        <v>968</v>
      </c>
      <c r="G207" t="s">
        <v>315</v>
      </c>
      <c r="H207" t="s">
        <v>1080</v>
      </c>
      <c r="I207" t="s">
        <v>970</v>
      </c>
      <c r="J207" t="s">
        <v>5406</v>
      </c>
      <c r="K207" t="s">
        <v>45</v>
      </c>
      <c r="N207" t="s">
        <v>192</v>
      </c>
      <c r="O207" t="s">
        <v>107</v>
      </c>
      <c r="P207" t="s">
        <v>971</v>
      </c>
      <c r="Q207" s="534">
        <v>1</v>
      </c>
      <c r="R207" t="s">
        <v>3264</v>
      </c>
      <c r="S207">
        <v>4.5999999999999996</v>
      </c>
      <c r="T207">
        <v>4.5999999999999996</v>
      </c>
      <c r="U207">
        <v>4.5999999999999996</v>
      </c>
      <c r="V207">
        <v>4.5999999999999996</v>
      </c>
      <c r="W207">
        <v>4.5999999999999996</v>
      </c>
      <c r="X207">
        <v>4.5999999999999996</v>
      </c>
      <c r="AH207">
        <v>0</v>
      </c>
      <c r="AJ207" t="s">
        <v>50</v>
      </c>
      <c r="AK207" t="s">
        <v>50</v>
      </c>
      <c r="AL207" t="s">
        <v>50</v>
      </c>
      <c r="AM207" t="s">
        <v>50</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972</v>
      </c>
      <c r="BP207" s="534" t="s">
        <v>52</v>
      </c>
      <c r="BQ207" s="722">
        <v>4.4000000000000004</v>
      </c>
      <c r="BR207" t="s">
        <v>46</v>
      </c>
      <c r="BS207" t="s">
        <v>52</v>
      </c>
      <c r="BT207">
        <v>0</v>
      </c>
      <c r="BU207" t="s">
        <v>52</v>
      </c>
      <c r="BV207">
        <v>0</v>
      </c>
      <c r="BW207">
        <v>4.5</v>
      </c>
      <c r="BX207" t="s">
        <v>46</v>
      </c>
      <c r="BY207">
        <v>0</v>
      </c>
      <c r="BZ207">
        <v>0</v>
      </c>
      <c r="CA207" t="s">
        <v>5378</v>
      </c>
      <c r="CB207">
        <v>0</v>
      </c>
      <c r="CC207" s="2146">
        <v>4.5</v>
      </c>
      <c r="CD207" s="2146" t="s">
        <v>46</v>
      </c>
      <c r="CE207" s="2146">
        <v>0</v>
      </c>
      <c r="CF207" s="2146">
        <v>0</v>
      </c>
      <c r="CG207" s="2146" t="s">
        <v>13445</v>
      </c>
      <c r="CH207">
        <v>0</v>
      </c>
      <c r="CJ207" t="s">
        <v>5606</v>
      </c>
    </row>
    <row r="208" spans="1:88">
      <c r="A208" t="s">
        <v>966</v>
      </c>
      <c r="B208" t="s">
        <v>1081</v>
      </c>
      <c r="C208" t="s">
        <v>39</v>
      </c>
      <c r="D208" t="s">
        <v>101</v>
      </c>
      <c r="E208" t="s">
        <v>102</v>
      </c>
      <c r="F208" t="s">
        <v>974</v>
      </c>
      <c r="G208" t="s">
        <v>332</v>
      </c>
      <c r="H208" t="s">
        <v>1082</v>
      </c>
      <c r="I208" t="s">
        <v>976</v>
      </c>
      <c r="J208" t="s">
        <v>5406</v>
      </c>
      <c r="K208" t="s">
        <v>45</v>
      </c>
      <c r="N208" t="s">
        <v>192</v>
      </c>
      <c r="O208" t="s">
        <v>107</v>
      </c>
      <c r="P208" t="s">
        <v>971</v>
      </c>
      <c r="Q208" s="534">
        <v>1</v>
      </c>
      <c r="R208" t="s">
        <v>3264</v>
      </c>
      <c r="S208">
        <v>4.3</v>
      </c>
      <c r="T208">
        <v>4.3</v>
      </c>
      <c r="U208">
        <v>4.3</v>
      </c>
      <c r="V208">
        <v>4.3</v>
      </c>
      <c r="W208">
        <v>4.3</v>
      </c>
      <c r="X208">
        <v>4.3</v>
      </c>
      <c r="AH208">
        <v>0</v>
      </c>
      <c r="AJ208" t="s">
        <v>50</v>
      </c>
      <c r="AK208" t="s">
        <v>50</v>
      </c>
      <c r="AL208" t="s">
        <v>50</v>
      </c>
      <c r="AM208" t="s">
        <v>50</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972</v>
      </c>
      <c r="BP208" s="534" t="s">
        <v>52</v>
      </c>
      <c r="BQ208" s="722">
        <v>4.0999999999999996</v>
      </c>
      <c r="BR208" t="s">
        <v>46</v>
      </c>
      <c r="BS208" t="s">
        <v>52</v>
      </c>
      <c r="BT208">
        <v>0</v>
      </c>
      <c r="BU208" t="s">
        <v>52</v>
      </c>
      <c r="BV208">
        <v>0</v>
      </c>
      <c r="BW208">
        <v>4.2</v>
      </c>
      <c r="BX208" t="s">
        <v>46</v>
      </c>
      <c r="BY208">
        <v>0</v>
      </c>
      <c r="BZ208">
        <v>0</v>
      </c>
      <c r="CA208" t="s">
        <v>5378</v>
      </c>
      <c r="CB208">
        <v>0</v>
      </c>
      <c r="CC208" s="2146">
        <v>4.2</v>
      </c>
      <c r="CD208" s="2146" t="s">
        <v>46</v>
      </c>
      <c r="CE208" s="2146">
        <v>0</v>
      </c>
      <c r="CF208" s="2146">
        <v>0</v>
      </c>
      <c r="CG208" s="2146" t="s">
        <v>13445</v>
      </c>
      <c r="CH208">
        <v>0</v>
      </c>
      <c r="CJ208" t="s">
        <v>5607</v>
      </c>
    </row>
    <row r="209" spans="1:88">
      <c r="A209" t="s">
        <v>966</v>
      </c>
      <c r="B209" t="s">
        <v>1083</v>
      </c>
      <c r="C209" t="s">
        <v>39</v>
      </c>
      <c r="D209" t="s">
        <v>101</v>
      </c>
      <c r="E209" t="s">
        <v>102</v>
      </c>
      <c r="F209" t="s">
        <v>978</v>
      </c>
      <c r="G209" t="s">
        <v>338</v>
      </c>
      <c r="H209" t="s">
        <v>1084</v>
      </c>
      <c r="I209" t="s">
        <v>980</v>
      </c>
      <c r="J209" t="s">
        <v>5406</v>
      </c>
      <c r="K209" t="s">
        <v>45</v>
      </c>
      <c r="N209" t="s">
        <v>192</v>
      </c>
      <c r="O209" t="s">
        <v>107</v>
      </c>
      <c r="P209" t="s">
        <v>971</v>
      </c>
      <c r="Q209" s="534">
        <v>1</v>
      </c>
      <c r="R209" t="s">
        <v>3264</v>
      </c>
      <c r="S209">
        <v>3.6</v>
      </c>
      <c r="T209">
        <v>4</v>
      </c>
      <c r="U209">
        <v>4</v>
      </c>
      <c r="V209">
        <v>4</v>
      </c>
      <c r="W209">
        <v>4</v>
      </c>
      <c r="X209">
        <v>4</v>
      </c>
      <c r="AH209">
        <v>0</v>
      </c>
      <c r="AJ209" t="s">
        <v>50</v>
      </c>
      <c r="AK209" t="s">
        <v>50</v>
      </c>
      <c r="AL209" t="s">
        <v>50</v>
      </c>
      <c r="AM209" t="s">
        <v>50</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972</v>
      </c>
      <c r="BP209" s="534" t="s">
        <v>52</v>
      </c>
      <c r="BQ209" s="722">
        <v>3.4</v>
      </c>
      <c r="BR209" t="s">
        <v>46</v>
      </c>
      <c r="BS209" t="s">
        <v>52</v>
      </c>
      <c r="BT209">
        <v>0</v>
      </c>
      <c r="BU209" t="s">
        <v>52</v>
      </c>
      <c r="BV209">
        <v>0</v>
      </c>
      <c r="BW209">
        <v>3.8</v>
      </c>
      <c r="BX209" t="s">
        <v>46</v>
      </c>
      <c r="BY209">
        <v>0</v>
      </c>
      <c r="BZ209">
        <v>0</v>
      </c>
      <c r="CA209" t="s">
        <v>5415</v>
      </c>
      <c r="CB209">
        <v>-1.1099999999999999E-2</v>
      </c>
      <c r="CC209" s="2146">
        <v>3.8</v>
      </c>
      <c r="CD209" s="2146" t="s">
        <v>46</v>
      </c>
      <c r="CE209" s="2146">
        <v>0</v>
      </c>
      <c r="CF209" s="2146">
        <v>0</v>
      </c>
      <c r="CG209" s="2146" t="s">
        <v>13444</v>
      </c>
      <c r="CH209">
        <v>-1.1099999999999999E-2</v>
      </c>
      <c r="CJ209" t="s">
        <v>5608</v>
      </c>
    </row>
    <row r="210" spans="1:88">
      <c r="A210" t="s">
        <v>966</v>
      </c>
      <c r="B210" t="s">
        <v>1085</v>
      </c>
      <c r="C210" t="s">
        <v>39</v>
      </c>
      <c r="D210" t="s">
        <v>101</v>
      </c>
      <c r="E210" t="s">
        <v>102</v>
      </c>
      <c r="F210" t="s">
        <v>985</v>
      </c>
      <c r="G210" t="s">
        <v>348</v>
      </c>
      <c r="H210" t="s">
        <v>1086</v>
      </c>
      <c r="I210" t="s">
        <v>987</v>
      </c>
      <c r="J210" t="s">
        <v>5406</v>
      </c>
      <c r="K210" t="s">
        <v>45</v>
      </c>
      <c r="N210" t="s">
        <v>192</v>
      </c>
      <c r="O210" t="s">
        <v>107</v>
      </c>
      <c r="P210" t="s">
        <v>971</v>
      </c>
      <c r="Q210" s="534">
        <v>1</v>
      </c>
      <c r="R210" t="s">
        <v>3264</v>
      </c>
      <c r="S210">
        <v>4.5</v>
      </c>
      <c r="T210">
        <v>4.5</v>
      </c>
      <c r="U210">
        <v>4.5</v>
      </c>
      <c r="V210">
        <v>4.5</v>
      </c>
      <c r="W210">
        <v>4.5</v>
      </c>
      <c r="X210">
        <v>4.5</v>
      </c>
      <c r="AH210">
        <v>0</v>
      </c>
      <c r="AJ210" t="s">
        <v>50</v>
      </c>
      <c r="AK210" t="s">
        <v>50</v>
      </c>
      <c r="AL210" t="s">
        <v>50</v>
      </c>
      <c r="AM210" t="s">
        <v>50</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972</v>
      </c>
      <c r="BP210" s="534" t="s">
        <v>52</v>
      </c>
      <c r="BQ210" s="722">
        <v>4.2</v>
      </c>
      <c r="BR210" t="s">
        <v>46</v>
      </c>
      <c r="BS210" t="s">
        <v>52</v>
      </c>
      <c r="BT210">
        <v>0</v>
      </c>
      <c r="BU210" t="s">
        <v>52</v>
      </c>
      <c r="BV210">
        <v>0</v>
      </c>
      <c r="BW210">
        <v>4.3</v>
      </c>
      <c r="BX210" t="s">
        <v>46</v>
      </c>
      <c r="BY210">
        <v>0</v>
      </c>
      <c r="BZ210">
        <v>0</v>
      </c>
      <c r="CA210" t="s">
        <v>5415</v>
      </c>
      <c r="CB210">
        <v>-6.4000000000000003E-3</v>
      </c>
      <c r="CC210" s="2146">
        <v>4.3</v>
      </c>
      <c r="CD210" s="2146" t="s">
        <v>46</v>
      </c>
      <c r="CE210" s="2146">
        <v>0</v>
      </c>
      <c r="CF210" s="2146">
        <v>0</v>
      </c>
      <c r="CG210" s="2146" t="s">
        <v>13444</v>
      </c>
      <c r="CH210">
        <v>-6.4000000000000003E-3</v>
      </c>
      <c r="CJ210" t="s">
        <v>5610</v>
      </c>
    </row>
    <row r="211" spans="1:88">
      <c r="A211" t="s">
        <v>966</v>
      </c>
      <c r="B211" t="s">
        <v>1087</v>
      </c>
      <c r="C211" t="s">
        <v>39</v>
      </c>
      <c r="D211" t="s">
        <v>101</v>
      </c>
      <c r="E211" t="s">
        <v>102</v>
      </c>
      <c r="F211" t="s">
        <v>985</v>
      </c>
      <c r="G211" t="s">
        <v>783</v>
      </c>
      <c r="H211" t="s">
        <v>1088</v>
      </c>
      <c r="I211" t="s">
        <v>990</v>
      </c>
      <c r="J211" t="s">
        <v>5406</v>
      </c>
      <c r="K211" t="s">
        <v>45</v>
      </c>
      <c r="M211" t="s">
        <v>46</v>
      </c>
      <c r="N211" t="s">
        <v>106</v>
      </c>
      <c r="O211" t="s">
        <v>107</v>
      </c>
      <c r="P211" t="s">
        <v>108</v>
      </c>
      <c r="Q211" s="534">
        <v>1</v>
      </c>
      <c r="R211" t="s">
        <v>3264</v>
      </c>
      <c r="S211">
        <v>78</v>
      </c>
      <c r="X211" t="s">
        <v>636</v>
      </c>
      <c r="AH211">
        <v>0</v>
      </c>
      <c r="AI211" t="s">
        <v>50</v>
      </c>
      <c r="AJ211" t="s">
        <v>50</v>
      </c>
      <c r="AK211" t="s">
        <v>50</v>
      </c>
      <c r="AL211" t="s">
        <v>50</v>
      </c>
      <c r="AM211" t="s">
        <v>50</v>
      </c>
      <c r="AN211" t="s">
        <v>109</v>
      </c>
      <c r="AO211" t="s">
        <v>109</v>
      </c>
      <c r="AP211" t="s">
        <v>109</v>
      </c>
      <c r="AQ211" t="s">
        <v>109</v>
      </c>
      <c r="AR211" t="s">
        <v>109</v>
      </c>
      <c r="AS211" t="s">
        <v>109</v>
      </c>
      <c r="AT211" t="s">
        <v>109</v>
      </c>
      <c r="AU211" t="s">
        <v>109</v>
      </c>
      <c r="AV211" t="s">
        <v>109</v>
      </c>
      <c r="AW211" t="s">
        <v>109</v>
      </c>
      <c r="AX211" t="s">
        <v>109</v>
      </c>
      <c r="AY211" t="s">
        <v>109</v>
      </c>
      <c r="AZ211" t="s">
        <v>109</v>
      </c>
      <c r="BA211" t="s">
        <v>109</v>
      </c>
      <c r="BB211" t="s">
        <v>109</v>
      </c>
      <c r="BC211" t="s">
        <v>109</v>
      </c>
      <c r="BD211" t="s">
        <v>109</v>
      </c>
      <c r="BE211" t="s">
        <v>109</v>
      </c>
      <c r="BF211" t="s">
        <v>109</v>
      </c>
      <c r="BG211" t="s">
        <v>109</v>
      </c>
      <c r="BH211" t="s">
        <v>109</v>
      </c>
      <c r="BL211" t="s">
        <v>109</v>
      </c>
      <c r="BN211">
        <v>1</v>
      </c>
      <c r="BO211" t="s">
        <v>51</v>
      </c>
      <c r="BP211" s="534" t="s">
        <v>52</v>
      </c>
      <c r="BQ211" s="722">
        <v>81.95</v>
      </c>
      <c r="BR211" t="s">
        <v>52</v>
      </c>
      <c r="BS211" t="s">
        <v>52</v>
      </c>
      <c r="BT211">
        <v>0</v>
      </c>
      <c r="BU211" t="s">
        <v>52</v>
      </c>
      <c r="BV211">
        <v>0</v>
      </c>
      <c r="BW211">
        <v>84.6</v>
      </c>
      <c r="BX211" t="s">
        <v>2148</v>
      </c>
      <c r="BY211">
        <v>0</v>
      </c>
      <c r="BZ211">
        <v>0</v>
      </c>
      <c r="CA211">
        <v>0</v>
      </c>
      <c r="CB211">
        <v>0</v>
      </c>
      <c r="CC211" s="2146">
        <v>85.6</v>
      </c>
      <c r="CD211" s="2146" t="s">
        <v>2148</v>
      </c>
      <c r="CE211" s="2146">
        <v>0</v>
      </c>
      <c r="CF211" s="2146">
        <v>0</v>
      </c>
      <c r="CG211" s="2146">
        <v>0</v>
      </c>
      <c r="CH211">
        <v>0</v>
      </c>
      <c r="CJ211" t="s">
        <v>5611</v>
      </c>
    </row>
    <row r="212" spans="1:88">
      <c r="A212" t="s">
        <v>966</v>
      </c>
      <c r="B212" t="s">
        <v>1089</v>
      </c>
      <c r="C212" t="s">
        <v>39</v>
      </c>
      <c r="D212" t="s">
        <v>101</v>
      </c>
      <c r="E212" t="s">
        <v>102</v>
      </c>
      <c r="F212" t="s">
        <v>992</v>
      </c>
      <c r="G212" t="s">
        <v>354</v>
      </c>
      <c r="H212" t="s">
        <v>1090</v>
      </c>
      <c r="I212" t="s">
        <v>994</v>
      </c>
      <c r="J212" t="s">
        <v>69</v>
      </c>
      <c r="N212" t="s">
        <v>113</v>
      </c>
      <c r="O212" t="s">
        <v>76</v>
      </c>
      <c r="P212" t="s">
        <v>193</v>
      </c>
      <c r="Q212" s="534">
        <v>0</v>
      </c>
      <c r="R212" t="s">
        <v>3264</v>
      </c>
      <c r="S212">
        <v>72</v>
      </c>
      <c r="X212" t="s">
        <v>636</v>
      </c>
      <c r="AH212">
        <v>0</v>
      </c>
      <c r="BP212" s="534">
        <v>72</v>
      </c>
      <c r="BQ212" s="725">
        <v>71</v>
      </c>
      <c r="BR212" t="s">
        <v>52</v>
      </c>
      <c r="BS212" t="s">
        <v>52</v>
      </c>
      <c r="BT212">
        <v>0</v>
      </c>
      <c r="BU212" t="s">
        <v>52</v>
      </c>
      <c r="BV212">
        <v>0</v>
      </c>
      <c r="BW212">
        <v>74</v>
      </c>
      <c r="BX212" t="s">
        <v>2148</v>
      </c>
      <c r="BY212">
        <v>0</v>
      </c>
      <c r="BZ212">
        <v>0</v>
      </c>
      <c r="CA212">
        <v>0</v>
      </c>
      <c r="CB212">
        <v>0</v>
      </c>
      <c r="CC212" s="2146">
        <v>71</v>
      </c>
      <c r="CD212" s="2146" t="s">
        <v>2148</v>
      </c>
      <c r="CE212" s="2146">
        <v>0</v>
      </c>
      <c r="CF212" s="2146">
        <v>0</v>
      </c>
      <c r="CG212" s="2146">
        <v>0</v>
      </c>
      <c r="CH212">
        <v>0</v>
      </c>
      <c r="CJ212" t="s">
        <v>5612</v>
      </c>
    </row>
    <row r="213" spans="1:88">
      <c r="A213" t="s">
        <v>966</v>
      </c>
      <c r="B213" t="s">
        <v>1091</v>
      </c>
      <c r="C213" t="s">
        <v>39</v>
      </c>
      <c r="D213" t="s">
        <v>101</v>
      </c>
      <c r="E213" t="s">
        <v>102</v>
      </c>
      <c r="F213" t="s">
        <v>996</v>
      </c>
      <c r="G213" t="s">
        <v>360</v>
      </c>
      <c r="H213" t="s">
        <v>1092</v>
      </c>
      <c r="I213" t="s">
        <v>998</v>
      </c>
      <c r="J213" t="s">
        <v>5406</v>
      </c>
      <c r="K213" t="s">
        <v>45</v>
      </c>
      <c r="N213" t="s">
        <v>192</v>
      </c>
      <c r="O213" t="s">
        <v>107</v>
      </c>
      <c r="P213" t="s">
        <v>971</v>
      </c>
      <c r="Q213" s="534">
        <v>1</v>
      </c>
      <c r="R213" t="s">
        <v>3264</v>
      </c>
      <c r="S213">
        <v>4.5</v>
      </c>
      <c r="T213">
        <v>4.5</v>
      </c>
      <c r="U213">
        <v>4.5</v>
      </c>
      <c r="V213">
        <v>4.5</v>
      </c>
      <c r="W213">
        <v>4.5</v>
      </c>
      <c r="X213">
        <v>4.5</v>
      </c>
      <c r="AH213">
        <v>0</v>
      </c>
      <c r="AJ213" t="s">
        <v>50</v>
      </c>
      <c r="AK213" t="s">
        <v>50</v>
      </c>
      <c r="AL213" t="s">
        <v>50</v>
      </c>
      <c r="AM213" t="s">
        <v>50</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972</v>
      </c>
      <c r="BP213" s="534" t="s">
        <v>52</v>
      </c>
      <c r="BQ213" s="722">
        <v>4.2</v>
      </c>
      <c r="BR213" t="s">
        <v>46</v>
      </c>
      <c r="BS213" t="s">
        <v>52</v>
      </c>
      <c r="BT213">
        <v>0</v>
      </c>
      <c r="BU213" t="s">
        <v>52</v>
      </c>
      <c r="BV213">
        <v>0</v>
      </c>
      <c r="BW213">
        <v>4.2</v>
      </c>
      <c r="BX213" t="s">
        <v>46</v>
      </c>
      <c r="BY213">
        <v>0</v>
      </c>
      <c r="BZ213">
        <v>0</v>
      </c>
      <c r="CA213" t="s">
        <v>5415</v>
      </c>
      <c r="CB213">
        <v>-5.3E-3</v>
      </c>
      <c r="CC213" s="2146">
        <v>4.3</v>
      </c>
      <c r="CD213" s="2146" t="s">
        <v>46</v>
      </c>
      <c r="CE213" s="2146">
        <v>0</v>
      </c>
      <c r="CF213" s="2146">
        <v>0</v>
      </c>
      <c r="CG213" s="2146" t="s">
        <v>13444</v>
      </c>
      <c r="CH213">
        <v>-2.7000000000000001E-3</v>
      </c>
      <c r="CJ213" t="s">
        <v>5613</v>
      </c>
    </row>
    <row r="214" spans="1:88">
      <c r="A214" t="s">
        <v>966</v>
      </c>
      <c r="B214" t="s">
        <v>1093</v>
      </c>
      <c r="C214" t="s">
        <v>39</v>
      </c>
      <c r="D214" t="s">
        <v>101</v>
      </c>
      <c r="E214" t="s">
        <v>102</v>
      </c>
      <c r="F214" t="s">
        <v>1005</v>
      </c>
      <c r="G214" t="s">
        <v>365</v>
      </c>
      <c r="H214" t="s">
        <v>1094</v>
      </c>
      <c r="I214" t="s">
        <v>1007</v>
      </c>
      <c r="J214" t="s">
        <v>5406</v>
      </c>
      <c r="K214" t="s">
        <v>45</v>
      </c>
      <c r="N214" t="s">
        <v>192</v>
      </c>
      <c r="O214" t="s">
        <v>107</v>
      </c>
      <c r="P214" t="s">
        <v>971</v>
      </c>
      <c r="Q214" s="534">
        <v>1</v>
      </c>
      <c r="R214" t="s">
        <v>3264</v>
      </c>
      <c r="S214">
        <v>4.7</v>
      </c>
      <c r="T214">
        <v>4.7</v>
      </c>
      <c r="U214">
        <v>4.7</v>
      </c>
      <c r="V214">
        <v>4.7</v>
      </c>
      <c r="W214">
        <v>4.7</v>
      </c>
      <c r="X214">
        <v>4.7</v>
      </c>
      <c r="AH214">
        <v>0</v>
      </c>
      <c r="AJ214" t="s">
        <v>50</v>
      </c>
      <c r="AK214" t="s">
        <v>50</v>
      </c>
      <c r="AL214" t="s">
        <v>50</v>
      </c>
      <c r="AM214" t="s">
        <v>50</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972</v>
      </c>
      <c r="BP214" s="534" t="s">
        <v>52</v>
      </c>
      <c r="BQ214" s="722">
        <v>4.5999999999999996</v>
      </c>
      <c r="BR214" t="s">
        <v>46</v>
      </c>
      <c r="BS214" t="s">
        <v>52</v>
      </c>
      <c r="BT214">
        <v>0</v>
      </c>
      <c r="BU214" t="s">
        <v>52</v>
      </c>
      <c r="BV214">
        <v>0</v>
      </c>
      <c r="BW214">
        <v>4.5999999999999996</v>
      </c>
      <c r="BX214" t="s">
        <v>46</v>
      </c>
      <c r="BY214">
        <v>0</v>
      </c>
      <c r="BZ214">
        <v>0</v>
      </c>
      <c r="CA214" t="s">
        <v>5378</v>
      </c>
      <c r="CB214">
        <v>0</v>
      </c>
      <c r="CC214" s="2146">
        <v>4.5999999999999996</v>
      </c>
      <c r="CD214" s="2146" t="s">
        <v>46</v>
      </c>
      <c r="CE214" s="2146">
        <v>0</v>
      </c>
      <c r="CF214" s="2146">
        <v>0</v>
      </c>
      <c r="CG214" s="2146" t="s">
        <v>5379</v>
      </c>
      <c r="CH214">
        <v>0</v>
      </c>
      <c r="CJ214" t="s">
        <v>5615</v>
      </c>
    </row>
    <row r="215" spans="1:88">
      <c r="A215" t="s">
        <v>966</v>
      </c>
      <c r="B215" t="s">
        <v>1095</v>
      </c>
      <c r="C215" t="s">
        <v>39</v>
      </c>
      <c r="D215" t="s">
        <v>101</v>
      </c>
      <c r="E215" t="s">
        <v>102</v>
      </c>
      <c r="F215" t="s">
        <v>1012</v>
      </c>
      <c r="G215" t="s">
        <v>372</v>
      </c>
      <c r="H215" t="s">
        <v>1096</v>
      </c>
      <c r="I215" t="s">
        <v>1014</v>
      </c>
      <c r="J215" t="s">
        <v>5406</v>
      </c>
      <c r="K215" t="s">
        <v>45</v>
      </c>
      <c r="N215" t="s">
        <v>192</v>
      </c>
      <c r="O215" t="s">
        <v>107</v>
      </c>
      <c r="P215" t="s">
        <v>971</v>
      </c>
      <c r="Q215" s="534">
        <v>1</v>
      </c>
      <c r="R215" t="s">
        <v>3264</v>
      </c>
      <c r="S215">
        <v>4.0999999999999996</v>
      </c>
      <c r="T215">
        <v>4.0999999999999996</v>
      </c>
      <c r="U215">
        <v>4.0999999999999996</v>
      </c>
      <c r="V215">
        <v>4.0999999999999996</v>
      </c>
      <c r="W215">
        <v>4.0999999999999996</v>
      </c>
      <c r="X215">
        <v>4.0999999999999996</v>
      </c>
      <c r="AH215">
        <v>0</v>
      </c>
      <c r="AJ215" t="s">
        <v>50</v>
      </c>
      <c r="AK215" t="s">
        <v>50</v>
      </c>
      <c r="AL215" t="s">
        <v>50</v>
      </c>
      <c r="AM215" t="s">
        <v>50</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972</v>
      </c>
      <c r="BP215" s="534" t="s">
        <v>52</v>
      </c>
      <c r="BQ215" s="722">
        <v>4.2</v>
      </c>
      <c r="BR215" t="s">
        <v>50</v>
      </c>
      <c r="BS215" t="s">
        <v>52</v>
      </c>
      <c r="BT215">
        <v>0</v>
      </c>
      <c r="BU215" t="s">
        <v>52</v>
      </c>
      <c r="BV215">
        <v>0</v>
      </c>
      <c r="BW215">
        <v>4.4000000000000004</v>
      </c>
      <c r="BX215" t="s">
        <v>50</v>
      </c>
      <c r="BY215">
        <v>0</v>
      </c>
      <c r="BZ215">
        <v>0</v>
      </c>
      <c r="CA215" t="s">
        <v>5425</v>
      </c>
      <c r="CB215">
        <v>4.8000000000000004E-3</v>
      </c>
      <c r="CC215" s="2146">
        <v>4.4000000000000004</v>
      </c>
      <c r="CD215" s="2146" t="s">
        <v>50</v>
      </c>
      <c r="CE215" s="2146">
        <v>0</v>
      </c>
      <c r="CF215" s="2146">
        <v>0</v>
      </c>
      <c r="CG215" s="2146" t="s">
        <v>5425</v>
      </c>
      <c r="CH215">
        <v>4.8000000000000004E-3</v>
      </c>
      <c r="CJ215" t="s">
        <v>5617</v>
      </c>
    </row>
    <row r="216" spans="1:88">
      <c r="A216" t="s">
        <v>1097</v>
      </c>
      <c r="B216" t="s">
        <v>1098</v>
      </c>
      <c r="C216" t="s">
        <v>116</v>
      </c>
      <c r="D216" t="s">
        <v>40</v>
      </c>
      <c r="E216" t="s">
        <v>41</v>
      </c>
      <c r="F216" t="s">
        <v>1099</v>
      </c>
      <c r="G216">
        <v>1</v>
      </c>
      <c r="H216" t="s">
        <v>1100</v>
      </c>
      <c r="I216" t="s">
        <v>1101</v>
      </c>
      <c r="J216" t="s">
        <v>5408</v>
      </c>
      <c r="K216" t="s">
        <v>322</v>
      </c>
      <c r="M216" t="s">
        <v>46</v>
      </c>
      <c r="N216" t="s">
        <v>91</v>
      </c>
      <c r="O216" t="s">
        <v>200</v>
      </c>
      <c r="P216" t="s">
        <v>323</v>
      </c>
      <c r="Q216" s="534" t="s">
        <v>51</v>
      </c>
      <c r="S216" t="s">
        <v>497</v>
      </c>
      <c r="T216" t="s">
        <v>202</v>
      </c>
      <c r="U216" t="s">
        <v>202</v>
      </c>
      <c r="V216" t="s">
        <v>202</v>
      </c>
      <c r="W216" t="s">
        <v>202</v>
      </c>
      <c r="X216" t="s">
        <v>202</v>
      </c>
      <c r="AE216" t="s">
        <v>50</v>
      </c>
      <c r="AH216">
        <v>5</v>
      </c>
      <c r="AI216" t="s">
        <v>50</v>
      </c>
      <c r="AJ216" t="s">
        <v>50</v>
      </c>
      <c r="AK216" t="s">
        <v>50</v>
      </c>
      <c r="AL216" t="s">
        <v>50</v>
      </c>
      <c r="AM216" t="s">
        <v>50</v>
      </c>
      <c r="AN216" t="s">
        <v>1058</v>
      </c>
      <c r="AO216" t="s">
        <v>1058</v>
      </c>
      <c r="AP216" t="s">
        <v>1058</v>
      </c>
      <c r="AQ216" t="s">
        <v>1058</v>
      </c>
      <c r="AR216" t="s">
        <v>1058</v>
      </c>
      <c r="AS216" t="s">
        <v>1058</v>
      </c>
      <c r="AT216" t="s">
        <v>1058</v>
      </c>
      <c r="AU216" t="s">
        <v>1058</v>
      </c>
      <c r="AV216" t="s">
        <v>1058</v>
      </c>
      <c r="AW216" t="s">
        <v>1058</v>
      </c>
      <c r="BH216" t="s">
        <v>1058</v>
      </c>
      <c r="BI216" t="s">
        <v>1058</v>
      </c>
      <c r="BJ216" t="s">
        <v>1058</v>
      </c>
      <c r="BK216" t="s">
        <v>1058</v>
      </c>
      <c r="BN216">
        <v>1</v>
      </c>
      <c r="BO216" t="s">
        <v>51</v>
      </c>
      <c r="BP216" s="534" t="s">
        <v>497</v>
      </c>
      <c r="BQ216" s="724" t="s">
        <v>202</v>
      </c>
      <c r="BR216" t="s">
        <v>50</v>
      </c>
      <c r="BS216" t="s">
        <v>52</v>
      </c>
      <c r="BT216">
        <v>0</v>
      </c>
      <c r="BU216" t="s">
        <v>52</v>
      </c>
      <c r="BV216">
        <v>0</v>
      </c>
      <c r="BW216" t="s">
        <v>202</v>
      </c>
      <c r="BX216" t="s">
        <v>50</v>
      </c>
      <c r="BY216">
        <v>0</v>
      </c>
      <c r="BZ216">
        <v>0</v>
      </c>
      <c r="CA216">
        <v>0</v>
      </c>
      <c r="CB216">
        <v>0</v>
      </c>
      <c r="CC216" s="2146" t="s">
        <v>202</v>
      </c>
      <c r="CD216" s="2146" t="s">
        <v>50</v>
      </c>
      <c r="CE216" s="2146">
        <v>0</v>
      </c>
      <c r="CF216" s="2146">
        <v>0</v>
      </c>
      <c r="CG216" s="2146">
        <v>0</v>
      </c>
      <c r="CH216">
        <v>0</v>
      </c>
      <c r="CJ216" t="s">
        <v>5631</v>
      </c>
    </row>
    <row r="217" spans="1:88">
      <c r="A217" t="s">
        <v>1097</v>
      </c>
      <c r="B217" t="s">
        <v>1102</v>
      </c>
      <c r="C217" t="s">
        <v>116</v>
      </c>
      <c r="D217" t="s">
        <v>40</v>
      </c>
      <c r="E217" t="s">
        <v>41</v>
      </c>
      <c r="F217" t="s">
        <v>1099</v>
      </c>
      <c r="G217">
        <v>2</v>
      </c>
      <c r="H217" t="s">
        <v>1103</v>
      </c>
      <c r="I217" t="s">
        <v>1104</v>
      </c>
      <c r="J217" t="s">
        <v>5408</v>
      </c>
      <c r="K217" t="s">
        <v>45</v>
      </c>
      <c r="N217" t="s">
        <v>143</v>
      </c>
      <c r="O217" t="s">
        <v>48</v>
      </c>
      <c r="P217" t="s">
        <v>1105</v>
      </c>
      <c r="Q217" s="534">
        <v>0</v>
      </c>
      <c r="R217" t="s">
        <v>3263</v>
      </c>
      <c r="S217">
        <v>0</v>
      </c>
      <c r="T217">
        <v>0</v>
      </c>
      <c r="U217">
        <v>0</v>
      </c>
      <c r="V217">
        <v>0</v>
      </c>
      <c r="W217">
        <v>0</v>
      </c>
      <c r="X217">
        <v>0</v>
      </c>
      <c r="AH217">
        <v>0</v>
      </c>
      <c r="AI217" t="s">
        <v>50</v>
      </c>
      <c r="AJ217" t="s">
        <v>50</v>
      </c>
      <c r="AK217" t="s">
        <v>50</v>
      </c>
      <c r="AL217" t="s">
        <v>50</v>
      </c>
      <c r="AM217" t="s">
        <v>50</v>
      </c>
      <c r="AN217">
        <v>1095338</v>
      </c>
      <c r="AO217">
        <v>1095338</v>
      </c>
      <c r="AP217">
        <v>1095338</v>
      </c>
      <c r="AQ217">
        <v>1095338</v>
      </c>
      <c r="AR217">
        <v>1095338</v>
      </c>
      <c r="AS217">
        <v>0</v>
      </c>
      <c r="AT217">
        <v>0</v>
      </c>
      <c r="AU217">
        <v>0</v>
      </c>
      <c r="AV217">
        <v>0</v>
      </c>
      <c r="AW217">
        <v>0</v>
      </c>
      <c r="BH217">
        <v>1.484E-5</v>
      </c>
      <c r="BN217">
        <v>1</v>
      </c>
      <c r="BO217" t="s">
        <v>51</v>
      </c>
      <c r="BP217" s="534">
        <v>0</v>
      </c>
      <c r="BQ217" s="725">
        <v>0</v>
      </c>
      <c r="BR217" t="s">
        <v>50</v>
      </c>
      <c r="BS217" t="s">
        <v>52</v>
      </c>
      <c r="BT217">
        <v>0</v>
      </c>
      <c r="BU217" t="s">
        <v>52</v>
      </c>
      <c r="BV217">
        <v>0</v>
      </c>
      <c r="BW217">
        <v>0</v>
      </c>
      <c r="BX217" t="s">
        <v>50</v>
      </c>
      <c r="BY217">
        <v>0</v>
      </c>
      <c r="BZ217">
        <v>0</v>
      </c>
      <c r="CA217">
        <v>0</v>
      </c>
      <c r="CB217">
        <v>0</v>
      </c>
      <c r="CC217" s="2146">
        <v>0</v>
      </c>
      <c r="CD217" s="2146" t="s">
        <v>50</v>
      </c>
      <c r="CE217" s="2146">
        <v>0</v>
      </c>
      <c r="CF217" s="2146">
        <v>0</v>
      </c>
      <c r="CG217" s="2146">
        <v>0</v>
      </c>
      <c r="CH217">
        <v>0</v>
      </c>
      <c r="CJ217" t="s">
        <v>5632</v>
      </c>
    </row>
    <row r="218" spans="1:88">
      <c r="A218" t="s">
        <v>1097</v>
      </c>
      <c r="B218" t="s">
        <v>1106</v>
      </c>
      <c r="C218" t="s">
        <v>116</v>
      </c>
      <c r="D218" t="s">
        <v>40</v>
      </c>
      <c r="E218" t="s">
        <v>41</v>
      </c>
      <c r="F218" t="s">
        <v>1099</v>
      </c>
      <c r="G218">
        <v>3</v>
      </c>
      <c r="H218" t="s">
        <v>1107</v>
      </c>
      <c r="I218" t="s">
        <v>1108</v>
      </c>
      <c r="J218" t="s">
        <v>5406</v>
      </c>
      <c r="K218" t="s">
        <v>45</v>
      </c>
      <c r="N218" t="s">
        <v>47</v>
      </c>
      <c r="O218" t="s">
        <v>48</v>
      </c>
      <c r="P218" t="s">
        <v>49</v>
      </c>
      <c r="Q218" s="534">
        <v>1</v>
      </c>
      <c r="R218" t="s">
        <v>3263</v>
      </c>
      <c r="S218">
        <v>88</v>
      </c>
      <c r="X218">
        <v>87</v>
      </c>
      <c r="AE218" t="s">
        <v>50</v>
      </c>
      <c r="AH218">
        <v>0</v>
      </c>
      <c r="AM218" t="s">
        <v>50</v>
      </c>
      <c r="AR218">
        <v>96</v>
      </c>
      <c r="AW218">
        <v>87</v>
      </c>
      <c r="BB218">
        <v>85</v>
      </c>
      <c r="BG218">
        <v>83.6</v>
      </c>
      <c r="BH218">
        <v>0.13686799999999999</v>
      </c>
      <c r="BL218">
        <v>0.109496</v>
      </c>
      <c r="BN218">
        <v>1</v>
      </c>
      <c r="BO218" t="s">
        <v>51</v>
      </c>
      <c r="BP218" s="534">
        <v>81.7</v>
      </c>
      <c r="BQ218" s="722">
        <v>83.9</v>
      </c>
      <c r="BR218" t="s">
        <v>52</v>
      </c>
      <c r="BS218" t="s">
        <v>52</v>
      </c>
      <c r="BT218">
        <v>0</v>
      </c>
      <c r="BU218" t="s">
        <v>52</v>
      </c>
      <c r="BV218">
        <v>0</v>
      </c>
      <c r="BW218">
        <v>88.110156640835783</v>
      </c>
      <c r="BX218" t="s">
        <v>2148</v>
      </c>
      <c r="BY218">
        <v>0</v>
      </c>
      <c r="BZ218">
        <v>0</v>
      </c>
      <c r="CA218">
        <v>0</v>
      </c>
      <c r="CB218">
        <v>0</v>
      </c>
      <c r="CC218" s="2146">
        <v>88.7</v>
      </c>
      <c r="CD218" s="2146" t="s">
        <v>2148</v>
      </c>
      <c r="CE218" s="2146">
        <v>0</v>
      </c>
      <c r="CF218" s="2146">
        <v>0</v>
      </c>
      <c r="CG218" s="2146">
        <v>0</v>
      </c>
      <c r="CH218">
        <v>0</v>
      </c>
      <c r="CJ218" t="s">
        <v>5633</v>
      </c>
    </row>
    <row r="219" spans="1:88">
      <c r="A219" t="s">
        <v>1097</v>
      </c>
      <c r="B219" t="s">
        <v>1109</v>
      </c>
      <c r="C219" t="s">
        <v>116</v>
      </c>
      <c r="D219" t="s">
        <v>40</v>
      </c>
      <c r="E219" t="s">
        <v>41</v>
      </c>
      <c r="F219" t="s">
        <v>1099</v>
      </c>
      <c r="G219">
        <v>4</v>
      </c>
      <c r="H219" t="s">
        <v>1110</v>
      </c>
      <c r="I219" t="s">
        <v>1111</v>
      </c>
      <c r="J219" t="s">
        <v>5408</v>
      </c>
      <c r="K219" t="s">
        <v>45</v>
      </c>
      <c r="N219" t="s">
        <v>86</v>
      </c>
      <c r="O219" t="s">
        <v>119</v>
      </c>
      <c r="P219" t="s">
        <v>120</v>
      </c>
      <c r="Q219" s="534">
        <v>0</v>
      </c>
      <c r="R219" t="s">
        <v>3263</v>
      </c>
      <c r="S219">
        <v>9</v>
      </c>
      <c r="T219">
        <v>9</v>
      </c>
      <c r="U219">
        <v>9</v>
      </c>
      <c r="V219">
        <v>9</v>
      </c>
      <c r="W219">
        <v>9</v>
      </c>
      <c r="X219">
        <v>9</v>
      </c>
      <c r="AA219" t="s">
        <v>50</v>
      </c>
      <c r="AE219" t="s">
        <v>50</v>
      </c>
      <c r="AH219">
        <v>0</v>
      </c>
      <c r="AI219" t="s">
        <v>50</v>
      </c>
      <c r="AJ219" t="s">
        <v>50</v>
      </c>
      <c r="AK219" t="s">
        <v>50</v>
      </c>
      <c r="AL219" t="s">
        <v>50</v>
      </c>
      <c r="AM219" t="s">
        <v>50</v>
      </c>
      <c r="AN219">
        <v>22</v>
      </c>
      <c r="AO219">
        <v>22</v>
      </c>
      <c r="AP219">
        <v>22</v>
      </c>
      <c r="AQ219">
        <v>22</v>
      </c>
      <c r="AR219">
        <v>22</v>
      </c>
      <c r="AS219">
        <v>12</v>
      </c>
      <c r="AT219">
        <v>12</v>
      </c>
      <c r="AU219">
        <v>12</v>
      </c>
      <c r="AV219">
        <v>12</v>
      </c>
      <c r="AW219">
        <v>12</v>
      </c>
      <c r="BH219">
        <v>5.7403000000000003E-2</v>
      </c>
      <c r="BN219">
        <v>1</v>
      </c>
      <c r="BO219" t="s">
        <v>51</v>
      </c>
      <c r="BP219" s="534">
        <v>6</v>
      </c>
      <c r="BQ219" s="725">
        <v>12</v>
      </c>
      <c r="BR219" t="s">
        <v>46</v>
      </c>
      <c r="BS219" t="s">
        <v>52</v>
      </c>
      <c r="BT219">
        <v>0</v>
      </c>
      <c r="BU219" t="s">
        <v>5378</v>
      </c>
      <c r="BV219">
        <v>0</v>
      </c>
      <c r="BW219">
        <v>7</v>
      </c>
      <c r="BX219" t="s">
        <v>50</v>
      </c>
      <c r="BY219">
        <v>0</v>
      </c>
      <c r="BZ219">
        <v>0</v>
      </c>
      <c r="CA219">
        <v>0</v>
      </c>
      <c r="CB219">
        <v>0</v>
      </c>
      <c r="CC219" s="2146">
        <v>16.899999999999999</v>
      </c>
      <c r="CD219" s="2146" t="s">
        <v>46</v>
      </c>
      <c r="CE219" s="2146">
        <v>0</v>
      </c>
      <c r="CF219" s="2146">
        <v>0</v>
      </c>
      <c r="CG219" s="2146" t="s">
        <v>13444</v>
      </c>
      <c r="CH219">
        <v>-0.29399999999999998</v>
      </c>
      <c r="CJ219" t="s">
        <v>5634</v>
      </c>
    </row>
    <row r="220" spans="1:88">
      <c r="A220" t="s">
        <v>1097</v>
      </c>
      <c r="B220" t="s">
        <v>1112</v>
      </c>
      <c r="C220" t="s">
        <v>116</v>
      </c>
      <c r="D220" t="s">
        <v>40</v>
      </c>
      <c r="E220" t="s">
        <v>41</v>
      </c>
      <c r="F220" t="s">
        <v>1099</v>
      </c>
      <c r="G220">
        <v>5</v>
      </c>
      <c r="H220" t="s">
        <v>1113</v>
      </c>
      <c r="I220" t="s">
        <v>1114</v>
      </c>
      <c r="J220" t="s">
        <v>5408</v>
      </c>
      <c r="K220" t="s">
        <v>45</v>
      </c>
      <c r="N220" t="s">
        <v>75</v>
      </c>
      <c r="O220" t="s">
        <v>76</v>
      </c>
      <c r="P220" t="s">
        <v>77</v>
      </c>
      <c r="Q220" s="534">
        <v>2</v>
      </c>
      <c r="R220" t="s">
        <v>3264</v>
      </c>
      <c r="S220">
        <v>99.94</v>
      </c>
      <c r="T220">
        <v>99.95</v>
      </c>
      <c r="U220">
        <v>99.95</v>
      </c>
      <c r="V220">
        <v>100</v>
      </c>
      <c r="W220">
        <v>100</v>
      </c>
      <c r="X220">
        <v>100</v>
      </c>
      <c r="Y220" t="s">
        <v>50</v>
      </c>
      <c r="AE220" t="s">
        <v>50</v>
      </c>
      <c r="AH220">
        <v>0</v>
      </c>
      <c r="AI220" t="s">
        <v>50</v>
      </c>
      <c r="AJ220" t="s">
        <v>50</v>
      </c>
      <c r="AK220" t="s">
        <v>50</v>
      </c>
      <c r="AL220" t="s">
        <v>50</v>
      </c>
      <c r="AM220" t="s">
        <v>50</v>
      </c>
      <c r="AN220">
        <v>99.91</v>
      </c>
      <c r="AO220">
        <v>99.91</v>
      </c>
      <c r="AP220">
        <v>99.93</v>
      </c>
      <c r="AQ220">
        <v>99.93</v>
      </c>
      <c r="AR220">
        <v>99.93</v>
      </c>
      <c r="AS220">
        <v>99.93</v>
      </c>
      <c r="AT220">
        <v>99.93</v>
      </c>
      <c r="AU220">
        <v>99.95</v>
      </c>
      <c r="AV220">
        <v>99.95</v>
      </c>
      <c r="AW220">
        <v>99.95</v>
      </c>
      <c r="BH220">
        <v>0.21937499999999999</v>
      </c>
      <c r="BN220">
        <v>100</v>
      </c>
      <c r="BO220" t="s">
        <v>351</v>
      </c>
      <c r="BP220" s="534">
        <v>99.97</v>
      </c>
      <c r="BQ220" s="726">
        <v>99.98</v>
      </c>
      <c r="BR220" t="s">
        <v>50</v>
      </c>
      <c r="BS220" t="s">
        <v>52</v>
      </c>
      <c r="BT220">
        <v>0</v>
      </c>
      <c r="BU220" t="s">
        <v>52</v>
      </c>
      <c r="BV220">
        <v>0</v>
      </c>
      <c r="BW220">
        <v>99.96</v>
      </c>
      <c r="BX220" t="s">
        <v>50</v>
      </c>
      <c r="BY220">
        <v>0</v>
      </c>
      <c r="BZ220">
        <v>0</v>
      </c>
      <c r="CA220">
        <v>0</v>
      </c>
      <c r="CB220">
        <v>0</v>
      </c>
      <c r="CC220" s="2146">
        <v>99.96</v>
      </c>
      <c r="CD220" s="2146" t="s">
        <v>46</v>
      </c>
      <c r="CE220" s="2146">
        <v>0</v>
      </c>
      <c r="CF220" s="2146">
        <v>0</v>
      </c>
      <c r="CG220" s="2146">
        <v>0</v>
      </c>
      <c r="CH220">
        <v>0</v>
      </c>
      <c r="CJ220" t="s">
        <v>5635</v>
      </c>
    </row>
    <row r="221" spans="1:88">
      <c r="A221" t="s">
        <v>1097</v>
      </c>
      <c r="B221" t="s">
        <v>1115</v>
      </c>
      <c r="C221" t="s">
        <v>116</v>
      </c>
      <c r="D221" t="s">
        <v>40</v>
      </c>
      <c r="E221" t="s">
        <v>41</v>
      </c>
      <c r="F221" t="s">
        <v>1099</v>
      </c>
      <c r="G221" t="s">
        <v>1116</v>
      </c>
      <c r="H221" t="s">
        <v>1117</v>
      </c>
      <c r="I221" t="s">
        <v>1118</v>
      </c>
      <c r="J221" t="s">
        <v>5408</v>
      </c>
      <c r="K221" t="s">
        <v>45</v>
      </c>
      <c r="N221" t="s">
        <v>24</v>
      </c>
      <c r="O221" t="s">
        <v>48</v>
      </c>
      <c r="P221" t="s">
        <v>81</v>
      </c>
      <c r="Q221" s="534">
        <v>2</v>
      </c>
      <c r="R221" t="s">
        <v>3263</v>
      </c>
      <c r="S221">
        <v>0.9</v>
      </c>
      <c r="T221">
        <v>0.87</v>
      </c>
      <c r="U221">
        <v>0.85</v>
      </c>
      <c r="V221">
        <v>0.82</v>
      </c>
      <c r="W221">
        <v>0.82</v>
      </c>
      <c r="X221">
        <v>0.82</v>
      </c>
      <c r="Z221" t="s">
        <v>50</v>
      </c>
      <c r="AE221" t="s">
        <v>50</v>
      </c>
      <c r="AH221">
        <v>0</v>
      </c>
      <c r="AI221" t="s">
        <v>50</v>
      </c>
      <c r="AJ221" t="s">
        <v>50</v>
      </c>
      <c r="AK221" t="s">
        <v>50</v>
      </c>
      <c r="AL221" t="s">
        <v>50</v>
      </c>
      <c r="AM221" t="s">
        <v>50</v>
      </c>
      <c r="AN221">
        <v>1.21</v>
      </c>
      <c r="AO221">
        <v>1.21</v>
      </c>
      <c r="AP221">
        <v>1.17</v>
      </c>
      <c r="AQ221">
        <v>1.17</v>
      </c>
      <c r="AR221">
        <v>1.17</v>
      </c>
      <c r="AS221">
        <v>0.9</v>
      </c>
      <c r="AT221">
        <v>0.9</v>
      </c>
      <c r="AU221">
        <v>0.86</v>
      </c>
      <c r="AV221">
        <v>0.86</v>
      </c>
      <c r="AW221">
        <v>0.86</v>
      </c>
      <c r="BH221">
        <v>0.55700000000000005</v>
      </c>
      <c r="BN221">
        <v>1</v>
      </c>
      <c r="BO221" t="s">
        <v>51</v>
      </c>
      <c r="BP221" s="534">
        <v>0.57999999999999996</v>
      </c>
      <c r="BQ221" s="726">
        <v>0.8</v>
      </c>
      <c r="BR221" t="s">
        <v>50</v>
      </c>
      <c r="BS221" t="s">
        <v>52</v>
      </c>
      <c r="BT221">
        <v>0</v>
      </c>
      <c r="BU221" t="s">
        <v>52</v>
      </c>
      <c r="BV221">
        <v>0</v>
      </c>
      <c r="BW221">
        <v>0.74</v>
      </c>
      <c r="BX221" t="s">
        <v>50</v>
      </c>
      <c r="BY221">
        <v>0</v>
      </c>
      <c r="BZ221">
        <v>0</v>
      </c>
      <c r="CA221">
        <v>0</v>
      </c>
      <c r="CB221">
        <v>0</v>
      </c>
      <c r="CC221" s="2146">
        <v>0.82</v>
      </c>
      <c r="CD221" s="2146" t="s">
        <v>50</v>
      </c>
      <c r="CE221" s="2146">
        <v>0</v>
      </c>
      <c r="CF221" s="2146">
        <v>0</v>
      </c>
      <c r="CG221" s="2146">
        <v>0</v>
      </c>
      <c r="CH221">
        <v>0</v>
      </c>
      <c r="CJ221" t="s">
        <v>5636</v>
      </c>
    </row>
    <row r="222" spans="1:88">
      <c r="A222" t="s">
        <v>1097</v>
      </c>
      <c r="B222" t="s">
        <v>1119</v>
      </c>
      <c r="C222" t="s">
        <v>116</v>
      </c>
      <c r="D222" t="s">
        <v>40</v>
      </c>
      <c r="E222" t="s">
        <v>41</v>
      </c>
      <c r="F222" t="s">
        <v>1099</v>
      </c>
      <c r="G222">
        <v>6</v>
      </c>
      <c r="H222" t="s">
        <v>1120</v>
      </c>
      <c r="I222" t="s">
        <v>1121</v>
      </c>
      <c r="J222" t="s">
        <v>5408</v>
      </c>
      <c r="K222" t="s">
        <v>45</v>
      </c>
      <c r="N222" t="s">
        <v>124</v>
      </c>
      <c r="O222" t="s">
        <v>48</v>
      </c>
      <c r="P222" t="s">
        <v>1003</v>
      </c>
      <c r="Q222" s="534">
        <v>0</v>
      </c>
      <c r="R222" t="s">
        <v>3263</v>
      </c>
      <c r="S222">
        <v>257</v>
      </c>
      <c r="T222">
        <v>257</v>
      </c>
      <c r="U222">
        <v>257</v>
      </c>
      <c r="V222">
        <v>257</v>
      </c>
      <c r="W222">
        <v>257</v>
      </c>
      <c r="X222">
        <v>257</v>
      </c>
      <c r="AE222" t="s">
        <v>50</v>
      </c>
      <c r="AH222">
        <v>0</v>
      </c>
      <c r="AI222" t="s">
        <v>50</v>
      </c>
      <c r="AJ222" t="s">
        <v>50</v>
      </c>
      <c r="AK222" t="s">
        <v>50</v>
      </c>
      <c r="AL222" t="s">
        <v>50</v>
      </c>
      <c r="AM222" t="s">
        <v>50</v>
      </c>
      <c r="AN222">
        <v>336</v>
      </c>
      <c r="AO222">
        <v>336</v>
      </c>
      <c r="AP222">
        <v>336</v>
      </c>
      <c r="AQ222">
        <v>336</v>
      </c>
      <c r="AR222">
        <v>336</v>
      </c>
      <c r="AS222">
        <v>296</v>
      </c>
      <c r="AT222">
        <v>296</v>
      </c>
      <c r="AU222">
        <v>296</v>
      </c>
      <c r="AV222">
        <v>296</v>
      </c>
      <c r="AW222">
        <v>296</v>
      </c>
      <c r="BH222">
        <v>4.339E-3</v>
      </c>
      <c r="BN222">
        <v>1</v>
      </c>
      <c r="BO222" t="s">
        <v>51</v>
      </c>
      <c r="BP222" s="534">
        <v>254</v>
      </c>
      <c r="BQ222" s="725">
        <v>288</v>
      </c>
      <c r="BR222" t="s">
        <v>46</v>
      </c>
      <c r="BS222" t="s">
        <v>52</v>
      </c>
      <c r="BT222">
        <v>0</v>
      </c>
      <c r="BU222" t="s">
        <v>5378</v>
      </c>
      <c r="BV222">
        <v>0</v>
      </c>
      <c r="BW222">
        <v>222</v>
      </c>
      <c r="BX222" t="s">
        <v>50</v>
      </c>
      <c r="BY222">
        <v>0</v>
      </c>
      <c r="BZ222">
        <v>0</v>
      </c>
      <c r="CA222">
        <v>0</v>
      </c>
      <c r="CB222">
        <v>0</v>
      </c>
      <c r="CC222" s="2146">
        <v>243</v>
      </c>
      <c r="CD222" s="2146" t="s">
        <v>50</v>
      </c>
      <c r="CE222" s="2146">
        <v>0</v>
      </c>
      <c r="CF222" s="2146">
        <v>0</v>
      </c>
      <c r="CG222" s="2146">
        <v>0</v>
      </c>
      <c r="CH222">
        <v>0</v>
      </c>
      <c r="CJ222" t="s">
        <v>5637</v>
      </c>
    </row>
    <row r="223" spans="1:88">
      <c r="A223" t="s">
        <v>1097</v>
      </c>
      <c r="B223" t="s">
        <v>1122</v>
      </c>
      <c r="C223" t="s">
        <v>116</v>
      </c>
      <c r="D223" t="s">
        <v>40</v>
      </c>
      <c r="E223" t="s">
        <v>41</v>
      </c>
      <c r="F223" t="s">
        <v>1123</v>
      </c>
      <c r="G223">
        <v>7</v>
      </c>
      <c r="H223" t="s">
        <v>1124</v>
      </c>
      <c r="I223" t="s">
        <v>1125</v>
      </c>
      <c r="J223" t="s">
        <v>69</v>
      </c>
      <c r="N223" t="s">
        <v>65</v>
      </c>
      <c r="O223" t="s">
        <v>48</v>
      </c>
      <c r="P223" t="s">
        <v>49</v>
      </c>
      <c r="Q223" s="534">
        <v>2</v>
      </c>
      <c r="R223" t="s">
        <v>3263</v>
      </c>
      <c r="S223">
        <v>533.97</v>
      </c>
      <c r="T223">
        <v>525.48</v>
      </c>
      <c r="U223">
        <v>525.05999999999995</v>
      </c>
      <c r="V223">
        <v>525.77</v>
      </c>
      <c r="W223">
        <v>526.79</v>
      </c>
      <c r="X223">
        <v>526.39</v>
      </c>
      <c r="AH223">
        <v>0</v>
      </c>
      <c r="BP223" s="534">
        <v>524.24</v>
      </c>
      <c r="BQ223" s="726">
        <v>520.64</v>
      </c>
      <c r="BR223" t="s">
        <v>50</v>
      </c>
      <c r="BS223" t="s">
        <v>52</v>
      </c>
      <c r="BT223">
        <v>0</v>
      </c>
      <c r="BU223" t="s">
        <v>52</v>
      </c>
      <c r="BV223">
        <v>0</v>
      </c>
      <c r="BW223">
        <v>532.28119807697828</v>
      </c>
      <c r="BX223" t="s">
        <v>46</v>
      </c>
      <c r="BY223">
        <v>0</v>
      </c>
      <c r="BZ223">
        <v>0</v>
      </c>
      <c r="CA223">
        <v>0</v>
      </c>
      <c r="CB223">
        <v>0</v>
      </c>
      <c r="CC223" s="2146">
        <v>541</v>
      </c>
      <c r="CD223" s="2146" t="s">
        <v>46</v>
      </c>
      <c r="CE223" s="2146">
        <v>0</v>
      </c>
      <c r="CF223" s="2146">
        <v>0</v>
      </c>
      <c r="CG223" s="2146">
        <v>0</v>
      </c>
      <c r="CH223">
        <v>0</v>
      </c>
      <c r="CJ223" t="s">
        <v>5638</v>
      </c>
    </row>
    <row r="224" spans="1:88">
      <c r="A224" t="s">
        <v>1097</v>
      </c>
      <c r="B224" t="s">
        <v>1126</v>
      </c>
      <c r="C224" t="s">
        <v>116</v>
      </c>
      <c r="D224" t="s">
        <v>40</v>
      </c>
      <c r="E224" t="s">
        <v>41</v>
      </c>
      <c r="F224" t="s">
        <v>1127</v>
      </c>
      <c r="G224">
        <v>8</v>
      </c>
      <c r="H224" t="s">
        <v>1128</v>
      </c>
      <c r="I224" t="s">
        <v>1129</v>
      </c>
      <c r="J224" t="s">
        <v>5406</v>
      </c>
      <c r="K224" t="s">
        <v>45</v>
      </c>
      <c r="N224" t="s">
        <v>56</v>
      </c>
      <c r="O224" t="s">
        <v>48</v>
      </c>
      <c r="P224" t="s">
        <v>397</v>
      </c>
      <c r="Q224" s="534">
        <v>1</v>
      </c>
      <c r="R224" t="s">
        <v>3263</v>
      </c>
      <c r="S224">
        <v>147.19999999999999</v>
      </c>
      <c r="X224">
        <v>133.69999999999999</v>
      </c>
      <c r="AH224">
        <v>0</v>
      </c>
      <c r="AM224" t="s">
        <v>50</v>
      </c>
      <c r="AR224">
        <v>135.69999999999999</v>
      </c>
      <c r="AW224">
        <v>133.69999999999999</v>
      </c>
      <c r="BB224">
        <v>133.69999999999999</v>
      </c>
      <c r="BG224">
        <v>131.69999999999999</v>
      </c>
      <c r="BH224">
        <v>1.0969</v>
      </c>
      <c r="BL224">
        <v>0.6875</v>
      </c>
      <c r="BN224">
        <v>1</v>
      </c>
      <c r="BO224" t="s">
        <v>51</v>
      </c>
      <c r="BP224" s="534">
        <v>134.80000000000001</v>
      </c>
      <c r="BQ224" s="722">
        <v>129.69999999999999</v>
      </c>
      <c r="BR224" t="s">
        <v>52</v>
      </c>
      <c r="BS224" t="s">
        <v>52</v>
      </c>
      <c r="BT224">
        <v>0</v>
      </c>
      <c r="BU224" t="s">
        <v>52</v>
      </c>
      <c r="BV224">
        <v>0</v>
      </c>
      <c r="BW224">
        <v>131.29</v>
      </c>
      <c r="BX224" t="s">
        <v>2148</v>
      </c>
      <c r="BY224">
        <v>0</v>
      </c>
      <c r="BZ224">
        <v>0</v>
      </c>
      <c r="CA224">
        <v>0</v>
      </c>
      <c r="CB224">
        <v>0</v>
      </c>
      <c r="CC224" s="2146">
        <v>128.9</v>
      </c>
      <c r="CD224" s="2146" t="s">
        <v>50</v>
      </c>
      <c r="CE224" s="2146">
        <v>0</v>
      </c>
      <c r="CF224" s="2146">
        <v>0</v>
      </c>
      <c r="CG224" s="2146">
        <v>0</v>
      </c>
      <c r="CH224">
        <v>0</v>
      </c>
      <c r="CJ224" t="s">
        <v>5639</v>
      </c>
    </row>
    <row r="225" spans="1:88">
      <c r="A225" t="s">
        <v>1097</v>
      </c>
      <c r="B225" t="s">
        <v>1130</v>
      </c>
      <c r="C225" t="s">
        <v>116</v>
      </c>
      <c r="D225" t="s">
        <v>214</v>
      </c>
      <c r="E225" t="s">
        <v>215</v>
      </c>
      <c r="F225" t="s">
        <v>1131</v>
      </c>
      <c r="G225">
        <v>1</v>
      </c>
      <c r="H225" t="s">
        <v>1132</v>
      </c>
      <c r="I225" t="s">
        <v>1133</v>
      </c>
      <c r="J225" t="s">
        <v>5408</v>
      </c>
      <c r="K225" t="s">
        <v>322</v>
      </c>
      <c r="M225" t="s">
        <v>46</v>
      </c>
      <c r="N225" t="s">
        <v>273</v>
      </c>
      <c r="O225" t="s">
        <v>200</v>
      </c>
      <c r="P225" t="s">
        <v>323</v>
      </c>
      <c r="Q225" s="534" t="s">
        <v>51</v>
      </c>
      <c r="S225" t="s">
        <v>497</v>
      </c>
      <c r="T225" t="s">
        <v>202</v>
      </c>
      <c r="U225" t="s">
        <v>202</v>
      </c>
      <c r="V225" t="s">
        <v>202</v>
      </c>
      <c r="W225" t="s">
        <v>202</v>
      </c>
      <c r="X225" t="s">
        <v>202</v>
      </c>
      <c r="AE225" t="s">
        <v>50</v>
      </c>
      <c r="AH225">
        <v>3</v>
      </c>
      <c r="AI225" t="s">
        <v>50</v>
      </c>
      <c r="AJ225" t="s">
        <v>50</v>
      </c>
      <c r="AK225" t="s">
        <v>50</v>
      </c>
      <c r="AL225" t="s">
        <v>50</v>
      </c>
      <c r="AM225" t="s">
        <v>50</v>
      </c>
      <c r="AN225" t="s">
        <v>1058</v>
      </c>
      <c r="AO225" t="s">
        <v>1058</v>
      </c>
      <c r="AP225" t="s">
        <v>1058</v>
      </c>
      <c r="AQ225" t="s">
        <v>1058</v>
      </c>
      <c r="AR225" t="s">
        <v>1058</v>
      </c>
      <c r="AS225" t="s">
        <v>1058</v>
      </c>
      <c r="AT225" t="s">
        <v>1058</v>
      </c>
      <c r="AU225" t="s">
        <v>1058</v>
      </c>
      <c r="AV225" t="s">
        <v>1058</v>
      </c>
      <c r="AW225" t="s">
        <v>1058</v>
      </c>
      <c r="BH225">
        <v>5.6250000000000001E-2</v>
      </c>
      <c r="BI225">
        <v>14.95</v>
      </c>
      <c r="BJ225">
        <v>2.9599999999999998E-4</v>
      </c>
      <c r="BN225">
        <v>1</v>
      </c>
      <c r="BO225" t="s">
        <v>51</v>
      </c>
      <c r="BP225" s="534" t="s">
        <v>497</v>
      </c>
      <c r="BQ225" s="724" t="s">
        <v>202</v>
      </c>
      <c r="BR225" t="s">
        <v>50</v>
      </c>
      <c r="BS225" t="s">
        <v>52</v>
      </c>
      <c r="BT225">
        <v>0</v>
      </c>
      <c r="BU225" t="s">
        <v>52</v>
      </c>
      <c r="BV225">
        <v>0</v>
      </c>
      <c r="BW225" t="s">
        <v>202</v>
      </c>
      <c r="BX225" t="s">
        <v>50</v>
      </c>
      <c r="BY225">
        <v>0</v>
      </c>
      <c r="BZ225">
        <v>0</v>
      </c>
      <c r="CA225">
        <v>0</v>
      </c>
      <c r="CB225">
        <v>0</v>
      </c>
      <c r="CC225" s="2146" t="s">
        <v>202</v>
      </c>
      <c r="CD225" s="2146" t="s">
        <v>50</v>
      </c>
      <c r="CE225" s="2146">
        <v>0</v>
      </c>
      <c r="CF225" s="2146">
        <v>0</v>
      </c>
      <c r="CG225" s="2146">
        <v>0</v>
      </c>
      <c r="CH225">
        <v>0</v>
      </c>
      <c r="CJ225" t="s">
        <v>5640</v>
      </c>
    </row>
    <row r="226" spans="1:88">
      <c r="A226" t="s">
        <v>1097</v>
      </c>
      <c r="B226" t="s">
        <v>1134</v>
      </c>
      <c r="C226" t="s">
        <v>116</v>
      </c>
      <c r="D226" t="s">
        <v>214</v>
      </c>
      <c r="E226" t="s">
        <v>215</v>
      </c>
      <c r="F226" t="s">
        <v>1131</v>
      </c>
      <c r="G226" t="s">
        <v>1135</v>
      </c>
      <c r="H226" t="s">
        <v>1136</v>
      </c>
      <c r="I226" t="s">
        <v>1137</v>
      </c>
      <c r="J226" t="s">
        <v>5408</v>
      </c>
      <c r="K226" t="s">
        <v>322</v>
      </c>
      <c r="N226" t="s">
        <v>249</v>
      </c>
      <c r="O226" t="s">
        <v>48</v>
      </c>
      <c r="P226" t="s">
        <v>250</v>
      </c>
      <c r="Q226" s="534">
        <v>0</v>
      </c>
      <c r="R226" t="s">
        <v>3263</v>
      </c>
      <c r="S226">
        <v>348</v>
      </c>
      <c r="T226">
        <v>285</v>
      </c>
      <c r="U226">
        <v>221</v>
      </c>
      <c r="V226">
        <v>158</v>
      </c>
      <c r="W226">
        <v>158</v>
      </c>
      <c r="X226">
        <v>158</v>
      </c>
      <c r="AB226" t="s">
        <v>50</v>
      </c>
      <c r="AE226" t="s">
        <v>50</v>
      </c>
      <c r="AH226">
        <v>0</v>
      </c>
      <c r="AI226" t="s">
        <v>50</v>
      </c>
      <c r="AJ226" t="s">
        <v>50</v>
      </c>
      <c r="AK226" t="s">
        <v>50</v>
      </c>
      <c r="AL226" t="s">
        <v>50</v>
      </c>
      <c r="AM226" t="s">
        <v>50</v>
      </c>
      <c r="AN226">
        <v>453</v>
      </c>
      <c r="AO226">
        <v>453</v>
      </c>
      <c r="AP226">
        <v>280</v>
      </c>
      <c r="AQ226">
        <v>280</v>
      </c>
      <c r="AR226">
        <v>280</v>
      </c>
      <c r="AS226">
        <v>348</v>
      </c>
      <c r="AT226">
        <v>348</v>
      </c>
      <c r="AU226">
        <v>175</v>
      </c>
      <c r="AV226">
        <v>175</v>
      </c>
      <c r="AW226">
        <v>175</v>
      </c>
      <c r="BH226">
        <v>2.0570999999999999E-2</v>
      </c>
      <c r="BN226">
        <v>1</v>
      </c>
      <c r="BO226" t="s">
        <v>51</v>
      </c>
      <c r="BP226" s="534">
        <v>283</v>
      </c>
      <c r="BQ226" s="725">
        <v>160</v>
      </c>
      <c r="BR226" t="s">
        <v>50</v>
      </c>
      <c r="BS226" t="s">
        <v>52</v>
      </c>
      <c r="BT226">
        <v>0</v>
      </c>
      <c r="BU226" t="s">
        <v>52</v>
      </c>
      <c r="BV226">
        <v>0</v>
      </c>
      <c r="BW226">
        <v>143</v>
      </c>
      <c r="BX226" t="s">
        <v>50</v>
      </c>
      <c r="BY226">
        <v>0</v>
      </c>
      <c r="BZ226">
        <v>0</v>
      </c>
      <c r="CA226">
        <v>0</v>
      </c>
      <c r="CB226">
        <v>0</v>
      </c>
      <c r="CC226" s="2146">
        <v>131</v>
      </c>
      <c r="CD226" s="2146" t="s">
        <v>50</v>
      </c>
      <c r="CE226" s="2146">
        <v>0</v>
      </c>
      <c r="CF226" s="2146">
        <v>0</v>
      </c>
      <c r="CG226" s="2146">
        <v>0</v>
      </c>
      <c r="CH226">
        <v>0</v>
      </c>
      <c r="CJ226" t="s">
        <v>5641</v>
      </c>
    </row>
    <row r="227" spans="1:88">
      <c r="A227" t="s">
        <v>1097</v>
      </c>
      <c r="B227" t="s">
        <v>1138</v>
      </c>
      <c r="C227" t="s">
        <v>116</v>
      </c>
      <c r="D227" t="s">
        <v>214</v>
      </c>
      <c r="E227" t="s">
        <v>215</v>
      </c>
      <c r="F227" t="s">
        <v>1131</v>
      </c>
      <c r="G227">
        <v>2</v>
      </c>
      <c r="H227" t="s">
        <v>1139</v>
      </c>
      <c r="I227" t="s">
        <v>1140</v>
      </c>
      <c r="J227" t="s">
        <v>5406</v>
      </c>
      <c r="K227" t="s">
        <v>45</v>
      </c>
      <c r="M227" t="s">
        <v>46</v>
      </c>
      <c r="N227" t="s">
        <v>219</v>
      </c>
      <c r="O227" t="s">
        <v>48</v>
      </c>
      <c r="P227" t="s">
        <v>1141</v>
      </c>
      <c r="Q227" s="534">
        <v>0</v>
      </c>
      <c r="R227" t="s">
        <v>3263</v>
      </c>
      <c r="S227">
        <v>551</v>
      </c>
      <c r="T227">
        <v>446</v>
      </c>
      <c r="U227">
        <v>436</v>
      </c>
      <c r="V227">
        <v>414</v>
      </c>
      <c r="W227">
        <v>392</v>
      </c>
      <c r="X227">
        <v>382</v>
      </c>
      <c r="AC227" t="s">
        <v>50</v>
      </c>
      <c r="AE227" t="s">
        <v>50</v>
      </c>
      <c r="AH227">
        <v>0</v>
      </c>
      <c r="AM227" t="s">
        <v>50</v>
      </c>
      <c r="AR227">
        <v>2440</v>
      </c>
      <c r="AW227">
        <v>2215</v>
      </c>
      <c r="BB227">
        <v>2000</v>
      </c>
      <c r="BG227">
        <v>1700</v>
      </c>
      <c r="BH227">
        <v>7.5259999999999994E-2</v>
      </c>
      <c r="BL227">
        <v>7.2228000000000001E-2</v>
      </c>
      <c r="BN227">
        <v>1</v>
      </c>
      <c r="BO227" t="s">
        <v>51</v>
      </c>
      <c r="BP227" s="534">
        <v>487</v>
      </c>
      <c r="BQ227" s="725">
        <v>492</v>
      </c>
      <c r="BR227" t="s">
        <v>46</v>
      </c>
      <c r="BS227" t="s">
        <v>52</v>
      </c>
      <c r="BT227">
        <v>0</v>
      </c>
      <c r="BU227" t="s">
        <v>52</v>
      </c>
      <c r="BV227">
        <v>0</v>
      </c>
      <c r="BW227">
        <v>448</v>
      </c>
      <c r="BX227" t="s">
        <v>46</v>
      </c>
      <c r="BY227">
        <v>0</v>
      </c>
      <c r="BZ227">
        <v>0</v>
      </c>
      <c r="CA227">
        <v>0</v>
      </c>
      <c r="CB227">
        <v>0</v>
      </c>
      <c r="CC227" s="2146">
        <v>401</v>
      </c>
      <c r="CD227" s="2146" t="s">
        <v>50</v>
      </c>
      <c r="CE227" s="2146">
        <v>0</v>
      </c>
      <c r="CF227" s="2146">
        <v>0</v>
      </c>
      <c r="CG227" s="2146">
        <v>0</v>
      </c>
      <c r="CH227">
        <v>0</v>
      </c>
      <c r="CJ227" t="s">
        <v>5642</v>
      </c>
    </row>
    <row r="228" spans="1:88">
      <c r="A228" t="s">
        <v>1097</v>
      </c>
      <c r="B228" t="s">
        <v>1142</v>
      </c>
      <c r="C228" t="s">
        <v>116</v>
      </c>
      <c r="D228" t="s">
        <v>214</v>
      </c>
      <c r="E228" t="s">
        <v>215</v>
      </c>
      <c r="F228" t="s">
        <v>1131</v>
      </c>
      <c r="G228">
        <v>3</v>
      </c>
      <c r="H228" t="s">
        <v>1143</v>
      </c>
      <c r="I228" t="s">
        <v>1144</v>
      </c>
      <c r="J228" t="s">
        <v>69</v>
      </c>
      <c r="N228" t="s">
        <v>219</v>
      </c>
      <c r="O228" t="s">
        <v>48</v>
      </c>
      <c r="P228" t="s">
        <v>1145</v>
      </c>
      <c r="Q228" s="534">
        <v>0</v>
      </c>
      <c r="R228" t="s">
        <v>3263</v>
      </c>
      <c r="S228">
        <v>9694</v>
      </c>
      <c r="T228">
        <v>9694</v>
      </c>
      <c r="U228">
        <v>9694</v>
      </c>
      <c r="V228">
        <v>9694</v>
      </c>
      <c r="W228">
        <v>9694</v>
      </c>
      <c r="X228">
        <v>9694</v>
      </c>
      <c r="AE228" t="s">
        <v>50</v>
      </c>
      <c r="AH228">
        <v>0</v>
      </c>
      <c r="BP228" s="534">
        <v>9796</v>
      </c>
      <c r="BQ228" s="725">
        <v>8314</v>
      </c>
      <c r="BR228" t="s">
        <v>50</v>
      </c>
      <c r="BS228" t="s">
        <v>52</v>
      </c>
      <c r="BT228">
        <v>0</v>
      </c>
      <c r="BU228" t="s">
        <v>52</v>
      </c>
      <c r="BV228">
        <v>0</v>
      </c>
      <c r="BW228">
        <v>8009</v>
      </c>
      <c r="BX228" t="s">
        <v>50</v>
      </c>
      <c r="BY228">
        <v>0</v>
      </c>
      <c r="BZ228">
        <v>0</v>
      </c>
      <c r="CA228">
        <v>0</v>
      </c>
      <c r="CB228">
        <v>0</v>
      </c>
      <c r="CC228" s="2146">
        <v>7106</v>
      </c>
      <c r="CD228" s="2146" t="s">
        <v>50</v>
      </c>
      <c r="CE228" s="2146">
        <v>0</v>
      </c>
      <c r="CF228" s="2146">
        <v>0</v>
      </c>
      <c r="CG228" s="2146">
        <v>0</v>
      </c>
      <c r="CH228">
        <v>0</v>
      </c>
      <c r="CJ228" t="s">
        <v>5643</v>
      </c>
    </row>
    <row r="229" spans="1:88">
      <c r="A229" t="s">
        <v>1097</v>
      </c>
      <c r="B229" t="s">
        <v>1146</v>
      </c>
      <c r="C229" t="s">
        <v>116</v>
      </c>
      <c r="D229" t="s">
        <v>214</v>
      </c>
      <c r="E229" t="s">
        <v>215</v>
      </c>
      <c r="F229" t="s">
        <v>1131</v>
      </c>
      <c r="G229">
        <v>4</v>
      </c>
      <c r="H229" t="s">
        <v>1147</v>
      </c>
      <c r="I229" t="s">
        <v>1148</v>
      </c>
      <c r="J229" t="s">
        <v>5408</v>
      </c>
      <c r="K229" t="s">
        <v>45</v>
      </c>
      <c r="N229" t="s">
        <v>219</v>
      </c>
      <c r="O229" t="s">
        <v>48</v>
      </c>
      <c r="P229" t="s">
        <v>1149</v>
      </c>
      <c r="Q229" s="534">
        <v>2</v>
      </c>
      <c r="R229" t="s">
        <v>3263</v>
      </c>
      <c r="S229">
        <v>0.57999999999999996</v>
      </c>
      <c r="T229">
        <v>0.57999999999999996</v>
      </c>
      <c r="U229">
        <v>0.57999999999999996</v>
      </c>
      <c r="V229">
        <v>0.57999999999999996</v>
      </c>
      <c r="W229">
        <v>0.57999999999999996</v>
      </c>
      <c r="X229">
        <v>0.57999999999999996</v>
      </c>
      <c r="AE229" t="s">
        <v>50</v>
      </c>
      <c r="AH229">
        <v>0</v>
      </c>
      <c r="AI229" t="s">
        <v>50</v>
      </c>
      <c r="AJ229" t="s">
        <v>50</v>
      </c>
      <c r="AK229" t="s">
        <v>50</v>
      </c>
      <c r="AL229" t="s">
        <v>50</v>
      </c>
      <c r="AM229" t="s">
        <v>50</v>
      </c>
      <c r="AN229">
        <v>0.65</v>
      </c>
      <c r="AO229">
        <v>0.65</v>
      </c>
      <c r="AP229">
        <v>0.65</v>
      </c>
      <c r="AQ229">
        <v>0.65</v>
      </c>
      <c r="AR229">
        <v>0.65</v>
      </c>
      <c r="AS229">
        <v>0.59</v>
      </c>
      <c r="AT229">
        <v>0.59</v>
      </c>
      <c r="AU229">
        <v>0.59</v>
      </c>
      <c r="AV229">
        <v>0.59</v>
      </c>
      <c r="AW229">
        <v>0.59</v>
      </c>
      <c r="BH229">
        <v>16.276</v>
      </c>
      <c r="BN229">
        <v>1</v>
      </c>
      <c r="BO229" t="s">
        <v>51</v>
      </c>
      <c r="BP229" s="534">
        <v>0.55000000000000004</v>
      </c>
      <c r="BQ229" s="726">
        <v>0.56000000000000005</v>
      </c>
      <c r="BR229" t="s">
        <v>50</v>
      </c>
      <c r="BS229" t="s">
        <v>52</v>
      </c>
      <c r="BT229">
        <v>0</v>
      </c>
      <c r="BU229" t="s">
        <v>52</v>
      </c>
      <c r="BV229">
        <v>0</v>
      </c>
      <c r="BW229">
        <v>0.55000000000000004</v>
      </c>
      <c r="BX229" t="s">
        <v>50</v>
      </c>
      <c r="BY229">
        <v>0</v>
      </c>
      <c r="BZ229">
        <v>0</v>
      </c>
      <c r="CA229">
        <v>0</v>
      </c>
      <c r="CB229">
        <v>0</v>
      </c>
      <c r="CC229" s="2146">
        <v>0.49</v>
      </c>
      <c r="CD229" s="2146" t="s">
        <v>50</v>
      </c>
      <c r="CE229" s="2146">
        <v>0</v>
      </c>
      <c r="CF229" s="2146">
        <v>0</v>
      </c>
      <c r="CG229" s="2146">
        <v>0</v>
      </c>
      <c r="CH229">
        <v>0</v>
      </c>
      <c r="CJ229" t="s">
        <v>5644</v>
      </c>
    </row>
    <row r="230" spans="1:88">
      <c r="A230" t="s">
        <v>1097</v>
      </c>
      <c r="B230" t="s">
        <v>1150</v>
      </c>
      <c r="C230" t="s">
        <v>116</v>
      </c>
      <c r="D230" t="s">
        <v>214</v>
      </c>
      <c r="E230" t="s">
        <v>215</v>
      </c>
      <c r="F230" t="s">
        <v>1131</v>
      </c>
      <c r="G230">
        <v>5</v>
      </c>
      <c r="H230" t="s">
        <v>1151</v>
      </c>
      <c r="I230" t="s">
        <v>1152</v>
      </c>
      <c r="J230" t="s">
        <v>5408</v>
      </c>
      <c r="K230" t="s">
        <v>45</v>
      </c>
      <c r="N230" t="s">
        <v>1153</v>
      </c>
      <c r="O230" t="s">
        <v>48</v>
      </c>
      <c r="P230" t="s">
        <v>1154</v>
      </c>
      <c r="Q230" s="534">
        <v>0</v>
      </c>
      <c r="R230" t="s">
        <v>3263</v>
      </c>
      <c r="S230" t="s">
        <v>497</v>
      </c>
      <c r="T230" t="s">
        <v>497</v>
      </c>
      <c r="U230" t="s">
        <v>497</v>
      </c>
      <c r="V230" t="s">
        <v>497</v>
      </c>
      <c r="W230">
        <v>0</v>
      </c>
      <c r="X230">
        <v>0</v>
      </c>
      <c r="AD230" t="s">
        <v>50</v>
      </c>
      <c r="AE230" t="s">
        <v>50</v>
      </c>
      <c r="AH230">
        <v>0</v>
      </c>
      <c r="AL230" t="s">
        <v>50</v>
      </c>
      <c r="AM230" t="s">
        <v>50</v>
      </c>
      <c r="AQ230">
        <v>20</v>
      </c>
      <c r="AR230">
        <v>20</v>
      </c>
      <c r="AV230">
        <v>0</v>
      </c>
      <c r="AW230">
        <v>0</v>
      </c>
      <c r="BH230">
        <v>7.9000000000000001E-2</v>
      </c>
      <c r="BN230">
        <v>1</v>
      </c>
      <c r="BO230" t="s">
        <v>51</v>
      </c>
      <c r="BP230" s="534" t="s">
        <v>497</v>
      </c>
      <c r="BQ230" s="725" t="s">
        <v>497</v>
      </c>
      <c r="BR230" t="s">
        <v>52</v>
      </c>
      <c r="BS230" t="s">
        <v>52</v>
      </c>
      <c r="BT230">
        <v>0</v>
      </c>
      <c r="BU230" t="s">
        <v>52</v>
      </c>
      <c r="BV230">
        <v>0</v>
      </c>
      <c r="BW230" t="s">
        <v>497</v>
      </c>
      <c r="BX230" t="s">
        <v>2148</v>
      </c>
      <c r="BY230">
        <v>0</v>
      </c>
      <c r="BZ230">
        <v>0</v>
      </c>
      <c r="CA230">
        <v>0</v>
      </c>
      <c r="CB230">
        <v>0</v>
      </c>
      <c r="CC230" s="2146">
        <v>18</v>
      </c>
      <c r="CD230" s="2146" t="s">
        <v>2148</v>
      </c>
      <c r="CE230" s="2146">
        <v>0</v>
      </c>
      <c r="CF230" s="2146">
        <v>0</v>
      </c>
      <c r="CG230" s="2146">
        <v>0</v>
      </c>
      <c r="CH230">
        <v>0</v>
      </c>
      <c r="CJ230" t="s">
        <v>5645</v>
      </c>
    </row>
    <row r="231" spans="1:88">
      <c r="A231" t="s">
        <v>1097</v>
      </c>
      <c r="B231" t="s">
        <v>1155</v>
      </c>
      <c r="C231" t="s">
        <v>116</v>
      </c>
      <c r="D231" t="s">
        <v>214</v>
      </c>
      <c r="E231" t="s">
        <v>215</v>
      </c>
      <c r="F231" t="s">
        <v>1123</v>
      </c>
      <c r="G231">
        <v>6</v>
      </c>
      <c r="H231" t="s">
        <v>1156</v>
      </c>
      <c r="I231" t="s">
        <v>1157</v>
      </c>
      <c r="J231" t="s">
        <v>5408</v>
      </c>
      <c r="K231" t="s">
        <v>45</v>
      </c>
      <c r="N231" t="s">
        <v>175</v>
      </c>
      <c r="O231" t="s">
        <v>76</v>
      </c>
      <c r="P231" t="s">
        <v>1158</v>
      </c>
      <c r="Q231" s="534">
        <v>1</v>
      </c>
      <c r="R231" t="s">
        <v>3264</v>
      </c>
      <c r="S231">
        <v>98.6</v>
      </c>
      <c r="T231">
        <v>100</v>
      </c>
      <c r="U231">
        <v>100</v>
      </c>
      <c r="V231">
        <v>100</v>
      </c>
      <c r="W231">
        <v>100</v>
      </c>
      <c r="X231">
        <v>100</v>
      </c>
      <c r="AE231" t="s">
        <v>50</v>
      </c>
      <c r="AH231">
        <v>0</v>
      </c>
      <c r="AI231" t="s">
        <v>50</v>
      </c>
      <c r="AJ231" t="s">
        <v>50</v>
      </c>
      <c r="AK231" t="s">
        <v>50</v>
      </c>
      <c r="AL231" t="s">
        <v>50</v>
      </c>
      <c r="AM231" t="s">
        <v>50</v>
      </c>
      <c r="AN231">
        <v>96.8</v>
      </c>
      <c r="AO231">
        <v>96.8</v>
      </c>
      <c r="AP231">
        <v>96.8</v>
      </c>
      <c r="AQ231">
        <v>96.8</v>
      </c>
      <c r="AR231">
        <v>96.8</v>
      </c>
      <c r="AS231">
        <v>97.7</v>
      </c>
      <c r="AT231">
        <v>97.7</v>
      </c>
      <c r="AU231">
        <v>97.7</v>
      </c>
      <c r="AV231">
        <v>97.7</v>
      </c>
      <c r="AW231">
        <v>97.7</v>
      </c>
      <c r="BH231">
        <v>1.661</v>
      </c>
      <c r="BN231">
        <v>10</v>
      </c>
      <c r="BO231" t="s">
        <v>1159</v>
      </c>
      <c r="BP231" s="534">
        <v>99</v>
      </c>
      <c r="BQ231" s="722">
        <v>99.3</v>
      </c>
      <c r="BR231" t="s">
        <v>46</v>
      </c>
      <c r="BS231" t="s">
        <v>52</v>
      </c>
      <c r="BT231">
        <v>0</v>
      </c>
      <c r="BU231" t="s">
        <v>5378</v>
      </c>
      <c r="BV231">
        <v>0</v>
      </c>
      <c r="BW231">
        <v>99.32</v>
      </c>
      <c r="BX231" t="s">
        <v>46</v>
      </c>
      <c r="BY231">
        <v>0</v>
      </c>
      <c r="BZ231">
        <v>0</v>
      </c>
      <c r="CA231" t="s">
        <v>5378</v>
      </c>
      <c r="CB231">
        <v>0</v>
      </c>
      <c r="CC231" s="2146">
        <v>98.38</v>
      </c>
      <c r="CD231" s="2146" t="s">
        <v>46</v>
      </c>
      <c r="CE231" s="2146">
        <v>0</v>
      </c>
      <c r="CF231" s="2146">
        <v>0</v>
      </c>
      <c r="CG231" s="2146">
        <v>0</v>
      </c>
      <c r="CH231">
        <v>0</v>
      </c>
      <c r="CJ231" t="s">
        <v>5646</v>
      </c>
    </row>
    <row r="232" spans="1:88">
      <c r="A232" t="s">
        <v>1097</v>
      </c>
      <c r="B232" t="s">
        <v>1160</v>
      </c>
      <c r="C232" t="s">
        <v>116</v>
      </c>
      <c r="D232" t="s">
        <v>214</v>
      </c>
      <c r="E232" t="s">
        <v>215</v>
      </c>
      <c r="F232" t="s">
        <v>1123</v>
      </c>
      <c r="G232">
        <v>7</v>
      </c>
      <c r="H232" t="s">
        <v>1161</v>
      </c>
      <c r="I232" t="s">
        <v>1162</v>
      </c>
      <c r="J232" t="s">
        <v>69</v>
      </c>
      <c r="N232" t="s">
        <v>182</v>
      </c>
      <c r="O232" t="s">
        <v>76</v>
      </c>
      <c r="P232" t="s">
        <v>1163</v>
      </c>
      <c r="Q232" s="534">
        <v>1</v>
      </c>
      <c r="R232" t="s">
        <v>3264</v>
      </c>
      <c r="S232">
        <v>14.5</v>
      </c>
      <c r="X232">
        <v>16.5</v>
      </c>
      <c r="AH232">
        <v>0</v>
      </c>
      <c r="BP232" s="534">
        <v>16</v>
      </c>
      <c r="BQ232" s="722">
        <v>17.3</v>
      </c>
      <c r="BR232" t="s">
        <v>52</v>
      </c>
      <c r="BS232" t="s">
        <v>52</v>
      </c>
      <c r="BT232">
        <v>0</v>
      </c>
      <c r="BU232" t="s">
        <v>52</v>
      </c>
      <c r="BV232">
        <v>0</v>
      </c>
      <c r="BW232">
        <v>17.03</v>
      </c>
      <c r="BX232" t="s">
        <v>2148</v>
      </c>
      <c r="BY232">
        <v>0</v>
      </c>
      <c r="BZ232">
        <v>0</v>
      </c>
      <c r="CA232">
        <v>0</v>
      </c>
      <c r="CB232">
        <v>0</v>
      </c>
      <c r="CC232" s="2146">
        <v>17.2</v>
      </c>
      <c r="CD232" s="2146" t="s">
        <v>50</v>
      </c>
      <c r="CE232" s="2146">
        <v>0</v>
      </c>
      <c r="CF232" s="2146">
        <v>0</v>
      </c>
      <c r="CG232" s="2146">
        <v>0</v>
      </c>
      <c r="CH232">
        <v>0</v>
      </c>
      <c r="CJ232" t="s">
        <v>5647</v>
      </c>
    </row>
    <row r="233" spans="1:88">
      <c r="A233" t="s">
        <v>1097</v>
      </c>
      <c r="B233" t="s">
        <v>1164</v>
      </c>
      <c r="C233" t="s">
        <v>116</v>
      </c>
      <c r="D233" t="s">
        <v>214</v>
      </c>
      <c r="E233" t="s">
        <v>215</v>
      </c>
      <c r="F233" t="s">
        <v>1123</v>
      </c>
      <c r="G233">
        <v>8</v>
      </c>
      <c r="H233" t="s">
        <v>1165</v>
      </c>
      <c r="I233" t="s">
        <v>1166</v>
      </c>
      <c r="J233" t="s">
        <v>5406</v>
      </c>
      <c r="K233" t="s">
        <v>45</v>
      </c>
      <c r="N233" t="s">
        <v>175</v>
      </c>
      <c r="O233" t="s">
        <v>48</v>
      </c>
      <c r="P233" t="s">
        <v>1167</v>
      </c>
      <c r="Q233" s="534">
        <v>0</v>
      </c>
      <c r="R233" t="s">
        <v>3264</v>
      </c>
      <c r="T233">
        <v>54</v>
      </c>
      <c r="U233">
        <v>54</v>
      </c>
      <c r="V233">
        <v>54</v>
      </c>
      <c r="W233">
        <v>54</v>
      </c>
      <c r="X233">
        <v>54</v>
      </c>
      <c r="AH233">
        <v>0</v>
      </c>
      <c r="AI233" t="s">
        <v>50</v>
      </c>
      <c r="AJ233" t="s">
        <v>50</v>
      </c>
      <c r="AK233" t="s">
        <v>50</v>
      </c>
      <c r="AL233" t="s">
        <v>50</v>
      </c>
      <c r="AM233" t="s">
        <v>50</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51</v>
      </c>
      <c r="BP233" s="534">
        <v>54</v>
      </c>
      <c r="BQ233" s="725">
        <v>43</v>
      </c>
      <c r="BR233" t="s">
        <v>46</v>
      </c>
      <c r="BS233" t="s">
        <v>52</v>
      </c>
      <c r="BT233">
        <v>0</v>
      </c>
      <c r="BU233" t="s">
        <v>5415</v>
      </c>
      <c r="BV233">
        <v>-1.4575</v>
      </c>
      <c r="BW233">
        <v>51</v>
      </c>
      <c r="BX233" t="s">
        <v>46</v>
      </c>
      <c r="BY233">
        <v>0</v>
      </c>
      <c r="BZ233">
        <v>0</v>
      </c>
      <c r="CA233" t="s">
        <v>5378</v>
      </c>
      <c r="CB233">
        <v>0</v>
      </c>
      <c r="CC233" s="2146">
        <v>53</v>
      </c>
      <c r="CD233" s="2146" t="s">
        <v>46</v>
      </c>
      <c r="CE233" s="2146">
        <v>0</v>
      </c>
      <c r="CF233" s="2146">
        <v>0</v>
      </c>
      <c r="CG233" s="2146" t="s">
        <v>13445</v>
      </c>
      <c r="CH233">
        <v>0</v>
      </c>
      <c r="CJ233" t="s">
        <v>5648</v>
      </c>
    </row>
    <row r="234" spans="1:88">
      <c r="A234" t="s">
        <v>1097</v>
      </c>
      <c r="B234" t="s">
        <v>1168</v>
      </c>
      <c r="C234" t="s">
        <v>116</v>
      </c>
      <c r="D234" t="s">
        <v>214</v>
      </c>
      <c r="E234" t="s">
        <v>215</v>
      </c>
      <c r="F234" t="s">
        <v>1123</v>
      </c>
      <c r="G234">
        <v>9</v>
      </c>
      <c r="H234" t="s">
        <v>1169</v>
      </c>
      <c r="I234" t="s">
        <v>1170</v>
      </c>
      <c r="J234" t="s">
        <v>5406</v>
      </c>
      <c r="K234" t="s">
        <v>45</v>
      </c>
      <c r="N234" t="s">
        <v>175</v>
      </c>
      <c r="O234" t="s">
        <v>48</v>
      </c>
      <c r="P234" t="s">
        <v>1167</v>
      </c>
      <c r="Q234" s="534">
        <v>0</v>
      </c>
      <c r="R234" t="s">
        <v>3264</v>
      </c>
      <c r="T234">
        <v>0</v>
      </c>
      <c r="U234">
        <v>0</v>
      </c>
      <c r="V234">
        <v>0</v>
      </c>
      <c r="W234">
        <v>0</v>
      </c>
      <c r="X234">
        <v>7</v>
      </c>
      <c r="AD234" t="s">
        <v>50</v>
      </c>
      <c r="AH234">
        <v>0</v>
      </c>
      <c r="AI234" t="s">
        <v>50</v>
      </c>
      <c r="AJ234" t="s">
        <v>50</v>
      </c>
      <c r="AK234" t="s">
        <v>50</v>
      </c>
      <c r="AL234" t="s">
        <v>50</v>
      </c>
      <c r="AM234" t="s">
        <v>50</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51</v>
      </c>
      <c r="BP234" s="534">
        <v>0</v>
      </c>
      <c r="BQ234" s="725">
        <v>0</v>
      </c>
      <c r="BR234" t="s">
        <v>50</v>
      </c>
      <c r="BS234" t="s">
        <v>52</v>
      </c>
      <c r="BT234">
        <v>0</v>
      </c>
      <c r="BU234" t="s">
        <v>52</v>
      </c>
      <c r="BV234">
        <v>0</v>
      </c>
      <c r="BW234">
        <v>0</v>
      </c>
      <c r="BX234" t="s">
        <v>50</v>
      </c>
      <c r="BY234">
        <v>0</v>
      </c>
      <c r="BZ234">
        <v>0</v>
      </c>
      <c r="CA234">
        <v>0</v>
      </c>
      <c r="CB234">
        <v>0</v>
      </c>
      <c r="CC234" s="2146">
        <v>0</v>
      </c>
      <c r="CD234" s="2146" t="s">
        <v>2148</v>
      </c>
      <c r="CE234" s="2146">
        <v>0</v>
      </c>
      <c r="CF234" s="2146">
        <v>0</v>
      </c>
      <c r="CG234" s="2146">
        <v>0</v>
      </c>
      <c r="CH234">
        <v>0</v>
      </c>
      <c r="CJ234" t="s">
        <v>5649</v>
      </c>
    </row>
    <row r="235" spans="1:88">
      <c r="A235" t="s">
        <v>1097</v>
      </c>
      <c r="B235" t="s">
        <v>1171</v>
      </c>
      <c r="C235" t="s">
        <v>116</v>
      </c>
      <c r="D235" t="s">
        <v>214</v>
      </c>
      <c r="E235" t="s">
        <v>215</v>
      </c>
      <c r="F235" t="s">
        <v>1123</v>
      </c>
      <c r="G235">
        <v>10</v>
      </c>
      <c r="H235" t="s">
        <v>1172</v>
      </c>
      <c r="I235" t="s">
        <v>1173</v>
      </c>
      <c r="J235" t="s">
        <v>5408</v>
      </c>
      <c r="K235" t="s">
        <v>322</v>
      </c>
      <c r="N235" t="s">
        <v>175</v>
      </c>
      <c r="O235" t="s">
        <v>750</v>
      </c>
      <c r="P235" t="s">
        <v>1174</v>
      </c>
      <c r="Q235" s="534">
        <v>1</v>
      </c>
      <c r="S235" t="s">
        <v>497</v>
      </c>
      <c r="X235">
        <v>31.5</v>
      </c>
      <c r="AH235">
        <v>0</v>
      </c>
      <c r="AM235" t="s">
        <v>50</v>
      </c>
      <c r="AR235">
        <v>0</v>
      </c>
      <c r="AW235">
        <v>24.56</v>
      </c>
      <c r="BH235">
        <v>0.5</v>
      </c>
      <c r="BN235">
        <v>1</v>
      </c>
      <c r="BO235" t="s">
        <v>51</v>
      </c>
      <c r="BP235" s="534" t="s">
        <v>497</v>
      </c>
      <c r="BQ235" s="725" t="s">
        <v>497</v>
      </c>
      <c r="BR235" t="s">
        <v>52</v>
      </c>
      <c r="BS235" t="s">
        <v>52</v>
      </c>
      <c r="BT235">
        <v>0</v>
      </c>
      <c r="BU235" t="s">
        <v>52</v>
      </c>
      <c r="BV235">
        <v>0</v>
      </c>
      <c r="BW235" t="s">
        <v>497</v>
      </c>
      <c r="BX235" t="s">
        <v>2148</v>
      </c>
      <c r="BY235">
        <v>0</v>
      </c>
      <c r="BZ235">
        <v>0</v>
      </c>
      <c r="CA235">
        <v>0</v>
      </c>
      <c r="CB235">
        <v>0</v>
      </c>
      <c r="CC235" s="2146" t="s">
        <v>497</v>
      </c>
      <c r="CD235" s="2146" t="s">
        <v>2148</v>
      </c>
      <c r="CE235" s="2146">
        <v>0</v>
      </c>
      <c r="CF235" s="2146">
        <v>0</v>
      </c>
      <c r="CG235" s="2146">
        <v>0</v>
      </c>
      <c r="CH235">
        <v>0</v>
      </c>
      <c r="CJ235" t="s">
        <v>5650</v>
      </c>
    </row>
    <row r="236" spans="1:88">
      <c r="A236" t="s">
        <v>1097</v>
      </c>
      <c r="B236" t="s">
        <v>1175</v>
      </c>
      <c r="C236" t="s">
        <v>116</v>
      </c>
      <c r="D236" t="s">
        <v>214</v>
      </c>
      <c r="E236" t="s">
        <v>215</v>
      </c>
      <c r="F236" t="s">
        <v>1123</v>
      </c>
      <c r="G236">
        <v>11</v>
      </c>
      <c r="H236" t="s">
        <v>1176</v>
      </c>
      <c r="I236" t="s">
        <v>1177</v>
      </c>
      <c r="J236" t="s">
        <v>69</v>
      </c>
      <c r="N236" t="s">
        <v>249</v>
      </c>
      <c r="O236" t="s">
        <v>48</v>
      </c>
      <c r="P236" t="s">
        <v>1178</v>
      </c>
      <c r="Q236" s="534">
        <v>0</v>
      </c>
      <c r="R236" t="s">
        <v>3263</v>
      </c>
      <c r="S236">
        <v>7</v>
      </c>
      <c r="T236">
        <v>8</v>
      </c>
      <c r="U236">
        <v>6</v>
      </c>
      <c r="V236">
        <v>4</v>
      </c>
      <c r="W236">
        <v>2</v>
      </c>
      <c r="X236">
        <v>0</v>
      </c>
      <c r="AE236" t="s">
        <v>50</v>
      </c>
      <c r="AH236">
        <v>0</v>
      </c>
      <c r="BP236" s="534">
        <v>12</v>
      </c>
      <c r="BQ236" s="725">
        <v>7</v>
      </c>
      <c r="BR236" t="s">
        <v>50</v>
      </c>
      <c r="BS236" t="s">
        <v>52</v>
      </c>
      <c r="BT236">
        <v>0</v>
      </c>
      <c r="BU236" t="s">
        <v>52</v>
      </c>
      <c r="BV236">
        <v>0</v>
      </c>
      <c r="BW236">
        <v>3</v>
      </c>
      <c r="BX236" t="s">
        <v>50</v>
      </c>
      <c r="BY236">
        <v>0</v>
      </c>
      <c r="BZ236">
        <v>0</v>
      </c>
      <c r="CA236">
        <v>0</v>
      </c>
      <c r="CB236">
        <v>0</v>
      </c>
      <c r="CC236" s="2146">
        <v>4</v>
      </c>
      <c r="CD236" s="2146" t="s">
        <v>50</v>
      </c>
      <c r="CE236" s="2146">
        <v>0</v>
      </c>
      <c r="CF236" s="2146">
        <v>0</v>
      </c>
      <c r="CG236" s="2146">
        <v>0</v>
      </c>
      <c r="CH236">
        <v>0</v>
      </c>
      <c r="CJ236" t="s">
        <v>5651</v>
      </c>
    </row>
    <row r="237" spans="1:88">
      <c r="A237" t="s">
        <v>1097</v>
      </c>
      <c r="B237" t="s">
        <v>1179</v>
      </c>
      <c r="C237" t="s">
        <v>116</v>
      </c>
      <c r="D237" t="s">
        <v>214</v>
      </c>
      <c r="E237" t="s">
        <v>215</v>
      </c>
      <c r="F237" t="s">
        <v>1127</v>
      </c>
      <c r="G237">
        <v>12</v>
      </c>
      <c r="H237" t="s">
        <v>1180</v>
      </c>
      <c r="I237" t="s">
        <v>1181</v>
      </c>
      <c r="J237" t="s">
        <v>69</v>
      </c>
      <c r="N237" t="s">
        <v>923</v>
      </c>
      <c r="O237" t="s">
        <v>76</v>
      </c>
      <c r="P237" t="s">
        <v>1182</v>
      </c>
      <c r="Q237" s="534">
        <v>0</v>
      </c>
      <c r="R237" t="s">
        <v>3264</v>
      </c>
      <c r="S237" t="s">
        <v>497</v>
      </c>
      <c r="T237">
        <v>77</v>
      </c>
      <c r="U237">
        <v>78</v>
      </c>
      <c r="V237">
        <v>78</v>
      </c>
      <c r="W237">
        <v>79</v>
      </c>
      <c r="X237">
        <v>80</v>
      </c>
      <c r="AH237">
        <v>0</v>
      </c>
      <c r="BP237" s="534" t="s">
        <v>497</v>
      </c>
      <c r="BQ237" s="725">
        <v>77</v>
      </c>
      <c r="BR237" t="s">
        <v>52</v>
      </c>
      <c r="BS237" t="s">
        <v>52</v>
      </c>
      <c r="BT237">
        <v>0</v>
      </c>
      <c r="BU237" t="s">
        <v>52</v>
      </c>
      <c r="BV237">
        <v>0</v>
      </c>
      <c r="BW237">
        <v>79</v>
      </c>
      <c r="BX237" t="s">
        <v>50</v>
      </c>
      <c r="BY237">
        <v>0</v>
      </c>
      <c r="BZ237">
        <v>0</v>
      </c>
      <c r="CA237">
        <v>0</v>
      </c>
      <c r="CB237">
        <v>0</v>
      </c>
      <c r="CC237" s="2146">
        <v>82</v>
      </c>
      <c r="CD237" s="2146" t="s">
        <v>50</v>
      </c>
      <c r="CE237" s="2146">
        <v>0</v>
      </c>
      <c r="CF237" s="2146">
        <v>0</v>
      </c>
      <c r="CG237" s="2146">
        <v>0</v>
      </c>
      <c r="CH237">
        <v>0</v>
      </c>
      <c r="CJ237" t="s">
        <v>5652</v>
      </c>
    </row>
    <row r="238" spans="1:88">
      <c r="A238" t="s">
        <v>1097</v>
      </c>
      <c r="B238" t="s">
        <v>1183</v>
      </c>
      <c r="C238" t="s">
        <v>116</v>
      </c>
      <c r="D238" t="s">
        <v>214</v>
      </c>
      <c r="E238" t="s">
        <v>215</v>
      </c>
      <c r="F238" t="s">
        <v>1184</v>
      </c>
      <c r="G238">
        <v>13</v>
      </c>
      <c r="H238" t="s">
        <v>1185</v>
      </c>
      <c r="I238" t="s">
        <v>1186</v>
      </c>
      <c r="J238" t="s">
        <v>5408</v>
      </c>
      <c r="K238" t="s">
        <v>322</v>
      </c>
      <c r="M238" t="s">
        <v>46</v>
      </c>
      <c r="N238" t="s">
        <v>175</v>
      </c>
      <c r="O238" t="s">
        <v>281</v>
      </c>
      <c r="P238" t="s">
        <v>1187</v>
      </c>
      <c r="Q238" s="534" t="s">
        <v>51</v>
      </c>
      <c r="S238" t="s">
        <v>497</v>
      </c>
      <c r="W238" t="s">
        <v>448</v>
      </c>
      <c r="X238" t="s">
        <v>788</v>
      </c>
      <c r="AD238" t="s">
        <v>50</v>
      </c>
      <c r="AF238" t="s">
        <v>50</v>
      </c>
      <c r="AH238">
        <v>0</v>
      </c>
      <c r="AM238" t="s">
        <v>50</v>
      </c>
      <c r="AR238" t="s">
        <v>1188</v>
      </c>
      <c r="AW238" t="s">
        <v>1188</v>
      </c>
      <c r="BH238">
        <v>31.207999999999998</v>
      </c>
      <c r="BI238">
        <v>0.95</v>
      </c>
      <c r="BN238">
        <v>1</v>
      </c>
      <c r="BO238" t="s">
        <v>51</v>
      </c>
      <c r="BP238" s="534" t="s">
        <v>497</v>
      </c>
      <c r="BQ238" s="724" t="s">
        <v>497</v>
      </c>
      <c r="BR238" t="s">
        <v>52</v>
      </c>
      <c r="BS238" t="s">
        <v>52</v>
      </c>
      <c r="BT238">
        <v>0</v>
      </c>
      <c r="BU238" t="s">
        <v>52</v>
      </c>
      <c r="BV238">
        <v>0</v>
      </c>
      <c r="BW238" t="s">
        <v>497</v>
      </c>
      <c r="BX238" t="s">
        <v>2148</v>
      </c>
      <c r="BY238">
        <v>0</v>
      </c>
      <c r="BZ238">
        <v>0</v>
      </c>
      <c r="CA238">
        <v>0</v>
      </c>
      <c r="CB238">
        <v>0</v>
      </c>
      <c r="CC238" s="2146" t="s">
        <v>497</v>
      </c>
      <c r="CD238" s="2146" t="s">
        <v>2148</v>
      </c>
      <c r="CE238" s="2146">
        <v>0</v>
      </c>
      <c r="CF238" s="2146">
        <v>0</v>
      </c>
      <c r="CG238" s="2146">
        <v>0</v>
      </c>
      <c r="CH238">
        <v>0</v>
      </c>
      <c r="CJ238" t="s">
        <v>5653</v>
      </c>
    </row>
    <row r="239" spans="1:88">
      <c r="A239" t="s">
        <v>1097</v>
      </c>
      <c r="B239" t="s">
        <v>1189</v>
      </c>
      <c r="C239" t="s">
        <v>116</v>
      </c>
      <c r="D239" t="s">
        <v>214</v>
      </c>
      <c r="E239" t="s">
        <v>215</v>
      </c>
      <c r="F239" t="s">
        <v>1184</v>
      </c>
      <c r="G239">
        <v>14</v>
      </c>
      <c r="H239" t="s">
        <v>1190</v>
      </c>
      <c r="I239" t="s">
        <v>1191</v>
      </c>
      <c r="J239" t="s">
        <v>5408</v>
      </c>
      <c r="K239" t="s">
        <v>322</v>
      </c>
      <c r="M239" t="s">
        <v>46</v>
      </c>
      <c r="N239" t="s">
        <v>175</v>
      </c>
      <c r="O239" t="s">
        <v>281</v>
      </c>
      <c r="P239" t="s">
        <v>1187</v>
      </c>
      <c r="Q239" s="534" t="s">
        <v>51</v>
      </c>
      <c r="S239" t="s">
        <v>497</v>
      </c>
      <c r="W239" t="s">
        <v>448</v>
      </c>
      <c r="X239" t="s">
        <v>788</v>
      </c>
      <c r="AD239" t="s">
        <v>50</v>
      </c>
      <c r="AF239" t="s">
        <v>50</v>
      </c>
      <c r="AH239">
        <v>0</v>
      </c>
      <c r="AM239" t="s">
        <v>50</v>
      </c>
      <c r="AR239" t="s">
        <v>1188</v>
      </c>
      <c r="AW239" t="s">
        <v>1188</v>
      </c>
      <c r="BH239">
        <v>21.696000000000002</v>
      </c>
      <c r="BI239">
        <v>0.9</v>
      </c>
      <c r="BN239">
        <v>1</v>
      </c>
      <c r="BO239" t="s">
        <v>51</v>
      </c>
      <c r="BP239" s="534" t="s">
        <v>497</v>
      </c>
      <c r="BQ239" s="724" t="s">
        <v>497</v>
      </c>
      <c r="BR239" t="s">
        <v>52</v>
      </c>
      <c r="BS239" t="s">
        <v>52</v>
      </c>
      <c r="BT239">
        <v>0</v>
      </c>
      <c r="BU239" t="s">
        <v>52</v>
      </c>
      <c r="BV239">
        <v>0</v>
      </c>
      <c r="BW239" t="s">
        <v>497</v>
      </c>
      <c r="BX239" t="s">
        <v>2148</v>
      </c>
      <c r="BY239">
        <v>0</v>
      </c>
      <c r="BZ239">
        <v>0</v>
      </c>
      <c r="CA239">
        <v>0</v>
      </c>
      <c r="CB239">
        <v>0</v>
      </c>
      <c r="CC239" s="2146" t="s">
        <v>497</v>
      </c>
      <c r="CD239" s="2146" t="s">
        <v>2148</v>
      </c>
      <c r="CE239" s="2146">
        <v>0</v>
      </c>
      <c r="CF239" s="2146">
        <v>0</v>
      </c>
      <c r="CG239" s="2146">
        <v>0</v>
      </c>
      <c r="CH239">
        <v>0</v>
      </c>
      <c r="CJ239" t="s">
        <v>5654</v>
      </c>
    </row>
    <row r="240" spans="1:88">
      <c r="A240" t="s">
        <v>1097</v>
      </c>
      <c r="B240" t="s">
        <v>1192</v>
      </c>
      <c r="C240" t="s">
        <v>116</v>
      </c>
      <c r="D240" t="s">
        <v>214</v>
      </c>
      <c r="E240" t="s">
        <v>215</v>
      </c>
      <c r="F240" t="s">
        <v>1184</v>
      </c>
      <c r="G240">
        <v>15</v>
      </c>
      <c r="H240" t="s">
        <v>1193</v>
      </c>
      <c r="I240" t="s">
        <v>1194</v>
      </c>
      <c r="J240" t="s">
        <v>5408</v>
      </c>
      <c r="K240" t="s">
        <v>322</v>
      </c>
      <c r="N240" t="s">
        <v>1195</v>
      </c>
      <c r="O240" t="s">
        <v>48</v>
      </c>
      <c r="P240" t="s">
        <v>1196</v>
      </c>
      <c r="Q240" s="534">
        <v>0</v>
      </c>
      <c r="R240" t="s">
        <v>3264</v>
      </c>
      <c r="S240" t="s">
        <v>497</v>
      </c>
      <c r="X240">
        <v>6000</v>
      </c>
      <c r="AD240" t="s">
        <v>50</v>
      </c>
      <c r="AH240">
        <v>0</v>
      </c>
      <c r="AM240" t="s">
        <v>50</v>
      </c>
      <c r="AR240">
        <v>0</v>
      </c>
      <c r="AW240">
        <v>6000</v>
      </c>
      <c r="BH240">
        <v>1.8890000000000001E-3</v>
      </c>
      <c r="BN240">
        <v>1</v>
      </c>
      <c r="BO240" t="s">
        <v>51</v>
      </c>
      <c r="BP240" s="534" t="s">
        <v>497</v>
      </c>
      <c r="BQ240" s="725" t="s">
        <v>497</v>
      </c>
      <c r="BR240" t="s">
        <v>52</v>
      </c>
      <c r="BS240" t="s">
        <v>52</v>
      </c>
      <c r="BT240">
        <v>0</v>
      </c>
      <c r="BU240" t="s">
        <v>52</v>
      </c>
      <c r="BV240">
        <v>0</v>
      </c>
      <c r="BW240" t="s">
        <v>497</v>
      </c>
      <c r="BX240" t="s">
        <v>2148</v>
      </c>
      <c r="BY240">
        <v>0</v>
      </c>
      <c r="BZ240">
        <v>0</v>
      </c>
      <c r="CA240">
        <v>0</v>
      </c>
      <c r="CB240">
        <v>0</v>
      </c>
      <c r="CC240" s="2146" t="s">
        <v>497</v>
      </c>
      <c r="CD240" s="2146" t="s">
        <v>2148</v>
      </c>
      <c r="CE240" s="2146">
        <v>0</v>
      </c>
      <c r="CF240" s="2146">
        <v>0</v>
      </c>
      <c r="CG240" s="2146">
        <v>0</v>
      </c>
      <c r="CH240">
        <v>0</v>
      </c>
      <c r="CJ240" t="s">
        <v>5655</v>
      </c>
    </row>
    <row r="241" spans="1:88">
      <c r="A241" t="s">
        <v>1097</v>
      </c>
      <c r="B241" t="s">
        <v>1197</v>
      </c>
      <c r="C241" t="s">
        <v>116</v>
      </c>
      <c r="D241" t="s">
        <v>101</v>
      </c>
      <c r="E241" t="s">
        <v>102</v>
      </c>
      <c r="F241" t="s">
        <v>1198</v>
      </c>
      <c r="G241">
        <v>1</v>
      </c>
      <c r="H241" t="s">
        <v>1199</v>
      </c>
      <c r="I241" t="s">
        <v>1200</v>
      </c>
      <c r="J241" t="s">
        <v>69</v>
      </c>
      <c r="N241" t="s">
        <v>192</v>
      </c>
      <c r="O241" t="s">
        <v>76</v>
      </c>
      <c r="P241" t="s">
        <v>1201</v>
      </c>
      <c r="Q241" s="534">
        <v>0</v>
      </c>
      <c r="R241" t="s">
        <v>3264</v>
      </c>
      <c r="S241">
        <v>80</v>
      </c>
      <c r="T241" t="s">
        <v>1202</v>
      </c>
      <c r="U241" t="s">
        <v>1202</v>
      </c>
      <c r="V241" t="s">
        <v>1202</v>
      </c>
      <c r="W241" t="s">
        <v>1202</v>
      </c>
      <c r="X241" t="s">
        <v>1202</v>
      </c>
      <c r="AH241">
        <v>0</v>
      </c>
      <c r="BP241" s="534" t="s">
        <v>497</v>
      </c>
      <c r="BQ241" s="724">
        <v>67</v>
      </c>
      <c r="BR241" t="s">
        <v>46</v>
      </c>
      <c r="BS241" t="s">
        <v>52</v>
      </c>
      <c r="BT241">
        <v>0</v>
      </c>
      <c r="BU241" t="s">
        <v>52</v>
      </c>
      <c r="BV241">
        <v>0</v>
      </c>
      <c r="BW241">
        <v>67</v>
      </c>
      <c r="BX241" t="s">
        <v>46</v>
      </c>
      <c r="BY241">
        <v>0</v>
      </c>
      <c r="BZ241">
        <v>0</v>
      </c>
      <c r="CA241">
        <v>0</v>
      </c>
      <c r="CB241">
        <v>0</v>
      </c>
      <c r="CC241" s="2146">
        <v>67</v>
      </c>
      <c r="CD241" s="2146" t="s">
        <v>46</v>
      </c>
      <c r="CE241" s="2146">
        <v>0</v>
      </c>
      <c r="CF241" s="2146">
        <v>0</v>
      </c>
      <c r="CG241" s="2146">
        <v>0</v>
      </c>
      <c r="CH241">
        <v>0</v>
      </c>
      <c r="CJ241" t="s">
        <v>5656</v>
      </c>
    </row>
    <row r="242" spans="1:88">
      <c r="A242" t="s">
        <v>1097</v>
      </c>
      <c r="B242" t="s">
        <v>1203</v>
      </c>
      <c r="C242" t="s">
        <v>116</v>
      </c>
      <c r="D242" t="s">
        <v>101</v>
      </c>
      <c r="E242" t="s">
        <v>102</v>
      </c>
      <c r="F242" t="s">
        <v>1198</v>
      </c>
      <c r="G242">
        <v>2</v>
      </c>
      <c r="H242" t="s">
        <v>1204</v>
      </c>
      <c r="I242" t="s">
        <v>1205</v>
      </c>
      <c r="J242" t="s">
        <v>69</v>
      </c>
      <c r="N242" t="s">
        <v>192</v>
      </c>
      <c r="O242" t="s">
        <v>76</v>
      </c>
      <c r="P242" t="s">
        <v>1206</v>
      </c>
      <c r="Q242" s="534">
        <v>0</v>
      </c>
      <c r="R242" t="s">
        <v>3264</v>
      </c>
      <c r="S242" t="s">
        <v>497</v>
      </c>
      <c r="T242">
        <v>66</v>
      </c>
      <c r="U242" t="s">
        <v>1202</v>
      </c>
      <c r="V242" t="s">
        <v>1202</v>
      </c>
      <c r="W242" t="s">
        <v>1202</v>
      </c>
      <c r="X242" t="s">
        <v>1202</v>
      </c>
      <c r="AH242">
        <v>0</v>
      </c>
      <c r="BP242" s="534" t="s">
        <v>497</v>
      </c>
      <c r="BQ242" s="724">
        <v>66</v>
      </c>
      <c r="BR242" t="s">
        <v>52</v>
      </c>
      <c r="BS242" t="s">
        <v>52</v>
      </c>
      <c r="BT242">
        <v>0</v>
      </c>
      <c r="BU242" t="s">
        <v>52</v>
      </c>
      <c r="BV242">
        <v>0</v>
      </c>
      <c r="BW242">
        <v>66.2</v>
      </c>
      <c r="BX242" t="s">
        <v>50</v>
      </c>
      <c r="BY242">
        <v>0</v>
      </c>
      <c r="BZ242">
        <v>0</v>
      </c>
      <c r="CA242">
        <v>0</v>
      </c>
      <c r="CB242">
        <v>0</v>
      </c>
      <c r="CC242" s="2146">
        <v>64</v>
      </c>
      <c r="CD242" s="2146" t="s">
        <v>46</v>
      </c>
      <c r="CE242" s="2146">
        <v>0</v>
      </c>
      <c r="CF242" s="2146">
        <v>0</v>
      </c>
      <c r="CG242" s="2146">
        <v>0</v>
      </c>
      <c r="CH242">
        <v>0</v>
      </c>
      <c r="CJ242" t="s">
        <v>5657</v>
      </c>
    </row>
    <row r="243" spans="1:88">
      <c r="A243" t="s">
        <v>1097</v>
      </c>
      <c r="B243" t="s">
        <v>1207</v>
      </c>
      <c r="C243" t="s">
        <v>116</v>
      </c>
      <c r="D243" t="s">
        <v>101</v>
      </c>
      <c r="E243" t="s">
        <v>102</v>
      </c>
      <c r="F243" t="s">
        <v>1127</v>
      </c>
      <c r="G243">
        <v>3</v>
      </c>
      <c r="H243" t="s">
        <v>1208</v>
      </c>
      <c r="I243" t="s">
        <v>1209</v>
      </c>
      <c r="J243" t="s">
        <v>69</v>
      </c>
      <c r="N243" t="s">
        <v>923</v>
      </c>
      <c r="O243" t="s">
        <v>76</v>
      </c>
      <c r="P243" t="s">
        <v>1210</v>
      </c>
      <c r="Q243" s="534">
        <v>0</v>
      </c>
      <c r="R243" t="s">
        <v>3264</v>
      </c>
      <c r="S243" t="s">
        <v>497</v>
      </c>
      <c r="T243">
        <v>57</v>
      </c>
      <c r="U243" t="s">
        <v>1202</v>
      </c>
      <c r="V243" t="s">
        <v>1202</v>
      </c>
      <c r="W243" t="s">
        <v>1202</v>
      </c>
      <c r="X243" t="s">
        <v>1202</v>
      </c>
      <c r="AH243">
        <v>0</v>
      </c>
      <c r="BP243" s="534" t="s">
        <v>497</v>
      </c>
      <c r="BQ243" s="724">
        <v>57</v>
      </c>
      <c r="BR243" t="s">
        <v>52</v>
      </c>
      <c r="BS243" t="s">
        <v>52</v>
      </c>
      <c r="BT243">
        <v>0</v>
      </c>
      <c r="BU243" t="s">
        <v>52</v>
      </c>
      <c r="BV243">
        <v>0</v>
      </c>
      <c r="BW243">
        <v>55.7</v>
      </c>
      <c r="BX243" t="s">
        <v>46</v>
      </c>
      <c r="BY243">
        <v>0</v>
      </c>
      <c r="BZ243">
        <v>0</v>
      </c>
      <c r="CA243">
        <v>0</v>
      </c>
      <c r="CB243">
        <v>0</v>
      </c>
      <c r="CC243" s="2146">
        <v>55</v>
      </c>
      <c r="CD243" s="2146" t="s">
        <v>46</v>
      </c>
      <c r="CE243" s="2146">
        <v>0</v>
      </c>
      <c r="CF243" s="2146">
        <v>0</v>
      </c>
      <c r="CG243" s="2146">
        <v>0</v>
      </c>
      <c r="CH243">
        <v>0</v>
      </c>
      <c r="CJ243" t="s">
        <v>5658</v>
      </c>
    </row>
    <row r="244" spans="1:88">
      <c r="A244" t="s">
        <v>1097</v>
      </c>
      <c r="B244" t="s">
        <v>1211</v>
      </c>
      <c r="C244" t="s">
        <v>116</v>
      </c>
      <c r="D244" t="s">
        <v>101</v>
      </c>
      <c r="E244" t="s">
        <v>102</v>
      </c>
      <c r="F244" t="s">
        <v>1127</v>
      </c>
      <c r="G244">
        <v>4</v>
      </c>
      <c r="H244" t="s">
        <v>1212</v>
      </c>
      <c r="I244" t="s">
        <v>1213</v>
      </c>
      <c r="J244" t="s">
        <v>69</v>
      </c>
      <c r="N244" t="s">
        <v>923</v>
      </c>
      <c r="O244" t="s">
        <v>76</v>
      </c>
      <c r="P244" t="s">
        <v>1214</v>
      </c>
      <c r="Q244" s="534">
        <v>0</v>
      </c>
      <c r="R244" t="s">
        <v>3264</v>
      </c>
      <c r="S244" t="s">
        <v>497</v>
      </c>
      <c r="T244">
        <v>60</v>
      </c>
      <c r="U244" t="s">
        <v>1202</v>
      </c>
      <c r="V244" t="s">
        <v>1202</v>
      </c>
      <c r="W244" t="s">
        <v>1202</v>
      </c>
      <c r="X244" t="s">
        <v>1202</v>
      </c>
      <c r="AH244">
        <v>0</v>
      </c>
      <c r="BP244" s="534" t="s">
        <v>497</v>
      </c>
      <c r="BQ244" s="724">
        <v>60</v>
      </c>
      <c r="BR244" t="s">
        <v>52</v>
      </c>
      <c r="BS244" t="s">
        <v>52</v>
      </c>
      <c r="BT244">
        <v>0</v>
      </c>
      <c r="BU244" t="s">
        <v>52</v>
      </c>
      <c r="BV244">
        <v>0</v>
      </c>
      <c r="BW244">
        <v>56.5</v>
      </c>
      <c r="BX244" t="s">
        <v>46</v>
      </c>
      <c r="BY244">
        <v>0</v>
      </c>
      <c r="BZ244">
        <v>0</v>
      </c>
      <c r="CA244">
        <v>0</v>
      </c>
      <c r="CB244">
        <v>0</v>
      </c>
      <c r="CC244" s="2146">
        <v>55.6</v>
      </c>
      <c r="CD244" s="2146" t="s">
        <v>46</v>
      </c>
      <c r="CE244" s="2146">
        <v>0</v>
      </c>
      <c r="CF244" s="2146">
        <v>0</v>
      </c>
      <c r="CG244" s="2146">
        <v>0</v>
      </c>
      <c r="CH244">
        <v>0</v>
      </c>
      <c r="CJ244" t="s">
        <v>5659</v>
      </c>
    </row>
    <row r="245" spans="1:88">
      <c r="A245" t="s">
        <v>1097</v>
      </c>
      <c r="B245" t="s">
        <v>1215</v>
      </c>
      <c r="C245" t="s">
        <v>116</v>
      </c>
      <c r="D245" t="s">
        <v>101</v>
      </c>
      <c r="E245" t="s">
        <v>102</v>
      </c>
      <c r="F245" t="s">
        <v>1127</v>
      </c>
      <c r="G245">
        <v>5</v>
      </c>
      <c r="H245" t="s">
        <v>1216</v>
      </c>
      <c r="I245" t="s">
        <v>1217</v>
      </c>
      <c r="J245" t="s">
        <v>69</v>
      </c>
      <c r="N245" t="s">
        <v>113</v>
      </c>
      <c r="O245" t="s">
        <v>48</v>
      </c>
      <c r="P245" t="s">
        <v>1218</v>
      </c>
      <c r="Q245" s="534">
        <v>0</v>
      </c>
      <c r="R245" t="s">
        <v>3263</v>
      </c>
      <c r="S245">
        <v>49000</v>
      </c>
      <c r="T245" t="s">
        <v>1219</v>
      </c>
      <c r="U245" t="s">
        <v>1219</v>
      </c>
      <c r="V245" t="s">
        <v>1219</v>
      </c>
      <c r="W245" t="s">
        <v>1219</v>
      </c>
      <c r="X245">
        <v>25000</v>
      </c>
      <c r="AH245">
        <v>0</v>
      </c>
      <c r="BP245" s="534">
        <v>29326</v>
      </c>
      <c r="BQ245" s="725">
        <v>62726</v>
      </c>
      <c r="BR245" t="s">
        <v>46</v>
      </c>
      <c r="BS245" t="s">
        <v>52</v>
      </c>
      <c r="BT245">
        <v>0</v>
      </c>
      <c r="BU245" t="s">
        <v>52</v>
      </c>
      <c r="BV245">
        <v>0</v>
      </c>
      <c r="BW245">
        <v>145962</v>
      </c>
      <c r="BX245" t="s">
        <v>46</v>
      </c>
      <c r="BY245">
        <v>0</v>
      </c>
      <c r="BZ245">
        <v>0</v>
      </c>
      <c r="CA245">
        <v>0</v>
      </c>
      <c r="CB245">
        <v>0</v>
      </c>
      <c r="CC245" s="2146">
        <v>181361</v>
      </c>
      <c r="CD245" s="2146" t="s">
        <v>46</v>
      </c>
      <c r="CE245" s="2146">
        <v>0</v>
      </c>
      <c r="CF245" s="2146">
        <v>0</v>
      </c>
      <c r="CG245" s="2146">
        <v>0</v>
      </c>
      <c r="CH245">
        <v>0</v>
      </c>
      <c r="CJ245" t="s">
        <v>5660</v>
      </c>
    </row>
    <row r="246" spans="1:88">
      <c r="A246" t="s">
        <v>1097</v>
      </c>
      <c r="B246" t="s">
        <v>1220</v>
      </c>
      <c r="C246" t="s">
        <v>116</v>
      </c>
      <c r="D246" t="s">
        <v>101</v>
      </c>
      <c r="E246" t="s">
        <v>102</v>
      </c>
      <c r="F246" t="s">
        <v>399</v>
      </c>
      <c r="G246">
        <v>6</v>
      </c>
      <c r="H246" t="s">
        <v>1221</v>
      </c>
      <c r="I246" t="s">
        <v>1222</v>
      </c>
      <c r="J246" t="s">
        <v>69</v>
      </c>
      <c r="N246" t="s">
        <v>113</v>
      </c>
      <c r="O246" t="s">
        <v>48</v>
      </c>
      <c r="P246" t="s">
        <v>1223</v>
      </c>
      <c r="Q246" s="534">
        <v>0</v>
      </c>
      <c r="R246" t="s">
        <v>3264</v>
      </c>
      <c r="S246">
        <v>105100</v>
      </c>
      <c r="T246">
        <v>129500</v>
      </c>
      <c r="U246">
        <v>149900</v>
      </c>
      <c r="V246">
        <v>172300</v>
      </c>
      <c r="W246">
        <v>194700</v>
      </c>
      <c r="X246">
        <v>217100</v>
      </c>
      <c r="AH246">
        <v>0</v>
      </c>
      <c r="BP246" s="534">
        <v>113210</v>
      </c>
      <c r="BQ246" s="725">
        <v>142040</v>
      </c>
      <c r="BR246" t="s">
        <v>50</v>
      </c>
      <c r="BS246" t="s">
        <v>52</v>
      </c>
      <c r="BT246">
        <v>0</v>
      </c>
      <c r="BU246" t="s">
        <v>52</v>
      </c>
      <c r="BV246">
        <v>0</v>
      </c>
      <c r="BW246">
        <v>194726</v>
      </c>
      <c r="BX246" t="s">
        <v>50</v>
      </c>
      <c r="BY246">
        <v>0</v>
      </c>
      <c r="BZ246">
        <v>0</v>
      </c>
      <c r="CA246">
        <v>0</v>
      </c>
      <c r="CB246">
        <v>0</v>
      </c>
      <c r="CC246" s="2146">
        <v>229843</v>
      </c>
      <c r="CD246" s="2146" t="s">
        <v>50</v>
      </c>
      <c r="CE246" s="2146">
        <v>0</v>
      </c>
      <c r="CF246" s="2146">
        <v>0</v>
      </c>
      <c r="CG246" s="2146">
        <v>0</v>
      </c>
      <c r="CH246">
        <v>0</v>
      </c>
      <c r="CJ246" t="s">
        <v>5661</v>
      </c>
    </row>
    <row r="247" spans="1:88">
      <c r="A247" t="s">
        <v>1097</v>
      </c>
      <c r="B247" t="s">
        <v>1224</v>
      </c>
      <c r="C247" t="s">
        <v>116</v>
      </c>
      <c r="D247" t="s">
        <v>101</v>
      </c>
      <c r="E247" t="s">
        <v>102</v>
      </c>
      <c r="F247" t="s">
        <v>399</v>
      </c>
      <c r="G247">
        <v>7</v>
      </c>
      <c r="H247" t="s">
        <v>1225</v>
      </c>
      <c r="I247" t="s">
        <v>1226</v>
      </c>
      <c r="J247" t="s">
        <v>69</v>
      </c>
      <c r="N247" t="s">
        <v>113</v>
      </c>
      <c r="O247" t="s">
        <v>76</v>
      </c>
      <c r="P247" t="s">
        <v>1227</v>
      </c>
      <c r="Q247" s="534">
        <v>0</v>
      </c>
      <c r="R247" t="s">
        <v>3264</v>
      </c>
      <c r="S247" t="s">
        <v>497</v>
      </c>
      <c r="T247">
        <v>61</v>
      </c>
      <c r="U247" t="s">
        <v>1202</v>
      </c>
      <c r="V247" t="s">
        <v>1202</v>
      </c>
      <c r="W247" t="s">
        <v>1202</v>
      </c>
      <c r="X247" t="s">
        <v>1202</v>
      </c>
      <c r="AH247">
        <v>0</v>
      </c>
      <c r="BP247" s="534" t="s">
        <v>497</v>
      </c>
      <c r="BQ247" s="724">
        <v>61</v>
      </c>
      <c r="BR247" t="s">
        <v>52</v>
      </c>
      <c r="BS247" t="s">
        <v>52</v>
      </c>
      <c r="BT247">
        <v>0</v>
      </c>
      <c r="BU247" t="s">
        <v>52</v>
      </c>
      <c r="BV247">
        <v>0</v>
      </c>
      <c r="BW247">
        <v>57.3</v>
      </c>
      <c r="BX247" t="s">
        <v>46</v>
      </c>
      <c r="BY247">
        <v>0</v>
      </c>
      <c r="BZ247">
        <v>0</v>
      </c>
      <c r="CA247">
        <v>0</v>
      </c>
      <c r="CB247">
        <v>0</v>
      </c>
      <c r="CC247" s="2146">
        <v>55.1</v>
      </c>
      <c r="CD247" s="2146" t="s">
        <v>46</v>
      </c>
      <c r="CE247" s="2146">
        <v>0</v>
      </c>
      <c r="CF247" s="2146">
        <v>0</v>
      </c>
      <c r="CG247" s="2146">
        <v>0</v>
      </c>
      <c r="CH247">
        <v>0</v>
      </c>
      <c r="CJ247" t="s">
        <v>5662</v>
      </c>
    </row>
    <row r="248" spans="1:88">
      <c r="A248" t="s">
        <v>1097</v>
      </c>
      <c r="B248" t="s">
        <v>1228</v>
      </c>
      <c r="C248" t="s">
        <v>116</v>
      </c>
      <c r="D248" t="s">
        <v>101</v>
      </c>
      <c r="E248" t="s">
        <v>102</v>
      </c>
      <c r="F248" t="s">
        <v>399</v>
      </c>
      <c r="G248">
        <v>8</v>
      </c>
      <c r="H248" t="s">
        <v>1229</v>
      </c>
      <c r="I248" t="s">
        <v>1230</v>
      </c>
      <c r="J248" t="s">
        <v>5406</v>
      </c>
      <c r="K248" t="s">
        <v>45</v>
      </c>
      <c r="M248" t="s">
        <v>46</v>
      </c>
      <c r="N248" t="s">
        <v>106</v>
      </c>
      <c r="O248" t="s">
        <v>107</v>
      </c>
      <c r="P248" t="s">
        <v>108</v>
      </c>
      <c r="Q248" s="534">
        <v>0</v>
      </c>
      <c r="R248" t="s">
        <v>3264</v>
      </c>
      <c r="S248">
        <v>72</v>
      </c>
      <c r="T248" t="s">
        <v>109</v>
      </c>
      <c r="U248" t="s">
        <v>109</v>
      </c>
      <c r="V248" t="s">
        <v>109</v>
      </c>
      <c r="W248" t="s">
        <v>109</v>
      </c>
      <c r="X248" t="s">
        <v>109</v>
      </c>
      <c r="AH248">
        <v>0</v>
      </c>
      <c r="AI248" t="s">
        <v>50</v>
      </c>
      <c r="AJ248" t="s">
        <v>50</v>
      </c>
      <c r="AK248" t="s">
        <v>50</v>
      </c>
      <c r="AL248" t="s">
        <v>50</v>
      </c>
      <c r="AM248" t="s">
        <v>50</v>
      </c>
      <c r="AN248" t="s">
        <v>109</v>
      </c>
      <c r="AO248" t="s">
        <v>109</v>
      </c>
      <c r="AP248" t="s">
        <v>109</v>
      </c>
      <c r="AQ248" t="s">
        <v>109</v>
      </c>
      <c r="AR248" t="s">
        <v>109</v>
      </c>
      <c r="AS248" t="s">
        <v>109</v>
      </c>
      <c r="AT248" t="s">
        <v>109</v>
      </c>
      <c r="AU248" t="s">
        <v>109</v>
      </c>
      <c r="AV248" t="s">
        <v>109</v>
      </c>
      <c r="AW248" t="s">
        <v>109</v>
      </c>
      <c r="AX248" t="s">
        <v>109</v>
      </c>
      <c r="AY248" t="s">
        <v>109</v>
      </c>
      <c r="AZ248" t="s">
        <v>109</v>
      </c>
      <c r="BA248" t="s">
        <v>109</v>
      </c>
      <c r="BB248" t="s">
        <v>109</v>
      </c>
      <c r="BC248" t="s">
        <v>109</v>
      </c>
      <c r="BD248" t="s">
        <v>109</v>
      </c>
      <c r="BE248" t="s">
        <v>109</v>
      </c>
      <c r="BF248" t="s">
        <v>109</v>
      </c>
      <c r="BG248" t="s">
        <v>109</v>
      </c>
      <c r="BH248" t="s">
        <v>109</v>
      </c>
      <c r="BL248" t="s">
        <v>109</v>
      </c>
      <c r="BN248">
        <v>1</v>
      </c>
      <c r="BO248" t="s">
        <v>51</v>
      </c>
      <c r="BP248" s="534">
        <v>72</v>
      </c>
      <c r="BQ248" s="737">
        <v>73</v>
      </c>
      <c r="BR248" t="s">
        <v>52</v>
      </c>
      <c r="BS248" t="s">
        <v>52</v>
      </c>
      <c r="BT248">
        <v>0</v>
      </c>
      <c r="BU248" t="s">
        <v>52</v>
      </c>
      <c r="BV248">
        <v>0</v>
      </c>
      <c r="BW248">
        <v>78.13</v>
      </c>
      <c r="BX248" t="s">
        <v>2148</v>
      </c>
      <c r="BY248">
        <v>0</v>
      </c>
      <c r="BZ248">
        <v>0</v>
      </c>
      <c r="CA248">
        <v>0</v>
      </c>
      <c r="CB248">
        <v>0</v>
      </c>
      <c r="CC248" s="2146">
        <v>79.33</v>
      </c>
      <c r="CD248" s="2146" t="s">
        <v>2148</v>
      </c>
      <c r="CE248" s="2146">
        <v>0</v>
      </c>
      <c r="CF248" s="2146">
        <v>0</v>
      </c>
      <c r="CG248" s="2146">
        <v>0</v>
      </c>
      <c r="CH248">
        <v>0</v>
      </c>
      <c r="CJ248" t="s">
        <v>5663</v>
      </c>
    </row>
    <row r="249" spans="1:88">
      <c r="A249" t="s">
        <v>1231</v>
      </c>
      <c r="B249" t="s">
        <v>1232</v>
      </c>
      <c r="C249" t="s">
        <v>39</v>
      </c>
      <c r="D249" t="s">
        <v>40</v>
      </c>
      <c r="E249" t="s">
        <v>41</v>
      </c>
      <c r="F249" t="s">
        <v>1233</v>
      </c>
      <c r="G249">
        <v>1.1000000000000001</v>
      </c>
      <c r="H249" t="s">
        <v>1234</v>
      </c>
      <c r="I249" t="s">
        <v>1235</v>
      </c>
      <c r="J249" t="s">
        <v>5408</v>
      </c>
      <c r="K249" t="s">
        <v>45</v>
      </c>
      <c r="N249" t="s">
        <v>75</v>
      </c>
      <c r="O249" t="s">
        <v>76</v>
      </c>
      <c r="P249" t="s">
        <v>77</v>
      </c>
      <c r="Q249" s="534">
        <v>3</v>
      </c>
      <c r="R249" t="s">
        <v>3264</v>
      </c>
      <c r="S249">
        <v>99.97</v>
      </c>
      <c r="T249">
        <v>99.97</v>
      </c>
      <c r="U249">
        <v>99.97</v>
      </c>
      <c r="V249">
        <v>100</v>
      </c>
      <c r="W249">
        <v>100</v>
      </c>
      <c r="X249">
        <v>100</v>
      </c>
      <c r="Y249" t="s">
        <v>50</v>
      </c>
      <c r="AE249" t="s">
        <v>50</v>
      </c>
      <c r="AH249">
        <v>0</v>
      </c>
      <c r="AI249" t="s">
        <v>50</v>
      </c>
      <c r="AJ249" t="s">
        <v>50</v>
      </c>
      <c r="AK249" t="s">
        <v>50</v>
      </c>
      <c r="AL249" t="s">
        <v>50</v>
      </c>
      <c r="AM249" t="s">
        <v>50</v>
      </c>
      <c r="AN249">
        <v>99.92</v>
      </c>
      <c r="AO249">
        <v>99.92</v>
      </c>
      <c r="AP249">
        <v>99.92</v>
      </c>
      <c r="AQ249">
        <v>99.92</v>
      </c>
      <c r="AR249">
        <v>99.92</v>
      </c>
      <c r="AS249">
        <v>99.95</v>
      </c>
      <c r="AT249">
        <v>99.95</v>
      </c>
      <c r="AU249">
        <v>99.95</v>
      </c>
      <c r="AV249">
        <v>99.95</v>
      </c>
      <c r="AW249">
        <v>99.95</v>
      </c>
      <c r="BH249">
        <v>5.3999999999999999E-2</v>
      </c>
      <c r="BN249">
        <v>100</v>
      </c>
      <c r="BO249" t="s">
        <v>351</v>
      </c>
      <c r="BP249" s="534">
        <v>99.984899999999996</v>
      </c>
      <c r="BQ249" s="736">
        <v>99.883799999999994</v>
      </c>
      <c r="BR249" t="s">
        <v>46</v>
      </c>
      <c r="BS249" t="s">
        <v>52</v>
      </c>
      <c r="BT249">
        <v>0</v>
      </c>
      <c r="BU249" t="s">
        <v>5415</v>
      </c>
      <c r="BV249">
        <v>-0.162000000000006</v>
      </c>
      <c r="BW249">
        <v>99.981700000000004</v>
      </c>
      <c r="BX249" t="s">
        <v>50</v>
      </c>
      <c r="BY249">
        <v>0</v>
      </c>
      <c r="BZ249">
        <v>0</v>
      </c>
      <c r="CA249">
        <v>0</v>
      </c>
      <c r="CB249">
        <v>0</v>
      </c>
      <c r="CC249" s="2146">
        <v>99.942899999999995</v>
      </c>
      <c r="CD249" s="2146" t="s">
        <v>46</v>
      </c>
      <c r="CE249" s="2146">
        <v>0</v>
      </c>
      <c r="CF249" s="2146">
        <v>0</v>
      </c>
      <c r="CG249" s="2146" t="s">
        <v>13444</v>
      </c>
      <c r="CH249">
        <v>-3.8340000000044935E-2</v>
      </c>
      <c r="CJ249" t="s">
        <v>5664</v>
      </c>
    </row>
    <row r="250" spans="1:88">
      <c r="A250" t="s">
        <v>1231</v>
      </c>
      <c r="B250" t="s">
        <v>1236</v>
      </c>
      <c r="C250" t="s">
        <v>39</v>
      </c>
      <c r="D250" t="s">
        <v>40</v>
      </c>
      <c r="E250" t="s">
        <v>41</v>
      </c>
      <c r="F250" t="s">
        <v>1233</v>
      </c>
      <c r="G250">
        <v>1.2</v>
      </c>
      <c r="H250" t="s">
        <v>1237</v>
      </c>
      <c r="I250" t="s">
        <v>1238</v>
      </c>
      <c r="J250" t="s">
        <v>5406</v>
      </c>
      <c r="K250" t="s">
        <v>45</v>
      </c>
      <c r="N250" t="s">
        <v>24</v>
      </c>
      <c r="O250" t="s">
        <v>48</v>
      </c>
      <c r="P250" t="s">
        <v>1482</v>
      </c>
      <c r="Q250" s="534">
        <v>2</v>
      </c>
      <c r="R250" t="s">
        <v>3263</v>
      </c>
      <c r="S250">
        <v>1.83</v>
      </c>
      <c r="T250">
        <v>1.63</v>
      </c>
      <c r="U250">
        <v>1.43</v>
      </c>
      <c r="V250">
        <v>1.23</v>
      </c>
      <c r="W250">
        <v>1.23</v>
      </c>
      <c r="X250">
        <v>1.23</v>
      </c>
      <c r="Z250" t="s">
        <v>50</v>
      </c>
      <c r="AE250" t="s">
        <v>50</v>
      </c>
      <c r="AH250">
        <v>0</v>
      </c>
      <c r="AI250" t="s">
        <v>50</v>
      </c>
      <c r="AJ250" t="s">
        <v>50</v>
      </c>
      <c r="AK250" t="s">
        <v>50</v>
      </c>
      <c r="AL250" t="s">
        <v>50</v>
      </c>
      <c r="AM250" t="s">
        <v>50</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1239</v>
      </c>
      <c r="BP250" s="534">
        <v>1.51</v>
      </c>
      <c r="BQ250" s="726">
        <v>1.9576</v>
      </c>
      <c r="BR250" t="s">
        <v>46</v>
      </c>
      <c r="BS250" t="s">
        <v>52</v>
      </c>
      <c r="BT250">
        <v>0</v>
      </c>
      <c r="BU250" t="s">
        <v>5415</v>
      </c>
      <c r="BV250">
        <v>-0.20288400000000001</v>
      </c>
      <c r="BW250">
        <v>1.6608000000000001</v>
      </c>
      <c r="BX250" t="s">
        <v>46</v>
      </c>
      <c r="BY250">
        <v>0</v>
      </c>
      <c r="BZ250">
        <v>0</v>
      </c>
      <c r="CA250" t="s">
        <v>5378</v>
      </c>
      <c r="CB250">
        <v>0</v>
      </c>
      <c r="CC250" s="2146">
        <v>1.4159999999999999</v>
      </c>
      <c r="CD250" s="2146" t="s">
        <v>46</v>
      </c>
      <c r="CE250" s="2146">
        <v>0</v>
      </c>
      <c r="CF250" s="2146">
        <v>0</v>
      </c>
      <c r="CG250" s="2146" t="s">
        <v>13444</v>
      </c>
      <c r="CH250">
        <v>-0.29573999999999989</v>
      </c>
      <c r="CJ250" t="s">
        <v>5665</v>
      </c>
    </row>
    <row r="251" spans="1:88">
      <c r="A251" t="s">
        <v>1231</v>
      </c>
      <c r="B251" t="s">
        <v>1240</v>
      </c>
      <c r="C251" t="s">
        <v>39</v>
      </c>
      <c r="D251" t="s">
        <v>40</v>
      </c>
      <c r="E251" t="s">
        <v>41</v>
      </c>
      <c r="F251" t="s">
        <v>1241</v>
      </c>
      <c r="G251">
        <v>2.1</v>
      </c>
      <c r="H251" t="s">
        <v>1242</v>
      </c>
      <c r="I251" t="s">
        <v>1243</v>
      </c>
      <c r="J251" t="s">
        <v>5406</v>
      </c>
      <c r="K251" t="s">
        <v>45</v>
      </c>
      <c r="N251" t="s">
        <v>86</v>
      </c>
      <c r="O251" t="s">
        <v>119</v>
      </c>
      <c r="P251" t="s">
        <v>120</v>
      </c>
      <c r="Q251" s="534">
        <v>1</v>
      </c>
      <c r="R251" t="s">
        <v>3263</v>
      </c>
      <c r="S251">
        <v>10</v>
      </c>
      <c r="T251">
        <v>10</v>
      </c>
      <c r="U251">
        <v>10</v>
      </c>
      <c r="V251">
        <v>10</v>
      </c>
      <c r="W251">
        <v>10</v>
      </c>
      <c r="X251">
        <v>10</v>
      </c>
      <c r="AA251" t="s">
        <v>50</v>
      </c>
      <c r="AE251" t="s">
        <v>50</v>
      </c>
      <c r="AH251">
        <v>0</v>
      </c>
      <c r="AI251" t="s">
        <v>50</v>
      </c>
      <c r="AJ251" t="s">
        <v>50</v>
      </c>
      <c r="AK251" t="s">
        <v>50</v>
      </c>
      <c r="AL251" t="s">
        <v>50</v>
      </c>
      <c r="AM251" t="s">
        <v>50</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51</v>
      </c>
      <c r="BP251" s="534">
        <v>8.3000000000000007</v>
      </c>
      <c r="BQ251" s="722">
        <v>4.2333333333333334</v>
      </c>
      <c r="BR251" t="s">
        <v>50</v>
      </c>
      <c r="BS251" t="s">
        <v>52</v>
      </c>
      <c r="BT251">
        <v>0</v>
      </c>
      <c r="BU251" t="s">
        <v>5425</v>
      </c>
      <c r="BV251">
        <v>0.90600000000000003</v>
      </c>
      <c r="BW251">
        <v>5.1802000000000001</v>
      </c>
      <c r="BX251" t="s">
        <v>50</v>
      </c>
      <c r="BY251">
        <v>0</v>
      </c>
      <c r="BZ251">
        <v>0</v>
      </c>
      <c r="CA251" t="s">
        <v>5425</v>
      </c>
      <c r="CB251">
        <v>0.90600000000000003</v>
      </c>
      <c r="CC251" s="2146">
        <v>8.5319000000000003</v>
      </c>
      <c r="CD251" s="2146" t="s">
        <v>50</v>
      </c>
      <c r="CE251" s="2146">
        <v>0</v>
      </c>
      <c r="CF251" s="2146">
        <v>0</v>
      </c>
      <c r="CG251" s="2146" t="s">
        <v>5425</v>
      </c>
      <c r="CH251">
        <v>0.21204929999999989</v>
      </c>
      <c r="CJ251" t="s">
        <v>5666</v>
      </c>
    </row>
    <row r="252" spans="1:88">
      <c r="A252" t="s">
        <v>1231</v>
      </c>
      <c r="B252" t="s">
        <v>1244</v>
      </c>
      <c r="C252" t="s">
        <v>39</v>
      </c>
      <c r="D252" t="s">
        <v>40</v>
      </c>
      <c r="E252" t="s">
        <v>41</v>
      </c>
      <c r="F252" t="s">
        <v>1241</v>
      </c>
      <c r="G252">
        <v>2.2000000000000002</v>
      </c>
      <c r="H252" t="s">
        <v>1245</v>
      </c>
      <c r="I252" t="s">
        <v>1246</v>
      </c>
      <c r="J252" t="s">
        <v>5408</v>
      </c>
      <c r="K252" t="s">
        <v>45</v>
      </c>
      <c r="M252" t="s">
        <v>46</v>
      </c>
      <c r="N252" t="s">
        <v>91</v>
      </c>
      <c r="O252" t="s">
        <v>200</v>
      </c>
      <c r="P252" t="s">
        <v>323</v>
      </c>
      <c r="Q252" s="534" t="s">
        <v>51</v>
      </c>
      <c r="S252" t="s">
        <v>202</v>
      </c>
      <c r="T252" t="s">
        <v>202</v>
      </c>
      <c r="U252" t="s">
        <v>202</v>
      </c>
      <c r="V252" t="s">
        <v>202</v>
      </c>
      <c r="W252" t="s">
        <v>202</v>
      </c>
      <c r="X252" t="s">
        <v>202</v>
      </c>
      <c r="AE252" t="s">
        <v>50</v>
      </c>
      <c r="AH252">
        <v>5</v>
      </c>
      <c r="AI252" t="s">
        <v>50</v>
      </c>
      <c r="AJ252" t="s">
        <v>50</v>
      </c>
      <c r="AK252" t="s">
        <v>50</v>
      </c>
      <c r="AL252" t="s">
        <v>50</v>
      </c>
      <c r="AM252" t="s">
        <v>50</v>
      </c>
      <c r="AN252" t="s">
        <v>324</v>
      </c>
      <c r="AO252" t="s">
        <v>324</v>
      </c>
      <c r="AP252" t="s">
        <v>324</v>
      </c>
      <c r="AQ252" t="s">
        <v>324</v>
      </c>
      <c r="AR252" t="s">
        <v>324</v>
      </c>
      <c r="AS252" t="s">
        <v>325</v>
      </c>
      <c r="AT252" t="s">
        <v>325</v>
      </c>
      <c r="AU252" t="s">
        <v>325</v>
      </c>
      <c r="AV252" t="s">
        <v>325</v>
      </c>
      <c r="AW252" t="s">
        <v>325</v>
      </c>
      <c r="BH252">
        <v>7.5999999999999998E-2</v>
      </c>
      <c r="BI252">
        <v>0.379</v>
      </c>
      <c r="BN252">
        <v>1</v>
      </c>
      <c r="BO252" t="s">
        <v>51</v>
      </c>
      <c r="BP252" s="534" t="s">
        <v>202</v>
      </c>
      <c r="BQ252" s="724" t="s">
        <v>202</v>
      </c>
      <c r="BR252" t="s">
        <v>50</v>
      </c>
      <c r="BS252" t="s">
        <v>52</v>
      </c>
      <c r="BT252">
        <v>0</v>
      </c>
      <c r="BU252" t="s">
        <v>52</v>
      </c>
      <c r="BV252">
        <v>0</v>
      </c>
      <c r="BW252" t="s">
        <v>202</v>
      </c>
      <c r="BX252" t="s">
        <v>50</v>
      </c>
      <c r="BY252">
        <v>0</v>
      </c>
      <c r="BZ252">
        <v>0</v>
      </c>
      <c r="CA252">
        <v>0</v>
      </c>
      <c r="CB252">
        <v>0</v>
      </c>
      <c r="CC252" s="2146" t="s">
        <v>202</v>
      </c>
      <c r="CD252" s="2146" t="s">
        <v>50</v>
      </c>
      <c r="CE252" s="2146">
        <v>0</v>
      </c>
      <c r="CF252" s="2146">
        <v>0</v>
      </c>
      <c r="CG252" s="2146">
        <v>0</v>
      </c>
      <c r="CH252">
        <v>0</v>
      </c>
      <c r="CJ252" t="s">
        <v>5667</v>
      </c>
    </row>
    <row r="253" spans="1:88">
      <c r="A253" t="s">
        <v>1231</v>
      </c>
      <c r="B253" t="s">
        <v>1247</v>
      </c>
      <c r="C253" t="s">
        <v>39</v>
      </c>
      <c r="D253" t="s">
        <v>40</v>
      </c>
      <c r="E253" t="s">
        <v>41</v>
      </c>
      <c r="F253" t="s">
        <v>1241</v>
      </c>
      <c r="G253">
        <v>2.2999999999999998</v>
      </c>
      <c r="H253" t="s">
        <v>1248</v>
      </c>
      <c r="I253" t="s">
        <v>1249</v>
      </c>
      <c r="J253" t="s">
        <v>5408</v>
      </c>
      <c r="K253" t="s">
        <v>45</v>
      </c>
      <c r="M253" t="s">
        <v>46</v>
      </c>
      <c r="N253" t="s">
        <v>91</v>
      </c>
      <c r="O253" t="s">
        <v>200</v>
      </c>
      <c r="P253" t="s">
        <v>323</v>
      </c>
      <c r="Q253" s="534" t="s">
        <v>51</v>
      </c>
      <c r="S253" t="s">
        <v>202</v>
      </c>
      <c r="T253" t="s">
        <v>202</v>
      </c>
      <c r="U253" t="s">
        <v>202</v>
      </c>
      <c r="V253" t="s">
        <v>202</v>
      </c>
      <c r="W253" t="s">
        <v>202</v>
      </c>
      <c r="X253" t="s">
        <v>202</v>
      </c>
      <c r="AE253" t="s">
        <v>50</v>
      </c>
      <c r="AH253">
        <v>5</v>
      </c>
      <c r="AI253" t="s">
        <v>50</v>
      </c>
      <c r="AJ253" t="s">
        <v>50</v>
      </c>
      <c r="AK253" t="s">
        <v>50</v>
      </c>
      <c r="AL253" t="s">
        <v>50</v>
      </c>
      <c r="AM253" t="s">
        <v>50</v>
      </c>
      <c r="AN253" t="s">
        <v>324</v>
      </c>
      <c r="AO253" t="s">
        <v>324</v>
      </c>
      <c r="AP253" t="s">
        <v>324</v>
      </c>
      <c r="AQ253" t="s">
        <v>324</v>
      </c>
      <c r="AR253" t="s">
        <v>324</v>
      </c>
      <c r="AS253" t="s">
        <v>325</v>
      </c>
      <c r="AT253" t="s">
        <v>325</v>
      </c>
      <c r="AU253" t="s">
        <v>325</v>
      </c>
      <c r="AV253" t="s">
        <v>325</v>
      </c>
      <c r="AW253" t="s">
        <v>325</v>
      </c>
      <c r="BH253">
        <v>9.7000000000000003E-2</v>
      </c>
      <c r="BI253">
        <v>0.48699999999999999</v>
      </c>
      <c r="BN253">
        <v>1</v>
      </c>
      <c r="BO253" t="s">
        <v>51</v>
      </c>
      <c r="BP253" s="534" t="s">
        <v>202</v>
      </c>
      <c r="BQ253" s="724" t="s">
        <v>202</v>
      </c>
      <c r="BR253" t="s">
        <v>50</v>
      </c>
      <c r="BS253" t="s">
        <v>52</v>
      </c>
      <c r="BT253">
        <v>0</v>
      </c>
      <c r="BU253" t="s">
        <v>52</v>
      </c>
      <c r="BV253">
        <v>0</v>
      </c>
      <c r="BW253" t="s">
        <v>202</v>
      </c>
      <c r="BX253" t="s">
        <v>50</v>
      </c>
      <c r="BY253">
        <v>0</v>
      </c>
      <c r="BZ253">
        <v>0</v>
      </c>
      <c r="CA253">
        <v>0</v>
      </c>
      <c r="CB253">
        <v>0</v>
      </c>
      <c r="CC253" s="2146" t="s">
        <v>202</v>
      </c>
      <c r="CD253" s="2146" t="s">
        <v>50</v>
      </c>
      <c r="CE253" s="2146">
        <v>0</v>
      </c>
      <c r="CF253" s="2146">
        <v>0</v>
      </c>
      <c r="CG253" s="2146">
        <v>0</v>
      </c>
      <c r="CH253">
        <v>0</v>
      </c>
      <c r="CJ253" t="s">
        <v>5668</v>
      </c>
    </row>
    <row r="254" spans="1:88">
      <c r="A254" t="s">
        <v>1231</v>
      </c>
      <c r="B254" t="s">
        <v>1250</v>
      </c>
      <c r="C254" t="s">
        <v>39</v>
      </c>
      <c r="D254" t="s">
        <v>40</v>
      </c>
      <c r="E254" t="s">
        <v>41</v>
      </c>
      <c r="F254" t="s">
        <v>1251</v>
      </c>
      <c r="G254">
        <v>4.0999999999999996</v>
      </c>
      <c r="H254" t="s">
        <v>1252</v>
      </c>
      <c r="I254" t="s">
        <v>1253</v>
      </c>
      <c r="J254" t="s">
        <v>5406</v>
      </c>
      <c r="K254" t="s">
        <v>45</v>
      </c>
      <c r="N254" t="s">
        <v>47</v>
      </c>
      <c r="O254" t="s">
        <v>48</v>
      </c>
      <c r="P254" t="s">
        <v>49</v>
      </c>
      <c r="Q254" s="534">
        <v>1</v>
      </c>
      <c r="R254" t="s">
        <v>3263</v>
      </c>
      <c r="S254">
        <v>70.5</v>
      </c>
      <c r="T254">
        <v>70.5</v>
      </c>
      <c r="U254">
        <v>70.5</v>
      </c>
      <c r="V254">
        <v>70.5</v>
      </c>
      <c r="W254">
        <v>70.5</v>
      </c>
      <c r="X254">
        <v>70.5</v>
      </c>
      <c r="AE254" t="s">
        <v>50</v>
      </c>
      <c r="AH254">
        <v>0</v>
      </c>
      <c r="AI254" t="s">
        <v>50</v>
      </c>
      <c r="AJ254" t="s">
        <v>50</v>
      </c>
      <c r="AK254" t="s">
        <v>50</v>
      </c>
      <c r="AL254" t="s">
        <v>50</v>
      </c>
      <c r="AM254" t="s">
        <v>50</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51</v>
      </c>
      <c r="BP254" s="534">
        <v>69.2</v>
      </c>
      <c r="BQ254" s="722">
        <v>69.88</v>
      </c>
      <c r="BR254" t="s">
        <v>50</v>
      </c>
      <c r="BS254" t="s">
        <v>52</v>
      </c>
      <c r="BT254">
        <v>0</v>
      </c>
      <c r="BU254" t="s">
        <v>5379</v>
      </c>
      <c r="BV254">
        <v>0</v>
      </c>
      <c r="BW254">
        <v>69.849999999999994</v>
      </c>
      <c r="BX254" t="s">
        <v>50</v>
      </c>
      <c r="BY254">
        <v>0</v>
      </c>
      <c r="BZ254">
        <v>0</v>
      </c>
      <c r="CA254" t="s">
        <v>5379</v>
      </c>
      <c r="CB254">
        <v>0</v>
      </c>
      <c r="CC254" s="2146">
        <v>72.41</v>
      </c>
      <c r="CD254" s="2146" t="s">
        <v>46</v>
      </c>
      <c r="CE254" s="2146">
        <v>0</v>
      </c>
      <c r="CF254" s="2146">
        <v>0</v>
      </c>
      <c r="CG254" s="2146" t="s">
        <v>13445</v>
      </c>
      <c r="CH254">
        <v>0</v>
      </c>
      <c r="CJ254" t="s">
        <v>5669</v>
      </c>
    </row>
    <row r="255" spans="1:88">
      <c r="A255" t="s">
        <v>1231</v>
      </c>
      <c r="B255" t="s">
        <v>1254</v>
      </c>
      <c r="C255" t="s">
        <v>39</v>
      </c>
      <c r="D255" t="s">
        <v>40</v>
      </c>
      <c r="E255" t="s">
        <v>41</v>
      </c>
      <c r="F255" t="s">
        <v>1251</v>
      </c>
      <c r="G255">
        <v>4.2</v>
      </c>
      <c r="H255" t="s">
        <v>1255</v>
      </c>
      <c r="I255" t="s">
        <v>1256</v>
      </c>
      <c r="J255" t="s">
        <v>5406</v>
      </c>
      <c r="K255" t="s">
        <v>45</v>
      </c>
      <c r="N255" t="s">
        <v>47</v>
      </c>
      <c r="O255" t="s">
        <v>48</v>
      </c>
      <c r="P255" t="s">
        <v>49</v>
      </c>
      <c r="Q255" s="534">
        <v>1</v>
      </c>
      <c r="R255" t="s">
        <v>3263</v>
      </c>
      <c r="S255">
        <v>13.5</v>
      </c>
      <c r="T255">
        <v>13.5</v>
      </c>
      <c r="U255">
        <v>13.5</v>
      </c>
      <c r="V255">
        <v>13.5</v>
      </c>
      <c r="W255">
        <v>13.5</v>
      </c>
      <c r="X255">
        <v>13.5</v>
      </c>
      <c r="AE255" t="s">
        <v>50</v>
      </c>
      <c r="AH255">
        <v>0</v>
      </c>
      <c r="AI255" t="s">
        <v>50</v>
      </c>
      <c r="AJ255" t="s">
        <v>50</v>
      </c>
      <c r="AK255" t="s">
        <v>50</v>
      </c>
      <c r="AL255" t="s">
        <v>50</v>
      </c>
      <c r="AM255" t="s">
        <v>50</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51</v>
      </c>
      <c r="BP255" s="534">
        <v>13.5</v>
      </c>
      <c r="BQ255" s="722">
        <v>13.24</v>
      </c>
      <c r="BR255" t="s">
        <v>50</v>
      </c>
      <c r="BS255" t="s">
        <v>52</v>
      </c>
      <c r="BT255">
        <v>0</v>
      </c>
      <c r="BU255" t="s">
        <v>5379</v>
      </c>
      <c r="BV255">
        <v>0</v>
      </c>
      <c r="BW255">
        <v>14.32</v>
      </c>
      <c r="BX255" t="s">
        <v>46</v>
      </c>
      <c r="BY255">
        <v>0</v>
      </c>
      <c r="BZ255">
        <v>0</v>
      </c>
      <c r="CA255" t="s">
        <v>5415</v>
      </c>
      <c r="CB255">
        <v>-9.7600000000000006E-2</v>
      </c>
      <c r="CC255" s="2146">
        <v>14.39</v>
      </c>
      <c r="CD255" s="2146" t="s">
        <v>46</v>
      </c>
      <c r="CE255" s="2146">
        <v>0</v>
      </c>
      <c r="CF255" s="2146">
        <v>0</v>
      </c>
      <c r="CG255" s="2146" t="s">
        <v>13444</v>
      </c>
      <c r="CH255">
        <v>-0.11895000000000017</v>
      </c>
      <c r="CJ255" t="s">
        <v>5670</v>
      </c>
    </row>
    <row r="256" spans="1:88">
      <c r="A256" t="s">
        <v>1231</v>
      </c>
      <c r="B256" t="s">
        <v>1257</v>
      </c>
      <c r="C256" t="s">
        <v>39</v>
      </c>
      <c r="D256" t="s">
        <v>40</v>
      </c>
      <c r="E256" t="s">
        <v>41</v>
      </c>
      <c r="F256" t="s">
        <v>1251</v>
      </c>
      <c r="G256">
        <v>4.3</v>
      </c>
      <c r="H256" t="s">
        <v>1258</v>
      </c>
      <c r="I256" t="s">
        <v>1259</v>
      </c>
      <c r="J256" t="s">
        <v>69</v>
      </c>
      <c r="N256" t="s">
        <v>56</v>
      </c>
      <c r="O256" t="s">
        <v>48</v>
      </c>
      <c r="P256" t="s">
        <v>397</v>
      </c>
      <c r="Q256" s="534">
        <v>2</v>
      </c>
      <c r="R256" t="s">
        <v>3263</v>
      </c>
      <c r="S256">
        <v>131.44</v>
      </c>
      <c r="T256">
        <v>130.79</v>
      </c>
      <c r="U256">
        <v>130.15</v>
      </c>
      <c r="V256">
        <v>129.52000000000001</v>
      </c>
      <c r="W256">
        <v>128.91</v>
      </c>
      <c r="X256">
        <v>128.31</v>
      </c>
      <c r="AH256">
        <v>0</v>
      </c>
      <c r="BP256" s="534">
        <v>129.25</v>
      </c>
      <c r="BQ256" s="726">
        <v>129.59</v>
      </c>
      <c r="BR256" t="s">
        <v>50</v>
      </c>
      <c r="BS256" t="s">
        <v>52</v>
      </c>
      <c r="BT256">
        <v>0</v>
      </c>
      <c r="BU256" t="s">
        <v>52</v>
      </c>
      <c r="BV256">
        <v>0</v>
      </c>
      <c r="BW256">
        <v>129.85</v>
      </c>
      <c r="BX256" t="s">
        <v>50</v>
      </c>
      <c r="BY256">
        <v>0</v>
      </c>
      <c r="BZ256">
        <v>0</v>
      </c>
      <c r="CA256">
        <v>0</v>
      </c>
      <c r="CB256">
        <v>0</v>
      </c>
      <c r="CC256" s="2146">
        <v>133.09</v>
      </c>
      <c r="CD256" s="2146" t="s">
        <v>46</v>
      </c>
      <c r="CE256" s="2146">
        <v>0</v>
      </c>
      <c r="CF256" s="2146">
        <v>0</v>
      </c>
      <c r="CG256" s="2146">
        <v>0</v>
      </c>
      <c r="CH256">
        <v>0</v>
      </c>
      <c r="CJ256" t="s">
        <v>5671</v>
      </c>
    </row>
    <row r="257" spans="1:88">
      <c r="A257" t="s">
        <v>1231</v>
      </c>
      <c r="B257" t="s">
        <v>1260</v>
      </c>
      <c r="C257" t="s">
        <v>39</v>
      </c>
      <c r="D257" t="s">
        <v>40</v>
      </c>
      <c r="E257" t="s">
        <v>41</v>
      </c>
      <c r="F257" t="s">
        <v>1251</v>
      </c>
      <c r="G257">
        <v>4.4000000000000004</v>
      </c>
      <c r="H257" t="s">
        <v>1261</v>
      </c>
      <c r="I257" t="s">
        <v>1262</v>
      </c>
      <c r="J257" t="s">
        <v>69</v>
      </c>
      <c r="N257" t="s">
        <v>169</v>
      </c>
      <c r="O257" t="s">
        <v>48</v>
      </c>
      <c r="P257" t="s">
        <v>1263</v>
      </c>
      <c r="Q257" s="534">
        <v>0</v>
      </c>
      <c r="R257" t="s">
        <v>3264</v>
      </c>
      <c r="S257">
        <v>66</v>
      </c>
      <c r="T257">
        <v>76</v>
      </c>
      <c r="U257">
        <v>91</v>
      </c>
      <c r="V257">
        <v>106</v>
      </c>
      <c r="W257">
        <v>116</v>
      </c>
      <c r="X257">
        <v>116</v>
      </c>
      <c r="AF257" t="s">
        <v>50</v>
      </c>
      <c r="AH257">
        <v>0</v>
      </c>
      <c r="BP257" s="534">
        <v>65.2</v>
      </c>
      <c r="BQ257" s="725">
        <v>76.2</v>
      </c>
      <c r="BR257" t="s">
        <v>50</v>
      </c>
      <c r="BS257" t="s">
        <v>52</v>
      </c>
      <c r="BT257">
        <v>0</v>
      </c>
      <c r="BU257" t="s">
        <v>52</v>
      </c>
      <c r="BV257">
        <v>0</v>
      </c>
      <c r="BW257">
        <v>91.6</v>
      </c>
      <c r="BX257" t="s">
        <v>50</v>
      </c>
      <c r="BY257">
        <v>0</v>
      </c>
      <c r="BZ257">
        <v>0</v>
      </c>
      <c r="CA257">
        <v>0</v>
      </c>
      <c r="CB257">
        <v>0</v>
      </c>
      <c r="CC257" s="2146">
        <v>119</v>
      </c>
      <c r="CD257" s="2146" t="s">
        <v>50</v>
      </c>
      <c r="CE257" s="2146">
        <v>0</v>
      </c>
      <c r="CF257" s="2146">
        <v>0</v>
      </c>
      <c r="CG257" s="2146">
        <v>0</v>
      </c>
      <c r="CH257">
        <v>0</v>
      </c>
      <c r="CJ257" t="s">
        <v>5672</v>
      </c>
    </row>
    <row r="258" spans="1:88">
      <c r="A258" t="s">
        <v>1231</v>
      </c>
      <c r="B258" t="s">
        <v>1264</v>
      </c>
      <c r="C258" t="s">
        <v>39</v>
      </c>
      <c r="D258" t="s">
        <v>40</v>
      </c>
      <c r="E258" t="s">
        <v>41</v>
      </c>
      <c r="F258" t="s">
        <v>1251</v>
      </c>
      <c r="G258">
        <v>4.5</v>
      </c>
      <c r="H258" t="s">
        <v>1265</v>
      </c>
      <c r="I258" t="s">
        <v>1266</v>
      </c>
      <c r="J258" t="s">
        <v>69</v>
      </c>
      <c r="N258" t="s">
        <v>182</v>
      </c>
      <c r="O258" t="s">
        <v>48</v>
      </c>
      <c r="P258" t="s">
        <v>1267</v>
      </c>
      <c r="Q258" s="534">
        <v>0</v>
      </c>
      <c r="R258" t="s">
        <v>3264</v>
      </c>
      <c r="S258">
        <v>0</v>
      </c>
      <c r="T258">
        <v>509</v>
      </c>
      <c r="U258">
        <v>1320</v>
      </c>
      <c r="V258">
        <v>2428</v>
      </c>
      <c r="W258">
        <v>3742</v>
      </c>
      <c r="X258">
        <v>5210</v>
      </c>
      <c r="AH258">
        <v>0</v>
      </c>
      <c r="BP258" s="534" t="s">
        <v>3296</v>
      </c>
      <c r="BQ258" s="725">
        <v>178</v>
      </c>
      <c r="BR258" t="s">
        <v>46</v>
      </c>
      <c r="BS258" t="s">
        <v>52</v>
      </c>
      <c r="BT258">
        <v>0</v>
      </c>
      <c r="BU258" t="s">
        <v>52</v>
      </c>
      <c r="BV258">
        <v>0</v>
      </c>
      <c r="BW258">
        <v>285</v>
      </c>
      <c r="BX258" t="s">
        <v>46</v>
      </c>
      <c r="BY258">
        <v>0</v>
      </c>
      <c r="BZ258">
        <v>0</v>
      </c>
      <c r="CA258">
        <v>0</v>
      </c>
      <c r="CB258">
        <v>0</v>
      </c>
      <c r="CC258" s="2146">
        <v>550</v>
      </c>
      <c r="CD258" s="2146" t="s">
        <v>46</v>
      </c>
      <c r="CE258" s="2146">
        <v>0</v>
      </c>
      <c r="CF258" s="2146">
        <v>0</v>
      </c>
      <c r="CG258" s="2146">
        <v>0</v>
      </c>
      <c r="CH258">
        <v>0</v>
      </c>
      <c r="CJ258" t="s">
        <v>5673</v>
      </c>
    </row>
    <row r="259" spans="1:88">
      <c r="A259" t="s">
        <v>1231</v>
      </c>
      <c r="B259" t="s">
        <v>1268</v>
      </c>
      <c r="C259" t="s">
        <v>39</v>
      </c>
      <c r="D259" t="s">
        <v>40</v>
      </c>
      <c r="E259" t="s">
        <v>41</v>
      </c>
      <c r="F259" t="s">
        <v>1269</v>
      </c>
      <c r="G259">
        <v>5.0999999999999996</v>
      </c>
      <c r="H259" t="s">
        <v>1270</v>
      </c>
      <c r="I259" t="s">
        <v>1271</v>
      </c>
      <c r="J259" t="s">
        <v>69</v>
      </c>
      <c r="N259" t="s">
        <v>113</v>
      </c>
      <c r="O259" t="s">
        <v>76</v>
      </c>
      <c r="P259" t="s">
        <v>1272</v>
      </c>
      <c r="Q259" s="534">
        <v>0</v>
      </c>
      <c r="R259" t="s">
        <v>3264</v>
      </c>
      <c r="S259">
        <v>87</v>
      </c>
      <c r="T259">
        <v>90</v>
      </c>
      <c r="U259">
        <v>90</v>
      </c>
      <c r="V259">
        <v>90</v>
      </c>
      <c r="W259">
        <v>90</v>
      </c>
      <c r="X259">
        <v>90</v>
      </c>
      <c r="AH259">
        <v>0</v>
      </c>
      <c r="BP259" s="534" t="s">
        <v>3297</v>
      </c>
      <c r="BQ259" s="725">
        <v>93</v>
      </c>
      <c r="BR259" t="s">
        <v>50</v>
      </c>
      <c r="BS259" t="s">
        <v>52</v>
      </c>
      <c r="BT259">
        <v>0</v>
      </c>
      <c r="BU259" t="s">
        <v>52</v>
      </c>
      <c r="BV259">
        <v>0</v>
      </c>
      <c r="BW259">
        <v>91</v>
      </c>
      <c r="BX259" t="s">
        <v>50</v>
      </c>
      <c r="BY259">
        <v>0</v>
      </c>
      <c r="BZ259">
        <v>0</v>
      </c>
      <c r="CA259">
        <v>0</v>
      </c>
      <c r="CB259">
        <v>0</v>
      </c>
      <c r="CC259" s="2146">
        <v>94</v>
      </c>
      <c r="CD259" s="2146" t="s">
        <v>50</v>
      </c>
      <c r="CE259" s="2146">
        <v>0</v>
      </c>
      <c r="CF259" s="2146">
        <v>0</v>
      </c>
      <c r="CG259" s="2146">
        <v>0</v>
      </c>
      <c r="CH259">
        <v>0</v>
      </c>
      <c r="CJ259" t="s">
        <v>5674</v>
      </c>
    </row>
    <row r="260" spans="1:88">
      <c r="A260" t="s">
        <v>1231</v>
      </c>
      <c r="B260" t="s">
        <v>1273</v>
      </c>
      <c r="C260" t="s">
        <v>39</v>
      </c>
      <c r="D260" t="s">
        <v>40</v>
      </c>
      <c r="E260" t="s">
        <v>41</v>
      </c>
      <c r="F260" t="s">
        <v>1269</v>
      </c>
      <c r="G260">
        <v>5.2</v>
      </c>
      <c r="H260" t="s">
        <v>1274</v>
      </c>
      <c r="I260" t="s">
        <v>1275</v>
      </c>
      <c r="J260" t="s">
        <v>69</v>
      </c>
      <c r="N260" t="s">
        <v>113</v>
      </c>
      <c r="O260" t="s">
        <v>48</v>
      </c>
      <c r="P260" t="s">
        <v>1276</v>
      </c>
      <c r="Q260" s="534">
        <v>0</v>
      </c>
      <c r="R260" t="s">
        <v>3264</v>
      </c>
      <c r="S260">
        <v>17000</v>
      </c>
      <c r="T260">
        <v>19600</v>
      </c>
      <c r="U260">
        <v>22200</v>
      </c>
      <c r="V260">
        <v>24800</v>
      </c>
      <c r="W260">
        <v>27400</v>
      </c>
      <c r="X260">
        <v>30000</v>
      </c>
      <c r="AH260">
        <v>0</v>
      </c>
      <c r="BP260" s="534">
        <v>17866</v>
      </c>
      <c r="BQ260" s="725">
        <v>19621</v>
      </c>
      <c r="BR260" t="s">
        <v>50</v>
      </c>
      <c r="BS260" t="s">
        <v>52</v>
      </c>
      <c r="BT260">
        <v>0</v>
      </c>
      <c r="BU260" t="s">
        <v>52</v>
      </c>
      <c r="BV260">
        <v>0</v>
      </c>
      <c r="BW260">
        <v>23895</v>
      </c>
      <c r="BX260" t="s">
        <v>50</v>
      </c>
      <c r="BY260">
        <v>0</v>
      </c>
      <c r="BZ260">
        <v>0</v>
      </c>
      <c r="CA260">
        <v>0</v>
      </c>
      <c r="CB260">
        <v>0</v>
      </c>
      <c r="CC260" s="2146">
        <v>29036</v>
      </c>
      <c r="CD260" s="2146" t="s">
        <v>50</v>
      </c>
      <c r="CE260" s="2146">
        <v>0</v>
      </c>
      <c r="CF260" s="2146">
        <v>0</v>
      </c>
      <c r="CG260" s="2146">
        <v>0</v>
      </c>
      <c r="CH260">
        <v>0</v>
      </c>
      <c r="CJ260" t="s">
        <v>5675</v>
      </c>
    </row>
    <row r="261" spans="1:88">
      <c r="A261" t="s">
        <v>1231</v>
      </c>
      <c r="B261" t="s">
        <v>1277</v>
      </c>
      <c r="C261" t="s">
        <v>39</v>
      </c>
      <c r="D261" t="s">
        <v>101</v>
      </c>
      <c r="E261" t="s">
        <v>102</v>
      </c>
      <c r="F261" t="s">
        <v>1278</v>
      </c>
      <c r="G261">
        <v>3.1</v>
      </c>
      <c r="H261" t="s">
        <v>1279</v>
      </c>
      <c r="I261" t="s">
        <v>1280</v>
      </c>
      <c r="J261" t="s">
        <v>5406</v>
      </c>
      <c r="K261" t="s">
        <v>45</v>
      </c>
      <c r="M261" t="s">
        <v>46</v>
      </c>
      <c r="N261" t="s">
        <v>106</v>
      </c>
      <c r="O261" t="s">
        <v>107</v>
      </c>
      <c r="P261" t="s">
        <v>108</v>
      </c>
      <c r="Q261" s="534">
        <v>1</v>
      </c>
      <c r="R261" t="s">
        <v>3264</v>
      </c>
      <c r="S261">
        <v>88</v>
      </c>
      <c r="T261">
        <v>89</v>
      </c>
      <c r="U261">
        <v>90</v>
      </c>
      <c r="V261">
        <v>90</v>
      </c>
      <c r="W261">
        <v>90</v>
      </c>
      <c r="X261">
        <v>90</v>
      </c>
      <c r="AH261">
        <v>0</v>
      </c>
      <c r="AI261" t="s">
        <v>50</v>
      </c>
      <c r="AJ261" t="s">
        <v>50</v>
      </c>
      <c r="AK261" t="s">
        <v>50</v>
      </c>
      <c r="AL261" t="s">
        <v>50</v>
      </c>
      <c r="AM261" t="s">
        <v>50</v>
      </c>
      <c r="AN261" t="s">
        <v>109</v>
      </c>
      <c r="AO261" t="s">
        <v>109</v>
      </c>
      <c r="AP261" t="s">
        <v>109</v>
      </c>
      <c r="AQ261" t="s">
        <v>109</v>
      </c>
      <c r="AR261" t="s">
        <v>109</v>
      </c>
      <c r="AS261" t="s">
        <v>109</v>
      </c>
      <c r="AT261" t="s">
        <v>109</v>
      </c>
      <c r="AU261" t="s">
        <v>109</v>
      </c>
      <c r="AV261" t="s">
        <v>109</v>
      </c>
      <c r="AW261" t="s">
        <v>109</v>
      </c>
      <c r="AX261" t="s">
        <v>109</v>
      </c>
      <c r="AY261" t="s">
        <v>109</v>
      </c>
      <c r="AZ261" t="s">
        <v>109</v>
      </c>
      <c r="BA261" t="s">
        <v>109</v>
      </c>
      <c r="BB261" t="s">
        <v>109</v>
      </c>
      <c r="BC261" t="s">
        <v>109</v>
      </c>
      <c r="BD261" t="s">
        <v>109</v>
      </c>
      <c r="BE261" t="s">
        <v>109</v>
      </c>
      <c r="BF261" t="s">
        <v>109</v>
      </c>
      <c r="BG261" t="s">
        <v>109</v>
      </c>
      <c r="BH261" t="s">
        <v>109</v>
      </c>
      <c r="BL261" t="s">
        <v>109</v>
      </c>
      <c r="BN261">
        <v>1</v>
      </c>
      <c r="BO261" t="s">
        <v>51</v>
      </c>
      <c r="BP261" s="534">
        <v>85</v>
      </c>
      <c r="BQ261" s="722">
        <v>86.3</v>
      </c>
      <c r="BR261" t="s">
        <v>46</v>
      </c>
      <c r="BS261" t="s">
        <v>52</v>
      </c>
      <c r="BT261">
        <v>0</v>
      </c>
      <c r="BU261" t="s">
        <v>52</v>
      </c>
      <c r="BV261">
        <v>0</v>
      </c>
      <c r="BW261">
        <v>84.4</v>
      </c>
      <c r="BX261" t="s">
        <v>46</v>
      </c>
      <c r="BY261">
        <v>0</v>
      </c>
      <c r="BZ261">
        <v>0</v>
      </c>
      <c r="CA261">
        <v>0</v>
      </c>
      <c r="CB261">
        <v>0</v>
      </c>
      <c r="CC261" s="2146">
        <v>87.03</v>
      </c>
      <c r="CD261" s="2146" t="s">
        <v>46</v>
      </c>
      <c r="CE261" s="2146">
        <v>0</v>
      </c>
      <c r="CF261" s="2146">
        <v>0</v>
      </c>
      <c r="CG261" s="2146">
        <v>0</v>
      </c>
      <c r="CH261">
        <v>0</v>
      </c>
      <c r="CJ261" t="s">
        <v>5676</v>
      </c>
    </row>
    <row r="262" spans="1:88">
      <c r="A262" t="s">
        <v>1231</v>
      </c>
      <c r="B262" t="s">
        <v>1281</v>
      </c>
      <c r="C262" t="s">
        <v>39</v>
      </c>
      <c r="D262" t="s">
        <v>101</v>
      </c>
      <c r="E262" t="s">
        <v>102</v>
      </c>
      <c r="F262" t="s">
        <v>1278</v>
      </c>
      <c r="G262">
        <v>3.2</v>
      </c>
      <c r="H262" t="s">
        <v>1282</v>
      </c>
      <c r="I262" t="s">
        <v>1283</v>
      </c>
      <c r="J262" t="s">
        <v>69</v>
      </c>
      <c r="N262" t="s">
        <v>192</v>
      </c>
      <c r="O262" t="s">
        <v>76</v>
      </c>
      <c r="P262" t="s">
        <v>193</v>
      </c>
      <c r="Q262" s="534">
        <v>0</v>
      </c>
      <c r="R262" t="s">
        <v>3264</v>
      </c>
      <c r="S262">
        <v>96</v>
      </c>
      <c r="T262">
        <v>98</v>
      </c>
      <c r="U262">
        <v>98</v>
      </c>
      <c r="V262">
        <v>98</v>
      </c>
      <c r="W262">
        <v>98</v>
      </c>
      <c r="X262">
        <v>98</v>
      </c>
      <c r="AH262">
        <v>0</v>
      </c>
      <c r="BP262" s="534" t="s">
        <v>3297</v>
      </c>
      <c r="BQ262" s="725">
        <v>98</v>
      </c>
      <c r="BR262" t="s">
        <v>50</v>
      </c>
      <c r="BS262" t="s">
        <v>52</v>
      </c>
      <c r="BT262">
        <v>0</v>
      </c>
      <c r="BU262" t="s">
        <v>52</v>
      </c>
      <c r="BV262">
        <v>0</v>
      </c>
      <c r="BW262">
        <v>99</v>
      </c>
      <c r="BX262" t="s">
        <v>50</v>
      </c>
      <c r="BY262">
        <v>0</v>
      </c>
      <c r="BZ262">
        <v>0</v>
      </c>
      <c r="CA262">
        <v>0</v>
      </c>
      <c r="CB262">
        <v>0</v>
      </c>
      <c r="CC262" s="2146">
        <v>97</v>
      </c>
      <c r="CD262" s="2146" t="s">
        <v>46</v>
      </c>
      <c r="CE262" s="2146">
        <v>0</v>
      </c>
      <c r="CF262" s="2146">
        <v>0</v>
      </c>
      <c r="CG262" s="2146">
        <v>0</v>
      </c>
      <c r="CH262">
        <v>0</v>
      </c>
      <c r="CJ262" t="s">
        <v>5677</v>
      </c>
    </row>
    <row r="263" spans="1:88">
      <c r="A263" t="s">
        <v>1231</v>
      </c>
      <c r="B263" t="s">
        <v>1284</v>
      </c>
      <c r="C263" t="s">
        <v>39</v>
      </c>
      <c r="D263" t="s">
        <v>101</v>
      </c>
      <c r="E263" t="s">
        <v>102</v>
      </c>
      <c r="F263" t="s">
        <v>1278</v>
      </c>
      <c r="G263">
        <v>3.3</v>
      </c>
      <c r="H263" t="s">
        <v>1285</v>
      </c>
      <c r="I263" t="s">
        <v>1286</v>
      </c>
      <c r="J263" t="s">
        <v>69</v>
      </c>
      <c r="N263" t="s">
        <v>923</v>
      </c>
      <c r="O263" t="s">
        <v>48</v>
      </c>
      <c r="P263" t="s">
        <v>1287</v>
      </c>
      <c r="Q263" s="534">
        <v>0</v>
      </c>
      <c r="R263" t="s">
        <v>3264</v>
      </c>
      <c r="S263">
        <v>300</v>
      </c>
      <c r="T263">
        <v>400</v>
      </c>
      <c r="U263">
        <v>400</v>
      </c>
      <c r="V263">
        <v>400</v>
      </c>
      <c r="W263">
        <v>400</v>
      </c>
      <c r="X263">
        <v>400</v>
      </c>
      <c r="AH263">
        <v>0</v>
      </c>
      <c r="BP263" s="534" t="s">
        <v>3297</v>
      </c>
      <c r="BQ263" s="725">
        <v>256.5</v>
      </c>
      <c r="BR263" t="s">
        <v>46</v>
      </c>
      <c r="BS263" t="s">
        <v>52</v>
      </c>
      <c r="BT263">
        <v>0</v>
      </c>
      <c r="BU263" t="s">
        <v>52</v>
      </c>
      <c r="BV263">
        <v>0</v>
      </c>
      <c r="BW263">
        <v>222</v>
      </c>
      <c r="BX263" t="s">
        <v>46</v>
      </c>
      <c r="BY263">
        <v>0</v>
      </c>
      <c r="BZ263">
        <v>0</v>
      </c>
      <c r="CA263">
        <v>0</v>
      </c>
      <c r="CB263">
        <v>0</v>
      </c>
      <c r="CC263" s="2146">
        <v>425</v>
      </c>
      <c r="CD263" s="2146" t="s">
        <v>50</v>
      </c>
      <c r="CE263" s="2146">
        <v>0</v>
      </c>
      <c r="CF263" s="2146">
        <v>0</v>
      </c>
      <c r="CG263" s="2146">
        <v>0</v>
      </c>
      <c r="CH263">
        <v>0</v>
      </c>
      <c r="CJ263" t="s">
        <v>5678</v>
      </c>
    </row>
    <row r="264" spans="1:88">
      <c r="A264" t="s">
        <v>1288</v>
      </c>
      <c r="B264" t="s">
        <v>1289</v>
      </c>
      <c r="C264" t="s">
        <v>116</v>
      </c>
      <c r="D264" t="s">
        <v>40</v>
      </c>
      <c r="E264" t="s">
        <v>41</v>
      </c>
      <c r="F264" t="s">
        <v>1290</v>
      </c>
      <c r="G264" t="s">
        <v>43</v>
      </c>
      <c r="H264" t="s">
        <v>1291</v>
      </c>
      <c r="I264" t="s">
        <v>1292</v>
      </c>
      <c r="J264" t="s">
        <v>5406</v>
      </c>
      <c r="K264" t="s">
        <v>45</v>
      </c>
      <c r="L264" t="s">
        <v>50</v>
      </c>
      <c r="N264" t="s">
        <v>24</v>
      </c>
      <c r="O264" t="s">
        <v>48</v>
      </c>
      <c r="P264" t="s">
        <v>1293</v>
      </c>
      <c r="Q264" s="534">
        <v>0</v>
      </c>
      <c r="R264" t="s">
        <v>3263</v>
      </c>
      <c r="S264">
        <v>13000</v>
      </c>
      <c r="T264">
        <v>11900</v>
      </c>
      <c r="U264">
        <v>10995</v>
      </c>
      <c r="V264">
        <v>9992</v>
      </c>
      <c r="W264">
        <v>9992</v>
      </c>
      <c r="X264">
        <v>9992</v>
      </c>
      <c r="Z264" t="s">
        <v>50</v>
      </c>
      <c r="AE264" t="s">
        <v>50</v>
      </c>
      <c r="AH264">
        <v>0</v>
      </c>
      <c r="AI264" t="s">
        <v>50</v>
      </c>
      <c r="AJ264" t="s">
        <v>50</v>
      </c>
      <c r="AK264" t="s">
        <v>50</v>
      </c>
      <c r="AL264" t="s">
        <v>50</v>
      </c>
      <c r="AM264" t="s">
        <v>50</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51</v>
      </c>
      <c r="BP264" s="534">
        <v>14339</v>
      </c>
      <c r="BQ264" s="725">
        <v>13941</v>
      </c>
      <c r="BR264" t="s">
        <v>46</v>
      </c>
      <c r="BS264" t="s">
        <v>5415</v>
      </c>
      <c r="BT264">
        <v>-1.8369</v>
      </c>
      <c r="BU264" t="s">
        <v>52</v>
      </c>
      <c r="BV264">
        <v>0</v>
      </c>
      <c r="BW264">
        <v>14461</v>
      </c>
      <c r="BX264" t="s">
        <v>46</v>
      </c>
      <c r="BY264" t="s">
        <v>5415</v>
      </c>
      <c r="BZ264">
        <v>-2.3948999999999998</v>
      </c>
      <c r="CA264">
        <v>0</v>
      </c>
      <c r="CB264">
        <v>0</v>
      </c>
      <c r="CC264" s="2146">
        <v>12687</v>
      </c>
      <c r="CD264" s="2146" t="s">
        <v>46</v>
      </c>
      <c r="CE264" s="2146" t="s">
        <v>13444</v>
      </c>
      <c r="CF264" s="2146">
        <v>-2.4255</v>
      </c>
      <c r="CG264" s="2146">
        <v>0</v>
      </c>
      <c r="CH264">
        <v>0</v>
      </c>
      <c r="CJ264" t="s">
        <v>5679</v>
      </c>
    </row>
    <row r="265" spans="1:88">
      <c r="A265" t="s">
        <v>1288</v>
      </c>
      <c r="B265" t="s">
        <v>1294</v>
      </c>
      <c r="C265" t="s">
        <v>116</v>
      </c>
      <c r="D265" t="s">
        <v>40</v>
      </c>
      <c r="E265" t="s">
        <v>41</v>
      </c>
      <c r="F265" t="s">
        <v>1290</v>
      </c>
      <c r="G265" t="s">
        <v>54</v>
      </c>
      <c r="H265" t="s">
        <v>1295</v>
      </c>
      <c r="I265" t="s">
        <v>1296</v>
      </c>
      <c r="J265" t="s">
        <v>5408</v>
      </c>
      <c r="K265" t="s">
        <v>45</v>
      </c>
      <c r="L265" t="s">
        <v>50</v>
      </c>
      <c r="N265" t="s">
        <v>75</v>
      </c>
      <c r="O265" t="s">
        <v>76</v>
      </c>
      <c r="P265" t="s">
        <v>77</v>
      </c>
      <c r="Q265" s="534">
        <v>3</v>
      </c>
      <c r="R265" t="s">
        <v>3264</v>
      </c>
      <c r="S265">
        <v>99.95</v>
      </c>
      <c r="T265">
        <v>99.97</v>
      </c>
      <c r="U265">
        <v>99.97</v>
      </c>
      <c r="V265">
        <v>100</v>
      </c>
      <c r="W265">
        <v>100</v>
      </c>
      <c r="X265">
        <v>100</v>
      </c>
      <c r="Y265" t="s">
        <v>50</v>
      </c>
      <c r="AE265" t="s">
        <v>50</v>
      </c>
      <c r="AH265">
        <v>0</v>
      </c>
      <c r="AI265" t="s">
        <v>50</v>
      </c>
      <c r="AJ265" t="s">
        <v>50</v>
      </c>
      <c r="AK265" t="s">
        <v>50</v>
      </c>
      <c r="AL265" t="s">
        <v>50</v>
      </c>
      <c r="AM265" t="s">
        <v>50</v>
      </c>
      <c r="AN265">
        <v>99.91</v>
      </c>
      <c r="AO265">
        <v>99.91</v>
      </c>
      <c r="AP265">
        <v>99.91</v>
      </c>
      <c r="AQ265">
        <v>99.91</v>
      </c>
      <c r="AR265">
        <v>99.91</v>
      </c>
      <c r="AS265">
        <v>99.944999999999993</v>
      </c>
      <c r="AT265">
        <v>99.944999999999993</v>
      </c>
      <c r="AU265">
        <v>99.95</v>
      </c>
      <c r="AV265">
        <v>99.95</v>
      </c>
      <c r="AW265">
        <v>99.95</v>
      </c>
      <c r="BH265">
        <v>1.7174</v>
      </c>
      <c r="BN265">
        <v>100</v>
      </c>
      <c r="BO265" t="s">
        <v>351</v>
      </c>
      <c r="BP265" s="534">
        <v>99.94</v>
      </c>
      <c r="BQ265" s="736">
        <v>99.962000000000003</v>
      </c>
      <c r="BR265" t="s">
        <v>46</v>
      </c>
      <c r="BS265" t="s">
        <v>5378</v>
      </c>
      <c r="BT265">
        <v>0</v>
      </c>
      <c r="BU265" t="s">
        <v>52</v>
      </c>
      <c r="BV265">
        <v>0</v>
      </c>
      <c r="BW265">
        <v>99.944000000000003</v>
      </c>
      <c r="BX265" t="s">
        <v>46</v>
      </c>
      <c r="BY265" t="s">
        <v>5415</v>
      </c>
      <c r="BZ265">
        <v>-0.17169999999837984</v>
      </c>
      <c r="CA265">
        <v>0</v>
      </c>
      <c r="CB265">
        <v>0</v>
      </c>
      <c r="CC265" s="2146">
        <v>99.96</v>
      </c>
      <c r="CD265" s="2146" t="s">
        <v>46</v>
      </c>
      <c r="CE265" s="2146" t="s">
        <v>13445</v>
      </c>
      <c r="CF265" s="2146">
        <v>0</v>
      </c>
      <c r="CG265" s="2146">
        <v>0</v>
      </c>
      <c r="CH265">
        <v>0</v>
      </c>
      <c r="CJ265" t="s">
        <v>5680</v>
      </c>
    </row>
    <row r="266" spans="1:88">
      <c r="A266" t="s">
        <v>1288</v>
      </c>
      <c r="B266" t="s">
        <v>1297</v>
      </c>
      <c r="C266" t="s">
        <v>116</v>
      </c>
      <c r="D266" t="s">
        <v>40</v>
      </c>
      <c r="E266" t="s">
        <v>41</v>
      </c>
      <c r="F266" t="s">
        <v>1290</v>
      </c>
      <c r="G266" t="s">
        <v>59</v>
      </c>
      <c r="H266" t="s">
        <v>1298</v>
      </c>
      <c r="I266" t="s">
        <v>3208</v>
      </c>
      <c r="J266" t="s">
        <v>5408</v>
      </c>
      <c r="K266" t="s">
        <v>322</v>
      </c>
      <c r="M266" t="s">
        <v>46</v>
      </c>
      <c r="N266" t="s">
        <v>91</v>
      </c>
      <c r="O266" t="s">
        <v>48</v>
      </c>
      <c r="P266" t="s">
        <v>1299</v>
      </c>
      <c r="Q266" s="534">
        <v>0</v>
      </c>
      <c r="R266" t="s">
        <v>3263</v>
      </c>
      <c r="S266" t="s">
        <v>202</v>
      </c>
      <c r="T266" t="s">
        <v>1300</v>
      </c>
      <c r="U266" t="s">
        <v>1300</v>
      </c>
      <c r="V266" t="s">
        <v>1300</v>
      </c>
      <c r="W266" t="s">
        <v>1301</v>
      </c>
      <c r="X266" t="s">
        <v>1301</v>
      </c>
      <c r="AE266" t="s">
        <v>50</v>
      </c>
      <c r="AH266">
        <v>0</v>
      </c>
      <c r="AI266" t="s">
        <v>50</v>
      </c>
      <c r="AJ266" t="s">
        <v>50</v>
      </c>
      <c r="AK266" t="s">
        <v>50</v>
      </c>
      <c r="AL266" t="s">
        <v>50</v>
      </c>
      <c r="AM266" t="s">
        <v>50</v>
      </c>
      <c r="AN266">
        <v>999999</v>
      </c>
      <c r="AO266">
        <v>999999</v>
      </c>
      <c r="AP266">
        <v>999999</v>
      </c>
      <c r="AQ266">
        <v>999999</v>
      </c>
      <c r="AR266">
        <v>999999</v>
      </c>
      <c r="AS266">
        <v>8</v>
      </c>
      <c r="AT266">
        <v>8</v>
      </c>
      <c r="AU266">
        <v>8</v>
      </c>
      <c r="AV266">
        <v>6</v>
      </c>
      <c r="AW266">
        <v>6</v>
      </c>
      <c r="BH266">
        <v>0.46300000000000002</v>
      </c>
      <c r="BN266">
        <v>1</v>
      </c>
      <c r="BO266" t="s">
        <v>51</v>
      </c>
      <c r="BP266" s="534">
        <v>13</v>
      </c>
      <c r="BQ266" s="724">
        <v>5</v>
      </c>
      <c r="BR266" t="s">
        <v>50</v>
      </c>
      <c r="BS266" t="s">
        <v>52</v>
      </c>
      <c r="BT266">
        <v>0</v>
      </c>
      <c r="BU266" t="s">
        <v>52</v>
      </c>
      <c r="BV266">
        <v>0</v>
      </c>
      <c r="BW266">
        <v>5</v>
      </c>
      <c r="BX266" t="s">
        <v>50</v>
      </c>
      <c r="BY266">
        <v>0</v>
      </c>
      <c r="BZ266">
        <v>0</v>
      </c>
      <c r="CA266">
        <v>0</v>
      </c>
      <c r="CB266">
        <v>0</v>
      </c>
      <c r="CC266" s="2146">
        <v>8</v>
      </c>
      <c r="CD266" s="2146" t="s">
        <v>46</v>
      </c>
      <c r="CF266" s="2146">
        <v>0</v>
      </c>
      <c r="CG266" s="2146" t="s">
        <v>13444</v>
      </c>
      <c r="CH266">
        <v>-0.46300000000000002</v>
      </c>
      <c r="CJ266" t="s">
        <v>5681</v>
      </c>
    </row>
    <row r="267" spans="1:88">
      <c r="A267" t="s">
        <v>1288</v>
      </c>
      <c r="B267" t="s">
        <v>1302</v>
      </c>
      <c r="C267" t="s">
        <v>116</v>
      </c>
      <c r="D267" t="s">
        <v>40</v>
      </c>
      <c r="E267" t="s">
        <v>41</v>
      </c>
      <c r="F267" t="s">
        <v>1290</v>
      </c>
      <c r="G267" t="s">
        <v>63</v>
      </c>
      <c r="H267" t="s">
        <v>1303</v>
      </c>
      <c r="I267" t="s">
        <v>1304</v>
      </c>
      <c r="J267" t="s">
        <v>5406</v>
      </c>
      <c r="K267" t="s">
        <v>45</v>
      </c>
      <c r="L267" t="s">
        <v>50</v>
      </c>
      <c r="M267" t="s">
        <v>46</v>
      </c>
      <c r="N267" t="s">
        <v>1305</v>
      </c>
      <c r="O267" t="s">
        <v>48</v>
      </c>
      <c r="P267" t="s">
        <v>1306</v>
      </c>
      <c r="Q267" s="534">
        <v>0</v>
      </c>
      <c r="R267" t="s">
        <v>3264</v>
      </c>
      <c r="W267">
        <v>12</v>
      </c>
      <c r="AF267" t="s">
        <v>50</v>
      </c>
      <c r="AH267">
        <v>0</v>
      </c>
      <c r="AL267" t="s">
        <v>50</v>
      </c>
      <c r="AQ267">
        <v>0</v>
      </c>
      <c r="AV267">
        <v>12</v>
      </c>
      <c r="BA267">
        <v>12</v>
      </c>
      <c r="BF267">
        <v>21</v>
      </c>
      <c r="BH267">
        <v>1.03</v>
      </c>
      <c r="BL267">
        <v>1.03</v>
      </c>
      <c r="BN267">
        <v>1</v>
      </c>
      <c r="BO267" t="s">
        <v>51</v>
      </c>
      <c r="BP267" s="534">
        <v>0</v>
      </c>
      <c r="BQ267" s="725">
        <v>0</v>
      </c>
      <c r="BR267" t="s">
        <v>52</v>
      </c>
      <c r="BS267" t="s">
        <v>52</v>
      </c>
      <c r="BT267">
        <v>0</v>
      </c>
      <c r="BU267" t="s">
        <v>52</v>
      </c>
      <c r="BV267">
        <v>0</v>
      </c>
      <c r="BW267">
        <v>0</v>
      </c>
      <c r="BX267" t="s">
        <v>2148</v>
      </c>
      <c r="BY267">
        <v>0</v>
      </c>
      <c r="BZ267">
        <v>0</v>
      </c>
      <c r="CA267">
        <v>0</v>
      </c>
      <c r="CB267">
        <v>0</v>
      </c>
      <c r="CC267" s="2146">
        <v>0</v>
      </c>
      <c r="CD267" s="2146" t="s">
        <v>2148</v>
      </c>
      <c r="CE267" s="2146">
        <v>0</v>
      </c>
      <c r="CF267" s="2146">
        <v>0</v>
      </c>
      <c r="CG267" s="2146">
        <v>0</v>
      </c>
      <c r="CH267">
        <v>0</v>
      </c>
      <c r="CJ267" t="s">
        <v>5682</v>
      </c>
    </row>
    <row r="268" spans="1:88">
      <c r="A268" t="s">
        <v>1288</v>
      </c>
      <c r="B268" t="s">
        <v>1307</v>
      </c>
      <c r="C268" t="s">
        <v>116</v>
      </c>
      <c r="D268" t="s">
        <v>40</v>
      </c>
      <c r="E268" t="s">
        <v>41</v>
      </c>
      <c r="F268" t="s">
        <v>1308</v>
      </c>
      <c r="G268" t="s">
        <v>73</v>
      </c>
      <c r="H268" t="s">
        <v>1309</v>
      </c>
      <c r="I268" t="s">
        <v>1310</v>
      </c>
      <c r="J268" t="s">
        <v>69</v>
      </c>
      <c r="N268" t="s">
        <v>65</v>
      </c>
      <c r="O268" t="s">
        <v>48</v>
      </c>
      <c r="P268" t="s">
        <v>57</v>
      </c>
      <c r="Q268" s="534">
        <v>0</v>
      </c>
      <c r="R268" t="s">
        <v>3263</v>
      </c>
      <c r="S268">
        <v>229</v>
      </c>
      <c r="T268">
        <v>225</v>
      </c>
      <c r="U268">
        <v>222</v>
      </c>
      <c r="V268">
        <v>219</v>
      </c>
      <c r="W268">
        <v>216</v>
      </c>
      <c r="X268">
        <v>213</v>
      </c>
      <c r="AH268">
        <v>0</v>
      </c>
      <c r="BP268" s="534">
        <v>230</v>
      </c>
      <c r="BQ268" s="725">
        <v>237</v>
      </c>
      <c r="BR268" t="s">
        <v>46</v>
      </c>
      <c r="BS268" t="s">
        <v>52</v>
      </c>
      <c r="BT268">
        <v>0</v>
      </c>
      <c r="BU268" t="s">
        <v>52</v>
      </c>
      <c r="BV268">
        <v>0</v>
      </c>
      <c r="BW268">
        <v>236</v>
      </c>
      <c r="BX268" t="s">
        <v>46</v>
      </c>
      <c r="BY268">
        <v>0</v>
      </c>
      <c r="BZ268">
        <v>0</v>
      </c>
      <c r="CA268">
        <v>0</v>
      </c>
      <c r="CB268">
        <v>0</v>
      </c>
      <c r="CC268" s="2146">
        <v>235</v>
      </c>
      <c r="CD268" s="2146" t="s">
        <v>46</v>
      </c>
      <c r="CE268" s="2146">
        <v>0</v>
      </c>
      <c r="CF268" s="2146">
        <v>0</v>
      </c>
      <c r="CG268" s="2146">
        <v>0</v>
      </c>
      <c r="CH268">
        <v>0</v>
      </c>
      <c r="CJ268" t="s">
        <v>5683</v>
      </c>
    </row>
    <row r="269" spans="1:88">
      <c r="A269" t="s">
        <v>1288</v>
      </c>
      <c r="B269" t="s">
        <v>1311</v>
      </c>
      <c r="C269" t="s">
        <v>116</v>
      </c>
      <c r="D269" t="s">
        <v>40</v>
      </c>
      <c r="E269" t="s">
        <v>41</v>
      </c>
      <c r="F269" t="s">
        <v>1308</v>
      </c>
      <c r="G269" t="s">
        <v>79</v>
      </c>
      <c r="H269" t="s">
        <v>1312</v>
      </c>
      <c r="I269" t="s">
        <v>1313</v>
      </c>
      <c r="J269" t="s">
        <v>5406</v>
      </c>
      <c r="K269" t="s">
        <v>45</v>
      </c>
      <c r="L269" t="s">
        <v>50</v>
      </c>
      <c r="M269" t="s">
        <v>46</v>
      </c>
      <c r="N269" t="s">
        <v>47</v>
      </c>
      <c r="O269" t="s">
        <v>48</v>
      </c>
      <c r="P269" t="s">
        <v>49</v>
      </c>
      <c r="Q269" s="534">
        <v>0</v>
      </c>
      <c r="R269" t="s">
        <v>3263</v>
      </c>
      <c r="S269">
        <v>450</v>
      </c>
      <c r="T269">
        <v>444</v>
      </c>
      <c r="U269">
        <v>439</v>
      </c>
      <c r="V269">
        <v>434</v>
      </c>
      <c r="W269">
        <v>429</v>
      </c>
      <c r="X269">
        <v>424</v>
      </c>
      <c r="AE269" t="s">
        <v>50</v>
      </c>
      <c r="AH269">
        <v>0</v>
      </c>
      <c r="AI269" t="s">
        <v>50</v>
      </c>
      <c r="AJ269" t="s">
        <v>50</v>
      </c>
      <c r="AK269" t="s">
        <v>50</v>
      </c>
      <c r="AL269" t="s">
        <v>50</v>
      </c>
      <c r="AM269" t="s">
        <v>50</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51</v>
      </c>
      <c r="BP269" s="534">
        <v>444</v>
      </c>
      <c r="BQ269" s="725">
        <v>434</v>
      </c>
      <c r="BR269" t="s">
        <v>50</v>
      </c>
      <c r="BS269" t="s">
        <v>5425</v>
      </c>
      <c r="BT269">
        <v>1.107</v>
      </c>
      <c r="BU269" t="s">
        <v>52</v>
      </c>
      <c r="BV269">
        <v>0</v>
      </c>
      <c r="BW269">
        <v>432</v>
      </c>
      <c r="BX269" t="s">
        <v>50</v>
      </c>
      <c r="BY269">
        <v>0</v>
      </c>
      <c r="BZ269">
        <v>0</v>
      </c>
      <c r="CA269">
        <v>0</v>
      </c>
      <c r="CB269">
        <v>0</v>
      </c>
      <c r="CC269" s="2146">
        <v>443</v>
      </c>
      <c r="CD269" s="2146" t="s">
        <v>46</v>
      </c>
      <c r="CE269" s="2146" t="s">
        <v>13444</v>
      </c>
      <c r="CF269" s="2146">
        <v>-1.722</v>
      </c>
      <c r="CG269" s="2146">
        <v>0</v>
      </c>
      <c r="CH269">
        <v>0</v>
      </c>
      <c r="CJ269" t="s">
        <v>5684</v>
      </c>
    </row>
    <row r="270" spans="1:88">
      <c r="A270" t="s">
        <v>1288</v>
      </c>
      <c r="B270" t="s">
        <v>1314</v>
      </c>
      <c r="C270" t="s">
        <v>116</v>
      </c>
      <c r="D270" t="s">
        <v>40</v>
      </c>
      <c r="E270" t="s">
        <v>41</v>
      </c>
      <c r="F270" t="s">
        <v>1308</v>
      </c>
      <c r="G270" t="s">
        <v>523</v>
      </c>
      <c r="H270" t="s">
        <v>1315</v>
      </c>
      <c r="I270" t="s">
        <v>1316</v>
      </c>
      <c r="J270" t="s">
        <v>5406</v>
      </c>
      <c r="K270" t="s">
        <v>45</v>
      </c>
      <c r="L270" t="s">
        <v>50</v>
      </c>
      <c r="N270" t="s">
        <v>47</v>
      </c>
      <c r="O270" t="s">
        <v>76</v>
      </c>
      <c r="P270" t="s">
        <v>1317</v>
      </c>
      <c r="Q270" s="534">
        <v>0</v>
      </c>
      <c r="R270" t="s">
        <v>3264</v>
      </c>
      <c r="S270">
        <v>50</v>
      </c>
      <c r="T270">
        <v>70</v>
      </c>
      <c r="U270">
        <v>80</v>
      </c>
      <c r="V270">
        <v>90</v>
      </c>
      <c r="W270">
        <v>95</v>
      </c>
      <c r="X270">
        <v>100</v>
      </c>
      <c r="AE270" t="s">
        <v>50</v>
      </c>
      <c r="AH270">
        <v>0</v>
      </c>
      <c r="AI270" t="s">
        <v>50</v>
      </c>
      <c r="AJ270" t="s">
        <v>50</v>
      </c>
      <c r="AK270" t="s">
        <v>50</v>
      </c>
      <c r="AL270" t="s">
        <v>50</v>
      </c>
      <c r="AM270" t="s">
        <v>50</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51</v>
      </c>
      <c r="BP270" s="534">
        <v>43.6</v>
      </c>
      <c r="BQ270" s="725">
        <v>53</v>
      </c>
      <c r="BR270" t="s">
        <v>46</v>
      </c>
      <c r="BS270" t="s">
        <v>5415</v>
      </c>
      <c r="BT270">
        <v>-0.17264099999999999</v>
      </c>
      <c r="BU270" t="s">
        <v>52</v>
      </c>
      <c r="BV270">
        <v>0</v>
      </c>
      <c r="BW270">
        <v>33</v>
      </c>
      <c r="BX270" t="s">
        <v>46</v>
      </c>
      <c r="BY270" t="s">
        <v>5415</v>
      </c>
      <c r="BZ270">
        <v>-0.91253099999999998</v>
      </c>
      <c r="CA270">
        <v>0</v>
      </c>
      <c r="CB270">
        <v>0</v>
      </c>
      <c r="CC270" s="2146">
        <v>23</v>
      </c>
      <c r="CD270" s="2146" t="s">
        <v>46</v>
      </c>
      <c r="CE270" s="2146" t="s">
        <v>13444</v>
      </c>
      <c r="CF270" s="2146">
        <v>-1.405791</v>
      </c>
      <c r="CG270" s="2146">
        <v>0</v>
      </c>
      <c r="CH270">
        <v>0</v>
      </c>
      <c r="CJ270" t="s">
        <v>5685</v>
      </c>
    </row>
    <row r="271" spans="1:88">
      <c r="A271" t="s">
        <v>1288</v>
      </c>
      <c r="B271" t="s">
        <v>1318</v>
      </c>
      <c r="C271" t="s">
        <v>116</v>
      </c>
      <c r="D271" t="s">
        <v>40</v>
      </c>
      <c r="E271" t="s">
        <v>41</v>
      </c>
      <c r="F271" t="s">
        <v>1308</v>
      </c>
      <c r="G271" t="s">
        <v>1319</v>
      </c>
      <c r="H271" t="s">
        <v>1320</v>
      </c>
      <c r="I271" t="s">
        <v>1321</v>
      </c>
      <c r="J271" t="s">
        <v>5406</v>
      </c>
      <c r="K271" t="s">
        <v>45</v>
      </c>
      <c r="L271" t="s">
        <v>50</v>
      </c>
      <c r="M271" t="s">
        <v>46</v>
      </c>
      <c r="N271" t="s">
        <v>86</v>
      </c>
      <c r="O271" t="s">
        <v>119</v>
      </c>
      <c r="P271" t="s">
        <v>120</v>
      </c>
      <c r="Q271" s="534">
        <v>2</v>
      </c>
      <c r="R271" t="s">
        <v>3263</v>
      </c>
      <c r="S271">
        <v>15</v>
      </c>
      <c r="T271">
        <v>13.6</v>
      </c>
      <c r="U271">
        <v>12.2</v>
      </c>
      <c r="V271">
        <v>10.8</v>
      </c>
      <c r="W271">
        <v>9.4</v>
      </c>
      <c r="X271">
        <v>8</v>
      </c>
      <c r="AA271" t="s">
        <v>50</v>
      </c>
      <c r="AE271" t="s">
        <v>50</v>
      </c>
      <c r="AH271">
        <v>0</v>
      </c>
      <c r="AI271" t="s">
        <v>50</v>
      </c>
      <c r="AJ271" t="s">
        <v>50</v>
      </c>
      <c r="AK271" t="s">
        <v>50</v>
      </c>
      <c r="AL271" t="s">
        <v>50</v>
      </c>
      <c r="AM271" t="s">
        <v>50</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51</v>
      </c>
      <c r="BP271" s="534">
        <v>9.9</v>
      </c>
      <c r="BQ271" s="726">
        <v>11.17</v>
      </c>
      <c r="BR271" t="s">
        <v>50</v>
      </c>
      <c r="BT271">
        <v>0</v>
      </c>
      <c r="BU271" t="s">
        <v>52</v>
      </c>
      <c r="BV271">
        <v>0</v>
      </c>
      <c r="BW271">
        <v>10.130000000000001</v>
      </c>
      <c r="BX271" t="s">
        <v>50</v>
      </c>
      <c r="BY271" t="s">
        <v>5425</v>
      </c>
      <c r="BZ271">
        <v>2.0569999999999995</v>
      </c>
      <c r="CA271">
        <v>0</v>
      </c>
      <c r="CB271">
        <v>0</v>
      </c>
      <c r="CC271" s="2146">
        <v>34.29</v>
      </c>
      <c r="CD271" s="2146" t="s">
        <v>46</v>
      </c>
      <c r="CE271" s="2146" t="s">
        <v>13444</v>
      </c>
      <c r="CF271" s="2146">
        <v>-23.716000000000001</v>
      </c>
      <c r="CG271" s="2146">
        <v>0</v>
      </c>
      <c r="CH271">
        <v>0</v>
      </c>
      <c r="CJ271" t="s">
        <v>5686</v>
      </c>
    </row>
    <row r="272" spans="1:88">
      <c r="A272" t="s">
        <v>1288</v>
      </c>
      <c r="B272" t="s">
        <v>1322</v>
      </c>
      <c r="C272" t="s">
        <v>116</v>
      </c>
      <c r="D272" t="s">
        <v>40</v>
      </c>
      <c r="E272" t="s">
        <v>41</v>
      </c>
      <c r="F272" t="s">
        <v>1308</v>
      </c>
      <c r="G272" t="s">
        <v>1323</v>
      </c>
      <c r="H272" t="s">
        <v>1324</v>
      </c>
      <c r="I272" t="s">
        <v>1325</v>
      </c>
      <c r="J272" t="s">
        <v>5406</v>
      </c>
      <c r="K272" t="s">
        <v>45</v>
      </c>
      <c r="N272" t="s">
        <v>137</v>
      </c>
      <c r="O272" t="s">
        <v>76</v>
      </c>
      <c r="P272" t="s">
        <v>1326</v>
      </c>
      <c r="Q272" s="534">
        <v>1</v>
      </c>
      <c r="R272" t="s">
        <v>3264</v>
      </c>
      <c r="S272">
        <v>77</v>
      </c>
      <c r="X272">
        <v>77.7</v>
      </c>
      <c r="AE272" t="s">
        <v>50</v>
      </c>
      <c r="AH272">
        <v>0</v>
      </c>
      <c r="AM272" t="s">
        <v>50</v>
      </c>
      <c r="AR272">
        <v>0</v>
      </c>
      <c r="AW272">
        <v>77.7</v>
      </c>
      <c r="BB272">
        <v>77.7</v>
      </c>
      <c r="BG272">
        <v>100</v>
      </c>
      <c r="BH272">
        <v>1.77</v>
      </c>
      <c r="BL272">
        <v>1.77</v>
      </c>
      <c r="BN272">
        <v>1</v>
      </c>
      <c r="BO272" t="s">
        <v>51</v>
      </c>
      <c r="BP272" s="534">
        <v>77.099999999999994</v>
      </c>
      <c r="BQ272" s="722">
        <v>77</v>
      </c>
      <c r="BR272" t="s">
        <v>52</v>
      </c>
      <c r="BS272" t="s">
        <v>52</v>
      </c>
      <c r="BT272">
        <v>0</v>
      </c>
      <c r="BU272" t="s">
        <v>52</v>
      </c>
      <c r="BV272">
        <v>0</v>
      </c>
      <c r="BW272">
        <v>77</v>
      </c>
      <c r="BX272" t="s">
        <v>2148</v>
      </c>
      <c r="BY272">
        <v>0</v>
      </c>
      <c r="BZ272">
        <v>0</v>
      </c>
      <c r="CA272">
        <v>0</v>
      </c>
      <c r="CB272">
        <v>0</v>
      </c>
      <c r="CC272" s="2146">
        <v>77.400000000000006</v>
      </c>
      <c r="CD272" s="2146" t="s">
        <v>2148</v>
      </c>
      <c r="CE272" s="2146">
        <v>0</v>
      </c>
      <c r="CF272" s="2146">
        <v>0</v>
      </c>
      <c r="CG272" s="2146">
        <v>0</v>
      </c>
      <c r="CH272">
        <v>0</v>
      </c>
      <c r="CJ272" t="s">
        <v>5687</v>
      </c>
    </row>
    <row r="273" spans="1:88">
      <c r="A273" t="s">
        <v>1288</v>
      </c>
      <c r="B273" t="s">
        <v>1327</v>
      </c>
      <c r="C273" t="s">
        <v>116</v>
      </c>
      <c r="D273" t="s">
        <v>40</v>
      </c>
      <c r="E273" t="s">
        <v>41</v>
      </c>
      <c r="F273" t="s">
        <v>1308</v>
      </c>
      <c r="G273" t="s">
        <v>1328</v>
      </c>
      <c r="H273" t="s">
        <v>1329</v>
      </c>
      <c r="I273" t="s">
        <v>1330</v>
      </c>
      <c r="J273" t="s">
        <v>5408</v>
      </c>
      <c r="K273" t="s">
        <v>322</v>
      </c>
      <c r="M273" t="s">
        <v>46</v>
      </c>
      <c r="N273" t="s">
        <v>91</v>
      </c>
      <c r="O273" t="s">
        <v>48</v>
      </c>
      <c r="P273" t="s">
        <v>92</v>
      </c>
      <c r="Q273" s="534">
        <v>0</v>
      </c>
      <c r="R273" t="s">
        <v>3263</v>
      </c>
      <c r="S273" t="s">
        <v>202</v>
      </c>
      <c r="T273" t="s">
        <v>5688</v>
      </c>
      <c r="U273" t="s">
        <v>5688</v>
      </c>
      <c r="V273" t="s">
        <v>5688</v>
      </c>
      <c r="W273" t="s">
        <v>5688</v>
      </c>
      <c r="X273" t="s">
        <v>5688</v>
      </c>
      <c r="AE273" t="s">
        <v>50</v>
      </c>
      <c r="AH273">
        <v>0</v>
      </c>
      <c r="AI273" t="s">
        <v>50</v>
      </c>
      <c r="AJ273" t="s">
        <v>50</v>
      </c>
      <c r="AK273" t="s">
        <v>50</v>
      </c>
      <c r="AL273" t="s">
        <v>50</v>
      </c>
      <c r="AM273" t="s">
        <v>50</v>
      </c>
      <c r="AN273">
        <v>999999</v>
      </c>
      <c r="AO273">
        <v>999999</v>
      </c>
      <c r="AP273">
        <v>999999</v>
      </c>
      <c r="AQ273">
        <v>999999</v>
      </c>
      <c r="AR273">
        <v>999999</v>
      </c>
      <c r="AS273">
        <v>6905</v>
      </c>
      <c r="AT273">
        <v>6905</v>
      </c>
      <c r="AU273">
        <v>6905</v>
      </c>
      <c r="AV273">
        <v>6905</v>
      </c>
      <c r="AW273">
        <v>6905</v>
      </c>
      <c r="BH273">
        <v>2.307E-3</v>
      </c>
      <c r="BN273">
        <v>1</v>
      </c>
      <c r="BO273" t="s">
        <v>51</v>
      </c>
      <c r="BP273" s="534">
        <v>6253</v>
      </c>
      <c r="BQ273" s="725">
        <v>4784</v>
      </c>
      <c r="BR273" t="s">
        <v>50</v>
      </c>
      <c r="BS273" t="s">
        <v>52</v>
      </c>
      <c r="BT273">
        <v>0</v>
      </c>
      <c r="BU273" t="s">
        <v>52</v>
      </c>
      <c r="BV273">
        <v>0</v>
      </c>
      <c r="BW273">
        <v>5173</v>
      </c>
      <c r="BX273" t="s">
        <v>50</v>
      </c>
      <c r="BY273">
        <v>0</v>
      </c>
      <c r="BZ273">
        <v>0</v>
      </c>
      <c r="CA273">
        <v>0</v>
      </c>
      <c r="CB273">
        <v>0</v>
      </c>
      <c r="CC273" s="2146">
        <v>5825</v>
      </c>
      <c r="CD273" s="2146" t="s">
        <v>50</v>
      </c>
      <c r="CE273" s="2146">
        <v>0</v>
      </c>
      <c r="CF273" s="2146">
        <v>0</v>
      </c>
      <c r="CG273" s="2146">
        <v>0</v>
      </c>
      <c r="CH273">
        <v>0</v>
      </c>
      <c r="CJ273" t="s">
        <v>5689</v>
      </c>
    </row>
    <row r="274" spans="1:88">
      <c r="A274" t="s">
        <v>1288</v>
      </c>
      <c r="B274" t="s">
        <v>1331</v>
      </c>
      <c r="C274" t="s">
        <v>116</v>
      </c>
      <c r="D274" t="s">
        <v>40</v>
      </c>
      <c r="E274" t="s">
        <v>41</v>
      </c>
      <c r="F274" t="s">
        <v>1308</v>
      </c>
      <c r="G274" t="s">
        <v>1332</v>
      </c>
      <c r="H274" t="s">
        <v>1333</v>
      </c>
      <c r="I274" t="s">
        <v>1334</v>
      </c>
      <c r="J274" t="s">
        <v>5406</v>
      </c>
      <c r="K274" t="s">
        <v>45</v>
      </c>
      <c r="L274" t="s">
        <v>50</v>
      </c>
      <c r="N274" t="s">
        <v>124</v>
      </c>
      <c r="O274" t="s">
        <v>48</v>
      </c>
      <c r="P274" t="s">
        <v>1335</v>
      </c>
      <c r="Q274" s="534">
        <v>0</v>
      </c>
      <c r="R274" t="s">
        <v>3263</v>
      </c>
      <c r="S274">
        <v>300</v>
      </c>
      <c r="T274">
        <v>250</v>
      </c>
      <c r="U274">
        <v>250</v>
      </c>
      <c r="V274">
        <v>250</v>
      </c>
      <c r="W274">
        <v>250</v>
      </c>
      <c r="X274">
        <v>250</v>
      </c>
      <c r="AE274" t="s">
        <v>50</v>
      </c>
      <c r="AH274">
        <v>0</v>
      </c>
      <c r="AI274" t="s">
        <v>50</v>
      </c>
      <c r="AJ274" t="s">
        <v>50</v>
      </c>
      <c r="AK274" t="s">
        <v>50</v>
      </c>
      <c r="AL274" t="s">
        <v>50</v>
      </c>
      <c r="AM274" t="s">
        <v>50</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51</v>
      </c>
      <c r="BP274" s="534">
        <v>230</v>
      </c>
      <c r="BQ274" s="725">
        <v>162</v>
      </c>
      <c r="BR274" t="s">
        <v>50</v>
      </c>
      <c r="BS274" t="s">
        <v>5425</v>
      </c>
      <c r="BT274">
        <v>6.9519999999999998E-2</v>
      </c>
      <c r="BU274" t="s">
        <v>52</v>
      </c>
      <c r="BV274">
        <v>0</v>
      </c>
      <c r="BW274">
        <v>187</v>
      </c>
      <c r="BX274" t="s">
        <v>50</v>
      </c>
      <c r="BY274" t="s">
        <v>5425</v>
      </c>
      <c r="BZ274">
        <v>4.9770000000000002E-2</v>
      </c>
      <c r="CA274">
        <v>0</v>
      </c>
      <c r="CB274">
        <v>0</v>
      </c>
      <c r="CC274" s="2146">
        <v>204</v>
      </c>
      <c r="CD274" s="2146" t="s">
        <v>50</v>
      </c>
      <c r="CE274" s="2146" t="s">
        <v>5425</v>
      </c>
      <c r="CF274" s="2146">
        <v>3.6339999999999997E-2</v>
      </c>
      <c r="CG274" s="2146">
        <v>0</v>
      </c>
      <c r="CH274">
        <v>0</v>
      </c>
      <c r="CJ274" t="s">
        <v>5690</v>
      </c>
    </row>
    <row r="275" spans="1:88">
      <c r="A275" t="s">
        <v>1288</v>
      </c>
      <c r="B275" t="s">
        <v>1336</v>
      </c>
      <c r="C275" t="s">
        <v>116</v>
      </c>
      <c r="D275" t="s">
        <v>40</v>
      </c>
      <c r="E275" t="s">
        <v>41</v>
      </c>
      <c r="F275" t="s">
        <v>1308</v>
      </c>
      <c r="G275" t="s">
        <v>1337</v>
      </c>
      <c r="H275" t="s">
        <v>1338</v>
      </c>
      <c r="I275" t="s">
        <v>1339</v>
      </c>
      <c r="J275" t="s">
        <v>5406</v>
      </c>
      <c r="K275" t="s">
        <v>45</v>
      </c>
      <c r="L275" t="s">
        <v>50</v>
      </c>
      <c r="M275" t="s">
        <v>46</v>
      </c>
      <c r="N275" t="s">
        <v>143</v>
      </c>
      <c r="O275" t="s">
        <v>48</v>
      </c>
      <c r="P275" t="s">
        <v>1340</v>
      </c>
      <c r="Q275" s="534">
        <v>0</v>
      </c>
      <c r="R275" t="s">
        <v>3263</v>
      </c>
      <c r="S275">
        <v>0</v>
      </c>
      <c r="T275">
        <v>0</v>
      </c>
      <c r="U275">
        <v>0</v>
      </c>
      <c r="V275">
        <v>0</v>
      </c>
      <c r="W275">
        <v>0</v>
      </c>
      <c r="X275">
        <v>0</v>
      </c>
      <c r="AH275">
        <v>0</v>
      </c>
      <c r="AI275" t="s">
        <v>50</v>
      </c>
      <c r="AJ275" t="s">
        <v>50</v>
      </c>
      <c r="AK275" t="s">
        <v>50</v>
      </c>
      <c r="AL275" t="s">
        <v>50</v>
      </c>
      <c r="AM275" t="s">
        <v>50</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51</v>
      </c>
      <c r="BP275" s="534">
        <v>0</v>
      </c>
      <c r="BQ275" s="725">
        <v>0</v>
      </c>
      <c r="BR275" t="s">
        <v>50</v>
      </c>
      <c r="BS275" t="s">
        <v>52</v>
      </c>
      <c r="BT275">
        <v>0</v>
      </c>
      <c r="BU275" t="s">
        <v>52</v>
      </c>
      <c r="BV275">
        <v>0</v>
      </c>
      <c r="BW275">
        <v>0</v>
      </c>
      <c r="BX275" t="s">
        <v>50</v>
      </c>
      <c r="BY275">
        <v>0</v>
      </c>
      <c r="BZ275">
        <v>0</v>
      </c>
      <c r="CA275">
        <v>0</v>
      </c>
      <c r="CB275">
        <v>0</v>
      </c>
      <c r="CC275" s="2146">
        <v>0</v>
      </c>
      <c r="CD275" s="2146" t="s">
        <v>50</v>
      </c>
      <c r="CE275" s="2146">
        <v>0</v>
      </c>
      <c r="CF275" s="2146">
        <v>0</v>
      </c>
      <c r="CG275" s="2146">
        <v>0</v>
      </c>
      <c r="CH275">
        <v>0</v>
      </c>
      <c r="CJ275" t="s">
        <v>5691</v>
      </c>
    </row>
    <row r="276" spans="1:88">
      <c r="A276" t="s">
        <v>1288</v>
      </c>
      <c r="B276" t="s">
        <v>1341</v>
      </c>
      <c r="C276" t="s">
        <v>116</v>
      </c>
      <c r="D276" t="s">
        <v>40</v>
      </c>
      <c r="E276" t="s">
        <v>41</v>
      </c>
      <c r="F276" t="s">
        <v>1308</v>
      </c>
      <c r="G276" t="s">
        <v>1342</v>
      </c>
      <c r="H276" t="s">
        <v>1343</v>
      </c>
      <c r="I276" t="s">
        <v>3209</v>
      </c>
      <c r="J276" t="s">
        <v>5408</v>
      </c>
      <c r="K276" t="s">
        <v>45</v>
      </c>
      <c r="M276" t="s">
        <v>46</v>
      </c>
      <c r="N276" t="s">
        <v>137</v>
      </c>
      <c r="O276" t="s">
        <v>281</v>
      </c>
      <c r="P276" t="s">
        <v>1344</v>
      </c>
      <c r="Q276" s="534" t="s">
        <v>51</v>
      </c>
      <c r="S276" t="s">
        <v>497</v>
      </c>
      <c r="W276" t="s">
        <v>1345</v>
      </c>
      <c r="X276" t="s">
        <v>1346</v>
      </c>
      <c r="AD276" t="s">
        <v>50</v>
      </c>
      <c r="AE276" t="s">
        <v>50</v>
      </c>
      <c r="AH276">
        <v>0</v>
      </c>
      <c r="AM276" t="s">
        <v>50</v>
      </c>
      <c r="BH276" t="s">
        <v>1058</v>
      </c>
      <c r="BI276" t="s">
        <v>1058</v>
      </c>
      <c r="BJ276" t="s">
        <v>1058</v>
      </c>
      <c r="BK276" t="s">
        <v>1058</v>
      </c>
      <c r="BN276">
        <v>1</v>
      </c>
      <c r="BO276" t="s">
        <v>51</v>
      </c>
      <c r="BP276" s="534" t="s">
        <v>3298</v>
      </c>
      <c r="BQ276" s="724" t="s">
        <v>3298</v>
      </c>
      <c r="BR276" t="s">
        <v>52</v>
      </c>
      <c r="BS276" t="s">
        <v>52</v>
      </c>
      <c r="BT276">
        <v>0</v>
      </c>
      <c r="BU276" t="s">
        <v>52</v>
      </c>
      <c r="BV276">
        <v>0</v>
      </c>
      <c r="BW276" t="s">
        <v>5692</v>
      </c>
      <c r="BX276" t="s">
        <v>2148</v>
      </c>
      <c r="BY276">
        <v>0</v>
      </c>
      <c r="BZ276">
        <v>0</v>
      </c>
      <c r="CA276">
        <v>0</v>
      </c>
      <c r="CB276">
        <v>0</v>
      </c>
      <c r="CC276" s="2146" t="s">
        <v>5692</v>
      </c>
      <c r="CD276" s="2146" t="s">
        <v>50</v>
      </c>
      <c r="CE276" s="2146">
        <v>0</v>
      </c>
      <c r="CF276" s="2146">
        <v>0</v>
      </c>
      <c r="CG276" s="2146">
        <v>0</v>
      </c>
      <c r="CH276">
        <v>0</v>
      </c>
      <c r="CJ276" t="s">
        <v>5693</v>
      </c>
    </row>
    <row r="277" spans="1:88">
      <c r="A277" t="s">
        <v>1288</v>
      </c>
      <c r="B277" t="s">
        <v>1347</v>
      </c>
      <c r="C277" t="s">
        <v>116</v>
      </c>
      <c r="D277" t="s">
        <v>40</v>
      </c>
      <c r="E277" t="s">
        <v>41</v>
      </c>
      <c r="F277" t="s">
        <v>1308</v>
      </c>
      <c r="G277" t="s">
        <v>1348</v>
      </c>
      <c r="H277" t="s">
        <v>1349</v>
      </c>
      <c r="I277" t="s">
        <v>3210</v>
      </c>
      <c r="J277" t="s">
        <v>5408</v>
      </c>
      <c r="K277" t="s">
        <v>322</v>
      </c>
      <c r="M277" t="s">
        <v>46</v>
      </c>
      <c r="N277" t="s">
        <v>137</v>
      </c>
      <c r="O277" t="s">
        <v>281</v>
      </c>
      <c r="P277" t="s">
        <v>1344</v>
      </c>
      <c r="Q277" s="534" t="s">
        <v>51</v>
      </c>
      <c r="S277" t="s">
        <v>497</v>
      </c>
      <c r="V277" t="s">
        <v>1345</v>
      </c>
      <c r="X277" t="s">
        <v>1346</v>
      </c>
      <c r="AD277" t="s">
        <v>50</v>
      </c>
      <c r="AE277" t="s">
        <v>50</v>
      </c>
      <c r="AH277">
        <v>0</v>
      </c>
      <c r="AM277" t="s">
        <v>50</v>
      </c>
      <c r="BH277" t="s">
        <v>1058</v>
      </c>
      <c r="BI277" t="s">
        <v>1058</v>
      </c>
      <c r="BJ277" t="s">
        <v>1058</v>
      </c>
      <c r="BK277" t="s">
        <v>1058</v>
      </c>
      <c r="BN277">
        <v>1</v>
      </c>
      <c r="BO277" t="s">
        <v>51</v>
      </c>
      <c r="BP277" s="534" t="s">
        <v>3298</v>
      </c>
      <c r="BQ277" s="724" t="s">
        <v>3298</v>
      </c>
      <c r="BR277" t="s">
        <v>52</v>
      </c>
      <c r="BS277" t="s">
        <v>52</v>
      </c>
      <c r="BT277">
        <v>0</v>
      </c>
      <c r="BU277" t="s">
        <v>52</v>
      </c>
      <c r="BV277">
        <v>0</v>
      </c>
      <c r="BW277" t="s">
        <v>5692</v>
      </c>
      <c r="BX277" t="s">
        <v>2148</v>
      </c>
      <c r="BY277">
        <v>0</v>
      </c>
      <c r="BZ277">
        <v>0</v>
      </c>
      <c r="CA277">
        <v>0</v>
      </c>
      <c r="CB277">
        <v>0</v>
      </c>
      <c r="CC277" s="2146" t="s">
        <v>5692</v>
      </c>
      <c r="CD277" s="2146" t="s">
        <v>50</v>
      </c>
      <c r="CE277" s="2146">
        <v>0</v>
      </c>
      <c r="CF277" s="2146">
        <v>0</v>
      </c>
      <c r="CG277" s="2146">
        <v>0</v>
      </c>
      <c r="CH277">
        <v>0</v>
      </c>
      <c r="CJ277" t="s">
        <v>5694</v>
      </c>
    </row>
    <row r="278" spans="1:88">
      <c r="A278" t="s">
        <v>1288</v>
      </c>
      <c r="B278" t="s">
        <v>1350</v>
      </c>
      <c r="C278" t="s">
        <v>116</v>
      </c>
      <c r="D278" t="s">
        <v>40</v>
      </c>
      <c r="E278" t="s">
        <v>41</v>
      </c>
      <c r="F278" t="s">
        <v>1308</v>
      </c>
      <c r="G278" t="s">
        <v>1351</v>
      </c>
      <c r="H278" t="s">
        <v>1352</v>
      </c>
      <c r="I278" t="s">
        <v>3211</v>
      </c>
      <c r="J278" t="s">
        <v>5408</v>
      </c>
      <c r="K278" t="s">
        <v>45</v>
      </c>
      <c r="M278" t="s">
        <v>46</v>
      </c>
      <c r="N278" t="s">
        <v>137</v>
      </c>
      <c r="O278" t="s">
        <v>281</v>
      </c>
      <c r="P278" t="s">
        <v>1344</v>
      </c>
      <c r="Q278" s="534" t="s">
        <v>51</v>
      </c>
      <c r="S278" t="s">
        <v>497</v>
      </c>
      <c r="V278" t="s">
        <v>1345</v>
      </c>
      <c r="W278" t="s">
        <v>1353</v>
      </c>
      <c r="X278" t="s">
        <v>1354</v>
      </c>
      <c r="AD278" t="s">
        <v>50</v>
      </c>
      <c r="AE278" t="s">
        <v>50</v>
      </c>
      <c r="AH278">
        <v>0</v>
      </c>
      <c r="AL278" t="s">
        <v>50</v>
      </c>
      <c r="AM278" t="s">
        <v>50</v>
      </c>
      <c r="BH278">
        <v>2.63</v>
      </c>
      <c r="BI278">
        <v>0.86</v>
      </c>
      <c r="BJ278">
        <v>0.34</v>
      </c>
      <c r="BN278">
        <v>1</v>
      </c>
      <c r="BO278" t="s">
        <v>51</v>
      </c>
      <c r="BP278" s="534" t="s">
        <v>3298</v>
      </c>
      <c r="BQ278" s="724" t="s">
        <v>3298</v>
      </c>
      <c r="BR278" t="s">
        <v>52</v>
      </c>
      <c r="BS278" t="s">
        <v>52</v>
      </c>
      <c r="BT278">
        <v>0</v>
      </c>
      <c r="BU278" t="s">
        <v>52</v>
      </c>
      <c r="BV278">
        <v>0</v>
      </c>
      <c r="BW278" t="s">
        <v>5692</v>
      </c>
      <c r="BX278" t="s">
        <v>2148</v>
      </c>
      <c r="BY278">
        <v>0</v>
      </c>
      <c r="BZ278">
        <v>0</v>
      </c>
      <c r="CA278">
        <v>0</v>
      </c>
      <c r="CB278">
        <v>0</v>
      </c>
      <c r="CC278" s="2146" t="s">
        <v>5692</v>
      </c>
      <c r="CD278" s="2146" t="s">
        <v>50</v>
      </c>
      <c r="CE278" s="2146">
        <v>0</v>
      </c>
      <c r="CF278" s="2146">
        <v>0</v>
      </c>
      <c r="CG278" s="2146">
        <v>0</v>
      </c>
      <c r="CH278">
        <v>0</v>
      </c>
      <c r="CJ278" t="s">
        <v>5695</v>
      </c>
    </row>
    <row r="279" spans="1:88">
      <c r="A279" t="s">
        <v>1288</v>
      </c>
      <c r="B279" t="s">
        <v>1355</v>
      </c>
      <c r="C279" t="s">
        <v>116</v>
      </c>
      <c r="D279" t="s">
        <v>40</v>
      </c>
      <c r="E279" t="s">
        <v>41</v>
      </c>
      <c r="F279" t="s">
        <v>1308</v>
      </c>
      <c r="G279" t="s">
        <v>1356</v>
      </c>
      <c r="H279" t="s">
        <v>1357</v>
      </c>
      <c r="I279" t="s">
        <v>3212</v>
      </c>
      <c r="J279" t="s">
        <v>5408</v>
      </c>
      <c r="K279" t="s">
        <v>322</v>
      </c>
      <c r="M279" t="s">
        <v>46</v>
      </c>
      <c r="N279" t="s">
        <v>137</v>
      </c>
      <c r="O279" t="s">
        <v>281</v>
      </c>
      <c r="P279" t="s">
        <v>1344</v>
      </c>
      <c r="Q279" s="534" t="s">
        <v>51</v>
      </c>
      <c r="S279" t="s">
        <v>497</v>
      </c>
      <c r="V279" t="s">
        <v>1345</v>
      </c>
      <c r="W279" t="s">
        <v>1353</v>
      </c>
      <c r="X279" t="s">
        <v>1354</v>
      </c>
      <c r="AD279" t="s">
        <v>50</v>
      </c>
      <c r="AE279" t="s">
        <v>50</v>
      </c>
      <c r="AH279">
        <v>0</v>
      </c>
      <c r="AL279" t="s">
        <v>50</v>
      </c>
      <c r="AM279" t="s">
        <v>50</v>
      </c>
      <c r="BH279">
        <v>0.497</v>
      </c>
      <c r="BI279">
        <v>0.16300000000000001</v>
      </c>
      <c r="BJ279">
        <v>6.4000000000000001E-2</v>
      </c>
      <c r="BN279">
        <v>1</v>
      </c>
      <c r="BO279" t="s">
        <v>51</v>
      </c>
      <c r="BP279" s="534" t="s">
        <v>3298</v>
      </c>
      <c r="BQ279" s="724" t="s">
        <v>3298</v>
      </c>
      <c r="BR279" t="s">
        <v>52</v>
      </c>
      <c r="BS279" t="s">
        <v>52</v>
      </c>
      <c r="BT279">
        <v>0</v>
      </c>
      <c r="BU279" t="s">
        <v>52</v>
      </c>
      <c r="BV279">
        <v>0</v>
      </c>
      <c r="BW279" t="s">
        <v>5692</v>
      </c>
      <c r="BX279" t="s">
        <v>2148</v>
      </c>
      <c r="BY279">
        <v>0</v>
      </c>
      <c r="BZ279">
        <v>0</v>
      </c>
      <c r="CA279">
        <v>0</v>
      </c>
      <c r="CB279">
        <v>0</v>
      </c>
      <c r="CC279" s="2146" t="s">
        <v>5692</v>
      </c>
      <c r="CD279" s="2146" t="s">
        <v>50</v>
      </c>
      <c r="CE279" s="2146">
        <v>0</v>
      </c>
      <c r="CF279" s="2146">
        <v>0</v>
      </c>
      <c r="CG279" s="2146">
        <v>0</v>
      </c>
      <c r="CH279">
        <v>0</v>
      </c>
      <c r="CJ279" t="s">
        <v>5696</v>
      </c>
    </row>
    <row r="280" spans="1:88">
      <c r="A280" t="s">
        <v>1288</v>
      </c>
      <c r="B280" t="s">
        <v>1358</v>
      </c>
      <c r="C280" t="s">
        <v>116</v>
      </c>
      <c r="D280" t="s">
        <v>40</v>
      </c>
      <c r="E280" t="s">
        <v>41</v>
      </c>
      <c r="F280" t="s">
        <v>1308</v>
      </c>
      <c r="G280" t="s">
        <v>1359</v>
      </c>
      <c r="H280" t="s">
        <v>1360</v>
      </c>
      <c r="I280" t="s">
        <v>3213</v>
      </c>
      <c r="J280" t="s">
        <v>5408</v>
      </c>
      <c r="K280" t="s">
        <v>45</v>
      </c>
      <c r="M280" t="s">
        <v>46</v>
      </c>
      <c r="N280" t="s">
        <v>137</v>
      </c>
      <c r="O280" t="s">
        <v>281</v>
      </c>
      <c r="P280" t="s">
        <v>1187</v>
      </c>
      <c r="Q280" s="534" t="s">
        <v>51</v>
      </c>
      <c r="S280" t="s">
        <v>497</v>
      </c>
      <c r="U280" t="s">
        <v>1361</v>
      </c>
      <c r="AD280" t="s">
        <v>50</v>
      </c>
      <c r="AE280" t="s">
        <v>50</v>
      </c>
      <c r="AH280">
        <v>0</v>
      </c>
      <c r="AJ280" t="s">
        <v>50</v>
      </c>
      <c r="AK280" t="s">
        <v>50</v>
      </c>
      <c r="AL280" t="s">
        <v>50</v>
      </c>
      <c r="AM280" t="s">
        <v>50</v>
      </c>
      <c r="BH280">
        <v>2.0499999999999998</v>
      </c>
      <c r="BN280">
        <v>1</v>
      </c>
      <c r="BO280" t="s">
        <v>51</v>
      </c>
      <c r="BP280" s="534" t="s">
        <v>3298</v>
      </c>
      <c r="BQ280" s="724" t="s">
        <v>3298</v>
      </c>
      <c r="BR280" t="s">
        <v>52</v>
      </c>
      <c r="BS280" t="s">
        <v>52</v>
      </c>
      <c r="BT280">
        <v>0</v>
      </c>
      <c r="BU280" t="s">
        <v>52</v>
      </c>
      <c r="BV280">
        <v>0</v>
      </c>
      <c r="BW280" t="s">
        <v>5697</v>
      </c>
      <c r="BX280" t="s">
        <v>50</v>
      </c>
      <c r="BY280">
        <v>0</v>
      </c>
      <c r="BZ280">
        <v>0</v>
      </c>
      <c r="CA280">
        <v>0</v>
      </c>
      <c r="CB280">
        <v>0</v>
      </c>
      <c r="CC280" s="2146" t="s">
        <v>5697</v>
      </c>
      <c r="CD280" s="2146" t="s">
        <v>50</v>
      </c>
      <c r="CE280" s="2146">
        <v>0</v>
      </c>
      <c r="CF280" s="2146">
        <v>0</v>
      </c>
      <c r="CG280" s="2146">
        <v>0</v>
      </c>
      <c r="CH280">
        <v>0</v>
      </c>
      <c r="CJ280" t="s">
        <v>5698</v>
      </c>
    </row>
    <row r="281" spans="1:88">
      <c r="A281" t="s">
        <v>1288</v>
      </c>
      <c r="B281" t="s">
        <v>1362</v>
      </c>
      <c r="C281" t="s">
        <v>116</v>
      </c>
      <c r="D281" t="s">
        <v>40</v>
      </c>
      <c r="E281" t="s">
        <v>41</v>
      </c>
      <c r="F281" t="s">
        <v>1308</v>
      </c>
      <c r="G281" t="s">
        <v>1363</v>
      </c>
      <c r="H281" t="s">
        <v>1364</v>
      </c>
      <c r="I281" t="s">
        <v>3214</v>
      </c>
      <c r="J281" t="s">
        <v>5408</v>
      </c>
      <c r="K281" t="s">
        <v>322</v>
      </c>
      <c r="M281" t="s">
        <v>46</v>
      </c>
      <c r="N281" t="s">
        <v>137</v>
      </c>
      <c r="O281" t="s">
        <v>281</v>
      </c>
      <c r="P281" t="s">
        <v>1187</v>
      </c>
      <c r="Q281" s="534" t="s">
        <v>51</v>
      </c>
      <c r="S281" t="s">
        <v>497</v>
      </c>
      <c r="U281" t="s">
        <v>1361</v>
      </c>
      <c r="AD281" t="s">
        <v>50</v>
      </c>
      <c r="AE281" t="s">
        <v>50</v>
      </c>
      <c r="AH281">
        <v>0</v>
      </c>
      <c r="AJ281" t="s">
        <v>50</v>
      </c>
      <c r="BH281">
        <v>38.6</v>
      </c>
      <c r="BN281">
        <v>1</v>
      </c>
      <c r="BO281" t="s">
        <v>51</v>
      </c>
      <c r="BP281" s="534" t="s">
        <v>3298</v>
      </c>
      <c r="BQ281" s="724" t="s">
        <v>3298</v>
      </c>
      <c r="BR281" t="s">
        <v>52</v>
      </c>
      <c r="BS281" t="s">
        <v>52</v>
      </c>
      <c r="BT281">
        <v>0</v>
      </c>
      <c r="BU281" t="s">
        <v>52</v>
      </c>
      <c r="BV281">
        <v>0</v>
      </c>
      <c r="BW281" t="s">
        <v>5697</v>
      </c>
      <c r="BX281" t="s">
        <v>50</v>
      </c>
      <c r="BY281">
        <v>0</v>
      </c>
      <c r="BZ281">
        <v>0</v>
      </c>
      <c r="CA281">
        <v>0</v>
      </c>
      <c r="CB281">
        <v>0</v>
      </c>
      <c r="CC281" s="2146" t="s">
        <v>5697</v>
      </c>
      <c r="CD281" s="2146" t="s">
        <v>50</v>
      </c>
      <c r="CE281" s="2146">
        <v>0</v>
      </c>
      <c r="CF281" s="2146">
        <v>0</v>
      </c>
      <c r="CG281" s="2146">
        <v>0</v>
      </c>
      <c r="CH281">
        <v>0</v>
      </c>
      <c r="CJ281" t="s">
        <v>5699</v>
      </c>
    </row>
    <row r="282" spans="1:88">
      <c r="A282" t="s">
        <v>1288</v>
      </c>
      <c r="B282" t="s">
        <v>1365</v>
      </c>
      <c r="C282" t="s">
        <v>116</v>
      </c>
      <c r="D282" t="s">
        <v>40</v>
      </c>
      <c r="E282" t="s">
        <v>41</v>
      </c>
      <c r="F282" t="s">
        <v>1366</v>
      </c>
      <c r="G282" t="s">
        <v>84</v>
      </c>
      <c r="H282" t="s">
        <v>1367</v>
      </c>
      <c r="I282" t="s">
        <v>1368</v>
      </c>
      <c r="J282" t="s">
        <v>5406</v>
      </c>
      <c r="K282" t="s">
        <v>45</v>
      </c>
      <c r="L282" t="s">
        <v>50</v>
      </c>
      <c r="N282" t="s">
        <v>113</v>
      </c>
      <c r="O282" t="s">
        <v>76</v>
      </c>
      <c r="P282" t="s">
        <v>193</v>
      </c>
      <c r="Q282" s="534">
        <v>0</v>
      </c>
      <c r="R282" t="s">
        <v>3264</v>
      </c>
      <c r="S282">
        <v>45</v>
      </c>
      <c r="T282">
        <v>47</v>
      </c>
      <c r="U282">
        <v>47</v>
      </c>
      <c r="V282">
        <v>52</v>
      </c>
      <c r="W282">
        <v>53</v>
      </c>
      <c r="X282">
        <v>55</v>
      </c>
      <c r="AH282">
        <v>0</v>
      </c>
      <c r="AI282" t="s">
        <v>50</v>
      </c>
      <c r="AJ282" t="s">
        <v>50</v>
      </c>
      <c r="AK282" t="s">
        <v>50</v>
      </c>
      <c r="AL282" t="s">
        <v>50</v>
      </c>
      <c r="AM282" t="s">
        <v>50</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51</v>
      </c>
      <c r="BP282" s="534">
        <v>51</v>
      </c>
      <c r="BQ282" s="725">
        <v>57.5</v>
      </c>
      <c r="BR282" t="s">
        <v>50</v>
      </c>
      <c r="BS282" t="s">
        <v>5425</v>
      </c>
      <c r="BT282">
        <v>0.125</v>
      </c>
      <c r="BU282" t="s">
        <v>52</v>
      </c>
      <c r="BV282">
        <v>0</v>
      </c>
      <c r="BW282">
        <v>58</v>
      </c>
      <c r="BX282" t="s">
        <v>50</v>
      </c>
      <c r="BY282" t="s">
        <v>5425</v>
      </c>
      <c r="BZ282">
        <v>0.125</v>
      </c>
      <c r="CA282">
        <v>0</v>
      </c>
      <c r="CB282">
        <v>0</v>
      </c>
      <c r="CC282" s="2146">
        <v>59</v>
      </c>
      <c r="CD282" s="2146" t="s">
        <v>50</v>
      </c>
      <c r="CE282" s="2146" t="s">
        <v>5379</v>
      </c>
      <c r="CF282" s="2146">
        <v>0</v>
      </c>
      <c r="CG282" s="2146">
        <v>0</v>
      </c>
      <c r="CH282">
        <v>0</v>
      </c>
      <c r="CJ282" t="s">
        <v>5700</v>
      </c>
    </row>
    <row r="283" spans="1:88">
      <c r="A283" t="s">
        <v>1288</v>
      </c>
      <c r="B283" t="s">
        <v>1369</v>
      </c>
      <c r="C283" t="s">
        <v>116</v>
      </c>
      <c r="D283" t="s">
        <v>40</v>
      </c>
      <c r="E283" t="s">
        <v>41</v>
      </c>
      <c r="F283" t="s">
        <v>1370</v>
      </c>
      <c r="G283" t="s">
        <v>147</v>
      </c>
      <c r="H283" t="s">
        <v>1371</v>
      </c>
      <c r="I283" t="s">
        <v>1372</v>
      </c>
      <c r="J283" t="s">
        <v>5406</v>
      </c>
      <c r="K283" t="s">
        <v>45</v>
      </c>
      <c r="N283" t="s">
        <v>175</v>
      </c>
      <c r="O283" t="s">
        <v>48</v>
      </c>
      <c r="P283" t="s">
        <v>1373</v>
      </c>
      <c r="Q283" s="534">
        <v>0</v>
      </c>
      <c r="R283" t="s">
        <v>3264</v>
      </c>
      <c r="X283">
        <v>31</v>
      </c>
      <c r="AF283" t="s">
        <v>50</v>
      </c>
      <c r="AH283">
        <v>0</v>
      </c>
      <c r="AM283" t="s">
        <v>50</v>
      </c>
      <c r="AR283">
        <v>0</v>
      </c>
      <c r="AW283">
        <v>31</v>
      </c>
      <c r="BB283">
        <v>31</v>
      </c>
      <c r="BG283">
        <v>999999</v>
      </c>
      <c r="BH283">
        <v>0.15</v>
      </c>
      <c r="BL283">
        <v>0.15</v>
      </c>
      <c r="BN283">
        <v>1</v>
      </c>
      <c r="BO283" t="s">
        <v>51</v>
      </c>
      <c r="BP283" s="534">
        <v>0</v>
      </c>
      <c r="BQ283" s="725">
        <v>0</v>
      </c>
      <c r="BR283" t="s">
        <v>52</v>
      </c>
      <c r="BS283" t="s">
        <v>52</v>
      </c>
      <c r="BT283">
        <v>0</v>
      </c>
      <c r="BU283" t="s">
        <v>52</v>
      </c>
      <c r="BV283">
        <v>0</v>
      </c>
      <c r="BW283">
        <v>7</v>
      </c>
      <c r="BX283" t="s">
        <v>2148</v>
      </c>
      <c r="BY283">
        <v>0</v>
      </c>
      <c r="BZ283">
        <v>0</v>
      </c>
      <c r="CA283">
        <v>0</v>
      </c>
      <c r="CB283">
        <v>0</v>
      </c>
      <c r="CC283" s="2146">
        <v>3</v>
      </c>
      <c r="CD283" s="2146" t="s">
        <v>2148</v>
      </c>
      <c r="CE283" s="2146">
        <v>0</v>
      </c>
      <c r="CF283" s="2146">
        <v>0</v>
      </c>
      <c r="CG283" s="2146">
        <v>0</v>
      </c>
      <c r="CH283">
        <v>0</v>
      </c>
      <c r="CJ283" t="s">
        <v>5701</v>
      </c>
    </row>
    <row r="284" spans="1:88">
      <c r="A284" t="s">
        <v>1288</v>
      </c>
      <c r="B284" t="s">
        <v>1374</v>
      </c>
      <c r="C284" t="s">
        <v>116</v>
      </c>
      <c r="D284" t="s">
        <v>40</v>
      </c>
      <c r="E284" t="s">
        <v>41</v>
      </c>
      <c r="F284" t="s">
        <v>1370</v>
      </c>
      <c r="G284" t="s">
        <v>152</v>
      </c>
      <c r="H284" t="s">
        <v>1375</v>
      </c>
      <c r="I284" t="s">
        <v>1376</v>
      </c>
      <c r="J284" t="s">
        <v>69</v>
      </c>
      <c r="N284" t="s">
        <v>175</v>
      </c>
      <c r="O284" t="s">
        <v>76</v>
      </c>
      <c r="P284" t="s">
        <v>1377</v>
      </c>
      <c r="Q284" s="534">
        <v>0</v>
      </c>
      <c r="R284" t="s">
        <v>3264</v>
      </c>
      <c r="S284" t="s">
        <v>202</v>
      </c>
      <c r="T284">
        <v>100</v>
      </c>
      <c r="U284">
        <v>100</v>
      </c>
      <c r="V284">
        <v>100</v>
      </c>
      <c r="W284">
        <v>100</v>
      </c>
      <c r="X284">
        <v>100</v>
      </c>
      <c r="AF284" t="s">
        <v>50</v>
      </c>
      <c r="AH284">
        <v>0</v>
      </c>
      <c r="BP284" s="534">
        <v>95.740000000000009</v>
      </c>
      <c r="BQ284" s="725">
        <v>97.508496246767137</v>
      </c>
      <c r="BR284" t="s">
        <v>46</v>
      </c>
      <c r="BS284" t="s">
        <v>52</v>
      </c>
      <c r="BT284">
        <v>0</v>
      </c>
      <c r="BU284" t="s">
        <v>52</v>
      </c>
      <c r="BV284">
        <v>0</v>
      </c>
      <c r="BW284">
        <v>97.988160870777804</v>
      </c>
      <c r="BX284" t="s">
        <v>46</v>
      </c>
      <c r="BY284">
        <v>0</v>
      </c>
      <c r="BZ284">
        <v>0</v>
      </c>
      <c r="CA284">
        <v>0</v>
      </c>
      <c r="CB284">
        <v>0</v>
      </c>
      <c r="CC284" s="2146">
        <v>97.7</v>
      </c>
      <c r="CD284" s="2146" t="s">
        <v>46</v>
      </c>
      <c r="CE284" s="2146">
        <v>0</v>
      </c>
      <c r="CF284" s="2146">
        <v>0</v>
      </c>
      <c r="CG284" s="2146">
        <v>0</v>
      </c>
      <c r="CH284">
        <v>0</v>
      </c>
      <c r="CJ284" t="s">
        <v>5702</v>
      </c>
    </row>
    <row r="285" spans="1:88">
      <c r="A285" t="s">
        <v>1288</v>
      </c>
      <c r="B285" t="s">
        <v>1378</v>
      </c>
      <c r="C285" t="s">
        <v>116</v>
      </c>
      <c r="D285" t="s">
        <v>40</v>
      </c>
      <c r="E285" t="s">
        <v>41</v>
      </c>
      <c r="F285" t="s">
        <v>1370</v>
      </c>
      <c r="G285" t="s">
        <v>156</v>
      </c>
      <c r="H285" t="s">
        <v>1379</v>
      </c>
      <c r="I285" t="s">
        <v>1380</v>
      </c>
      <c r="J285" t="s">
        <v>69</v>
      </c>
      <c r="N285" t="s">
        <v>169</v>
      </c>
      <c r="O285" t="s">
        <v>48</v>
      </c>
      <c r="P285" t="s">
        <v>1381</v>
      </c>
      <c r="Q285" s="534">
        <v>0</v>
      </c>
      <c r="R285" t="s">
        <v>3264</v>
      </c>
      <c r="S285">
        <v>334</v>
      </c>
      <c r="X285">
        <v>409</v>
      </c>
      <c r="AF285" t="s">
        <v>50</v>
      </c>
      <c r="AH285">
        <v>0</v>
      </c>
      <c r="BP285" s="534">
        <v>328</v>
      </c>
      <c r="BQ285" s="725">
        <v>322.89999999999998</v>
      </c>
      <c r="BR285" t="s">
        <v>52</v>
      </c>
      <c r="BS285" t="s">
        <v>52</v>
      </c>
      <c r="BT285">
        <v>0</v>
      </c>
      <c r="BU285" t="s">
        <v>52</v>
      </c>
      <c r="BV285">
        <v>0</v>
      </c>
      <c r="BW285">
        <v>293</v>
      </c>
      <c r="BX285" t="s">
        <v>2148</v>
      </c>
      <c r="BY285">
        <v>0</v>
      </c>
      <c r="BZ285">
        <v>0</v>
      </c>
      <c r="CA285">
        <v>0</v>
      </c>
      <c r="CB285">
        <v>0</v>
      </c>
      <c r="CC285" s="2146">
        <v>337</v>
      </c>
      <c r="CD285" s="2146" t="s">
        <v>2148</v>
      </c>
      <c r="CE285" s="2146">
        <v>0</v>
      </c>
      <c r="CF285" s="2146">
        <v>0</v>
      </c>
      <c r="CG285" s="2146">
        <v>0</v>
      </c>
      <c r="CH285">
        <v>0</v>
      </c>
      <c r="CJ285" t="s">
        <v>5703</v>
      </c>
    </row>
    <row r="286" spans="1:88">
      <c r="A286" t="s">
        <v>1288</v>
      </c>
      <c r="B286" t="s">
        <v>1382</v>
      </c>
      <c r="C286" t="s">
        <v>116</v>
      </c>
      <c r="D286" t="s">
        <v>40</v>
      </c>
      <c r="E286" t="s">
        <v>41</v>
      </c>
      <c r="F286" t="s">
        <v>1370</v>
      </c>
      <c r="G286" t="s">
        <v>161</v>
      </c>
      <c r="H286" t="s">
        <v>1383</v>
      </c>
      <c r="I286" t="s">
        <v>1384</v>
      </c>
      <c r="J286" t="s">
        <v>69</v>
      </c>
      <c r="N286" t="s">
        <v>175</v>
      </c>
      <c r="O286" t="s">
        <v>48</v>
      </c>
      <c r="P286" t="s">
        <v>1385</v>
      </c>
      <c r="Q286" s="534">
        <v>0</v>
      </c>
      <c r="W286" t="s">
        <v>448</v>
      </c>
      <c r="AF286" t="s">
        <v>50</v>
      </c>
      <c r="AH286">
        <v>0</v>
      </c>
      <c r="BP286" s="534">
        <v>0</v>
      </c>
      <c r="BQ286" s="724">
        <v>0</v>
      </c>
      <c r="BR286" t="s">
        <v>52</v>
      </c>
      <c r="BS286" t="s">
        <v>52</v>
      </c>
      <c r="BT286">
        <v>0</v>
      </c>
      <c r="BU286" t="s">
        <v>52</v>
      </c>
      <c r="BV286">
        <v>0</v>
      </c>
      <c r="BW286">
        <v>0</v>
      </c>
      <c r="BX286" t="s">
        <v>2148</v>
      </c>
      <c r="BY286">
        <v>0</v>
      </c>
      <c r="BZ286">
        <v>0</v>
      </c>
      <c r="CA286">
        <v>0</v>
      </c>
      <c r="CB286">
        <v>0</v>
      </c>
      <c r="CC286" s="2146">
        <v>0</v>
      </c>
      <c r="CD286" s="2146" t="s">
        <v>2148</v>
      </c>
      <c r="CE286" s="2146">
        <v>0</v>
      </c>
      <c r="CF286" s="2146">
        <v>0</v>
      </c>
      <c r="CG286" s="2146">
        <v>0</v>
      </c>
      <c r="CH286">
        <v>0</v>
      </c>
      <c r="CJ286" t="s">
        <v>5704</v>
      </c>
    </row>
    <row r="287" spans="1:88">
      <c r="A287" t="s">
        <v>1288</v>
      </c>
      <c r="B287" t="s">
        <v>1386</v>
      </c>
      <c r="C287" t="s">
        <v>116</v>
      </c>
      <c r="D287" t="s">
        <v>40</v>
      </c>
      <c r="E287" t="s">
        <v>41</v>
      </c>
      <c r="F287" t="s">
        <v>1387</v>
      </c>
      <c r="G287" t="s">
        <v>166</v>
      </c>
      <c r="H287" t="s">
        <v>1388</v>
      </c>
      <c r="I287" t="s">
        <v>1389</v>
      </c>
      <c r="J287" t="s">
        <v>5406</v>
      </c>
      <c r="K287" t="s">
        <v>45</v>
      </c>
      <c r="L287" t="s">
        <v>50</v>
      </c>
      <c r="N287" t="s">
        <v>182</v>
      </c>
      <c r="O287" t="s">
        <v>48</v>
      </c>
      <c r="P287" t="s">
        <v>603</v>
      </c>
      <c r="Q287" s="534">
        <v>3</v>
      </c>
      <c r="R287" t="s">
        <v>3263</v>
      </c>
      <c r="S287">
        <v>229</v>
      </c>
      <c r="T287">
        <v>228</v>
      </c>
      <c r="U287">
        <v>224</v>
      </c>
      <c r="V287">
        <v>222</v>
      </c>
      <c r="W287">
        <v>220</v>
      </c>
      <c r="X287">
        <v>216</v>
      </c>
      <c r="AH287">
        <v>0</v>
      </c>
      <c r="AI287" t="s">
        <v>50</v>
      </c>
      <c r="AJ287" t="s">
        <v>50</v>
      </c>
      <c r="AK287" t="s">
        <v>50</v>
      </c>
      <c r="AL287" t="s">
        <v>50</v>
      </c>
      <c r="AM287" t="s">
        <v>50</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51</v>
      </c>
      <c r="BP287" s="534">
        <v>239.07913858581199</v>
      </c>
      <c r="BQ287" s="736">
        <v>246.63200000000001</v>
      </c>
      <c r="BR287" t="s">
        <v>46</v>
      </c>
      <c r="BS287" t="s">
        <v>5415</v>
      </c>
      <c r="BT287">
        <v>-0.27258616000000002</v>
      </c>
      <c r="BU287" t="s">
        <v>52</v>
      </c>
      <c r="BV287">
        <v>0</v>
      </c>
      <c r="BW287">
        <v>250</v>
      </c>
      <c r="BX287" t="s">
        <v>46</v>
      </c>
      <c r="BY287" t="s">
        <v>5415</v>
      </c>
      <c r="BZ287">
        <v>-0.38038</v>
      </c>
      <c r="CA287">
        <v>0</v>
      </c>
      <c r="CB287">
        <v>0</v>
      </c>
      <c r="CC287" s="2146">
        <v>256</v>
      </c>
      <c r="CD287" s="2146" t="s">
        <v>46</v>
      </c>
      <c r="CE287" s="2146" t="s">
        <v>13444</v>
      </c>
      <c r="CF287" s="2146">
        <v>-0.49741999999999997</v>
      </c>
      <c r="CG287" s="2146">
        <v>0</v>
      </c>
      <c r="CH287">
        <v>0</v>
      </c>
      <c r="CJ287" t="s">
        <v>5705</v>
      </c>
    </row>
    <row r="288" spans="1:88">
      <c r="A288" t="s">
        <v>1288</v>
      </c>
      <c r="B288" t="s">
        <v>1390</v>
      </c>
      <c r="C288" t="s">
        <v>116</v>
      </c>
      <c r="D288" t="s">
        <v>40</v>
      </c>
      <c r="E288" t="s">
        <v>41</v>
      </c>
      <c r="F288" t="s">
        <v>1391</v>
      </c>
      <c r="G288" t="s">
        <v>179</v>
      </c>
      <c r="H288" t="s">
        <v>1392</v>
      </c>
      <c r="I288" t="s">
        <v>1393</v>
      </c>
      <c r="J288" t="s">
        <v>69</v>
      </c>
      <c r="N288" t="s">
        <v>923</v>
      </c>
      <c r="O288" t="s">
        <v>48</v>
      </c>
      <c r="P288" t="s">
        <v>1394</v>
      </c>
      <c r="Q288" s="534">
        <v>0</v>
      </c>
      <c r="S288">
        <v>75000</v>
      </c>
      <c r="T288">
        <v>155000</v>
      </c>
      <c r="U288">
        <v>160000</v>
      </c>
      <c r="V288">
        <v>140000</v>
      </c>
      <c r="W288">
        <v>120000</v>
      </c>
      <c r="X288">
        <v>125000</v>
      </c>
      <c r="AH288">
        <v>0</v>
      </c>
      <c r="BP288" s="534">
        <v>52127</v>
      </c>
      <c r="BQ288" s="725">
        <v>117728</v>
      </c>
      <c r="BR288" t="s">
        <v>46</v>
      </c>
      <c r="BS288" t="s">
        <v>52</v>
      </c>
      <c r="BT288">
        <v>0</v>
      </c>
      <c r="BU288" t="s">
        <v>52</v>
      </c>
      <c r="BV288">
        <v>0</v>
      </c>
      <c r="BW288">
        <v>167024</v>
      </c>
      <c r="BX288" t="s">
        <v>50</v>
      </c>
      <c r="BY288">
        <v>0</v>
      </c>
      <c r="BZ288">
        <v>0</v>
      </c>
      <c r="CA288">
        <v>0</v>
      </c>
      <c r="CB288">
        <v>0</v>
      </c>
      <c r="CC288" s="2146">
        <v>200536</v>
      </c>
      <c r="CD288" s="2146" t="s">
        <v>50</v>
      </c>
      <c r="CE288" s="2146">
        <v>0</v>
      </c>
      <c r="CF288" s="2146">
        <v>0</v>
      </c>
      <c r="CG288" s="2146">
        <v>0</v>
      </c>
      <c r="CH288">
        <v>0</v>
      </c>
      <c r="CJ288" t="s">
        <v>5706</v>
      </c>
    </row>
    <row r="289" spans="1:88">
      <c r="A289" t="s">
        <v>1288</v>
      </c>
      <c r="B289" t="s">
        <v>1395</v>
      </c>
      <c r="C289" t="s">
        <v>116</v>
      </c>
      <c r="D289" t="s">
        <v>214</v>
      </c>
      <c r="E289" t="s">
        <v>215</v>
      </c>
      <c r="F289" t="s">
        <v>1396</v>
      </c>
      <c r="G289" t="s">
        <v>608</v>
      </c>
      <c r="H289" t="s">
        <v>1397</v>
      </c>
      <c r="I289" t="s">
        <v>1398</v>
      </c>
      <c r="J289" t="s">
        <v>5406</v>
      </c>
      <c r="K289" t="s">
        <v>45</v>
      </c>
      <c r="L289" t="s">
        <v>50</v>
      </c>
      <c r="M289" t="s">
        <v>46</v>
      </c>
      <c r="N289" t="s">
        <v>219</v>
      </c>
      <c r="O289" t="s">
        <v>48</v>
      </c>
      <c r="P289" t="s">
        <v>1141</v>
      </c>
      <c r="Q289" s="534">
        <v>0</v>
      </c>
      <c r="R289" t="s">
        <v>3263</v>
      </c>
      <c r="S289">
        <v>1031</v>
      </c>
      <c r="T289">
        <v>1014</v>
      </c>
      <c r="U289">
        <v>989</v>
      </c>
      <c r="V289">
        <v>960</v>
      </c>
      <c r="W289">
        <v>927</v>
      </c>
      <c r="X289">
        <v>892</v>
      </c>
      <c r="AC289" t="s">
        <v>50</v>
      </c>
      <c r="AE289" t="s">
        <v>50</v>
      </c>
      <c r="AH289">
        <v>0</v>
      </c>
      <c r="AI289" t="s">
        <v>50</v>
      </c>
      <c r="AJ289" t="s">
        <v>50</v>
      </c>
      <c r="AK289" t="s">
        <v>50</v>
      </c>
      <c r="AL289" t="s">
        <v>50</v>
      </c>
      <c r="AM289" t="s">
        <v>50</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51</v>
      </c>
      <c r="BP289" s="534">
        <v>1168</v>
      </c>
      <c r="BQ289" s="725">
        <v>809</v>
      </c>
      <c r="BR289" t="s">
        <v>50</v>
      </c>
      <c r="BS289" t="s">
        <v>5425</v>
      </c>
      <c r="BT289">
        <v>8.9922000000000004</v>
      </c>
      <c r="BU289" t="s">
        <v>52</v>
      </c>
      <c r="BV289">
        <v>0</v>
      </c>
      <c r="BW289">
        <v>901</v>
      </c>
      <c r="BX289" t="s">
        <v>50</v>
      </c>
      <c r="BY289" t="s">
        <v>5425</v>
      </c>
      <c r="BZ289">
        <v>3.5463520000000002</v>
      </c>
      <c r="CA289">
        <v>0</v>
      </c>
      <c r="CB289">
        <v>0</v>
      </c>
      <c r="CC289" s="2146">
        <v>662</v>
      </c>
      <c r="CD289" s="2146" t="s">
        <v>50</v>
      </c>
      <c r="CE289" s="2146" t="s">
        <v>5425</v>
      </c>
      <c r="CF289" s="2146">
        <v>12.760359999999999</v>
      </c>
      <c r="CG289" s="2146">
        <v>0</v>
      </c>
      <c r="CH289">
        <v>0</v>
      </c>
      <c r="CJ289" t="s">
        <v>5707</v>
      </c>
    </row>
    <row r="290" spans="1:88">
      <c r="A290" t="s">
        <v>1288</v>
      </c>
      <c r="B290" t="s">
        <v>1399</v>
      </c>
      <c r="C290" t="s">
        <v>116</v>
      </c>
      <c r="D290" t="s">
        <v>214</v>
      </c>
      <c r="E290" t="s">
        <v>215</v>
      </c>
      <c r="F290" t="s">
        <v>1396</v>
      </c>
      <c r="G290" t="s">
        <v>216</v>
      </c>
      <c r="H290" t="s">
        <v>1400</v>
      </c>
      <c r="I290" t="s">
        <v>1401</v>
      </c>
      <c r="J290" t="s">
        <v>5406</v>
      </c>
      <c r="K290" t="s">
        <v>45</v>
      </c>
      <c r="L290" t="s">
        <v>50</v>
      </c>
      <c r="M290" t="s">
        <v>46</v>
      </c>
      <c r="N290" t="s">
        <v>219</v>
      </c>
      <c r="O290" t="s">
        <v>48</v>
      </c>
      <c r="P290" t="s">
        <v>1145</v>
      </c>
      <c r="Q290" s="534">
        <v>0</v>
      </c>
      <c r="R290" t="s">
        <v>3263</v>
      </c>
      <c r="S290">
        <v>7714</v>
      </c>
      <c r="T290">
        <v>7639</v>
      </c>
      <c r="U290">
        <v>7548</v>
      </c>
      <c r="V290">
        <v>7447</v>
      </c>
      <c r="W290">
        <v>7336</v>
      </c>
      <c r="X290">
        <v>7220</v>
      </c>
      <c r="AE290" t="s">
        <v>50</v>
      </c>
      <c r="AH290">
        <v>0</v>
      </c>
      <c r="AI290" t="s">
        <v>50</v>
      </c>
      <c r="AJ290" t="s">
        <v>50</v>
      </c>
      <c r="AK290" t="s">
        <v>50</v>
      </c>
      <c r="AL290" t="s">
        <v>50</v>
      </c>
      <c r="AM290" t="s">
        <v>50</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51</v>
      </c>
      <c r="BP290" s="534">
        <v>9896</v>
      </c>
      <c r="BQ290" s="725">
        <v>7163</v>
      </c>
      <c r="BR290" t="s">
        <v>50</v>
      </c>
      <c r="BS290" t="s">
        <v>5425</v>
      </c>
      <c r="BT290">
        <v>6.1314900000000003</v>
      </c>
      <c r="BU290" t="s">
        <v>52</v>
      </c>
      <c r="BV290">
        <v>0</v>
      </c>
      <c r="BW290">
        <v>5801</v>
      </c>
      <c r="BX290" t="s">
        <v>50</v>
      </c>
      <c r="BY290" t="s">
        <v>5425</v>
      </c>
      <c r="BZ290">
        <v>32.225189</v>
      </c>
      <c r="CA290">
        <v>0</v>
      </c>
      <c r="CB290">
        <v>0</v>
      </c>
      <c r="CC290" s="2146">
        <v>3763</v>
      </c>
      <c r="CD290" s="2146" t="s">
        <v>50</v>
      </c>
      <c r="CE290" s="2146" t="s">
        <v>5425</v>
      </c>
      <c r="CF290" s="2146">
        <v>72.865836000000002</v>
      </c>
      <c r="CG290" s="2146">
        <v>0</v>
      </c>
      <c r="CH290">
        <v>0</v>
      </c>
      <c r="CJ290" t="s">
        <v>5708</v>
      </c>
    </row>
    <row r="291" spans="1:88">
      <c r="A291" t="s">
        <v>1288</v>
      </c>
      <c r="B291" t="s">
        <v>1402</v>
      </c>
      <c r="C291" t="s">
        <v>116</v>
      </c>
      <c r="D291" t="s">
        <v>214</v>
      </c>
      <c r="E291" t="s">
        <v>215</v>
      </c>
      <c r="F291" t="s">
        <v>1396</v>
      </c>
      <c r="G291" t="s">
        <v>222</v>
      </c>
      <c r="H291" t="s">
        <v>1403</v>
      </c>
      <c r="I291" t="s">
        <v>1404</v>
      </c>
      <c r="J291" t="s">
        <v>5406</v>
      </c>
      <c r="K291" t="s">
        <v>45</v>
      </c>
      <c r="N291" t="s">
        <v>861</v>
      </c>
      <c r="O291" t="s">
        <v>48</v>
      </c>
      <c r="P291" t="s">
        <v>1405</v>
      </c>
      <c r="Q291" s="534">
        <v>0</v>
      </c>
      <c r="R291" t="s">
        <v>3264</v>
      </c>
      <c r="S291">
        <v>7</v>
      </c>
      <c r="X291">
        <v>21</v>
      </c>
      <c r="AH291">
        <v>0</v>
      </c>
      <c r="AM291" t="s">
        <v>50</v>
      </c>
      <c r="AR291">
        <v>0</v>
      </c>
      <c r="AW291">
        <v>21</v>
      </c>
      <c r="BB291">
        <v>21</v>
      </c>
      <c r="BG291">
        <v>999999</v>
      </c>
      <c r="BH291">
        <v>6.1171999999999997E-2</v>
      </c>
      <c r="BL291">
        <v>6.1171999999999997E-2</v>
      </c>
      <c r="BN291">
        <v>1</v>
      </c>
      <c r="BO291" t="s">
        <v>51</v>
      </c>
      <c r="BP291" s="534">
        <v>0</v>
      </c>
      <c r="BQ291" s="725">
        <v>0</v>
      </c>
      <c r="BR291" t="s">
        <v>52</v>
      </c>
      <c r="BS291" t="s">
        <v>52</v>
      </c>
      <c r="BT291">
        <v>0</v>
      </c>
      <c r="BU291" t="s">
        <v>52</v>
      </c>
      <c r="BV291">
        <v>0</v>
      </c>
      <c r="BW291">
        <v>0</v>
      </c>
      <c r="BX291" t="s">
        <v>2148</v>
      </c>
      <c r="BY291">
        <v>0</v>
      </c>
      <c r="BZ291">
        <v>0</v>
      </c>
      <c r="CA291">
        <v>0</v>
      </c>
      <c r="CB291">
        <v>0</v>
      </c>
      <c r="CC291" s="2146">
        <v>8</v>
      </c>
      <c r="CD291" s="2146" t="s">
        <v>2148</v>
      </c>
      <c r="CE291" s="2146">
        <v>0</v>
      </c>
      <c r="CF291" s="2146">
        <v>0</v>
      </c>
      <c r="CG291" s="2146">
        <v>0</v>
      </c>
      <c r="CH291">
        <v>0</v>
      </c>
      <c r="CJ291" t="s">
        <v>5709</v>
      </c>
    </row>
    <row r="292" spans="1:88">
      <c r="A292" t="s">
        <v>1288</v>
      </c>
      <c r="B292" t="s">
        <v>1406</v>
      </c>
      <c r="C292" t="s">
        <v>116</v>
      </c>
      <c r="D292" t="s">
        <v>214</v>
      </c>
      <c r="E292" t="s">
        <v>215</v>
      </c>
      <c r="F292" t="s">
        <v>1396</v>
      </c>
      <c r="G292" t="s">
        <v>227</v>
      </c>
      <c r="H292" t="s">
        <v>1407</v>
      </c>
      <c r="I292" t="s">
        <v>1408</v>
      </c>
      <c r="J292" t="s">
        <v>5408</v>
      </c>
      <c r="K292" t="s">
        <v>322</v>
      </c>
      <c r="N292" t="s">
        <v>273</v>
      </c>
      <c r="O292" t="s">
        <v>48</v>
      </c>
      <c r="P292" t="s">
        <v>1409</v>
      </c>
      <c r="Q292" s="534">
        <v>0</v>
      </c>
      <c r="R292" t="s">
        <v>3263</v>
      </c>
      <c r="S292" t="s">
        <v>325</v>
      </c>
      <c r="T292" t="s">
        <v>1410</v>
      </c>
      <c r="U292" t="s">
        <v>1411</v>
      </c>
      <c r="V292" t="s">
        <v>1412</v>
      </c>
      <c r="W292" t="s">
        <v>1413</v>
      </c>
      <c r="X292" t="s">
        <v>1414</v>
      </c>
      <c r="AE292" t="s">
        <v>50</v>
      </c>
      <c r="AH292">
        <v>0</v>
      </c>
      <c r="AI292" t="s">
        <v>50</v>
      </c>
      <c r="AJ292" t="s">
        <v>50</v>
      </c>
      <c r="AK292" t="s">
        <v>50</v>
      </c>
      <c r="AL292" t="s">
        <v>50</v>
      </c>
      <c r="AM292" t="s">
        <v>50</v>
      </c>
      <c r="AN292">
        <v>999999</v>
      </c>
      <c r="AO292">
        <v>999999</v>
      </c>
      <c r="AP292">
        <v>999999</v>
      </c>
      <c r="AQ292">
        <v>999999</v>
      </c>
      <c r="AR292">
        <v>999999</v>
      </c>
      <c r="AS292">
        <v>50470</v>
      </c>
      <c r="AT292">
        <v>50078</v>
      </c>
      <c r="AU292">
        <v>49685</v>
      </c>
      <c r="AV292">
        <v>49293</v>
      </c>
      <c r="AW292">
        <v>48900</v>
      </c>
      <c r="BH292">
        <v>2.0790000000000001E-3</v>
      </c>
      <c r="BN292">
        <v>1</v>
      </c>
      <c r="BO292" t="s">
        <v>51</v>
      </c>
      <c r="BP292" s="534">
        <v>45920</v>
      </c>
      <c r="BQ292" s="725">
        <v>44107</v>
      </c>
      <c r="BR292" t="s">
        <v>50</v>
      </c>
      <c r="BS292" t="s">
        <v>52</v>
      </c>
      <c r="BT292">
        <v>0</v>
      </c>
      <c r="BU292" t="s">
        <v>52</v>
      </c>
      <c r="BV292">
        <v>0</v>
      </c>
      <c r="BW292">
        <v>45240</v>
      </c>
      <c r="BX292" t="s">
        <v>50</v>
      </c>
      <c r="BY292">
        <v>0</v>
      </c>
      <c r="BZ292">
        <v>0</v>
      </c>
      <c r="CA292">
        <v>0</v>
      </c>
      <c r="CB292">
        <v>0</v>
      </c>
      <c r="CC292" s="2146">
        <v>45401</v>
      </c>
      <c r="CD292" s="2146" t="s">
        <v>50</v>
      </c>
      <c r="CE292" s="2146">
        <v>0</v>
      </c>
      <c r="CF292" s="2146">
        <v>0</v>
      </c>
      <c r="CG292" s="2146">
        <v>0</v>
      </c>
      <c r="CH292">
        <v>0</v>
      </c>
      <c r="CJ292" t="s">
        <v>5710</v>
      </c>
    </row>
    <row r="293" spans="1:88">
      <c r="A293" t="s">
        <v>1288</v>
      </c>
      <c r="B293" t="s">
        <v>1415</v>
      </c>
      <c r="C293" t="s">
        <v>116</v>
      </c>
      <c r="D293" t="s">
        <v>214</v>
      </c>
      <c r="E293" t="s">
        <v>215</v>
      </c>
      <c r="F293" t="s">
        <v>1396</v>
      </c>
      <c r="G293" t="s">
        <v>1416</v>
      </c>
      <c r="H293" t="s">
        <v>1417</v>
      </c>
      <c r="I293" t="s">
        <v>1418</v>
      </c>
      <c r="J293" t="s">
        <v>69</v>
      </c>
      <c r="N293" t="s">
        <v>175</v>
      </c>
      <c r="O293" t="s">
        <v>48</v>
      </c>
      <c r="P293" t="s">
        <v>3730</v>
      </c>
      <c r="Q293" s="534">
        <v>0</v>
      </c>
      <c r="R293" t="s">
        <v>3264</v>
      </c>
      <c r="S293">
        <v>595</v>
      </c>
      <c r="X293">
        <v>312</v>
      </c>
      <c r="AH293">
        <v>0</v>
      </c>
      <c r="BP293" s="534">
        <v>0</v>
      </c>
      <c r="BQ293" s="725">
        <v>35</v>
      </c>
      <c r="BR293" t="s">
        <v>52</v>
      </c>
      <c r="BS293" t="s">
        <v>52</v>
      </c>
      <c r="BT293">
        <v>0</v>
      </c>
      <c r="BU293" t="s">
        <v>52</v>
      </c>
      <c r="BV293">
        <v>0</v>
      </c>
      <c r="BW293">
        <v>14</v>
      </c>
      <c r="BX293" t="s">
        <v>2148</v>
      </c>
      <c r="BY293">
        <v>0</v>
      </c>
      <c r="BZ293">
        <v>0</v>
      </c>
      <c r="CA293">
        <v>0</v>
      </c>
      <c r="CB293">
        <v>0</v>
      </c>
      <c r="CC293" s="2146">
        <v>32</v>
      </c>
      <c r="CD293" s="2146" t="s">
        <v>2148</v>
      </c>
      <c r="CE293" s="2146">
        <v>0</v>
      </c>
      <c r="CF293" s="2146">
        <v>0</v>
      </c>
      <c r="CG293" s="2146">
        <v>0</v>
      </c>
      <c r="CH293">
        <v>0</v>
      </c>
      <c r="CJ293" t="s">
        <v>5711</v>
      </c>
    </row>
    <row r="294" spans="1:88">
      <c r="A294" t="s">
        <v>1288</v>
      </c>
      <c r="B294" t="s">
        <v>1419</v>
      </c>
      <c r="C294" t="s">
        <v>116</v>
      </c>
      <c r="D294" t="s">
        <v>214</v>
      </c>
      <c r="E294" t="s">
        <v>215</v>
      </c>
      <c r="F294" t="s">
        <v>1366</v>
      </c>
      <c r="G294" t="s">
        <v>233</v>
      </c>
      <c r="H294" t="s">
        <v>1420</v>
      </c>
      <c r="I294" t="s">
        <v>1421</v>
      </c>
      <c r="J294" t="s">
        <v>5406</v>
      </c>
      <c r="K294" t="s">
        <v>45</v>
      </c>
      <c r="L294" t="s">
        <v>50</v>
      </c>
      <c r="N294" t="s">
        <v>113</v>
      </c>
      <c r="O294" t="s">
        <v>76</v>
      </c>
      <c r="P294" t="s">
        <v>193</v>
      </c>
      <c r="Q294" s="534">
        <v>0</v>
      </c>
      <c r="R294" t="s">
        <v>3264</v>
      </c>
      <c r="S294">
        <v>45</v>
      </c>
      <c r="T294">
        <v>47</v>
      </c>
      <c r="U294">
        <v>47</v>
      </c>
      <c r="V294">
        <v>52</v>
      </c>
      <c r="W294">
        <v>53</v>
      </c>
      <c r="X294">
        <v>55</v>
      </c>
      <c r="AH294">
        <v>0</v>
      </c>
      <c r="AI294" t="s">
        <v>50</v>
      </c>
      <c r="AJ294" t="s">
        <v>50</v>
      </c>
      <c r="AK294" t="s">
        <v>50</v>
      </c>
      <c r="AL294" t="s">
        <v>50</v>
      </c>
      <c r="AM294" t="s">
        <v>50</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51</v>
      </c>
      <c r="BP294" s="534">
        <v>51</v>
      </c>
      <c r="BQ294" s="725">
        <v>57.5</v>
      </c>
      <c r="BR294" t="s">
        <v>50</v>
      </c>
      <c r="BS294" t="s">
        <v>5425</v>
      </c>
      <c r="BT294">
        <v>0.125</v>
      </c>
      <c r="BU294" t="s">
        <v>52</v>
      </c>
      <c r="BV294">
        <v>0</v>
      </c>
      <c r="BW294">
        <v>58</v>
      </c>
      <c r="BX294" t="s">
        <v>50</v>
      </c>
      <c r="BY294" t="s">
        <v>5425</v>
      </c>
      <c r="BZ294">
        <v>0.125</v>
      </c>
      <c r="CA294">
        <v>0</v>
      </c>
      <c r="CB294">
        <v>0</v>
      </c>
      <c r="CC294" s="2146">
        <v>59</v>
      </c>
      <c r="CD294" s="2146" t="s">
        <v>50</v>
      </c>
      <c r="CE294" s="2146" t="s">
        <v>5379</v>
      </c>
      <c r="CF294" s="2146">
        <v>0</v>
      </c>
      <c r="CG294" s="2146">
        <v>0</v>
      </c>
      <c r="CH294">
        <v>0</v>
      </c>
      <c r="CJ294" t="s">
        <v>5712</v>
      </c>
    </row>
    <row r="295" spans="1:88">
      <c r="A295" t="s">
        <v>1288</v>
      </c>
      <c r="B295" t="s">
        <v>1422</v>
      </c>
      <c r="C295" t="s">
        <v>116</v>
      </c>
      <c r="D295" t="s">
        <v>214</v>
      </c>
      <c r="E295" t="s">
        <v>215</v>
      </c>
      <c r="F295" t="s">
        <v>1370</v>
      </c>
      <c r="G295" t="s">
        <v>237</v>
      </c>
      <c r="H295" t="s">
        <v>1423</v>
      </c>
      <c r="I295" t="s">
        <v>1424</v>
      </c>
      <c r="J295" t="s">
        <v>5406</v>
      </c>
      <c r="K295" t="s">
        <v>45</v>
      </c>
      <c r="M295" t="s">
        <v>46</v>
      </c>
      <c r="N295" t="s">
        <v>175</v>
      </c>
      <c r="O295" t="s">
        <v>48</v>
      </c>
      <c r="P295" t="s">
        <v>1425</v>
      </c>
      <c r="Q295" s="534">
        <v>0</v>
      </c>
      <c r="R295" t="s">
        <v>3264</v>
      </c>
      <c r="X295">
        <v>202</v>
      </c>
      <c r="AF295" t="s">
        <v>50</v>
      </c>
      <c r="AH295">
        <v>0</v>
      </c>
      <c r="AM295" t="s">
        <v>50</v>
      </c>
      <c r="AR295">
        <v>0</v>
      </c>
      <c r="AW295">
        <v>202</v>
      </c>
      <c r="BB295">
        <v>202</v>
      </c>
      <c r="BG295">
        <v>999999</v>
      </c>
      <c r="BH295">
        <v>0.15</v>
      </c>
      <c r="BL295">
        <v>0.15</v>
      </c>
      <c r="BN295">
        <v>1</v>
      </c>
      <c r="BO295" t="s">
        <v>51</v>
      </c>
      <c r="BP295" s="534">
        <v>0</v>
      </c>
      <c r="BQ295" s="725">
        <v>0</v>
      </c>
      <c r="BR295" t="s">
        <v>52</v>
      </c>
      <c r="BS295" t="s">
        <v>52</v>
      </c>
      <c r="BT295">
        <v>0</v>
      </c>
      <c r="BU295" t="s">
        <v>52</v>
      </c>
      <c r="BV295">
        <v>0</v>
      </c>
      <c r="BW295">
        <v>8</v>
      </c>
      <c r="BX295" t="s">
        <v>2148</v>
      </c>
      <c r="BY295">
        <v>0</v>
      </c>
      <c r="BZ295">
        <v>0</v>
      </c>
      <c r="CA295">
        <v>0</v>
      </c>
      <c r="CB295">
        <v>0</v>
      </c>
      <c r="CC295" s="2146">
        <v>16</v>
      </c>
      <c r="CD295" s="2146" t="s">
        <v>2148</v>
      </c>
      <c r="CE295" s="2146">
        <v>0</v>
      </c>
      <c r="CF295" s="2146">
        <v>0</v>
      </c>
      <c r="CG295" s="2146">
        <v>0</v>
      </c>
      <c r="CH295">
        <v>0</v>
      </c>
      <c r="CJ295" t="s">
        <v>5713</v>
      </c>
    </row>
    <row r="296" spans="1:88">
      <c r="A296" t="s">
        <v>1288</v>
      </c>
      <c r="B296" t="s">
        <v>1426</v>
      </c>
      <c r="C296" t="s">
        <v>116</v>
      </c>
      <c r="D296" t="s">
        <v>214</v>
      </c>
      <c r="E296" t="s">
        <v>215</v>
      </c>
      <c r="F296" t="s">
        <v>1370</v>
      </c>
      <c r="G296" t="s">
        <v>242</v>
      </c>
      <c r="H296" t="s">
        <v>1427</v>
      </c>
      <c r="I296" t="s">
        <v>1428</v>
      </c>
      <c r="J296" t="s">
        <v>5406</v>
      </c>
      <c r="K296" t="s">
        <v>45</v>
      </c>
      <c r="L296" t="s">
        <v>50</v>
      </c>
      <c r="M296" t="s">
        <v>46</v>
      </c>
      <c r="N296" t="s">
        <v>249</v>
      </c>
      <c r="O296" t="s">
        <v>48</v>
      </c>
      <c r="P296" t="s">
        <v>250</v>
      </c>
      <c r="Q296" s="534">
        <v>0</v>
      </c>
      <c r="R296" t="s">
        <v>3263</v>
      </c>
      <c r="S296">
        <v>457</v>
      </c>
      <c r="T296">
        <v>429</v>
      </c>
      <c r="U296">
        <v>402</v>
      </c>
      <c r="V296">
        <v>374</v>
      </c>
      <c r="W296">
        <v>374</v>
      </c>
      <c r="X296">
        <v>374</v>
      </c>
      <c r="AB296" t="s">
        <v>50</v>
      </c>
      <c r="AE296" t="s">
        <v>50</v>
      </c>
      <c r="AH296">
        <v>0</v>
      </c>
      <c r="AI296" t="s">
        <v>50</v>
      </c>
      <c r="AJ296" t="s">
        <v>50</v>
      </c>
      <c r="AK296" t="s">
        <v>50</v>
      </c>
      <c r="AL296" t="s">
        <v>50</v>
      </c>
      <c r="AM296" t="s">
        <v>50</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51</v>
      </c>
      <c r="BP296" s="534">
        <v>369</v>
      </c>
      <c r="BQ296" s="725">
        <v>293</v>
      </c>
      <c r="BR296" t="s">
        <v>50</v>
      </c>
      <c r="BS296" t="s">
        <v>5425</v>
      </c>
      <c r="BT296">
        <v>4.3658999999999999</v>
      </c>
      <c r="BU296" t="s">
        <v>52</v>
      </c>
      <c r="BV296">
        <v>0</v>
      </c>
      <c r="BW296">
        <v>301</v>
      </c>
      <c r="BX296" t="s">
        <v>50</v>
      </c>
      <c r="BY296" t="s">
        <v>5425</v>
      </c>
      <c r="BZ296">
        <v>3.9347000000000003</v>
      </c>
      <c r="CA296">
        <v>0</v>
      </c>
      <c r="CB296">
        <v>0</v>
      </c>
      <c r="CC296" s="2146">
        <v>327</v>
      </c>
      <c r="CD296" s="2146" t="s">
        <v>50</v>
      </c>
      <c r="CE296" s="2146" t="s">
        <v>5425</v>
      </c>
      <c r="CF296" s="2146">
        <v>2.5333000000000001</v>
      </c>
      <c r="CG296" s="2146">
        <v>0</v>
      </c>
      <c r="CH296">
        <v>0</v>
      </c>
      <c r="CJ296" t="s">
        <v>5714</v>
      </c>
    </row>
    <row r="297" spans="1:88">
      <c r="A297" t="s">
        <v>1288</v>
      </c>
      <c r="B297" t="s">
        <v>1429</v>
      </c>
      <c r="C297" t="s">
        <v>116</v>
      </c>
      <c r="D297" t="s">
        <v>214</v>
      </c>
      <c r="E297" t="s">
        <v>215</v>
      </c>
      <c r="F297" t="s">
        <v>1370</v>
      </c>
      <c r="G297" t="s">
        <v>246</v>
      </c>
      <c r="H297" t="s">
        <v>1430</v>
      </c>
      <c r="I297" t="s">
        <v>3215</v>
      </c>
      <c r="J297" t="s">
        <v>5408</v>
      </c>
      <c r="K297" t="s">
        <v>322</v>
      </c>
      <c r="M297" t="s">
        <v>46</v>
      </c>
      <c r="N297" t="s">
        <v>175</v>
      </c>
      <c r="O297" t="s">
        <v>76</v>
      </c>
      <c r="P297" t="s">
        <v>1158</v>
      </c>
      <c r="Q297" s="534">
        <v>2</v>
      </c>
      <c r="R297" t="s">
        <v>3264</v>
      </c>
      <c r="S297" t="s">
        <v>202</v>
      </c>
      <c r="T297">
        <v>100</v>
      </c>
      <c r="U297">
        <v>100</v>
      </c>
      <c r="V297">
        <v>100</v>
      </c>
      <c r="W297">
        <v>100</v>
      </c>
      <c r="X297">
        <v>100</v>
      </c>
      <c r="AE297" t="s">
        <v>50</v>
      </c>
      <c r="AF297" t="s">
        <v>50</v>
      </c>
      <c r="AH297">
        <v>4</v>
      </c>
      <c r="AI297" t="s">
        <v>50</v>
      </c>
      <c r="AJ297" t="s">
        <v>50</v>
      </c>
      <c r="AK297" t="s">
        <v>50</v>
      </c>
      <c r="AL297" t="s">
        <v>50</v>
      </c>
      <c r="AM297" t="s">
        <v>50</v>
      </c>
      <c r="AN297">
        <v>0</v>
      </c>
      <c r="AO297">
        <v>0</v>
      </c>
      <c r="AP297">
        <v>0</v>
      </c>
      <c r="AQ297">
        <v>0</v>
      </c>
      <c r="AR297">
        <v>0</v>
      </c>
      <c r="AS297">
        <v>95.3</v>
      </c>
      <c r="AT297">
        <v>95.3</v>
      </c>
      <c r="AU297">
        <v>95.3</v>
      </c>
      <c r="AV297">
        <v>95.3</v>
      </c>
      <c r="AW297">
        <v>95.3</v>
      </c>
      <c r="BH297">
        <v>1.4</v>
      </c>
      <c r="BN297">
        <v>1</v>
      </c>
      <c r="BO297" t="s">
        <v>51</v>
      </c>
      <c r="BP297" s="534">
        <v>95.740000000000009</v>
      </c>
      <c r="BQ297" s="726">
        <v>97.508496246767137</v>
      </c>
      <c r="BR297" t="s">
        <v>46</v>
      </c>
      <c r="BS297" t="s">
        <v>52</v>
      </c>
      <c r="BT297">
        <v>0</v>
      </c>
      <c r="BU297" t="s">
        <v>5378</v>
      </c>
      <c r="BV297">
        <v>0</v>
      </c>
      <c r="BW297">
        <v>97.988160870777804</v>
      </c>
      <c r="BX297" t="s">
        <v>46</v>
      </c>
      <c r="BY297">
        <v>0</v>
      </c>
      <c r="BZ297">
        <v>0</v>
      </c>
      <c r="CA297" t="s">
        <v>5378</v>
      </c>
      <c r="CB297">
        <v>0</v>
      </c>
      <c r="CC297" s="2146">
        <v>97.67</v>
      </c>
      <c r="CD297" s="2146" t="s">
        <v>46</v>
      </c>
      <c r="CE297" s="2146">
        <v>0</v>
      </c>
      <c r="CF297" s="2146">
        <v>0</v>
      </c>
      <c r="CG297" s="2146" t="s">
        <v>13445</v>
      </c>
      <c r="CH297">
        <v>0</v>
      </c>
      <c r="CJ297" t="s">
        <v>5715</v>
      </c>
    </row>
    <row r="298" spans="1:88">
      <c r="A298" t="s">
        <v>1288</v>
      </c>
      <c r="B298" t="s">
        <v>1431</v>
      </c>
      <c r="C298" t="s">
        <v>116</v>
      </c>
      <c r="D298" t="s">
        <v>214</v>
      </c>
      <c r="E298" t="s">
        <v>215</v>
      </c>
      <c r="F298" t="s">
        <v>1370</v>
      </c>
      <c r="G298" t="s">
        <v>252</v>
      </c>
      <c r="H298" t="s">
        <v>1432</v>
      </c>
      <c r="I298" t="s">
        <v>1433</v>
      </c>
      <c r="J298" t="s">
        <v>5406</v>
      </c>
      <c r="K298" t="s">
        <v>45</v>
      </c>
      <c r="N298" t="s">
        <v>169</v>
      </c>
      <c r="O298" t="s">
        <v>48</v>
      </c>
      <c r="P298" t="s">
        <v>1381</v>
      </c>
      <c r="Q298" s="534">
        <v>0</v>
      </c>
      <c r="R298" t="s">
        <v>3264</v>
      </c>
      <c r="S298">
        <v>334</v>
      </c>
      <c r="X298">
        <v>409</v>
      </c>
      <c r="AF298" t="s">
        <v>50</v>
      </c>
      <c r="AH298">
        <v>0</v>
      </c>
      <c r="AM298" t="s">
        <v>50</v>
      </c>
      <c r="AR298">
        <v>0</v>
      </c>
      <c r="AW298">
        <v>409</v>
      </c>
      <c r="BB298">
        <v>409</v>
      </c>
      <c r="BG298">
        <v>999999</v>
      </c>
      <c r="BH298">
        <v>9.5600000000000004E-4</v>
      </c>
      <c r="BL298">
        <v>9.5600000000000004E-4</v>
      </c>
      <c r="BN298">
        <v>1</v>
      </c>
      <c r="BO298" t="s">
        <v>51</v>
      </c>
      <c r="BP298" s="534">
        <v>328</v>
      </c>
      <c r="BQ298" s="725">
        <v>322.89999999999998</v>
      </c>
      <c r="BR298" t="s">
        <v>52</v>
      </c>
      <c r="BS298" t="s">
        <v>52</v>
      </c>
      <c r="BT298">
        <v>0</v>
      </c>
      <c r="BU298" t="s">
        <v>52</v>
      </c>
      <c r="BV298">
        <v>0</v>
      </c>
      <c r="BW298">
        <v>293</v>
      </c>
      <c r="BX298" t="s">
        <v>2148</v>
      </c>
      <c r="BY298">
        <v>0</v>
      </c>
      <c r="BZ298">
        <v>0</v>
      </c>
      <c r="CA298">
        <v>0</v>
      </c>
      <c r="CB298">
        <v>0</v>
      </c>
      <c r="CC298" s="2146">
        <v>337</v>
      </c>
      <c r="CD298" s="2146" t="s">
        <v>2148</v>
      </c>
      <c r="CE298" s="2146">
        <v>0</v>
      </c>
      <c r="CF298" s="2146">
        <v>0</v>
      </c>
      <c r="CG298" s="2146">
        <v>0</v>
      </c>
      <c r="CH298">
        <v>0</v>
      </c>
      <c r="CJ298" t="s">
        <v>5716</v>
      </c>
    </row>
    <row r="299" spans="1:88">
      <c r="A299" t="s">
        <v>1288</v>
      </c>
      <c r="B299" t="s">
        <v>1434</v>
      </c>
      <c r="C299" t="s">
        <v>116</v>
      </c>
      <c r="D299" t="s">
        <v>214</v>
      </c>
      <c r="E299" t="s">
        <v>215</v>
      </c>
      <c r="F299" t="s">
        <v>1370</v>
      </c>
      <c r="G299" t="s">
        <v>1435</v>
      </c>
      <c r="H299" t="s">
        <v>1436</v>
      </c>
      <c r="I299" t="s">
        <v>1437</v>
      </c>
      <c r="J299" t="s">
        <v>5717</v>
      </c>
      <c r="K299" t="s">
        <v>45</v>
      </c>
      <c r="N299" t="s">
        <v>230</v>
      </c>
      <c r="O299" t="s">
        <v>48</v>
      </c>
      <c r="P299" t="s">
        <v>1438</v>
      </c>
      <c r="Q299" s="534">
        <v>0</v>
      </c>
      <c r="R299" t="s">
        <v>3264</v>
      </c>
      <c r="X299">
        <v>0</v>
      </c>
      <c r="AH299">
        <v>0</v>
      </c>
      <c r="AM299" t="s">
        <v>50</v>
      </c>
      <c r="BB299">
        <v>0</v>
      </c>
      <c r="BG299">
        <v>999999</v>
      </c>
      <c r="BL299">
        <v>2.8546999999999999E-2</v>
      </c>
      <c r="BN299">
        <v>1</v>
      </c>
      <c r="BO299" t="s">
        <v>51</v>
      </c>
      <c r="BP299" s="534">
        <v>0</v>
      </c>
      <c r="BQ299" s="725">
        <v>0</v>
      </c>
      <c r="BR299" t="s">
        <v>52</v>
      </c>
      <c r="BS299" t="s">
        <v>52</v>
      </c>
      <c r="BT299">
        <v>0</v>
      </c>
      <c r="BU299" t="s">
        <v>52</v>
      </c>
      <c r="BV299">
        <v>0</v>
      </c>
      <c r="BW299">
        <v>0</v>
      </c>
      <c r="BX299" t="s">
        <v>50</v>
      </c>
      <c r="BY299">
        <v>0</v>
      </c>
      <c r="BZ299">
        <v>0</v>
      </c>
      <c r="CA299">
        <v>0</v>
      </c>
      <c r="CB299">
        <v>0</v>
      </c>
      <c r="CC299" s="2146">
        <v>0</v>
      </c>
      <c r="CD299" s="2146" t="s">
        <v>2148</v>
      </c>
      <c r="CE299" s="2146">
        <v>0</v>
      </c>
      <c r="CF299" s="2146">
        <v>0</v>
      </c>
      <c r="CG299" s="2146">
        <v>0</v>
      </c>
      <c r="CH299">
        <v>0</v>
      </c>
      <c r="CJ299" t="s">
        <v>5718</v>
      </c>
    </row>
    <row r="300" spans="1:88">
      <c r="A300" t="s">
        <v>1288</v>
      </c>
      <c r="B300" t="s">
        <v>1439</v>
      </c>
      <c r="C300" t="s">
        <v>116</v>
      </c>
      <c r="D300" t="s">
        <v>214</v>
      </c>
      <c r="E300" t="s">
        <v>215</v>
      </c>
      <c r="F300" t="s">
        <v>1370</v>
      </c>
      <c r="G300" t="s">
        <v>1440</v>
      </c>
      <c r="H300" t="s">
        <v>1441</v>
      </c>
      <c r="I300" t="s">
        <v>1442</v>
      </c>
      <c r="J300" t="s">
        <v>69</v>
      </c>
      <c r="N300" t="s">
        <v>249</v>
      </c>
      <c r="O300" t="s">
        <v>48</v>
      </c>
      <c r="P300" t="s">
        <v>1178</v>
      </c>
      <c r="Q300" s="534">
        <v>0</v>
      </c>
      <c r="R300" t="s">
        <v>3263</v>
      </c>
      <c r="S300">
        <v>8</v>
      </c>
      <c r="T300">
        <v>8</v>
      </c>
      <c r="U300">
        <v>6</v>
      </c>
      <c r="V300">
        <v>4</v>
      </c>
      <c r="W300">
        <v>2</v>
      </c>
      <c r="X300">
        <v>0</v>
      </c>
      <c r="AE300" t="s">
        <v>50</v>
      </c>
      <c r="AH300">
        <v>0</v>
      </c>
      <c r="BP300" s="534">
        <v>10</v>
      </c>
      <c r="BQ300" s="725">
        <v>2</v>
      </c>
      <c r="BR300" t="s">
        <v>50</v>
      </c>
      <c r="BS300" t="s">
        <v>52</v>
      </c>
      <c r="BT300">
        <v>0</v>
      </c>
      <c r="BU300" t="s">
        <v>52</v>
      </c>
      <c r="BV300">
        <v>0</v>
      </c>
      <c r="BW300">
        <v>7</v>
      </c>
      <c r="BX300" t="s">
        <v>46</v>
      </c>
      <c r="BY300">
        <v>0</v>
      </c>
      <c r="BZ300">
        <v>0</v>
      </c>
      <c r="CA300">
        <v>0</v>
      </c>
      <c r="CB300">
        <v>0</v>
      </c>
      <c r="CC300" s="2146">
        <v>2</v>
      </c>
      <c r="CD300" s="2146" t="s">
        <v>50</v>
      </c>
      <c r="CE300" s="2146">
        <v>0</v>
      </c>
      <c r="CF300" s="2146">
        <v>0</v>
      </c>
      <c r="CG300" s="2146">
        <v>0</v>
      </c>
      <c r="CH300">
        <v>0</v>
      </c>
      <c r="CJ300" t="s">
        <v>5719</v>
      </c>
    </row>
    <row r="301" spans="1:88" ht="25.5">
      <c r="A301" t="s">
        <v>1288</v>
      </c>
      <c r="B301" t="s">
        <v>1443</v>
      </c>
      <c r="C301" t="s">
        <v>116</v>
      </c>
      <c r="D301" t="s">
        <v>214</v>
      </c>
      <c r="E301" t="s">
        <v>215</v>
      </c>
      <c r="F301" t="s">
        <v>1370</v>
      </c>
      <c r="G301" t="s">
        <v>1444</v>
      </c>
      <c r="H301" t="s">
        <v>1445</v>
      </c>
      <c r="I301" t="s">
        <v>1446</v>
      </c>
      <c r="J301" t="s">
        <v>5406</v>
      </c>
      <c r="K301" t="s">
        <v>45</v>
      </c>
      <c r="N301" t="s">
        <v>175</v>
      </c>
      <c r="O301" t="s">
        <v>48</v>
      </c>
      <c r="P301" t="s">
        <v>1447</v>
      </c>
      <c r="Q301" s="534">
        <v>0</v>
      </c>
      <c r="R301" t="s">
        <v>3264</v>
      </c>
      <c r="X301">
        <v>3</v>
      </c>
      <c r="AE301" t="s">
        <v>50</v>
      </c>
      <c r="AF301" t="s">
        <v>50</v>
      </c>
      <c r="AH301">
        <v>4</v>
      </c>
      <c r="AM301" t="s">
        <v>50</v>
      </c>
      <c r="AR301">
        <v>0</v>
      </c>
      <c r="AW301">
        <v>3</v>
      </c>
      <c r="BB301">
        <v>3</v>
      </c>
      <c r="BG301">
        <v>999999</v>
      </c>
      <c r="BH301">
        <v>2.4</v>
      </c>
      <c r="BL301">
        <v>2.4</v>
      </c>
      <c r="BN301">
        <v>1</v>
      </c>
      <c r="BO301" t="s">
        <v>51</v>
      </c>
      <c r="BP301" s="534" t="s">
        <v>3300</v>
      </c>
      <c r="BQ301" s="725" t="s">
        <v>3300</v>
      </c>
      <c r="BR301" t="s">
        <v>52</v>
      </c>
      <c r="BS301" t="s">
        <v>52</v>
      </c>
      <c r="BT301">
        <v>0</v>
      </c>
      <c r="BU301" t="s">
        <v>52</v>
      </c>
      <c r="BV301">
        <v>0</v>
      </c>
      <c r="BW301" t="s">
        <v>5720</v>
      </c>
      <c r="BX301" t="s">
        <v>2148</v>
      </c>
      <c r="BY301">
        <v>0</v>
      </c>
      <c r="BZ301">
        <v>0</v>
      </c>
      <c r="CA301">
        <v>0</v>
      </c>
      <c r="CB301">
        <v>0</v>
      </c>
      <c r="CC301" s="2146">
        <v>0</v>
      </c>
      <c r="CD301" s="2146" t="s">
        <v>2148</v>
      </c>
      <c r="CE301" s="2146">
        <v>0</v>
      </c>
      <c r="CF301" s="2146">
        <v>0</v>
      </c>
      <c r="CG301" s="2146">
        <v>0</v>
      </c>
      <c r="CH301">
        <v>0</v>
      </c>
      <c r="CJ301" t="s">
        <v>5721</v>
      </c>
    </row>
    <row r="302" spans="1:88">
      <c r="A302" t="s">
        <v>1288</v>
      </c>
      <c r="B302" t="s">
        <v>1448</v>
      </c>
      <c r="C302" t="s">
        <v>116</v>
      </c>
      <c r="D302" t="s">
        <v>214</v>
      </c>
      <c r="E302" t="s">
        <v>215</v>
      </c>
      <c r="F302" t="s">
        <v>1370</v>
      </c>
      <c r="G302" t="s">
        <v>1449</v>
      </c>
      <c r="H302" t="s">
        <v>1450</v>
      </c>
      <c r="I302" t="s">
        <v>1451</v>
      </c>
      <c r="J302" t="s">
        <v>69</v>
      </c>
      <c r="N302" t="s">
        <v>249</v>
      </c>
      <c r="O302" t="s">
        <v>48</v>
      </c>
      <c r="P302" t="s">
        <v>1452</v>
      </c>
      <c r="Q302" s="534">
        <v>0</v>
      </c>
      <c r="R302" t="s">
        <v>3263</v>
      </c>
      <c r="S302">
        <v>246</v>
      </c>
      <c r="T302">
        <v>225</v>
      </c>
      <c r="U302">
        <v>203</v>
      </c>
      <c r="V302">
        <v>182</v>
      </c>
      <c r="W302">
        <v>182</v>
      </c>
      <c r="X302">
        <v>182</v>
      </c>
      <c r="AE302" t="s">
        <v>50</v>
      </c>
      <c r="AH302">
        <v>0</v>
      </c>
      <c r="BP302" s="534">
        <v>200</v>
      </c>
      <c r="BQ302" s="725">
        <v>186</v>
      </c>
      <c r="BR302" t="s">
        <v>50</v>
      </c>
      <c r="BS302" t="s">
        <v>52</v>
      </c>
      <c r="BT302">
        <v>0</v>
      </c>
      <c r="BU302" t="s">
        <v>52</v>
      </c>
      <c r="BV302">
        <v>0</v>
      </c>
      <c r="BW302">
        <v>239</v>
      </c>
      <c r="BX302" t="s">
        <v>46</v>
      </c>
      <c r="BY302">
        <v>0</v>
      </c>
      <c r="BZ302">
        <v>0</v>
      </c>
      <c r="CA302">
        <v>0</v>
      </c>
      <c r="CB302">
        <v>0</v>
      </c>
      <c r="CC302" s="2146">
        <v>157</v>
      </c>
      <c r="CD302" s="2146" t="s">
        <v>50</v>
      </c>
      <c r="CE302" s="2146">
        <v>0</v>
      </c>
      <c r="CF302" s="2146">
        <v>0</v>
      </c>
      <c r="CG302" s="2146">
        <v>0</v>
      </c>
      <c r="CH302">
        <v>0</v>
      </c>
      <c r="CJ302" t="s">
        <v>5722</v>
      </c>
    </row>
    <row r="303" spans="1:88">
      <c r="A303" t="s">
        <v>1288</v>
      </c>
      <c r="B303" t="s">
        <v>1453</v>
      </c>
      <c r="C303" t="s">
        <v>116</v>
      </c>
      <c r="D303" t="s">
        <v>214</v>
      </c>
      <c r="E303" t="s">
        <v>215</v>
      </c>
      <c r="F303" t="s">
        <v>1387</v>
      </c>
      <c r="G303" t="s">
        <v>256</v>
      </c>
      <c r="H303" t="s">
        <v>1454</v>
      </c>
      <c r="I303" t="s">
        <v>1455</v>
      </c>
      <c r="J303" t="s">
        <v>5406</v>
      </c>
      <c r="K303" t="s">
        <v>45</v>
      </c>
      <c r="L303" t="s">
        <v>50</v>
      </c>
      <c r="N303" t="s">
        <v>182</v>
      </c>
      <c r="O303" t="s">
        <v>48</v>
      </c>
      <c r="P303" t="s">
        <v>603</v>
      </c>
      <c r="Q303" s="534">
        <v>3</v>
      </c>
      <c r="R303" t="s">
        <v>3263</v>
      </c>
      <c r="T303">
        <v>217</v>
      </c>
      <c r="U303">
        <v>215</v>
      </c>
      <c r="V303">
        <v>209</v>
      </c>
      <c r="W303">
        <v>208</v>
      </c>
      <c r="X303">
        <v>212</v>
      </c>
      <c r="AH303">
        <v>0</v>
      </c>
      <c r="AI303" t="s">
        <v>50</v>
      </c>
      <c r="AJ303" t="s">
        <v>50</v>
      </c>
      <c r="AK303" t="s">
        <v>50</v>
      </c>
      <c r="AL303" t="s">
        <v>50</v>
      </c>
      <c r="AM303" t="s">
        <v>50</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51</v>
      </c>
      <c r="BP303" s="534">
        <v>227</v>
      </c>
      <c r="BQ303" s="736">
        <v>204</v>
      </c>
      <c r="BR303" t="s">
        <v>50</v>
      </c>
      <c r="BS303" t="s">
        <v>5425</v>
      </c>
      <c r="BT303">
        <v>0.15267868000000001</v>
      </c>
      <c r="BU303" t="s">
        <v>52</v>
      </c>
      <c r="BV303">
        <v>0</v>
      </c>
      <c r="BW303">
        <v>207</v>
      </c>
      <c r="BX303" t="s">
        <v>50</v>
      </c>
      <c r="BY303" t="s">
        <v>5425</v>
      </c>
      <c r="BZ303">
        <v>0.16250999999999999</v>
      </c>
      <c r="CA303">
        <v>0</v>
      </c>
      <c r="CB303">
        <v>0</v>
      </c>
      <c r="CC303" s="2146">
        <v>206</v>
      </c>
      <c r="CD303" s="2146" t="s">
        <v>50</v>
      </c>
      <c r="CE303" s="2146" t="s">
        <v>5425</v>
      </c>
      <c r="CF303" s="2146">
        <v>4.3889999999999998E-2</v>
      </c>
      <c r="CG303" s="2146">
        <v>0</v>
      </c>
      <c r="CH303">
        <v>0</v>
      </c>
      <c r="CJ303" t="s">
        <v>5723</v>
      </c>
    </row>
    <row r="304" spans="1:88">
      <c r="A304" t="s">
        <v>1288</v>
      </c>
      <c r="B304" t="s">
        <v>1456</v>
      </c>
      <c r="C304" t="s">
        <v>116</v>
      </c>
      <c r="D304" t="s">
        <v>214</v>
      </c>
      <c r="E304" t="s">
        <v>215</v>
      </c>
      <c r="F304" t="s">
        <v>1391</v>
      </c>
      <c r="G304" t="s">
        <v>266</v>
      </c>
      <c r="H304" t="s">
        <v>1457</v>
      </c>
      <c r="I304" t="s">
        <v>1458</v>
      </c>
      <c r="J304" t="s">
        <v>69</v>
      </c>
      <c r="N304" t="s">
        <v>923</v>
      </c>
      <c r="O304" t="s">
        <v>48</v>
      </c>
      <c r="P304" t="s">
        <v>1394</v>
      </c>
      <c r="Q304" s="534">
        <v>0</v>
      </c>
      <c r="S304">
        <v>75000</v>
      </c>
      <c r="T304">
        <v>155000</v>
      </c>
      <c r="U304">
        <v>160000</v>
      </c>
      <c r="V304">
        <v>140000</v>
      </c>
      <c r="W304">
        <v>120000</v>
      </c>
      <c r="X304">
        <v>125000</v>
      </c>
      <c r="AH304">
        <v>0</v>
      </c>
      <c r="BP304" s="534">
        <v>52127</v>
      </c>
      <c r="BQ304" s="725">
        <v>117728</v>
      </c>
      <c r="BR304" t="s">
        <v>46</v>
      </c>
      <c r="BS304" t="s">
        <v>52</v>
      </c>
      <c r="BT304">
        <v>0</v>
      </c>
      <c r="BU304" t="s">
        <v>52</v>
      </c>
      <c r="BV304">
        <v>0</v>
      </c>
      <c r="BW304">
        <v>167024</v>
      </c>
      <c r="BX304" t="s">
        <v>50</v>
      </c>
      <c r="BY304">
        <v>0</v>
      </c>
      <c r="BZ304">
        <v>0</v>
      </c>
      <c r="CA304">
        <v>0</v>
      </c>
      <c r="CB304">
        <v>0</v>
      </c>
      <c r="CC304" s="2146">
        <v>200536</v>
      </c>
      <c r="CD304" s="2146" t="s">
        <v>50</v>
      </c>
      <c r="CE304" s="2146">
        <v>0</v>
      </c>
      <c r="CF304" s="2146">
        <v>0</v>
      </c>
      <c r="CG304" s="2146">
        <v>0</v>
      </c>
      <c r="CH304">
        <v>0</v>
      </c>
      <c r="CJ304" t="s">
        <v>5724</v>
      </c>
    </row>
    <row r="305" spans="1:88">
      <c r="A305" t="s">
        <v>1288</v>
      </c>
      <c r="B305" t="s">
        <v>1459</v>
      </c>
      <c r="C305" t="s">
        <v>116</v>
      </c>
      <c r="D305" t="s">
        <v>101</v>
      </c>
      <c r="E305" t="s">
        <v>102</v>
      </c>
      <c r="F305" t="s">
        <v>1460</v>
      </c>
      <c r="G305" t="s">
        <v>104</v>
      </c>
      <c r="H305" t="s">
        <v>1461</v>
      </c>
      <c r="I305" t="s">
        <v>1462</v>
      </c>
      <c r="J305" t="s">
        <v>69</v>
      </c>
      <c r="N305" t="s">
        <v>192</v>
      </c>
      <c r="O305" t="s">
        <v>281</v>
      </c>
      <c r="P305" t="s">
        <v>1463</v>
      </c>
      <c r="Q305" s="534" t="s">
        <v>51</v>
      </c>
      <c r="R305" t="s">
        <v>3264</v>
      </c>
      <c r="S305" t="s">
        <v>1464</v>
      </c>
      <c r="T305" t="s">
        <v>1464</v>
      </c>
      <c r="U305" t="s">
        <v>1464</v>
      </c>
      <c r="V305" t="s">
        <v>802</v>
      </c>
      <c r="W305" t="s">
        <v>802</v>
      </c>
      <c r="X305" t="s">
        <v>802</v>
      </c>
      <c r="AH305">
        <v>0</v>
      </c>
      <c r="BP305" s="534" t="s">
        <v>1464</v>
      </c>
      <c r="BQ305" s="724" t="s">
        <v>1464</v>
      </c>
      <c r="BR305" t="s">
        <v>50</v>
      </c>
      <c r="BS305" t="s">
        <v>52</v>
      </c>
      <c r="BT305">
        <v>0</v>
      </c>
      <c r="BU305" t="s">
        <v>52</v>
      </c>
      <c r="BV305">
        <v>0</v>
      </c>
      <c r="BW305" t="s">
        <v>1464</v>
      </c>
      <c r="BX305" t="s">
        <v>50</v>
      </c>
      <c r="BY305">
        <v>0</v>
      </c>
      <c r="BZ305">
        <v>0</v>
      </c>
      <c r="CA305">
        <v>0</v>
      </c>
      <c r="CB305">
        <v>0</v>
      </c>
      <c r="CC305" s="2146" t="s">
        <v>1979</v>
      </c>
      <c r="CD305" s="2146" t="s">
        <v>50</v>
      </c>
      <c r="CE305" s="2146">
        <v>0</v>
      </c>
      <c r="CF305" s="2146">
        <v>0</v>
      </c>
      <c r="CG305" s="2146">
        <v>0</v>
      </c>
      <c r="CH305">
        <v>0</v>
      </c>
      <c r="CJ305" t="s">
        <v>5725</v>
      </c>
    </row>
    <row r="306" spans="1:88">
      <c r="A306" t="s">
        <v>1288</v>
      </c>
      <c r="B306" t="s">
        <v>1465</v>
      </c>
      <c r="C306" t="s">
        <v>116</v>
      </c>
      <c r="D306" t="s">
        <v>101</v>
      </c>
      <c r="E306" t="s">
        <v>102</v>
      </c>
      <c r="F306" t="s">
        <v>1460</v>
      </c>
      <c r="G306" t="s">
        <v>111</v>
      </c>
      <c r="H306" t="s">
        <v>1466</v>
      </c>
      <c r="I306" t="s">
        <v>1467</v>
      </c>
      <c r="J306" t="s">
        <v>5406</v>
      </c>
      <c r="K306" t="s">
        <v>45</v>
      </c>
      <c r="M306" t="s">
        <v>46</v>
      </c>
      <c r="N306" t="s">
        <v>106</v>
      </c>
      <c r="O306" t="s">
        <v>281</v>
      </c>
      <c r="P306" t="s">
        <v>408</v>
      </c>
      <c r="Q306" s="534" t="s">
        <v>51</v>
      </c>
      <c r="R306" t="s">
        <v>3264</v>
      </c>
      <c r="S306" t="s">
        <v>1464</v>
      </c>
      <c r="T306" t="s">
        <v>802</v>
      </c>
      <c r="U306" t="s">
        <v>802</v>
      </c>
      <c r="V306" t="s">
        <v>802</v>
      </c>
      <c r="W306" t="s">
        <v>802</v>
      </c>
      <c r="X306" t="s">
        <v>802</v>
      </c>
      <c r="AH306">
        <v>0</v>
      </c>
      <c r="AI306" t="s">
        <v>50</v>
      </c>
      <c r="AJ306" t="s">
        <v>50</v>
      </c>
      <c r="AK306" t="s">
        <v>50</v>
      </c>
      <c r="AL306" t="s">
        <v>50</v>
      </c>
      <c r="AM306" t="s">
        <v>50</v>
      </c>
      <c r="AN306" t="s">
        <v>109</v>
      </c>
      <c r="AO306" t="s">
        <v>109</v>
      </c>
      <c r="AP306" t="s">
        <v>109</v>
      </c>
      <c r="AQ306" t="s">
        <v>109</v>
      </c>
      <c r="AR306" t="s">
        <v>109</v>
      </c>
      <c r="AS306" t="s">
        <v>109</v>
      </c>
      <c r="AT306" t="s">
        <v>109</v>
      </c>
      <c r="AU306" t="s">
        <v>109</v>
      </c>
      <c r="AV306" t="s">
        <v>109</v>
      </c>
      <c r="AW306" t="s">
        <v>109</v>
      </c>
      <c r="AX306" t="s">
        <v>109</v>
      </c>
      <c r="AY306" t="s">
        <v>109</v>
      </c>
      <c r="AZ306" t="s">
        <v>109</v>
      </c>
      <c r="BA306" t="s">
        <v>109</v>
      </c>
      <c r="BB306" t="s">
        <v>109</v>
      </c>
      <c r="BC306" t="s">
        <v>109</v>
      </c>
      <c r="BD306" t="s">
        <v>109</v>
      </c>
      <c r="BE306" t="s">
        <v>109</v>
      </c>
      <c r="BF306" t="s">
        <v>109</v>
      </c>
      <c r="BG306" t="s">
        <v>109</v>
      </c>
      <c r="BH306" t="s">
        <v>109</v>
      </c>
      <c r="BL306" t="s">
        <v>109</v>
      </c>
      <c r="BN306">
        <v>1</v>
      </c>
      <c r="BO306" t="s">
        <v>51</v>
      </c>
      <c r="BP306" s="534" t="s">
        <v>2890</v>
      </c>
      <c r="BQ306" s="724">
        <v>83.7</v>
      </c>
      <c r="BR306" t="s">
        <v>46</v>
      </c>
      <c r="BS306" t="s">
        <v>52</v>
      </c>
      <c r="BT306">
        <v>0</v>
      </c>
      <c r="BU306" t="s">
        <v>52</v>
      </c>
      <c r="BV306">
        <v>0</v>
      </c>
      <c r="BW306">
        <v>83.61</v>
      </c>
      <c r="BX306" t="s">
        <v>46</v>
      </c>
      <c r="BY306">
        <v>0</v>
      </c>
      <c r="BZ306">
        <v>0</v>
      </c>
      <c r="CA306">
        <v>0</v>
      </c>
      <c r="CB306">
        <v>0</v>
      </c>
      <c r="CC306" s="2146">
        <v>83.2</v>
      </c>
      <c r="CD306" s="2146" t="s">
        <v>46</v>
      </c>
      <c r="CE306" s="2146">
        <v>0</v>
      </c>
      <c r="CF306" s="2146">
        <v>0</v>
      </c>
      <c r="CG306" s="2146">
        <v>0</v>
      </c>
      <c r="CH306">
        <v>0</v>
      </c>
      <c r="CJ306" t="s">
        <v>5726</v>
      </c>
    </row>
    <row r="307" spans="1:88">
      <c r="A307" t="s">
        <v>1288</v>
      </c>
      <c r="B307" t="s">
        <v>1468</v>
      </c>
      <c r="C307" t="s">
        <v>116</v>
      </c>
      <c r="D307" t="s">
        <v>101</v>
      </c>
      <c r="E307" t="s">
        <v>102</v>
      </c>
      <c r="F307" t="s">
        <v>1469</v>
      </c>
      <c r="G307" t="s">
        <v>293</v>
      </c>
      <c r="H307" t="s">
        <v>1470</v>
      </c>
      <c r="I307" t="s">
        <v>1471</v>
      </c>
      <c r="J307" t="s">
        <v>69</v>
      </c>
      <c r="N307" t="s">
        <v>113</v>
      </c>
      <c r="O307" t="s">
        <v>48</v>
      </c>
      <c r="P307" t="s">
        <v>1276</v>
      </c>
      <c r="Q307" s="534">
        <v>0</v>
      </c>
      <c r="R307" t="s">
        <v>3264</v>
      </c>
      <c r="S307">
        <v>11500</v>
      </c>
      <c r="T307">
        <v>35000</v>
      </c>
      <c r="U307">
        <v>50000</v>
      </c>
      <c r="V307">
        <v>50000</v>
      </c>
      <c r="W307">
        <v>50000</v>
      </c>
      <c r="X307">
        <v>50000</v>
      </c>
      <c r="AH307">
        <v>0</v>
      </c>
      <c r="BP307" s="534" t="s">
        <v>2890</v>
      </c>
      <c r="BQ307" s="725">
        <v>24110</v>
      </c>
      <c r="BR307" t="s">
        <v>46</v>
      </c>
      <c r="BS307" t="s">
        <v>52</v>
      </c>
      <c r="BT307">
        <v>0</v>
      </c>
      <c r="BU307" t="s">
        <v>52</v>
      </c>
      <c r="BV307">
        <v>0</v>
      </c>
      <c r="BW307">
        <v>50903</v>
      </c>
      <c r="BX307" t="s">
        <v>50</v>
      </c>
      <c r="BY307">
        <v>0</v>
      </c>
      <c r="BZ307">
        <v>0</v>
      </c>
      <c r="CA307">
        <v>0</v>
      </c>
      <c r="CB307">
        <v>0</v>
      </c>
      <c r="CC307" s="2146">
        <v>51652</v>
      </c>
      <c r="CD307" s="2146" t="s">
        <v>50</v>
      </c>
      <c r="CE307" s="2146">
        <v>0</v>
      </c>
      <c r="CF307" s="2146">
        <v>0</v>
      </c>
      <c r="CG307" s="2146">
        <v>0</v>
      </c>
      <c r="CH307">
        <v>0</v>
      </c>
      <c r="CJ307" t="s">
        <v>5727</v>
      </c>
    </row>
    <row r="308" spans="1:88">
      <c r="A308" t="s">
        <v>1288</v>
      </c>
      <c r="B308" t="s">
        <v>1472</v>
      </c>
      <c r="C308" t="s">
        <v>116</v>
      </c>
      <c r="D308" t="s">
        <v>101</v>
      </c>
      <c r="E308" t="s">
        <v>102</v>
      </c>
      <c r="F308" t="s">
        <v>1469</v>
      </c>
      <c r="G308" t="s">
        <v>297</v>
      </c>
      <c r="H308" t="s">
        <v>1473</v>
      </c>
      <c r="I308" t="s">
        <v>1474</v>
      </c>
      <c r="J308" t="s">
        <v>69</v>
      </c>
      <c r="N308" t="s">
        <v>113</v>
      </c>
      <c r="O308" t="s">
        <v>76</v>
      </c>
      <c r="P308" t="s">
        <v>1475</v>
      </c>
      <c r="Q308" s="534">
        <v>2</v>
      </c>
      <c r="R308" t="s">
        <v>3263</v>
      </c>
      <c r="S308">
        <v>2.69</v>
      </c>
      <c r="T308">
        <v>2.7</v>
      </c>
      <c r="U308">
        <v>2.7</v>
      </c>
      <c r="V308">
        <v>2.7</v>
      </c>
      <c r="W308">
        <v>2.7</v>
      </c>
      <c r="X308">
        <v>2.7</v>
      </c>
      <c r="AH308">
        <v>0</v>
      </c>
      <c r="BP308" s="534">
        <v>2.2000000000000002</v>
      </c>
      <c r="BQ308" s="726">
        <v>1.8</v>
      </c>
      <c r="BR308" t="s">
        <v>50</v>
      </c>
      <c r="BS308" t="s">
        <v>52</v>
      </c>
      <c r="BT308">
        <v>0</v>
      </c>
      <c r="BU308" t="s">
        <v>52</v>
      </c>
      <c r="BV308">
        <v>0</v>
      </c>
      <c r="BW308">
        <v>1.8</v>
      </c>
      <c r="BX308" t="s">
        <v>50</v>
      </c>
      <c r="BY308">
        <v>0</v>
      </c>
      <c r="BZ308">
        <v>0</v>
      </c>
      <c r="CA308">
        <v>0</v>
      </c>
      <c r="CB308">
        <v>0</v>
      </c>
      <c r="CC308" s="2146">
        <v>2.2000000000000002</v>
      </c>
      <c r="CD308" s="2146" t="s">
        <v>50</v>
      </c>
      <c r="CE308" s="2146">
        <v>0</v>
      </c>
      <c r="CF308" s="2146">
        <v>0</v>
      </c>
      <c r="CG308" s="2146">
        <v>0</v>
      </c>
      <c r="CH308">
        <v>0</v>
      </c>
      <c r="CJ308" t="s">
        <v>5728</v>
      </c>
    </row>
    <row r="309" spans="1:88">
      <c r="A309" t="s">
        <v>1476</v>
      </c>
      <c r="B309" t="s">
        <v>1477</v>
      </c>
      <c r="C309" t="s">
        <v>116</v>
      </c>
      <c r="D309" t="s">
        <v>40</v>
      </c>
      <c r="E309" t="s">
        <v>41</v>
      </c>
      <c r="F309" t="s">
        <v>1478</v>
      </c>
      <c r="G309" t="s">
        <v>43</v>
      </c>
      <c r="H309" t="s">
        <v>1479</v>
      </c>
      <c r="I309" t="s">
        <v>3216</v>
      </c>
      <c r="J309" t="s">
        <v>5408</v>
      </c>
      <c r="K309" t="s">
        <v>45</v>
      </c>
      <c r="L309" t="s">
        <v>50</v>
      </c>
      <c r="N309" t="s">
        <v>75</v>
      </c>
      <c r="O309" t="s">
        <v>76</v>
      </c>
      <c r="P309" t="s">
        <v>77</v>
      </c>
      <c r="Q309" s="534">
        <v>2</v>
      </c>
      <c r="R309" t="s">
        <v>3264</v>
      </c>
      <c r="S309">
        <v>99.98</v>
      </c>
      <c r="T309">
        <v>99.98</v>
      </c>
      <c r="U309">
        <v>99.98</v>
      </c>
      <c r="V309">
        <v>99.98</v>
      </c>
      <c r="W309">
        <v>99.98</v>
      </c>
      <c r="X309">
        <v>99.98</v>
      </c>
      <c r="Y309" t="s">
        <v>50</v>
      </c>
      <c r="AE309" t="s">
        <v>50</v>
      </c>
      <c r="AH309">
        <v>0</v>
      </c>
      <c r="AI309" t="s">
        <v>50</v>
      </c>
      <c r="AJ309" t="s">
        <v>50</v>
      </c>
      <c r="AK309" t="s">
        <v>50</v>
      </c>
      <c r="AL309" t="s">
        <v>50</v>
      </c>
      <c r="AM309" t="s">
        <v>50</v>
      </c>
      <c r="AN309">
        <v>90</v>
      </c>
      <c r="AO309">
        <v>90</v>
      </c>
      <c r="AP309">
        <v>90</v>
      </c>
      <c r="AQ309">
        <v>90</v>
      </c>
      <c r="AR309">
        <v>90</v>
      </c>
      <c r="AS309">
        <v>99.9</v>
      </c>
      <c r="AT309">
        <v>99.9</v>
      </c>
      <c r="AU309">
        <v>99.9</v>
      </c>
      <c r="AV309">
        <v>99.9</v>
      </c>
      <c r="AW309">
        <v>99.9</v>
      </c>
      <c r="BH309">
        <v>0.05</v>
      </c>
      <c r="BN309">
        <v>1</v>
      </c>
      <c r="BO309" t="s">
        <v>51</v>
      </c>
      <c r="BP309" s="534">
        <v>99.96</v>
      </c>
      <c r="BQ309" s="726">
        <v>99.97</v>
      </c>
      <c r="BR309" t="s">
        <v>46</v>
      </c>
      <c r="BS309" t="s">
        <v>5378</v>
      </c>
      <c r="BT309">
        <v>0</v>
      </c>
      <c r="BU309" t="s">
        <v>52</v>
      </c>
      <c r="BV309">
        <v>0</v>
      </c>
      <c r="BW309">
        <v>99.96</v>
      </c>
      <c r="BX309" t="s">
        <v>46</v>
      </c>
      <c r="BY309" t="s">
        <v>5378</v>
      </c>
      <c r="BZ309">
        <v>0</v>
      </c>
      <c r="CA309">
        <v>0</v>
      </c>
      <c r="CB309">
        <v>0</v>
      </c>
      <c r="CC309" s="2146">
        <v>99.96</v>
      </c>
      <c r="CD309" s="2146" t="s">
        <v>46</v>
      </c>
      <c r="CE309" s="2146" t="s">
        <v>13445</v>
      </c>
      <c r="CF309" s="2146">
        <v>0</v>
      </c>
      <c r="CG309" s="2146">
        <v>0</v>
      </c>
      <c r="CH309">
        <v>0</v>
      </c>
      <c r="CJ309" t="s">
        <v>5729</v>
      </c>
    </row>
    <row r="310" spans="1:88">
      <c r="A310" t="s">
        <v>1476</v>
      </c>
      <c r="B310" t="s">
        <v>1480</v>
      </c>
      <c r="C310" t="s">
        <v>116</v>
      </c>
      <c r="D310" t="s">
        <v>40</v>
      </c>
      <c r="E310" t="s">
        <v>41</v>
      </c>
      <c r="F310" t="s">
        <v>1478</v>
      </c>
      <c r="G310" t="s">
        <v>54</v>
      </c>
      <c r="H310" t="s">
        <v>1481</v>
      </c>
      <c r="I310" t="s">
        <v>3217</v>
      </c>
      <c r="J310" t="s">
        <v>5406</v>
      </c>
      <c r="K310" t="s">
        <v>45</v>
      </c>
      <c r="L310" t="s">
        <v>50</v>
      </c>
      <c r="M310" t="s">
        <v>46</v>
      </c>
      <c r="N310" t="s">
        <v>24</v>
      </c>
      <c r="O310" t="s">
        <v>48</v>
      </c>
      <c r="P310" t="s">
        <v>1482</v>
      </c>
      <c r="Q310" s="534">
        <v>2</v>
      </c>
      <c r="R310" t="s">
        <v>3263</v>
      </c>
      <c r="S310">
        <v>4.5</v>
      </c>
      <c r="T310">
        <v>4.2</v>
      </c>
      <c r="U310">
        <v>3.9</v>
      </c>
      <c r="V310">
        <v>3.6</v>
      </c>
      <c r="W310">
        <v>3.3</v>
      </c>
      <c r="X310">
        <v>3</v>
      </c>
      <c r="Z310" t="s">
        <v>50</v>
      </c>
      <c r="AE310" t="s">
        <v>50</v>
      </c>
      <c r="AH310">
        <v>0</v>
      </c>
      <c r="AI310" t="s">
        <v>50</v>
      </c>
      <c r="AJ310" t="s">
        <v>50</v>
      </c>
      <c r="AK310" t="s">
        <v>50</v>
      </c>
      <c r="AL310" t="s">
        <v>50</v>
      </c>
      <c r="AM310" t="s">
        <v>50</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51</v>
      </c>
      <c r="BP310" s="534">
        <v>3.42</v>
      </c>
      <c r="BQ310" s="726">
        <v>2.92</v>
      </c>
      <c r="BR310" t="s">
        <v>50</v>
      </c>
      <c r="BS310" t="s">
        <v>5379</v>
      </c>
      <c r="BT310">
        <v>0</v>
      </c>
      <c r="BU310" t="s">
        <v>52</v>
      </c>
      <c r="BV310">
        <v>0</v>
      </c>
      <c r="BW310">
        <v>2.7</v>
      </c>
      <c r="BX310" t="s">
        <v>50</v>
      </c>
      <c r="BY310" t="s">
        <v>5379</v>
      </c>
      <c r="BZ310">
        <v>0</v>
      </c>
      <c r="CA310">
        <v>0</v>
      </c>
      <c r="CB310">
        <v>0</v>
      </c>
      <c r="CC310" s="2146">
        <v>2.2000000000000002</v>
      </c>
      <c r="CD310" s="2146" t="s">
        <v>50</v>
      </c>
      <c r="CE310" s="2146" t="s">
        <v>5379</v>
      </c>
      <c r="CF310" s="2146">
        <v>0</v>
      </c>
      <c r="CG310" s="2146">
        <v>0</v>
      </c>
      <c r="CH310">
        <v>0</v>
      </c>
      <c r="CJ310" t="s">
        <v>5730</v>
      </c>
    </row>
    <row r="311" spans="1:88">
      <c r="A311" t="s">
        <v>1476</v>
      </c>
      <c r="B311" t="s">
        <v>1483</v>
      </c>
      <c r="C311" t="s">
        <v>116</v>
      </c>
      <c r="D311" t="s">
        <v>40</v>
      </c>
      <c r="E311" t="s">
        <v>41</v>
      </c>
      <c r="F311" t="s">
        <v>1478</v>
      </c>
      <c r="G311" t="s">
        <v>59</v>
      </c>
      <c r="H311" t="s">
        <v>1484</v>
      </c>
      <c r="I311" t="s">
        <v>3218</v>
      </c>
      <c r="J311" t="s">
        <v>5408</v>
      </c>
      <c r="K311" t="s">
        <v>322</v>
      </c>
      <c r="M311" t="s">
        <v>46</v>
      </c>
      <c r="N311" t="s">
        <v>91</v>
      </c>
      <c r="O311" t="s">
        <v>200</v>
      </c>
      <c r="P311" t="s">
        <v>323</v>
      </c>
      <c r="Q311" s="534" t="s">
        <v>51</v>
      </c>
      <c r="S311" t="s">
        <v>202</v>
      </c>
      <c r="T311" t="s">
        <v>202</v>
      </c>
      <c r="U311" t="s">
        <v>202</v>
      </c>
      <c r="V311" t="s">
        <v>202</v>
      </c>
      <c r="W311" t="s">
        <v>202</v>
      </c>
      <c r="X311" t="s">
        <v>202</v>
      </c>
      <c r="AE311" t="s">
        <v>50</v>
      </c>
      <c r="AH311">
        <v>6</v>
      </c>
      <c r="AI311" t="s">
        <v>50</v>
      </c>
      <c r="AJ311" t="s">
        <v>50</v>
      </c>
      <c r="AK311" t="s">
        <v>50</v>
      </c>
      <c r="AL311" t="s">
        <v>50</v>
      </c>
      <c r="AM311" t="s">
        <v>50</v>
      </c>
      <c r="AN311" t="s">
        <v>324</v>
      </c>
      <c r="AO311" t="s">
        <v>324</v>
      </c>
      <c r="AP311" t="s">
        <v>324</v>
      </c>
      <c r="AQ311" t="s">
        <v>324</v>
      </c>
      <c r="AR311" t="s">
        <v>324</v>
      </c>
      <c r="AS311" t="s">
        <v>325</v>
      </c>
      <c r="AT311" t="s">
        <v>325</v>
      </c>
      <c r="AU311" t="s">
        <v>325</v>
      </c>
      <c r="AV311" t="s">
        <v>325</v>
      </c>
      <c r="AW311" t="s">
        <v>325</v>
      </c>
      <c r="BH311">
        <v>0.45800000000000002</v>
      </c>
      <c r="BN311">
        <v>1</v>
      </c>
      <c r="BO311" t="s">
        <v>51</v>
      </c>
      <c r="BP311" s="534" t="s">
        <v>202</v>
      </c>
      <c r="BQ311" s="737" t="s">
        <v>202</v>
      </c>
      <c r="BR311" t="s">
        <v>50</v>
      </c>
      <c r="BS311" t="s">
        <v>52</v>
      </c>
      <c r="BT311">
        <v>0</v>
      </c>
      <c r="BU311" t="s">
        <v>52</v>
      </c>
      <c r="BV311">
        <v>0</v>
      </c>
      <c r="BW311" t="s">
        <v>202</v>
      </c>
      <c r="BX311" t="s">
        <v>50</v>
      </c>
      <c r="BY311">
        <v>0</v>
      </c>
      <c r="BZ311">
        <v>0</v>
      </c>
      <c r="CA311">
        <v>0</v>
      </c>
      <c r="CB311">
        <v>0</v>
      </c>
      <c r="CC311" s="2146" t="s">
        <v>202</v>
      </c>
      <c r="CD311" s="2146" t="s">
        <v>50</v>
      </c>
      <c r="CE311" s="2146">
        <v>0</v>
      </c>
      <c r="CF311" s="2146">
        <v>0</v>
      </c>
      <c r="CG311" s="2146">
        <v>0</v>
      </c>
      <c r="CH311">
        <v>0</v>
      </c>
      <c r="CJ311" t="s">
        <v>5731</v>
      </c>
    </row>
    <row r="312" spans="1:88">
      <c r="A312" t="s">
        <v>1476</v>
      </c>
      <c r="B312" t="s">
        <v>1486</v>
      </c>
      <c r="C312" t="s">
        <v>116</v>
      </c>
      <c r="D312" t="s">
        <v>40</v>
      </c>
      <c r="E312" t="s">
        <v>41</v>
      </c>
      <c r="F312" t="s">
        <v>1478</v>
      </c>
      <c r="G312" t="s">
        <v>63</v>
      </c>
      <c r="H312" t="s">
        <v>1487</v>
      </c>
      <c r="I312" t="s">
        <v>3219</v>
      </c>
      <c r="J312" t="s">
        <v>5408</v>
      </c>
      <c r="K312" t="s">
        <v>322</v>
      </c>
      <c r="M312" t="s">
        <v>46</v>
      </c>
      <c r="N312" t="s">
        <v>91</v>
      </c>
      <c r="O312" t="s">
        <v>200</v>
      </c>
      <c r="P312" t="s">
        <v>323</v>
      </c>
      <c r="Q312" s="534" t="s">
        <v>51</v>
      </c>
      <c r="S312" t="s">
        <v>202</v>
      </c>
      <c r="T312" t="s">
        <v>202</v>
      </c>
      <c r="U312" t="s">
        <v>202</v>
      </c>
      <c r="V312" t="s">
        <v>202</v>
      </c>
      <c r="W312" t="s">
        <v>202</v>
      </c>
      <c r="X312" t="s">
        <v>202</v>
      </c>
      <c r="AE312" t="s">
        <v>50</v>
      </c>
      <c r="AH312">
        <v>5</v>
      </c>
      <c r="AI312" t="s">
        <v>50</v>
      </c>
      <c r="AJ312" t="s">
        <v>50</v>
      </c>
      <c r="AK312" t="s">
        <v>50</v>
      </c>
      <c r="AL312" t="s">
        <v>50</v>
      </c>
      <c r="AM312" t="s">
        <v>50</v>
      </c>
      <c r="AN312" t="s">
        <v>324</v>
      </c>
      <c r="AO312" t="s">
        <v>324</v>
      </c>
      <c r="AP312" t="s">
        <v>324</v>
      </c>
      <c r="AQ312" t="s">
        <v>324</v>
      </c>
      <c r="AR312" t="s">
        <v>324</v>
      </c>
      <c r="AS312" t="s">
        <v>325</v>
      </c>
      <c r="AT312" t="s">
        <v>325</v>
      </c>
      <c r="AU312" t="s">
        <v>325</v>
      </c>
      <c r="AV312" t="s">
        <v>325</v>
      </c>
      <c r="AW312" t="s">
        <v>325</v>
      </c>
      <c r="BH312">
        <v>1.2689999999999999</v>
      </c>
      <c r="BN312">
        <v>1</v>
      </c>
      <c r="BO312" t="s">
        <v>51</v>
      </c>
      <c r="BP312" s="534" t="s">
        <v>202</v>
      </c>
      <c r="BQ312" s="737" t="s">
        <v>202</v>
      </c>
      <c r="BR312" t="s">
        <v>50</v>
      </c>
      <c r="BS312" t="s">
        <v>52</v>
      </c>
      <c r="BT312">
        <v>0</v>
      </c>
      <c r="BU312" t="s">
        <v>52</v>
      </c>
      <c r="BV312">
        <v>0</v>
      </c>
      <c r="BW312" t="s">
        <v>202</v>
      </c>
      <c r="BX312" t="s">
        <v>50</v>
      </c>
      <c r="BY312">
        <v>0</v>
      </c>
      <c r="BZ312">
        <v>0</v>
      </c>
      <c r="CA312">
        <v>0</v>
      </c>
      <c r="CB312">
        <v>0</v>
      </c>
      <c r="CC312" s="2146" t="s">
        <v>202</v>
      </c>
      <c r="CD312" s="2146" t="s">
        <v>50</v>
      </c>
      <c r="CE312" s="2146">
        <v>0</v>
      </c>
      <c r="CF312" s="2146">
        <v>0</v>
      </c>
      <c r="CG312" s="2146">
        <v>0</v>
      </c>
      <c r="CH312">
        <v>0</v>
      </c>
      <c r="CJ312" t="s">
        <v>5732</v>
      </c>
    </row>
    <row r="313" spans="1:88">
      <c r="A313" t="s">
        <v>1476</v>
      </c>
      <c r="B313" t="s">
        <v>1489</v>
      </c>
      <c r="C313" t="s">
        <v>116</v>
      </c>
      <c r="D313" t="s">
        <v>40</v>
      </c>
      <c r="E313" t="s">
        <v>41</v>
      </c>
      <c r="F313" t="s">
        <v>1478</v>
      </c>
      <c r="G313" t="s">
        <v>67</v>
      </c>
      <c r="H313" t="s">
        <v>1490</v>
      </c>
      <c r="I313" t="s">
        <v>3220</v>
      </c>
      <c r="J313" t="s">
        <v>5406</v>
      </c>
      <c r="K313" t="s">
        <v>322</v>
      </c>
      <c r="M313" t="s">
        <v>46</v>
      </c>
      <c r="N313" t="s">
        <v>86</v>
      </c>
      <c r="O313" t="s">
        <v>119</v>
      </c>
      <c r="P313" t="s">
        <v>454</v>
      </c>
      <c r="Q313" s="534">
        <v>3</v>
      </c>
      <c r="R313" t="s">
        <v>3263</v>
      </c>
      <c r="S313">
        <v>0.27</v>
      </c>
      <c r="T313">
        <v>0.25600000000000001</v>
      </c>
      <c r="U313">
        <v>0.24199999999999999</v>
      </c>
      <c r="V313">
        <v>0.22800000000000001</v>
      </c>
      <c r="W313">
        <v>0.214</v>
      </c>
      <c r="X313">
        <v>0.2</v>
      </c>
      <c r="AA313" t="s">
        <v>50</v>
      </c>
      <c r="AE313" t="s">
        <v>50</v>
      </c>
      <c r="AH313">
        <v>0</v>
      </c>
      <c r="AI313" t="s">
        <v>50</v>
      </c>
      <c r="AJ313" t="s">
        <v>50</v>
      </c>
      <c r="AK313" t="s">
        <v>50</v>
      </c>
      <c r="AL313" t="s">
        <v>50</v>
      </c>
      <c r="AM313" t="s">
        <v>50</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51</v>
      </c>
      <c r="BP313" s="534">
        <v>0.38100000000000001</v>
      </c>
      <c r="BQ313" s="736">
        <v>0.41899999999999998</v>
      </c>
      <c r="BR313" t="s">
        <v>46</v>
      </c>
      <c r="BS313" t="s">
        <v>52</v>
      </c>
      <c r="BT313">
        <v>0</v>
      </c>
      <c r="BU313" t="s">
        <v>5415</v>
      </c>
      <c r="BV313">
        <v>-0.94253299999999995</v>
      </c>
      <c r="BW313">
        <v>0.221</v>
      </c>
      <c r="BX313" t="s">
        <v>50</v>
      </c>
      <c r="BY313">
        <v>0</v>
      </c>
      <c r="BZ313">
        <v>0</v>
      </c>
      <c r="CA313" t="s">
        <v>5425</v>
      </c>
      <c r="CB313">
        <v>0.1366</v>
      </c>
      <c r="CC313" s="2146">
        <v>0.54400000000000004</v>
      </c>
      <c r="CD313" s="2146" t="s">
        <v>46</v>
      </c>
      <c r="CE313" s="2146">
        <v>0</v>
      </c>
      <c r="CF313" s="2146">
        <v>0</v>
      </c>
      <c r="CG313" s="2146" t="s">
        <v>13444</v>
      </c>
      <c r="CH313">
        <v>-1.8669</v>
      </c>
      <c r="CJ313" t="s">
        <v>5733</v>
      </c>
    </row>
    <row r="314" spans="1:88">
      <c r="A314" t="s">
        <v>1476</v>
      </c>
      <c r="B314" t="s">
        <v>1491</v>
      </c>
      <c r="C314" t="s">
        <v>116</v>
      </c>
      <c r="D314" t="s">
        <v>40</v>
      </c>
      <c r="E314" t="s">
        <v>41</v>
      </c>
      <c r="F314" t="s">
        <v>1492</v>
      </c>
      <c r="G314" t="s">
        <v>73</v>
      </c>
      <c r="H314" t="s">
        <v>1493</v>
      </c>
      <c r="I314" t="s">
        <v>3221</v>
      </c>
      <c r="J314" t="s">
        <v>5406</v>
      </c>
      <c r="K314" t="s">
        <v>45</v>
      </c>
      <c r="L314" t="s">
        <v>50</v>
      </c>
      <c r="M314" t="s">
        <v>46</v>
      </c>
      <c r="N314" t="s">
        <v>143</v>
      </c>
      <c r="O314" t="s">
        <v>48</v>
      </c>
      <c r="P314" t="s">
        <v>1494</v>
      </c>
      <c r="Q314" s="534">
        <v>0</v>
      </c>
      <c r="R314" t="s">
        <v>3263</v>
      </c>
      <c r="S314">
        <v>0</v>
      </c>
      <c r="T314">
        <v>0</v>
      </c>
      <c r="U314">
        <v>0</v>
      </c>
      <c r="V314">
        <v>0</v>
      </c>
      <c r="W314">
        <v>0</v>
      </c>
      <c r="X314">
        <v>0</v>
      </c>
      <c r="AH314">
        <v>0</v>
      </c>
      <c r="AI314" t="s">
        <v>50</v>
      </c>
      <c r="AJ314" t="s">
        <v>50</v>
      </c>
      <c r="AK314" t="s">
        <v>50</v>
      </c>
      <c r="AL314" t="s">
        <v>50</v>
      </c>
      <c r="AM314" t="s">
        <v>50</v>
      </c>
      <c r="AR314">
        <v>2</v>
      </c>
      <c r="AW314">
        <v>1</v>
      </c>
      <c r="AX314">
        <v>0</v>
      </c>
      <c r="AY314">
        <v>0</v>
      </c>
      <c r="AZ314">
        <v>0</v>
      </c>
      <c r="BA314">
        <v>0</v>
      </c>
      <c r="BB314">
        <v>0</v>
      </c>
      <c r="BC314">
        <v>0</v>
      </c>
      <c r="BD314">
        <v>0</v>
      </c>
      <c r="BE314">
        <v>0</v>
      </c>
      <c r="BF314">
        <v>0</v>
      </c>
      <c r="BG314">
        <v>0</v>
      </c>
      <c r="BH314">
        <v>3.206</v>
      </c>
      <c r="BL314">
        <v>1.6240000000000001</v>
      </c>
      <c r="BN314">
        <v>1</v>
      </c>
      <c r="BO314" t="s">
        <v>51</v>
      </c>
      <c r="BP314" s="534">
        <v>0</v>
      </c>
      <c r="BQ314" s="725">
        <v>0</v>
      </c>
      <c r="BR314" t="s">
        <v>50</v>
      </c>
      <c r="BT314">
        <v>0</v>
      </c>
      <c r="BU314" t="s">
        <v>52</v>
      </c>
      <c r="BV314">
        <v>0</v>
      </c>
      <c r="BW314">
        <v>0</v>
      </c>
      <c r="BX314" t="s">
        <v>50</v>
      </c>
      <c r="BY314">
        <v>0</v>
      </c>
      <c r="BZ314">
        <v>0</v>
      </c>
      <c r="CB314">
        <v>0</v>
      </c>
      <c r="CC314" s="2146">
        <v>0</v>
      </c>
      <c r="CD314" s="2146" t="s">
        <v>50</v>
      </c>
      <c r="CE314" s="2146">
        <v>0</v>
      </c>
      <c r="CF314" s="2146">
        <v>0</v>
      </c>
      <c r="CJ314" t="s">
        <v>5734</v>
      </c>
    </row>
    <row r="315" spans="1:88">
      <c r="A315" t="s">
        <v>1476</v>
      </c>
      <c r="B315" t="s">
        <v>1495</v>
      </c>
      <c r="C315" t="s">
        <v>116</v>
      </c>
      <c r="D315" t="s">
        <v>40</v>
      </c>
      <c r="E315" t="s">
        <v>41</v>
      </c>
      <c r="F315" t="s">
        <v>1492</v>
      </c>
      <c r="G315" t="s">
        <v>79</v>
      </c>
      <c r="H315" t="s">
        <v>1496</v>
      </c>
      <c r="I315" t="s">
        <v>3222</v>
      </c>
      <c r="J315" t="s">
        <v>69</v>
      </c>
      <c r="N315" t="s">
        <v>137</v>
      </c>
      <c r="O315" t="s">
        <v>281</v>
      </c>
      <c r="P315" t="s">
        <v>1497</v>
      </c>
      <c r="Q315" s="534" t="s">
        <v>51</v>
      </c>
      <c r="S315" t="s">
        <v>1498</v>
      </c>
      <c r="X315" t="s">
        <v>1499</v>
      </c>
      <c r="AE315" t="s">
        <v>50</v>
      </c>
      <c r="AH315">
        <v>0</v>
      </c>
      <c r="BP315" s="534" t="s">
        <v>1498</v>
      </c>
      <c r="BQ315" s="724" t="s">
        <v>1498</v>
      </c>
      <c r="BR315" t="s">
        <v>52</v>
      </c>
      <c r="BS315" t="s">
        <v>52</v>
      </c>
      <c r="BT315">
        <v>0</v>
      </c>
      <c r="BU315" t="s">
        <v>52</v>
      </c>
      <c r="BV315">
        <v>0</v>
      </c>
      <c r="BW315" t="s">
        <v>1498</v>
      </c>
      <c r="BX315" t="s">
        <v>2148</v>
      </c>
      <c r="BY315">
        <v>0</v>
      </c>
      <c r="BZ315">
        <v>0</v>
      </c>
      <c r="CA315">
        <v>0</v>
      </c>
      <c r="CB315">
        <v>0</v>
      </c>
      <c r="CC315" s="2146" t="s">
        <v>1498</v>
      </c>
      <c r="CD315" s="2146" t="s">
        <v>2148</v>
      </c>
      <c r="CE315" s="2146">
        <v>0</v>
      </c>
      <c r="CF315" s="2146">
        <v>0</v>
      </c>
      <c r="CG315" s="2146">
        <v>0</v>
      </c>
      <c r="CH315">
        <v>0</v>
      </c>
      <c r="CJ315" t="s">
        <v>5735</v>
      </c>
    </row>
    <row r="316" spans="1:88">
      <c r="A316" t="s">
        <v>1476</v>
      </c>
      <c r="B316" t="s">
        <v>1500</v>
      </c>
      <c r="C316" t="s">
        <v>116</v>
      </c>
      <c r="D316" t="s">
        <v>40</v>
      </c>
      <c r="E316" t="s">
        <v>41</v>
      </c>
      <c r="F316" t="s">
        <v>1492</v>
      </c>
      <c r="G316" t="s">
        <v>523</v>
      </c>
      <c r="H316" t="s">
        <v>1501</v>
      </c>
      <c r="I316" t="s">
        <v>3223</v>
      </c>
      <c r="J316" t="s">
        <v>5406</v>
      </c>
      <c r="K316" t="s">
        <v>45</v>
      </c>
      <c r="L316" t="s">
        <v>50</v>
      </c>
      <c r="N316" t="s">
        <v>47</v>
      </c>
      <c r="O316" t="s">
        <v>48</v>
      </c>
      <c r="P316" t="s">
        <v>49</v>
      </c>
      <c r="Q316" s="534">
        <v>0</v>
      </c>
      <c r="R316" t="s">
        <v>3263</v>
      </c>
      <c r="S316">
        <v>84</v>
      </c>
      <c r="T316">
        <v>84</v>
      </c>
      <c r="U316">
        <v>84</v>
      </c>
      <c r="V316">
        <v>84</v>
      </c>
      <c r="W316">
        <v>84</v>
      </c>
      <c r="X316">
        <v>84</v>
      </c>
      <c r="AE316" t="s">
        <v>50</v>
      </c>
      <c r="AH316">
        <v>0</v>
      </c>
      <c r="AI316" t="s">
        <v>50</v>
      </c>
      <c r="AJ316" t="s">
        <v>50</v>
      </c>
      <c r="AK316" t="s">
        <v>50</v>
      </c>
      <c r="AL316" t="s">
        <v>50</v>
      </c>
      <c r="AM316" t="s">
        <v>50</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51</v>
      </c>
      <c r="BP316" s="534">
        <v>84</v>
      </c>
      <c r="BQ316" s="725">
        <v>84</v>
      </c>
      <c r="BR316" t="s">
        <v>50</v>
      </c>
      <c r="BS316" t="s">
        <v>52</v>
      </c>
      <c r="BT316">
        <v>0</v>
      </c>
      <c r="BU316" t="s">
        <v>52</v>
      </c>
      <c r="BV316">
        <v>0</v>
      </c>
      <c r="BW316">
        <v>82</v>
      </c>
      <c r="BX316" t="s">
        <v>50</v>
      </c>
      <c r="BY316" t="s">
        <v>5425</v>
      </c>
      <c r="BZ316">
        <v>0.80600000000000005</v>
      </c>
      <c r="CA316">
        <v>0</v>
      </c>
      <c r="CB316">
        <v>0</v>
      </c>
      <c r="CC316" s="2146">
        <v>83</v>
      </c>
      <c r="CD316" s="2146" t="s">
        <v>50</v>
      </c>
      <c r="CE316" s="2146" t="s">
        <v>5425</v>
      </c>
      <c r="CF316" s="2146">
        <v>0.40300000000000002</v>
      </c>
      <c r="CG316" s="2146">
        <v>0</v>
      </c>
      <c r="CH316">
        <v>0</v>
      </c>
      <c r="CJ316" t="s">
        <v>5736</v>
      </c>
    </row>
    <row r="317" spans="1:88">
      <c r="A317" t="s">
        <v>1476</v>
      </c>
      <c r="B317" t="s">
        <v>1502</v>
      </c>
      <c r="C317" t="s">
        <v>116</v>
      </c>
      <c r="D317" t="s">
        <v>40</v>
      </c>
      <c r="E317" t="s">
        <v>41</v>
      </c>
      <c r="F317" t="s">
        <v>1492</v>
      </c>
      <c r="G317" t="s">
        <v>1319</v>
      </c>
      <c r="H317" t="s">
        <v>1503</v>
      </c>
      <c r="I317" t="s">
        <v>3224</v>
      </c>
      <c r="J317" t="s">
        <v>69</v>
      </c>
      <c r="N317" t="s">
        <v>47</v>
      </c>
      <c r="O317" t="s">
        <v>48</v>
      </c>
      <c r="P317" t="s">
        <v>1504</v>
      </c>
      <c r="Q317" s="534">
        <v>0</v>
      </c>
      <c r="R317" t="s">
        <v>3263</v>
      </c>
      <c r="S317" t="s">
        <v>1505</v>
      </c>
      <c r="X317" t="s">
        <v>1506</v>
      </c>
      <c r="AE317" t="s">
        <v>50</v>
      </c>
      <c r="AH317">
        <v>0</v>
      </c>
      <c r="BP317" s="534">
        <v>2.83</v>
      </c>
      <c r="BQ317" s="725">
        <v>2.8</v>
      </c>
      <c r="BR317" t="s">
        <v>52</v>
      </c>
      <c r="BS317" t="s">
        <v>52</v>
      </c>
      <c r="BT317">
        <v>0</v>
      </c>
      <c r="BU317" t="s">
        <v>52</v>
      </c>
      <c r="BV317">
        <v>0</v>
      </c>
      <c r="BW317">
        <v>2.23</v>
      </c>
      <c r="BX317" t="s">
        <v>2148</v>
      </c>
      <c r="BY317">
        <v>0</v>
      </c>
      <c r="BZ317">
        <v>0</v>
      </c>
      <c r="CA317">
        <v>0</v>
      </c>
      <c r="CB317">
        <v>0</v>
      </c>
      <c r="CC317" s="2146">
        <v>2.93</v>
      </c>
      <c r="CD317" s="2146" t="s">
        <v>2148</v>
      </c>
      <c r="CE317" s="2146">
        <v>0</v>
      </c>
      <c r="CF317" s="2146">
        <v>0</v>
      </c>
      <c r="CG317" s="2146">
        <v>0</v>
      </c>
      <c r="CH317">
        <v>0</v>
      </c>
      <c r="CJ317" t="s">
        <v>5737</v>
      </c>
    </row>
    <row r="318" spans="1:88">
      <c r="A318" t="s">
        <v>1476</v>
      </c>
      <c r="B318" t="s">
        <v>1507</v>
      </c>
      <c r="C318" t="s">
        <v>116</v>
      </c>
      <c r="D318" t="s">
        <v>40</v>
      </c>
      <c r="E318" t="s">
        <v>41</v>
      </c>
      <c r="F318" t="s">
        <v>1492</v>
      </c>
      <c r="G318" t="s">
        <v>1323</v>
      </c>
      <c r="H318" t="s">
        <v>1508</v>
      </c>
      <c r="I318" t="s">
        <v>3225</v>
      </c>
      <c r="J318" t="s">
        <v>69</v>
      </c>
      <c r="N318" t="s">
        <v>61</v>
      </c>
      <c r="O318" t="s">
        <v>107</v>
      </c>
      <c r="P318" t="s">
        <v>150</v>
      </c>
      <c r="Q318" s="534">
        <v>0</v>
      </c>
      <c r="R318" t="s">
        <v>3264</v>
      </c>
      <c r="S318">
        <v>100</v>
      </c>
      <c r="X318">
        <v>100</v>
      </c>
      <c r="AH318">
        <v>0</v>
      </c>
      <c r="BP318" s="534">
        <v>100</v>
      </c>
      <c r="BQ318" s="725">
        <v>100</v>
      </c>
      <c r="BR318" t="s">
        <v>52</v>
      </c>
      <c r="BS318" t="s">
        <v>52</v>
      </c>
      <c r="BT318">
        <v>0</v>
      </c>
      <c r="BU318" t="s">
        <v>52</v>
      </c>
      <c r="BV318">
        <v>0</v>
      </c>
      <c r="BW318">
        <v>100</v>
      </c>
      <c r="BX318" t="s">
        <v>2148</v>
      </c>
      <c r="BY318">
        <v>0</v>
      </c>
      <c r="BZ318">
        <v>0</v>
      </c>
      <c r="CA318">
        <v>0</v>
      </c>
      <c r="CB318">
        <v>0</v>
      </c>
      <c r="CC318" s="2146">
        <v>100</v>
      </c>
      <c r="CD318" s="2146" t="s">
        <v>2148</v>
      </c>
      <c r="CE318" s="2146">
        <v>0</v>
      </c>
      <c r="CF318" s="2146">
        <v>0</v>
      </c>
      <c r="CG318" s="2146">
        <v>0</v>
      </c>
      <c r="CH318">
        <v>0</v>
      </c>
      <c r="CJ318" t="s">
        <v>5738</v>
      </c>
    </row>
    <row r="319" spans="1:88">
      <c r="A319" t="s">
        <v>1476</v>
      </c>
      <c r="B319" t="s">
        <v>1509</v>
      </c>
      <c r="C319" t="s">
        <v>116</v>
      </c>
      <c r="D319" t="s">
        <v>40</v>
      </c>
      <c r="E319" t="s">
        <v>41</v>
      </c>
      <c r="F319" t="s">
        <v>1510</v>
      </c>
      <c r="G319" t="s">
        <v>84</v>
      </c>
      <c r="H319" t="s">
        <v>1511</v>
      </c>
      <c r="I319" t="s">
        <v>3226</v>
      </c>
      <c r="J319" t="s">
        <v>5406</v>
      </c>
      <c r="K319" t="s">
        <v>322</v>
      </c>
      <c r="N319" t="s">
        <v>137</v>
      </c>
      <c r="O319" t="s">
        <v>48</v>
      </c>
      <c r="P319" t="s">
        <v>1512</v>
      </c>
      <c r="Q319" s="534">
        <v>0</v>
      </c>
      <c r="R319" t="s">
        <v>3263</v>
      </c>
      <c r="S319">
        <v>0</v>
      </c>
      <c r="X319">
        <v>0</v>
      </c>
      <c r="AE319" t="s">
        <v>50</v>
      </c>
      <c r="AH319">
        <v>0</v>
      </c>
      <c r="AM319" t="s">
        <v>50</v>
      </c>
      <c r="AR319">
        <v>193035</v>
      </c>
      <c r="AW319">
        <v>38607</v>
      </c>
      <c r="BB319">
        <v>38607</v>
      </c>
      <c r="BG319">
        <v>0</v>
      </c>
      <c r="BH319">
        <v>6.2400000000000004E-6</v>
      </c>
      <c r="BL319">
        <v>6.2400000000000004E-6</v>
      </c>
      <c r="BN319">
        <v>1</v>
      </c>
      <c r="BO319" t="s">
        <v>51</v>
      </c>
      <c r="BP319" s="534">
        <v>0</v>
      </c>
      <c r="BQ319" s="725">
        <v>0</v>
      </c>
      <c r="BR319" t="s">
        <v>52</v>
      </c>
      <c r="BS319" t="s">
        <v>52</v>
      </c>
      <c r="BT319">
        <v>0</v>
      </c>
      <c r="BU319" t="s">
        <v>52</v>
      </c>
      <c r="BV319">
        <v>0</v>
      </c>
      <c r="BW319">
        <v>0</v>
      </c>
      <c r="BX319" t="s">
        <v>2148</v>
      </c>
      <c r="BY319">
        <v>0</v>
      </c>
      <c r="BZ319">
        <v>0</v>
      </c>
      <c r="CA319">
        <v>0</v>
      </c>
      <c r="CB319">
        <v>0</v>
      </c>
      <c r="CC319" s="2146">
        <v>0</v>
      </c>
      <c r="CD319" s="2146" t="s">
        <v>2148</v>
      </c>
      <c r="CE319" s="2146">
        <v>0</v>
      </c>
      <c r="CF319" s="2146">
        <v>0</v>
      </c>
      <c r="CG319" s="2146">
        <v>0</v>
      </c>
      <c r="CH319">
        <v>0</v>
      </c>
      <c r="CJ319" t="s">
        <v>5739</v>
      </c>
    </row>
    <row r="320" spans="1:88">
      <c r="A320" t="s">
        <v>1476</v>
      </c>
      <c r="B320" t="s">
        <v>1513</v>
      </c>
      <c r="C320" t="s">
        <v>116</v>
      </c>
      <c r="D320" t="s">
        <v>40</v>
      </c>
      <c r="E320" t="s">
        <v>41</v>
      </c>
      <c r="F320" t="s">
        <v>1514</v>
      </c>
      <c r="G320" t="s">
        <v>147</v>
      </c>
      <c r="H320" t="s">
        <v>1515</v>
      </c>
      <c r="I320" t="s">
        <v>3227</v>
      </c>
      <c r="J320" t="s">
        <v>5406</v>
      </c>
      <c r="K320" t="s">
        <v>45</v>
      </c>
      <c r="L320" t="s">
        <v>50</v>
      </c>
      <c r="N320" t="s">
        <v>192</v>
      </c>
      <c r="O320" t="s">
        <v>76</v>
      </c>
      <c r="P320" t="s">
        <v>1201</v>
      </c>
      <c r="Q320" s="534">
        <v>1</v>
      </c>
      <c r="R320" t="s">
        <v>3264</v>
      </c>
      <c r="S320">
        <v>90</v>
      </c>
      <c r="T320">
        <v>91</v>
      </c>
      <c r="U320">
        <v>92</v>
      </c>
      <c r="V320">
        <v>93</v>
      </c>
      <c r="W320">
        <v>94</v>
      </c>
      <c r="X320">
        <v>95</v>
      </c>
      <c r="AH320">
        <v>0</v>
      </c>
      <c r="AI320" t="s">
        <v>50</v>
      </c>
      <c r="AJ320" t="s">
        <v>50</v>
      </c>
      <c r="AK320" t="s">
        <v>50</v>
      </c>
      <c r="AL320" t="s">
        <v>50</v>
      </c>
      <c r="AM320" t="s">
        <v>50</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51</v>
      </c>
      <c r="BP320" s="534">
        <v>93.5</v>
      </c>
      <c r="BQ320" s="722">
        <v>94.8</v>
      </c>
      <c r="BR320" t="s">
        <v>50</v>
      </c>
      <c r="BS320" t="s">
        <v>5425</v>
      </c>
      <c r="BT320">
        <v>0.16339999999999999</v>
      </c>
      <c r="BU320" t="s">
        <v>52</v>
      </c>
      <c r="BV320">
        <v>0</v>
      </c>
      <c r="BW320">
        <v>95.5</v>
      </c>
      <c r="BX320" t="s">
        <v>50</v>
      </c>
      <c r="BY320" t="s">
        <v>5425</v>
      </c>
      <c r="BZ320">
        <v>0.15049999999999999</v>
      </c>
      <c r="CA320">
        <v>0</v>
      </c>
      <c r="CB320">
        <v>0</v>
      </c>
      <c r="CC320" s="2146">
        <v>96.1</v>
      </c>
      <c r="CD320" s="2146" t="s">
        <v>50</v>
      </c>
      <c r="CE320" s="2146" t="s">
        <v>5425</v>
      </c>
      <c r="CF320" s="2146">
        <v>0.1333</v>
      </c>
      <c r="CG320" s="2146">
        <v>0</v>
      </c>
      <c r="CH320">
        <v>0</v>
      </c>
      <c r="CJ320" t="s">
        <v>5740</v>
      </c>
    </row>
    <row r="321" spans="1:88">
      <c r="A321" t="s">
        <v>1476</v>
      </c>
      <c r="B321" t="s">
        <v>1516</v>
      </c>
      <c r="C321" t="s">
        <v>116</v>
      </c>
      <c r="D321" t="s">
        <v>40</v>
      </c>
      <c r="E321" t="s">
        <v>41</v>
      </c>
      <c r="F321" t="s">
        <v>1517</v>
      </c>
      <c r="G321" t="s">
        <v>166</v>
      </c>
      <c r="H321" t="s">
        <v>1518</v>
      </c>
      <c r="I321" t="s">
        <v>3228</v>
      </c>
      <c r="J321" t="s">
        <v>69</v>
      </c>
      <c r="N321" t="s">
        <v>65</v>
      </c>
      <c r="O321" t="s">
        <v>48</v>
      </c>
      <c r="P321" t="s">
        <v>1519</v>
      </c>
      <c r="Q321" s="534">
        <v>0</v>
      </c>
      <c r="R321" t="s">
        <v>3263</v>
      </c>
      <c r="S321">
        <v>0</v>
      </c>
      <c r="X321">
        <v>0</v>
      </c>
      <c r="AF321" t="s">
        <v>50</v>
      </c>
      <c r="AH321">
        <v>0</v>
      </c>
      <c r="BP321" s="534">
        <v>0</v>
      </c>
      <c r="BQ321" s="725">
        <v>0</v>
      </c>
      <c r="BR321" t="s">
        <v>52</v>
      </c>
      <c r="BS321" t="s">
        <v>52</v>
      </c>
      <c r="BT321">
        <v>0</v>
      </c>
      <c r="BU321" t="s">
        <v>52</v>
      </c>
      <c r="BV321">
        <v>0</v>
      </c>
      <c r="BW321">
        <v>0</v>
      </c>
      <c r="BX321" t="s">
        <v>2148</v>
      </c>
      <c r="BY321">
        <v>0</v>
      </c>
      <c r="BZ321">
        <v>0</v>
      </c>
      <c r="CA321">
        <v>0</v>
      </c>
      <c r="CB321">
        <v>0</v>
      </c>
      <c r="CC321" s="2146">
        <v>0</v>
      </c>
      <c r="CD321" s="2146" t="s">
        <v>2148</v>
      </c>
      <c r="CE321" s="2146">
        <v>0</v>
      </c>
      <c r="CF321" s="2146">
        <v>0</v>
      </c>
      <c r="CG321" s="2146">
        <v>0</v>
      </c>
      <c r="CH321">
        <v>0</v>
      </c>
      <c r="CJ321" t="s">
        <v>5741</v>
      </c>
    </row>
    <row r="322" spans="1:88" ht="25.5">
      <c r="A322" t="s">
        <v>1476</v>
      </c>
      <c r="B322" t="s">
        <v>1520</v>
      </c>
      <c r="C322" t="s">
        <v>116</v>
      </c>
      <c r="D322" t="s">
        <v>40</v>
      </c>
      <c r="E322" t="s">
        <v>41</v>
      </c>
      <c r="F322" t="s">
        <v>1517</v>
      </c>
      <c r="G322" t="s">
        <v>172</v>
      </c>
      <c r="H322" t="s">
        <v>1521</v>
      </c>
      <c r="I322" t="s">
        <v>3229</v>
      </c>
      <c r="J322" t="s">
        <v>5408</v>
      </c>
      <c r="K322" t="s">
        <v>322</v>
      </c>
      <c r="M322" t="s">
        <v>46</v>
      </c>
      <c r="N322" t="s">
        <v>65</v>
      </c>
      <c r="O322" t="s">
        <v>200</v>
      </c>
      <c r="P322" t="s">
        <v>1522</v>
      </c>
      <c r="Q322" s="534" t="s">
        <v>51</v>
      </c>
      <c r="S322" t="s">
        <v>1523</v>
      </c>
      <c r="T322" t="s">
        <v>1523</v>
      </c>
      <c r="U322" t="s">
        <v>1523</v>
      </c>
      <c r="V322" t="s">
        <v>1523</v>
      </c>
      <c r="W322" t="s">
        <v>1523</v>
      </c>
      <c r="X322" t="s">
        <v>1523</v>
      </c>
      <c r="AF322" t="s">
        <v>50</v>
      </c>
      <c r="AH322">
        <v>0</v>
      </c>
      <c r="AM322" t="s">
        <v>50</v>
      </c>
      <c r="AN322" t="s">
        <v>1524</v>
      </c>
      <c r="AO322" t="s">
        <v>1524</v>
      </c>
      <c r="AP322" t="s">
        <v>1524</v>
      </c>
      <c r="AQ322" t="s">
        <v>1524</v>
      </c>
      <c r="AR322" t="s">
        <v>1524</v>
      </c>
      <c r="AS322" t="s">
        <v>1523</v>
      </c>
      <c r="AT322" t="s">
        <v>1523</v>
      </c>
      <c r="AU322" t="s">
        <v>1523</v>
      </c>
      <c r="AV322" t="s">
        <v>1523</v>
      </c>
      <c r="AW322" t="s">
        <v>1523</v>
      </c>
      <c r="BH322">
        <v>1.054</v>
      </c>
      <c r="BN322">
        <v>1</v>
      </c>
      <c r="BO322" t="s">
        <v>51</v>
      </c>
      <c r="BP322" s="534" t="s">
        <v>5742</v>
      </c>
      <c r="BQ322" s="724" t="s">
        <v>5742</v>
      </c>
      <c r="BR322" t="s">
        <v>50</v>
      </c>
      <c r="BS322" t="s">
        <v>52</v>
      </c>
      <c r="BT322">
        <v>0</v>
      </c>
      <c r="BU322" t="s">
        <v>52</v>
      </c>
      <c r="BV322">
        <v>0</v>
      </c>
      <c r="BW322" t="s">
        <v>1523</v>
      </c>
      <c r="BX322" t="s">
        <v>50</v>
      </c>
      <c r="BY322">
        <v>0</v>
      </c>
      <c r="BZ322">
        <v>0</v>
      </c>
      <c r="CA322">
        <v>0</v>
      </c>
      <c r="CB322">
        <v>0</v>
      </c>
      <c r="CC322" s="2146" t="s">
        <v>1523</v>
      </c>
      <c r="CD322" s="2146" t="s">
        <v>50</v>
      </c>
      <c r="CE322" s="2146">
        <v>0</v>
      </c>
      <c r="CF322" s="2146">
        <v>0</v>
      </c>
      <c r="CG322" s="2146">
        <v>0</v>
      </c>
      <c r="CH322">
        <v>0</v>
      </c>
      <c r="CJ322" t="s">
        <v>5743</v>
      </c>
    </row>
    <row r="323" spans="1:88">
      <c r="A323" t="s">
        <v>1476</v>
      </c>
      <c r="B323" t="s">
        <v>1525</v>
      </c>
      <c r="C323" t="s">
        <v>116</v>
      </c>
      <c r="D323" t="s">
        <v>40</v>
      </c>
      <c r="E323" t="s">
        <v>41</v>
      </c>
      <c r="F323" t="s">
        <v>1517</v>
      </c>
      <c r="G323" t="s">
        <v>1526</v>
      </c>
      <c r="H323" t="s">
        <v>1527</v>
      </c>
      <c r="I323" t="s">
        <v>3230</v>
      </c>
      <c r="J323" t="s">
        <v>69</v>
      </c>
      <c r="N323" t="s">
        <v>1305</v>
      </c>
      <c r="O323" t="s">
        <v>48</v>
      </c>
      <c r="P323" t="s">
        <v>1528</v>
      </c>
      <c r="Q323" s="534">
        <v>0</v>
      </c>
      <c r="R323" t="s">
        <v>3264</v>
      </c>
      <c r="S323">
        <v>4942</v>
      </c>
      <c r="X323">
        <v>8154</v>
      </c>
      <c r="AF323" t="s">
        <v>50</v>
      </c>
      <c r="AH323">
        <v>0</v>
      </c>
      <c r="BP323" s="534">
        <v>4942</v>
      </c>
      <c r="BQ323" s="725">
        <v>5673</v>
      </c>
      <c r="BR323" t="s">
        <v>52</v>
      </c>
      <c r="BS323" t="s">
        <v>52</v>
      </c>
      <c r="BT323">
        <v>0</v>
      </c>
      <c r="BU323" t="s">
        <v>52</v>
      </c>
      <c r="BV323">
        <v>0</v>
      </c>
      <c r="BW323">
        <v>7568</v>
      </c>
      <c r="BX323" t="s">
        <v>2148</v>
      </c>
      <c r="BY323">
        <v>0</v>
      </c>
      <c r="BZ323">
        <v>0</v>
      </c>
      <c r="CA323">
        <v>0</v>
      </c>
      <c r="CB323">
        <v>0</v>
      </c>
      <c r="CC323" s="2146">
        <v>7997</v>
      </c>
      <c r="CD323" s="2146" t="s">
        <v>2148</v>
      </c>
      <c r="CE323" s="2146">
        <v>0</v>
      </c>
      <c r="CF323" s="2146">
        <v>0</v>
      </c>
      <c r="CG323" s="2146">
        <v>0</v>
      </c>
      <c r="CH323">
        <v>0</v>
      </c>
      <c r="CJ323" t="s">
        <v>5744</v>
      </c>
    </row>
    <row r="324" spans="1:88">
      <c r="A324" t="s">
        <v>1476</v>
      </c>
      <c r="B324" t="s">
        <v>1529</v>
      </c>
      <c r="C324" t="s">
        <v>116</v>
      </c>
      <c r="D324" t="s">
        <v>40</v>
      </c>
      <c r="E324" t="s">
        <v>41</v>
      </c>
      <c r="F324" t="s">
        <v>1517</v>
      </c>
      <c r="G324" t="s">
        <v>1530</v>
      </c>
      <c r="H324" t="s">
        <v>1531</v>
      </c>
      <c r="I324" t="s">
        <v>3231</v>
      </c>
      <c r="J324" t="s">
        <v>69</v>
      </c>
      <c r="N324" t="s">
        <v>1305</v>
      </c>
      <c r="O324" t="s">
        <v>48</v>
      </c>
      <c r="P324" t="s">
        <v>1532</v>
      </c>
      <c r="Q324" s="534">
        <v>0</v>
      </c>
      <c r="R324" t="s">
        <v>3264</v>
      </c>
      <c r="S324">
        <v>650</v>
      </c>
      <c r="X324">
        <v>1400</v>
      </c>
      <c r="AF324" t="s">
        <v>50</v>
      </c>
      <c r="AH324">
        <v>0</v>
      </c>
      <c r="BP324" s="534">
        <v>743</v>
      </c>
      <c r="BQ324" s="725">
        <v>849</v>
      </c>
      <c r="BR324" t="s">
        <v>52</v>
      </c>
      <c r="BS324" t="s">
        <v>52</v>
      </c>
      <c r="BT324">
        <v>0</v>
      </c>
      <c r="BU324" t="s">
        <v>52</v>
      </c>
      <c r="BV324">
        <v>0</v>
      </c>
      <c r="BW324">
        <v>1056</v>
      </c>
      <c r="BX324" t="s">
        <v>2148</v>
      </c>
      <c r="BY324">
        <v>0</v>
      </c>
      <c r="BZ324">
        <v>0</v>
      </c>
      <c r="CA324">
        <v>0</v>
      </c>
      <c r="CB324">
        <v>0</v>
      </c>
      <c r="CC324" s="2146">
        <v>1290</v>
      </c>
      <c r="CD324" s="2146" t="s">
        <v>2148</v>
      </c>
      <c r="CE324" s="2146">
        <v>0</v>
      </c>
      <c r="CF324" s="2146">
        <v>0</v>
      </c>
      <c r="CG324" s="2146">
        <v>0</v>
      </c>
      <c r="CH324">
        <v>0</v>
      </c>
      <c r="CJ324" t="s">
        <v>5745</v>
      </c>
    </row>
    <row r="325" spans="1:88">
      <c r="A325" t="s">
        <v>1476</v>
      </c>
      <c r="B325" t="s">
        <v>1533</v>
      </c>
      <c r="C325" t="s">
        <v>116</v>
      </c>
      <c r="D325" t="s">
        <v>40</v>
      </c>
      <c r="E325" t="s">
        <v>41</v>
      </c>
      <c r="F325" t="s">
        <v>1517</v>
      </c>
      <c r="G325" t="s">
        <v>1534</v>
      </c>
      <c r="H325" t="s">
        <v>1535</v>
      </c>
      <c r="I325" t="s">
        <v>3232</v>
      </c>
      <c r="J325" t="s">
        <v>5408</v>
      </c>
      <c r="K325" t="s">
        <v>45</v>
      </c>
      <c r="L325" t="s">
        <v>50</v>
      </c>
      <c r="N325" t="s">
        <v>249</v>
      </c>
      <c r="O325" t="s">
        <v>48</v>
      </c>
      <c r="P325" t="s">
        <v>1178</v>
      </c>
      <c r="Q325" s="534">
        <v>0</v>
      </c>
      <c r="R325" t="s">
        <v>3263</v>
      </c>
      <c r="S325">
        <v>0</v>
      </c>
      <c r="T325">
        <v>0</v>
      </c>
      <c r="U325">
        <v>0</v>
      </c>
      <c r="V325">
        <v>0</v>
      </c>
      <c r="W325">
        <v>0</v>
      </c>
      <c r="X325">
        <v>0</v>
      </c>
      <c r="AE325" t="s">
        <v>50</v>
      </c>
      <c r="AH325">
        <v>0</v>
      </c>
      <c r="AI325" t="s">
        <v>50</v>
      </c>
      <c r="AJ325" t="s">
        <v>50</v>
      </c>
      <c r="AK325" t="s">
        <v>50</v>
      </c>
      <c r="AL325" t="s">
        <v>50</v>
      </c>
      <c r="AM325" t="s">
        <v>50</v>
      </c>
      <c r="AN325">
        <v>2</v>
      </c>
      <c r="AO325">
        <v>2</v>
      </c>
      <c r="AP325">
        <v>2</v>
      </c>
      <c r="AQ325">
        <v>2</v>
      </c>
      <c r="AR325">
        <v>2</v>
      </c>
      <c r="AS325">
        <v>0</v>
      </c>
      <c r="AT325">
        <v>0</v>
      </c>
      <c r="AU325">
        <v>0</v>
      </c>
      <c r="AV325">
        <v>0</v>
      </c>
      <c r="AW325">
        <v>0</v>
      </c>
      <c r="BH325">
        <v>0.35599999999999998</v>
      </c>
      <c r="BN325">
        <v>1</v>
      </c>
      <c r="BO325" t="s">
        <v>51</v>
      </c>
      <c r="BP325" s="534">
        <v>0</v>
      </c>
      <c r="BQ325" s="725">
        <v>0</v>
      </c>
      <c r="BR325" t="s">
        <v>50</v>
      </c>
      <c r="BS325" t="s">
        <v>52</v>
      </c>
      <c r="BT325">
        <v>0</v>
      </c>
      <c r="BU325" t="s">
        <v>52</v>
      </c>
      <c r="BV325">
        <v>0</v>
      </c>
      <c r="BW325">
        <v>0</v>
      </c>
      <c r="BX325" t="s">
        <v>50</v>
      </c>
      <c r="BY325">
        <v>0</v>
      </c>
      <c r="BZ325">
        <v>0</v>
      </c>
      <c r="CA325">
        <v>0</v>
      </c>
      <c r="CB325">
        <v>0</v>
      </c>
      <c r="CC325" s="2146">
        <v>0</v>
      </c>
      <c r="CD325" s="2146" t="s">
        <v>50</v>
      </c>
      <c r="CE325" s="2146">
        <v>0</v>
      </c>
      <c r="CF325" s="2146">
        <v>0</v>
      </c>
      <c r="CG325" s="2146">
        <v>0</v>
      </c>
      <c r="CH325">
        <v>0</v>
      </c>
      <c r="CJ325" t="s">
        <v>5746</v>
      </c>
    </row>
    <row r="326" spans="1:88">
      <c r="A326" t="s">
        <v>1476</v>
      </c>
      <c r="B326" t="s">
        <v>1536</v>
      </c>
      <c r="C326" t="s">
        <v>116</v>
      </c>
      <c r="D326" t="s">
        <v>40</v>
      </c>
      <c r="E326" t="s">
        <v>41</v>
      </c>
      <c r="F326" t="s">
        <v>1517</v>
      </c>
      <c r="G326" t="s">
        <v>1537</v>
      </c>
      <c r="H326" t="s">
        <v>1538</v>
      </c>
      <c r="I326" t="s">
        <v>3233</v>
      </c>
      <c r="J326" t="s">
        <v>5408</v>
      </c>
      <c r="K326" t="s">
        <v>45</v>
      </c>
      <c r="L326" t="s">
        <v>50</v>
      </c>
      <c r="N326" t="s">
        <v>249</v>
      </c>
      <c r="O326" t="s">
        <v>48</v>
      </c>
      <c r="P326" t="s">
        <v>1539</v>
      </c>
      <c r="Q326" s="534">
        <v>0</v>
      </c>
      <c r="R326" t="s">
        <v>3263</v>
      </c>
      <c r="S326">
        <v>2</v>
      </c>
      <c r="T326">
        <v>2</v>
      </c>
      <c r="U326">
        <v>2</v>
      </c>
      <c r="V326">
        <v>2</v>
      </c>
      <c r="W326">
        <v>2</v>
      </c>
      <c r="X326">
        <v>2</v>
      </c>
      <c r="AE326" t="s">
        <v>50</v>
      </c>
      <c r="AH326">
        <v>0</v>
      </c>
      <c r="AI326" t="s">
        <v>50</v>
      </c>
      <c r="AJ326" t="s">
        <v>50</v>
      </c>
      <c r="AK326" t="s">
        <v>50</v>
      </c>
      <c r="AL326" t="s">
        <v>50</v>
      </c>
      <c r="AM326" t="s">
        <v>50</v>
      </c>
      <c r="AN326">
        <v>4</v>
      </c>
      <c r="AO326">
        <v>4</v>
      </c>
      <c r="AP326">
        <v>4</v>
      </c>
      <c r="AQ326">
        <v>4</v>
      </c>
      <c r="AR326">
        <v>4</v>
      </c>
      <c r="AS326">
        <v>2</v>
      </c>
      <c r="AT326">
        <v>2</v>
      </c>
      <c r="AU326">
        <v>2</v>
      </c>
      <c r="AV326">
        <v>2</v>
      </c>
      <c r="AW326">
        <v>2</v>
      </c>
      <c r="BH326">
        <v>1.0999999999999999E-2</v>
      </c>
      <c r="BN326">
        <v>1</v>
      </c>
      <c r="BO326" t="s">
        <v>51</v>
      </c>
      <c r="BP326" s="534">
        <v>3</v>
      </c>
      <c r="BQ326" s="725">
        <v>5</v>
      </c>
      <c r="BR326" t="s">
        <v>46</v>
      </c>
      <c r="BS326" t="s">
        <v>5415</v>
      </c>
      <c r="BT326">
        <v>-2.1999999999999999E-2</v>
      </c>
      <c r="BU326" t="s">
        <v>52</v>
      </c>
      <c r="BV326">
        <v>0</v>
      </c>
      <c r="BW326">
        <v>9</v>
      </c>
      <c r="BX326" t="s">
        <v>46</v>
      </c>
      <c r="BY326" t="s">
        <v>5415</v>
      </c>
      <c r="BZ326">
        <v>-2.1999999999999999E-2</v>
      </c>
      <c r="CA326">
        <v>0</v>
      </c>
      <c r="CB326">
        <v>0</v>
      </c>
      <c r="CC326" s="2146">
        <v>18</v>
      </c>
      <c r="CD326" s="2146" t="s">
        <v>46</v>
      </c>
      <c r="CE326" s="2146" t="s">
        <v>13444</v>
      </c>
      <c r="CF326" s="2146">
        <v>-2.1999999999999999E-2</v>
      </c>
      <c r="CG326" s="2146">
        <v>0</v>
      </c>
      <c r="CH326">
        <v>0</v>
      </c>
      <c r="CJ326" t="s">
        <v>5747</v>
      </c>
    </row>
    <row r="327" spans="1:88">
      <c r="A327" t="s">
        <v>1476</v>
      </c>
      <c r="B327" t="s">
        <v>1540</v>
      </c>
      <c r="C327" t="s">
        <v>116</v>
      </c>
      <c r="D327" t="s">
        <v>40</v>
      </c>
      <c r="E327" t="s">
        <v>41</v>
      </c>
      <c r="F327" t="s">
        <v>1517</v>
      </c>
      <c r="G327" t="s">
        <v>1541</v>
      </c>
      <c r="H327" t="s">
        <v>1542</v>
      </c>
      <c r="I327" t="s">
        <v>3234</v>
      </c>
      <c r="J327" t="s">
        <v>69</v>
      </c>
      <c r="N327" t="s">
        <v>182</v>
      </c>
      <c r="O327" t="s">
        <v>48</v>
      </c>
      <c r="P327" t="s">
        <v>603</v>
      </c>
      <c r="Q327" s="534">
        <v>1</v>
      </c>
      <c r="R327" t="s">
        <v>3263</v>
      </c>
      <c r="S327">
        <v>49.5</v>
      </c>
      <c r="X327">
        <v>48</v>
      </c>
      <c r="AH327">
        <v>0</v>
      </c>
      <c r="BP327" s="534">
        <v>56.7</v>
      </c>
      <c r="BQ327" s="722">
        <v>61.8</v>
      </c>
      <c r="BR327" t="s">
        <v>52</v>
      </c>
      <c r="BS327" t="s">
        <v>52</v>
      </c>
      <c r="BT327">
        <v>0</v>
      </c>
      <c r="BU327" t="s">
        <v>52</v>
      </c>
      <c r="BV327">
        <v>0</v>
      </c>
      <c r="BW327">
        <v>67.2</v>
      </c>
      <c r="BX327" t="s">
        <v>2148</v>
      </c>
      <c r="BY327">
        <v>0</v>
      </c>
      <c r="BZ327">
        <v>0</v>
      </c>
      <c r="CA327">
        <v>0</v>
      </c>
      <c r="CB327">
        <v>0</v>
      </c>
      <c r="CC327" s="2146">
        <v>57</v>
      </c>
      <c r="CD327" s="2146" t="s">
        <v>2148</v>
      </c>
      <c r="CE327" s="2146">
        <v>0</v>
      </c>
      <c r="CF327" s="2146">
        <v>0</v>
      </c>
      <c r="CG327" s="2146">
        <v>0</v>
      </c>
      <c r="CH327">
        <v>0</v>
      </c>
      <c r="CJ327" t="s">
        <v>5748</v>
      </c>
    </row>
    <row r="328" spans="1:88">
      <c r="A328" t="s">
        <v>1476</v>
      </c>
      <c r="B328" t="s">
        <v>1543</v>
      </c>
      <c r="C328" t="s">
        <v>116</v>
      </c>
      <c r="D328" t="s">
        <v>40</v>
      </c>
      <c r="E328" t="s">
        <v>41</v>
      </c>
      <c r="F328" t="s">
        <v>1517</v>
      </c>
      <c r="G328" t="s">
        <v>1544</v>
      </c>
      <c r="H328" t="s">
        <v>1545</v>
      </c>
      <c r="I328" t="s">
        <v>3235</v>
      </c>
      <c r="J328" t="s">
        <v>69</v>
      </c>
      <c r="N328" t="s">
        <v>182</v>
      </c>
      <c r="O328" t="s">
        <v>76</v>
      </c>
      <c r="P328" t="s">
        <v>1163</v>
      </c>
      <c r="Q328" s="534">
        <v>2</v>
      </c>
      <c r="R328" t="s">
        <v>3264</v>
      </c>
      <c r="S328">
        <v>8.36</v>
      </c>
      <c r="X328">
        <v>12.2</v>
      </c>
      <c r="AH328">
        <v>0</v>
      </c>
      <c r="BP328" s="534">
        <v>5.75</v>
      </c>
      <c r="BQ328" s="726">
        <v>7.14</v>
      </c>
      <c r="BR328" t="s">
        <v>52</v>
      </c>
      <c r="BS328" t="s">
        <v>52</v>
      </c>
      <c r="BT328">
        <v>0</v>
      </c>
      <c r="BU328" t="s">
        <v>52</v>
      </c>
      <c r="BV328">
        <v>0</v>
      </c>
      <c r="BW328">
        <v>5.61</v>
      </c>
      <c r="BX328" t="s">
        <v>2148</v>
      </c>
      <c r="BY328">
        <v>0</v>
      </c>
      <c r="BZ328">
        <v>0</v>
      </c>
      <c r="CA328">
        <v>0</v>
      </c>
      <c r="CB328">
        <v>0</v>
      </c>
      <c r="CC328" s="2146">
        <v>8.9700000000000006</v>
      </c>
      <c r="CD328" s="2146" t="s">
        <v>2148</v>
      </c>
      <c r="CE328" s="2146">
        <v>0</v>
      </c>
      <c r="CF328" s="2146">
        <v>0</v>
      </c>
      <c r="CG328" s="2146">
        <v>0</v>
      </c>
      <c r="CH328">
        <v>0</v>
      </c>
      <c r="CJ328" t="s">
        <v>5749</v>
      </c>
    </row>
    <row r="329" spans="1:88">
      <c r="A329" t="s">
        <v>1476</v>
      </c>
      <c r="B329" t="s">
        <v>1546</v>
      </c>
      <c r="C329" t="s">
        <v>116</v>
      </c>
      <c r="D329" t="s">
        <v>40</v>
      </c>
      <c r="E329" t="s">
        <v>41</v>
      </c>
      <c r="F329" t="s">
        <v>1547</v>
      </c>
      <c r="G329" t="s">
        <v>179</v>
      </c>
      <c r="H329" t="s">
        <v>1548</v>
      </c>
      <c r="I329" t="s">
        <v>3236</v>
      </c>
      <c r="J329" t="s">
        <v>5408</v>
      </c>
      <c r="K329" t="s">
        <v>322</v>
      </c>
      <c r="N329" t="s">
        <v>368</v>
      </c>
      <c r="O329" t="s">
        <v>76</v>
      </c>
      <c r="P329" t="s">
        <v>1549</v>
      </c>
      <c r="Q329" s="534">
        <v>1</v>
      </c>
      <c r="R329" t="s">
        <v>3264</v>
      </c>
      <c r="S329">
        <v>79</v>
      </c>
      <c r="T329">
        <v>80.400000000000006</v>
      </c>
      <c r="U329">
        <v>81.599999999999994</v>
      </c>
      <c r="V329">
        <v>82.8</v>
      </c>
      <c r="W329">
        <v>83.8</v>
      </c>
      <c r="X329">
        <v>84.7</v>
      </c>
      <c r="AH329">
        <v>0</v>
      </c>
      <c r="AI329" t="s">
        <v>50</v>
      </c>
      <c r="AJ329" t="s">
        <v>50</v>
      </c>
      <c r="AK329" t="s">
        <v>50</v>
      </c>
      <c r="AL329" t="s">
        <v>50</v>
      </c>
      <c r="AM329" t="s">
        <v>50</v>
      </c>
      <c r="AN329">
        <v>79</v>
      </c>
      <c r="AO329">
        <v>79</v>
      </c>
      <c r="AP329">
        <v>79</v>
      </c>
      <c r="AQ329">
        <v>79</v>
      </c>
      <c r="AR329">
        <v>79</v>
      </c>
      <c r="AS329">
        <v>79.400000000000006</v>
      </c>
      <c r="AT329">
        <v>80.599999999999994</v>
      </c>
      <c r="AU329">
        <v>81.8</v>
      </c>
      <c r="AV329">
        <v>82.8</v>
      </c>
      <c r="AW329">
        <v>83.7</v>
      </c>
      <c r="BH329">
        <v>0.71199999999999997</v>
      </c>
      <c r="BN329">
        <v>1</v>
      </c>
      <c r="BO329" t="s">
        <v>51</v>
      </c>
      <c r="BP329" s="534">
        <v>78.099999999999994</v>
      </c>
      <c r="BQ329" s="722">
        <v>79.099999999999994</v>
      </c>
      <c r="BR329" t="s">
        <v>46</v>
      </c>
      <c r="BS329" t="s">
        <v>52</v>
      </c>
      <c r="BT329">
        <v>0</v>
      </c>
      <c r="BU329" t="s">
        <v>5415</v>
      </c>
      <c r="BV329">
        <v>-0.21360000000000001</v>
      </c>
      <c r="BW329">
        <v>80.8</v>
      </c>
      <c r="BX329" t="s">
        <v>46</v>
      </c>
      <c r="BY329">
        <v>0</v>
      </c>
      <c r="BZ329">
        <v>0</v>
      </c>
      <c r="CA329" t="s">
        <v>5378</v>
      </c>
      <c r="CB329">
        <v>0</v>
      </c>
      <c r="CC329" s="2146">
        <v>81.8</v>
      </c>
      <c r="CD329" s="2146" t="s">
        <v>46</v>
      </c>
      <c r="CE329" s="2146">
        <v>0</v>
      </c>
      <c r="CF329" s="2146">
        <v>0</v>
      </c>
      <c r="CG329" s="2146" t="s">
        <v>13445</v>
      </c>
      <c r="CH329">
        <v>0</v>
      </c>
      <c r="CJ329" t="s">
        <v>5750</v>
      </c>
    </row>
    <row r="330" spans="1:88">
      <c r="A330" t="s">
        <v>1476</v>
      </c>
      <c r="B330" t="s">
        <v>1550</v>
      </c>
      <c r="C330" t="s">
        <v>116</v>
      </c>
      <c r="D330" t="s">
        <v>214</v>
      </c>
      <c r="E330" t="s">
        <v>215</v>
      </c>
      <c r="F330" t="s">
        <v>1551</v>
      </c>
      <c r="G330" t="s">
        <v>608</v>
      </c>
      <c r="H330" t="s">
        <v>1552</v>
      </c>
      <c r="I330" t="s">
        <v>3237</v>
      </c>
      <c r="J330" t="s">
        <v>5406</v>
      </c>
      <c r="K330" t="s">
        <v>322</v>
      </c>
      <c r="N330" t="s">
        <v>219</v>
      </c>
      <c r="O330" t="s">
        <v>48</v>
      </c>
      <c r="P330" t="s">
        <v>1141</v>
      </c>
      <c r="Q330" s="534">
        <v>0</v>
      </c>
      <c r="R330" t="s">
        <v>3263</v>
      </c>
      <c r="S330">
        <v>157</v>
      </c>
      <c r="T330">
        <v>153</v>
      </c>
      <c r="U330">
        <v>148</v>
      </c>
      <c r="V330">
        <v>144</v>
      </c>
      <c r="W330">
        <v>139</v>
      </c>
      <c r="X330">
        <v>135</v>
      </c>
      <c r="AC330" t="s">
        <v>50</v>
      </c>
      <c r="AE330" t="s">
        <v>50</v>
      </c>
      <c r="AH330">
        <v>0</v>
      </c>
      <c r="AI330" t="s">
        <v>50</v>
      </c>
      <c r="AJ330" t="s">
        <v>50</v>
      </c>
      <c r="AK330" t="s">
        <v>50</v>
      </c>
      <c r="AL330" t="s">
        <v>50</v>
      </c>
      <c r="AM330" t="s">
        <v>50</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51</v>
      </c>
      <c r="BP330" s="534">
        <v>182</v>
      </c>
      <c r="BQ330" s="725">
        <v>189</v>
      </c>
      <c r="BR330" t="s">
        <v>46</v>
      </c>
      <c r="BS330" t="s">
        <v>52</v>
      </c>
      <c r="BT330">
        <v>0</v>
      </c>
      <c r="BU330" t="s">
        <v>5378</v>
      </c>
      <c r="BV330">
        <v>0</v>
      </c>
      <c r="BW330">
        <v>165</v>
      </c>
      <c r="BX330" t="s">
        <v>46</v>
      </c>
      <c r="BY330">
        <v>0</v>
      </c>
      <c r="BZ330">
        <v>0</v>
      </c>
      <c r="CA330" t="s">
        <v>5378</v>
      </c>
      <c r="CB330">
        <v>0</v>
      </c>
      <c r="CC330" s="2146">
        <v>141</v>
      </c>
      <c r="CD330" s="2146" t="s">
        <v>50</v>
      </c>
      <c r="CE330" s="2146">
        <v>0</v>
      </c>
      <c r="CF330" s="2146">
        <v>0</v>
      </c>
      <c r="CG330" s="2146" t="s">
        <v>5425</v>
      </c>
      <c r="CH330">
        <v>0.20399999999999999</v>
      </c>
      <c r="CJ330" t="s">
        <v>5751</v>
      </c>
    </row>
    <row r="331" spans="1:88">
      <c r="A331" t="s">
        <v>1476</v>
      </c>
      <c r="B331" t="s">
        <v>1553</v>
      </c>
      <c r="C331" t="s">
        <v>116</v>
      </c>
      <c r="D331" t="s">
        <v>214</v>
      </c>
      <c r="E331" t="s">
        <v>215</v>
      </c>
      <c r="F331" t="s">
        <v>1551</v>
      </c>
      <c r="G331" t="s">
        <v>216</v>
      </c>
      <c r="H331" t="s">
        <v>1554</v>
      </c>
      <c r="I331" t="s">
        <v>3238</v>
      </c>
      <c r="J331" t="s">
        <v>5406</v>
      </c>
      <c r="K331" t="s">
        <v>322</v>
      </c>
      <c r="N331" t="s">
        <v>219</v>
      </c>
      <c r="O331" t="s">
        <v>48</v>
      </c>
      <c r="P331" t="s">
        <v>1145</v>
      </c>
      <c r="Q331" s="534">
        <v>0</v>
      </c>
      <c r="R331" t="s">
        <v>3263</v>
      </c>
      <c r="S331">
        <v>3500</v>
      </c>
      <c r="T331">
        <v>3440</v>
      </c>
      <c r="U331">
        <v>3380</v>
      </c>
      <c r="V331">
        <v>3320</v>
      </c>
      <c r="W331">
        <v>3260</v>
      </c>
      <c r="X331">
        <v>3200</v>
      </c>
      <c r="AE331" t="s">
        <v>50</v>
      </c>
      <c r="AH331">
        <v>0</v>
      </c>
      <c r="AI331" t="s">
        <v>50</v>
      </c>
      <c r="AJ331" t="s">
        <v>50</v>
      </c>
      <c r="AK331" t="s">
        <v>50</v>
      </c>
      <c r="AL331" t="s">
        <v>50</v>
      </c>
      <c r="AM331" t="s">
        <v>50</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51</v>
      </c>
      <c r="BP331" s="534">
        <v>3179</v>
      </c>
      <c r="BQ331" s="725">
        <v>3702</v>
      </c>
      <c r="BR331" t="s">
        <v>46</v>
      </c>
      <c r="BS331" t="s">
        <v>52</v>
      </c>
      <c r="BT331">
        <v>0</v>
      </c>
      <c r="BU331" t="s">
        <v>5415</v>
      </c>
      <c r="BV331">
        <v>-0.24199999999999999</v>
      </c>
      <c r="BW331">
        <v>3504</v>
      </c>
      <c r="BX331" t="s">
        <v>46</v>
      </c>
      <c r="BY331">
        <v>0</v>
      </c>
      <c r="BZ331">
        <v>0</v>
      </c>
      <c r="CA331" t="s">
        <v>5415</v>
      </c>
      <c r="CB331">
        <v>-0.28399999999999997</v>
      </c>
      <c r="CC331" s="2146">
        <v>2924</v>
      </c>
      <c r="CD331" s="2146" t="s">
        <v>50</v>
      </c>
      <c r="CE331" s="2146">
        <v>0</v>
      </c>
      <c r="CF331" s="2146">
        <v>0</v>
      </c>
      <c r="CG331" s="2146" t="s">
        <v>5425</v>
      </c>
      <c r="CH331">
        <v>0.27600000000000002</v>
      </c>
      <c r="CJ331" t="s">
        <v>5752</v>
      </c>
    </row>
    <row r="332" spans="1:88">
      <c r="A332" t="s">
        <v>1476</v>
      </c>
      <c r="B332" t="s">
        <v>1555</v>
      </c>
      <c r="C332" t="s">
        <v>116</v>
      </c>
      <c r="D332" t="s">
        <v>214</v>
      </c>
      <c r="E332" t="s">
        <v>215</v>
      </c>
      <c r="F332" t="s">
        <v>1551</v>
      </c>
      <c r="G332" t="s">
        <v>222</v>
      </c>
      <c r="H332" t="s">
        <v>1556</v>
      </c>
      <c r="I332" t="s">
        <v>3239</v>
      </c>
      <c r="J332" t="s">
        <v>5406</v>
      </c>
      <c r="K332" t="s">
        <v>322</v>
      </c>
      <c r="N332" t="s">
        <v>1153</v>
      </c>
      <c r="O332" t="s">
        <v>48</v>
      </c>
      <c r="P332" t="s">
        <v>1557</v>
      </c>
      <c r="Q332" s="534">
        <v>0</v>
      </c>
      <c r="R332" t="s">
        <v>3263</v>
      </c>
      <c r="S332">
        <v>410</v>
      </c>
      <c r="T332">
        <v>388</v>
      </c>
      <c r="U332">
        <v>366</v>
      </c>
      <c r="V332">
        <v>344</v>
      </c>
      <c r="W332">
        <v>322</v>
      </c>
      <c r="X332">
        <v>300</v>
      </c>
      <c r="AE332" t="s">
        <v>50</v>
      </c>
      <c r="AH332">
        <v>0</v>
      </c>
      <c r="AI332" t="s">
        <v>50</v>
      </c>
      <c r="AJ332" t="s">
        <v>50</v>
      </c>
      <c r="AK332" t="s">
        <v>50</v>
      </c>
      <c r="AL332" t="s">
        <v>50</v>
      </c>
      <c r="AM332" t="s">
        <v>50</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51</v>
      </c>
      <c r="BP332" s="534">
        <v>333</v>
      </c>
      <c r="BQ332" s="725">
        <v>230</v>
      </c>
      <c r="BR332" t="s">
        <v>50</v>
      </c>
      <c r="BS332" t="s">
        <v>52</v>
      </c>
      <c r="BT332">
        <v>0</v>
      </c>
      <c r="BU332" t="s">
        <v>5425</v>
      </c>
      <c r="BV332">
        <v>0.34760000000000002</v>
      </c>
      <c r="BW332">
        <v>278</v>
      </c>
      <c r="BX332" t="s">
        <v>50</v>
      </c>
      <c r="BY332">
        <v>0</v>
      </c>
      <c r="BZ332">
        <v>0</v>
      </c>
      <c r="CA332" t="s">
        <v>5425</v>
      </c>
      <c r="CB332">
        <v>0.19359999999999999</v>
      </c>
      <c r="CC332" s="2146">
        <v>242</v>
      </c>
      <c r="CD332" s="2146" t="s">
        <v>50</v>
      </c>
      <c r="CE332" s="2146">
        <v>0</v>
      </c>
      <c r="CF332" s="2146">
        <v>0</v>
      </c>
      <c r="CG332" s="2146" t="s">
        <v>5425</v>
      </c>
      <c r="CH332">
        <v>0.22439999999999999</v>
      </c>
      <c r="CJ332" t="s">
        <v>5753</v>
      </c>
    </row>
    <row r="333" spans="1:88">
      <c r="A333" t="s">
        <v>1476</v>
      </c>
      <c r="B333" t="s">
        <v>1558</v>
      </c>
      <c r="C333" t="s">
        <v>116</v>
      </c>
      <c r="D333" t="s">
        <v>214</v>
      </c>
      <c r="E333" t="s">
        <v>215</v>
      </c>
      <c r="F333" t="s">
        <v>1551</v>
      </c>
      <c r="G333" t="s">
        <v>227</v>
      </c>
      <c r="H333" t="s">
        <v>1559</v>
      </c>
      <c r="I333" t="s">
        <v>3240</v>
      </c>
      <c r="J333" t="s">
        <v>5408</v>
      </c>
      <c r="K333" t="s">
        <v>322</v>
      </c>
      <c r="M333" t="s">
        <v>46</v>
      </c>
      <c r="N333" t="s">
        <v>273</v>
      </c>
      <c r="O333" t="s">
        <v>200</v>
      </c>
      <c r="P333" t="s">
        <v>323</v>
      </c>
      <c r="Q333" s="534" t="s">
        <v>51</v>
      </c>
      <c r="S333" t="s">
        <v>202</v>
      </c>
      <c r="T333" t="s">
        <v>202</v>
      </c>
      <c r="U333" t="s">
        <v>202</v>
      </c>
      <c r="V333" t="s">
        <v>202</v>
      </c>
      <c r="W333" t="s">
        <v>202</v>
      </c>
      <c r="X333" t="s">
        <v>202</v>
      </c>
      <c r="AE333" t="s">
        <v>50</v>
      </c>
      <c r="AH333">
        <v>6</v>
      </c>
      <c r="AI333" t="s">
        <v>50</v>
      </c>
      <c r="AJ333" t="s">
        <v>50</v>
      </c>
      <c r="AK333" t="s">
        <v>50</v>
      </c>
      <c r="AL333" t="s">
        <v>50</v>
      </c>
      <c r="AM333" t="s">
        <v>50</v>
      </c>
      <c r="AN333" t="s">
        <v>324</v>
      </c>
      <c r="AO333" t="s">
        <v>324</v>
      </c>
      <c r="AP333" t="s">
        <v>324</v>
      </c>
      <c r="AQ333" t="s">
        <v>324</v>
      </c>
      <c r="AR333" t="s">
        <v>324</v>
      </c>
      <c r="AS333" t="s">
        <v>325</v>
      </c>
      <c r="AT333" t="s">
        <v>325</v>
      </c>
      <c r="AU333" t="s">
        <v>325</v>
      </c>
      <c r="AV333" t="s">
        <v>325</v>
      </c>
      <c r="AW333" t="s">
        <v>325</v>
      </c>
      <c r="BH333">
        <v>0.68799999999999994</v>
      </c>
      <c r="BN333">
        <v>1</v>
      </c>
      <c r="BO333" t="s">
        <v>51</v>
      </c>
      <c r="BP333" s="534" t="s">
        <v>202</v>
      </c>
      <c r="BQ333" s="737" t="s">
        <v>202</v>
      </c>
      <c r="BR333" t="s">
        <v>50</v>
      </c>
      <c r="BS333" t="s">
        <v>52</v>
      </c>
      <c r="BT333">
        <v>0</v>
      </c>
      <c r="BU333" t="s">
        <v>52</v>
      </c>
      <c r="BV333">
        <v>0</v>
      </c>
      <c r="BW333" t="s">
        <v>202</v>
      </c>
      <c r="BX333" t="s">
        <v>50</v>
      </c>
      <c r="BY333">
        <v>0</v>
      </c>
      <c r="BZ333">
        <v>0</v>
      </c>
      <c r="CA333">
        <v>0</v>
      </c>
      <c r="CB333">
        <v>0</v>
      </c>
      <c r="CC333" s="2146" t="s">
        <v>202</v>
      </c>
      <c r="CD333" s="2146" t="s">
        <v>50</v>
      </c>
      <c r="CE333" s="2146">
        <v>0</v>
      </c>
      <c r="CF333" s="2146">
        <v>0</v>
      </c>
      <c r="CG333" s="2146">
        <v>0</v>
      </c>
      <c r="CH333">
        <v>0</v>
      </c>
      <c r="CJ333" t="s">
        <v>5754</v>
      </c>
    </row>
    <row r="334" spans="1:88">
      <c r="A334" t="s">
        <v>1476</v>
      </c>
      <c r="B334" t="s">
        <v>1561</v>
      </c>
      <c r="C334" t="s">
        <v>116</v>
      </c>
      <c r="D334" t="s">
        <v>214</v>
      </c>
      <c r="E334" t="s">
        <v>215</v>
      </c>
      <c r="F334" t="s">
        <v>1551</v>
      </c>
      <c r="G334" t="s">
        <v>1416</v>
      </c>
      <c r="H334" t="s">
        <v>1562</v>
      </c>
      <c r="I334" t="s">
        <v>3241</v>
      </c>
      <c r="J334" t="s">
        <v>5408</v>
      </c>
      <c r="K334" t="s">
        <v>322</v>
      </c>
      <c r="M334" t="s">
        <v>46</v>
      </c>
      <c r="N334" t="s">
        <v>273</v>
      </c>
      <c r="O334" t="s">
        <v>200</v>
      </c>
      <c r="P334" t="s">
        <v>323</v>
      </c>
      <c r="Q334" s="534" t="s">
        <v>51</v>
      </c>
      <c r="S334" t="s">
        <v>202</v>
      </c>
      <c r="T334" t="s">
        <v>202</v>
      </c>
      <c r="U334" t="s">
        <v>202</v>
      </c>
      <c r="V334" t="s">
        <v>202</v>
      </c>
      <c r="W334" t="s">
        <v>202</v>
      </c>
      <c r="X334" t="s">
        <v>202</v>
      </c>
      <c r="AE334" t="s">
        <v>50</v>
      </c>
      <c r="AH334">
        <v>3</v>
      </c>
      <c r="AI334" t="s">
        <v>50</v>
      </c>
      <c r="AJ334" t="s">
        <v>50</v>
      </c>
      <c r="AK334" t="s">
        <v>50</v>
      </c>
      <c r="AL334" t="s">
        <v>50</v>
      </c>
      <c r="AM334" t="s">
        <v>50</v>
      </c>
      <c r="AN334" t="s">
        <v>324</v>
      </c>
      <c r="AO334" t="s">
        <v>324</v>
      </c>
      <c r="AP334" t="s">
        <v>324</v>
      </c>
      <c r="AQ334" t="s">
        <v>324</v>
      </c>
      <c r="AR334" t="s">
        <v>324</v>
      </c>
      <c r="AS334" t="s">
        <v>325</v>
      </c>
      <c r="AT334" t="s">
        <v>325</v>
      </c>
      <c r="AU334" t="s">
        <v>325</v>
      </c>
      <c r="AV334" t="s">
        <v>325</v>
      </c>
      <c r="AW334" t="s">
        <v>325</v>
      </c>
      <c r="BH334">
        <v>1.359</v>
      </c>
      <c r="BN334">
        <v>1</v>
      </c>
      <c r="BO334" t="s">
        <v>51</v>
      </c>
      <c r="BP334" s="534" t="s">
        <v>202</v>
      </c>
      <c r="BQ334" s="737" t="s">
        <v>202</v>
      </c>
      <c r="BR334" t="s">
        <v>50</v>
      </c>
      <c r="BS334" t="s">
        <v>52</v>
      </c>
      <c r="BT334">
        <v>0</v>
      </c>
      <c r="BU334" t="s">
        <v>52</v>
      </c>
      <c r="BV334">
        <v>0</v>
      </c>
      <c r="BW334" t="s">
        <v>202</v>
      </c>
      <c r="BX334" t="s">
        <v>50</v>
      </c>
      <c r="BY334">
        <v>0</v>
      </c>
      <c r="BZ334">
        <v>0</v>
      </c>
      <c r="CA334">
        <v>0</v>
      </c>
      <c r="CB334">
        <v>0</v>
      </c>
      <c r="CC334" s="2146" t="s">
        <v>202</v>
      </c>
      <c r="CD334" s="2146" t="s">
        <v>50</v>
      </c>
      <c r="CE334" s="2146">
        <v>0</v>
      </c>
      <c r="CF334" s="2146">
        <v>0</v>
      </c>
      <c r="CG334" s="2146">
        <v>0</v>
      </c>
      <c r="CH334">
        <v>0</v>
      </c>
      <c r="CJ334" t="s">
        <v>5755</v>
      </c>
    </row>
    <row r="335" spans="1:88">
      <c r="A335" t="s">
        <v>1476</v>
      </c>
      <c r="B335" t="s">
        <v>1564</v>
      </c>
      <c r="C335" t="s">
        <v>116</v>
      </c>
      <c r="D335" t="s">
        <v>214</v>
      </c>
      <c r="E335" t="s">
        <v>215</v>
      </c>
      <c r="F335" t="s">
        <v>1551</v>
      </c>
      <c r="G335" t="s">
        <v>1565</v>
      </c>
      <c r="H335" t="s">
        <v>1566</v>
      </c>
      <c r="I335" t="s">
        <v>3242</v>
      </c>
      <c r="J335" t="s">
        <v>69</v>
      </c>
      <c r="N335" t="s">
        <v>1195</v>
      </c>
      <c r="O335" t="s">
        <v>76</v>
      </c>
      <c r="P335" t="s">
        <v>1567</v>
      </c>
      <c r="Q335" s="534">
        <v>2</v>
      </c>
      <c r="R335" t="s">
        <v>3264</v>
      </c>
      <c r="S335">
        <v>100</v>
      </c>
      <c r="T335">
        <v>100</v>
      </c>
      <c r="U335">
        <v>100</v>
      </c>
      <c r="V335">
        <v>100</v>
      </c>
      <c r="W335">
        <v>100</v>
      </c>
      <c r="X335">
        <v>100</v>
      </c>
      <c r="AH335">
        <v>0</v>
      </c>
      <c r="BP335" s="534">
        <v>100</v>
      </c>
      <c r="BQ335" s="725">
        <v>99.94</v>
      </c>
      <c r="BR335" t="s">
        <v>46</v>
      </c>
      <c r="BS335" t="s">
        <v>52</v>
      </c>
      <c r="BT335">
        <v>0</v>
      </c>
      <c r="BU335" t="s">
        <v>52</v>
      </c>
      <c r="BV335">
        <v>0</v>
      </c>
      <c r="BW335">
        <v>100</v>
      </c>
      <c r="BX335" t="s">
        <v>50</v>
      </c>
      <c r="BY335">
        <v>0</v>
      </c>
      <c r="BZ335">
        <v>0</v>
      </c>
      <c r="CA335">
        <v>0</v>
      </c>
      <c r="CB335">
        <v>0</v>
      </c>
      <c r="CC335" s="2146">
        <v>100</v>
      </c>
      <c r="CD335" s="2146" t="s">
        <v>50</v>
      </c>
      <c r="CE335" s="2146">
        <v>0</v>
      </c>
      <c r="CF335" s="2146">
        <v>0</v>
      </c>
      <c r="CG335" s="2146">
        <v>0</v>
      </c>
      <c r="CH335">
        <v>0</v>
      </c>
      <c r="CJ335" t="s">
        <v>5756</v>
      </c>
    </row>
    <row r="336" spans="1:88">
      <c r="A336" t="s">
        <v>1476</v>
      </c>
      <c r="B336" t="s">
        <v>1568</v>
      </c>
      <c r="C336" t="s">
        <v>116</v>
      </c>
      <c r="D336" t="s">
        <v>214</v>
      </c>
      <c r="E336" t="s">
        <v>215</v>
      </c>
      <c r="F336" t="s">
        <v>1514</v>
      </c>
      <c r="G336" t="s">
        <v>233</v>
      </c>
      <c r="H336" t="s">
        <v>1569</v>
      </c>
      <c r="I336" t="s">
        <v>3243</v>
      </c>
      <c r="J336" t="s">
        <v>5406</v>
      </c>
      <c r="K336" t="s">
        <v>45</v>
      </c>
      <c r="L336" t="s">
        <v>50</v>
      </c>
      <c r="N336" t="s">
        <v>192</v>
      </c>
      <c r="O336" t="s">
        <v>76</v>
      </c>
      <c r="P336" t="s">
        <v>1201</v>
      </c>
      <c r="Q336" s="534">
        <v>1</v>
      </c>
      <c r="R336" t="s">
        <v>3264</v>
      </c>
      <c r="S336">
        <v>90</v>
      </c>
      <c r="T336">
        <v>91</v>
      </c>
      <c r="U336">
        <v>92</v>
      </c>
      <c r="V336">
        <v>93</v>
      </c>
      <c r="W336">
        <v>94</v>
      </c>
      <c r="X336">
        <v>95</v>
      </c>
      <c r="AH336">
        <v>0</v>
      </c>
      <c r="AI336" t="s">
        <v>50</v>
      </c>
      <c r="AJ336" t="s">
        <v>50</v>
      </c>
      <c r="AK336" t="s">
        <v>50</v>
      </c>
      <c r="AL336" t="s">
        <v>50</v>
      </c>
      <c r="AM336" t="s">
        <v>50</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51</v>
      </c>
      <c r="BP336" s="534">
        <v>87.1</v>
      </c>
      <c r="BQ336" s="722">
        <v>88.2</v>
      </c>
      <c r="BR336" t="s">
        <v>46</v>
      </c>
      <c r="BS336" t="s">
        <v>5415</v>
      </c>
      <c r="BT336">
        <v>-0.14280000000000001</v>
      </c>
      <c r="BU336" t="s">
        <v>52</v>
      </c>
      <c r="BV336">
        <v>0</v>
      </c>
      <c r="BW336">
        <v>89.9</v>
      </c>
      <c r="BX336" t="s">
        <v>46</v>
      </c>
      <c r="BY336" t="s">
        <v>5415</v>
      </c>
      <c r="BZ336">
        <v>-0.1071</v>
      </c>
      <c r="CA336">
        <v>0</v>
      </c>
      <c r="CB336">
        <v>0</v>
      </c>
      <c r="CC336" s="2146">
        <v>91.6</v>
      </c>
      <c r="CD336" s="2146" t="s">
        <v>46</v>
      </c>
      <c r="CE336" s="2146" t="s">
        <v>13444</v>
      </c>
      <c r="CF336" s="2146">
        <v>-7.1400000000000005E-2</v>
      </c>
      <c r="CG336" s="2146">
        <v>0</v>
      </c>
      <c r="CH336">
        <v>0</v>
      </c>
      <c r="CJ336" t="s">
        <v>5757</v>
      </c>
    </row>
    <row r="337" spans="1:88">
      <c r="A337" t="s">
        <v>1476</v>
      </c>
      <c r="B337" t="s">
        <v>1570</v>
      </c>
      <c r="C337" t="s">
        <v>116</v>
      </c>
      <c r="D337" t="s">
        <v>214</v>
      </c>
      <c r="E337" t="s">
        <v>215</v>
      </c>
      <c r="F337" t="s">
        <v>1517</v>
      </c>
      <c r="G337" t="s">
        <v>237</v>
      </c>
      <c r="H337" t="s">
        <v>1571</v>
      </c>
      <c r="I337" t="s">
        <v>3244</v>
      </c>
      <c r="J337" t="s">
        <v>5408</v>
      </c>
      <c r="K337" t="s">
        <v>45</v>
      </c>
      <c r="M337" t="s">
        <v>46</v>
      </c>
      <c r="N337" t="s">
        <v>175</v>
      </c>
      <c r="O337" t="s">
        <v>76</v>
      </c>
      <c r="P337" t="s">
        <v>1572</v>
      </c>
      <c r="Q337" s="534">
        <v>1</v>
      </c>
      <c r="R337" t="s">
        <v>3264</v>
      </c>
      <c r="S337">
        <v>97.5</v>
      </c>
      <c r="T337">
        <v>98</v>
      </c>
      <c r="V337">
        <v>99</v>
      </c>
      <c r="X337">
        <v>100</v>
      </c>
      <c r="AE337" t="s">
        <v>50</v>
      </c>
      <c r="AH337">
        <v>0</v>
      </c>
      <c r="AM337" t="s">
        <v>50</v>
      </c>
      <c r="AR337">
        <v>80</v>
      </c>
      <c r="AW337">
        <v>99</v>
      </c>
      <c r="BH337">
        <v>1.4E-2</v>
      </c>
      <c r="BI337">
        <v>0.29599999999999999</v>
      </c>
      <c r="BN337">
        <v>1</v>
      </c>
      <c r="BO337" t="s">
        <v>51</v>
      </c>
      <c r="BP337" s="534">
        <v>96.1</v>
      </c>
      <c r="BQ337" s="722">
        <v>95.8</v>
      </c>
      <c r="BR337" t="s">
        <v>46</v>
      </c>
      <c r="BS337" t="s">
        <v>52</v>
      </c>
      <c r="BT337">
        <v>0</v>
      </c>
      <c r="BU337" t="s">
        <v>52</v>
      </c>
      <c r="BV337">
        <v>0</v>
      </c>
      <c r="BW337">
        <v>98.4</v>
      </c>
      <c r="BX337" t="s">
        <v>2148</v>
      </c>
      <c r="BY337">
        <v>0</v>
      </c>
      <c r="BZ337">
        <v>0</v>
      </c>
      <c r="CA337">
        <v>0</v>
      </c>
      <c r="CB337">
        <v>0</v>
      </c>
      <c r="CC337" s="2146">
        <v>97.1</v>
      </c>
      <c r="CD337" s="2146" t="s">
        <v>46</v>
      </c>
      <c r="CE337" s="2146">
        <v>0</v>
      </c>
      <c r="CF337" s="2146">
        <v>0</v>
      </c>
      <c r="CG337" s="2146">
        <v>0</v>
      </c>
      <c r="CH337">
        <v>0</v>
      </c>
      <c r="CJ337" t="s">
        <v>5758</v>
      </c>
    </row>
    <row r="338" spans="1:88">
      <c r="A338" t="s">
        <v>1476</v>
      </c>
      <c r="B338" t="s">
        <v>1573</v>
      </c>
      <c r="C338" t="s">
        <v>116</v>
      </c>
      <c r="D338" t="s">
        <v>214</v>
      </c>
      <c r="E338" t="s">
        <v>215</v>
      </c>
      <c r="F338" t="s">
        <v>1517</v>
      </c>
      <c r="G338" t="s">
        <v>242</v>
      </c>
      <c r="H338" t="s">
        <v>1574</v>
      </c>
      <c r="I338" t="s">
        <v>3245</v>
      </c>
      <c r="J338" t="s">
        <v>69</v>
      </c>
      <c r="N338" t="s">
        <v>175</v>
      </c>
      <c r="O338" t="s">
        <v>76</v>
      </c>
      <c r="P338" t="s">
        <v>1575</v>
      </c>
      <c r="Q338" s="534">
        <v>1</v>
      </c>
      <c r="R338" t="s">
        <v>3264</v>
      </c>
      <c r="S338">
        <v>99.9</v>
      </c>
      <c r="X338">
        <v>100</v>
      </c>
      <c r="AE338" t="s">
        <v>50</v>
      </c>
      <c r="AH338">
        <v>0</v>
      </c>
      <c r="BP338" s="534">
        <v>99.2</v>
      </c>
      <c r="BQ338" s="722">
        <v>99.13</v>
      </c>
      <c r="BR338" t="s">
        <v>52</v>
      </c>
      <c r="BS338" t="s">
        <v>52</v>
      </c>
      <c r="BT338">
        <v>0</v>
      </c>
      <c r="BU338" t="s">
        <v>52</v>
      </c>
      <c r="BV338">
        <v>0</v>
      </c>
      <c r="BW338">
        <v>99.9</v>
      </c>
      <c r="BX338" t="s">
        <v>2148</v>
      </c>
      <c r="BY338">
        <v>0</v>
      </c>
      <c r="BZ338">
        <v>0</v>
      </c>
      <c r="CA338">
        <v>0</v>
      </c>
      <c r="CB338">
        <v>0</v>
      </c>
      <c r="CC338" s="2146">
        <v>99.9</v>
      </c>
      <c r="CD338" s="2146" t="s">
        <v>2148</v>
      </c>
      <c r="CE338" s="2146">
        <v>0</v>
      </c>
      <c r="CF338" s="2146">
        <v>0</v>
      </c>
      <c r="CG338" s="2146">
        <v>0</v>
      </c>
      <c r="CH338">
        <v>0</v>
      </c>
      <c r="CJ338" t="s">
        <v>5759</v>
      </c>
    </row>
    <row r="339" spans="1:88">
      <c r="A339" t="s">
        <v>1476</v>
      </c>
      <c r="B339" t="s">
        <v>1576</v>
      </c>
      <c r="C339" t="s">
        <v>116</v>
      </c>
      <c r="D339" t="s">
        <v>214</v>
      </c>
      <c r="E339" t="s">
        <v>215</v>
      </c>
      <c r="F339" t="s">
        <v>1517</v>
      </c>
      <c r="G339" t="s">
        <v>246</v>
      </c>
      <c r="H339" t="s">
        <v>1577</v>
      </c>
      <c r="I339" t="s">
        <v>3246</v>
      </c>
      <c r="J339" t="s">
        <v>5408</v>
      </c>
      <c r="K339" t="s">
        <v>45</v>
      </c>
      <c r="L339" t="s">
        <v>50</v>
      </c>
      <c r="M339" t="s">
        <v>46</v>
      </c>
      <c r="N339" t="s">
        <v>175</v>
      </c>
      <c r="O339" t="s">
        <v>76</v>
      </c>
      <c r="P339" t="s">
        <v>1578</v>
      </c>
      <c r="Q339" s="534">
        <v>1</v>
      </c>
      <c r="R339" t="s">
        <v>3264</v>
      </c>
      <c r="S339">
        <v>95</v>
      </c>
      <c r="T339">
        <v>100</v>
      </c>
      <c r="U339">
        <v>100</v>
      </c>
      <c r="V339">
        <v>100</v>
      </c>
      <c r="W339">
        <v>100</v>
      </c>
      <c r="X339">
        <v>100</v>
      </c>
      <c r="AE339" t="s">
        <v>50</v>
      </c>
      <c r="AH339">
        <v>0</v>
      </c>
      <c r="AI339" t="s">
        <v>50</v>
      </c>
      <c r="AJ339" t="s">
        <v>50</v>
      </c>
      <c r="AK339" t="s">
        <v>50</v>
      </c>
      <c r="AL339" t="s">
        <v>50</v>
      </c>
      <c r="AM339" t="s">
        <v>50</v>
      </c>
      <c r="AN339" t="s">
        <v>1579</v>
      </c>
      <c r="AO339" t="s">
        <v>1579</v>
      </c>
      <c r="AP339" t="s">
        <v>1579</v>
      </c>
      <c r="AQ339" t="s">
        <v>1579</v>
      </c>
      <c r="AR339" t="s">
        <v>1579</v>
      </c>
      <c r="AS339">
        <v>95</v>
      </c>
      <c r="AT339">
        <v>95</v>
      </c>
      <c r="AU339">
        <v>95</v>
      </c>
      <c r="AV339">
        <v>95</v>
      </c>
      <c r="AW339">
        <v>95</v>
      </c>
      <c r="BH339">
        <v>0.25</v>
      </c>
      <c r="BN339">
        <v>1</v>
      </c>
      <c r="BO339" t="s">
        <v>51</v>
      </c>
      <c r="BP339" s="534">
        <v>91.4</v>
      </c>
      <c r="BQ339" s="722">
        <v>99.09</v>
      </c>
      <c r="BR339" t="s">
        <v>46</v>
      </c>
      <c r="BS339" t="s">
        <v>5378</v>
      </c>
      <c r="BT339">
        <v>0</v>
      </c>
      <c r="BU339" t="s">
        <v>52</v>
      </c>
      <c r="BV339">
        <v>0</v>
      </c>
      <c r="BW339">
        <v>99.4</v>
      </c>
      <c r="BX339" t="s">
        <v>46</v>
      </c>
      <c r="BY339" t="s">
        <v>5378</v>
      </c>
      <c r="BZ339">
        <v>0</v>
      </c>
      <c r="CA339">
        <v>0</v>
      </c>
      <c r="CB339">
        <v>0</v>
      </c>
      <c r="CC339" s="2146">
        <v>100</v>
      </c>
      <c r="CD339" s="2146" t="s">
        <v>50</v>
      </c>
      <c r="CE339" s="2146">
        <v>0</v>
      </c>
      <c r="CF339" s="2146">
        <v>0</v>
      </c>
      <c r="CG339" s="2146">
        <v>0</v>
      </c>
      <c r="CH339">
        <v>0</v>
      </c>
      <c r="CJ339" t="s">
        <v>5760</v>
      </c>
    </row>
    <row r="340" spans="1:88">
      <c r="A340" t="s">
        <v>1476</v>
      </c>
      <c r="B340" t="s">
        <v>1580</v>
      </c>
      <c r="C340" t="s">
        <v>116</v>
      </c>
      <c r="D340" t="s">
        <v>214</v>
      </c>
      <c r="E340" t="s">
        <v>215</v>
      </c>
      <c r="F340" t="s">
        <v>1517</v>
      </c>
      <c r="G340" t="s">
        <v>252</v>
      </c>
      <c r="H340" t="s">
        <v>1581</v>
      </c>
      <c r="I340" t="s">
        <v>3247</v>
      </c>
      <c r="J340" t="s">
        <v>5408</v>
      </c>
      <c r="K340" t="s">
        <v>45</v>
      </c>
      <c r="L340" t="s">
        <v>50</v>
      </c>
      <c r="N340" t="s">
        <v>249</v>
      </c>
      <c r="O340" t="s">
        <v>48</v>
      </c>
      <c r="P340" t="s">
        <v>1178</v>
      </c>
      <c r="Q340" s="534">
        <v>0</v>
      </c>
      <c r="R340" t="s">
        <v>3263</v>
      </c>
      <c r="S340">
        <v>2</v>
      </c>
      <c r="T340">
        <v>0</v>
      </c>
      <c r="U340">
        <v>0</v>
      </c>
      <c r="V340">
        <v>0</v>
      </c>
      <c r="W340">
        <v>0</v>
      </c>
      <c r="X340">
        <v>0</v>
      </c>
      <c r="AE340" t="s">
        <v>50</v>
      </c>
      <c r="AH340">
        <v>0</v>
      </c>
      <c r="AI340" t="s">
        <v>50</v>
      </c>
      <c r="AJ340" t="s">
        <v>50</v>
      </c>
      <c r="AK340" t="s">
        <v>50</v>
      </c>
      <c r="AL340" t="s">
        <v>50</v>
      </c>
      <c r="AM340" t="s">
        <v>50</v>
      </c>
      <c r="AN340">
        <v>8</v>
      </c>
      <c r="AO340">
        <v>8</v>
      </c>
      <c r="AP340">
        <v>8</v>
      </c>
      <c r="AQ340">
        <v>8</v>
      </c>
      <c r="AR340">
        <v>8</v>
      </c>
      <c r="AS340">
        <v>2</v>
      </c>
      <c r="AT340">
        <v>2</v>
      </c>
      <c r="AU340">
        <v>2</v>
      </c>
      <c r="AV340">
        <v>2</v>
      </c>
      <c r="AW340">
        <v>2</v>
      </c>
      <c r="BH340">
        <v>0.34599999999999997</v>
      </c>
      <c r="BN340">
        <v>1</v>
      </c>
      <c r="BO340" t="s">
        <v>51</v>
      </c>
      <c r="BP340" s="534">
        <v>3</v>
      </c>
      <c r="BQ340" s="725">
        <v>7</v>
      </c>
      <c r="BR340" t="s">
        <v>46</v>
      </c>
      <c r="BS340" t="s">
        <v>5415</v>
      </c>
      <c r="BT340">
        <v>-1.73</v>
      </c>
      <c r="BU340" t="s">
        <v>52</v>
      </c>
      <c r="BV340">
        <v>0</v>
      </c>
      <c r="BW340">
        <v>4</v>
      </c>
      <c r="BX340" t="s">
        <v>46</v>
      </c>
      <c r="BY340" t="s">
        <v>5415</v>
      </c>
      <c r="BZ340">
        <v>-0.69199999999999995</v>
      </c>
      <c r="CA340">
        <v>0</v>
      </c>
      <c r="CB340">
        <v>0</v>
      </c>
      <c r="CC340" s="2146">
        <v>3</v>
      </c>
      <c r="CD340" s="2146" t="s">
        <v>46</v>
      </c>
      <c r="CE340" s="2146" t="s">
        <v>13444</v>
      </c>
      <c r="CF340" s="2146">
        <v>-0.34599999999999997</v>
      </c>
      <c r="CG340" s="2146">
        <v>0</v>
      </c>
      <c r="CH340">
        <v>0</v>
      </c>
      <c r="CJ340" t="s">
        <v>5761</v>
      </c>
    </row>
    <row r="341" spans="1:88">
      <c r="A341" t="s">
        <v>1476</v>
      </c>
      <c r="B341" t="s">
        <v>1582</v>
      </c>
      <c r="C341" t="s">
        <v>116</v>
      </c>
      <c r="D341" t="s">
        <v>214</v>
      </c>
      <c r="E341" t="s">
        <v>215</v>
      </c>
      <c r="F341" t="s">
        <v>1517</v>
      </c>
      <c r="G341" t="s">
        <v>1435</v>
      </c>
      <c r="H341" t="s">
        <v>1583</v>
      </c>
      <c r="I341" t="s">
        <v>3248</v>
      </c>
      <c r="J341" t="s">
        <v>5408</v>
      </c>
      <c r="K341" t="s">
        <v>45</v>
      </c>
      <c r="L341" t="s">
        <v>50</v>
      </c>
      <c r="M341" t="s">
        <v>46</v>
      </c>
      <c r="N341" t="s">
        <v>249</v>
      </c>
      <c r="O341" t="s">
        <v>48</v>
      </c>
      <c r="P341" t="s">
        <v>1539</v>
      </c>
      <c r="Q341" s="534">
        <v>0</v>
      </c>
      <c r="R341" t="s">
        <v>3263</v>
      </c>
      <c r="S341">
        <v>248</v>
      </c>
      <c r="T341">
        <v>238</v>
      </c>
      <c r="U341">
        <v>228</v>
      </c>
      <c r="V341">
        <v>218</v>
      </c>
      <c r="W341">
        <v>208</v>
      </c>
      <c r="X341">
        <v>198</v>
      </c>
      <c r="AE341" t="s">
        <v>50</v>
      </c>
      <c r="AH341">
        <v>0</v>
      </c>
      <c r="AI341" t="s">
        <v>50</v>
      </c>
      <c r="AJ341" t="s">
        <v>50</v>
      </c>
      <c r="AK341" t="s">
        <v>50</v>
      </c>
      <c r="AL341" t="s">
        <v>50</v>
      </c>
      <c r="AM341" t="s">
        <v>50</v>
      </c>
      <c r="AN341">
        <v>262</v>
      </c>
      <c r="AO341">
        <v>262</v>
      </c>
      <c r="AP341">
        <v>262</v>
      </c>
      <c r="AQ341">
        <v>262</v>
      </c>
      <c r="AR341">
        <v>262</v>
      </c>
      <c r="AS341">
        <v>238</v>
      </c>
      <c r="AT341">
        <v>228</v>
      </c>
      <c r="AU341">
        <v>218</v>
      </c>
      <c r="AV341">
        <v>208</v>
      </c>
      <c r="AW341">
        <v>198</v>
      </c>
      <c r="BH341">
        <v>1.03E-2</v>
      </c>
      <c r="BI341">
        <v>1.9300000000000001E-2</v>
      </c>
      <c r="BN341">
        <v>1</v>
      </c>
      <c r="BO341" t="s">
        <v>51</v>
      </c>
      <c r="BP341" s="534">
        <v>315</v>
      </c>
      <c r="BQ341" s="725">
        <v>222</v>
      </c>
      <c r="BR341" t="s">
        <v>50</v>
      </c>
      <c r="BS341" t="s">
        <v>52</v>
      </c>
      <c r="BT341">
        <v>0</v>
      </c>
      <c r="BU341" t="s">
        <v>52</v>
      </c>
      <c r="BV341">
        <v>0</v>
      </c>
      <c r="BW341">
        <v>252</v>
      </c>
      <c r="BX341" t="s">
        <v>46</v>
      </c>
      <c r="BY341" t="s">
        <v>5415</v>
      </c>
      <c r="BZ341">
        <v>-0.42720000000000002</v>
      </c>
      <c r="CA341">
        <v>0</v>
      </c>
      <c r="CB341">
        <v>0</v>
      </c>
      <c r="CC341" s="2146">
        <v>237</v>
      </c>
      <c r="CD341" s="2146" t="s">
        <v>46</v>
      </c>
      <c r="CE341" s="2146" t="s">
        <v>13444</v>
      </c>
      <c r="CF341" s="2146">
        <v>-0.36670000000000003</v>
      </c>
      <c r="CG341" s="2146">
        <v>0</v>
      </c>
      <c r="CH341">
        <v>0</v>
      </c>
      <c r="CJ341" t="s">
        <v>5762</v>
      </c>
    </row>
    <row r="342" spans="1:88">
      <c r="A342" t="s">
        <v>1476</v>
      </c>
      <c r="B342" t="s">
        <v>1584</v>
      </c>
      <c r="C342" t="s">
        <v>116</v>
      </c>
      <c r="D342" t="s">
        <v>214</v>
      </c>
      <c r="E342" t="s">
        <v>215</v>
      </c>
      <c r="F342" t="s">
        <v>1517</v>
      </c>
      <c r="G342" t="s">
        <v>1440</v>
      </c>
      <c r="H342" t="s">
        <v>1585</v>
      </c>
      <c r="I342" t="s">
        <v>3249</v>
      </c>
      <c r="J342" t="s">
        <v>69</v>
      </c>
      <c r="N342" t="s">
        <v>182</v>
      </c>
      <c r="O342" t="s">
        <v>48</v>
      </c>
      <c r="P342" t="s">
        <v>603</v>
      </c>
      <c r="Q342" s="534">
        <v>1</v>
      </c>
      <c r="R342" t="s">
        <v>3263</v>
      </c>
      <c r="S342">
        <v>100.5</v>
      </c>
      <c r="X342">
        <v>102</v>
      </c>
      <c r="AH342">
        <v>0</v>
      </c>
      <c r="BP342" s="534">
        <v>93.5</v>
      </c>
      <c r="BQ342" s="722">
        <v>98.6</v>
      </c>
      <c r="BR342" t="s">
        <v>52</v>
      </c>
      <c r="BS342" t="s">
        <v>52</v>
      </c>
      <c r="BT342">
        <v>0</v>
      </c>
      <c r="BU342" t="s">
        <v>52</v>
      </c>
      <c r="BV342">
        <v>0</v>
      </c>
      <c r="BW342">
        <v>85.9</v>
      </c>
      <c r="BX342" t="s">
        <v>2148</v>
      </c>
      <c r="BY342">
        <v>0</v>
      </c>
      <c r="BZ342">
        <v>0</v>
      </c>
      <c r="CA342">
        <v>0</v>
      </c>
      <c r="CB342">
        <v>0</v>
      </c>
      <c r="CC342" s="2146">
        <v>83.2</v>
      </c>
      <c r="CD342" s="2146" t="s">
        <v>2148</v>
      </c>
      <c r="CE342" s="2146">
        <v>0</v>
      </c>
      <c r="CF342" s="2146">
        <v>0</v>
      </c>
      <c r="CG342" s="2146">
        <v>0</v>
      </c>
      <c r="CH342">
        <v>0</v>
      </c>
      <c r="CJ342" t="s">
        <v>5763</v>
      </c>
    </row>
    <row r="343" spans="1:88">
      <c r="A343" t="s">
        <v>1476</v>
      </c>
      <c r="B343" t="s">
        <v>1586</v>
      </c>
      <c r="C343" t="s">
        <v>116</v>
      </c>
      <c r="D343" t="s">
        <v>214</v>
      </c>
      <c r="E343" t="s">
        <v>215</v>
      </c>
      <c r="F343" t="s">
        <v>1517</v>
      </c>
      <c r="G343" t="s">
        <v>1444</v>
      </c>
      <c r="H343" t="s">
        <v>1587</v>
      </c>
      <c r="I343" t="s">
        <v>3250</v>
      </c>
      <c r="J343" t="s">
        <v>69</v>
      </c>
      <c r="N343" t="s">
        <v>182</v>
      </c>
      <c r="O343" t="s">
        <v>76</v>
      </c>
      <c r="P343" t="s">
        <v>1163</v>
      </c>
      <c r="Q343" s="534">
        <v>2</v>
      </c>
      <c r="R343" t="s">
        <v>3264</v>
      </c>
      <c r="S343">
        <v>2.64</v>
      </c>
      <c r="X343">
        <v>7.8</v>
      </c>
      <c r="AH343">
        <v>0</v>
      </c>
      <c r="BP343" s="534">
        <v>1.4</v>
      </c>
      <c r="BQ343" s="726">
        <v>2.4</v>
      </c>
      <c r="BR343" t="s">
        <v>52</v>
      </c>
      <c r="BS343" t="s">
        <v>52</v>
      </c>
      <c r="BT343">
        <v>0</v>
      </c>
      <c r="BU343" t="s">
        <v>52</v>
      </c>
      <c r="BV343">
        <v>0</v>
      </c>
      <c r="BW343">
        <v>2.75</v>
      </c>
      <c r="BX343" t="s">
        <v>2148</v>
      </c>
      <c r="BY343">
        <v>0</v>
      </c>
      <c r="BZ343">
        <v>0</v>
      </c>
      <c r="CA343">
        <v>0</v>
      </c>
      <c r="CB343">
        <v>0</v>
      </c>
      <c r="CC343" s="2146">
        <v>3.95</v>
      </c>
      <c r="CD343" s="2146" t="s">
        <v>2148</v>
      </c>
      <c r="CE343" s="2146">
        <v>0</v>
      </c>
      <c r="CF343" s="2146">
        <v>0</v>
      </c>
      <c r="CG343" s="2146">
        <v>0</v>
      </c>
      <c r="CH343">
        <v>0</v>
      </c>
      <c r="CJ343" t="s">
        <v>5764</v>
      </c>
    </row>
    <row r="344" spans="1:88">
      <c r="A344" t="s">
        <v>1476</v>
      </c>
      <c r="B344" t="s">
        <v>1588</v>
      </c>
      <c r="C344" t="s">
        <v>116</v>
      </c>
      <c r="D344" t="s">
        <v>214</v>
      </c>
      <c r="E344" t="s">
        <v>215</v>
      </c>
      <c r="F344" t="s">
        <v>1589</v>
      </c>
      <c r="G344" t="s">
        <v>256</v>
      </c>
      <c r="H344" t="s">
        <v>1590</v>
      </c>
      <c r="I344" t="s">
        <v>3251</v>
      </c>
      <c r="J344" t="s">
        <v>5406</v>
      </c>
      <c r="K344" t="s">
        <v>322</v>
      </c>
      <c r="N344" t="s">
        <v>175</v>
      </c>
      <c r="O344" t="s">
        <v>48</v>
      </c>
      <c r="P344" t="s">
        <v>1591</v>
      </c>
      <c r="Q344" s="534">
        <v>0</v>
      </c>
      <c r="R344" t="s">
        <v>3264</v>
      </c>
      <c r="S344">
        <v>-15</v>
      </c>
      <c r="T344">
        <v>-12</v>
      </c>
      <c r="U344">
        <v>-9</v>
      </c>
      <c r="V344">
        <v>-6</v>
      </c>
      <c r="W344">
        <v>-3</v>
      </c>
      <c r="X344">
        <v>0</v>
      </c>
      <c r="AF344" t="s">
        <v>50</v>
      </c>
      <c r="AH344">
        <v>0</v>
      </c>
      <c r="AI344" t="s">
        <v>50</v>
      </c>
      <c r="AJ344" t="s">
        <v>50</v>
      </c>
      <c r="AK344" t="s">
        <v>50</v>
      </c>
      <c r="AL344" t="s">
        <v>50</v>
      </c>
      <c r="AM344" t="s">
        <v>50</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51</v>
      </c>
      <c r="BP344" s="534">
        <v>-6</v>
      </c>
      <c r="BQ344" s="725">
        <v>0</v>
      </c>
      <c r="BR344" t="s">
        <v>50</v>
      </c>
      <c r="BS344" t="s">
        <v>52</v>
      </c>
      <c r="BT344">
        <v>0</v>
      </c>
      <c r="BU344" t="s">
        <v>5425</v>
      </c>
      <c r="BV344">
        <v>2.988</v>
      </c>
      <c r="BW344">
        <v>0</v>
      </c>
      <c r="BX344" t="s">
        <v>50</v>
      </c>
      <c r="BY344">
        <v>0</v>
      </c>
      <c r="BZ344">
        <v>0</v>
      </c>
      <c r="CA344" t="s">
        <v>5425</v>
      </c>
      <c r="CB344">
        <v>2.2410000000000001</v>
      </c>
      <c r="CC344" s="2146">
        <v>0</v>
      </c>
      <c r="CD344" s="2146" t="s">
        <v>50</v>
      </c>
      <c r="CE344" s="2146">
        <v>0</v>
      </c>
      <c r="CF344" s="2146">
        <v>0</v>
      </c>
      <c r="CG344" s="2146" t="s">
        <v>5425</v>
      </c>
      <c r="CH344">
        <v>1.494</v>
      </c>
      <c r="CJ344" t="s">
        <v>5765</v>
      </c>
    </row>
    <row r="345" spans="1:88">
      <c r="A345" t="s">
        <v>1476</v>
      </c>
      <c r="B345" t="s">
        <v>1592</v>
      </c>
      <c r="C345" t="s">
        <v>116</v>
      </c>
      <c r="D345" t="s">
        <v>214</v>
      </c>
      <c r="E345" t="s">
        <v>215</v>
      </c>
      <c r="F345" t="s">
        <v>1589</v>
      </c>
      <c r="G345" t="s">
        <v>261</v>
      </c>
      <c r="H345" t="s">
        <v>1593</v>
      </c>
      <c r="I345" t="s">
        <v>3252</v>
      </c>
      <c r="J345" t="s">
        <v>69</v>
      </c>
      <c r="N345" t="s">
        <v>175</v>
      </c>
      <c r="O345" t="s">
        <v>48</v>
      </c>
      <c r="P345" t="s">
        <v>1594</v>
      </c>
      <c r="Q345" s="534">
        <v>0</v>
      </c>
      <c r="R345" t="s">
        <v>3263</v>
      </c>
      <c r="S345" t="s">
        <v>1595</v>
      </c>
      <c r="T345" t="s">
        <v>3267</v>
      </c>
      <c r="U345" t="s">
        <v>3267</v>
      </c>
      <c r="V345" t="s">
        <v>3267</v>
      </c>
      <c r="W345" t="s">
        <v>3267</v>
      </c>
      <c r="X345" t="s">
        <v>3267</v>
      </c>
      <c r="AF345" t="s">
        <v>50</v>
      </c>
      <c r="AH345">
        <v>0</v>
      </c>
      <c r="BP345" s="534" t="s">
        <v>2797</v>
      </c>
      <c r="BQ345" s="738" t="s">
        <v>2797</v>
      </c>
      <c r="BR345" t="s">
        <v>52</v>
      </c>
      <c r="BS345" t="s">
        <v>52</v>
      </c>
      <c r="BT345">
        <v>0</v>
      </c>
      <c r="BU345" t="s">
        <v>52</v>
      </c>
      <c r="BV345">
        <v>0</v>
      </c>
      <c r="BW345" t="s">
        <v>497</v>
      </c>
      <c r="BX345" t="s">
        <v>2148</v>
      </c>
      <c r="BY345">
        <v>0</v>
      </c>
      <c r="BZ345">
        <v>0</v>
      </c>
      <c r="CA345">
        <v>0</v>
      </c>
      <c r="CB345">
        <v>0</v>
      </c>
      <c r="CC345" s="2146" t="s">
        <v>497</v>
      </c>
      <c r="CD345" s="2146" t="s">
        <v>2148</v>
      </c>
      <c r="CE345" s="2146">
        <v>0</v>
      </c>
      <c r="CF345" s="2146">
        <v>0</v>
      </c>
      <c r="CG345" s="2146">
        <v>0</v>
      </c>
      <c r="CH345">
        <v>0</v>
      </c>
      <c r="CJ345" t="s">
        <v>5766</v>
      </c>
    </row>
    <row r="346" spans="1:88">
      <c r="A346" t="s">
        <v>1476</v>
      </c>
      <c r="B346" t="s">
        <v>1596</v>
      </c>
      <c r="C346" t="s">
        <v>116</v>
      </c>
      <c r="D346" t="s">
        <v>214</v>
      </c>
      <c r="E346" t="s">
        <v>215</v>
      </c>
      <c r="F346" t="s">
        <v>1589</v>
      </c>
      <c r="G346" t="s">
        <v>696</v>
      </c>
      <c r="H346" t="s">
        <v>1597</v>
      </c>
      <c r="I346" t="s">
        <v>3253</v>
      </c>
      <c r="J346" t="s">
        <v>69</v>
      </c>
      <c r="N346" t="s">
        <v>175</v>
      </c>
      <c r="O346" t="s">
        <v>48</v>
      </c>
      <c r="P346" t="s">
        <v>1598</v>
      </c>
      <c r="Q346" s="534">
        <v>0</v>
      </c>
      <c r="R346" t="s">
        <v>3264</v>
      </c>
      <c r="S346">
        <v>0</v>
      </c>
      <c r="X346">
        <v>650</v>
      </c>
      <c r="AF346" t="s">
        <v>50</v>
      </c>
      <c r="AH346">
        <v>0</v>
      </c>
      <c r="BP346" s="534" t="s">
        <v>2797</v>
      </c>
      <c r="BQ346" s="725">
        <v>62</v>
      </c>
      <c r="BR346" t="s">
        <v>52</v>
      </c>
      <c r="BS346" t="s">
        <v>52</v>
      </c>
      <c r="BT346">
        <v>0</v>
      </c>
      <c r="BU346" t="s">
        <v>52</v>
      </c>
      <c r="BV346">
        <v>0</v>
      </c>
      <c r="BW346">
        <v>68</v>
      </c>
      <c r="BX346" t="s">
        <v>2148</v>
      </c>
      <c r="BY346">
        <v>0</v>
      </c>
      <c r="BZ346">
        <v>0</v>
      </c>
      <c r="CA346">
        <v>0</v>
      </c>
      <c r="CB346">
        <v>0</v>
      </c>
      <c r="CC346" s="2146">
        <v>156</v>
      </c>
      <c r="CD346" s="2146" t="s">
        <v>2148</v>
      </c>
      <c r="CE346" s="2146">
        <v>0</v>
      </c>
      <c r="CF346" s="2146">
        <v>0</v>
      </c>
      <c r="CG346" s="2146">
        <v>0</v>
      </c>
      <c r="CH346">
        <v>0</v>
      </c>
      <c r="CJ346" t="s">
        <v>5767</v>
      </c>
    </row>
    <row r="347" spans="1:88">
      <c r="A347" t="s">
        <v>1476</v>
      </c>
      <c r="B347" t="s">
        <v>1599</v>
      </c>
      <c r="C347" t="s">
        <v>116</v>
      </c>
      <c r="D347" t="s">
        <v>101</v>
      </c>
      <c r="E347" t="s">
        <v>102</v>
      </c>
      <c r="F347" t="s">
        <v>1514</v>
      </c>
      <c r="G347" t="s">
        <v>104</v>
      </c>
      <c r="H347" t="s">
        <v>1600</v>
      </c>
      <c r="I347" t="s">
        <v>3254</v>
      </c>
      <c r="J347" t="s">
        <v>69</v>
      </c>
      <c r="N347" t="s">
        <v>192</v>
      </c>
      <c r="O347" t="s">
        <v>76</v>
      </c>
      <c r="P347" t="s">
        <v>193</v>
      </c>
      <c r="Q347" s="534">
        <v>1</v>
      </c>
      <c r="R347" t="s">
        <v>3264</v>
      </c>
      <c r="S347">
        <v>86</v>
      </c>
      <c r="X347">
        <v>90</v>
      </c>
      <c r="AH347">
        <v>0</v>
      </c>
      <c r="BP347" s="534">
        <v>90</v>
      </c>
      <c r="BQ347" s="722">
        <v>89</v>
      </c>
      <c r="BR347" t="s">
        <v>52</v>
      </c>
      <c r="BS347" t="s">
        <v>52</v>
      </c>
      <c r="BT347">
        <v>0</v>
      </c>
      <c r="BU347" t="s">
        <v>52</v>
      </c>
      <c r="BV347">
        <v>0</v>
      </c>
      <c r="BW347">
        <v>89</v>
      </c>
      <c r="BX347" t="s">
        <v>2148</v>
      </c>
      <c r="BY347">
        <v>0</v>
      </c>
      <c r="BZ347">
        <v>0</v>
      </c>
      <c r="CA347">
        <v>0</v>
      </c>
      <c r="CB347">
        <v>0</v>
      </c>
      <c r="CC347" s="2146">
        <v>91</v>
      </c>
      <c r="CD347" s="2146" t="s">
        <v>2148</v>
      </c>
      <c r="CE347" s="2146">
        <v>0</v>
      </c>
      <c r="CF347" s="2146">
        <v>0</v>
      </c>
      <c r="CG347" s="2146">
        <v>0</v>
      </c>
      <c r="CH347">
        <v>0</v>
      </c>
      <c r="CJ347" t="s">
        <v>5768</v>
      </c>
    </row>
    <row r="348" spans="1:88">
      <c r="A348" t="s">
        <v>1476</v>
      </c>
      <c r="B348" t="s">
        <v>1601</v>
      </c>
      <c r="C348" t="s">
        <v>116</v>
      </c>
      <c r="D348" t="s">
        <v>101</v>
      </c>
      <c r="E348" t="s">
        <v>102</v>
      </c>
      <c r="F348" t="s">
        <v>1514</v>
      </c>
      <c r="G348" t="s">
        <v>111</v>
      </c>
      <c r="H348" t="s">
        <v>1602</v>
      </c>
      <c r="I348" t="s">
        <v>286</v>
      </c>
      <c r="J348" t="s">
        <v>5406</v>
      </c>
      <c r="K348" t="s">
        <v>45</v>
      </c>
      <c r="M348" t="s">
        <v>46</v>
      </c>
      <c r="N348" t="s">
        <v>106</v>
      </c>
      <c r="O348" t="s">
        <v>107</v>
      </c>
      <c r="P348" t="s">
        <v>108</v>
      </c>
      <c r="Q348" s="534">
        <v>1</v>
      </c>
      <c r="R348" t="s">
        <v>3264</v>
      </c>
      <c r="S348">
        <v>77</v>
      </c>
      <c r="X348">
        <v>85</v>
      </c>
      <c r="AH348">
        <v>0</v>
      </c>
      <c r="AI348" t="s">
        <v>50</v>
      </c>
      <c r="AJ348" t="s">
        <v>50</v>
      </c>
      <c r="AK348" t="s">
        <v>50</v>
      </c>
      <c r="AL348" t="s">
        <v>50</v>
      </c>
      <c r="AM348" t="s">
        <v>50</v>
      </c>
      <c r="AN348" t="s">
        <v>109</v>
      </c>
      <c r="AO348" t="s">
        <v>109</v>
      </c>
      <c r="AP348" t="s">
        <v>109</v>
      </c>
      <c r="AQ348" t="s">
        <v>109</v>
      </c>
      <c r="AR348" t="s">
        <v>109</v>
      </c>
      <c r="AS348" t="s">
        <v>109</v>
      </c>
      <c r="AT348" t="s">
        <v>109</v>
      </c>
      <c r="AU348" t="s">
        <v>109</v>
      </c>
      <c r="AV348" t="s">
        <v>109</v>
      </c>
      <c r="AW348" t="s">
        <v>109</v>
      </c>
      <c r="AX348" t="s">
        <v>109</v>
      </c>
      <c r="AY348" t="s">
        <v>109</v>
      </c>
      <c r="AZ348" t="s">
        <v>109</v>
      </c>
      <c r="BA348" t="s">
        <v>109</v>
      </c>
      <c r="BB348" t="s">
        <v>109</v>
      </c>
      <c r="BC348" t="s">
        <v>109</v>
      </c>
      <c r="BD348" t="s">
        <v>109</v>
      </c>
      <c r="BE348" t="s">
        <v>109</v>
      </c>
      <c r="BF348" t="s">
        <v>109</v>
      </c>
      <c r="BG348" t="s">
        <v>109</v>
      </c>
      <c r="BH348" t="s">
        <v>109</v>
      </c>
      <c r="BL348" t="s">
        <v>109</v>
      </c>
      <c r="BN348">
        <v>1</v>
      </c>
      <c r="BO348" t="s">
        <v>51</v>
      </c>
      <c r="BP348" s="534">
        <v>74.8</v>
      </c>
      <c r="BQ348" s="722">
        <v>78.599999999999994</v>
      </c>
      <c r="BR348" t="s">
        <v>52</v>
      </c>
      <c r="BS348" t="s">
        <v>52</v>
      </c>
      <c r="BT348">
        <v>0</v>
      </c>
      <c r="BU348" t="s">
        <v>52</v>
      </c>
      <c r="BV348">
        <v>0</v>
      </c>
      <c r="BW348">
        <v>81.599999999999994</v>
      </c>
      <c r="BX348" t="s">
        <v>2148</v>
      </c>
      <c r="BY348">
        <v>0</v>
      </c>
      <c r="BZ348">
        <v>0</v>
      </c>
      <c r="CA348">
        <v>0</v>
      </c>
      <c r="CB348">
        <v>0</v>
      </c>
      <c r="CC348" s="2146">
        <v>84.5</v>
      </c>
      <c r="CD348" s="2146" t="s">
        <v>2148</v>
      </c>
      <c r="CE348" s="2146">
        <v>0</v>
      </c>
      <c r="CF348" s="2146">
        <v>0</v>
      </c>
      <c r="CG348" s="2146">
        <v>0</v>
      </c>
      <c r="CH348">
        <v>0</v>
      </c>
      <c r="CJ348" t="s">
        <v>5769</v>
      </c>
    </row>
    <row r="349" spans="1:88">
      <c r="A349" t="s">
        <v>1476</v>
      </c>
      <c r="B349" t="s">
        <v>1603</v>
      </c>
      <c r="C349" t="s">
        <v>116</v>
      </c>
      <c r="D349" t="s">
        <v>101</v>
      </c>
      <c r="E349" t="s">
        <v>102</v>
      </c>
      <c r="F349" t="s">
        <v>1514</v>
      </c>
      <c r="G349" t="s">
        <v>288</v>
      </c>
      <c r="H349" t="s">
        <v>1604</v>
      </c>
      <c r="I349" t="s">
        <v>3255</v>
      </c>
      <c r="J349" t="s">
        <v>69</v>
      </c>
      <c r="N349" t="s">
        <v>113</v>
      </c>
      <c r="O349" t="s">
        <v>76</v>
      </c>
      <c r="P349" t="s">
        <v>193</v>
      </c>
      <c r="Q349" s="534">
        <v>1</v>
      </c>
      <c r="R349" t="s">
        <v>3264</v>
      </c>
      <c r="S349">
        <v>47</v>
      </c>
      <c r="X349">
        <v>90</v>
      </c>
      <c r="AH349">
        <v>0</v>
      </c>
      <c r="BP349" s="534">
        <v>57.8</v>
      </c>
      <c r="BQ349" s="722">
        <v>59</v>
      </c>
      <c r="BR349" t="s">
        <v>52</v>
      </c>
      <c r="BS349" t="s">
        <v>52</v>
      </c>
      <c r="BT349">
        <v>0</v>
      </c>
      <c r="BU349" t="s">
        <v>52</v>
      </c>
      <c r="BV349">
        <v>0</v>
      </c>
      <c r="BW349">
        <v>61</v>
      </c>
      <c r="BX349" t="s">
        <v>2148</v>
      </c>
      <c r="BY349">
        <v>0</v>
      </c>
      <c r="BZ349">
        <v>0</v>
      </c>
      <c r="CA349">
        <v>0</v>
      </c>
      <c r="CB349">
        <v>0</v>
      </c>
      <c r="CC349" s="2146">
        <v>62</v>
      </c>
      <c r="CD349" s="2146" t="s">
        <v>2148</v>
      </c>
      <c r="CE349" s="2146">
        <v>0</v>
      </c>
      <c r="CF349" s="2146">
        <v>0</v>
      </c>
      <c r="CG349" s="2146">
        <v>0</v>
      </c>
      <c r="CH349">
        <v>0</v>
      </c>
      <c r="CJ349" t="s">
        <v>5770</v>
      </c>
    </row>
    <row r="350" spans="1:88">
      <c r="A350" t="s">
        <v>1476</v>
      </c>
      <c r="B350" t="s">
        <v>1605</v>
      </c>
      <c r="C350" t="s">
        <v>116</v>
      </c>
      <c r="D350" t="s">
        <v>101</v>
      </c>
      <c r="E350" t="s">
        <v>102</v>
      </c>
      <c r="F350" t="s">
        <v>1547</v>
      </c>
      <c r="G350" t="s">
        <v>293</v>
      </c>
      <c r="H350" t="s">
        <v>1606</v>
      </c>
      <c r="I350" t="s">
        <v>3256</v>
      </c>
      <c r="J350" t="s">
        <v>69</v>
      </c>
      <c r="N350" t="s">
        <v>113</v>
      </c>
      <c r="O350" t="s">
        <v>48</v>
      </c>
      <c r="P350" t="s">
        <v>1607</v>
      </c>
      <c r="Q350" s="534">
        <v>0</v>
      </c>
      <c r="R350" t="s">
        <v>3264</v>
      </c>
      <c r="S350">
        <v>21500</v>
      </c>
      <c r="X350">
        <v>23210</v>
      </c>
      <c r="AH350">
        <v>0</v>
      </c>
      <c r="BP350" s="534">
        <v>24899</v>
      </c>
      <c r="BQ350" s="725">
        <v>26837</v>
      </c>
      <c r="BR350" t="s">
        <v>52</v>
      </c>
      <c r="BS350" t="s">
        <v>52</v>
      </c>
      <c r="BT350">
        <v>0</v>
      </c>
      <c r="BU350" t="s">
        <v>52</v>
      </c>
      <c r="BV350">
        <v>0</v>
      </c>
      <c r="BW350">
        <v>28409</v>
      </c>
      <c r="BX350" t="s">
        <v>2148</v>
      </c>
      <c r="BY350">
        <v>0</v>
      </c>
      <c r="BZ350">
        <v>0</v>
      </c>
      <c r="CA350">
        <v>0</v>
      </c>
      <c r="CB350">
        <v>0</v>
      </c>
      <c r="CC350" s="2146">
        <v>29631</v>
      </c>
      <c r="CD350" s="2146" t="s">
        <v>2148</v>
      </c>
      <c r="CE350" s="2146">
        <v>0</v>
      </c>
      <c r="CF350" s="2146">
        <v>0</v>
      </c>
      <c r="CG350" s="2146">
        <v>0</v>
      </c>
      <c r="CH350">
        <v>0</v>
      </c>
      <c r="CJ350" t="s">
        <v>5771</v>
      </c>
    </row>
    <row r="351" spans="1:88">
      <c r="A351" t="s">
        <v>1608</v>
      </c>
      <c r="B351" t="s">
        <v>1609</v>
      </c>
      <c r="C351" t="s">
        <v>116</v>
      </c>
      <c r="D351" t="s">
        <v>40</v>
      </c>
      <c r="E351" t="s">
        <v>41</v>
      </c>
      <c r="F351" t="s">
        <v>1610</v>
      </c>
      <c r="G351" t="s">
        <v>1611</v>
      </c>
      <c r="H351" t="s">
        <v>1612</v>
      </c>
      <c r="I351" t="s">
        <v>1613</v>
      </c>
      <c r="J351" t="s">
        <v>69</v>
      </c>
      <c r="N351" t="s">
        <v>192</v>
      </c>
      <c r="O351" t="s">
        <v>76</v>
      </c>
      <c r="P351" t="s">
        <v>1614</v>
      </c>
      <c r="Q351" s="534">
        <v>0</v>
      </c>
      <c r="R351" t="s">
        <v>3264</v>
      </c>
      <c r="S351">
        <v>90</v>
      </c>
      <c r="T351">
        <v>95</v>
      </c>
      <c r="U351">
        <v>95</v>
      </c>
      <c r="V351">
        <v>95</v>
      </c>
      <c r="W351">
        <v>95</v>
      </c>
      <c r="X351">
        <v>95</v>
      </c>
      <c r="AH351">
        <v>0</v>
      </c>
      <c r="BP351" s="534">
        <v>89.87</v>
      </c>
      <c r="BQ351" s="725">
        <v>91.25</v>
      </c>
      <c r="BR351" t="s">
        <v>46</v>
      </c>
      <c r="BS351" t="s">
        <v>52</v>
      </c>
      <c r="BT351">
        <v>0</v>
      </c>
      <c r="BU351" t="s">
        <v>52</v>
      </c>
      <c r="BV351">
        <v>0</v>
      </c>
      <c r="BW351">
        <v>95.63</v>
      </c>
      <c r="BX351" t="s">
        <v>50</v>
      </c>
      <c r="BY351">
        <v>0</v>
      </c>
      <c r="BZ351">
        <v>0</v>
      </c>
      <c r="CA351">
        <v>0</v>
      </c>
      <c r="CB351">
        <v>0</v>
      </c>
      <c r="CC351" s="2414">
        <v>96.03</v>
      </c>
      <c r="CD351" s="2146" t="s">
        <v>50</v>
      </c>
      <c r="CE351" s="2146">
        <v>0</v>
      </c>
      <c r="CF351" s="2146">
        <v>0</v>
      </c>
      <c r="CG351" s="2146">
        <v>0</v>
      </c>
      <c r="CH351">
        <v>0</v>
      </c>
      <c r="CJ351" t="s">
        <v>5772</v>
      </c>
    </row>
    <row r="352" spans="1:88">
      <c r="A352" t="s">
        <v>1608</v>
      </c>
      <c r="B352" t="s">
        <v>1615</v>
      </c>
      <c r="C352" t="s">
        <v>116</v>
      </c>
      <c r="D352" t="s">
        <v>40</v>
      </c>
      <c r="E352" t="s">
        <v>41</v>
      </c>
      <c r="F352" t="s">
        <v>1610</v>
      </c>
      <c r="G352" t="s">
        <v>1616</v>
      </c>
      <c r="H352" t="s">
        <v>1617</v>
      </c>
      <c r="I352" t="s">
        <v>1618</v>
      </c>
      <c r="J352" t="s">
        <v>69</v>
      </c>
      <c r="N352" t="s">
        <v>192</v>
      </c>
      <c r="O352" t="s">
        <v>48</v>
      </c>
      <c r="P352" t="s">
        <v>1619</v>
      </c>
      <c r="Q352" s="534">
        <v>2</v>
      </c>
      <c r="R352" t="s">
        <v>3263</v>
      </c>
      <c r="S352">
        <v>11.66</v>
      </c>
      <c r="T352">
        <v>10.64</v>
      </c>
      <c r="U352">
        <v>9.61</v>
      </c>
      <c r="V352">
        <v>8.58</v>
      </c>
      <c r="W352">
        <v>7.55</v>
      </c>
      <c r="X352">
        <v>6.53</v>
      </c>
      <c r="AH352">
        <v>0</v>
      </c>
      <c r="BP352" s="534">
        <v>11.53</v>
      </c>
      <c r="BQ352" s="726">
        <v>8.84</v>
      </c>
      <c r="BR352" t="s">
        <v>50</v>
      </c>
      <c r="BS352" t="s">
        <v>52</v>
      </c>
      <c r="BT352">
        <v>0</v>
      </c>
      <c r="BU352" t="s">
        <v>52</v>
      </c>
      <c r="BV352">
        <v>0</v>
      </c>
      <c r="BW352">
        <v>9.1249206385227879</v>
      </c>
      <c r="BX352" t="s">
        <v>50</v>
      </c>
      <c r="BY352">
        <v>0</v>
      </c>
      <c r="BZ352">
        <v>0</v>
      </c>
      <c r="CA352">
        <v>0</v>
      </c>
      <c r="CB352">
        <v>0</v>
      </c>
      <c r="CC352" s="2146">
        <v>12.386340875657</v>
      </c>
      <c r="CD352" s="2146" t="s">
        <v>50</v>
      </c>
      <c r="CE352" s="2146">
        <v>0</v>
      </c>
      <c r="CF352" s="2146">
        <v>0</v>
      </c>
      <c r="CG352" s="2146">
        <v>0</v>
      </c>
      <c r="CH352">
        <v>0</v>
      </c>
      <c r="CJ352" t="s">
        <v>5773</v>
      </c>
    </row>
    <row r="353" spans="1:88">
      <c r="A353" t="s">
        <v>1608</v>
      </c>
      <c r="B353" t="s">
        <v>1620</v>
      </c>
      <c r="C353" t="s">
        <v>116</v>
      </c>
      <c r="D353" t="s">
        <v>40</v>
      </c>
      <c r="E353" t="s">
        <v>41</v>
      </c>
      <c r="F353" t="s">
        <v>1610</v>
      </c>
      <c r="G353" t="s">
        <v>1621</v>
      </c>
      <c r="H353" t="s">
        <v>1622</v>
      </c>
      <c r="I353" t="s">
        <v>1623</v>
      </c>
      <c r="J353" t="s">
        <v>69</v>
      </c>
      <c r="N353" t="s">
        <v>192</v>
      </c>
      <c r="O353" t="s">
        <v>107</v>
      </c>
      <c r="P353" t="s">
        <v>1624</v>
      </c>
      <c r="Q353" s="534">
        <v>2</v>
      </c>
      <c r="R353" t="s">
        <v>3264</v>
      </c>
      <c r="S353">
        <v>4.0999999999999996</v>
      </c>
      <c r="T353">
        <v>4.3499999999999996</v>
      </c>
      <c r="U353">
        <v>4.45</v>
      </c>
      <c r="V353">
        <v>4.5</v>
      </c>
      <c r="W353">
        <v>4.55</v>
      </c>
      <c r="X353">
        <v>4.5999999999999996</v>
      </c>
      <c r="AH353">
        <v>0</v>
      </c>
      <c r="BP353" s="534">
        <v>3.97</v>
      </c>
      <c r="BQ353" s="726">
        <v>4.4400000000000004</v>
      </c>
      <c r="BR353" t="s">
        <v>50</v>
      </c>
      <c r="BS353" t="s">
        <v>52</v>
      </c>
      <c r="BT353">
        <v>0</v>
      </c>
      <c r="BU353" t="s">
        <v>52</v>
      </c>
      <c r="BV353">
        <v>0</v>
      </c>
      <c r="BW353">
        <v>4.50023588614562</v>
      </c>
      <c r="BX353" t="s">
        <v>50</v>
      </c>
      <c r="BY353">
        <v>0</v>
      </c>
      <c r="BZ353">
        <v>0</v>
      </c>
      <c r="CA353">
        <v>0</v>
      </c>
      <c r="CB353">
        <v>0</v>
      </c>
      <c r="CC353" s="2146">
        <v>4.4216950913340796</v>
      </c>
      <c r="CD353" s="2146" t="s">
        <v>46</v>
      </c>
      <c r="CE353" s="2146">
        <v>0</v>
      </c>
      <c r="CF353" s="2146">
        <v>0</v>
      </c>
      <c r="CG353" s="2146">
        <v>0</v>
      </c>
      <c r="CH353">
        <v>0</v>
      </c>
      <c r="CJ353" t="s">
        <v>5774</v>
      </c>
    </row>
    <row r="354" spans="1:88" ht="25.5">
      <c r="A354" t="s">
        <v>1608</v>
      </c>
      <c r="B354" t="s">
        <v>1625</v>
      </c>
      <c r="C354" t="s">
        <v>116</v>
      </c>
      <c r="D354" t="s">
        <v>40</v>
      </c>
      <c r="E354" t="s">
        <v>41</v>
      </c>
      <c r="F354" t="s">
        <v>1610</v>
      </c>
      <c r="G354" t="s">
        <v>1626</v>
      </c>
      <c r="H354" t="s">
        <v>1627</v>
      </c>
      <c r="I354" t="s">
        <v>1628</v>
      </c>
      <c r="J354" t="s">
        <v>5408</v>
      </c>
      <c r="K354" t="s">
        <v>45</v>
      </c>
      <c r="N354" t="s">
        <v>56</v>
      </c>
      <c r="O354" t="s">
        <v>48</v>
      </c>
      <c r="P354" t="s">
        <v>3257</v>
      </c>
      <c r="Q354" s="534">
        <v>2</v>
      </c>
      <c r="R354" t="s">
        <v>3264</v>
      </c>
      <c r="S354">
        <v>4.24</v>
      </c>
      <c r="X354">
        <v>15.45</v>
      </c>
      <c r="AH354">
        <v>0</v>
      </c>
      <c r="AM354" t="s">
        <v>50</v>
      </c>
      <c r="AR354">
        <v>11.7</v>
      </c>
      <c r="AW354">
        <v>15.45</v>
      </c>
      <c r="BH354">
        <v>0.88500000000000001</v>
      </c>
      <c r="BN354">
        <v>1</v>
      </c>
      <c r="BO354" t="s">
        <v>51</v>
      </c>
      <c r="BP354" s="534" t="s">
        <v>3302</v>
      </c>
      <c r="BQ354" s="726" t="s">
        <v>3302</v>
      </c>
      <c r="BR354" t="s">
        <v>52</v>
      </c>
      <c r="BS354" t="s">
        <v>52</v>
      </c>
      <c r="BT354">
        <v>0</v>
      </c>
      <c r="BU354" t="s">
        <v>52</v>
      </c>
      <c r="BV354">
        <v>0</v>
      </c>
      <c r="BW354" t="s">
        <v>3302</v>
      </c>
      <c r="BX354" t="s">
        <v>2148</v>
      </c>
      <c r="BY354">
        <v>0</v>
      </c>
      <c r="BZ354">
        <v>0</v>
      </c>
      <c r="CA354">
        <v>0</v>
      </c>
      <c r="CB354">
        <v>0</v>
      </c>
      <c r="CC354" s="2146">
        <v>20.22</v>
      </c>
      <c r="CD354" s="2146" t="s">
        <v>2148</v>
      </c>
      <c r="CE354" s="2146">
        <v>0</v>
      </c>
      <c r="CF354" s="2146">
        <v>0</v>
      </c>
      <c r="CG354" s="2146">
        <v>0</v>
      </c>
      <c r="CH354">
        <v>0</v>
      </c>
      <c r="CJ354" t="s">
        <v>5775</v>
      </c>
    </row>
    <row r="355" spans="1:88">
      <c r="A355" t="s">
        <v>1608</v>
      </c>
      <c r="B355" t="s">
        <v>1629</v>
      </c>
      <c r="C355" t="s">
        <v>116</v>
      </c>
      <c r="D355" t="s">
        <v>40</v>
      </c>
      <c r="E355" t="s">
        <v>41</v>
      </c>
      <c r="F355" t="s">
        <v>1610</v>
      </c>
      <c r="G355" t="s">
        <v>1630</v>
      </c>
      <c r="H355" t="s">
        <v>1631</v>
      </c>
      <c r="I355" t="s">
        <v>1632</v>
      </c>
      <c r="J355" t="s">
        <v>69</v>
      </c>
      <c r="N355" t="s">
        <v>47</v>
      </c>
      <c r="O355" t="s">
        <v>48</v>
      </c>
      <c r="P355" t="s">
        <v>1633</v>
      </c>
      <c r="Q355" s="534">
        <v>0</v>
      </c>
      <c r="R355" t="s">
        <v>3264</v>
      </c>
      <c r="S355" t="s">
        <v>1634</v>
      </c>
      <c r="T355">
        <v>1170</v>
      </c>
      <c r="U355">
        <v>1450</v>
      </c>
      <c r="V355">
        <v>1410</v>
      </c>
      <c r="W355">
        <v>900</v>
      </c>
      <c r="X355">
        <v>890</v>
      </c>
      <c r="AE355" t="s">
        <v>50</v>
      </c>
      <c r="AH355">
        <v>0</v>
      </c>
      <c r="BP355" s="534" t="s">
        <v>3302</v>
      </c>
      <c r="BQ355" s="725">
        <v>1404</v>
      </c>
      <c r="BR355" t="s">
        <v>50</v>
      </c>
      <c r="BS355" t="s">
        <v>52</v>
      </c>
      <c r="BT355">
        <v>0</v>
      </c>
      <c r="BU355" t="s">
        <v>52</v>
      </c>
      <c r="BV355">
        <v>0</v>
      </c>
      <c r="BW355">
        <v>2089</v>
      </c>
      <c r="BX355" t="s">
        <v>50</v>
      </c>
      <c r="BY355">
        <v>0</v>
      </c>
      <c r="BZ355">
        <v>0</v>
      </c>
      <c r="CA355">
        <v>0</v>
      </c>
      <c r="CB355">
        <v>0</v>
      </c>
      <c r="CC355" s="2146">
        <v>4834</v>
      </c>
      <c r="CD355" s="2146" t="s">
        <v>50</v>
      </c>
      <c r="CE355" s="2146">
        <v>0</v>
      </c>
      <c r="CF355" s="2146">
        <v>0</v>
      </c>
      <c r="CG355" s="2146">
        <v>0</v>
      </c>
      <c r="CH355">
        <v>0</v>
      </c>
      <c r="CJ355" t="s">
        <v>5776</v>
      </c>
    </row>
    <row r="356" spans="1:88">
      <c r="A356" t="s">
        <v>1608</v>
      </c>
      <c r="B356" t="s">
        <v>1635</v>
      </c>
      <c r="C356" t="s">
        <v>116</v>
      </c>
      <c r="D356" t="s">
        <v>40</v>
      </c>
      <c r="E356" t="s">
        <v>41</v>
      </c>
      <c r="F356" t="s">
        <v>1636</v>
      </c>
      <c r="G356" t="s">
        <v>1637</v>
      </c>
      <c r="H356" t="s">
        <v>1638</v>
      </c>
      <c r="I356" t="s">
        <v>1639</v>
      </c>
      <c r="J356" t="s">
        <v>5408</v>
      </c>
      <c r="K356" t="s">
        <v>45</v>
      </c>
      <c r="M356" t="s">
        <v>46</v>
      </c>
      <c r="N356" t="s">
        <v>91</v>
      </c>
      <c r="O356" t="s">
        <v>200</v>
      </c>
      <c r="P356" t="s">
        <v>323</v>
      </c>
      <c r="Q356" s="534" t="s">
        <v>51</v>
      </c>
      <c r="S356" t="s">
        <v>202</v>
      </c>
      <c r="T356" t="s">
        <v>202</v>
      </c>
      <c r="U356" t="s">
        <v>202</v>
      </c>
      <c r="V356" t="s">
        <v>202</v>
      </c>
      <c r="W356" t="s">
        <v>202</v>
      </c>
      <c r="X356" t="s">
        <v>202</v>
      </c>
      <c r="AE356" t="s">
        <v>50</v>
      </c>
      <c r="AH356">
        <v>6</v>
      </c>
      <c r="AI356" t="s">
        <v>50</v>
      </c>
      <c r="AJ356" t="s">
        <v>50</v>
      </c>
      <c r="AK356" t="s">
        <v>50</v>
      </c>
      <c r="AL356" t="s">
        <v>50</v>
      </c>
      <c r="AM356" t="s">
        <v>50</v>
      </c>
      <c r="AN356" t="s">
        <v>324</v>
      </c>
      <c r="AO356" t="s">
        <v>324</v>
      </c>
      <c r="AP356" t="s">
        <v>324</v>
      </c>
      <c r="AQ356" t="s">
        <v>324</v>
      </c>
      <c r="AR356" t="s">
        <v>324</v>
      </c>
      <c r="AS356" t="s">
        <v>325</v>
      </c>
      <c r="AT356" t="s">
        <v>325</v>
      </c>
      <c r="AU356" t="s">
        <v>325</v>
      </c>
      <c r="AV356" t="s">
        <v>325</v>
      </c>
      <c r="AW356" t="s">
        <v>325</v>
      </c>
      <c r="BH356">
        <v>4.6749999999999998</v>
      </c>
      <c r="BN356">
        <v>1</v>
      </c>
      <c r="BO356" t="s">
        <v>51</v>
      </c>
      <c r="BP356" s="534" t="s">
        <v>202</v>
      </c>
      <c r="BQ356" s="724" t="s">
        <v>325</v>
      </c>
      <c r="BR356" t="s">
        <v>46</v>
      </c>
      <c r="BS356" t="s">
        <v>52</v>
      </c>
      <c r="BT356">
        <v>0</v>
      </c>
      <c r="BU356" t="s">
        <v>5415</v>
      </c>
      <c r="BV356">
        <v>-4.6749999999999998</v>
      </c>
      <c r="BW356" t="s">
        <v>325</v>
      </c>
      <c r="BX356" t="s">
        <v>46</v>
      </c>
      <c r="BY356">
        <v>0</v>
      </c>
      <c r="BZ356">
        <v>0</v>
      </c>
      <c r="CA356" t="s">
        <v>5415</v>
      </c>
      <c r="CB356">
        <v>-4.6749999999999998</v>
      </c>
      <c r="CC356" s="2146" t="s">
        <v>325</v>
      </c>
      <c r="CD356" s="2146" t="s">
        <v>46</v>
      </c>
      <c r="CE356" s="2146">
        <v>0</v>
      </c>
      <c r="CF356" s="2146">
        <v>0</v>
      </c>
      <c r="CG356" s="2146" t="s">
        <v>13444</v>
      </c>
      <c r="CH356">
        <v>-4.6749999999999998</v>
      </c>
      <c r="CJ356" t="s">
        <v>5777</v>
      </c>
    </row>
    <row r="357" spans="1:88">
      <c r="A357" t="s">
        <v>1608</v>
      </c>
      <c r="B357" t="s">
        <v>1640</v>
      </c>
      <c r="C357" t="s">
        <v>116</v>
      </c>
      <c r="D357" t="s">
        <v>40</v>
      </c>
      <c r="E357" t="s">
        <v>41</v>
      </c>
      <c r="F357" t="s">
        <v>1636</v>
      </c>
      <c r="G357" t="s">
        <v>1641</v>
      </c>
      <c r="H357" t="s">
        <v>1642</v>
      </c>
      <c r="I357" t="s">
        <v>1643</v>
      </c>
      <c r="J357" t="s">
        <v>5408</v>
      </c>
      <c r="K357" t="s">
        <v>45</v>
      </c>
      <c r="M357" t="s">
        <v>46</v>
      </c>
      <c r="N357" t="s">
        <v>91</v>
      </c>
      <c r="O357" t="s">
        <v>200</v>
      </c>
      <c r="P357" t="s">
        <v>323</v>
      </c>
      <c r="Q357" s="534" t="s">
        <v>51</v>
      </c>
      <c r="S357" t="s">
        <v>202</v>
      </c>
      <c r="T357" t="s">
        <v>202</v>
      </c>
      <c r="U357" t="s">
        <v>202</v>
      </c>
      <c r="V357" t="s">
        <v>202</v>
      </c>
      <c r="W357" t="s">
        <v>202</v>
      </c>
      <c r="X357" t="s">
        <v>202</v>
      </c>
      <c r="AE357" t="s">
        <v>50</v>
      </c>
      <c r="AH357">
        <v>7</v>
      </c>
      <c r="AI357" t="s">
        <v>50</v>
      </c>
      <c r="AJ357" t="s">
        <v>50</v>
      </c>
      <c r="AK357" t="s">
        <v>50</v>
      </c>
      <c r="AL357" t="s">
        <v>50</v>
      </c>
      <c r="AM357" t="s">
        <v>50</v>
      </c>
      <c r="AN357" t="s">
        <v>324</v>
      </c>
      <c r="AO357" t="s">
        <v>324</v>
      </c>
      <c r="AP357" t="s">
        <v>324</v>
      </c>
      <c r="AQ357" t="s">
        <v>324</v>
      </c>
      <c r="AR357" t="s">
        <v>324</v>
      </c>
      <c r="AS357" t="s">
        <v>325</v>
      </c>
      <c r="AT357" t="s">
        <v>325</v>
      </c>
      <c r="AU357" t="s">
        <v>325</v>
      </c>
      <c r="AV357" t="s">
        <v>325</v>
      </c>
      <c r="AW357" t="s">
        <v>325</v>
      </c>
      <c r="BH357">
        <v>4.6749999999999998</v>
      </c>
      <c r="BN357">
        <v>1</v>
      </c>
      <c r="BO357" t="s">
        <v>51</v>
      </c>
      <c r="BP357" s="534" t="s">
        <v>202</v>
      </c>
      <c r="BQ357" s="724" t="s">
        <v>202</v>
      </c>
      <c r="BR357" t="s">
        <v>50</v>
      </c>
      <c r="BS357" t="s">
        <v>52</v>
      </c>
      <c r="BT357">
        <v>0</v>
      </c>
      <c r="BU357" t="s">
        <v>52</v>
      </c>
      <c r="BV357">
        <v>0</v>
      </c>
      <c r="BW357" t="s">
        <v>202</v>
      </c>
      <c r="BX357" t="s">
        <v>50</v>
      </c>
      <c r="BY357">
        <v>0</v>
      </c>
      <c r="BZ357">
        <v>0</v>
      </c>
      <c r="CA357">
        <v>0</v>
      </c>
      <c r="CB357">
        <v>0</v>
      </c>
      <c r="CC357" s="2146" t="s">
        <v>202</v>
      </c>
      <c r="CD357" s="2146" t="s">
        <v>50</v>
      </c>
      <c r="CE357" s="2146">
        <v>0</v>
      </c>
      <c r="CF357" s="2146">
        <v>0</v>
      </c>
      <c r="CG357" s="2146">
        <v>0</v>
      </c>
      <c r="CH357">
        <v>0</v>
      </c>
      <c r="CJ357" t="s">
        <v>5778</v>
      </c>
    </row>
    <row r="358" spans="1:88">
      <c r="A358" t="s">
        <v>1608</v>
      </c>
      <c r="B358" t="s">
        <v>1644</v>
      </c>
      <c r="C358" t="s">
        <v>116</v>
      </c>
      <c r="D358" t="s">
        <v>40</v>
      </c>
      <c r="E358" t="s">
        <v>41</v>
      </c>
      <c r="F358" t="s">
        <v>1636</v>
      </c>
      <c r="G358" t="s">
        <v>1645</v>
      </c>
      <c r="H358" t="s">
        <v>1646</v>
      </c>
      <c r="I358" t="s">
        <v>1647</v>
      </c>
      <c r="J358" t="s">
        <v>5408</v>
      </c>
      <c r="K358" t="s">
        <v>45</v>
      </c>
      <c r="N358" t="s">
        <v>75</v>
      </c>
      <c r="O358" t="s">
        <v>76</v>
      </c>
      <c r="P358" t="s">
        <v>77</v>
      </c>
      <c r="Q358" s="534">
        <v>2</v>
      </c>
      <c r="R358" t="s">
        <v>3264</v>
      </c>
      <c r="S358">
        <v>99.94</v>
      </c>
      <c r="T358">
        <v>99.94</v>
      </c>
      <c r="U358">
        <v>99.94</v>
      </c>
      <c r="V358">
        <v>100</v>
      </c>
      <c r="W358">
        <v>100</v>
      </c>
      <c r="X358">
        <v>100</v>
      </c>
      <c r="Y358" t="s">
        <v>50</v>
      </c>
      <c r="AE358" t="s">
        <v>50</v>
      </c>
      <c r="AH358">
        <v>0</v>
      </c>
      <c r="AI358" t="s">
        <v>50</v>
      </c>
      <c r="AJ358" t="s">
        <v>50</v>
      </c>
      <c r="AK358" t="s">
        <v>50</v>
      </c>
      <c r="AL358" t="s">
        <v>50</v>
      </c>
      <c r="AM358" t="s">
        <v>50</v>
      </c>
      <c r="AN358">
        <v>99.91</v>
      </c>
      <c r="AO358">
        <v>99.91</v>
      </c>
      <c r="AP358">
        <v>99.93</v>
      </c>
      <c r="AQ358">
        <v>99.93</v>
      </c>
      <c r="AR358">
        <v>99.93</v>
      </c>
      <c r="AS358">
        <v>99.93</v>
      </c>
      <c r="AT358">
        <v>99.93</v>
      </c>
      <c r="AU358">
        <v>99.95</v>
      </c>
      <c r="AV358">
        <v>99.95</v>
      </c>
      <c r="AW358">
        <v>99.95</v>
      </c>
      <c r="BH358">
        <v>3.915</v>
      </c>
      <c r="BN358">
        <v>100</v>
      </c>
      <c r="BO358" t="s">
        <v>351</v>
      </c>
      <c r="BP358" s="534">
        <v>99.96</v>
      </c>
      <c r="BQ358" s="726">
        <v>99.956000000000003</v>
      </c>
      <c r="BR358" t="s">
        <v>50</v>
      </c>
      <c r="BS358" t="s">
        <v>52</v>
      </c>
      <c r="BT358">
        <v>0</v>
      </c>
      <c r="BU358" t="s">
        <v>52</v>
      </c>
      <c r="BV358">
        <v>0</v>
      </c>
      <c r="BW358">
        <v>99.96</v>
      </c>
      <c r="BX358" t="s">
        <v>50</v>
      </c>
      <c r="BY358">
        <v>0</v>
      </c>
      <c r="BZ358">
        <v>0</v>
      </c>
      <c r="CA358">
        <v>0</v>
      </c>
      <c r="CB358">
        <v>0</v>
      </c>
      <c r="CC358" s="2146">
        <v>99.96</v>
      </c>
      <c r="CD358" s="2146" t="s">
        <v>46</v>
      </c>
      <c r="CE358" s="2146">
        <v>0</v>
      </c>
      <c r="CF358" s="2146">
        <v>0</v>
      </c>
      <c r="CG358" s="2146" t="s">
        <v>13445</v>
      </c>
      <c r="CH358">
        <v>0</v>
      </c>
      <c r="CJ358" t="s">
        <v>5779</v>
      </c>
    </row>
    <row r="359" spans="1:88">
      <c r="A359" t="s">
        <v>1608</v>
      </c>
      <c r="B359" t="s">
        <v>1648</v>
      </c>
      <c r="C359" t="s">
        <v>116</v>
      </c>
      <c r="D359" t="s">
        <v>40</v>
      </c>
      <c r="E359" t="s">
        <v>41</v>
      </c>
      <c r="F359" t="s">
        <v>1636</v>
      </c>
      <c r="G359" t="s">
        <v>1649</v>
      </c>
      <c r="H359" t="s">
        <v>1650</v>
      </c>
      <c r="I359" t="s">
        <v>1651</v>
      </c>
      <c r="J359" t="s">
        <v>69</v>
      </c>
      <c r="N359" t="s">
        <v>124</v>
      </c>
      <c r="O359" t="s">
        <v>48</v>
      </c>
      <c r="P359" t="s">
        <v>3258</v>
      </c>
      <c r="Q359" s="534">
        <v>0</v>
      </c>
      <c r="R359" t="s">
        <v>3263</v>
      </c>
      <c r="S359">
        <v>34</v>
      </c>
      <c r="T359">
        <v>34</v>
      </c>
      <c r="U359">
        <v>34</v>
      </c>
      <c r="V359">
        <v>34</v>
      </c>
      <c r="W359">
        <v>34</v>
      </c>
      <c r="X359">
        <v>34</v>
      </c>
      <c r="AE359" t="s">
        <v>50</v>
      </c>
      <c r="AH359">
        <v>0</v>
      </c>
      <c r="BP359" s="534">
        <v>0</v>
      </c>
      <c r="BQ359" s="725">
        <v>0</v>
      </c>
      <c r="BR359" t="s">
        <v>50</v>
      </c>
      <c r="BS359" t="s">
        <v>52</v>
      </c>
      <c r="BT359">
        <v>0</v>
      </c>
      <c r="BU359" t="s">
        <v>52</v>
      </c>
      <c r="BV359">
        <v>0</v>
      </c>
      <c r="BW359">
        <v>5</v>
      </c>
      <c r="BX359" t="s">
        <v>50</v>
      </c>
      <c r="BY359">
        <v>0</v>
      </c>
      <c r="BZ359">
        <v>0</v>
      </c>
      <c r="CA359">
        <v>0</v>
      </c>
      <c r="CB359">
        <v>0</v>
      </c>
      <c r="CC359" s="2146">
        <v>206</v>
      </c>
      <c r="CD359" s="2146" t="s">
        <v>46</v>
      </c>
      <c r="CE359" s="2146">
        <v>0</v>
      </c>
      <c r="CF359" s="2146">
        <v>0</v>
      </c>
      <c r="CG359" s="2146">
        <v>0</v>
      </c>
      <c r="CH359">
        <v>0</v>
      </c>
      <c r="CJ359" t="s">
        <v>5780</v>
      </c>
    </row>
    <row r="360" spans="1:88">
      <c r="A360" t="s">
        <v>1608</v>
      </c>
      <c r="B360" t="s">
        <v>1652</v>
      </c>
      <c r="C360" t="s">
        <v>116</v>
      </c>
      <c r="D360" t="s">
        <v>40</v>
      </c>
      <c r="E360" t="s">
        <v>41</v>
      </c>
      <c r="F360" t="s">
        <v>1636</v>
      </c>
      <c r="G360" t="s">
        <v>1653</v>
      </c>
      <c r="H360" t="s">
        <v>1654</v>
      </c>
      <c r="I360" t="s">
        <v>1655</v>
      </c>
      <c r="J360" t="s">
        <v>5406</v>
      </c>
      <c r="K360" t="s">
        <v>45</v>
      </c>
      <c r="N360" t="s">
        <v>86</v>
      </c>
      <c r="O360" t="s">
        <v>119</v>
      </c>
      <c r="P360" t="s">
        <v>1656</v>
      </c>
      <c r="Q360" s="534">
        <v>2</v>
      </c>
      <c r="R360" t="s">
        <v>3263</v>
      </c>
      <c r="S360">
        <v>0.13</v>
      </c>
      <c r="T360">
        <v>0.13</v>
      </c>
      <c r="U360">
        <v>0.13</v>
      </c>
      <c r="V360">
        <v>0.13</v>
      </c>
      <c r="W360">
        <v>0.13</v>
      </c>
      <c r="X360">
        <v>0.13</v>
      </c>
      <c r="AA360" t="s">
        <v>50</v>
      </c>
      <c r="AE360" t="s">
        <v>50</v>
      </c>
      <c r="AH360">
        <v>0</v>
      </c>
      <c r="AI360" t="s">
        <v>50</v>
      </c>
      <c r="AJ360" t="s">
        <v>50</v>
      </c>
      <c r="AK360" t="s">
        <v>50</v>
      </c>
      <c r="AL360" t="s">
        <v>50</v>
      </c>
      <c r="AM360" t="s">
        <v>50</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455</v>
      </c>
      <c r="BP360" s="534" t="s">
        <v>3302</v>
      </c>
      <c r="BQ360" s="726">
        <v>0.122</v>
      </c>
      <c r="BR360" t="s">
        <v>50</v>
      </c>
      <c r="BS360" t="s">
        <v>52</v>
      </c>
      <c r="BT360">
        <v>0</v>
      </c>
      <c r="BU360" t="s">
        <v>5425</v>
      </c>
      <c r="BV360">
        <v>3.125</v>
      </c>
      <c r="BW360">
        <v>0.12</v>
      </c>
      <c r="BX360" t="s">
        <v>50</v>
      </c>
      <c r="BY360">
        <v>0</v>
      </c>
      <c r="BZ360">
        <v>0</v>
      </c>
      <c r="CA360" t="s">
        <v>5425</v>
      </c>
      <c r="CB360">
        <v>3.1250000000000027</v>
      </c>
      <c r="CC360" s="2146">
        <v>0.21</v>
      </c>
      <c r="CD360" s="2146" t="s">
        <v>46</v>
      </c>
      <c r="CE360" s="2146">
        <v>0</v>
      </c>
      <c r="CF360" s="2146">
        <v>0</v>
      </c>
      <c r="CG360" s="2146" t="s">
        <v>13444</v>
      </c>
      <c r="CH360">
        <v>-10.67</v>
      </c>
      <c r="CJ360" t="s">
        <v>5781</v>
      </c>
    </row>
    <row r="361" spans="1:88">
      <c r="A361" t="s">
        <v>1608</v>
      </c>
      <c r="B361" t="s">
        <v>1657</v>
      </c>
      <c r="C361" t="s">
        <v>116</v>
      </c>
      <c r="D361" t="s">
        <v>40</v>
      </c>
      <c r="E361" t="s">
        <v>41</v>
      </c>
      <c r="F361" t="s">
        <v>1636</v>
      </c>
      <c r="G361" t="s">
        <v>1658</v>
      </c>
      <c r="H361" t="s">
        <v>1659</v>
      </c>
      <c r="I361" t="s">
        <v>1660</v>
      </c>
      <c r="J361" t="s">
        <v>5408</v>
      </c>
      <c r="K361" t="s">
        <v>45</v>
      </c>
      <c r="N361" t="s">
        <v>61</v>
      </c>
      <c r="O361" t="s">
        <v>107</v>
      </c>
      <c r="P361" t="s">
        <v>150</v>
      </c>
      <c r="Q361" s="534">
        <v>0</v>
      </c>
      <c r="R361" t="s">
        <v>3264</v>
      </c>
      <c r="S361">
        <v>100</v>
      </c>
      <c r="T361">
        <v>100</v>
      </c>
      <c r="U361">
        <v>100</v>
      </c>
      <c r="V361">
        <v>100</v>
      </c>
      <c r="W361">
        <v>100</v>
      </c>
      <c r="X361">
        <v>100</v>
      </c>
      <c r="AH361">
        <v>0</v>
      </c>
      <c r="AI361" t="s">
        <v>50</v>
      </c>
      <c r="AJ361" t="s">
        <v>50</v>
      </c>
      <c r="AK361" t="s">
        <v>50</v>
      </c>
      <c r="AL361" t="s">
        <v>50</v>
      </c>
      <c r="AM361" t="s">
        <v>50</v>
      </c>
      <c r="AN361">
        <v>97</v>
      </c>
      <c r="AO361">
        <v>97</v>
      </c>
      <c r="AP361">
        <v>97</v>
      </c>
      <c r="AQ361">
        <v>97</v>
      </c>
      <c r="AR361">
        <v>97</v>
      </c>
      <c r="AS361">
        <v>100</v>
      </c>
      <c r="AT361">
        <v>100</v>
      </c>
      <c r="AU361">
        <v>100</v>
      </c>
      <c r="AV361">
        <v>100</v>
      </c>
      <c r="AW361">
        <v>100</v>
      </c>
      <c r="BH361">
        <v>2.2650000000000001</v>
      </c>
      <c r="BN361">
        <v>1</v>
      </c>
      <c r="BO361" t="s">
        <v>51</v>
      </c>
      <c r="BP361" s="534">
        <v>100</v>
      </c>
      <c r="BQ361" s="725">
        <v>100</v>
      </c>
      <c r="BR361" t="s">
        <v>50</v>
      </c>
      <c r="BS361" t="s">
        <v>52</v>
      </c>
      <c r="BT361">
        <v>0</v>
      </c>
      <c r="BU361" t="s">
        <v>52</v>
      </c>
      <c r="BV361">
        <v>0</v>
      </c>
      <c r="BW361">
        <v>99</v>
      </c>
      <c r="BX361" t="s">
        <v>46</v>
      </c>
      <c r="BY361">
        <v>0</v>
      </c>
      <c r="BZ361">
        <v>0</v>
      </c>
      <c r="CA361" t="s">
        <v>5415</v>
      </c>
      <c r="CB361">
        <v>-2.2650000000000001</v>
      </c>
      <c r="CC361" s="2146">
        <v>97</v>
      </c>
      <c r="CD361" s="2146" t="s">
        <v>46</v>
      </c>
      <c r="CE361" s="2146">
        <v>0</v>
      </c>
      <c r="CF361" s="2146">
        <v>0</v>
      </c>
      <c r="CG361" s="2146" t="s">
        <v>13444</v>
      </c>
      <c r="CH361">
        <v>-6.7949999999999999</v>
      </c>
      <c r="CJ361" t="s">
        <v>5782</v>
      </c>
    </row>
    <row r="362" spans="1:88">
      <c r="A362" t="s">
        <v>1608</v>
      </c>
      <c r="B362" t="s">
        <v>1661</v>
      </c>
      <c r="C362" t="s">
        <v>116</v>
      </c>
      <c r="D362" t="s">
        <v>40</v>
      </c>
      <c r="E362" t="s">
        <v>41</v>
      </c>
      <c r="F362" t="s">
        <v>1636</v>
      </c>
      <c r="G362" t="s">
        <v>1662</v>
      </c>
      <c r="H362" t="s">
        <v>1663</v>
      </c>
      <c r="I362" t="s">
        <v>1664</v>
      </c>
      <c r="J362" t="s">
        <v>5408</v>
      </c>
      <c r="K362" t="s">
        <v>45</v>
      </c>
      <c r="M362" t="s">
        <v>46</v>
      </c>
      <c r="N362" t="s">
        <v>1041</v>
      </c>
      <c r="O362" t="s">
        <v>76</v>
      </c>
      <c r="P362" t="s">
        <v>1665</v>
      </c>
      <c r="Q362" s="534">
        <v>0</v>
      </c>
      <c r="R362" t="s">
        <v>3264</v>
      </c>
      <c r="S362">
        <v>100</v>
      </c>
      <c r="X362">
        <v>100</v>
      </c>
      <c r="AD362" t="s">
        <v>50</v>
      </c>
      <c r="AE362" t="s">
        <v>50</v>
      </c>
      <c r="AH362">
        <v>0</v>
      </c>
      <c r="AM362" t="s">
        <v>50</v>
      </c>
      <c r="AR362">
        <v>0</v>
      </c>
      <c r="AW362">
        <v>100</v>
      </c>
      <c r="BH362">
        <v>0.40939999999999999</v>
      </c>
      <c r="BN362">
        <v>1</v>
      </c>
      <c r="BO362" t="s">
        <v>51</v>
      </c>
      <c r="BP362" s="534" t="s">
        <v>3302</v>
      </c>
      <c r="BQ362" s="725">
        <v>0</v>
      </c>
      <c r="BR362" t="s">
        <v>52</v>
      </c>
      <c r="BS362" t="s">
        <v>52</v>
      </c>
      <c r="BT362">
        <v>0</v>
      </c>
      <c r="BU362" t="s">
        <v>52</v>
      </c>
      <c r="BV362">
        <v>0</v>
      </c>
      <c r="BW362" t="s">
        <v>3302</v>
      </c>
      <c r="BX362" t="s">
        <v>2148</v>
      </c>
      <c r="BY362">
        <v>0</v>
      </c>
      <c r="BZ362">
        <v>0</v>
      </c>
      <c r="CA362">
        <v>0</v>
      </c>
      <c r="CB362">
        <v>0</v>
      </c>
      <c r="CC362" s="2414">
        <v>21</v>
      </c>
      <c r="CD362" s="2146" t="s">
        <v>2148</v>
      </c>
      <c r="CE362" s="2146">
        <v>0</v>
      </c>
      <c r="CF362" s="2146">
        <v>0</v>
      </c>
      <c r="CG362" s="2146">
        <v>0</v>
      </c>
      <c r="CH362">
        <v>0</v>
      </c>
      <c r="CJ362" t="s">
        <v>5783</v>
      </c>
    </row>
    <row r="363" spans="1:88" ht="25.5">
      <c r="A363" t="s">
        <v>1608</v>
      </c>
      <c r="B363" t="s">
        <v>1666</v>
      </c>
      <c r="C363" t="s">
        <v>116</v>
      </c>
      <c r="D363" t="s">
        <v>40</v>
      </c>
      <c r="E363" t="s">
        <v>41</v>
      </c>
      <c r="F363" t="s">
        <v>1636</v>
      </c>
      <c r="G363" t="s">
        <v>1667</v>
      </c>
      <c r="H363" t="s">
        <v>1668</v>
      </c>
      <c r="I363" t="s">
        <v>1669</v>
      </c>
      <c r="J363" t="s">
        <v>5406</v>
      </c>
      <c r="K363" t="s">
        <v>45</v>
      </c>
      <c r="N363" t="s">
        <v>137</v>
      </c>
      <c r="O363" t="s">
        <v>48</v>
      </c>
      <c r="P363" t="s">
        <v>13333</v>
      </c>
      <c r="Q363" s="534">
        <v>0</v>
      </c>
      <c r="R363" t="s">
        <v>3264</v>
      </c>
      <c r="S363" t="s">
        <v>497</v>
      </c>
      <c r="X363">
        <v>1015</v>
      </c>
      <c r="AE363" t="s">
        <v>50</v>
      </c>
      <c r="AH363">
        <v>0</v>
      </c>
      <c r="AM363" t="s">
        <v>50</v>
      </c>
      <c r="AR363">
        <v>812</v>
      </c>
      <c r="AW363">
        <v>1015</v>
      </c>
      <c r="BB363">
        <v>1015</v>
      </c>
      <c r="BG363">
        <v>1218</v>
      </c>
      <c r="BH363">
        <v>5.0000000000000001E-3</v>
      </c>
      <c r="BL363">
        <v>5.0000000000000001E-3</v>
      </c>
      <c r="BN363">
        <v>1</v>
      </c>
      <c r="BO363" t="s">
        <v>51</v>
      </c>
      <c r="BP363" s="534" t="s">
        <v>3302</v>
      </c>
      <c r="BQ363" s="724" t="s">
        <v>3302</v>
      </c>
      <c r="BR363" t="s">
        <v>52</v>
      </c>
      <c r="BS363" t="s">
        <v>52</v>
      </c>
      <c r="BT363">
        <v>0</v>
      </c>
      <c r="BU363" t="s">
        <v>52</v>
      </c>
      <c r="BV363">
        <v>0</v>
      </c>
      <c r="BW363">
        <v>0</v>
      </c>
      <c r="BX363" t="s">
        <v>2148</v>
      </c>
      <c r="BY363">
        <v>0</v>
      </c>
      <c r="BZ363">
        <v>0</v>
      </c>
      <c r="CA363">
        <v>0</v>
      </c>
      <c r="CB363">
        <v>0</v>
      </c>
      <c r="CC363" s="2146">
        <v>4</v>
      </c>
      <c r="CD363" s="2146" t="s">
        <v>2148</v>
      </c>
      <c r="CE363" s="2146">
        <v>0</v>
      </c>
      <c r="CF363" s="2146">
        <v>0</v>
      </c>
      <c r="CG363" s="2146">
        <v>0</v>
      </c>
      <c r="CH363">
        <v>0</v>
      </c>
      <c r="CJ363" t="s">
        <v>5784</v>
      </c>
    </row>
    <row r="364" spans="1:88">
      <c r="A364" t="s">
        <v>1608</v>
      </c>
      <c r="B364" t="s">
        <v>1670</v>
      </c>
      <c r="C364" t="s">
        <v>116</v>
      </c>
      <c r="D364" t="s">
        <v>40</v>
      </c>
      <c r="E364" t="s">
        <v>41</v>
      </c>
      <c r="F364" t="s">
        <v>1671</v>
      </c>
      <c r="G364" t="s">
        <v>1672</v>
      </c>
      <c r="H364" t="s">
        <v>1673</v>
      </c>
      <c r="I364" t="s">
        <v>1674</v>
      </c>
      <c r="J364" t="s">
        <v>69</v>
      </c>
      <c r="N364" t="s">
        <v>182</v>
      </c>
      <c r="O364" t="s">
        <v>48</v>
      </c>
      <c r="P364" t="s">
        <v>603</v>
      </c>
      <c r="Q364" s="534">
        <v>1</v>
      </c>
      <c r="R364" t="s">
        <v>3263</v>
      </c>
      <c r="S364">
        <v>247.8</v>
      </c>
      <c r="T364">
        <v>227</v>
      </c>
      <c r="U364">
        <v>185</v>
      </c>
      <c r="V364">
        <v>166.1</v>
      </c>
      <c r="W364">
        <v>146.6</v>
      </c>
      <c r="X364">
        <v>136.19999999999999</v>
      </c>
      <c r="AH364">
        <v>0</v>
      </c>
      <c r="BP364" s="534" t="s">
        <v>3302</v>
      </c>
      <c r="BQ364" s="722">
        <v>284.78500000000003</v>
      </c>
      <c r="BR364" t="s">
        <v>46</v>
      </c>
      <c r="BS364" t="s">
        <v>52</v>
      </c>
      <c r="BT364">
        <v>0</v>
      </c>
      <c r="BU364" t="s">
        <v>52</v>
      </c>
      <c r="BV364">
        <v>0</v>
      </c>
      <c r="BW364">
        <v>160.69999999999999</v>
      </c>
      <c r="BX364" t="s">
        <v>50</v>
      </c>
      <c r="BY364">
        <v>0</v>
      </c>
      <c r="BZ364">
        <v>0</v>
      </c>
      <c r="CA364">
        <v>0</v>
      </c>
      <c r="CB364">
        <v>0</v>
      </c>
      <c r="CC364" s="2146">
        <v>46.2</v>
      </c>
      <c r="CD364" s="2146" t="s">
        <v>50</v>
      </c>
      <c r="CE364" s="2146">
        <v>0</v>
      </c>
      <c r="CF364" s="2146">
        <v>0</v>
      </c>
      <c r="CG364" s="2146">
        <v>0</v>
      </c>
      <c r="CH364">
        <v>0</v>
      </c>
      <c r="CJ364" t="s">
        <v>5785</v>
      </c>
    </row>
    <row r="365" spans="1:88">
      <c r="A365" t="s">
        <v>1608</v>
      </c>
      <c r="B365" t="s">
        <v>1675</v>
      </c>
      <c r="C365" t="s">
        <v>116</v>
      </c>
      <c r="D365" t="s">
        <v>40</v>
      </c>
      <c r="E365" t="s">
        <v>41</v>
      </c>
      <c r="F365" t="s">
        <v>1671</v>
      </c>
      <c r="G365" t="s">
        <v>1676</v>
      </c>
      <c r="H365" t="s">
        <v>1677</v>
      </c>
      <c r="I365" t="s">
        <v>1678</v>
      </c>
      <c r="J365" t="s">
        <v>5406</v>
      </c>
      <c r="K365" t="s">
        <v>45</v>
      </c>
      <c r="N365" t="s">
        <v>47</v>
      </c>
      <c r="O365" t="s">
        <v>48</v>
      </c>
      <c r="P365" t="s">
        <v>3259</v>
      </c>
      <c r="Q365" s="534">
        <v>0</v>
      </c>
      <c r="R365" t="s">
        <v>3263</v>
      </c>
      <c r="S365">
        <v>665</v>
      </c>
      <c r="T365">
        <v>649</v>
      </c>
      <c r="U365">
        <v>630</v>
      </c>
      <c r="V365">
        <v>620</v>
      </c>
      <c r="W365">
        <v>612</v>
      </c>
      <c r="X365">
        <v>606</v>
      </c>
      <c r="AE365" t="s">
        <v>50</v>
      </c>
      <c r="AH365">
        <v>0</v>
      </c>
      <c r="AI365" t="s">
        <v>50</v>
      </c>
      <c r="AJ365" t="s">
        <v>50</v>
      </c>
      <c r="AK365" t="s">
        <v>50</v>
      </c>
      <c r="AL365" t="s">
        <v>50</v>
      </c>
      <c r="AM365" t="s">
        <v>50</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51</v>
      </c>
      <c r="BP365" s="534">
        <v>653.96</v>
      </c>
      <c r="BQ365" s="725">
        <v>642.46</v>
      </c>
      <c r="BR365" t="s">
        <v>50</v>
      </c>
      <c r="BS365" t="s">
        <v>52</v>
      </c>
      <c r="BT365">
        <v>0</v>
      </c>
      <c r="BU365" t="s">
        <v>5379</v>
      </c>
      <c r="BV365">
        <v>0</v>
      </c>
      <c r="BW365">
        <v>677</v>
      </c>
      <c r="BX365" t="s">
        <v>46</v>
      </c>
      <c r="BY365">
        <v>0</v>
      </c>
      <c r="BZ365">
        <v>0</v>
      </c>
      <c r="CA365" t="s">
        <v>5415</v>
      </c>
      <c r="CB365">
        <v>-8.5500000000000007</v>
      </c>
      <c r="CC365" s="2146">
        <v>695</v>
      </c>
      <c r="CD365" s="2146" t="s">
        <v>46</v>
      </c>
      <c r="CE365" s="2146">
        <v>0</v>
      </c>
      <c r="CF365" s="2146">
        <v>0</v>
      </c>
      <c r="CG365" s="2146" t="s">
        <v>13444</v>
      </c>
      <c r="CH365">
        <v>-13.05</v>
      </c>
      <c r="CJ365" t="s">
        <v>5786</v>
      </c>
    </row>
    <row r="366" spans="1:88" ht="25.5">
      <c r="A366" t="s">
        <v>1608</v>
      </c>
      <c r="B366" t="s">
        <v>1679</v>
      </c>
      <c r="C366" t="s">
        <v>116</v>
      </c>
      <c r="D366" t="s">
        <v>40</v>
      </c>
      <c r="E366" t="s">
        <v>41</v>
      </c>
      <c r="F366" t="s">
        <v>1671</v>
      </c>
      <c r="G366" t="s">
        <v>1680</v>
      </c>
      <c r="H366" t="s">
        <v>1681</v>
      </c>
      <c r="I366" t="s">
        <v>1682</v>
      </c>
      <c r="J366" t="s">
        <v>69</v>
      </c>
      <c r="N366" t="s">
        <v>65</v>
      </c>
      <c r="O366" t="s">
        <v>48</v>
      </c>
      <c r="P366" t="s">
        <v>5787</v>
      </c>
      <c r="Q366" s="534">
        <v>2</v>
      </c>
      <c r="S366" t="s">
        <v>497</v>
      </c>
      <c r="T366" t="s">
        <v>5788</v>
      </c>
      <c r="U366" t="s">
        <v>5788</v>
      </c>
      <c r="V366" t="s">
        <v>5788</v>
      </c>
      <c r="W366" t="s">
        <v>5788</v>
      </c>
      <c r="X366" t="s">
        <v>5788</v>
      </c>
      <c r="AG366" t="s">
        <v>50</v>
      </c>
      <c r="AH366">
        <v>0</v>
      </c>
      <c r="BP366" s="534" t="s">
        <v>3302</v>
      </c>
      <c r="BQ366" s="724" t="s">
        <v>3302</v>
      </c>
      <c r="BR366" t="s">
        <v>52</v>
      </c>
      <c r="BS366" t="s">
        <v>52</v>
      </c>
      <c r="BT366">
        <v>0</v>
      </c>
      <c r="BU366" t="s">
        <v>52</v>
      </c>
      <c r="BV366">
        <v>0</v>
      </c>
      <c r="BW366" t="s">
        <v>5789</v>
      </c>
      <c r="BX366" t="s">
        <v>50</v>
      </c>
      <c r="BY366">
        <v>0</v>
      </c>
      <c r="BZ366">
        <v>0</v>
      </c>
      <c r="CA366">
        <v>0</v>
      </c>
      <c r="CB366">
        <v>0</v>
      </c>
      <c r="CC366" s="2146">
        <v>-1676.29</v>
      </c>
      <c r="CD366" s="2146" t="s">
        <v>50</v>
      </c>
      <c r="CE366" s="2146">
        <v>0</v>
      </c>
      <c r="CF366" s="2146">
        <v>0</v>
      </c>
      <c r="CG366" s="2146">
        <v>0</v>
      </c>
      <c r="CH366">
        <v>0</v>
      </c>
      <c r="CJ366" t="s">
        <v>5790</v>
      </c>
    </row>
    <row r="367" spans="1:88">
      <c r="A367" t="s">
        <v>1608</v>
      </c>
      <c r="B367" t="s">
        <v>1683</v>
      </c>
      <c r="C367" t="s">
        <v>116</v>
      </c>
      <c r="D367" t="s">
        <v>40</v>
      </c>
      <c r="E367" t="s">
        <v>41</v>
      </c>
      <c r="F367" t="s">
        <v>1671</v>
      </c>
      <c r="G367" t="s">
        <v>1684</v>
      </c>
      <c r="H367" t="s">
        <v>1685</v>
      </c>
      <c r="I367" t="s">
        <v>1686</v>
      </c>
      <c r="J367" t="s">
        <v>69</v>
      </c>
      <c r="N367" t="s">
        <v>923</v>
      </c>
      <c r="O367" t="s">
        <v>48</v>
      </c>
      <c r="P367" t="s">
        <v>1687</v>
      </c>
      <c r="Q367" s="534">
        <v>0</v>
      </c>
      <c r="R367" t="s">
        <v>3264</v>
      </c>
      <c r="S367">
        <v>14000</v>
      </c>
      <c r="T367">
        <v>15000</v>
      </c>
      <c r="U367">
        <v>16000</v>
      </c>
      <c r="V367">
        <v>17000</v>
      </c>
      <c r="W367">
        <v>18000</v>
      </c>
      <c r="X367">
        <v>20000</v>
      </c>
      <c r="AH367">
        <v>0</v>
      </c>
      <c r="BP367" s="534" t="s">
        <v>3302</v>
      </c>
      <c r="BQ367" s="725">
        <v>17491</v>
      </c>
      <c r="BR367" t="s">
        <v>50</v>
      </c>
      <c r="BS367" t="s">
        <v>52</v>
      </c>
      <c r="BT367">
        <v>0</v>
      </c>
      <c r="BU367" t="s">
        <v>52</v>
      </c>
      <c r="BV367">
        <v>0</v>
      </c>
      <c r="BW367">
        <v>20898</v>
      </c>
      <c r="BX367" t="s">
        <v>50</v>
      </c>
      <c r="BY367">
        <v>0</v>
      </c>
      <c r="BZ367">
        <v>0</v>
      </c>
      <c r="CA367">
        <v>0</v>
      </c>
      <c r="CB367">
        <v>0</v>
      </c>
      <c r="CC367" s="2146">
        <v>21341</v>
      </c>
      <c r="CD367" s="2146" t="s">
        <v>50</v>
      </c>
      <c r="CE367" s="2146">
        <v>0</v>
      </c>
      <c r="CF367" s="2146">
        <v>0</v>
      </c>
      <c r="CG367" s="2146">
        <v>0</v>
      </c>
      <c r="CH367">
        <v>0</v>
      </c>
      <c r="CJ367" t="s">
        <v>5791</v>
      </c>
    </row>
    <row r="368" spans="1:88">
      <c r="A368" t="s">
        <v>1608</v>
      </c>
      <c r="B368" t="s">
        <v>1688</v>
      </c>
      <c r="C368" t="s">
        <v>116</v>
      </c>
      <c r="D368" t="s">
        <v>40</v>
      </c>
      <c r="E368" t="s">
        <v>41</v>
      </c>
      <c r="F368" t="s">
        <v>1671</v>
      </c>
      <c r="G368" t="s">
        <v>1689</v>
      </c>
      <c r="H368" t="s">
        <v>1690</v>
      </c>
      <c r="I368" t="s">
        <v>1691</v>
      </c>
      <c r="J368" t="s">
        <v>5408</v>
      </c>
      <c r="K368" t="s">
        <v>322</v>
      </c>
      <c r="M368" t="s">
        <v>46</v>
      </c>
      <c r="N368" t="s">
        <v>175</v>
      </c>
      <c r="O368" t="s">
        <v>76</v>
      </c>
      <c r="P368" t="s">
        <v>1692</v>
      </c>
      <c r="Q368" s="534">
        <v>0</v>
      </c>
      <c r="R368" t="s">
        <v>3264</v>
      </c>
      <c r="S368" t="s">
        <v>497</v>
      </c>
      <c r="X368">
        <v>100</v>
      </c>
      <c r="AD368" t="s">
        <v>50</v>
      </c>
      <c r="AF368" t="s">
        <v>50</v>
      </c>
      <c r="AH368">
        <v>0</v>
      </c>
      <c r="AM368" t="s">
        <v>50</v>
      </c>
      <c r="AR368">
        <v>0</v>
      </c>
      <c r="AW368">
        <v>100</v>
      </c>
      <c r="BH368">
        <v>0.40939999999999999</v>
      </c>
      <c r="BN368">
        <v>1</v>
      </c>
      <c r="BO368" t="s">
        <v>51</v>
      </c>
      <c r="BP368" s="534" t="s">
        <v>3302</v>
      </c>
      <c r="BQ368" s="724">
        <v>0</v>
      </c>
      <c r="BR368" t="s">
        <v>52</v>
      </c>
      <c r="BS368" t="s">
        <v>52</v>
      </c>
      <c r="BT368">
        <v>0</v>
      </c>
      <c r="BU368" t="s">
        <v>52</v>
      </c>
      <c r="BV368">
        <v>0</v>
      </c>
      <c r="BW368">
        <v>0</v>
      </c>
      <c r="BX368" t="s">
        <v>2148</v>
      </c>
      <c r="BY368">
        <v>0</v>
      </c>
      <c r="BZ368">
        <v>0</v>
      </c>
      <c r="CA368">
        <v>0</v>
      </c>
      <c r="CB368">
        <v>0</v>
      </c>
      <c r="CC368" s="2146" t="s">
        <v>3302</v>
      </c>
      <c r="CD368" s="2146" t="s">
        <v>2148</v>
      </c>
      <c r="CE368" s="2146">
        <v>0</v>
      </c>
      <c r="CF368" s="2146">
        <v>0</v>
      </c>
      <c r="CG368" s="2146">
        <v>0</v>
      </c>
      <c r="CH368">
        <v>0</v>
      </c>
      <c r="CJ368" t="s">
        <v>5792</v>
      </c>
    </row>
    <row r="369" spans="1:88">
      <c r="A369" t="s">
        <v>1608</v>
      </c>
      <c r="B369" t="s">
        <v>1693</v>
      </c>
      <c r="C369" t="s">
        <v>116</v>
      </c>
      <c r="D369" t="s">
        <v>40</v>
      </c>
      <c r="E369" t="s">
        <v>41</v>
      </c>
      <c r="F369" t="s">
        <v>1694</v>
      </c>
      <c r="G369" t="s">
        <v>1695</v>
      </c>
      <c r="H369" t="s">
        <v>1696</v>
      </c>
      <c r="I369" t="s">
        <v>1697</v>
      </c>
      <c r="J369" t="s">
        <v>69</v>
      </c>
      <c r="N369" t="s">
        <v>182</v>
      </c>
      <c r="O369" t="s">
        <v>48</v>
      </c>
      <c r="P369" t="s">
        <v>1698</v>
      </c>
      <c r="Q369" s="534">
        <v>0</v>
      </c>
      <c r="R369" t="s">
        <v>3263</v>
      </c>
      <c r="S369">
        <v>505</v>
      </c>
      <c r="T369">
        <v>494</v>
      </c>
      <c r="U369">
        <v>483</v>
      </c>
      <c r="V369">
        <v>472</v>
      </c>
      <c r="W369">
        <v>472</v>
      </c>
      <c r="X369">
        <v>476</v>
      </c>
      <c r="AH369">
        <v>0</v>
      </c>
      <c r="BP369" s="534" t="s">
        <v>3302</v>
      </c>
      <c r="BQ369" s="725">
        <v>495.80599999999998</v>
      </c>
      <c r="BR369" t="s">
        <v>46</v>
      </c>
      <c r="BS369" t="s">
        <v>52</v>
      </c>
      <c r="BT369">
        <v>0</v>
      </c>
      <c r="BU369" t="s">
        <v>52</v>
      </c>
      <c r="BV369">
        <v>0</v>
      </c>
      <c r="BW369">
        <v>490.5</v>
      </c>
      <c r="BX369" t="s">
        <v>46</v>
      </c>
      <c r="BY369">
        <v>0</v>
      </c>
      <c r="BZ369">
        <v>0</v>
      </c>
      <c r="CA369">
        <v>0</v>
      </c>
      <c r="CB369">
        <v>0</v>
      </c>
      <c r="CC369" s="2146">
        <v>510</v>
      </c>
      <c r="CD369" s="2146" t="s">
        <v>46</v>
      </c>
      <c r="CE369" s="2146">
        <v>0</v>
      </c>
      <c r="CF369" s="2146">
        <v>0</v>
      </c>
      <c r="CG369" s="2146">
        <v>0</v>
      </c>
      <c r="CH369">
        <v>0</v>
      </c>
      <c r="CJ369" t="s">
        <v>5793</v>
      </c>
    </row>
    <row r="370" spans="1:88">
      <c r="A370" t="s">
        <v>1608</v>
      </c>
      <c r="B370" t="s">
        <v>1699</v>
      </c>
      <c r="C370" t="s">
        <v>116</v>
      </c>
      <c r="D370" t="s">
        <v>214</v>
      </c>
      <c r="E370" t="s">
        <v>215</v>
      </c>
      <c r="F370" t="s">
        <v>1610</v>
      </c>
      <c r="G370" t="s">
        <v>1700</v>
      </c>
      <c r="H370" t="s">
        <v>1701</v>
      </c>
      <c r="I370" t="s">
        <v>1702</v>
      </c>
      <c r="J370" t="s">
        <v>69</v>
      </c>
      <c r="N370" t="s">
        <v>192</v>
      </c>
      <c r="O370" t="s">
        <v>76</v>
      </c>
      <c r="P370" t="s">
        <v>1614</v>
      </c>
      <c r="Q370" s="534">
        <v>0</v>
      </c>
      <c r="R370" t="s">
        <v>3264</v>
      </c>
      <c r="S370">
        <v>90</v>
      </c>
      <c r="T370">
        <v>95</v>
      </c>
      <c r="U370">
        <v>95</v>
      </c>
      <c r="V370">
        <v>95</v>
      </c>
      <c r="W370">
        <v>95</v>
      </c>
      <c r="X370">
        <v>95</v>
      </c>
      <c r="AH370">
        <v>0</v>
      </c>
      <c r="BP370" s="534">
        <v>86.57</v>
      </c>
      <c r="BQ370" s="725">
        <v>86.72</v>
      </c>
      <c r="BR370" t="s">
        <v>46</v>
      </c>
      <c r="BS370" t="s">
        <v>52</v>
      </c>
      <c r="BT370">
        <v>0</v>
      </c>
      <c r="BU370" t="s">
        <v>52</v>
      </c>
      <c r="BV370">
        <v>0</v>
      </c>
      <c r="BW370">
        <v>93.49</v>
      </c>
      <c r="BX370" t="s">
        <v>46</v>
      </c>
      <c r="BY370">
        <v>0</v>
      </c>
      <c r="BZ370">
        <v>0</v>
      </c>
      <c r="CA370">
        <v>0</v>
      </c>
      <c r="CB370">
        <v>0</v>
      </c>
      <c r="CC370" s="2414">
        <v>93.55</v>
      </c>
      <c r="CD370" s="2146" t="s">
        <v>46</v>
      </c>
      <c r="CE370" s="2146">
        <v>0</v>
      </c>
      <c r="CF370" s="2146">
        <v>0</v>
      </c>
      <c r="CG370" s="2146">
        <v>0</v>
      </c>
      <c r="CH370">
        <v>0</v>
      </c>
      <c r="CJ370" t="s">
        <v>5794</v>
      </c>
    </row>
    <row r="371" spans="1:88">
      <c r="A371" t="s">
        <v>1608</v>
      </c>
      <c r="B371" t="s">
        <v>1703</v>
      </c>
      <c r="C371" t="s">
        <v>116</v>
      </c>
      <c r="D371" t="s">
        <v>214</v>
      </c>
      <c r="E371" t="s">
        <v>215</v>
      </c>
      <c r="F371" t="s">
        <v>1610</v>
      </c>
      <c r="G371" t="s">
        <v>1704</v>
      </c>
      <c r="H371" t="s">
        <v>1705</v>
      </c>
      <c r="I371" t="s">
        <v>1706</v>
      </c>
      <c r="J371" t="s">
        <v>69</v>
      </c>
      <c r="N371" t="s">
        <v>192</v>
      </c>
      <c r="O371" t="s">
        <v>48</v>
      </c>
      <c r="P371" t="s">
        <v>1619</v>
      </c>
      <c r="Q371" s="534">
        <v>2</v>
      </c>
      <c r="R371" t="s">
        <v>3263</v>
      </c>
      <c r="S371">
        <v>8.0500000000000007</v>
      </c>
      <c r="T371">
        <v>7.6</v>
      </c>
      <c r="U371">
        <v>7.15</v>
      </c>
      <c r="V371">
        <v>6.7</v>
      </c>
      <c r="W371">
        <v>6.25</v>
      </c>
      <c r="X371">
        <v>5.8</v>
      </c>
      <c r="AH371">
        <v>0</v>
      </c>
      <c r="BP371" s="534">
        <v>8.8000000000000007</v>
      </c>
      <c r="BQ371" s="726">
        <v>6.46</v>
      </c>
      <c r="BR371" t="s">
        <v>50</v>
      </c>
      <c r="BS371" t="s">
        <v>52</v>
      </c>
      <c r="BT371">
        <v>0</v>
      </c>
      <c r="BU371" t="s">
        <v>52</v>
      </c>
      <c r="BV371">
        <v>0</v>
      </c>
      <c r="BW371">
        <v>6.2140513602011351</v>
      </c>
      <c r="BX371" t="s">
        <v>50</v>
      </c>
      <c r="BY371">
        <v>0</v>
      </c>
      <c r="BZ371">
        <v>0</v>
      </c>
      <c r="CA371">
        <v>0</v>
      </c>
      <c r="CB371">
        <v>0</v>
      </c>
      <c r="CC371" s="2146">
        <v>4.39210083649479</v>
      </c>
      <c r="CD371" s="2146" t="s">
        <v>50</v>
      </c>
      <c r="CE371" s="2146">
        <v>0</v>
      </c>
      <c r="CF371" s="2146">
        <v>0</v>
      </c>
      <c r="CG371" s="2146">
        <v>0</v>
      </c>
      <c r="CH371">
        <v>0</v>
      </c>
      <c r="CJ371" t="s">
        <v>5795</v>
      </c>
    </row>
    <row r="372" spans="1:88">
      <c r="A372" t="s">
        <v>1608</v>
      </c>
      <c r="B372" t="s">
        <v>1707</v>
      </c>
      <c r="C372" t="s">
        <v>116</v>
      </c>
      <c r="D372" t="s">
        <v>214</v>
      </c>
      <c r="E372" t="s">
        <v>215</v>
      </c>
      <c r="F372" t="s">
        <v>1610</v>
      </c>
      <c r="G372" t="s">
        <v>1708</v>
      </c>
      <c r="H372" t="s">
        <v>1709</v>
      </c>
      <c r="I372" t="s">
        <v>1710</v>
      </c>
      <c r="J372" t="s">
        <v>69</v>
      </c>
      <c r="N372" t="s">
        <v>192</v>
      </c>
      <c r="O372" t="s">
        <v>107</v>
      </c>
      <c r="P372" t="s">
        <v>1624</v>
      </c>
      <c r="Q372" s="534">
        <v>2</v>
      </c>
      <c r="R372" t="s">
        <v>3264</v>
      </c>
      <c r="S372">
        <v>4.3</v>
      </c>
      <c r="T372">
        <v>4.55</v>
      </c>
      <c r="U372">
        <v>4.5999999999999996</v>
      </c>
      <c r="V372">
        <v>4.6500000000000004</v>
      </c>
      <c r="W372">
        <v>4.6500000000000004</v>
      </c>
      <c r="X372">
        <v>4.7</v>
      </c>
      <c r="AH372">
        <v>0</v>
      </c>
      <c r="BP372" s="534">
        <v>4.21</v>
      </c>
      <c r="BQ372" s="726">
        <v>4.5</v>
      </c>
      <c r="BR372" t="s">
        <v>46</v>
      </c>
      <c r="BS372" t="s">
        <v>52</v>
      </c>
      <c r="BT372">
        <v>0</v>
      </c>
      <c r="BU372" t="s">
        <v>52</v>
      </c>
      <c r="BV372">
        <v>0</v>
      </c>
      <c r="BW372">
        <v>4.5690574498919911</v>
      </c>
      <c r="BX372" t="s">
        <v>46</v>
      </c>
      <c r="BY372">
        <v>0</v>
      </c>
      <c r="BZ372">
        <v>0</v>
      </c>
      <c r="CA372">
        <v>0</v>
      </c>
      <c r="CB372">
        <v>0</v>
      </c>
      <c r="CC372" s="2146">
        <v>4.5506045678459497</v>
      </c>
      <c r="CD372" s="2146" t="s">
        <v>46</v>
      </c>
      <c r="CE372" s="2146">
        <v>0</v>
      </c>
      <c r="CF372" s="2146">
        <v>0</v>
      </c>
      <c r="CG372" s="2146">
        <v>0</v>
      </c>
      <c r="CH372">
        <v>0</v>
      </c>
      <c r="CJ372" t="s">
        <v>5796</v>
      </c>
    </row>
    <row r="373" spans="1:88">
      <c r="A373" t="s">
        <v>1608</v>
      </c>
      <c r="B373" t="s">
        <v>1711</v>
      </c>
      <c r="C373" t="s">
        <v>116</v>
      </c>
      <c r="D373" t="s">
        <v>214</v>
      </c>
      <c r="E373" t="s">
        <v>215</v>
      </c>
      <c r="F373" t="s">
        <v>1712</v>
      </c>
      <c r="G373" t="s">
        <v>1713</v>
      </c>
      <c r="H373" t="s">
        <v>1714</v>
      </c>
      <c r="I373" t="s">
        <v>1715</v>
      </c>
      <c r="J373" t="s">
        <v>5408</v>
      </c>
      <c r="K373" t="s">
        <v>45</v>
      </c>
      <c r="M373" t="s">
        <v>46</v>
      </c>
      <c r="N373" t="s">
        <v>273</v>
      </c>
      <c r="O373" t="s">
        <v>200</v>
      </c>
      <c r="P373" t="s">
        <v>323</v>
      </c>
      <c r="Q373" s="534" t="s">
        <v>51</v>
      </c>
      <c r="S373" t="s">
        <v>202</v>
      </c>
      <c r="T373" t="s">
        <v>202</v>
      </c>
      <c r="U373" t="s">
        <v>202</v>
      </c>
      <c r="V373" t="s">
        <v>202</v>
      </c>
      <c r="W373" t="s">
        <v>202</v>
      </c>
      <c r="X373" t="s">
        <v>202</v>
      </c>
      <c r="AE373" t="s">
        <v>50</v>
      </c>
      <c r="AH373">
        <v>3</v>
      </c>
      <c r="AI373" t="s">
        <v>50</v>
      </c>
      <c r="AJ373" t="s">
        <v>50</v>
      </c>
      <c r="AK373" t="s">
        <v>50</v>
      </c>
      <c r="AL373" t="s">
        <v>50</v>
      </c>
      <c r="AM373" t="s">
        <v>50</v>
      </c>
      <c r="AN373" t="s">
        <v>324</v>
      </c>
      <c r="AO373" t="s">
        <v>324</v>
      </c>
      <c r="AP373" t="s">
        <v>324</v>
      </c>
      <c r="AQ373" t="s">
        <v>324</v>
      </c>
      <c r="AR373" t="s">
        <v>324</v>
      </c>
      <c r="AS373" t="s">
        <v>325</v>
      </c>
      <c r="AT373" t="s">
        <v>325</v>
      </c>
      <c r="AU373" t="s">
        <v>325</v>
      </c>
      <c r="AV373" t="s">
        <v>325</v>
      </c>
      <c r="AW373" t="s">
        <v>325</v>
      </c>
      <c r="BH373">
        <v>4.5350000000000001</v>
      </c>
      <c r="BN373">
        <v>1</v>
      </c>
      <c r="BO373" t="s">
        <v>51</v>
      </c>
      <c r="BP373" s="534" t="s">
        <v>202</v>
      </c>
      <c r="BQ373" s="724" t="s">
        <v>202</v>
      </c>
      <c r="BR373" t="s">
        <v>50</v>
      </c>
      <c r="BS373" t="s">
        <v>52</v>
      </c>
      <c r="BT373">
        <v>0</v>
      </c>
      <c r="BU373" t="s">
        <v>52</v>
      </c>
      <c r="BV373">
        <v>0</v>
      </c>
      <c r="BW373" t="s">
        <v>202</v>
      </c>
      <c r="BX373" t="s">
        <v>50</v>
      </c>
      <c r="BY373">
        <v>0</v>
      </c>
      <c r="BZ373">
        <v>0</v>
      </c>
      <c r="CA373">
        <v>0</v>
      </c>
      <c r="CB373">
        <v>0</v>
      </c>
      <c r="CC373" s="2146" t="s">
        <v>202</v>
      </c>
      <c r="CD373" s="2146" t="s">
        <v>50</v>
      </c>
      <c r="CE373" s="2146">
        <v>0</v>
      </c>
      <c r="CF373" s="2146">
        <v>0</v>
      </c>
      <c r="CG373" s="2146">
        <v>0</v>
      </c>
      <c r="CH373">
        <v>0</v>
      </c>
      <c r="CJ373" t="s">
        <v>5797</v>
      </c>
    </row>
    <row r="374" spans="1:88">
      <c r="A374" t="s">
        <v>1608</v>
      </c>
      <c r="B374" t="s">
        <v>1716</v>
      </c>
      <c r="C374" t="s">
        <v>116</v>
      </c>
      <c r="D374" t="s">
        <v>214</v>
      </c>
      <c r="E374" t="s">
        <v>215</v>
      </c>
      <c r="F374" t="s">
        <v>1712</v>
      </c>
      <c r="G374" t="s">
        <v>1717</v>
      </c>
      <c r="H374" t="s">
        <v>1718</v>
      </c>
      <c r="I374" t="s">
        <v>1719</v>
      </c>
      <c r="J374" t="s">
        <v>5408</v>
      </c>
      <c r="K374" t="s">
        <v>45</v>
      </c>
      <c r="M374" t="s">
        <v>46</v>
      </c>
      <c r="N374" t="s">
        <v>273</v>
      </c>
      <c r="O374" t="s">
        <v>200</v>
      </c>
      <c r="P374" t="s">
        <v>323</v>
      </c>
      <c r="Q374" s="534" t="s">
        <v>51</v>
      </c>
      <c r="S374" t="s">
        <v>202</v>
      </c>
      <c r="T374" t="s">
        <v>202</v>
      </c>
      <c r="U374" t="s">
        <v>202</v>
      </c>
      <c r="V374" t="s">
        <v>202</v>
      </c>
      <c r="W374" t="s">
        <v>202</v>
      </c>
      <c r="X374" t="s">
        <v>202</v>
      </c>
      <c r="AE374" t="s">
        <v>50</v>
      </c>
      <c r="AH374">
        <v>4</v>
      </c>
      <c r="AI374" t="s">
        <v>50</v>
      </c>
      <c r="AJ374" t="s">
        <v>50</v>
      </c>
      <c r="AK374" t="s">
        <v>50</v>
      </c>
      <c r="AL374" t="s">
        <v>50</v>
      </c>
      <c r="AM374" t="s">
        <v>50</v>
      </c>
      <c r="AN374" t="s">
        <v>324</v>
      </c>
      <c r="AO374" t="s">
        <v>324</v>
      </c>
      <c r="AP374" t="s">
        <v>324</v>
      </c>
      <c r="AQ374" t="s">
        <v>324</v>
      </c>
      <c r="AR374" t="s">
        <v>324</v>
      </c>
      <c r="AS374" t="s">
        <v>325</v>
      </c>
      <c r="AT374" t="s">
        <v>325</v>
      </c>
      <c r="AU374" t="s">
        <v>325</v>
      </c>
      <c r="AV374" t="s">
        <v>325</v>
      </c>
      <c r="AW374" t="s">
        <v>325</v>
      </c>
      <c r="BH374">
        <v>4.5350000000000001</v>
      </c>
      <c r="BN374">
        <v>1</v>
      </c>
      <c r="BO374" t="s">
        <v>51</v>
      </c>
      <c r="BP374" s="534" t="s">
        <v>324</v>
      </c>
      <c r="BQ374" s="724" t="s">
        <v>202</v>
      </c>
      <c r="BR374" t="s">
        <v>50</v>
      </c>
      <c r="BS374" t="s">
        <v>52</v>
      </c>
      <c r="BT374">
        <v>0</v>
      </c>
      <c r="BU374" t="s">
        <v>52</v>
      </c>
      <c r="BV374">
        <v>0</v>
      </c>
      <c r="BW374" t="s">
        <v>202</v>
      </c>
      <c r="BX374" t="s">
        <v>50</v>
      </c>
      <c r="BY374">
        <v>0</v>
      </c>
      <c r="BZ374">
        <v>0</v>
      </c>
      <c r="CA374">
        <v>0</v>
      </c>
      <c r="CB374">
        <v>0</v>
      </c>
      <c r="CC374" s="2146" t="s">
        <v>202</v>
      </c>
      <c r="CD374" s="2146" t="s">
        <v>50</v>
      </c>
      <c r="CE374" s="2146">
        <v>0</v>
      </c>
      <c r="CF374" s="2146">
        <v>0</v>
      </c>
      <c r="CG374" s="2146">
        <v>0</v>
      </c>
      <c r="CH374">
        <v>0</v>
      </c>
      <c r="CJ374" t="s">
        <v>5798</v>
      </c>
    </row>
    <row r="375" spans="1:88" ht="25.5">
      <c r="A375" t="s">
        <v>1608</v>
      </c>
      <c r="B375" t="s">
        <v>1720</v>
      </c>
      <c r="C375" t="s">
        <v>116</v>
      </c>
      <c r="D375" t="s">
        <v>214</v>
      </c>
      <c r="E375" t="s">
        <v>215</v>
      </c>
      <c r="F375" t="s">
        <v>1712</v>
      </c>
      <c r="G375" t="s">
        <v>1721</v>
      </c>
      <c r="H375" t="s">
        <v>1722</v>
      </c>
      <c r="I375" t="s">
        <v>1723</v>
      </c>
      <c r="J375" t="s">
        <v>5406</v>
      </c>
      <c r="K375" t="s">
        <v>322</v>
      </c>
      <c r="M375" t="s">
        <v>46</v>
      </c>
      <c r="N375" t="s">
        <v>219</v>
      </c>
      <c r="O375" t="s">
        <v>48</v>
      </c>
      <c r="P375" t="s">
        <v>1724</v>
      </c>
      <c r="Q375" s="534">
        <v>0</v>
      </c>
      <c r="S375" t="s">
        <v>497</v>
      </c>
      <c r="X375">
        <v>2127</v>
      </c>
      <c r="AD375" t="s">
        <v>50</v>
      </c>
      <c r="AE375" t="s">
        <v>50</v>
      </c>
      <c r="AH375">
        <v>0</v>
      </c>
      <c r="AM375" t="s">
        <v>50</v>
      </c>
      <c r="AR375">
        <v>1459</v>
      </c>
      <c r="AW375">
        <v>2127</v>
      </c>
      <c r="BB375">
        <v>2127</v>
      </c>
      <c r="BG375">
        <v>2753</v>
      </c>
      <c r="BH375" t="s">
        <v>1058</v>
      </c>
      <c r="BL375" t="s">
        <v>1058</v>
      </c>
      <c r="BN375">
        <v>1</v>
      </c>
      <c r="BO375" t="s">
        <v>51</v>
      </c>
      <c r="BP375" s="534" t="s">
        <v>3302</v>
      </c>
      <c r="BQ375" s="724" t="s">
        <v>3302</v>
      </c>
      <c r="BR375" t="s">
        <v>52</v>
      </c>
      <c r="BS375" t="s">
        <v>52</v>
      </c>
      <c r="BT375">
        <v>0</v>
      </c>
      <c r="BU375" t="s">
        <v>52</v>
      </c>
      <c r="BV375">
        <v>0</v>
      </c>
      <c r="BW375" t="s">
        <v>3302</v>
      </c>
      <c r="BX375" t="s">
        <v>2148</v>
      </c>
      <c r="BY375">
        <v>0</v>
      </c>
      <c r="BZ375">
        <v>0</v>
      </c>
      <c r="CA375">
        <v>0</v>
      </c>
      <c r="CB375">
        <v>0</v>
      </c>
      <c r="CC375" s="2146">
        <v>40</v>
      </c>
      <c r="CD375" s="2146" t="s">
        <v>2148</v>
      </c>
      <c r="CE375" s="2146">
        <v>0</v>
      </c>
      <c r="CF375" s="2146">
        <v>0</v>
      </c>
      <c r="CG375" s="2146">
        <v>0</v>
      </c>
      <c r="CH375">
        <v>0</v>
      </c>
      <c r="CJ375" t="s">
        <v>5799</v>
      </c>
    </row>
    <row r="376" spans="1:88">
      <c r="A376" t="s">
        <v>1608</v>
      </c>
      <c r="B376" t="s">
        <v>1725</v>
      </c>
      <c r="C376" t="s">
        <v>116</v>
      </c>
      <c r="D376" t="s">
        <v>214</v>
      </c>
      <c r="E376" t="s">
        <v>215</v>
      </c>
      <c r="F376" t="s">
        <v>1712</v>
      </c>
      <c r="G376" t="s">
        <v>1726</v>
      </c>
      <c r="H376" t="s">
        <v>1727</v>
      </c>
      <c r="I376" t="s">
        <v>1728</v>
      </c>
      <c r="J376" t="s">
        <v>5406</v>
      </c>
      <c r="K376" t="s">
        <v>45</v>
      </c>
      <c r="N376" t="s">
        <v>219</v>
      </c>
      <c r="O376" t="s">
        <v>48</v>
      </c>
      <c r="P376" t="s">
        <v>1729</v>
      </c>
      <c r="Q376" s="534">
        <v>0</v>
      </c>
      <c r="R376" t="s">
        <v>3263</v>
      </c>
      <c r="S376">
        <v>1209</v>
      </c>
      <c r="T376">
        <v>1168</v>
      </c>
      <c r="U376">
        <v>1126</v>
      </c>
      <c r="V376">
        <v>1085</v>
      </c>
      <c r="W376">
        <v>1085</v>
      </c>
      <c r="X376">
        <v>1085</v>
      </c>
      <c r="AC376" t="s">
        <v>50</v>
      </c>
      <c r="AE376" t="s">
        <v>50</v>
      </c>
      <c r="AH376">
        <v>0</v>
      </c>
      <c r="AI376" t="s">
        <v>50</v>
      </c>
      <c r="AJ376" t="s">
        <v>50</v>
      </c>
      <c r="AK376" t="s">
        <v>50</v>
      </c>
      <c r="AL376" t="s">
        <v>50</v>
      </c>
      <c r="AM376" t="s">
        <v>50</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51</v>
      </c>
      <c r="BP376" s="534">
        <v>1017</v>
      </c>
      <c r="BQ376" s="725">
        <v>1410</v>
      </c>
      <c r="BR376" t="s">
        <v>46</v>
      </c>
      <c r="BS376" t="s">
        <v>52</v>
      </c>
      <c r="BT376">
        <v>0</v>
      </c>
      <c r="BU376" t="s">
        <v>5415</v>
      </c>
      <c r="BV376">
        <v>-11.7</v>
      </c>
      <c r="BW376">
        <v>1214</v>
      </c>
      <c r="BX376" t="s">
        <v>46</v>
      </c>
      <c r="BY376">
        <v>0</v>
      </c>
      <c r="BZ376">
        <v>0</v>
      </c>
      <c r="CA376" t="s">
        <v>5415</v>
      </c>
      <c r="CB376">
        <v>-0.45</v>
      </c>
      <c r="CC376" s="2146">
        <v>1062</v>
      </c>
      <c r="CD376" s="2146" t="s">
        <v>50</v>
      </c>
      <c r="CE376" s="2146">
        <v>0</v>
      </c>
      <c r="CF376" s="2146">
        <v>0</v>
      </c>
      <c r="CG376" s="2146" t="s">
        <v>5425</v>
      </c>
      <c r="CH376">
        <v>1.2649999999999999</v>
      </c>
      <c r="CJ376" t="s">
        <v>5800</v>
      </c>
    </row>
    <row r="377" spans="1:88">
      <c r="A377" t="s">
        <v>1608</v>
      </c>
      <c r="B377" t="s">
        <v>1730</v>
      </c>
      <c r="C377" t="s">
        <v>116</v>
      </c>
      <c r="D377" t="s">
        <v>214</v>
      </c>
      <c r="E377" t="s">
        <v>215</v>
      </c>
      <c r="F377" t="s">
        <v>1712</v>
      </c>
      <c r="G377" t="s">
        <v>1731</v>
      </c>
      <c r="H377" t="s">
        <v>1732</v>
      </c>
      <c r="I377" t="s">
        <v>1733</v>
      </c>
      <c r="J377" t="s">
        <v>5406</v>
      </c>
      <c r="K377" t="s">
        <v>45</v>
      </c>
      <c r="N377" t="s">
        <v>230</v>
      </c>
      <c r="O377" t="s">
        <v>48</v>
      </c>
      <c r="P377" t="s">
        <v>1734</v>
      </c>
      <c r="Q377" s="534">
        <v>0</v>
      </c>
      <c r="R377" t="s">
        <v>3264</v>
      </c>
      <c r="S377" t="s">
        <v>497</v>
      </c>
      <c r="X377">
        <v>20</v>
      </c>
      <c r="AE377" t="s">
        <v>50</v>
      </c>
      <c r="AH377">
        <v>0</v>
      </c>
      <c r="AM377" t="s">
        <v>50</v>
      </c>
      <c r="AR377">
        <v>10</v>
      </c>
      <c r="AW377">
        <v>20</v>
      </c>
      <c r="BB377">
        <v>20</v>
      </c>
      <c r="BG377">
        <v>50</v>
      </c>
      <c r="BH377">
        <v>0.51500000000000001</v>
      </c>
      <c r="BL377">
        <v>0.47499999999999998</v>
      </c>
      <c r="BN377">
        <v>1</v>
      </c>
      <c r="BO377" t="s">
        <v>51</v>
      </c>
      <c r="BP377" s="534" t="s">
        <v>3302</v>
      </c>
      <c r="BQ377" s="725">
        <v>0</v>
      </c>
      <c r="BR377" t="s">
        <v>52</v>
      </c>
      <c r="BS377" t="s">
        <v>52</v>
      </c>
      <c r="BT377">
        <v>0</v>
      </c>
      <c r="BU377" t="s">
        <v>52</v>
      </c>
      <c r="BV377">
        <v>0</v>
      </c>
      <c r="BW377">
        <v>0</v>
      </c>
      <c r="BX377" t="s">
        <v>2148</v>
      </c>
      <c r="BY377">
        <v>0</v>
      </c>
      <c r="BZ377">
        <v>0</v>
      </c>
      <c r="CA377">
        <v>0</v>
      </c>
      <c r="CB377">
        <v>0</v>
      </c>
      <c r="CC377" s="2146">
        <v>0</v>
      </c>
      <c r="CD377" s="2146" t="s">
        <v>2148</v>
      </c>
      <c r="CE377" s="2146">
        <v>0</v>
      </c>
      <c r="CF377" s="2146">
        <v>0</v>
      </c>
      <c r="CG377" s="2146">
        <v>0</v>
      </c>
      <c r="CH377">
        <v>0</v>
      </c>
      <c r="CJ377" t="s">
        <v>5801</v>
      </c>
    </row>
    <row r="378" spans="1:88">
      <c r="A378" t="s">
        <v>1608</v>
      </c>
      <c r="B378" t="s">
        <v>1735</v>
      </c>
      <c r="C378" t="s">
        <v>116</v>
      </c>
      <c r="D378" t="s">
        <v>214</v>
      </c>
      <c r="E378" t="s">
        <v>215</v>
      </c>
      <c r="F378" t="s">
        <v>1712</v>
      </c>
      <c r="G378" t="s">
        <v>1736</v>
      </c>
      <c r="H378" t="s">
        <v>1737</v>
      </c>
      <c r="I378" t="s">
        <v>1738</v>
      </c>
      <c r="J378" t="s">
        <v>5408</v>
      </c>
      <c r="K378" t="s">
        <v>45</v>
      </c>
      <c r="M378" t="s">
        <v>46</v>
      </c>
      <c r="N378" t="s">
        <v>1041</v>
      </c>
      <c r="O378" t="s">
        <v>76</v>
      </c>
      <c r="P378" t="s">
        <v>1665</v>
      </c>
      <c r="Q378" s="534">
        <v>0</v>
      </c>
      <c r="R378" t="s">
        <v>3264</v>
      </c>
      <c r="S378">
        <v>100</v>
      </c>
      <c r="X378">
        <v>100</v>
      </c>
      <c r="AD378" t="s">
        <v>50</v>
      </c>
      <c r="AE378" t="s">
        <v>50</v>
      </c>
      <c r="AH378">
        <v>0</v>
      </c>
      <c r="AM378" t="s">
        <v>50</v>
      </c>
      <c r="AR378">
        <v>0</v>
      </c>
      <c r="AW378">
        <v>100</v>
      </c>
      <c r="BH378">
        <v>0.40400000000000003</v>
      </c>
      <c r="BN378">
        <v>1</v>
      </c>
      <c r="BO378" t="s">
        <v>51</v>
      </c>
      <c r="BP378" s="534" t="s">
        <v>3302</v>
      </c>
      <c r="BQ378" s="725">
        <v>0</v>
      </c>
      <c r="BR378" t="s">
        <v>52</v>
      </c>
      <c r="BS378" t="s">
        <v>52</v>
      </c>
      <c r="BT378">
        <v>0</v>
      </c>
      <c r="BU378" t="s">
        <v>52</v>
      </c>
      <c r="BV378">
        <v>0</v>
      </c>
      <c r="BW378" t="s">
        <v>3302</v>
      </c>
      <c r="BX378" t="s">
        <v>2148</v>
      </c>
      <c r="BY378">
        <v>0</v>
      </c>
      <c r="BZ378">
        <v>0</v>
      </c>
      <c r="CA378">
        <v>0</v>
      </c>
      <c r="CB378">
        <v>0</v>
      </c>
      <c r="CC378" s="2414">
        <v>26</v>
      </c>
      <c r="CD378" s="2146" t="s">
        <v>2148</v>
      </c>
      <c r="CE378" s="2146">
        <v>0</v>
      </c>
      <c r="CF378" s="2146">
        <v>0</v>
      </c>
      <c r="CG378" s="2146">
        <v>0</v>
      </c>
      <c r="CH378">
        <v>0</v>
      </c>
      <c r="CJ378" t="s">
        <v>5802</v>
      </c>
    </row>
    <row r="379" spans="1:88">
      <c r="A379" t="s">
        <v>1608</v>
      </c>
      <c r="B379" t="s">
        <v>1739</v>
      </c>
      <c r="C379" t="s">
        <v>116</v>
      </c>
      <c r="D379" t="s">
        <v>214</v>
      </c>
      <c r="E379" t="s">
        <v>215</v>
      </c>
      <c r="F379" t="s">
        <v>1712</v>
      </c>
      <c r="G379" t="s">
        <v>1740</v>
      </c>
      <c r="H379" t="s">
        <v>1741</v>
      </c>
      <c r="I379" t="s">
        <v>1742</v>
      </c>
      <c r="J379" t="s">
        <v>5408</v>
      </c>
      <c r="K379" t="s">
        <v>45</v>
      </c>
      <c r="N379" t="s">
        <v>137</v>
      </c>
      <c r="O379" t="s">
        <v>48</v>
      </c>
      <c r="P379" t="s">
        <v>1743</v>
      </c>
      <c r="Q379" s="534">
        <v>0</v>
      </c>
      <c r="R379" t="s">
        <v>3264</v>
      </c>
      <c r="X379">
        <v>1700000</v>
      </c>
      <c r="AE379" t="s">
        <v>50</v>
      </c>
      <c r="AH379">
        <v>0</v>
      </c>
      <c r="AM379" t="s">
        <v>50</v>
      </c>
      <c r="AR379">
        <v>1360000</v>
      </c>
      <c r="AW379">
        <v>1700000</v>
      </c>
      <c r="BH379">
        <v>7.1999999999999999E-7</v>
      </c>
      <c r="BN379">
        <v>1</v>
      </c>
      <c r="BO379" t="s">
        <v>51</v>
      </c>
      <c r="BP379" s="534" t="s">
        <v>3302</v>
      </c>
      <c r="BQ379" s="725">
        <v>0</v>
      </c>
      <c r="BR379" t="s">
        <v>52</v>
      </c>
      <c r="BS379" t="s">
        <v>52</v>
      </c>
      <c r="BT379">
        <v>0</v>
      </c>
      <c r="BU379" t="s">
        <v>52</v>
      </c>
      <c r="BV379">
        <v>0</v>
      </c>
      <c r="BW379">
        <v>0</v>
      </c>
      <c r="BX379" t="s">
        <v>2148</v>
      </c>
      <c r="BY379">
        <v>0</v>
      </c>
      <c r="BZ379">
        <v>0</v>
      </c>
      <c r="CA379">
        <v>0</v>
      </c>
      <c r="CB379">
        <v>0</v>
      </c>
      <c r="CC379" s="2146">
        <v>537700</v>
      </c>
      <c r="CD379" s="2146" t="s">
        <v>2148</v>
      </c>
      <c r="CE379" s="2146">
        <v>0</v>
      </c>
      <c r="CF379" s="2146">
        <v>0</v>
      </c>
      <c r="CG379" s="2146">
        <v>0</v>
      </c>
      <c r="CH379">
        <v>0</v>
      </c>
      <c r="CJ379" t="s">
        <v>5803</v>
      </c>
    </row>
    <row r="380" spans="1:88" ht="25.5">
      <c r="A380" t="s">
        <v>1608</v>
      </c>
      <c r="B380" t="s">
        <v>1744</v>
      </c>
      <c r="C380" t="s">
        <v>116</v>
      </c>
      <c r="D380" t="s">
        <v>214</v>
      </c>
      <c r="E380" t="s">
        <v>215</v>
      </c>
      <c r="F380" t="s">
        <v>1712</v>
      </c>
      <c r="G380" t="s">
        <v>1745</v>
      </c>
      <c r="H380" t="s">
        <v>1746</v>
      </c>
      <c r="I380" t="s">
        <v>1747</v>
      </c>
      <c r="J380" t="s">
        <v>5408</v>
      </c>
      <c r="K380" t="s">
        <v>45</v>
      </c>
      <c r="M380" t="s">
        <v>46</v>
      </c>
      <c r="N380" t="s">
        <v>175</v>
      </c>
      <c r="O380" t="s">
        <v>281</v>
      </c>
      <c r="P380" t="s">
        <v>1187</v>
      </c>
      <c r="Q380" s="534" t="s">
        <v>51</v>
      </c>
      <c r="T380" t="s">
        <v>688</v>
      </c>
      <c r="AD380" t="s">
        <v>50</v>
      </c>
      <c r="AF380" t="s">
        <v>50</v>
      </c>
      <c r="AH380">
        <v>0</v>
      </c>
      <c r="AI380" t="s">
        <v>50</v>
      </c>
      <c r="AJ380" t="s">
        <v>50</v>
      </c>
      <c r="AK380" t="s">
        <v>50</v>
      </c>
      <c r="AL380" t="s">
        <v>50</v>
      </c>
      <c r="AM380" t="s">
        <v>50</v>
      </c>
      <c r="AN380" t="s">
        <v>1748</v>
      </c>
      <c r="AO380" t="s">
        <v>1748</v>
      </c>
      <c r="AP380" t="s">
        <v>1748</v>
      </c>
      <c r="AQ380" t="s">
        <v>1748</v>
      </c>
      <c r="AR380" t="s">
        <v>1748</v>
      </c>
      <c r="AS380" t="s">
        <v>1748</v>
      </c>
      <c r="AT380" t="s">
        <v>1748</v>
      </c>
      <c r="AU380" t="s">
        <v>1748</v>
      </c>
      <c r="AV380" t="s">
        <v>1748</v>
      </c>
      <c r="AW380" t="s">
        <v>1748</v>
      </c>
      <c r="BH380">
        <v>6.7</v>
      </c>
      <c r="BN380">
        <v>1</v>
      </c>
      <c r="BO380" t="s">
        <v>51</v>
      </c>
      <c r="BP380" s="534" t="s">
        <v>3302</v>
      </c>
      <c r="BQ380" s="724" t="s">
        <v>3307</v>
      </c>
      <c r="BR380" t="s">
        <v>50</v>
      </c>
      <c r="BS380" t="s">
        <v>52</v>
      </c>
      <c r="BT380">
        <v>0</v>
      </c>
      <c r="BU380" t="s">
        <v>52</v>
      </c>
      <c r="BV380">
        <v>0</v>
      </c>
      <c r="BW380" t="s">
        <v>5804</v>
      </c>
      <c r="BX380" t="s">
        <v>2148</v>
      </c>
      <c r="BY380">
        <v>0</v>
      </c>
      <c r="BZ380">
        <v>0</v>
      </c>
      <c r="CA380">
        <v>0</v>
      </c>
      <c r="CB380">
        <v>0</v>
      </c>
      <c r="CC380" s="2146" t="s">
        <v>13452</v>
      </c>
      <c r="CD380" s="2146" t="s">
        <v>50</v>
      </c>
      <c r="CE380" s="2146">
        <v>0</v>
      </c>
      <c r="CF380" s="2146">
        <v>0</v>
      </c>
      <c r="CG380" s="2146">
        <v>0</v>
      </c>
      <c r="CH380">
        <v>0</v>
      </c>
      <c r="CJ380" t="s">
        <v>5805</v>
      </c>
    </row>
    <row r="381" spans="1:88" ht="25.5">
      <c r="A381" t="s">
        <v>1608</v>
      </c>
      <c r="B381" t="s">
        <v>1749</v>
      </c>
      <c r="C381" t="s">
        <v>116</v>
      </c>
      <c r="D381" t="s">
        <v>214</v>
      </c>
      <c r="E381" t="s">
        <v>215</v>
      </c>
      <c r="F381" t="s">
        <v>1712</v>
      </c>
      <c r="G381" t="s">
        <v>1750</v>
      </c>
      <c r="H381" t="s">
        <v>1751</v>
      </c>
      <c r="I381" t="s">
        <v>1752</v>
      </c>
      <c r="J381" t="s">
        <v>5408</v>
      </c>
      <c r="K381" t="s">
        <v>45</v>
      </c>
      <c r="M381" t="s">
        <v>46</v>
      </c>
      <c r="N381" t="s">
        <v>175</v>
      </c>
      <c r="O381" t="s">
        <v>281</v>
      </c>
      <c r="P381" t="s">
        <v>1187</v>
      </c>
      <c r="Q381" s="534" t="s">
        <v>51</v>
      </c>
      <c r="U381" t="s">
        <v>688</v>
      </c>
      <c r="AD381" t="s">
        <v>50</v>
      </c>
      <c r="AF381" t="s">
        <v>50</v>
      </c>
      <c r="AH381">
        <v>0</v>
      </c>
      <c r="AM381" t="s">
        <v>50</v>
      </c>
      <c r="AR381" t="s">
        <v>1748</v>
      </c>
      <c r="AW381" t="s">
        <v>1748</v>
      </c>
      <c r="BH381">
        <v>198</v>
      </c>
      <c r="BN381">
        <v>1</v>
      </c>
      <c r="BO381" t="s">
        <v>51</v>
      </c>
      <c r="BP381" s="534" t="s">
        <v>3302</v>
      </c>
      <c r="BQ381" s="725" t="s">
        <v>3302</v>
      </c>
      <c r="BR381" t="s">
        <v>52</v>
      </c>
      <c r="BS381" t="s">
        <v>52</v>
      </c>
      <c r="BT381">
        <v>0</v>
      </c>
      <c r="BU381" t="s">
        <v>52</v>
      </c>
      <c r="BV381">
        <v>0</v>
      </c>
      <c r="BW381" t="s">
        <v>5806</v>
      </c>
      <c r="BX381" t="s">
        <v>50</v>
      </c>
      <c r="BY381">
        <v>0</v>
      </c>
      <c r="BZ381">
        <v>0</v>
      </c>
      <c r="CA381">
        <v>0</v>
      </c>
      <c r="CB381">
        <v>0</v>
      </c>
      <c r="CC381" s="2146" t="s">
        <v>13453</v>
      </c>
      <c r="CD381" s="2146" t="s">
        <v>50</v>
      </c>
      <c r="CE381" s="2146">
        <v>0</v>
      </c>
      <c r="CF381" s="2146">
        <v>0</v>
      </c>
      <c r="CG381" s="2146">
        <v>0</v>
      </c>
      <c r="CH381">
        <v>0</v>
      </c>
      <c r="CJ381" t="s">
        <v>5807</v>
      </c>
    </row>
    <row r="382" spans="1:88">
      <c r="A382" t="s">
        <v>1608</v>
      </c>
      <c r="B382" t="s">
        <v>1753</v>
      </c>
      <c r="C382" t="s">
        <v>116</v>
      </c>
      <c r="D382" t="s">
        <v>214</v>
      </c>
      <c r="E382" t="s">
        <v>215</v>
      </c>
      <c r="F382" t="s">
        <v>1671</v>
      </c>
      <c r="G382" t="s">
        <v>1754</v>
      </c>
      <c r="H382" t="s">
        <v>1755</v>
      </c>
      <c r="I382" t="s">
        <v>1756</v>
      </c>
      <c r="J382" t="s">
        <v>69</v>
      </c>
      <c r="N382" t="s">
        <v>182</v>
      </c>
      <c r="O382" t="s">
        <v>48</v>
      </c>
      <c r="P382" t="s">
        <v>603</v>
      </c>
      <c r="Q382" s="534">
        <v>1</v>
      </c>
      <c r="R382" t="s">
        <v>3263</v>
      </c>
      <c r="S382">
        <v>394.6</v>
      </c>
      <c r="T382">
        <v>368.1</v>
      </c>
      <c r="U382">
        <v>322.5</v>
      </c>
      <c r="V382">
        <v>290.5</v>
      </c>
      <c r="W382">
        <v>269.60000000000002</v>
      </c>
      <c r="X382">
        <v>260.60000000000002</v>
      </c>
      <c r="AH382">
        <v>0</v>
      </c>
      <c r="BP382" s="534" t="s">
        <v>3302</v>
      </c>
      <c r="BQ382" s="722">
        <v>468.53500000000003</v>
      </c>
      <c r="BR382" t="s">
        <v>46</v>
      </c>
      <c r="BS382" t="s">
        <v>52</v>
      </c>
      <c r="BT382">
        <v>0</v>
      </c>
      <c r="BU382" t="s">
        <v>52</v>
      </c>
      <c r="BV382">
        <v>0</v>
      </c>
      <c r="BW382">
        <v>346.7</v>
      </c>
      <c r="BX382" t="s">
        <v>50</v>
      </c>
      <c r="BY382">
        <v>0</v>
      </c>
      <c r="BZ382">
        <v>0</v>
      </c>
      <c r="CA382">
        <v>0</v>
      </c>
      <c r="CB382">
        <v>0</v>
      </c>
      <c r="CC382" s="2146">
        <v>231.7</v>
      </c>
      <c r="CD382" s="2146" t="s">
        <v>50</v>
      </c>
      <c r="CE382" s="2146">
        <v>0</v>
      </c>
      <c r="CF382" s="2146">
        <v>0</v>
      </c>
      <c r="CG382" s="2146">
        <v>0</v>
      </c>
      <c r="CH382">
        <v>0</v>
      </c>
      <c r="CJ382" t="s">
        <v>5808</v>
      </c>
    </row>
    <row r="383" spans="1:88">
      <c r="A383" t="s">
        <v>1608</v>
      </c>
      <c r="B383" t="s">
        <v>1757</v>
      </c>
      <c r="C383" t="s">
        <v>116</v>
      </c>
      <c r="D383" t="s">
        <v>214</v>
      </c>
      <c r="E383" t="s">
        <v>215</v>
      </c>
      <c r="F383" t="s">
        <v>1671</v>
      </c>
      <c r="G383" t="s">
        <v>1758</v>
      </c>
      <c r="H383" t="s">
        <v>1759</v>
      </c>
      <c r="I383" t="s">
        <v>1760</v>
      </c>
      <c r="J383" t="s">
        <v>5406</v>
      </c>
      <c r="K383" t="s">
        <v>45</v>
      </c>
      <c r="M383" t="s">
        <v>46</v>
      </c>
      <c r="N383" t="s">
        <v>249</v>
      </c>
      <c r="O383" t="s">
        <v>48</v>
      </c>
      <c r="P383" t="s">
        <v>935</v>
      </c>
      <c r="Q383" s="534">
        <v>0</v>
      </c>
      <c r="R383" t="s">
        <v>3263</v>
      </c>
      <c r="S383">
        <v>340</v>
      </c>
      <c r="T383">
        <v>340</v>
      </c>
      <c r="U383">
        <v>340</v>
      </c>
      <c r="V383">
        <v>340</v>
      </c>
      <c r="W383">
        <v>340</v>
      </c>
      <c r="X383">
        <v>340</v>
      </c>
      <c r="AB383" t="s">
        <v>50</v>
      </c>
      <c r="AE383" t="s">
        <v>50</v>
      </c>
      <c r="AH383">
        <v>0</v>
      </c>
      <c r="AI383" t="s">
        <v>50</v>
      </c>
      <c r="AJ383" t="s">
        <v>50</v>
      </c>
      <c r="AK383" t="s">
        <v>50</v>
      </c>
      <c r="AL383" t="s">
        <v>50</v>
      </c>
      <c r="AM383" t="s">
        <v>50</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51</v>
      </c>
      <c r="BP383" s="534">
        <v>467</v>
      </c>
      <c r="BQ383" s="725">
        <v>232</v>
      </c>
      <c r="BR383" t="s">
        <v>50</v>
      </c>
      <c r="BS383" t="s">
        <v>52</v>
      </c>
      <c r="BT383">
        <v>0</v>
      </c>
      <c r="BU383" t="s">
        <v>52</v>
      </c>
      <c r="BV383">
        <v>0</v>
      </c>
      <c r="BW383">
        <v>315</v>
      </c>
      <c r="BX383" t="s">
        <v>50</v>
      </c>
      <c r="BY383">
        <v>0</v>
      </c>
      <c r="BZ383">
        <v>0</v>
      </c>
      <c r="CA383">
        <v>0</v>
      </c>
      <c r="CB383">
        <v>0</v>
      </c>
      <c r="CC383" s="2146">
        <v>292</v>
      </c>
      <c r="CD383" s="2146" t="s">
        <v>50</v>
      </c>
      <c r="CE383" s="2146">
        <v>0</v>
      </c>
      <c r="CF383" s="2146">
        <v>0</v>
      </c>
      <c r="CG383" s="2146" t="s">
        <v>5379</v>
      </c>
      <c r="CH383">
        <v>0</v>
      </c>
      <c r="CJ383" t="s">
        <v>5809</v>
      </c>
    </row>
    <row r="384" spans="1:88">
      <c r="A384" t="s">
        <v>1608</v>
      </c>
      <c r="B384" t="s">
        <v>1761</v>
      </c>
      <c r="C384" t="s">
        <v>116</v>
      </c>
      <c r="D384" t="s">
        <v>214</v>
      </c>
      <c r="E384" t="s">
        <v>215</v>
      </c>
      <c r="F384" t="s">
        <v>1671</v>
      </c>
      <c r="G384" t="s">
        <v>1762</v>
      </c>
      <c r="H384" t="s">
        <v>1763</v>
      </c>
      <c r="I384" t="s">
        <v>1764</v>
      </c>
      <c r="J384" t="s">
        <v>5408</v>
      </c>
      <c r="K384" t="s">
        <v>45</v>
      </c>
      <c r="N384" t="s">
        <v>175</v>
      </c>
      <c r="O384" t="s">
        <v>76</v>
      </c>
      <c r="P384" t="s">
        <v>1765</v>
      </c>
      <c r="Q384" s="534">
        <v>2</v>
      </c>
      <c r="R384" t="s">
        <v>3264</v>
      </c>
      <c r="S384">
        <v>98.88</v>
      </c>
      <c r="T384">
        <v>100</v>
      </c>
      <c r="U384">
        <v>100</v>
      </c>
      <c r="V384">
        <v>100</v>
      </c>
      <c r="W384">
        <v>100</v>
      </c>
      <c r="X384">
        <v>100</v>
      </c>
      <c r="AE384" t="s">
        <v>50</v>
      </c>
      <c r="AH384">
        <v>0</v>
      </c>
      <c r="AI384" t="s">
        <v>50</v>
      </c>
      <c r="AJ384" t="s">
        <v>50</v>
      </c>
      <c r="AK384" t="s">
        <v>50</v>
      </c>
      <c r="AL384" t="s">
        <v>50</v>
      </c>
      <c r="AM384" t="s">
        <v>50</v>
      </c>
      <c r="AN384">
        <v>96.61</v>
      </c>
      <c r="AO384">
        <v>96.61</v>
      </c>
      <c r="AP384">
        <v>96.61</v>
      </c>
      <c r="AQ384">
        <v>96.61</v>
      </c>
      <c r="AR384">
        <v>96.61</v>
      </c>
      <c r="AS384">
        <v>98.88</v>
      </c>
      <c r="AT384">
        <v>98.88</v>
      </c>
      <c r="AU384">
        <v>98.88</v>
      </c>
      <c r="AV384">
        <v>98.88</v>
      </c>
      <c r="AW384">
        <v>98.88</v>
      </c>
      <c r="BH384">
        <v>3.8450000000000002</v>
      </c>
      <c r="BN384">
        <v>1</v>
      </c>
      <c r="BO384" t="s">
        <v>51</v>
      </c>
      <c r="BP384" s="534">
        <v>98.850574712643677</v>
      </c>
      <c r="BQ384" s="726">
        <v>99.132947976878611</v>
      </c>
      <c r="BR384" t="s">
        <v>46</v>
      </c>
      <c r="BS384" t="s">
        <v>52</v>
      </c>
      <c r="BT384">
        <v>0</v>
      </c>
      <c r="BU384" t="s">
        <v>5378</v>
      </c>
      <c r="BV384">
        <v>0</v>
      </c>
      <c r="BW384">
        <v>98.28</v>
      </c>
      <c r="BX384" t="s">
        <v>46</v>
      </c>
      <c r="BY384">
        <v>0</v>
      </c>
      <c r="BZ384">
        <v>0</v>
      </c>
      <c r="CA384" t="s">
        <v>5415</v>
      </c>
      <c r="CB384">
        <v>-2.3069999999999999</v>
      </c>
      <c r="CC384" s="2146">
        <v>99.43</v>
      </c>
      <c r="CD384" s="2146" t="s">
        <v>46</v>
      </c>
      <c r="CE384" s="2146">
        <v>0</v>
      </c>
      <c r="CF384" s="2146">
        <v>0</v>
      </c>
      <c r="CG384" s="2146" t="s">
        <v>13445</v>
      </c>
      <c r="CH384">
        <v>0</v>
      </c>
      <c r="CJ384" t="s">
        <v>5810</v>
      </c>
    </row>
    <row r="385" spans="1:88">
      <c r="A385" t="s">
        <v>1608</v>
      </c>
      <c r="B385" t="s">
        <v>1766</v>
      </c>
      <c r="C385" t="s">
        <v>116</v>
      </c>
      <c r="D385" t="s">
        <v>214</v>
      </c>
      <c r="E385" t="s">
        <v>215</v>
      </c>
      <c r="F385" t="s">
        <v>1671</v>
      </c>
      <c r="G385" t="s">
        <v>1767</v>
      </c>
      <c r="H385" t="s">
        <v>1768</v>
      </c>
      <c r="I385" t="s">
        <v>1769</v>
      </c>
      <c r="J385" t="s">
        <v>69</v>
      </c>
      <c r="N385" t="s">
        <v>1305</v>
      </c>
      <c r="O385" t="s">
        <v>48</v>
      </c>
      <c r="P385" t="s">
        <v>1770</v>
      </c>
      <c r="Q385" s="534">
        <v>0</v>
      </c>
      <c r="R385" t="s">
        <v>3264</v>
      </c>
      <c r="S385" t="s">
        <v>497</v>
      </c>
      <c r="X385">
        <v>13</v>
      </c>
      <c r="AH385">
        <v>0</v>
      </c>
      <c r="BP385" s="534" t="s">
        <v>3302</v>
      </c>
      <c r="BQ385" s="725">
        <v>0</v>
      </c>
      <c r="BR385" t="s">
        <v>52</v>
      </c>
      <c r="BS385" t="s">
        <v>52</v>
      </c>
      <c r="BT385">
        <v>0</v>
      </c>
      <c r="BU385" t="s">
        <v>52</v>
      </c>
      <c r="BV385">
        <v>0</v>
      </c>
      <c r="BW385">
        <v>0</v>
      </c>
      <c r="BX385" t="s">
        <v>2148</v>
      </c>
      <c r="BY385">
        <v>0</v>
      </c>
      <c r="BZ385">
        <v>0</v>
      </c>
      <c r="CA385">
        <v>0</v>
      </c>
      <c r="CB385">
        <v>0</v>
      </c>
      <c r="CC385" s="2146">
        <v>0</v>
      </c>
      <c r="CD385" s="2146" t="s">
        <v>2148</v>
      </c>
      <c r="CE385" s="2146">
        <v>0</v>
      </c>
      <c r="CF385" s="2146">
        <v>0</v>
      </c>
      <c r="CG385" s="2146">
        <v>0</v>
      </c>
      <c r="CH385">
        <v>0</v>
      </c>
      <c r="CJ385" t="s">
        <v>5811</v>
      </c>
    </row>
    <row r="386" spans="1:88">
      <c r="A386" t="s">
        <v>1608</v>
      </c>
      <c r="B386" t="s">
        <v>1771</v>
      </c>
      <c r="C386" t="s">
        <v>116</v>
      </c>
      <c r="D386" t="s">
        <v>214</v>
      </c>
      <c r="E386" t="s">
        <v>215</v>
      </c>
      <c r="F386" t="s">
        <v>1671</v>
      </c>
      <c r="G386" t="s">
        <v>1772</v>
      </c>
      <c r="H386" t="s">
        <v>1773</v>
      </c>
      <c r="I386" t="s">
        <v>1774</v>
      </c>
      <c r="J386" t="s">
        <v>69</v>
      </c>
      <c r="N386" t="s">
        <v>1195</v>
      </c>
      <c r="O386" t="s">
        <v>76</v>
      </c>
      <c r="P386" t="s">
        <v>1567</v>
      </c>
      <c r="Q386" s="534">
        <v>0</v>
      </c>
      <c r="R386" t="s">
        <v>3264</v>
      </c>
      <c r="S386">
        <v>100</v>
      </c>
      <c r="T386">
        <v>100</v>
      </c>
      <c r="U386">
        <v>100</v>
      </c>
      <c r="V386">
        <v>100</v>
      </c>
      <c r="W386">
        <v>100</v>
      </c>
      <c r="X386">
        <v>100</v>
      </c>
      <c r="AE386" t="s">
        <v>50</v>
      </c>
      <c r="AH386">
        <v>0</v>
      </c>
      <c r="BP386" s="534">
        <v>100</v>
      </c>
      <c r="BQ386" s="725">
        <v>100</v>
      </c>
      <c r="BR386" t="s">
        <v>50</v>
      </c>
      <c r="BS386" t="s">
        <v>52</v>
      </c>
      <c r="BT386">
        <v>0</v>
      </c>
      <c r="BU386" t="s">
        <v>52</v>
      </c>
      <c r="BV386">
        <v>0</v>
      </c>
      <c r="BW386">
        <v>100</v>
      </c>
      <c r="BX386" t="s">
        <v>50</v>
      </c>
      <c r="BY386">
        <v>0</v>
      </c>
      <c r="BZ386">
        <v>0</v>
      </c>
      <c r="CA386">
        <v>0</v>
      </c>
      <c r="CB386">
        <v>0</v>
      </c>
      <c r="CC386" s="2146">
        <v>100</v>
      </c>
      <c r="CD386" s="2146" t="s">
        <v>50</v>
      </c>
      <c r="CE386" s="2146">
        <v>0</v>
      </c>
      <c r="CF386" s="2146">
        <v>0</v>
      </c>
      <c r="CG386" s="2146">
        <v>0</v>
      </c>
      <c r="CH386">
        <v>0</v>
      </c>
      <c r="CJ386" t="s">
        <v>5812</v>
      </c>
    </row>
    <row r="387" spans="1:88">
      <c r="A387" t="s">
        <v>1608</v>
      </c>
      <c r="B387" t="s">
        <v>1775</v>
      </c>
      <c r="C387" t="s">
        <v>116</v>
      </c>
      <c r="D387" t="s">
        <v>214</v>
      </c>
      <c r="E387" t="s">
        <v>215</v>
      </c>
      <c r="F387" t="s">
        <v>1671</v>
      </c>
      <c r="G387" t="s">
        <v>1776</v>
      </c>
      <c r="H387" t="s">
        <v>1777</v>
      </c>
      <c r="I387" t="s">
        <v>1778</v>
      </c>
      <c r="J387" t="s">
        <v>69</v>
      </c>
      <c r="N387" t="s">
        <v>923</v>
      </c>
      <c r="O387" t="s">
        <v>48</v>
      </c>
      <c r="P387" t="s">
        <v>1687</v>
      </c>
      <c r="Q387" s="534">
        <v>0</v>
      </c>
      <c r="R387" t="s">
        <v>3264</v>
      </c>
      <c r="S387">
        <v>14000</v>
      </c>
      <c r="T387">
        <v>15000</v>
      </c>
      <c r="U387">
        <v>16000</v>
      </c>
      <c r="V387">
        <v>17000</v>
      </c>
      <c r="W387">
        <v>18000</v>
      </c>
      <c r="X387">
        <v>20000</v>
      </c>
      <c r="AH387">
        <v>0</v>
      </c>
      <c r="BP387" s="534" t="s">
        <v>3302</v>
      </c>
      <c r="BQ387" s="725">
        <v>17491</v>
      </c>
      <c r="BR387" t="s">
        <v>50</v>
      </c>
      <c r="BS387" t="s">
        <v>52</v>
      </c>
      <c r="BT387">
        <v>0</v>
      </c>
      <c r="BU387" t="s">
        <v>52</v>
      </c>
      <c r="BV387">
        <v>0</v>
      </c>
      <c r="BW387">
        <v>20898</v>
      </c>
      <c r="BX387" t="s">
        <v>50</v>
      </c>
      <c r="BY387">
        <v>0</v>
      </c>
      <c r="BZ387">
        <v>0</v>
      </c>
      <c r="CA387">
        <v>0</v>
      </c>
      <c r="CB387">
        <v>0</v>
      </c>
      <c r="CC387" s="2146">
        <v>21341</v>
      </c>
      <c r="CD387" s="2146" t="s">
        <v>50</v>
      </c>
      <c r="CE387" s="2146">
        <v>0</v>
      </c>
      <c r="CF387" s="2146">
        <v>0</v>
      </c>
      <c r="CG387" s="2146">
        <v>0</v>
      </c>
      <c r="CH387">
        <v>0</v>
      </c>
      <c r="CJ387" t="s">
        <v>5813</v>
      </c>
    </row>
    <row r="388" spans="1:88">
      <c r="A388" t="s">
        <v>1608</v>
      </c>
      <c r="B388" t="s">
        <v>1779</v>
      </c>
      <c r="C388" t="s">
        <v>116</v>
      </c>
      <c r="D388" t="s">
        <v>214</v>
      </c>
      <c r="E388" t="s">
        <v>215</v>
      </c>
      <c r="F388" t="s">
        <v>1671</v>
      </c>
      <c r="G388" t="s">
        <v>1780</v>
      </c>
      <c r="H388" t="s">
        <v>1781</v>
      </c>
      <c r="I388" t="s">
        <v>1782</v>
      </c>
      <c r="J388" t="s">
        <v>5406</v>
      </c>
      <c r="K388" t="s">
        <v>45</v>
      </c>
      <c r="M388" t="s">
        <v>46</v>
      </c>
      <c r="N388" t="s">
        <v>1153</v>
      </c>
      <c r="O388" t="s">
        <v>48</v>
      </c>
      <c r="P388" t="s">
        <v>1783</v>
      </c>
      <c r="Q388" s="534">
        <v>0</v>
      </c>
      <c r="R388" t="s">
        <v>3264</v>
      </c>
      <c r="S388">
        <v>14311</v>
      </c>
      <c r="T388">
        <v>0</v>
      </c>
      <c r="U388">
        <v>793</v>
      </c>
      <c r="V388">
        <v>1771</v>
      </c>
      <c r="W388">
        <v>6593</v>
      </c>
      <c r="X388">
        <v>6593</v>
      </c>
      <c r="AH388">
        <v>0</v>
      </c>
      <c r="AI388" t="s">
        <v>50</v>
      </c>
      <c r="AJ388" t="s">
        <v>50</v>
      </c>
      <c r="AK388" t="s">
        <v>50</v>
      </c>
      <c r="AL388" t="s">
        <v>50</v>
      </c>
      <c r="AM388" t="s">
        <v>50</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51</v>
      </c>
      <c r="BP388" s="534" t="s">
        <v>3302</v>
      </c>
      <c r="BQ388" s="725">
        <v>0</v>
      </c>
      <c r="BR388" t="s">
        <v>50</v>
      </c>
      <c r="BS388" t="s">
        <v>52</v>
      </c>
      <c r="BT388">
        <v>0</v>
      </c>
      <c r="BU388" t="s">
        <v>52</v>
      </c>
      <c r="BV388">
        <v>0</v>
      </c>
      <c r="BW388">
        <v>1305</v>
      </c>
      <c r="BX388" t="s">
        <v>50</v>
      </c>
      <c r="BY388">
        <v>0</v>
      </c>
      <c r="BZ388">
        <v>0</v>
      </c>
      <c r="CA388" t="s">
        <v>5425</v>
      </c>
      <c r="CB388">
        <v>0.11260000000000001</v>
      </c>
      <c r="CC388" s="2146">
        <v>1980</v>
      </c>
      <c r="CD388" s="2146" t="s">
        <v>50</v>
      </c>
      <c r="CE388" s="2146">
        <v>0</v>
      </c>
      <c r="CF388" s="2146">
        <v>0</v>
      </c>
      <c r="CG388" s="2146" t="s">
        <v>5425</v>
      </c>
      <c r="CH388">
        <v>4.5999999999999999E-2</v>
      </c>
      <c r="CJ388" t="s">
        <v>5814</v>
      </c>
    </row>
    <row r="389" spans="1:88">
      <c r="A389" t="s">
        <v>1608</v>
      </c>
      <c r="B389" t="s">
        <v>1784</v>
      </c>
      <c r="C389" t="s">
        <v>116</v>
      </c>
      <c r="D389" t="s">
        <v>214</v>
      </c>
      <c r="E389" t="s">
        <v>215</v>
      </c>
      <c r="F389" t="s">
        <v>1671</v>
      </c>
      <c r="G389" t="s">
        <v>1785</v>
      </c>
      <c r="H389" t="s">
        <v>1786</v>
      </c>
      <c r="I389" t="s">
        <v>1787</v>
      </c>
      <c r="J389" t="s">
        <v>5408</v>
      </c>
      <c r="K389" t="s">
        <v>322</v>
      </c>
      <c r="M389" t="s">
        <v>46</v>
      </c>
      <c r="N389" t="s">
        <v>175</v>
      </c>
      <c r="O389" t="s">
        <v>76</v>
      </c>
      <c r="P389" t="s">
        <v>1692</v>
      </c>
      <c r="Q389" s="534">
        <v>0</v>
      </c>
      <c r="R389" t="s">
        <v>3264</v>
      </c>
      <c r="S389" t="s">
        <v>497</v>
      </c>
      <c r="X389">
        <v>100</v>
      </c>
      <c r="AD389" t="s">
        <v>50</v>
      </c>
      <c r="AF389" t="s">
        <v>50</v>
      </c>
      <c r="AH389">
        <v>0</v>
      </c>
      <c r="AM389" t="s">
        <v>50</v>
      </c>
      <c r="AR389" t="s">
        <v>1788</v>
      </c>
      <c r="AW389">
        <v>100</v>
      </c>
      <c r="BH389">
        <v>0.40400000000000003</v>
      </c>
      <c r="BN389">
        <v>1</v>
      </c>
      <c r="BO389" t="s">
        <v>51</v>
      </c>
      <c r="BP389" s="534" t="s">
        <v>3302</v>
      </c>
      <c r="BQ389" s="725">
        <v>0</v>
      </c>
      <c r="BR389" t="s">
        <v>52</v>
      </c>
      <c r="BS389" t="s">
        <v>52</v>
      </c>
      <c r="BT389">
        <v>0</v>
      </c>
      <c r="BU389" t="s">
        <v>52</v>
      </c>
      <c r="BV389">
        <v>0</v>
      </c>
      <c r="BW389">
        <v>0</v>
      </c>
      <c r="BX389" t="s">
        <v>2148</v>
      </c>
      <c r="BY389">
        <v>0</v>
      </c>
      <c r="BZ389">
        <v>0</v>
      </c>
      <c r="CA389">
        <v>0</v>
      </c>
      <c r="CB389">
        <v>0</v>
      </c>
      <c r="CC389" s="2146" t="s">
        <v>3302</v>
      </c>
      <c r="CD389" s="2146" t="s">
        <v>2148</v>
      </c>
      <c r="CE389" s="2146">
        <v>0</v>
      </c>
      <c r="CF389" s="2146">
        <v>0</v>
      </c>
      <c r="CG389" s="2146">
        <v>0</v>
      </c>
      <c r="CH389">
        <v>0</v>
      </c>
      <c r="CJ389" t="s">
        <v>5815</v>
      </c>
    </row>
    <row r="390" spans="1:88">
      <c r="A390" t="s">
        <v>1608</v>
      </c>
      <c r="B390" t="s">
        <v>1789</v>
      </c>
      <c r="C390" t="s">
        <v>116</v>
      </c>
      <c r="D390" t="s">
        <v>214</v>
      </c>
      <c r="E390" t="s">
        <v>215</v>
      </c>
      <c r="F390" t="s">
        <v>1671</v>
      </c>
      <c r="G390" t="s">
        <v>1790</v>
      </c>
      <c r="H390" t="s">
        <v>1791</v>
      </c>
      <c r="I390" t="s">
        <v>1792</v>
      </c>
      <c r="J390" t="s">
        <v>5406</v>
      </c>
      <c r="K390" t="s">
        <v>322</v>
      </c>
      <c r="M390" t="s">
        <v>46</v>
      </c>
      <c r="N390" t="s">
        <v>175</v>
      </c>
      <c r="O390" t="s">
        <v>48</v>
      </c>
      <c r="P390" t="s">
        <v>1793</v>
      </c>
      <c r="Q390" s="534">
        <v>1</v>
      </c>
      <c r="R390" t="s">
        <v>3264</v>
      </c>
      <c r="S390" t="s">
        <v>497</v>
      </c>
      <c r="X390">
        <v>151.80000000000001</v>
      </c>
      <c r="AD390" t="s">
        <v>50</v>
      </c>
      <c r="AF390" t="s">
        <v>50</v>
      </c>
      <c r="AH390">
        <v>0</v>
      </c>
      <c r="AM390" t="s">
        <v>50</v>
      </c>
      <c r="AR390">
        <v>0</v>
      </c>
      <c r="AW390">
        <v>151.80000000000001</v>
      </c>
      <c r="BB390">
        <v>151.80000000000001</v>
      </c>
      <c r="BG390">
        <v>199</v>
      </c>
      <c r="BH390" t="s">
        <v>1058</v>
      </c>
      <c r="BL390" t="s">
        <v>1058</v>
      </c>
      <c r="BN390">
        <v>1</v>
      </c>
      <c r="BO390" t="s">
        <v>51</v>
      </c>
      <c r="BP390" s="534" t="s">
        <v>3302</v>
      </c>
      <c r="BQ390" s="722">
        <v>0</v>
      </c>
      <c r="BR390" t="s">
        <v>52</v>
      </c>
      <c r="BS390" t="s">
        <v>52</v>
      </c>
      <c r="BT390">
        <v>0</v>
      </c>
      <c r="BU390" t="s">
        <v>52</v>
      </c>
      <c r="BV390">
        <v>0</v>
      </c>
      <c r="BW390">
        <v>0</v>
      </c>
      <c r="BX390" t="s">
        <v>2148</v>
      </c>
      <c r="BY390">
        <v>0</v>
      </c>
      <c r="BZ390">
        <v>0</v>
      </c>
      <c r="CA390">
        <v>0</v>
      </c>
      <c r="CB390">
        <v>0</v>
      </c>
      <c r="CC390" s="2146">
        <v>0</v>
      </c>
      <c r="CD390" s="2146" t="s">
        <v>2148</v>
      </c>
      <c r="CE390" s="2146">
        <v>0</v>
      </c>
      <c r="CF390" s="2146">
        <v>0</v>
      </c>
      <c r="CG390" s="2146">
        <v>0</v>
      </c>
      <c r="CH390">
        <v>0</v>
      </c>
      <c r="CJ390" t="s">
        <v>5816</v>
      </c>
    </row>
    <row r="391" spans="1:88">
      <c r="A391" t="s">
        <v>1608</v>
      </c>
      <c r="B391" t="s">
        <v>1794</v>
      </c>
      <c r="C391" t="s">
        <v>116</v>
      </c>
      <c r="D391" t="s">
        <v>214</v>
      </c>
      <c r="E391" t="s">
        <v>215</v>
      </c>
      <c r="F391" t="s">
        <v>1694</v>
      </c>
      <c r="G391" t="s">
        <v>1795</v>
      </c>
      <c r="H391" t="s">
        <v>1796</v>
      </c>
      <c r="I391" t="s">
        <v>1797</v>
      </c>
      <c r="J391" t="s">
        <v>69</v>
      </c>
      <c r="N391" t="s">
        <v>182</v>
      </c>
      <c r="O391" t="s">
        <v>48</v>
      </c>
      <c r="P391" t="s">
        <v>1698</v>
      </c>
      <c r="Q391" s="534">
        <v>0</v>
      </c>
      <c r="R391" t="s">
        <v>3263</v>
      </c>
      <c r="S391">
        <v>457</v>
      </c>
      <c r="T391">
        <v>428</v>
      </c>
      <c r="U391">
        <v>392</v>
      </c>
      <c r="V391">
        <v>329</v>
      </c>
      <c r="W391">
        <v>303</v>
      </c>
      <c r="X391">
        <v>295</v>
      </c>
      <c r="AH391">
        <v>0</v>
      </c>
      <c r="BP391" s="534" t="s">
        <v>3302</v>
      </c>
      <c r="BQ391" s="725">
        <v>532.63699999999994</v>
      </c>
      <c r="BR391" t="s">
        <v>46</v>
      </c>
      <c r="BS391" t="s">
        <v>52</v>
      </c>
      <c r="BT391">
        <v>0</v>
      </c>
      <c r="BU391" t="s">
        <v>52</v>
      </c>
      <c r="BV391">
        <v>0</v>
      </c>
      <c r="BW391">
        <v>476.5</v>
      </c>
      <c r="BX391" t="s">
        <v>46</v>
      </c>
      <c r="BY391">
        <v>0</v>
      </c>
      <c r="BZ391">
        <v>0</v>
      </c>
      <c r="CA391">
        <v>0</v>
      </c>
      <c r="CB391">
        <v>0</v>
      </c>
      <c r="CC391" s="2146">
        <v>431</v>
      </c>
      <c r="CD391" s="2146" t="s">
        <v>46</v>
      </c>
      <c r="CE391" s="2146">
        <v>0</v>
      </c>
      <c r="CF391" s="2146">
        <v>0</v>
      </c>
      <c r="CG391" s="2146">
        <v>0</v>
      </c>
      <c r="CH391">
        <v>0</v>
      </c>
      <c r="CJ391" t="s">
        <v>5817</v>
      </c>
    </row>
    <row r="392" spans="1:88">
      <c r="A392" t="s">
        <v>1608</v>
      </c>
      <c r="B392" t="s">
        <v>1798</v>
      </c>
      <c r="C392" t="s">
        <v>116</v>
      </c>
      <c r="D392" t="s">
        <v>1799</v>
      </c>
      <c r="E392" t="s">
        <v>1800</v>
      </c>
      <c r="F392" t="s">
        <v>3260</v>
      </c>
      <c r="G392" t="s">
        <v>1801</v>
      </c>
      <c r="H392" t="s">
        <v>1802</v>
      </c>
      <c r="I392" t="s">
        <v>1803</v>
      </c>
      <c r="J392" t="s">
        <v>69</v>
      </c>
      <c r="N392" t="s">
        <v>175</v>
      </c>
      <c r="O392" t="s">
        <v>281</v>
      </c>
      <c r="P392" t="s">
        <v>1804</v>
      </c>
      <c r="Q392" s="534" t="s">
        <v>51</v>
      </c>
      <c r="T392" t="s">
        <v>1805</v>
      </c>
      <c r="AD392" t="s">
        <v>50</v>
      </c>
      <c r="AF392" t="s">
        <v>50</v>
      </c>
      <c r="AH392">
        <v>0</v>
      </c>
      <c r="BP392" s="534" t="s">
        <v>3302</v>
      </c>
      <c r="BQ392" s="724" t="s">
        <v>442</v>
      </c>
      <c r="BR392" t="s">
        <v>50</v>
      </c>
      <c r="BS392" t="s">
        <v>52</v>
      </c>
      <c r="BT392">
        <v>0</v>
      </c>
      <c r="BU392" t="s">
        <v>52</v>
      </c>
      <c r="BV392">
        <v>0</v>
      </c>
      <c r="BW392" t="s">
        <v>5818</v>
      </c>
      <c r="BX392" t="s">
        <v>2148</v>
      </c>
      <c r="BY392">
        <v>0</v>
      </c>
      <c r="BZ392">
        <v>0</v>
      </c>
      <c r="CA392">
        <v>0</v>
      </c>
      <c r="CB392">
        <v>0</v>
      </c>
      <c r="CC392" s="2146" t="s">
        <v>13452</v>
      </c>
      <c r="CD392" s="2146" t="s">
        <v>50</v>
      </c>
      <c r="CE392" s="2146">
        <v>0</v>
      </c>
      <c r="CF392" s="2146">
        <v>0</v>
      </c>
      <c r="CG392" s="2146">
        <v>0</v>
      </c>
      <c r="CH392">
        <v>0</v>
      </c>
      <c r="CJ392" t="s">
        <v>5819</v>
      </c>
    </row>
    <row r="393" spans="1:88">
      <c r="A393" t="s">
        <v>1608</v>
      </c>
      <c r="B393" t="s">
        <v>1806</v>
      </c>
      <c r="C393" t="s">
        <v>116</v>
      </c>
      <c r="D393" t="s">
        <v>1799</v>
      </c>
      <c r="E393" t="s">
        <v>1800</v>
      </c>
      <c r="F393" t="s">
        <v>3260</v>
      </c>
      <c r="G393" t="s">
        <v>1807</v>
      </c>
      <c r="H393" t="s">
        <v>1808</v>
      </c>
      <c r="I393" t="s">
        <v>1809</v>
      </c>
      <c r="J393" t="s">
        <v>69</v>
      </c>
      <c r="N393" t="s">
        <v>175</v>
      </c>
      <c r="O393" t="s">
        <v>281</v>
      </c>
      <c r="P393" t="s">
        <v>1810</v>
      </c>
      <c r="Q393" s="534" t="s">
        <v>51</v>
      </c>
      <c r="T393" t="s">
        <v>1811</v>
      </c>
      <c r="U393" t="s">
        <v>1811</v>
      </c>
      <c r="V393" t="s">
        <v>1811</v>
      </c>
      <c r="W393" t="s">
        <v>1811</v>
      </c>
      <c r="X393" t="s">
        <v>1811</v>
      </c>
      <c r="AD393" t="s">
        <v>50</v>
      </c>
      <c r="AF393" t="s">
        <v>50</v>
      </c>
      <c r="AH393">
        <v>0</v>
      </c>
      <c r="BP393" s="534" t="s">
        <v>3302</v>
      </c>
      <c r="BQ393" s="724">
        <v>13</v>
      </c>
      <c r="BR393" t="s">
        <v>50</v>
      </c>
      <c r="BS393" t="s">
        <v>52</v>
      </c>
      <c r="BT393">
        <v>0</v>
      </c>
      <c r="BU393" t="s">
        <v>52</v>
      </c>
      <c r="BV393">
        <v>0</v>
      </c>
      <c r="BW393" t="s">
        <v>5820</v>
      </c>
      <c r="BX393" t="s">
        <v>50</v>
      </c>
      <c r="BY393">
        <v>0</v>
      </c>
      <c r="BZ393">
        <v>0</v>
      </c>
      <c r="CA393">
        <v>0</v>
      </c>
      <c r="CB393">
        <v>0</v>
      </c>
      <c r="CC393" s="2146">
        <v>13</v>
      </c>
      <c r="CD393" s="2146" t="s">
        <v>50</v>
      </c>
      <c r="CE393" s="2146">
        <v>0</v>
      </c>
      <c r="CF393" s="2146">
        <v>0</v>
      </c>
      <c r="CG393" s="2146">
        <v>0</v>
      </c>
      <c r="CH393">
        <v>0</v>
      </c>
      <c r="CJ393" t="s">
        <v>5821</v>
      </c>
    </row>
    <row r="394" spans="1:88">
      <c r="A394" t="s">
        <v>1608</v>
      </c>
      <c r="B394" t="s">
        <v>1812</v>
      </c>
      <c r="C394" t="s">
        <v>116</v>
      </c>
      <c r="D394" t="s">
        <v>1799</v>
      </c>
      <c r="E394" t="s">
        <v>1800</v>
      </c>
      <c r="F394" t="s">
        <v>3260</v>
      </c>
      <c r="G394" t="s">
        <v>1813</v>
      </c>
      <c r="H394" t="s">
        <v>1814</v>
      </c>
      <c r="I394" t="s">
        <v>1815</v>
      </c>
      <c r="J394" t="s">
        <v>5408</v>
      </c>
      <c r="K394" t="s">
        <v>322</v>
      </c>
      <c r="M394" t="s">
        <v>46</v>
      </c>
      <c r="N394" t="s">
        <v>175</v>
      </c>
      <c r="O394" t="s">
        <v>48</v>
      </c>
      <c r="P394" t="s">
        <v>1816</v>
      </c>
      <c r="Q394" s="534">
        <v>0</v>
      </c>
      <c r="R394" t="s">
        <v>3264</v>
      </c>
      <c r="S394">
        <v>0</v>
      </c>
      <c r="T394">
        <v>8</v>
      </c>
      <c r="U394">
        <v>10</v>
      </c>
      <c r="V394">
        <v>20</v>
      </c>
      <c r="W394">
        <v>21</v>
      </c>
      <c r="X394">
        <v>23</v>
      </c>
      <c r="AD394" t="s">
        <v>50</v>
      </c>
      <c r="AF394" t="s">
        <v>50</v>
      </c>
      <c r="AH394">
        <v>0</v>
      </c>
      <c r="AI394" t="s">
        <v>50</v>
      </c>
      <c r="AJ394" t="s">
        <v>50</v>
      </c>
      <c r="AK394" t="s">
        <v>50</v>
      </c>
      <c r="AL394" t="s">
        <v>50</v>
      </c>
      <c r="AM394" t="s">
        <v>50</v>
      </c>
      <c r="AN394">
        <v>0</v>
      </c>
      <c r="AO394">
        <v>0</v>
      </c>
      <c r="AP394">
        <v>0</v>
      </c>
      <c r="AQ394">
        <v>0</v>
      </c>
      <c r="AR394">
        <v>0</v>
      </c>
      <c r="AS394">
        <v>8</v>
      </c>
      <c r="AT394">
        <v>10</v>
      </c>
      <c r="AU394">
        <v>20</v>
      </c>
      <c r="AV394">
        <v>21</v>
      </c>
      <c r="AW394">
        <v>23</v>
      </c>
      <c r="BH394">
        <v>3.4</v>
      </c>
      <c r="BN394">
        <v>1</v>
      </c>
      <c r="BO394" t="s">
        <v>51</v>
      </c>
      <c r="BP394" s="534">
        <v>0</v>
      </c>
      <c r="BQ394" s="725">
        <v>9</v>
      </c>
      <c r="BR394" t="s">
        <v>50</v>
      </c>
      <c r="BS394" t="s">
        <v>52</v>
      </c>
      <c r="BT394">
        <v>0</v>
      </c>
      <c r="BU394" t="s">
        <v>52</v>
      </c>
      <c r="BV394">
        <v>0</v>
      </c>
      <c r="BW394">
        <v>19</v>
      </c>
      <c r="BX394" t="s">
        <v>50</v>
      </c>
      <c r="BY394">
        <v>0</v>
      </c>
      <c r="BZ394">
        <v>0</v>
      </c>
      <c r="CA394">
        <v>0</v>
      </c>
      <c r="CB394">
        <v>0</v>
      </c>
      <c r="CC394" s="2146">
        <v>21</v>
      </c>
      <c r="CD394" s="2146" t="s">
        <v>50</v>
      </c>
      <c r="CE394" s="2146">
        <v>0</v>
      </c>
      <c r="CF394" s="2146">
        <v>0</v>
      </c>
      <c r="CG394" s="2146">
        <v>0</v>
      </c>
      <c r="CH394">
        <v>0</v>
      </c>
      <c r="CJ394" t="s">
        <v>5822</v>
      </c>
    </row>
    <row r="395" spans="1:88" ht="15" customHeight="1">
      <c r="A395" t="s">
        <v>1608</v>
      </c>
      <c r="B395" t="s">
        <v>1817</v>
      </c>
      <c r="C395" t="s">
        <v>116</v>
      </c>
      <c r="D395" t="s">
        <v>1799</v>
      </c>
      <c r="E395" t="s">
        <v>1800</v>
      </c>
      <c r="F395" t="s">
        <v>3260</v>
      </c>
      <c r="G395" t="s">
        <v>1818</v>
      </c>
      <c r="H395" t="s">
        <v>1819</v>
      </c>
      <c r="I395" t="s">
        <v>1820</v>
      </c>
      <c r="J395" t="s">
        <v>69</v>
      </c>
      <c r="N395" t="s">
        <v>175</v>
      </c>
      <c r="O395" t="s">
        <v>281</v>
      </c>
      <c r="P395" t="s">
        <v>1821</v>
      </c>
      <c r="Q395" s="534" t="s">
        <v>51</v>
      </c>
      <c r="S395" t="s">
        <v>497</v>
      </c>
      <c r="T395" t="s">
        <v>1822</v>
      </c>
      <c r="U395" t="s">
        <v>1822</v>
      </c>
      <c r="V395" t="s">
        <v>1822</v>
      </c>
      <c r="W395" t="s">
        <v>1822</v>
      </c>
      <c r="X395" t="s">
        <v>1822</v>
      </c>
      <c r="AD395" t="s">
        <v>50</v>
      </c>
      <c r="AF395" t="s">
        <v>50</v>
      </c>
      <c r="AH395">
        <v>0</v>
      </c>
      <c r="BP395" s="534" t="s">
        <v>3302</v>
      </c>
      <c r="BQ395" s="724" t="s">
        <v>3302</v>
      </c>
      <c r="BR395" t="s">
        <v>52</v>
      </c>
      <c r="BS395" t="s">
        <v>52</v>
      </c>
      <c r="BT395">
        <v>0</v>
      </c>
      <c r="BU395" t="s">
        <v>52</v>
      </c>
      <c r="BV395">
        <v>0</v>
      </c>
      <c r="BW395" t="s">
        <v>5823</v>
      </c>
      <c r="BX395" t="s">
        <v>50</v>
      </c>
      <c r="BY395">
        <v>0</v>
      </c>
      <c r="BZ395">
        <v>0</v>
      </c>
      <c r="CA395">
        <v>0</v>
      </c>
      <c r="CB395">
        <v>0</v>
      </c>
      <c r="CC395" s="2146" t="s">
        <v>50</v>
      </c>
      <c r="CD395" s="2146" t="s">
        <v>50</v>
      </c>
      <c r="CE395" s="2146">
        <v>0</v>
      </c>
      <c r="CF395" s="2146">
        <v>0</v>
      </c>
      <c r="CG395" s="2146">
        <v>0</v>
      </c>
      <c r="CH395">
        <v>0</v>
      </c>
      <c r="CJ395" t="s">
        <v>5824</v>
      </c>
    </row>
    <row r="396" spans="1:88" ht="18.75" customHeight="1">
      <c r="A396" t="s">
        <v>1608</v>
      </c>
      <c r="B396" t="s">
        <v>1823</v>
      </c>
      <c r="C396" t="s">
        <v>116</v>
      </c>
      <c r="D396" t="s">
        <v>1799</v>
      </c>
      <c r="E396" t="s">
        <v>1800</v>
      </c>
      <c r="F396" t="s">
        <v>3260</v>
      </c>
      <c r="G396" t="s">
        <v>1824</v>
      </c>
      <c r="H396" t="s">
        <v>1825</v>
      </c>
      <c r="I396" t="s">
        <v>1826</v>
      </c>
      <c r="J396" t="s">
        <v>69</v>
      </c>
      <c r="N396" t="s">
        <v>175</v>
      </c>
      <c r="O396" t="s">
        <v>281</v>
      </c>
      <c r="P396" t="s">
        <v>1827</v>
      </c>
      <c r="Q396" s="534" t="s">
        <v>51</v>
      </c>
      <c r="T396" t="s">
        <v>1828</v>
      </c>
      <c r="U396" t="s">
        <v>1828</v>
      </c>
      <c r="V396" t="s">
        <v>1828</v>
      </c>
      <c r="W396" t="s">
        <v>1828</v>
      </c>
      <c r="X396" t="s">
        <v>1828</v>
      </c>
      <c r="AD396" t="s">
        <v>50</v>
      </c>
      <c r="AF396" t="s">
        <v>50</v>
      </c>
      <c r="AH396">
        <v>0</v>
      </c>
      <c r="BP396" s="534" t="s">
        <v>3308</v>
      </c>
      <c r="BQ396" s="724" t="s">
        <v>3309</v>
      </c>
      <c r="BR396" t="s">
        <v>52</v>
      </c>
      <c r="BS396" t="s">
        <v>52</v>
      </c>
      <c r="BT396">
        <v>0</v>
      </c>
      <c r="BU396" t="s">
        <v>52</v>
      </c>
      <c r="BV396">
        <v>0</v>
      </c>
      <c r="BW396" t="s">
        <v>5825</v>
      </c>
      <c r="BX396" t="s">
        <v>46</v>
      </c>
      <c r="BY396">
        <v>0</v>
      </c>
      <c r="BZ396">
        <v>0</v>
      </c>
      <c r="CA396">
        <v>0</v>
      </c>
      <c r="CB396">
        <v>0</v>
      </c>
      <c r="CC396" s="2146" t="s">
        <v>13454</v>
      </c>
      <c r="CD396" s="2146" t="s">
        <v>46</v>
      </c>
      <c r="CE396" s="2146">
        <v>0</v>
      </c>
      <c r="CF396" s="2146">
        <v>0</v>
      </c>
      <c r="CG396" s="2146">
        <v>0</v>
      </c>
      <c r="CH396">
        <v>0</v>
      </c>
      <c r="CJ396" t="s">
        <v>5826</v>
      </c>
    </row>
    <row r="397" spans="1:88">
      <c r="A397" t="s">
        <v>1608</v>
      </c>
      <c r="B397" t="s">
        <v>1829</v>
      </c>
      <c r="C397" t="s">
        <v>116</v>
      </c>
      <c r="D397" t="s">
        <v>101</v>
      </c>
      <c r="E397" t="s">
        <v>102</v>
      </c>
      <c r="F397" t="s">
        <v>1830</v>
      </c>
      <c r="G397" t="s">
        <v>1831</v>
      </c>
      <c r="H397" t="s">
        <v>1832</v>
      </c>
      <c r="I397" t="s">
        <v>1833</v>
      </c>
      <c r="J397" t="s">
        <v>69</v>
      </c>
      <c r="N397" t="s">
        <v>192</v>
      </c>
      <c r="O397" t="s">
        <v>48</v>
      </c>
      <c r="P397" t="s">
        <v>1619</v>
      </c>
      <c r="Q397" s="534">
        <v>0</v>
      </c>
      <c r="R397" t="s">
        <v>3263</v>
      </c>
      <c r="S397">
        <v>16</v>
      </c>
      <c r="T397">
        <v>16</v>
      </c>
      <c r="U397">
        <v>17</v>
      </c>
      <c r="V397">
        <v>18</v>
      </c>
      <c r="W397">
        <v>17</v>
      </c>
      <c r="X397">
        <v>15</v>
      </c>
      <c r="AH397">
        <v>0</v>
      </c>
      <c r="BP397" s="534">
        <v>15.95</v>
      </c>
      <c r="BQ397" s="725">
        <v>13.79</v>
      </c>
      <c r="BR397" t="s">
        <v>50</v>
      </c>
      <c r="BS397" t="s">
        <v>52</v>
      </c>
      <c r="BT397">
        <v>0</v>
      </c>
      <c r="BU397" t="s">
        <v>52</v>
      </c>
      <c r="BV397">
        <v>0</v>
      </c>
      <c r="BW397">
        <v>18.677578018266502</v>
      </c>
      <c r="BX397" t="s">
        <v>46</v>
      </c>
      <c r="BY397">
        <v>0</v>
      </c>
      <c r="BZ397">
        <v>0</v>
      </c>
      <c r="CA397">
        <v>0</v>
      </c>
      <c r="CB397">
        <v>0</v>
      </c>
      <c r="CC397" s="2146">
        <v>16.887708842084599</v>
      </c>
      <c r="CD397" s="2146" t="s">
        <v>50</v>
      </c>
      <c r="CE397" s="2146">
        <v>0</v>
      </c>
      <c r="CF397" s="2146">
        <v>0</v>
      </c>
      <c r="CG397" s="2146">
        <v>0</v>
      </c>
      <c r="CH397">
        <v>0</v>
      </c>
      <c r="CJ397" t="s">
        <v>5827</v>
      </c>
    </row>
    <row r="398" spans="1:88">
      <c r="A398" t="s">
        <v>1608</v>
      </c>
      <c r="B398" t="s">
        <v>1834</v>
      </c>
      <c r="C398" t="s">
        <v>116</v>
      </c>
      <c r="D398" t="s">
        <v>101</v>
      </c>
      <c r="E398" t="s">
        <v>102</v>
      </c>
      <c r="F398" t="s">
        <v>1830</v>
      </c>
      <c r="G398" t="s">
        <v>1835</v>
      </c>
      <c r="H398" t="s">
        <v>1836</v>
      </c>
      <c r="I398" t="s">
        <v>1837</v>
      </c>
      <c r="J398" t="s">
        <v>69</v>
      </c>
      <c r="N398" t="s">
        <v>192</v>
      </c>
      <c r="O398" t="s">
        <v>76</v>
      </c>
      <c r="P398" t="s">
        <v>1614</v>
      </c>
      <c r="Q398" s="534">
        <v>0</v>
      </c>
      <c r="R398" t="s">
        <v>3264</v>
      </c>
      <c r="S398">
        <v>90</v>
      </c>
      <c r="T398">
        <v>95</v>
      </c>
      <c r="U398">
        <v>95</v>
      </c>
      <c r="V398">
        <v>95</v>
      </c>
      <c r="W398">
        <v>95</v>
      </c>
      <c r="X398">
        <v>95</v>
      </c>
      <c r="AH398">
        <v>0</v>
      </c>
      <c r="BP398" s="534">
        <v>91.82</v>
      </c>
      <c r="BQ398" s="725">
        <v>92.36</v>
      </c>
      <c r="BR398" t="s">
        <v>46</v>
      </c>
      <c r="BS398" t="s">
        <v>52</v>
      </c>
      <c r="BT398">
        <v>0</v>
      </c>
      <c r="BU398" t="s">
        <v>52</v>
      </c>
      <c r="BV398">
        <v>0</v>
      </c>
      <c r="BW398">
        <v>94.37</v>
      </c>
      <c r="BX398" t="s">
        <v>46</v>
      </c>
      <c r="BY398">
        <v>0</v>
      </c>
      <c r="BZ398">
        <v>0</v>
      </c>
      <c r="CA398">
        <v>0</v>
      </c>
      <c r="CB398">
        <v>0</v>
      </c>
      <c r="CC398" s="2414">
        <v>95.09</v>
      </c>
      <c r="CD398" s="2146" t="s">
        <v>50</v>
      </c>
      <c r="CE398" s="2146">
        <v>0</v>
      </c>
      <c r="CF398" s="2146">
        <v>0</v>
      </c>
      <c r="CG398" s="2146">
        <v>0</v>
      </c>
      <c r="CH398">
        <v>0</v>
      </c>
      <c r="CJ398" t="s">
        <v>5828</v>
      </c>
    </row>
    <row r="399" spans="1:88">
      <c r="A399" t="s">
        <v>1608</v>
      </c>
      <c r="B399" t="s">
        <v>1838</v>
      </c>
      <c r="C399" t="s">
        <v>116</v>
      </c>
      <c r="D399" t="s">
        <v>101</v>
      </c>
      <c r="E399" t="s">
        <v>102</v>
      </c>
      <c r="F399" t="s">
        <v>1830</v>
      </c>
      <c r="G399" t="s">
        <v>1839</v>
      </c>
      <c r="H399" t="s">
        <v>1840</v>
      </c>
      <c r="I399" t="s">
        <v>1841</v>
      </c>
      <c r="J399" t="s">
        <v>69</v>
      </c>
      <c r="N399" t="s">
        <v>192</v>
      </c>
      <c r="O399" t="s">
        <v>107</v>
      </c>
      <c r="P399" t="s">
        <v>1624</v>
      </c>
      <c r="Q399" s="534">
        <v>2</v>
      </c>
      <c r="R399" t="s">
        <v>3264</v>
      </c>
      <c r="S399">
        <v>4.4000000000000004</v>
      </c>
      <c r="T399">
        <v>4.45</v>
      </c>
      <c r="U399">
        <v>4.55</v>
      </c>
      <c r="V399">
        <v>4.45</v>
      </c>
      <c r="W399">
        <v>4.5999999999999996</v>
      </c>
      <c r="X399">
        <v>4.6500000000000004</v>
      </c>
      <c r="AH399">
        <v>0</v>
      </c>
      <c r="BP399" s="534">
        <v>4.4800000000000004</v>
      </c>
      <c r="BQ399" s="726">
        <v>4.6100000000000003</v>
      </c>
      <c r="BR399" t="s">
        <v>50</v>
      </c>
      <c r="BS399" t="s">
        <v>52</v>
      </c>
      <c r="BT399">
        <v>0</v>
      </c>
      <c r="BU399" t="s">
        <v>52</v>
      </c>
      <c r="BV399">
        <v>0</v>
      </c>
      <c r="BW399">
        <v>4.627722114500691</v>
      </c>
      <c r="BX399" t="s">
        <v>50</v>
      </c>
      <c r="BY399">
        <v>0</v>
      </c>
      <c r="BZ399">
        <v>0</v>
      </c>
      <c r="CA399">
        <v>0</v>
      </c>
      <c r="CB399">
        <v>0</v>
      </c>
      <c r="CC399" s="2146">
        <v>4.6550240445456801</v>
      </c>
      <c r="CD399" s="2146" t="s">
        <v>50</v>
      </c>
      <c r="CE399" s="2146">
        <v>0</v>
      </c>
      <c r="CF399" s="2146">
        <v>0</v>
      </c>
      <c r="CG399" s="2146">
        <v>0</v>
      </c>
      <c r="CH399">
        <v>0</v>
      </c>
      <c r="CJ399" t="s">
        <v>5829</v>
      </c>
    </row>
    <row r="400" spans="1:88">
      <c r="A400" t="s">
        <v>1608</v>
      </c>
      <c r="B400" t="s">
        <v>1842</v>
      </c>
      <c r="C400" t="s">
        <v>116</v>
      </c>
      <c r="D400" t="s">
        <v>101</v>
      </c>
      <c r="E400" t="s">
        <v>102</v>
      </c>
      <c r="F400" t="s">
        <v>1830</v>
      </c>
      <c r="G400" t="s">
        <v>1843</v>
      </c>
      <c r="H400" t="s">
        <v>1844</v>
      </c>
      <c r="I400" t="s">
        <v>1845</v>
      </c>
      <c r="J400" t="s">
        <v>69</v>
      </c>
      <c r="N400" t="s">
        <v>192</v>
      </c>
      <c r="O400" t="s">
        <v>107</v>
      </c>
      <c r="P400" t="s">
        <v>1624</v>
      </c>
      <c r="Q400" s="534">
        <v>2</v>
      </c>
      <c r="R400" t="s">
        <v>3264</v>
      </c>
      <c r="S400">
        <v>4.4000000000000004</v>
      </c>
      <c r="T400">
        <v>4.45</v>
      </c>
      <c r="U400">
        <v>4.5199999999999996</v>
      </c>
      <c r="V400">
        <v>4.57</v>
      </c>
      <c r="W400">
        <v>4.5999999999999996</v>
      </c>
      <c r="X400">
        <v>4.6500000000000004</v>
      </c>
      <c r="AH400">
        <v>0</v>
      </c>
      <c r="BP400" s="534" t="s">
        <v>3302</v>
      </c>
      <c r="BQ400" s="726">
        <v>4.2699999999999996</v>
      </c>
      <c r="BR400" t="s">
        <v>46</v>
      </c>
      <c r="BS400" t="s">
        <v>52</v>
      </c>
      <c r="BT400">
        <v>0</v>
      </c>
      <c r="BU400" t="s">
        <v>52</v>
      </c>
      <c r="BV400">
        <v>0</v>
      </c>
      <c r="BW400">
        <v>4.455274610082272</v>
      </c>
      <c r="BX400" t="s">
        <v>46</v>
      </c>
      <c r="BY400">
        <v>0</v>
      </c>
      <c r="BZ400">
        <v>0</v>
      </c>
      <c r="CA400">
        <v>0</v>
      </c>
      <c r="CB400">
        <v>0</v>
      </c>
      <c r="CC400" s="2146">
        <v>4.4321125537096497</v>
      </c>
      <c r="CD400" s="2146" t="s">
        <v>46</v>
      </c>
      <c r="CE400" s="2146">
        <v>0</v>
      </c>
      <c r="CF400" s="2146">
        <v>0</v>
      </c>
      <c r="CG400" s="2146">
        <v>0</v>
      </c>
      <c r="CH400">
        <v>0</v>
      </c>
      <c r="CJ400" t="s">
        <v>5830</v>
      </c>
    </row>
    <row r="401" spans="1:88">
      <c r="A401" t="s">
        <v>1608</v>
      </c>
      <c r="B401" t="s">
        <v>1846</v>
      </c>
      <c r="C401" t="s">
        <v>116</v>
      </c>
      <c r="D401" t="s">
        <v>101</v>
      </c>
      <c r="E401" t="s">
        <v>102</v>
      </c>
      <c r="F401" t="s">
        <v>1830</v>
      </c>
      <c r="G401" t="s">
        <v>1847</v>
      </c>
      <c r="H401" t="s">
        <v>1848</v>
      </c>
      <c r="I401" t="s">
        <v>1849</v>
      </c>
      <c r="J401" t="s">
        <v>69</v>
      </c>
      <c r="N401" t="s">
        <v>113</v>
      </c>
      <c r="O401" t="s">
        <v>76</v>
      </c>
      <c r="P401" t="s">
        <v>1850</v>
      </c>
      <c r="Q401" s="534">
        <v>0</v>
      </c>
      <c r="R401" t="s">
        <v>3264</v>
      </c>
      <c r="S401">
        <v>85</v>
      </c>
      <c r="T401">
        <v>96</v>
      </c>
      <c r="U401">
        <v>96</v>
      </c>
      <c r="V401">
        <v>96</v>
      </c>
      <c r="W401">
        <v>96</v>
      </c>
      <c r="X401">
        <v>96</v>
      </c>
      <c r="AH401">
        <v>0</v>
      </c>
      <c r="BP401" s="534" t="s">
        <v>3302</v>
      </c>
      <c r="BQ401" s="725">
        <v>90.5</v>
      </c>
      <c r="BR401" t="s">
        <v>46</v>
      </c>
      <c r="BS401" t="s">
        <v>52</v>
      </c>
      <c r="BT401">
        <v>0</v>
      </c>
      <c r="BU401" t="s">
        <v>52</v>
      </c>
      <c r="BV401">
        <v>0</v>
      </c>
      <c r="BW401">
        <v>96.8</v>
      </c>
      <c r="BX401" t="s">
        <v>50</v>
      </c>
      <c r="BY401">
        <v>0</v>
      </c>
      <c r="BZ401">
        <v>0</v>
      </c>
      <c r="CA401">
        <v>0</v>
      </c>
      <c r="CB401">
        <v>0</v>
      </c>
      <c r="CC401" s="2414">
        <v>96.64</v>
      </c>
      <c r="CD401" s="2146" t="s">
        <v>50</v>
      </c>
      <c r="CE401" s="2146">
        <v>0</v>
      </c>
      <c r="CF401" s="2146">
        <v>0</v>
      </c>
      <c r="CG401" s="2146">
        <v>0</v>
      </c>
      <c r="CH401">
        <v>0</v>
      </c>
      <c r="CJ401" t="s">
        <v>5831</v>
      </c>
    </row>
    <row r="402" spans="1:88">
      <c r="A402" t="s">
        <v>1608</v>
      </c>
      <c r="B402" t="s">
        <v>1851</v>
      </c>
      <c r="C402" t="s">
        <v>116</v>
      </c>
      <c r="D402" t="s">
        <v>101</v>
      </c>
      <c r="E402" t="s">
        <v>102</v>
      </c>
      <c r="F402" t="s">
        <v>1830</v>
      </c>
      <c r="G402" t="s">
        <v>1852</v>
      </c>
      <c r="H402" t="s">
        <v>1853</v>
      </c>
      <c r="I402" t="s">
        <v>1854</v>
      </c>
      <c r="J402" t="s">
        <v>5406</v>
      </c>
      <c r="K402" t="s">
        <v>45</v>
      </c>
      <c r="M402" t="s">
        <v>46</v>
      </c>
      <c r="N402" t="s">
        <v>106</v>
      </c>
      <c r="O402" t="s">
        <v>107</v>
      </c>
      <c r="P402" t="s">
        <v>108</v>
      </c>
      <c r="Q402" s="534">
        <v>1</v>
      </c>
      <c r="R402" t="s">
        <v>3264</v>
      </c>
      <c r="S402" t="s">
        <v>70</v>
      </c>
      <c r="T402" t="s">
        <v>70</v>
      </c>
      <c r="U402" t="s">
        <v>70</v>
      </c>
      <c r="V402" t="s">
        <v>70</v>
      </c>
      <c r="W402" t="s">
        <v>70</v>
      </c>
      <c r="X402" t="s">
        <v>70</v>
      </c>
      <c r="AH402">
        <v>0</v>
      </c>
      <c r="AI402" t="s">
        <v>50</v>
      </c>
      <c r="AJ402" t="s">
        <v>50</v>
      </c>
      <c r="AK402" t="s">
        <v>50</v>
      </c>
      <c r="AL402" t="s">
        <v>50</v>
      </c>
      <c r="AM402" t="s">
        <v>50</v>
      </c>
      <c r="AN402" t="s">
        <v>109</v>
      </c>
      <c r="AO402" t="s">
        <v>109</v>
      </c>
      <c r="AP402" t="s">
        <v>109</v>
      </c>
      <c r="AQ402" t="s">
        <v>109</v>
      </c>
      <c r="AR402" t="s">
        <v>109</v>
      </c>
      <c r="AS402" t="s">
        <v>109</v>
      </c>
      <c r="AT402" t="s">
        <v>109</v>
      </c>
      <c r="AU402" t="s">
        <v>109</v>
      </c>
      <c r="AV402" t="s">
        <v>109</v>
      </c>
      <c r="AW402" t="s">
        <v>109</v>
      </c>
      <c r="AX402" t="s">
        <v>109</v>
      </c>
      <c r="AY402" t="s">
        <v>109</v>
      </c>
      <c r="AZ402" t="s">
        <v>109</v>
      </c>
      <c r="BA402" t="s">
        <v>109</v>
      </c>
      <c r="BB402" t="s">
        <v>109</v>
      </c>
      <c r="BC402" t="s">
        <v>109</v>
      </c>
      <c r="BD402" t="s">
        <v>109</v>
      </c>
      <c r="BE402" t="s">
        <v>109</v>
      </c>
      <c r="BF402" t="s">
        <v>109</v>
      </c>
      <c r="BG402" t="s">
        <v>109</v>
      </c>
      <c r="BH402" t="s">
        <v>109</v>
      </c>
      <c r="BL402" t="s">
        <v>109</v>
      </c>
      <c r="BN402">
        <v>1</v>
      </c>
      <c r="BO402" t="s">
        <v>51</v>
      </c>
      <c r="BP402" s="534">
        <v>72.599999999999994</v>
      </c>
      <c r="BQ402" s="724">
        <v>76.739999999999995</v>
      </c>
      <c r="BR402" t="s">
        <v>52</v>
      </c>
      <c r="BS402" t="s">
        <v>52</v>
      </c>
      <c r="BT402">
        <v>0</v>
      </c>
      <c r="BU402" t="s">
        <v>52</v>
      </c>
      <c r="BV402">
        <v>0</v>
      </c>
      <c r="BW402">
        <v>77.264009835474994</v>
      </c>
      <c r="BX402" t="s">
        <v>2148</v>
      </c>
      <c r="BY402">
        <v>0</v>
      </c>
      <c r="BZ402">
        <v>0</v>
      </c>
      <c r="CA402">
        <v>0</v>
      </c>
      <c r="CB402">
        <v>0</v>
      </c>
      <c r="CC402" s="2146">
        <v>78.428740527351835</v>
      </c>
      <c r="CD402" s="2146" t="s">
        <v>2148</v>
      </c>
      <c r="CE402" s="2146">
        <v>0</v>
      </c>
      <c r="CF402" s="2146">
        <v>0</v>
      </c>
      <c r="CG402" s="2146">
        <v>0</v>
      </c>
      <c r="CH402">
        <v>0</v>
      </c>
      <c r="CJ402" t="s">
        <v>5832</v>
      </c>
    </row>
    <row r="403" spans="1:88">
      <c r="A403" t="s">
        <v>1608</v>
      </c>
      <c r="B403" t="s">
        <v>1855</v>
      </c>
      <c r="C403" t="s">
        <v>116</v>
      </c>
      <c r="D403" t="s">
        <v>101</v>
      </c>
      <c r="E403" t="s">
        <v>102</v>
      </c>
      <c r="F403" t="s">
        <v>1856</v>
      </c>
      <c r="G403" t="s">
        <v>1857</v>
      </c>
      <c r="H403" t="s">
        <v>1858</v>
      </c>
      <c r="I403" t="s">
        <v>1859</v>
      </c>
      <c r="J403" t="s">
        <v>5408</v>
      </c>
      <c r="K403" t="s">
        <v>45</v>
      </c>
      <c r="M403" t="s">
        <v>46</v>
      </c>
      <c r="N403" t="s">
        <v>113</v>
      </c>
      <c r="O403" t="s">
        <v>281</v>
      </c>
      <c r="P403" t="s">
        <v>1860</v>
      </c>
      <c r="Q403" s="534" t="s">
        <v>51</v>
      </c>
      <c r="S403" t="s">
        <v>1861</v>
      </c>
      <c r="T403" t="s">
        <v>1861</v>
      </c>
      <c r="U403" t="s">
        <v>1861</v>
      </c>
      <c r="V403" t="s">
        <v>788</v>
      </c>
      <c r="W403" t="s">
        <v>788</v>
      </c>
      <c r="X403" t="s">
        <v>788</v>
      </c>
      <c r="AD403" t="s">
        <v>50</v>
      </c>
      <c r="AH403">
        <v>0</v>
      </c>
      <c r="AL403" t="s">
        <v>50</v>
      </c>
      <c r="AM403" t="s">
        <v>50</v>
      </c>
      <c r="AR403" t="s">
        <v>1748</v>
      </c>
      <c r="AV403" t="s">
        <v>1862</v>
      </c>
      <c r="AW403" t="s">
        <v>1862</v>
      </c>
      <c r="BH403">
        <v>6.5</v>
      </c>
      <c r="BI403">
        <v>20.5</v>
      </c>
      <c r="BN403">
        <v>1</v>
      </c>
      <c r="BO403" t="s">
        <v>51</v>
      </c>
      <c r="BP403" s="534" t="s">
        <v>3302</v>
      </c>
      <c r="BQ403" s="739" t="s">
        <v>1861</v>
      </c>
      <c r="BR403" t="s">
        <v>50</v>
      </c>
      <c r="BS403" t="s">
        <v>52</v>
      </c>
      <c r="BT403">
        <v>0</v>
      </c>
      <c r="BU403" t="s">
        <v>52</v>
      </c>
      <c r="BV403">
        <v>0</v>
      </c>
      <c r="BW403" t="s">
        <v>5833</v>
      </c>
      <c r="BX403" t="s">
        <v>50</v>
      </c>
      <c r="BY403">
        <v>0</v>
      </c>
      <c r="BZ403">
        <v>0</v>
      </c>
      <c r="CA403">
        <v>0</v>
      </c>
      <c r="CB403">
        <v>0</v>
      </c>
      <c r="CC403" s="2146" t="s">
        <v>13455</v>
      </c>
      <c r="CD403" s="2146" t="s">
        <v>50</v>
      </c>
      <c r="CE403" s="2146">
        <v>0</v>
      </c>
      <c r="CF403" s="2146">
        <v>0</v>
      </c>
      <c r="CG403" s="2146">
        <v>0</v>
      </c>
      <c r="CH403">
        <v>0</v>
      </c>
      <c r="CJ403" t="s">
        <v>5834</v>
      </c>
    </row>
    <row r="404" spans="1:88">
      <c r="A404" t="s">
        <v>1608</v>
      </c>
      <c r="B404" t="s">
        <v>1863</v>
      </c>
      <c r="C404" t="s">
        <v>116</v>
      </c>
      <c r="D404" t="s">
        <v>101</v>
      </c>
      <c r="E404" t="s">
        <v>102</v>
      </c>
      <c r="F404" t="s">
        <v>1864</v>
      </c>
      <c r="G404" t="s">
        <v>1865</v>
      </c>
      <c r="H404" t="s">
        <v>1866</v>
      </c>
      <c r="I404" t="s">
        <v>1867</v>
      </c>
      <c r="J404" t="s">
        <v>69</v>
      </c>
      <c r="N404" t="s">
        <v>113</v>
      </c>
      <c r="O404" t="s">
        <v>76</v>
      </c>
      <c r="P404" t="s">
        <v>1868</v>
      </c>
      <c r="Q404" s="534">
        <v>0</v>
      </c>
      <c r="R404" t="s">
        <v>3264</v>
      </c>
      <c r="S404">
        <v>52</v>
      </c>
      <c r="T404">
        <v>53</v>
      </c>
      <c r="U404">
        <v>54</v>
      </c>
      <c r="V404">
        <v>54</v>
      </c>
      <c r="W404">
        <v>57</v>
      </c>
      <c r="X404">
        <v>60</v>
      </c>
      <c r="AH404">
        <v>0</v>
      </c>
      <c r="BP404" s="534" t="s">
        <v>3302</v>
      </c>
      <c r="BQ404" s="725">
        <v>54.19</v>
      </c>
      <c r="BR404" t="s">
        <v>50</v>
      </c>
      <c r="BS404" t="s">
        <v>52</v>
      </c>
      <c r="BT404">
        <v>0</v>
      </c>
      <c r="BU404" t="s">
        <v>52</v>
      </c>
      <c r="BV404">
        <v>0</v>
      </c>
      <c r="BW404">
        <v>54.66</v>
      </c>
      <c r="BX404" t="s">
        <v>50</v>
      </c>
      <c r="BY404">
        <v>0</v>
      </c>
      <c r="BZ404">
        <v>0</v>
      </c>
      <c r="CA404">
        <v>0</v>
      </c>
      <c r="CB404">
        <v>0</v>
      </c>
      <c r="CC404" s="2414">
        <v>58.08</v>
      </c>
      <c r="CD404" s="2146" t="s">
        <v>50</v>
      </c>
      <c r="CE404" s="2146">
        <v>0</v>
      </c>
      <c r="CF404" s="2146">
        <v>0</v>
      </c>
      <c r="CG404" s="2146">
        <v>0</v>
      </c>
      <c r="CH404">
        <v>0</v>
      </c>
      <c r="CJ404" t="s">
        <v>5835</v>
      </c>
    </row>
    <row r="405" spans="1:88">
      <c r="A405" t="s">
        <v>1608</v>
      </c>
      <c r="B405" t="s">
        <v>1869</v>
      </c>
      <c r="C405" t="s">
        <v>116</v>
      </c>
      <c r="D405" t="s">
        <v>101</v>
      </c>
      <c r="E405" t="s">
        <v>102</v>
      </c>
      <c r="F405" t="s">
        <v>1864</v>
      </c>
      <c r="G405" t="s">
        <v>1870</v>
      </c>
      <c r="H405" t="s">
        <v>1871</v>
      </c>
      <c r="I405" t="s">
        <v>1872</v>
      </c>
      <c r="J405" t="s">
        <v>69</v>
      </c>
      <c r="N405" t="s">
        <v>113</v>
      </c>
      <c r="O405" t="s">
        <v>76</v>
      </c>
      <c r="P405" t="s">
        <v>1873</v>
      </c>
      <c r="Q405" s="534">
        <v>1</v>
      </c>
      <c r="R405" t="s">
        <v>3264</v>
      </c>
      <c r="S405">
        <v>88.6</v>
      </c>
      <c r="T405">
        <v>89</v>
      </c>
      <c r="U405">
        <v>89.4</v>
      </c>
      <c r="V405">
        <v>89.7</v>
      </c>
      <c r="W405">
        <v>89.6</v>
      </c>
      <c r="X405">
        <v>90.4</v>
      </c>
      <c r="AH405">
        <v>0</v>
      </c>
      <c r="BP405" s="534">
        <v>87.9</v>
      </c>
      <c r="BQ405" s="722">
        <v>88.2</v>
      </c>
      <c r="BR405" t="s">
        <v>46</v>
      </c>
      <c r="BS405" t="s">
        <v>52</v>
      </c>
      <c r="BT405">
        <v>0</v>
      </c>
      <c r="BU405" t="s">
        <v>52</v>
      </c>
      <c r="BV405">
        <v>0</v>
      </c>
      <c r="BW405">
        <v>87.86</v>
      </c>
      <c r="BX405" t="s">
        <v>46</v>
      </c>
      <c r="BY405">
        <v>0</v>
      </c>
      <c r="BZ405">
        <v>0</v>
      </c>
      <c r="CA405">
        <v>0</v>
      </c>
      <c r="CB405">
        <v>0</v>
      </c>
      <c r="CC405" s="2414">
        <v>89.2</v>
      </c>
      <c r="CD405" s="2146" t="s">
        <v>46</v>
      </c>
      <c r="CE405" s="2146">
        <v>0</v>
      </c>
      <c r="CF405" s="2146">
        <v>0</v>
      </c>
      <c r="CG405" s="2146">
        <v>0</v>
      </c>
      <c r="CH405">
        <v>0</v>
      </c>
      <c r="CJ405" t="s">
        <v>5836</v>
      </c>
    </row>
    <row r="406" spans="1:88">
      <c r="A406" t="s">
        <v>1874</v>
      </c>
      <c r="B406" t="s">
        <v>1875</v>
      </c>
      <c r="C406" t="s">
        <v>116</v>
      </c>
      <c r="D406" t="s">
        <v>40</v>
      </c>
      <c r="E406" t="s">
        <v>41</v>
      </c>
      <c r="F406" t="s">
        <v>1876</v>
      </c>
      <c r="G406" t="s">
        <v>315</v>
      </c>
      <c r="H406" t="s">
        <v>1877</v>
      </c>
      <c r="I406" t="s">
        <v>1878</v>
      </c>
      <c r="J406" t="s">
        <v>69</v>
      </c>
      <c r="N406" t="s">
        <v>75</v>
      </c>
      <c r="O406" t="s">
        <v>107</v>
      </c>
      <c r="P406" t="s">
        <v>1879</v>
      </c>
      <c r="Q406" s="534">
        <v>1</v>
      </c>
      <c r="R406" t="s">
        <v>3263</v>
      </c>
      <c r="S406">
        <v>3.9</v>
      </c>
      <c r="T406">
        <v>3.9</v>
      </c>
      <c r="U406">
        <v>3.9</v>
      </c>
      <c r="V406">
        <v>3.9</v>
      </c>
      <c r="W406">
        <v>3.9</v>
      </c>
      <c r="X406">
        <v>3.9</v>
      </c>
      <c r="AE406" t="s">
        <v>50</v>
      </c>
      <c r="AH406">
        <v>0</v>
      </c>
      <c r="BP406" s="534">
        <v>4.3</v>
      </c>
      <c r="BQ406" s="722">
        <v>4.3</v>
      </c>
      <c r="BR406" t="s">
        <v>50</v>
      </c>
      <c r="BS406" t="s">
        <v>52</v>
      </c>
      <c r="BT406">
        <v>0</v>
      </c>
      <c r="BU406" t="s">
        <v>52</v>
      </c>
      <c r="BV406">
        <v>0</v>
      </c>
      <c r="BW406">
        <v>4.3</v>
      </c>
      <c r="BX406" t="s">
        <v>50</v>
      </c>
      <c r="BY406">
        <v>0</v>
      </c>
      <c r="BZ406">
        <v>0</v>
      </c>
      <c r="CA406">
        <v>0</v>
      </c>
      <c r="CB406">
        <v>0</v>
      </c>
      <c r="CC406" s="2146">
        <v>4.3</v>
      </c>
      <c r="CD406" s="2146" t="s">
        <v>50</v>
      </c>
      <c r="CE406" s="2146">
        <v>0</v>
      </c>
      <c r="CF406" s="2146">
        <v>0</v>
      </c>
      <c r="CG406" s="2146">
        <v>0</v>
      </c>
      <c r="CH406">
        <v>0</v>
      </c>
      <c r="CJ406" t="s">
        <v>5837</v>
      </c>
    </row>
    <row r="407" spans="1:88">
      <c r="A407" t="s">
        <v>1874</v>
      </c>
      <c r="B407" t="s">
        <v>1880</v>
      </c>
      <c r="C407" t="s">
        <v>116</v>
      </c>
      <c r="D407" t="s">
        <v>40</v>
      </c>
      <c r="E407" t="s">
        <v>41</v>
      </c>
      <c r="F407" t="s">
        <v>1876</v>
      </c>
      <c r="G407" t="s">
        <v>319</v>
      </c>
      <c r="H407" t="s">
        <v>1881</v>
      </c>
      <c r="I407" t="s">
        <v>1882</v>
      </c>
      <c r="J407" t="s">
        <v>5408</v>
      </c>
      <c r="K407" t="s">
        <v>1883</v>
      </c>
      <c r="N407" t="s">
        <v>75</v>
      </c>
      <c r="O407" t="s">
        <v>48</v>
      </c>
      <c r="P407" t="s">
        <v>1884</v>
      </c>
      <c r="Q407" s="534">
        <v>0</v>
      </c>
      <c r="R407" t="s">
        <v>3263</v>
      </c>
      <c r="S407">
        <v>13</v>
      </c>
      <c r="T407">
        <v>12</v>
      </c>
      <c r="U407">
        <v>11</v>
      </c>
      <c r="V407">
        <v>10</v>
      </c>
      <c r="W407">
        <v>9</v>
      </c>
      <c r="X407">
        <v>7</v>
      </c>
      <c r="AE407" t="s">
        <v>50</v>
      </c>
      <c r="AH407">
        <v>0</v>
      </c>
      <c r="AI407" t="s">
        <v>50</v>
      </c>
      <c r="AJ407" t="s">
        <v>50</v>
      </c>
      <c r="AK407" t="s">
        <v>50</v>
      </c>
      <c r="AL407" t="s">
        <v>50</v>
      </c>
      <c r="AM407" t="s">
        <v>50</v>
      </c>
      <c r="AN407">
        <v>15</v>
      </c>
      <c r="AO407">
        <v>15</v>
      </c>
      <c r="AP407">
        <v>15</v>
      </c>
      <c r="AQ407">
        <v>15</v>
      </c>
      <c r="AR407">
        <v>15</v>
      </c>
      <c r="AS407">
        <v>12</v>
      </c>
      <c r="AT407">
        <v>11</v>
      </c>
      <c r="AU407">
        <v>10</v>
      </c>
      <c r="AV407">
        <v>9</v>
      </c>
      <c r="AW407">
        <v>7</v>
      </c>
      <c r="BH407">
        <v>0.14899999999999999</v>
      </c>
      <c r="BN407">
        <v>1</v>
      </c>
      <c r="BO407" t="s">
        <v>51</v>
      </c>
      <c r="BP407" s="534">
        <v>27</v>
      </c>
      <c r="BQ407" s="725">
        <v>35</v>
      </c>
      <c r="BR407" t="s">
        <v>46</v>
      </c>
      <c r="BS407" t="s">
        <v>52</v>
      </c>
      <c r="BT407">
        <v>0</v>
      </c>
      <c r="BU407" t="s">
        <v>5415</v>
      </c>
      <c r="BV407">
        <v>-0.44700000000000001</v>
      </c>
      <c r="BW407">
        <v>22</v>
      </c>
      <c r="BX407" t="s">
        <v>46</v>
      </c>
      <c r="BY407">
        <v>0</v>
      </c>
      <c r="BZ407">
        <v>0</v>
      </c>
      <c r="CA407" t="s">
        <v>5415</v>
      </c>
      <c r="CB407">
        <v>-0.59599999999999997</v>
      </c>
      <c r="CC407" s="2146">
        <v>27</v>
      </c>
      <c r="CD407" s="2146" t="s">
        <v>46</v>
      </c>
      <c r="CE407" s="2146">
        <v>0</v>
      </c>
      <c r="CF407" s="2146">
        <v>0</v>
      </c>
      <c r="CG407" s="2146" t="s">
        <v>13444</v>
      </c>
      <c r="CH407">
        <v>-0.745</v>
      </c>
      <c r="CJ407" t="s">
        <v>5838</v>
      </c>
    </row>
    <row r="408" spans="1:88">
      <c r="A408" t="s">
        <v>1874</v>
      </c>
      <c r="B408" t="s">
        <v>1885</v>
      </c>
      <c r="C408" t="s">
        <v>116</v>
      </c>
      <c r="D408" t="s">
        <v>40</v>
      </c>
      <c r="E408" t="s">
        <v>41</v>
      </c>
      <c r="F408" t="s">
        <v>1876</v>
      </c>
      <c r="G408" t="s">
        <v>327</v>
      </c>
      <c r="H408" t="s">
        <v>1886</v>
      </c>
      <c r="I408" t="s">
        <v>1887</v>
      </c>
      <c r="J408" t="s">
        <v>5406</v>
      </c>
      <c r="K408" t="s">
        <v>1883</v>
      </c>
      <c r="M408" t="s">
        <v>46</v>
      </c>
      <c r="N408" t="s">
        <v>75</v>
      </c>
      <c r="O408" t="s">
        <v>107</v>
      </c>
      <c r="P408" t="s">
        <v>1888</v>
      </c>
      <c r="Q408" s="534">
        <v>3</v>
      </c>
      <c r="R408" t="s">
        <v>3264</v>
      </c>
      <c r="S408">
        <v>107.2</v>
      </c>
      <c r="T408">
        <v>119.3</v>
      </c>
      <c r="U408">
        <v>130.30000000000001</v>
      </c>
      <c r="V408">
        <v>145.9</v>
      </c>
      <c r="W408">
        <v>145.9</v>
      </c>
      <c r="X408">
        <v>145.9</v>
      </c>
      <c r="Y408" t="s">
        <v>50</v>
      </c>
      <c r="Z408" t="s">
        <v>50</v>
      </c>
      <c r="AE408" t="s">
        <v>50</v>
      </c>
      <c r="AH408">
        <v>6</v>
      </c>
      <c r="AI408" t="s">
        <v>50</v>
      </c>
      <c r="AJ408" t="s">
        <v>50</v>
      </c>
      <c r="AK408" t="s">
        <v>50</v>
      </c>
      <c r="AL408" t="s">
        <v>50</v>
      </c>
      <c r="AM408" t="s">
        <v>50</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51</v>
      </c>
      <c r="BP408" s="534">
        <v>108.36412797124429</v>
      </c>
      <c r="BQ408" s="736">
        <v>120.4653572103465</v>
      </c>
      <c r="BR408" t="s">
        <v>50</v>
      </c>
      <c r="BS408" t="s">
        <v>52</v>
      </c>
      <c r="BT408">
        <v>0</v>
      </c>
      <c r="BU408" t="s">
        <v>5425</v>
      </c>
      <c r="BV408">
        <v>0.22684099999999999</v>
      </c>
      <c r="BW408">
        <v>116.923</v>
      </c>
      <c r="BX408" t="s">
        <v>46</v>
      </c>
      <c r="BY408">
        <v>0</v>
      </c>
      <c r="BZ408">
        <v>0</v>
      </c>
      <c r="CA408" t="s">
        <v>5415</v>
      </c>
      <c r="CB408">
        <v>-3.6190000000000024</v>
      </c>
      <c r="CC408" s="2146">
        <v>98.645494378014845</v>
      </c>
      <c r="CD408" s="2146" t="s">
        <v>46</v>
      </c>
      <c r="CE408" s="2146">
        <v>0</v>
      </c>
      <c r="CF408" s="2146">
        <v>0</v>
      </c>
      <c r="CG408" s="2146" t="s">
        <v>13444</v>
      </c>
      <c r="CH408">
        <v>-3.6190000000000024</v>
      </c>
      <c r="CJ408" t="s">
        <v>5839</v>
      </c>
    </row>
    <row r="409" spans="1:88">
      <c r="A409" t="s">
        <v>1874</v>
      </c>
      <c r="B409" t="s">
        <v>1889</v>
      </c>
      <c r="C409" t="s">
        <v>116</v>
      </c>
      <c r="D409" t="s">
        <v>40</v>
      </c>
      <c r="E409" t="s">
        <v>41</v>
      </c>
      <c r="F409" t="s">
        <v>1890</v>
      </c>
      <c r="G409" t="s">
        <v>332</v>
      </c>
      <c r="H409" t="s">
        <v>1891</v>
      </c>
      <c r="I409" t="s">
        <v>1892</v>
      </c>
      <c r="J409" t="s">
        <v>5406</v>
      </c>
      <c r="K409" t="s">
        <v>1883</v>
      </c>
      <c r="M409" t="s">
        <v>46</v>
      </c>
      <c r="N409" t="s">
        <v>86</v>
      </c>
      <c r="O409" t="s">
        <v>119</v>
      </c>
      <c r="P409" t="s">
        <v>1893</v>
      </c>
      <c r="Q409" s="534" t="s">
        <v>540</v>
      </c>
      <c r="R409" t="s">
        <v>3263</v>
      </c>
      <c r="S409">
        <v>0.75</v>
      </c>
      <c r="T409">
        <v>0.66666666666666663</v>
      </c>
      <c r="U409">
        <v>0.58333333333333337</v>
      </c>
      <c r="V409">
        <v>0.5</v>
      </c>
      <c r="W409">
        <v>0.5</v>
      </c>
      <c r="X409">
        <v>0.5</v>
      </c>
      <c r="AA409" t="s">
        <v>50</v>
      </c>
      <c r="AE409" t="s">
        <v>50</v>
      </c>
      <c r="AH409">
        <v>0</v>
      </c>
      <c r="AI409" t="s">
        <v>50</v>
      </c>
      <c r="AJ409" t="s">
        <v>50</v>
      </c>
      <c r="AK409" t="s">
        <v>50</v>
      </c>
      <c r="AL409" t="s">
        <v>50</v>
      </c>
      <c r="AM409" t="s">
        <v>50</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51</v>
      </c>
      <c r="BP409" s="534" t="s">
        <v>3311</v>
      </c>
      <c r="BQ409" s="735" t="s">
        <v>3312</v>
      </c>
      <c r="BR409" t="s">
        <v>46</v>
      </c>
      <c r="BS409" t="s">
        <v>52</v>
      </c>
      <c r="BT409">
        <v>0</v>
      </c>
      <c r="BU409" t="s">
        <v>5378</v>
      </c>
      <c r="BV409">
        <v>0</v>
      </c>
      <c r="BW409" s="1737" t="s">
        <v>5840</v>
      </c>
      <c r="BX409" t="s">
        <v>50</v>
      </c>
      <c r="BY409">
        <v>0</v>
      </c>
      <c r="BZ409">
        <v>0</v>
      </c>
      <c r="CA409" t="s">
        <v>5379</v>
      </c>
      <c r="CB409">
        <v>0</v>
      </c>
      <c r="CC409" s="2146">
        <v>0.54791666666666672</v>
      </c>
      <c r="CD409" s="2146" t="s">
        <v>46</v>
      </c>
      <c r="CE409" s="2146">
        <v>0</v>
      </c>
      <c r="CF409" s="2146">
        <v>0</v>
      </c>
      <c r="CG409" s="2146" t="s">
        <v>13444</v>
      </c>
      <c r="CH409">
        <v>-5.9616000000000025</v>
      </c>
      <c r="CJ409" t="s">
        <v>5841</v>
      </c>
    </row>
    <row r="410" spans="1:88">
      <c r="A410" t="s">
        <v>1874</v>
      </c>
      <c r="B410" t="s">
        <v>1894</v>
      </c>
      <c r="C410" t="s">
        <v>116</v>
      </c>
      <c r="D410" t="s">
        <v>40</v>
      </c>
      <c r="E410" t="s">
        <v>41</v>
      </c>
      <c r="F410" t="s">
        <v>1890</v>
      </c>
      <c r="G410" t="s">
        <v>457</v>
      </c>
      <c r="H410" t="s">
        <v>1895</v>
      </c>
      <c r="I410" t="s">
        <v>1896</v>
      </c>
      <c r="J410" t="s">
        <v>5406</v>
      </c>
      <c r="K410" t="s">
        <v>1883</v>
      </c>
      <c r="N410" t="s">
        <v>91</v>
      </c>
      <c r="O410" t="s">
        <v>107</v>
      </c>
      <c r="P410" t="s">
        <v>1897</v>
      </c>
      <c r="Q410" s="534">
        <v>3</v>
      </c>
      <c r="R410" t="s">
        <v>3264</v>
      </c>
      <c r="S410">
        <v>100</v>
      </c>
      <c r="T410">
        <v>100</v>
      </c>
      <c r="U410">
        <v>100</v>
      </c>
      <c r="V410">
        <v>100</v>
      </c>
      <c r="W410">
        <v>100</v>
      </c>
      <c r="X410">
        <v>100</v>
      </c>
      <c r="AE410" t="s">
        <v>50</v>
      </c>
      <c r="AH410">
        <v>4</v>
      </c>
      <c r="AI410" t="s">
        <v>50</v>
      </c>
      <c r="AJ410" t="s">
        <v>50</v>
      </c>
      <c r="AK410" t="s">
        <v>50</v>
      </c>
      <c r="AL410" t="s">
        <v>50</v>
      </c>
      <c r="AM410" t="s">
        <v>50</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51</v>
      </c>
      <c r="BP410" s="534">
        <v>100.32067918166143</v>
      </c>
      <c r="BQ410" s="736">
        <v>16.447259218333841</v>
      </c>
      <c r="BR410" t="s">
        <v>46</v>
      </c>
      <c r="BS410" t="s">
        <v>52</v>
      </c>
      <c r="BT410">
        <v>0</v>
      </c>
      <c r="BU410" t="s">
        <v>5415</v>
      </c>
      <c r="BV410">
        <v>-7.9740000000000002</v>
      </c>
      <c r="BW410">
        <v>77.84</v>
      </c>
      <c r="BX410" t="s">
        <v>46</v>
      </c>
      <c r="BY410">
        <v>0</v>
      </c>
      <c r="BZ410">
        <v>0</v>
      </c>
      <c r="CA410" t="s">
        <v>5415</v>
      </c>
      <c r="CB410">
        <v>-7.9740000000000002</v>
      </c>
      <c r="CC410" s="2146">
        <v>70.826999999999998</v>
      </c>
      <c r="CD410" s="2146" t="s">
        <v>46</v>
      </c>
      <c r="CE410" s="2146">
        <v>0</v>
      </c>
      <c r="CF410" s="2146">
        <v>0</v>
      </c>
      <c r="CG410" s="2146" t="s">
        <v>13444</v>
      </c>
      <c r="CH410">
        <v>-7.9740000000000002</v>
      </c>
      <c r="CJ410" t="s">
        <v>5842</v>
      </c>
    </row>
    <row r="411" spans="1:88">
      <c r="A411" t="s">
        <v>1874</v>
      </c>
      <c r="B411" t="s">
        <v>1898</v>
      </c>
      <c r="C411" t="s">
        <v>116</v>
      </c>
      <c r="D411" t="s">
        <v>40</v>
      </c>
      <c r="E411" t="s">
        <v>41</v>
      </c>
      <c r="F411" t="s">
        <v>1890</v>
      </c>
      <c r="G411" t="s">
        <v>461</v>
      </c>
      <c r="H411" t="s">
        <v>1899</v>
      </c>
      <c r="I411" t="s">
        <v>1900</v>
      </c>
      <c r="J411" t="s">
        <v>5408</v>
      </c>
      <c r="K411" t="s">
        <v>1883</v>
      </c>
      <c r="N411" t="s">
        <v>61</v>
      </c>
      <c r="O411" t="s">
        <v>107</v>
      </c>
      <c r="P411" t="s">
        <v>150</v>
      </c>
      <c r="Q411" s="534">
        <v>3</v>
      </c>
      <c r="R411" t="s">
        <v>3264</v>
      </c>
      <c r="S411">
        <v>100</v>
      </c>
      <c r="T411">
        <v>100</v>
      </c>
      <c r="U411">
        <v>100</v>
      </c>
      <c r="V411">
        <v>100</v>
      </c>
      <c r="W411">
        <v>100</v>
      </c>
      <c r="X411">
        <v>100</v>
      </c>
      <c r="AH411">
        <v>0</v>
      </c>
      <c r="AI411" t="s">
        <v>50</v>
      </c>
      <c r="AJ411" t="s">
        <v>50</v>
      </c>
      <c r="AK411" t="s">
        <v>50</v>
      </c>
      <c r="AL411" t="s">
        <v>50</v>
      </c>
      <c r="AM411" t="s">
        <v>50</v>
      </c>
      <c r="AN411">
        <v>96</v>
      </c>
      <c r="AO411">
        <v>96</v>
      </c>
      <c r="AP411">
        <v>96</v>
      </c>
      <c r="AQ411">
        <v>96</v>
      </c>
      <c r="AR411">
        <v>96</v>
      </c>
      <c r="AS411">
        <v>100</v>
      </c>
      <c r="AT411">
        <v>100</v>
      </c>
      <c r="AU411">
        <v>100</v>
      </c>
      <c r="AV411">
        <v>100</v>
      </c>
      <c r="AW411">
        <v>100</v>
      </c>
      <c r="BH411">
        <v>3.33</v>
      </c>
      <c r="BN411">
        <v>1</v>
      </c>
      <c r="BO411" t="s">
        <v>51</v>
      </c>
      <c r="BP411" s="534">
        <v>100</v>
      </c>
      <c r="BQ411" s="736">
        <v>100</v>
      </c>
      <c r="BR411" t="s">
        <v>50</v>
      </c>
      <c r="BS411" t="s">
        <v>52</v>
      </c>
      <c r="BT411">
        <v>0</v>
      </c>
      <c r="BU411" t="s">
        <v>52</v>
      </c>
      <c r="BV411">
        <v>0</v>
      </c>
      <c r="BW411">
        <v>100</v>
      </c>
      <c r="BX411" t="s">
        <v>50</v>
      </c>
      <c r="BY411">
        <v>0</v>
      </c>
      <c r="BZ411">
        <v>0</v>
      </c>
      <c r="CA411">
        <v>0</v>
      </c>
      <c r="CB411">
        <v>0</v>
      </c>
      <c r="CC411" s="2146">
        <v>100</v>
      </c>
      <c r="CD411" s="2146" t="s">
        <v>50</v>
      </c>
      <c r="CE411" s="2146">
        <v>0</v>
      </c>
      <c r="CF411" s="2146">
        <v>0</v>
      </c>
      <c r="CG411" s="2146">
        <v>0</v>
      </c>
      <c r="CH411">
        <v>0</v>
      </c>
      <c r="CJ411" t="s">
        <v>5843</v>
      </c>
    </row>
    <row r="412" spans="1:88">
      <c r="A412" t="s">
        <v>1874</v>
      </c>
      <c r="B412" t="s">
        <v>1901</v>
      </c>
      <c r="C412" t="s">
        <v>116</v>
      </c>
      <c r="D412" t="s">
        <v>40</v>
      </c>
      <c r="E412" t="s">
        <v>41</v>
      </c>
      <c r="F412" t="s">
        <v>1890</v>
      </c>
      <c r="G412" t="s">
        <v>465</v>
      </c>
      <c r="H412" t="s">
        <v>1902</v>
      </c>
      <c r="I412" t="s">
        <v>1903</v>
      </c>
      <c r="J412" t="s">
        <v>5406</v>
      </c>
      <c r="K412" t="s">
        <v>1883</v>
      </c>
      <c r="N412" t="s">
        <v>47</v>
      </c>
      <c r="O412" t="s">
        <v>48</v>
      </c>
      <c r="P412" t="s">
        <v>1904</v>
      </c>
      <c r="Q412" s="534">
        <v>2</v>
      </c>
      <c r="R412" t="s">
        <v>3264</v>
      </c>
      <c r="S412">
        <v>0</v>
      </c>
      <c r="T412">
        <v>0</v>
      </c>
      <c r="U412">
        <v>0</v>
      </c>
      <c r="V412">
        <v>0</v>
      </c>
      <c r="W412">
        <v>0</v>
      </c>
      <c r="X412">
        <v>0</v>
      </c>
      <c r="AE412" t="s">
        <v>50</v>
      </c>
      <c r="AH412">
        <v>0</v>
      </c>
      <c r="AI412" t="s">
        <v>50</v>
      </c>
      <c r="AJ412" t="s">
        <v>50</v>
      </c>
      <c r="AK412" t="s">
        <v>50</v>
      </c>
      <c r="AL412" t="s">
        <v>50</v>
      </c>
      <c r="AM412" t="s">
        <v>50</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51</v>
      </c>
      <c r="BP412" s="534">
        <v>9.1</v>
      </c>
      <c r="BQ412" s="726">
        <v>10.8</v>
      </c>
      <c r="BR412" t="s">
        <v>50</v>
      </c>
      <c r="BS412" t="s">
        <v>52</v>
      </c>
      <c r="BT412">
        <v>0</v>
      </c>
      <c r="BU412" t="s">
        <v>5379</v>
      </c>
      <c r="BV412">
        <v>0</v>
      </c>
      <c r="BW412">
        <v>23.42980249</v>
      </c>
      <c r="BX412" t="s">
        <v>50</v>
      </c>
      <c r="BY412">
        <v>0</v>
      </c>
      <c r="BZ412">
        <v>0</v>
      </c>
      <c r="CA412" t="s">
        <v>5425</v>
      </c>
      <c r="CB412">
        <v>9.147892262520001</v>
      </c>
      <c r="CC412" s="2146">
        <v>9.1</v>
      </c>
      <c r="CD412" s="2146" t="s">
        <v>50</v>
      </c>
      <c r="CE412" s="2146">
        <v>0</v>
      </c>
      <c r="CF412" s="2146">
        <v>0</v>
      </c>
      <c r="CG412" s="2146" t="s">
        <v>5379</v>
      </c>
      <c r="CH412">
        <v>0</v>
      </c>
      <c r="CJ412" t="s">
        <v>5844</v>
      </c>
    </row>
    <row r="413" spans="1:88">
      <c r="A413" t="s">
        <v>1874</v>
      </c>
      <c r="B413" t="s">
        <v>1905</v>
      </c>
      <c r="C413" t="s">
        <v>116</v>
      </c>
      <c r="D413" t="s">
        <v>40</v>
      </c>
      <c r="E413" t="s">
        <v>41</v>
      </c>
      <c r="F413" t="s">
        <v>1890</v>
      </c>
      <c r="G413" t="s">
        <v>834</v>
      </c>
      <c r="H413" t="s">
        <v>1906</v>
      </c>
      <c r="I413" t="s">
        <v>1907</v>
      </c>
      <c r="J413" t="s">
        <v>5408</v>
      </c>
      <c r="K413" t="s">
        <v>1883</v>
      </c>
      <c r="N413" t="s">
        <v>137</v>
      </c>
      <c r="O413" t="s">
        <v>48</v>
      </c>
      <c r="P413" t="s">
        <v>1908</v>
      </c>
      <c r="Q413" s="534">
        <v>2</v>
      </c>
      <c r="R413" t="s">
        <v>3264</v>
      </c>
      <c r="S413">
        <v>152.51</v>
      </c>
      <c r="T413">
        <v>161.19999999999999</v>
      </c>
      <c r="U413">
        <v>163.21</v>
      </c>
      <c r="V413">
        <v>164.44</v>
      </c>
      <c r="W413">
        <v>164.87</v>
      </c>
      <c r="X413">
        <v>165.27</v>
      </c>
      <c r="AE413" t="s">
        <v>50</v>
      </c>
      <c r="AH413">
        <v>0</v>
      </c>
      <c r="AI413" t="s">
        <v>50</v>
      </c>
      <c r="AJ413" t="s">
        <v>50</v>
      </c>
      <c r="AK413" t="s">
        <v>50</v>
      </c>
      <c r="AL413" t="s">
        <v>50</v>
      </c>
      <c r="AM413" t="s">
        <v>50</v>
      </c>
      <c r="AN413">
        <v>152.51</v>
      </c>
      <c r="AO413">
        <v>152.51</v>
      </c>
      <c r="AP413">
        <v>152.51</v>
      </c>
      <c r="AQ413">
        <v>152.51</v>
      </c>
      <c r="AR413">
        <v>152.51</v>
      </c>
      <c r="AS413">
        <v>161.19999999999999</v>
      </c>
      <c r="AT413">
        <v>163.21</v>
      </c>
      <c r="AU413">
        <v>164.44</v>
      </c>
      <c r="AV413">
        <v>164.87</v>
      </c>
      <c r="AW413">
        <v>165.27</v>
      </c>
      <c r="BH413">
        <v>0.25</v>
      </c>
      <c r="BN413">
        <v>1</v>
      </c>
      <c r="BO413" t="s">
        <v>51</v>
      </c>
      <c r="BP413" s="534">
        <v>152.51</v>
      </c>
      <c r="BQ413" s="726">
        <v>161.61000000000001</v>
      </c>
      <c r="BR413" t="s">
        <v>50</v>
      </c>
      <c r="BS413" t="s">
        <v>52</v>
      </c>
      <c r="BT413">
        <v>0</v>
      </c>
      <c r="BU413" t="s">
        <v>52</v>
      </c>
      <c r="BV413">
        <v>0</v>
      </c>
      <c r="BW413">
        <v>164.25</v>
      </c>
      <c r="BX413" t="s">
        <v>50</v>
      </c>
      <c r="BY413">
        <v>0</v>
      </c>
      <c r="BZ413">
        <v>0</v>
      </c>
      <c r="CA413">
        <v>0</v>
      </c>
      <c r="CB413">
        <v>0</v>
      </c>
      <c r="CC413" s="2146">
        <v>165.42</v>
      </c>
      <c r="CD413" s="2146" t="s">
        <v>50</v>
      </c>
      <c r="CE413" s="2146">
        <v>0</v>
      </c>
      <c r="CF413" s="2146">
        <v>0</v>
      </c>
      <c r="CG413" s="2146">
        <v>0</v>
      </c>
      <c r="CH413">
        <v>0</v>
      </c>
      <c r="CJ413" t="s">
        <v>5845</v>
      </c>
    </row>
    <row r="414" spans="1:88">
      <c r="A414" t="s">
        <v>1874</v>
      </c>
      <c r="B414" t="s">
        <v>1909</v>
      </c>
      <c r="C414" t="s">
        <v>116</v>
      </c>
      <c r="D414" t="s">
        <v>40</v>
      </c>
      <c r="E414" t="s">
        <v>41</v>
      </c>
      <c r="F414" t="s">
        <v>1890</v>
      </c>
      <c r="G414" t="s">
        <v>839</v>
      </c>
      <c r="H414" t="s">
        <v>1910</v>
      </c>
      <c r="I414" t="s">
        <v>1911</v>
      </c>
      <c r="J414" t="s">
        <v>5406</v>
      </c>
      <c r="K414" t="s">
        <v>1883</v>
      </c>
      <c r="M414" t="s">
        <v>46</v>
      </c>
      <c r="N414" t="s">
        <v>65</v>
      </c>
      <c r="O414" t="s">
        <v>76</v>
      </c>
      <c r="P414" t="s">
        <v>1912</v>
      </c>
      <c r="Q414" s="534">
        <v>0</v>
      </c>
      <c r="R414" t="s">
        <v>3264</v>
      </c>
      <c r="S414">
        <v>0</v>
      </c>
      <c r="T414">
        <v>2</v>
      </c>
      <c r="U414">
        <v>5</v>
      </c>
      <c r="V414">
        <v>21</v>
      </c>
      <c r="W414">
        <v>53</v>
      </c>
      <c r="X414">
        <v>82</v>
      </c>
      <c r="AD414" t="s">
        <v>50</v>
      </c>
      <c r="AF414" t="s">
        <v>50</v>
      </c>
      <c r="AG414" t="s">
        <v>50</v>
      </c>
      <c r="AH414">
        <v>0</v>
      </c>
      <c r="AM414" t="s">
        <v>50</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51</v>
      </c>
      <c r="BP414" s="534">
        <v>0</v>
      </c>
      <c r="BQ414" s="725">
        <v>2</v>
      </c>
      <c r="BR414" t="s">
        <v>50</v>
      </c>
      <c r="BS414" t="s">
        <v>52</v>
      </c>
      <c r="BT414">
        <v>0</v>
      </c>
      <c r="BU414" t="s">
        <v>52</v>
      </c>
      <c r="BV414">
        <v>0</v>
      </c>
      <c r="BW414">
        <v>5</v>
      </c>
      <c r="BX414" t="s">
        <v>50</v>
      </c>
      <c r="BY414">
        <v>0</v>
      </c>
      <c r="BZ414">
        <v>0</v>
      </c>
      <c r="CA414">
        <v>0</v>
      </c>
      <c r="CB414">
        <v>0</v>
      </c>
      <c r="CC414" s="2146">
        <v>24.7</v>
      </c>
      <c r="CD414" s="2146" t="s">
        <v>50</v>
      </c>
      <c r="CE414" s="2146">
        <v>0</v>
      </c>
      <c r="CF414" s="2146">
        <v>0</v>
      </c>
      <c r="CG414" s="2146">
        <v>0</v>
      </c>
      <c r="CH414">
        <v>0</v>
      </c>
      <c r="CJ414" t="s">
        <v>5846</v>
      </c>
    </row>
    <row r="415" spans="1:88">
      <c r="A415" t="s">
        <v>1874</v>
      </c>
      <c r="B415" t="s">
        <v>1913</v>
      </c>
      <c r="C415" t="s">
        <v>116</v>
      </c>
      <c r="D415" t="s">
        <v>40</v>
      </c>
      <c r="E415" t="s">
        <v>41</v>
      </c>
      <c r="F415" t="s">
        <v>1914</v>
      </c>
      <c r="G415" t="s">
        <v>338</v>
      </c>
      <c r="H415" t="s">
        <v>1915</v>
      </c>
      <c r="I415" t="s">
        <v>1916</v>
      </c>
      <c r="J415" t="s">
        <v>5406</v>
      </c>
      <c r="K415" t="s">
        <v>1883</v>
      </c>
      <c r="N415" t="s">
        <v>175</v>
      </c>
      <c r="O415" t="s">
        <v>48</v>
      </c>
      <c r="P415" t="s">
        <v>1917</v>
      </c>
      <c r="Q415" s="534">
        <v>1</v>
      </c>
      <c r="R415" t="s">
        <v>3264</v>
      </c>
      <c r="S415">
        <v>50.4</v>
      </c>
      <c r="T415">
        <v>0</v>
      </c>
      <c r="U415">
        <v>6.6</v>
      </c>
      <c r="V415">
        <v>6.6</v>
      </c>
      <c r="W415">
        <v>6.6</v>
      </c>
      <c r="X415">
        <v>159.5</v>
      </c>
      <c r="AF415" t="s">
        <v>50</v>
      </c>
      <c r="AG415" t="s">
        <v>50</v>
      </c>
      <c r="AH415">
        <v>0</v>
      </c>
      <c r="AI415" t="s">
        <v>50</v>
      </c>
      <c r="AJ415" t="s">
        <v>50</v>
      </c>
      <c r="AK415" t="s">
        <v>50</v>
      </c>
      <c r="AL415" t="s">
        <v>50</v>
      </c>
      <c r="AM415" t="s">
        <v>50</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51</v>
      </c>
      <c r="BP415" s="534">
        <v>0</v>
      </c>
      <c r="BQ415" s="722">
        <v>36.840000000000003</v>
      </c>
      <c r="BR415" t="s">
        <v>50</v>
      </c>
      <c r="BS415" t="s">
        <v>52</v>
      </c>
      <c r="BT415">
        <v>0</v>
      </c>
      <c r="BU415" t="s">
        <v>5425</v>
      </c>
      <c r="BV415">
        <v>5.6000000000000001E-2</v>
      </c>
      <c r="BW415">
        <v>82.55</v>
      </c>
      <c r="BX415" t="s">
        <v>50</v>
      </c>
      <c r="BY415">
        <v>0</v>
      </c>
      <c r="BZ415">
        <v>0</v>
      </c>
      <c r="CA415" t="s">
        <v>5425</v>
      </c>
      <c r="CB415">
        <v>0.18479999999999999</v>
      </c>
      <c r="CC415" s="2146">
        <v>80.599999999999994</v>
      </c>
      <c r="CD415" s="2146" t="s">
        <v>50</v>
      </c>
      <c r="CE415" s="2146">
        <v>0</v>
      </c>
      <c r="CF415" s="2146">
        <v>0</v>
      </c>
      <c r="CG415" s="2146" t="s">
        <v>5425</v>
      </c>
      <c r="CH415">
        <v>0.18479999999999999</v>
      </c>
      <c r="CJ415" t="s">
        <v>5847</v>
      </c>
    </row>
    <row r="416" spans="1:88">
      <c r="A416" t="s">
        <v>1874</v>
      </c>
      <c r="B416" t="s">
        <v>1918</v>
      </c>
      <c r="C416" t="s">
        <v>116</v>
      </c>
      <c r="D416" t="s">
        <v>40</v>
      </c>
      <c r="E416" t="s">
        <v>41</v>
      </c>
      <c r="F416" t="s">
        <v>1919</v>
      </c>
      <c r="G416" t="s">
        <v>348</v>
      </c>
      <c r="H416" t="s">
        <v>1920</v>
      </c>
      <c r="I416" t="s">
        <v>1921</v>
      </c>
      <c r="J416" t="s">
        <v>69</v>
      </c>
      <c r="N416" t="s">
        <v>192</v>
      </c>
      <c r="O416" t="s">
        <v>76</v>
      </c>
      <c r="P416" t="s">
        <v>1922</v>
      </c>
      <c r="Q416" s="534">
        <v>0</v>
      </c>
      <c r="R416" t="s">
        <v>3264</v>
      </c>
      <c r="S416">
        <v>90</v>
      </c>
      <c r="T416">
        <v>91</v>
      </c>
      <c r="U416">
        <v>92</v>
      </c>
      <c r="V416">
        <v>93</v>
      </c>
      <c r="W416">
        <v>94</v>
      </c>
      <c r="X416">
        <v>95</v>
      </c>
      <c r="AH416">
        <v>0</v>
      </c>
      <c r="BP416" s="534">
        <v>93.46</v>
      </c>
      <c r="BQ416" s="726">
        <v>95.19</v>
      </c>
      <c r="BR416" t="s">
        <v>50</v>
      </c>
      <c r="BS416" t="s">
        <v>52</v>
      </c>
      <c r="BT416">
        <v>0</v>
      </c>
      <c r="BU416" t="s">
        <v>52</v>
      </c>
      <c r="BV416">
        <v>0</v>
      </c>
      <c r="BW416">
        <v>97.52</v>
      </c>
      <c r="BX416" t="s">
        <v>50</v>
      </c>
      <c r="BY416">
        <v>0</v>
      </c>
      <c r="BZ416">
        <v>0</v>
      </c>
      <c r="CA416">
        <v>0</v>
      </c>
      <c r="CB416">
        <v>0</v>
      </c>
      <c r="CC416" s="2146">
        <v>94</v>
      </c>
      <c r="CD416" s="2146" t="s">
        <v>50</v>
      </c>
      <c r="CE416" s="2146">
        <v>0</v>
      </c>
      <c r="CF416" s="2146">
        <v>0</v>
      </c>
      <c r="CG416" s="2146">
        <v>0</v>
      </c>
      <c r="CH416">
        <v>0</v>
      </c>
      <c r="CJ416" t="s">
        <v>5848</v>
      </c>
    </row>
    <row r="417" spans="1:88">
      <c r="A417" t="s">
        <v>1874</v>
      </c>
      <c r="B417" t="s">
        <v>1923</v>
      </c>
      <c r="C417" t="s">
        <v>116</v>
      </c>
      <c r="D417" t="s">
        <v>40</v>
      </c>
      <c r="E417" t="s">
        <v>41</v>
      </c>
      <c r="F417" t="s">
        <v>1924</v>
      </c>
      <c r="G417" t="s">
        <v>354</v>
      </c>
      <c r="H417" t="s">
        <v>1925</v>
      </c>
      <c r="I417" t="s">
        <v>1926</v>
      </c>
      <c r="J417" t="s">
        <v>69</v>
      </c>
      <c r="N417" t="s">
        <v>368</v>
      </c>
      <c r="O417" t="s">
        <v>48</v>
      </c>
      <c r="P417" t="s">
        <v>1927</v>
      </c>
      <c r="Q417" s="534">
        <v>0</v>
      </c>
      <c r="S417">
        <v>53544</v>
      </c>
      <c r="T417">
        <v>61644</v>
      </c>
      <c r="U417">
        <v>59325</v>
      </c>
      <c r="V417">
        <v>57393</v>
      </c>
      <c r="W417">
        <v>47421</v>
      </c>
      <c r="X417">
        <v>46054</v>
      </c>
      <c r="AH417">
        <v>0</v>
      </c>
      <c r="BP417" s="534">
        <v>40102</v>
      </c>
      <c r="BQ417" s="725">
        <v>27197</v>
      </c>
      <c r="BR417" t="s">
        <v>46</v>
      </c>
      <c r="BS417" t="s">
        <v>52</v>
      </c>
      <c r="BT417">
        <v>0</v>
      </c>
      <c r="BU417" t="s">
        <v>52</v>
      </c>
      <c r="BV417">
        <v>0</v>
      </c>
      <c r="BW417">
        <v>32447</v>
      </c>
      <c r="BX417" t="s">
        <v>46</v>
      </c>
      <c r="BY417">
        <v>0</v>
      </c>
      <c r="BZ417">
        <v>0</v>
      </c>
      <c r="CA417">
        <v>0</v>
      </c>
      <c r="CB417">
        <v>0</v>
      </c>
      <c r="CC417" s="2146">
        <v>36615</v>
      </c>
      <c r="CD417" s="2146" t="s">
        <v>46</v>
      </c>
      <c r="CE417" s="2146">
        <v>0</v>
      </c>
      <c r="CF417" s="2146">
        <v>0</v>
      </c>
      <c r="CG417" s="2146">
        <v>0</v>
      </c>
      <c r="CH417">
        <v>0</v>
      </c>
      <c r="CJ417" t="s">
        <v>5849</v>
      </c>
    </row>
    <row r="418" spans="1:88">
      <c r="A418" t="s">
        <v>1874</v>
      </c>
      <c r="B418" t="s">
        <v>1928</v>
      </c>
      <c r="C418" t="s">
        <v>116</v>
      </c>
      <c r="D418" t="s">
        <v>214</v>
      </c>
      <c r="E418" t="s">
        <v>215</v>
      </c>
      <c r="F418" t="s">
        <v>1929</v>
      </c>
      <c r="G418" t="s">
        <v>608</v>
      </c>
      <c r="H418" t="s">
        <v>1930</v>
      </c>
      <c r="I418" t="s">
        <v>1931</v>
      </c>
      <c r="J418" t="s">
        <v>5406</v>
      </c>
      <c r="K418" t="s">
        <v>1883</v>
      </c>
      <c r="N418" t="s">
        <v>219</v>
      </c>
      <c r="O418" t="s">
        <v>107</v>
      </c>
      <c r="P418" t="s">
        <v>1932</v>
      </c>
      <c r="Q418" s="534">
        <v>2</v>
      </c>
      <c r="R418" t="s">
        <v>3263</v>
      </c>
      <c r="S418">
        <v>105.8</v>
      </c>
      <c r="T418">
        <v>100</v>
      </c>
      <c r="U418">
        <v>100</v>
      </c>
      <c r="V418">
        <v>100</v>
      </c>
      <c r="W418">
        <v>100</v>
      </c>
      <c r="X418">
        <v>100</v>
      </c>
      <c r="AE418" t="s">
        <v>50</v>
      </c>
      <c r="AH418">
        <v>5</v>
      </c>
      <c r="AI418" t="s">
        <v>50</v>
      </c>
      <c r="AJ418" t="s">
        <v>50</v>
      </c>
      <c r="AK418" t="s">
        <v>50</v>
      </c>
      <c r="AL418" t="s">
        <v>50</v>
      </c>
      <c r="AM418" t="s">
        <v>50</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51</v>
      </c>
      <c r="BP418" s="534">
        <v>95.2</v>
      </c>
      <c r="BQ418" s="726">
        <v>91.69</v>
      </c>
      <c r="BR418" t="s">
        <v>50</v>
      </c>
      <c r="BS418" t="s">
        <v>52</v>
      </c>
      <c r="BT418">
        <v>0</v>
      </c>
      <c r="BU418" t="s">
        <v>5425</v>
      </c>
      <c r="BV418">
        <v>7.3761000000000001</v>
      </c>
      <c r="BW418">
        <v>91.9</v>
      </c>
      <c r="BX418" t="s">
        <v>50</v>
      </c>
      <c r="BY418">
        <v>0</v>
      </c>
      <c r="BZ418">
        <v>0</v>
      </c>
      <c r="CA418" t="s">
        <v>5425</v>
      </c>
      <c r="CB418">
        <v>7.35</v>
      </c>
      <c r="CC418" s="2146">
        <v>85</v>
      </c>
      <c r="CD418" s="2146" t="s">
        <v>50</v>
      </c>
      <c r="CE418" s="2146">
        <v>0</v>
      </c>
      <c r="CF418" s="2146">
        <v>0</v>
      </c>
      <c r="CG418" s="2146" t="s">
        <v>5425</v>
      </c>
      <c r="CH418">
        <v>7.3761000000000001</v>
      </c>
      <c r="CJ418" t="s">
        <v>5850</v>
      </c>
    </row>
    <row r="419" spans="1:88">
      <c r="A419" t="s">
        <v>1874</v>
      </c>
      <c r="B419" t="s">
        <v>1933</v>
      </c>
      <c r="C419" t="s">
        <v>116</v>
      </c>
      <c r="D419" t="s">
        <v>214</v>
      </c>
      <c r="E419" t="s">
        <v>215</v>
      </c>
      <c r="F419" t="s">
        <v>1929</v>
      </c>
      <c r="G419" t="s">
        <v>216</v>
      </c>
      <c r="H419" t="s">
        <v>1934</v>
      </c>
      <c r="I419" t="s">
        <v>1935</v>
      </c>
      <c r="J419" t="s">
        <v>5408</v>
      </c>
      <c r="K419" t="s">
        <v>1883</v>
      </c>
      <c r="N419" t="s">
        <v>273</v>
      </c>
      <c r="O419" t="s">
        <v>107</v>
      </c>
      <c r="P419" t="s">
        <v>1936</v>
      </c>
      <c r="Q419" s="534">
        <v>2</v>
      </c>
      <c r="R419" t="s">
        <v>3263</v>
      </c>
      <c r="S419">
        <v>108.4</v>
      </c>
      <c r="T419">
        <v>106.2</v>
      </c>
      <c r="U419">
        <v>103.2</v>
      </c>
      <c r="V419">
        <v>99.4</v>
      </c>
      <c r="W419">
        <v>95.6</v>
      </c>
      <c r="X419">
        <v>93.4</v>
      </c>
      <c r="AE419" t="s">
        <v>50</v>
      </c>
      <c r="AH419">
        <v>4</v>
      </c>
      <c r="AI419" t="s">
        <v>50</v>
      </c>
      <c r="AJ419" t="s">
        <v>50</v>
      </c>
      <c r="AK419" t="s">
        <v>50</v>
      </c>
      <c r="AL419" t="s">
        <v>50</v>
      </c>
      <c r="AM419" t="s">
        <v>50</v>
      </c>
      <c r="AN419">
        <v>115.4</v>
      </c>
      <c r="AO419">
        <v>112.4</v>
      </c>
      <c r="AP419">
        <v>108.6</v>
      </c>
      <c r="AQ419">
        <v>104.8</v>
      </c>
      <c r="AR419">
        <v>102.6</v>
      </c>
      <c r="AS419">
        <v>108.9</v>
      </c>
      <c r="AT419">
        <v>105.8</v>
      </c>
      <c r="AU419">
        <v>101.9</v>
      </c>
      <c r="AV419">
        <v>98</v>
      </c>
      <c r="AW419">
        <v>95.7</v>
      </c>
      <c r="BH419">
        <v>2.298</v>
      </c>
      <c r="BN419">
        <v>1</v>
      </c>
      <c r="BO419" t="s">
        <v>51</v>
      </c>
      <c r="BP419" s="534">
        <v>94.3</v>
      </c>
      <c r="BQ419" s="726">
        <v>90.95</v>
      </c>
      <c r="BR419" t="s">
        <v>50</v>
      </c>
      <c r="BS419" t="s">
        <v>52</v>
      </c>
      <c r="BT419">
        <v>0</v>
      </c>
      <c r="BU419" t="s">
        <v>52</v>
      </c>
      <c r="BV419">
        <v>0</v>
      </c>
      <c r="BW419">
        <v>89.47</v>
      </c>
      <c r="BX419" t="s">
        <v>50</v>
      </c>
      <c r="BY419">
        <v>0</v>
      </c>
      <c r="BZ419">
        <v>0</v>
      </c>
      <c r="CA419">
        <v>0</v>
      </c>
      <c r="CB419">
        <v>0</v>
      </c>
      <c r="CC419" s="2146">
        <v>86.17</v>
      </c>
      <c r="CD419" s="2146" t="s">
        <v>50</v>
      </c>
      <c r="CE419" s="2146">
        <v>0</v>
      </c>
      <c r="CF419" s="2146">
        <v>0</v>
      </c>
      <c r="CG419" s="2146">
        <v>0</v>
      </c>
      <c r="CH419">
        <v>0</v>
      </c>
      <c r="CJ419" t="s">
        <v>5851</v>
      </c>
    </row>
    <row r="420" spans="1:88">
      <c r="A420" t="s">
        <v>1874</v>
      </c>
      <c r="B420" t="s">
        <v>1937</v>
      </c>
      <c r="C420" t="s">
        <v>116</v>
      </c>
      <c r="D420" t="s">
        <v>214</v>
      </c>
      <c r="E420" t="s">
        <v>215</v>
      </c>
      <c r="F420" t="s">
        <v>1938</v>
      </c>
      <c r="G420" t="s">
        <v>233</v>
      </c>
      <c r="H420" t="s">
        <v>1939</v>
      </c>
      <c r="I420" t="s">
        <v>1940</v>
      </c>
      <c r="J420" t="s">
        <v>69</v>
      </c>
      <c r="N420" t="s">
        <v>219</v>
      </c>
      <c r="O420" t="s">
        <v>48</v>
      </c>
      <c r="P420" t="s">
        <v>1941</v>
      </c>
      <c r="Q420" s="534">
        <v>0</v>
      </c>
      <c r="R420" t="s">
        <v>3263</v>
      </c>
      <c r="S420">
        <v>16568</v>
      </c>
      <c r="T420">
        <v>16511</v>
      </c>
      <c r="U420">
        <v>16436</v>
      </c>
      <c r="V420">
        <v>16341</v>
      </c>
      <c r="W420">
        <v>16247</v>
      </c>
      <c r="X420">
        <v>16190</v>
      </c>
      <c r="AE420" t="s">
        <v>50</v>
      </c>
      <c r="AH420">
        <v>0</v>
      </c>
      <c r="BP420" s="534" t="s">
        <v>52</v>
      </c>
      <c r="BQ420" s="725">
        <v>16472</v>
      </c>
      <c r="BR420" t="s">
        <v>50</v>
      </c>
      <c r="BS420" t="s">
        <v>52</v>
      </c>
      <c r="BT420">
        <v>0</v>
      </c>
      <c r="BU420" t="s">
        <v>52</v>
      </c>
      <c r="BV420">
        <v>0</v>
      </c>
      <c r="BW420">
        <v>16418</v>
      </c>
      <c r="BX420" t="s">
        <v>50</v>
      </c>
      <c r="BY420">
        <v>0</v>
      </c>
      <c r="BZ420">
        <v>0</v>
      </c>
      <c r="CA420">
        <v>0</v>
      </c>
      <c r="CB420">
        <v>0</v>
      </c>
      <c r="CC420" s="2146">
        <v>16395</v>
      </c>
      <c r="CD420" s="2146" t="s">
        <v>46</v>
      </c>
      <c r="CE420" s="2146">
        <v>0</v>
      </c>
      <c r="CF420" s="2146">
        <v>0</v>
      </c>
      <c r="CG420" s="2146">
        <v>0</v>
      </c>
      <c r="CH420">
        <v>0</v>
      </c>
      <c r="CJ420" t="s">
        <v>5852</v>
      </c>
    </row>
    <row r="421" spans="1:88">
      <c r="A421" t="s">
        <v>1874</v>
      </c>
      <c r="B421" t="s">
        <v>1942</v>
      </c>
      <c r="C421" t="s">
        <v>116</v>
      </c>
      <c r="D421" t="s">
        <v>214</v>
      </c>
      <c r="E421" t="s">
        <v>215</v>
      </c>
      <c r="F421" t="s">
        <v>1938</v>
      </c>
      <c r="G421" t="s">
        <v>621</v>
      </c>
      <c r="H421" t="s">
        <v>1943</v>
      </c>
      <c r="I421" t="s">
        <v>1944</v>
      </c>
      <c r="J421" t="s">
        <v>5406</v>
      </c>
      <c r="K421" t="s">
        <v>1883</v>
      </c>
      <c r="N421" t="s">
        <v>219</v>
      </c>
      <c r="O421" t="s">
        <v>107</v>
      </c>
      <c r="P421" t="s">
        <v>1945</v>
      </c>
      <c r="Q421" s="534">
        <v>1</v>
      </c>
      <c r="R421" t="s">
        <v>3263</v>
      </c>
      <c r="S421">
        <v>101.6</v>
      </c>
      <c r="T421">
        <v>93.1</v>
      </c>
      <c r="U421">
        <v>83.9</v>
      </c>
      <c r="V421">
        <v>73.900000000000006</v>
      </c>
      <c r="W421">
        <v>70.3</v>
      </c>
      <c r="X421">
        <v>68.099999999999994</v>
      </c>
      <c r="AC421" t="s">
        <v>50</v>
      </c>
      <c r="AE421" t="s">
        <v>50</v>
      </c>
      <c r="AH421">
        <v>5</v>
      </c>
      <c r="AI421" t="s">
        <v>50</v>
      </c>
      <c r="AJ421" t="s">
        <v>50</v>
      </c>
      <c r="AK421" t="s">
        <v>50</v>
      </c>
      <c r="AL421" t="s">
        <v>50</v>
      </c>
      <c r="AM421" t="s">
        <v>50</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51</v>
      </c>
      <c r="BP421" s="534">
        <v>82.5</v>
      </c>
      <c r="BQ421" s="722">
        <v>100.8</v>
      </c>
      <c r="BR421" t="s">
        <v>46</v>
      </c>
      <c r="BS421" t="s">
        <v>52</v>
      </c>
      <c r="BT421">
        <v>0</v>
      </c>
      <c r="BU421" t="s">
        <v>5378</v>
      </c>
      <c r="BV421">
        <v>0</v>
      </c>
      <c r="BW421">
        <v>94.4</v>
      </c>
      <c r="BX421" t="s">
        <v>46</v>
      </c>
      <c r="BY421">
        <v>0</v>
      </c>
      <c r="BZ421">
        <v>0</v>
      </c>
      <c r="CA421" t="s">
        <v>5415</v>
      </c>
      <c r="CB421">
        <v>-1.484</v>
      </c>
      <c r="CC421" s="2146">
        <v>70</v>
      </c>
      <c r="CD421" s="2146" t="s">
        <v>50</v>
      </c>
      <c r="CE421" s="2146">
        <v>0</v>
      </c>
      <c r="CF421" s="2146">
        <v>0</v>
      </c>
      <c r="CG421" s="2146">
        <v>0</v>
      </c>
      <c r="CH421">
        <v>0</v>
      </c>
      <c r="CJ421" t="s">
        <v>5853</v>
      </c>
    </row>
    <row r="422" spans="1:88">
      <c r="A422" t="s">
        <v>1874</v>
      </c>
      <c r="B422" t="s">
        <v>1946</v>
      </c>
      <c r="C422" t="s">
        <v>116</v>
      </c>
      <c r="D422" t="s">
        <v>214</v>
      </c>
      <c r="E422" t="s">
        <v>215</v>
      </c>
      <c r="F422" t="s">
        <v>1947</v>
      </c>
      <c r="G422" t="s">
        <v>237</v>
      </c>
      <c r="H422" t="s">
        <v>1948</v>
      </c>
      <c r="I422" t="s">
        <v>1949</v>
      </c>
      <c r="J422" t="s">
        <v>5408</v>
      </c>
      <c r="K422" t="s">
        <v>1883</v>
      </c>
      <c r="M422" t="s">
        <v>46</v>
      </c>
      <c r="N422" t="s">
        <v>175</v>
      </c>
      <c r="O422" t="s">
        <v>48</v>
      </c>
      <c r="P422" t="s">
        <v>1950</v>
      </c>
      <c r="Q422" s="534">
        <v>2</v>
      </c>
      <c r="R422" t="s">
        <v>3264</v>
      </c>
      <c r="S422">
        <v>0</v>
      </c>
      <c r="T422">
        <v>0.36</v>
      </c>
      <c r="U422">
        <v>0.66</v>
      </c>
      <c r="V422">
        <v>1.49</v>
      </c>
      <c r="W422">
        <v>3.78</v>
      </c>
      <c r="X422">
        <v>6.56</v>
      </c>
      <c r="AD422" t="s">
        <v>50</v>
      </c>
      <c r="AF422" t="s">
        <v>50</v>
      </c>
      <c r="AH422">
        <v>0</v>
      </c>
      <c r="AI422" t="s">
        <v>50</v>
      </c>
      <c r="AJ422" t="s">
        <v>50</v>
      </c>
      <c r="AK422" t="s">
        <v>50</v>
      </c>
      <c r="AL422" t="s">
        <v>50</v>
      </c>
      <c r="AM422" t="s">
        <v>50</v>
      </c>
      <c r="AN422">
        <v>0</v>
      </c>
      <c r="AO422">
        <v>0</v>
      </c>
      <c r="AP422">
        <v>0</v>
      </c>
      <c r="AQ422">
        <v>0</v>
      </c>
      <c r="AR422">
        <v>0</v>
      </c>
      <c r="AS422">
        <v>0.36</v>
      </c>
      <c r="AT422">
        <v>0.66</v>
      </c>
      <c r="AU422">
        <v>1.49</v>
      </c>
      <c r="AV422">
        <v>3.78</v>
      </c>
      <c r="AW422">
        <v>6.56</v>
      </c>
      <c r="BH422">
        <v>10</v>
      </c>
      <c r="BN422">
        <v>1</v>
      </c>
      <c r="BO422" t="s">
        <v>51</v>
      </c>
      <c r="BP422" s="534">
        <v>0</v>
      </c>
      <c r="BQ422" s="726">
        <v>0.47</v>
      </c>
      <c r="BR422" t="s">
        <v>50</v>
      </c>
      <c r="BS422" t="s">
        <v>52</v>
      </c>
      <c r="BT422">
        <v>0</v>
      </c>
      <c r="BU422" t="s">
        <v>52</v>
      </c>
      <c r="BV422">
        <v>0</v>
      </c>
      <c r="BW422">
        <v>0.66</v>
      </c>
      <c r="BX422" t="s">
        <v>50</v>
      </c>
      <c r="BY422">
        <v>0</v>
      </c>
      <c r="BZ422">
        <v>0</v>
      </c>
      <c r="CA422">
        <v>0</v>
      </c>
      <c r="CB422">
        <v>0</v>
      </c>
      <c r="CC422" s="2146">
        <v>1.49</v>
      </c>
      <c r="CD422" s="2146" t="s">
        <v>50</v>
      </c>
      <c r="CE422" s="2146">
        <v>0</v>
      </c>
      <c r="CF422" s="2146">
        <v>0</v>
      </c>
      <c r="CG422" s="2146">
        <v>0</v>
      </c>
      <c r="CH422">
        <v>0</v>
      </c>
      <c r="CJ422" t="s">
        <v>5854</v>
      </c>
    </row>
    <row r="423" spans="1:88">
      <c r="A423" t="s">
        <v>1874</v>
      </c>
      <c r="B423" t="s">
        <v>1951</v>
      </c>
      <c r="C423" t="s">
        <v>116</v>
      </c>
      <c r="D423" t="s">
        <v>214</v>
      </c>
      <c r="E423" t="s">
        <v>215</v>
      </c>
      <c r="F423" t="s">
        <v>1914</v>
      </c>
      <c r="G423" t="s">
        <v>256</v>
      </c>
      <c r="H423" t="s">
        <v>1952</v>
      </c>
      <c r="I423" t="s">
        <v>1953</v>
      </c>
      <c r="J423" t="s">
        <v>5408</v>
      </c>
      <c r="K423" t="s">
        <v>1883</v>
      </c>
      <c r="M423" t="s">
        <v>46</v>
      </c>
      <c r="N423" t="s">
        <v>175</v>
      </c>
      <c r="O423" t="s">
        <v>48</v>
      </c>
      <c r="P423" t="s">
        <v>1954</v>
      </c>
      <c r="Q423" s="534">
        <v>1</v>
      </c>
      <c r="R423" t="s">
        <v>3264</v>
      </c>
      <c r="S423">
        <v>0</v>
      </c>
      <c r="T423">
        <v>1.8</v>
      </c>
      <c r="U423">
        <v>1.8</v>
      </c>
      <c r="V423">
        <v>190.1</v>
      </c>
      <c r="W423">
        <v>316.7</v>
      </c>
      <c r="X423">
        <v>346.6</v>
      </c>
      <c r="AD423" t="s">
        <v>50</v>
      </c>
      <c r="AF423" t="s">
        <v>50</v>
      </c>
      <c r="AH423">
        <v>0</v>
      </c>
      <c r="AI423" t="s">
        <v>50</v>
      </c>
      <c r="AJ423" t="s">
        <v>50</v>
      </c>
      <c r="AK423" t="s">
        <v>50</v>
      </c>
      <c r="AL423" t="s">
        <v>50</v>
      </c>
      <c r="AM423" t="s">
        <v>50</v>
      </c>
      <c r="AN423">
        <v>0</v>
      </c>
      <c r="AO423">
        <v>0</v>
      </c>
      <c r="AP423">
        <v>0</v>
      </c>
      <c r="AQ423">
        <v>0</v>
      </c>
      <c r="AR423">
        <v>0</v>
      </c>
      <c r="AS423">
        <v>1.8</v>
      </c>
      <c r="AT423">
        <v>1.8</v>
      </c>
      <c r="AU423">
        <v>190.1</v>
      </c>
      <c r="AV423">
        <v>316.7</v>
      </c>
      <c r="AW423">
        <v>346.6</v>
      </c>
      <c r="BH423">
        <v>5.8000000000000003E-2</v>
      </c>
      <c r="BN423">
        <v>1</v>
      </c>
      <c r="BO423" t="s">
        <v>51</v>
      </c>
      <c r="BP423" s="534">
        <v>0</v>
      </c>
      <c r="BQ423" s="722">
        <v>48</v>
      </c>
      <c r="BR423" t="s">
        <v>50</v>
      </c>
      <c r="BS423" t="s">
        <v>52</v>
      </c>
      <c r="BT423">
        <v>0</v>
      </c>
      <c r="BU423" t="s">
        <v>52</v>
      </c>
      <c r="BV423">
        <v>0</v>
      </c>
      <c r="BW423">
        <v>48.02</v>
      </c>
      <c r="BX423" t="s">
        <v>50</v>
      </c>
      <c r="BY423">
        <v>0</v>
      </c>
      <c r="BZ423">
        <v>0</v>
      </c>
      <c r="CA423">
        <v>0</v>
      </c>
      <c r="CB423">
        <v>0</v>
      </c>
      <c r="CC423" s="2146">
        <v>210.5</v>
      </c>
      <c r="CD423" s="2146" t="s">
        <v>50</v>
      </c>
      <c r="CE423" s="2146">
        <v>0</v>
      </c>
      <c r="CF423" s="2146">
        <v>0</v>
      </c>
      <c r="CG423" s="2146">
        <v>0</v>
      </c>
      <c r="CH423">
        <v>0</v>
      </c>
      <c r="CJ423" t="s">
        <v>5855</v>
      </c>
    </row>
    <row r="424" spans="1:88">
      <c r="A424" t="s">
        <v>1874</v>
      </c>
      <c r="B424" t="s">
        <v>1955</v>
      </c>
      <c r="C424" t="s">
        <v>116</v>
      </c>
      <c r="D424" t="s">
        <v>214</v>
      </c>
      <c r="E424" t="s">
        <v>215</v>
      </c>
      <c r="F424" t="s">
        <v>1914</v>
      </c>
      <c r="G424" t="s">
        <v>261</v>
      </c>
      <c r="H424" t="s">
        <v>1956</v>
      </c>
      <c r="I424" t="s">
        <v>1957</v>
      </c>
      <c r="J424" t="s">
        <v>5408</v>
      </c>
      <c r="K424" t="s">
        <v>1883</v>
      </c>
      <c r="N424" t="s">
        <v>175</v>
      </c>
      <c r="O424" t="s">
        <v>107</v>
      </c>
      <c r="P424" t="s">
        <v>1958</v>
      </c>
      <c r="Q424" s="534">
        <v>4</v>
      </c>
      <c r="R424" t="s">
        <v>3263</v>
      </c>
      <c r="S424">
        <v>113.97</v>
      </c>
      <c r="T424">
        <v>83</v>
      </c>
      <c r="U424">
        <v>83</v>
      </c>
      <c r="V424">
        <v>83</v>
      </c>
      <c r="W424">
        <v>54.32</v>
      </c>
      <c r="X424">
        <v>46.13</v>
      </c>
      <c r="AD424" t="s">
        <v>50</v>
      </c>
      <c r="AE424" t="s">
        <v>50</v>
      </c>
      <c r="AF424" t="s">
        <v>50</v>
      </c>
      <c r="AH424">
        <v>10</v>
      </c>
      <c r="AI424" t="s">
        <v>50</v>
      </c>
      <c r="AJ424" t="s">
        <v>50</v>
      </c>
      <c r="AK424" t="s">
        <v>50</v>
      </c>
      <c r="AL424" t="s">
        <v>50</v>
      </c>
      <c r="AM424" t="s">
        <v>50</v>
      </c>
      <c r="AN424">
        <v>155.4</v>
      </c>
      <c r="AO424">
        <v>155.4</v>
      </c>
      <c r="AP424">
        <v>155.4</v>
      </c>
      <c r="AQ424">
        <v>126.72</v>
      </c>
      <c r="AR424">
        <v>118.53</v>
      </c>
      <c r="AS424">
        <v>113.3</v>
      </c>
      <c r="AT424">
        <v>113.3</v>
      </c>
      <c r="AU424">
        <v>113.3</v>
      </c>
      <c r="AV424">
        <v>84.62</v>
      </c>
      <c r="AW424">
        <v>76.430000000000007</v>
      </c>
      <c r="BH424">
        <v>0.57199999999999995</v>
      </c>
      <c r="BN424">
        <v>1</v>
      </c>
      <c r="BO424" t="s">
        <v>51</v>
      </c>
      <c r="BP424" s="534">
        <v>94.99</v>
      </c>
      <c r="BQ424" s="736">
        <v>91.484700000000004</v>
      </c>
      <c r="BR424" t="s">
        <v>46</v>
      </c>
      <c r="BS424" t="s">
        <v>52</v>
      </c>
      <c r="BT424">
        <v>0</v>
      </c>
      <c r="BU424" t="s">
        <v>5378</v>
      </c>
      <c r="BV424">
        <v>0</v>
      </c>
      <c r="BW424">
        <v>58.708199999999998</v>
      </c>
      <c r="BX424" t="s">
        <v>50</v>
      </c>
      <c r="BY424">
        <v>0</v>
      </c>
      <c r="BZ424">
        <v>0</v>
      </c>
      <c r="CA424">
        <v>0</v>
      </c>
      <c r="CB424">
        <v>0</v>
      </c>
      <c r="CC424" s="2146">
        <v>30.468</v>
      </c>
      <c r="CD424" s="2146" t="s">
        <v>50</v>
      </c>
      <c r="CE424" s="2146">
        <v>0</v>
      </c>
      <c r="CF424" s="2146">
        <v>0</v>
      </c>
      <c r="CG424" s="2146">
        <v>0</v>
      </c>
      <c r="CH424">
        <v>0</v>
      </c>
      <c r="CJ424" t="s">
        <v>5856</v>
      </c>
    </row>
    <row r="425" spans="1:88">
      <c r="A425" t="s">
        <v>1874</v>
      </c>
      <c r="B425" t="s">
        <v>1959</v>
      </c>
      <c r="C425" t="s">
        <v>116</v>
      </c>
      <c r="D425" t="s">
        <v>214</v>
      </c>
      <c r="E425" t="s">
        <v>215</v>
      </c>
      <c r="F425" t="s">
        <v>1914</v>
      </c>
      <c r="G425" t="s">
        <v>696</v>
      </c>
      <c r="H425" t="s">
        <v>1960</v>
      </c>
      <c r="I425" t="s">
        <v>1961</v>
      </c>
      <c r="J425" t="s">
        <v>5406</v>
      </c>
      <c r="K425" t="s">
        <v>1883</v>
      </c>
      <c r="M425" t="s">
        <v>46</v>
      </c>
      <c r="N425" t="s">
        <v>175</v>
      </c>
      <c r="O425" t="s">
        <v>48</v>
      </c>
      <c r="P425" t="s">
        <v>1917</v>
      </c>
      <c r="Q425" s="534">
        <v>2</v>
      </c>
      <c r="R425" t="s">
        <v>3264</v>
      </c>
      <c r="S425">
        <v>0</v>
      </c>
      <c r="T425">
        <v>0.75</v>
      </c>
      <c r="U425">
        <v>15.41</v>
      </c>
      <c r="V425">
        <v>98.14</v>
      </c>
      <c r="W425">
        <v>145.38999999999999</v>
      </c>
      <c r="X425">
        <v>355.22</v>
      </c>
      <c r="AD425" t="s">
        <v>50</v>
      </c>
      <c r="AF425" t="s">
        <v>50</v>
      </c>
      <c r="AH425">
        <v>0</v>
      </c>
      <c r="AI425" t="s">
        <v>50</v>
      </c>
      <c r="AJ425" t="s">
        <v>50</v>
      </c>
      <c r="AK425" t="s">
        <v>50</v>
      </c>
      <c r="AL425" t="s">
        <v>50</v>
      </c>
      <c r="AM425" t="s">
        <v>50</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51</v>
      </c>
      <c r="BP425" s="534">
        <v>0</v>
      </c>
      <c r="BQ425" s="726">
        <v>0.75</v>
      </c>
      <c r="BR425" t="s">
        <v>50</v>
      </c>
      <c r="BS425" t="s">
        <v>52</v>
      </c>
      <c r="BT425">
        <v>0</v>
      </c>
      <c r="BU425" t="s">
        <v>52</v>
      </c>
      <c r="BV425">
        <v>0</v>
      </c>
      <c r="BW425">
        <v>45.62</v>
      </c>
      <c r="BX425" t="s">
        <v>50</v>
      </c>
      <c r="BY425">
        <v>0</v>
      </c>
      <c r="BZ425">
        <v>0</v>
      </c>
      <c r="CA425" t="s">
        <v>5425</v>
      </c>
      <c r="CB425">
        <v>0.43099999999999999</v>
      </c>
      <c r="CC425" s="2146">
        <v>120.75</v>
      </c>
      <c r="CD425" s="2146" t="s">
        <v>50</v>
      </c>
      <c r="CE425" s="2146">
        <v>0</v>
      </c>
      <c r="CF425" s="2146">
        <v>0</v>
      </c>
      <c r="CG425" s="2146" t="s">
        <v>5425</v>
      </c>
      <c r="CH425">
        <v>0.43</v>
      </c>
      <c r="CJ425" t="s">
        <v>5857</v>
      </c>
    </row>
    <row r="426" spans="1:88">
      <c r="A426" t="s">
        <v>1874</v>
      </c>
      <c r="B426" t="s">
        <v>1962</v>
      </c>
      <c r="C426" t="s">
        <v>116</v>
      </c>
      <c r="D426" t="s">
        <v>214</v>
      </c>
      <c r="E426" t="s">
        <v>215</v>
      </c>
      <c r="F426" t="s">
        <v>1914</v>
      </c>
      <c r="G426" t="s">
        <v>1963</v>
      </c>
      <c r="H426" t="s">
        <v>1964</v>
      </c>
      <c r="I426" t="s">
        <v>1965</v>
      </c>
      <c r="J426" t="s">
        <v>5408</v>
      </c>
      <c r="K426" t="s">
        <v>1883</v>
      </c>
      <c r="N426" t="s">
        <v>249</v>
      </c>
      <c r="O426" t="s">
        <v>48</v>
      </c>
      <c r="P426" t="s">
        <v>1178</v>
      </c>
      <c r="Q426" s="534">
        <v>0</v>
      </c>
      <c r="R426" t="s">
        <v>3263</v>
      </c>
      <c r="S426">
        <v>4</v>
      </c>
      <c r="T426">
        <v>4</v>
      </c>
      <c r="U426">
        <v>4</v>
      </c>
      <c r="V426">
        <v>3</v>
      </c>
      <c r="W426">
        <v>3</v>
      </c>
      <c r="X426">
        <v>0</v>
      </c>
      <c r="AE426" t="s">
        <v>50</v>
      </c>
      <c r="AH426">
        <v>0</v>
      </c>
      <c r="AI426" t="s">
        <v>50</v>
      </c>
      <c r="AJ426" t="s">
        <v>50</v>
      </c>
      <c r="AK426" t="s">
        <v>50</v>
      </c>
      <c r="AL426" t="s">
        <v>50</v>
      </c>
      <c r="AM426" t="s">
        <v>50</v>
      </c>
      <c r="AN426">
        <v>7</v>
      </c>
      <c r="AO426">
        <v>7</v>
      </c>
      <c r="AP426">
        <v>6</v>
      </c>
      <c r="AQ426">
        <v>6</v>
      </c>
      <c r="AR426">
        <v>5</v>
      </c>
      <c r="AS426">
        <v>6</v>
      </c>
      <c r="AT426">
        <v>6</v>
      </c>
      <c r="AU426">
        <v>5</v>
      </c>
      <c r="AV426">
        <v>5</v>
      </c>
      <c r="AW426">
        <v>4</v>
      </c>
      <c r="BH426">
        <v>0.42</v>
      </c>
      <c r="BN426">
        <v>1</v>
      </c>
      <c r="BO426" t="s">
        <v>51</v>
      </c>
      <c r="BP426" s="534">
        <v>2</v>
      </c>
      <c r="BQ426" s="725">
        <v>4</v>
      </c>
      <c r="BR426" t="s">
        <v>50</v>
      </c>
      <c r="BS426" t="s">
        <v>52</v>
      </c>
      <c r="BT426">
        <v>0</v>
      </c>
      <c r="BU426" t="s">
        <v>52</v>
      </c>
      <c r="BV426">
        <v>0</v>
      </c>
      <c r="BW426">
        <v>2</v>
      </c>
      <c r="BX426" t="s">
        <v>50</v>
      </c>
      <c r="BY426">
        <v>0</v>
      </c>
      <c r="BZ426">
        <v>0</v>
      </c>
      <c r="CA426">
        <v>0</v>
      </c>
      <c r="CB426">
        <v>0</v>
      </c>
      <c r="CC426" s="2146">
        <v>0</v>
      </c>
      <c r="CD426" s="2146" t="s">
        <v>50</v>
      </c>
      <c r="CE426" s="2146">
        <v>0</v>
      </c>
      <c r="CF426" s="2146">
        <v>0</v>
      </c>
      <c r="CG426" s="2146">
        <v>0</v>
      </c>
      <c r="CH426">
        <v>0</v>
      </c>
      <c r="CJ426" t="s">
        <v>5858</v>
      </c>
    </row>
    <row r="427" spans="1:88">
      <c r="A427" t="s">
        <v>1874</v>
      </c>
      <c r="B427" t="s">
        <v>1966</v>
      </c>
      <c r="C427" t="s">
        <v>116</v>
      </c>
      <c r="D427" t="s">
        <v>214</v>
      </c>
      <c r="E427" t="s">
        <v>215</v>
      </c>
      <c r="F427" t="s">
        <v>1914</v>
      </c>
      <c r="G427" t="s">
        <v>1967</v>
      </c>
      <c r="H427" t="s">
        <v>1968</v>
      </c>
      <c r="I427" t="s">
        <v>1969</v>
      </c>
      <c r="J427" t="s">
        <v>5406</v>
      </c>
      <c r="K427" t="s">
        <v>1883</v>
      </c>
      <c r="N427" t="s">
        <v>249</v>
      </c>
      <c r="O427" t="s">
        <v>48</v>
      </c>
      <c r="P427" t="s">
        <v>250</v>
      </c>
      <c r="Q427" s="534">
        <v>0</v>
      </c>
      <c r="R427" t="s">
        <v>3263</v>
      </c>
      <c r="S427">
        <v>207</v>
      </c>
      <c r="T427">
        <v>204</v>
      </c>
      <c r="U427">
        <v>201</v>
      </c>
      <c r="V427">
        <v>198</v>
      </c>
      <c r="W427">
        <v>195</v>
      </c>
      <c r="X427">
        <v>191</v>
      </c>
      <c r="AB427" t="s">
        <v>50</v>
      </c>
      <c r="AE427" t="s">
        <v>50</v>
      </c>
      <c r="AH427">
        <v>0</v>
      </c>
      <c r="AI427" t="s">
        <v>50</v>
      </c>
      <c r="AJ427" t="s">
        <v>50</v>
      </c>
      <c r="AK427" t="s">
        <v>50</v>
      </c>
      <c r="AL427" t="s">
        <v>50</v>
      </c>
      <c r="AM427" t="s">
        <v>50</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51</v>
      </c>
      <c r="BP427" s="534">
        <v>212</v>
      </c>
      <c r="BQ427" s="725">
        <v>136</v>
      </c>
      <c r="BR427" t="s">
        <v>50</v>
      </c>
      <c r="BS427" t="s">
        <v>52</v>
      </c>
      <c r="BT427">
        <v>0</v>
      </c>
      <c r="BU427" t="s">
        <v>5425</v>
      </c>
      <c r="BV427">
        <v>3.278</v>
      </c>
      <c r="BW427">
        <v>150</v>
      </c>
      <c r="BX427" t="s">
        <v>50</v>
      </c>
      <c r="BY427">
        <v>0</v>
      </c>
      <c r="BZ427">
        <v>0</v>
      </c>
      <c r="CA427" t="s">
        <v>5425</v>
      </c>
      <c r="CB427">
        <v>3.278</v>
      </c>
      <c r="CC427" s="2146">
        <v>129</v>
      </c>
      <c r="CD427" s="2146" t="s">
        <v>50</v>
      </c>
      <c r="CE427" s="2146">
        <v>0</v>
      </c>
      <c r="CF427" s="2146">
        <v>0</v>
      </c>
      <c r="CG427" s="2146" t="s">
        <v>5425</v>
      </c>
      <c r="CH427">
        <v>3.278</v>
      </c>
      <c r="CJ427" t="s">
        <v>5859</v>
      </c>
    </row>
    <row r="428" spans="1:88">
      <c r="A428" t="s">
        <v>1874</v>
      </c>
      <c r="B428" t="s">
        <v>1970</v>
      </c>
      <c r="C428" t="s">
        <v>116</v>
      </c>
      <c r="D428" t="s">
        <v>214</v>
      </c>
      <c r="E428" t="s">
        <v>215</v>
      </c>
      <c r="F428" t="s">
        <v>1914</v>
      </c>
      <c r="G428" t="s">
        <v>1971</v>
      </c>
      <c r="H428" t="s">
        <v>1972</v>
      </c>
      <c r="I428" t="s">
        <v>1973</v>
      </c>
      <c r="J428" t="s">
        <v>5408</v>
      </c>
      <c r="K428" t="s">
        <v>1883</v>
      </c>
      <c r="N428" t="s">
        <v>1195</v>
      </c>
      <c r="O428" t="s">
        <v>76</v>
      </c>
      <c r="P428" t="s">
        <v>1567</v>
      </c>
      <c r="Q428" s="534">
        <v>2</v>
      </c>
      <c r="R428" t="s">
        <v>3264</v>
      </c>
      <c r="S428">
        <v>100</v>
      </c>
      <c r="T428">
        <v>100</v>
      </c>
      <c r="U428">
        <v>100</v>
      </c>
      <c r="V428">
        <v>100</v>
      </c>
      <c r="W428">
        <v>100</v>
      </c>
      <c r="X428">
        <v>100</v>
      </c>
      <c r="AH428">
        <v>0</v>
      </c>
      <c r="AI428" t="s">
        <v>50</v>
      </c>
      <c r="AJ428" t="s">
        <v>50</v>
      </c>
      <c r="AK428" t="s">
        <v>50</v>
      </c>
      <c r="AL428" t="s">
        <v>50</v>
      </c>
      <c r="AM428" t="s">
        <v>50</v>
      </c>
      <c r="AN428">
        <v>96.72</v>
      </c>
      <c r="AO428">
        <v>96.72</v>
      </c>
      <c r="AP428">
        <v>96.72</v>
      </c>
      <c r="AQ428">
        <v>96.72</v>
      </c>
      <c r="AR428">
        <v>96.72</v>
      </c>
      <c r="AS428">
        <v>99.85</v>
      </c>
      <c r="AT428">
        <v>99.85</v>
      </c>
      <c r="AU428">
        <v>99.85</v>
      </c>
      <c r="AV428">
        <v>99.85</v>
      </c>
      <c r="AW428">
        <v>99.85</v>
      </c>
      <c r="BH428">
        <v>5.1079999999999997</v>
      </c>
      <c r="BN428">
        <v>1</v>
      </c>
      <c r="BO428" t="s">
        <v>51</v>
      </c>
      <c r="BP428" s="534">
        <v>100</v>
      </c>
      <c r="BQ428" s="726">
        <v>100</v>
      </c>
      <c r="BR428" t="s">
        <v>50</v>
      </c>
      <c r="BS428" t="s">
        <v>52</v>
      </c>
      <c r="BT428">
        <v>0</v>
      </c>
      <c r="BU428" t="s">
        <v>52</v>
      </c>
      <c r="BV428">
        <v>0</v>
      </c>
      <c r="BW428">
        <v>100</v>
      </c>
      <c r="BX428" t="s">
        <v>50</v>
      </c>
      <c r="BY428">
        <v>0</v>
      </c>
      <c r="BZ428">
        <v>0</v>
      </c>
      <c r="CA428">
        <v>0</v>
      </c>
      <c r="CB428">
        <v>0</v>
      </c>
      <c r="CC428" s="2146">
        <v>100</v>
      </c>
      <c r="CD428" s="2146" t="s">
        <v>50</v>
      </c>
      <c r="CE428" s="2146">
        <v>0</v>
      </c>
      <c r="CF428" s="2146">
        <v>0</v>
      </c>
      <c r="CG428" s="2146">
        <v>0</v>
      </c>
      <c r="CH428">
        <v>0</v>
      </c>
      <c r="CJ428" t="s">
        <v>5860</v>
      </c>
    </row>
    <row r="429" spans="1:88">
      <c r="A429" t="s">
        <v>1874</v>
      </c>
      <c r="B429" t="s">
        <v>1974</v>
      </c>
      <c r="C429" t="s">
        <v>116</v>
      </c>
      <c r="D429" t="s">
        <v>101</v>
      </c>
      <c r="E429" t="s">
        <v>102</v>
      </c>
      <c r="F429" t="s">
        <v>1975</v>
      </c>
      <c r="G429" t="s">
        <v>1976</v>
      </c>
      <c r="H429" t="s">
        <v>1977</v>
      </c>
      <c r="I429" t="s">
        <v>1978</v>
      </c>
      <c r="J429" t="s">
        <v>5406</v>
      </c>
      <c r="K429" t="s">
        <v>45</v>
      </c>
      <c r="M429" t="s">
        <v>46</v>
      </c>
      <c r="N429" t="s">
        <v>106</v>
      </c>
      <c r="O429" t="s">
        <v>281</v>
      </c>
      <c r="P429" t="s">
        <v>408</v>
      </c>
      <c r="Q429" s="534" t="s">
        <v>51</v>
      </c>
      <c r="R429" t="s">
        <v>3264</v>
      </c>
      <c r="S429" t="s">
        <v>1979</v>
      </c>
      <c r="T429" t="s">
        <v>802</v>
      </c>
      <c r="U429" t="s">
        <v>802</v>
      </c>
      <c r="V429" t="s">
        <v>802</v>
      </c>
      <c r="W429" t="s">
        <v>802</v>
      </c>
      <c r="X429" t="s">
        <v>802</v>
      </c>
      <c r="AH429">
        <v>0</v>
      </c>
      <c r="AI429" t="s">
        <v>50</v>
      </c>
      <c r="AJ429" t="s">
        <v>50</v>
      </c>
      <c r="AK429" t="s">
        <v>50</v>
      </c>
      <c r="AL429" t="s">
        <v>50</v>
      </c>
      <c r="AM429" t="s">
        <v>50</v>
      </c>
      <c r="AN429" t="s">
        <v>109</v>
      </c>
      <c r="AO429" t="s">
        <v>109</v>
      </c>
      <c r="AP429" t="s">
        <v>109</v>
      </c>
      <c r="AQ429" t="s">
        <v>109</v>
      </c>
      <c r="AR429" t="s">
        <v>109</v>
      </c>
      <c r="AS429" t="s">
        <v>109</v>
      </c>
      <c r="AT429" t="s">
        <v>109</v>
      </c>
      <c r="AU429" t="s">
        <v>109</v>
      </c>
      <c r="AV429" t="s">
        <v>109</v>
      </c>
      <c r="AW429" t="s">
        <v>109</v>
      </c>
      <c r="AX429" t="s">
        <v>109</v>
      </c>
      <c r="AY429" t="s">
        <v>109</v>
      </c>
      <c r="AZ429" t="s">
        <v>109</v>
      </c>
      <c r="BA429" t="s">
        <v>109</v>
      </c>
      <c r="BB429" t="s">
        <v>109</v>
      </c>
      <c r="BC429" t="s">
        <v>109</v>
      </c>
      <c r="BD429" t="s">
        <v>109</v>
      </c>
      <c r="BE429" t="s">
        <v>109</v>
      </c>
      <c r="BF429" t="s">
        <v>109</v>
      </c>
      <c r="BG429" t="s">
        <v>109</v>
      </c>
      <c r="BH429" t="s">
        <v>109</v>
      </c>
      <c r="BL429" t="s">
        <v>109</v>
      </c>
      <c r="BN429">
        <v>1</v>
      </c>
      <c r="BO429" t="s">
        <v>51</v>
      </c>
      <c r="BP429" s="534">
        <v>81</v>
      </c>
      <c r="BQ429" s="726">
        <v>81.55</v>
      </c>
      <c r="BR429" t="s">
        <v>46</v>
      </c>
      <c r="BS429" t="s">
        <v>52</v>
      </c>
      <c r="BT429">
        <v>0</v>
      </c>
      <c r="BU429" t="s">
        <v>52</v>
      </c>
      <c r="BV429">
        <v>0</v>
      </c>
      <c r="BW429">
        <v>85.44</v>
      </c>
      <c r="BX429" t="s">
        <v>46</v>
      </c>
      <c r="BY429">
        <v>0</v>
      </c>
      <c r="BZ429">
        <v>0</v>
      </c>
      <c r="CA429">
        <v>0</v>
      </c>
      <c r="CB429">
        <v>0</v>
      </c>
      <c r="CC429" s="2146">
        <v>86.873881667676727</v>
      </c>
      <c r="CD429" s="2146" t="s">
        <v>2148</v>
      </c>
      <c r="CE429" s="2146">
        <v>0</v>
      </c>
      <c r="CF429" s="2146">
        <v>0</v>
      </c>
      <c r="CG429" s="2146">
        <v>0</v>
      </c>
      <c r="CH429">
        <v>0</v>
      </c>
      <c r="CJ429" t="s">
        <v>5861</v>
      </c>
    </row>
    <row r="430" spans="1:88">
      <c r="A430" t="s">
        <v>1874</v>
      </c>
      <c r="B430" t="s">
        <v>1980</v>
      </c>
      <c r="C430" t="s">
        <v>116</v>
      </c>
      <c r="D430" t="s">
        <v>101</v>
      </c>
      <c r="E430" t="s">
        <v>102</v>
      </c>
      <c r="F430" t="s">
        <v>1975</v>
      </c>
      <c r="G430" t="s">
        <v>111</v>
      </c>
      <c r="H430" t="s">
        <v>1981</v>
      </c>
      <c r="I430" t="s">
        <v>1982</v>
      </c>
      <c r="J430" t="s">
        <v>5408</v>
      </c>
      <c r="K430" t="s">
        <v>45</v>
      </c>
      <c r="M430" t="s">
        <v>46</v>
      </c>
      <c r="N430" t="s">
        <v>192</v>
      </c>
      <c r="O430" t="s">
        <v>750</v>
      </c>
      <c r="P430" t="s">
        <v>751</v>
      </c>
      <c r="Q430" s="534">
        <v>3</v>
      </c>
      <c r="R430" t="s">
        <v>3264</v>
      </c>
      <c r="S430">
        <v>0</v>
      </c>
      <c r="T430">
        <v>1.0529999999999999</v>
      </c>
      <c r="U430">
        <v>3.37</v>
      </c>
      <c r="V430">
        <v>6.3959999999999999</v>
      </c>
      <c r="W430">
        <v>10.86</v>
      </c>
      <c r="X430">
        <v>17.768999999999998</v>
      </c>
      <c r="AD430" t="s">
        <v>50</v>
      </c>
      <c r="AH430">
        <v>0</v>
      </c>
      <c r="AL430" t="s">
        <v>50</v>
      </c>
      <c r="AM430" t="s">
        <v>50</v>
      </c>
      <c r="AR430">
        <v>0</v>
      </c>
      <c r="AW430">
        <v>17.768999999999998</v>
      </c>
      <c r="BH430" t="s">
        <v>1058</v>
      </c>
      <c r="BI430">
        <v>8.8800000000000008</v>
      </c>
      <c r="BN430">
        <v>1</v>
      </c>
      <c r="BO430" t="s">
        <v>51</v>
      </c>
      <c r="BP430" s="534">
        <v>0</v>
      </c>
      <c r="BQ430" s="736">
        <v>1E-3</v>
      </c>
      <c r="BR430" t="s">
        <v>46</v>
      </c>
      <c r="BS430" t="s">
        <v>52</v>
      </c>
      <c r="BT430">
        <v>0</v>
      </c>
      <c r="BU430" t="s">
        <v>52</v>
      </c>
      <c r="BV430">
        <v>0</v>
      </c>
      <c r="BW430">
        <v>0.36328700000000003</v>
      </c>
      <c r="BX430" t="s">
        <v>46</v>
      </c>
      <c r="BY430">
        <v>0</v>
      </c>
      <c r="BZ430">
        <v>0</v>
      </c>
      <c r="CA430">
        <v>0</v>
      </c>
      <c r="CB430">
        <v>0</v>
      </c>
      <c r="CC430" s="2146">
        <v>2.5760000000000001</v>
      </c>
      <c r="CD430" s="2146" t="s">
        <v>46</v>
      </c>
      <c r="CE430" s="2146">
        <v>0</v>
      </c>
      <c r="CF430" s="2146">
        <v>0</v>
      </c>
      <c r="CG430" s="2146">
        <v>0</v>
      </c>
      <c r="CH430">
        <v>0</v>
      </c>
      <c r="CJ430" t="s">
        <v>5862</v>
      </c>
    </row>
    <row r="431" spans="1:88">
      <c r="A431" t="s">
        <v>1874</v>
      </c>
      <c r="B431" t="s">
        <v>1983</v>
      </c>
      <c r="C431" t="s">
        <v>116</v>
      </c>
      <c r="D431" t="s">
        <v>101</v>
      </c>
      <c r="E431" t="s">
        <v>102</v>
      </c>
      <c r="F431" t="s">
        <v>1924</v>
      </c>
      <c r="G431" t="s">
        <v>332</v>
      </c>
      <c r="H431" t="s">
        <v>1984</v>
      </c>
      <c r="I431" t="s">
        <v>1985</v>
      </c>
      <c r="J431" t="s">
        <v>69</v>
      </c>
      <c r="N431" t="s">
        <v>113</v>
      </c>
      <c r="O431" t="s">
        <v>76</v>
      </c>
      <c r="P431" t="s">
        <v>193</v>
      </c>
      <c r="Q431" s="534">
        <v>0</v>
      </c>
      <c r="R431" t="s">
        <v>3264</v>
      </c>
      <c r="S431">
        <v>48</v>
      </c>
      <c r="T431">
        <v>49</v>
      </c>
      <c r="U431">
        <v>50</v>
      </c>
      <c r="V431">
        <v>51</v>
      </c>
      <c r="W431">
        <v>52</v>
      </c>
      <c r="X431">
        <v>53</v>
      </c>
      <c r="AH431">
        <v>0</v>
      </c>
      <c r="BP431" s="534">
        <v>51</v>
      </c>
      <c r="BQ431" s="725">
        <v>50</v>
      </c>
      <c r="BR431" t="s">
        <v>50</v>
      </c>
      <c r="BS431" t="s">
        <v>52</v>
      </c>
      <c r="BT431">
        <v>0</v>
      </c>
      <c r="BU431" t="s">
        <v>52</v>
      </c>
      <c r="BV431">
        <v>0</v>
      </c>
      <c r="BW431">
        <v>52</v>
      </c>
      <c r="BX431" t="s">
        <v>50</v>
      </c>
      <c r="BY431">
        <v>0</v>
      </c>
      <c r="BZ431">
        <v>0</v>
      </c>
      <c r="CA431">
        <v>0</v>
      </c>
      <c r="CB431">
        <v>0</v>
      </c>
      <c r="CC431" s="2146">
        <v>52</v>
      </c>
      <c r="CD431" s="2146" t="s">
        <v>50</v>
      </c>
      <c r="CE431" s="2146">
        <v>0</v>
      </c>
      <c r="CF431" s="2146">
        <v>0</v>
      </c>
      <c r="CG431" s="2146">
        <v>0</v>
      </c>
      <c r="CH431">
        <v>0</v>
      </c>
      <c r="CJ431" t="s">
        <v>5863</v>
      </c>
    </row>
    <row r="432" spans="1:88">
      <c r="A432" t="s">
        <v>1874</v>
      </c>
      <c r="B432" t="s">
        <v>1986</v>
      </c>
      <c r="C432" t="s">
        <v>116</v>
      </c>
      <c r="D432" t="s">
        <v>101</v>
      </c>
      <c r="E432" t="s">
        <v>102</v>
      </c>
      <c r="F432" t="s">
        <v>1924</v>
      </c>
      <c r="G432" t="s">
        <v>457</v>
      </c>
      <c r="H432" t="s">
        <v>1987</v>
      </c>
      <c r="I432" t="s">
        <v>1988</v>
      </c>
      <c r="J432" t="s">
        <v>69</v>
      </c>
      <c r="N432" t="s">
        <v>56</v>
      </c>
      <c r="O432" t="s">
        <v>48</v>
      </c>
      <c r="P432" t="s">
        <v>159</v>
      </c>
      <c r="Q432" s="534">
        <v>0</v>
      </c>
      <c r="R432" t="s">
        <v>3263</v>
      </c>
      <c r="S432">
        <v>297</v>
      </c>
      <c r="T432">
        <v>294</v>
      </c>
      <c r="U432">
        <v>292</v>
      </c>
      <c r="V432">
        <v>289</v>
      </c>
      <c r="W432">
        <v>286</v>
      </c>
      <c r="X432">
        <v>284</v>
      </c>
      <c r="AH432">
        <v>0</v>
      </c>
      <c r="BP432" s="534">
        <v>304.10000000000002</v>
      </c>
      <c r="BQ432" s="725">
        <v>303</v>
      </c>
      <c r="BR432" t="s">
        <v>46</v>
      </c>
      <c r="BS432" t="s">
        <v>52</v>
      </c>
      <c r="BT432">
        <v>0</v>
      </c>
      <c r="BU432" t="s">
        <v>52</v>
      </c>
      <c r="BV432">
        <v>0</v>
      </c>
      <c r="BW432">
        <v>305</v>
      </c>
      <c r="BX432" t="s">
        <v>46</v>
      </c>
      <c r="BY432">
        <v>0</v>
      </c>
      <c r="BZ432">
        <v>0</v>
      </c>
      <c r="CA432">
        <v>0</v>
      </c>
      <c r="CB432">
        <v>0</v>
      </c>
      <c r="CC432" s="2146">
        <v>311</v>
      </c>
      <c r="CD432" s="2146" t="s">
        <v>46</v>
      </c>
      <c r="CE432" s="2146">
        <v>0</v>
      </c>
      <c r="CF432" s="2146">
        <v>0</v>
      </c>
      <c r="CG432" s="2146">
        <v>0</v>
      </c>
      <c r="CH432">
        <v>0</v>
      </c>
      <c r="CJ432" t="s">
        <v>5864</v>
      </c>
    </row>
    <row r="433" spans="1:88">
      <c r="A433" t="s">
        <v>1989</v>
      </c>
      <c r="B433" t="s">
        <v>1990</v>
      </c>
      <c r="C433" t="s">
        <v>116</v>
      </c>
      <c r="D433" t="s">
        <v>40</v>
      </c>
      <c r="E433" t="s">
        <v>41</v>
      </c>
      <c r="F433" t="s">
        <v>347</v>
      </c>
      <c r="G433" t="s">
        <v>315</v>
      </c>
      <c r="H433" t="s">
        <v>1991</v>
      </c>
      <c r="I433" t="s">
        <v>1992</v>
      </c>
      <c r="J433" t="s">
        <v>5408</v>
      </c>
      <c r="K433" t="s">
        <v>45</v>
      </c>
      <c r="N433" t="s">
        <v>75</v>
      </c>
      <c r="O433" t="s">
        <v>76</v>
      </c>
      <c r="P433" t="s">
        <v>77</v>
      </c>
      <c r="Q433" s="534">
        <v>2</v>
      </c>
      <c r="R433" t="s">
        <v>3264</v>
      </c>
      <c r="S433">
        <v>99.98</v>
      </c>
      <c r="T433">
        <v>99.98</v>
      </c>
      <c r="U433">
        <v>99.98</v>
      </c>
      <c r="V433">
        <v>100</v>
      </c>
      <c r="W433">
        <v>100</v>
      </c>
      <c r="X433">
        <v>100</v>
      </c>
      <c r="Y433" t="s">
        <v>50</v>
      </c>
      <c r="AE433" t="s">
        <v>50</v>
      </c>
      <c r="AH433">
        <v>0</v>
      </c>
      <c r="AI433" t="s">
        <v>50</v>
      </c>
      <c r="AJ433" t="s">
        <v>50</v>
      </c>
      <c r="AK433" t="s">
        <v>50</v>
      </c>
      <c r="AL433" t="s">
        <v>50</v>
      </c>
      <c r="AM433" t="s">
        <v>50</v>
      </c>
      <c r="AN433">
        <v>99.91</v>
      </c>
      <c r="AO433">
        <v>99.91</v>
      </c>
      <c r="AP433">
        <v>99.91</v>
      </c>
      <c r="AQ433">
        <v>99.91</v>
      </c>
      <c r="AR433">
        <v>99.91</v>
      </c>
      <c r="AS433">
        <v>99.95</v>
      </c>
      <c r="AT433">
        <v>99.95</v>
      </c>
      <c r="AU433">
        <v>99.95</v>
      </c>
      <c r="AV433">
        <v>99.95</v>
      </c>
      <c r="AW433">
        <v>99.95</v>
      </c>
      <c r="BH433">
        <v>2.5</v>
      </c>
      <c r="BN433">
        <v>100</v>
      </c>
      <c r="BO433" t="s">
        <v>351</v>
      </c>
      <c r="BP433" s="534">
        <v>99.94</v>
      </c>
      <c r="BQ433" s="726">
        <v>99.96</v>
      </c>
      <c r="BR433" t="s">
        <v>46</v>
      </c>
      <c r="BS433" t="s">
        <v>52</v>
      </c>
      <c r="BT433">
        <v>0</v>
      </c>
      <c r="BU433" t="s">
        <v>5378</v>
      </c>
      <c r="BV433">
        <v>0</v>
      </c>
      <c r="BW433">
        <v>99.97</v>
      </c>
      <c r="BX433" t="s">
        <v>46</v>
      </c>
      <c r="BY433">
        <v>0</v>
      </c>
      <c r="BZ433">
        <v>0</v>
      </c>
      <c r="CA433" t="s">
        <v>5378</v>
      </c>
      <c r="CB433">
        <v>0</v>
      </c>
      <c r="CC433" s="2146">
        <v>99.96</v>
      </c>
      <c r="CD433" s="2146" t="s">
        <v>46</v>
      </c>
      <c r="CE433" s="2146">
        <v>0</v>
      </c>
      <c r="CF433" s="2146">
        <v>0</v>
      </c>
      <c r="CG433" s="2146" t="s">
        <v>13445</v>
      </c>
      <c r="CH433">
        <v>0</v>
      </c>
      <c r="CJ433" t="s">
        <v>5865</v>
      </c>
    </row>
    <row r="434" spans="1:88">
      <c r="A434" t="s">
        <v>1989</v>
      </c>
      <c r="B434" t="s">
        <v>1993</v>
      </c>
      <c r="C434" t="s">
        <v>116</v>
      </c>
      <c r="D434" t="s">
        <v>40</v>
      </c>
      <c r="E434" t="s">
        <v>41</v>
      </c>
      <c r="F434" t="s">
        <v>347</v>
      </c>
      <c r="G434" t="s">
        <v>319</v>
      </c>
      <c r="H434" t="s">
        <v>1994</v>
      </c>
      <c r="I434" t="s">
        <v>1995</v>
      </c>
      <c r="J434" t="s">
        <v>5406</v>
      </c>
      <c r="K434" t="s">
        <v>45</v>
      </c>
      <c r="N434" t="s">
        <v>24</v>
      </c>
      <c r="O434" t="s">
        <v>48</v>
      </c>
      <c r="P434" t="s">
        <v>1482</v>
      </c>
      <c r="Q434" s="534">
        <v>2</v>
      </c>
      <c r="R434" t="s">
        <v>3263</v>
      </c>
      <c r="S434">
        <v>3.2</v>
      </c>
      <c r="T434">
        <v>2.54</v>
      </c>
      <c r="U434">
        <v>1.89</v>
      </c>
      <c r="V434">
        <v>1.23</v>
      </c>
      <c r="W434">
        <v>1.23</v>
      </c>
      <c r="X434">
        <v>1.23</v>
      </c>
      <c r="Z434" t="s">
        <v>50</v>
      </c>
      <c r="AE434" t="s">
        <v>50</v>
      </c>
      <c r="AH434">
        <v>0</v>
      </c>
      <c r="AI434" t="s">
        <v>50</v>
      </c>
      <c r="AJ434" t="s">
        <v>50</v>
      </c>
      <c r="AK434" t="s">
        <v>50</v>
      </c>
      <c r="AL434" t="s">
        <v>50</v>
      </c>
      <c r="AM434" t="s">
        <v>50</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51</v>
      </c>
      <c r="BP434" s="534">
        <v>3.53</v>
      </c>
      <c r="BQ434" s="726">
        <v>3.08</v>
      </c>
      <c r="BR434" t="s">
        <v>46</v>
      </c>
      <c r="BS434" t="s">
        <v>52</v>
      </c>
      <c r="BT434">
        <v>0</v>
      </c>
      <c r="BU434" t="s">
        <v>5378</v>
      </c>
      <c r="BV434">
        <v>0</v>
      </c>
      <c r="BW434">
        <v>3.2</v>
      </c>
      <c r="BX434" t="s">
        <v>46</v>
      </c>
      <c r="BY434">
        <v>0</v>
      </c>
      <c r="BZ434">
        <v>0</v>
      </c>
      <c r="CA434" t="s">
        <v>5378</v>
      </c>
      <c r="CB434">
        <v>0</v>
      </c>
      <c r="CC434" s="2146">
        <v>3.19</v>
      </c>
      <c r="CD434" s="2146" t="s">
        <v>46</v>
      </c>
      <c r="CE434" s="2146">
        <v>0</v>
      </c>
      <c r="CF434" s="2146">
        <v>0</v>
      </c>
      <c r="CG434" s="2146" t="s">
        <v>13444</v>
      </c>
      <c r="CH434">
        <v>-1.86</v>
      </c>
      <c r="CJ434" t="s">
        <v>5866</v>
      </c>
    </row>
    <row r="435" spans="1:88">
      <c r="A435" t="s">
        <v>1989</v>
      </c>
      <c r="B435" t="s">
        <v>1996</v>
      </c>
      <c r="C435" t="s">
        <v>116</v>
      </c>
      <c r="D435" t="s">
        <v>40</v>
      </c>
      <c r="E435" t="s">
        <v>41</v>
      </c>
      <c r="F435" t="s">
        <v>347</v>
      </c>
      <c r="G435" t="s">
        <v>327</v>
      </c>
      <c r="H435" t="s">
        <v>1997</v>
      </c>
      <c r="I435" t="s">
        <v>1998</v>
      </c>
      <c r="J435" t="s">
        <v>5406</v>
      </c>
      <c r="K435" t="s">
        <v>45</v>
      </c>
      <c r="N435" t="s">
        <v>86</v>
      </c>
      <c r="O435" t="s">
        <v>119</v>
      </c>
      <c r="P435" t="s">
        <v>1999</v>
      </c>
      <c r="Q435" s="534">
        <v>1</v>
      </c>
      <c r="R435" t="s">
        <v>3263</v>
      </c>
      <c r="S435">
        <v>48</v>
      </c>
      <c r="T435">
        <v>36</v>
      </c>
      <c r="U435">
        <v>24</v>
      </c>
      <c r="V435">
        <v>12</v>
      </c>
      <c r="W435">
        <v>12</v>
      </c>
      <c r="X435">
        <v>12</v>
      </c>
      <c r="AA435" t="s">
        <v>50</v>
      </c>
      <c r="AE435" t="s">
        <v>50</v>
      </c>
      <c r="AH435">
        <v>0</v>
      </c>
      <c r="AI435" t="s">
        <v>50</v>
      </c>
      <c r="AJ435" t="s">
        <v>50</v>
      </c>
      <c r="AK435" t="s">
        <v>50</v>
      </c>
      <c r="AL435" t="s">
        <v>50</v>
      </c>
      <c r="AM435" t="s">
        <v>50</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51</v>
      </c>
      <c r="BP435" s="534">
        <v>23</v>
      </c>
      <c r="BQ435" s="722">
        <v>21.7</v>
      </c>
      <c r="BR435" t="s">
        <v>50</v>
      </c>
      <c r="BS435" t="s">
        <v>52</v>
      </c>
      <c r="BT435">
        <v>0</v>
      </c>
      <c r="BU435" t="s">
        <v>5379</v>
      </c>
      <c r="BV435">
        <v>0</v>
      </c>
      <c r="BW435">
        <v>12.15</v>
      </c>
      <c r="BX435" t="s">
        <v>50</v>
      </c>
      <c r="BY435">
        <v>0</v>
      </c>
      <c r="BZ435">
        <v>0</v>
      </c>
      <c r="CA435" t="s">
        <v>5379</v>
      </c>
      <c r="CB435">
        <v>0</v>
      </c>
      <c r="CC435" s="2146">
        <v>43.3</v>
      </c>
      <c r="CD435" s="2146" t="s">
        <v>46</v>
      </c>
      <c r="CE435" s="2146">
        <v>0</v>
      </c>
      <c r="CF435" s="2146">
        <v>0</v>
      </c>
      <c r="CG435" s="2146" t="s">
        <v>13444</v>
      </c>
      <c r="CH435">
        <v>-3.9</v>
      </c>
      <c r="CJ435" t="s">
        <v>5867</v>
      </c>
    </row>
    <row r="436" spans="1:88">
      <c r="A436" t="s">
        <v>1989</v>
      </c>
      <c r="B436" t="s">
        <v>2000</v>
      </c>
      <c r="C436" t="s">
        <v>116</v>
      </c>
      <c r="D436" t="s">
        <v>40</v>
      </c>
      <c r="E436" t="s">
        <v>41</v>
      </c>
      <c r="F436" t="s">
        <v>2001</v>
      </c>
      <c r="G436" t="s">
        <v>332</v>
      </c>
      <c r="H436" t="s">
        <v>2002</v>
      </c>
      <c r="I436" t="s">
        <v>2003</v>
      </c>
      <c r="J436" t="s">
        <v>69</v>
      </c>
      <c r="N436" t="s">
        <v>65</v>
      </c>
      <c r="O436" t="s">
        <v>76</v>
      </c>
      <c r="P436" t="s">
        <v>2004</v>
      </c>
      <c r="Q436" s="534">
        <v>0</v>
      </c>
      <c r="R436" t="s">
        <v>3264</v>
      </c>
      <c r="S436">
        <v>100</v>
      </c>
      <c r="T436">
        <v>100</v>
      </c>
      <c r="U436">
        <v>100</v>
      </c>
      <c r="V436">
        <v>100</v>
      </c>
      <c r="W436">
        <v>100</v>
      </c>
      <c r="X436">
        <v>100</v>
      </c>
      <c r="AH436">
        <v>0</v>
      </c>
      <c r="BP436" s="534">
        <v>100</v>
      </c>
      <c r="BQ436" s="725">
        <v>100</v>
      </c>
      <c r="BR436" t="s">
        <v>50</v>
      </c>
      <c r="BS436" t="s">
        <v>52</v>
      </c>
      <c r="BT436">
        <v>0</v>
      </c>
      <c r="BU436" t="s">
        <v>52</v>
      </c>
      <c r="BV436">
        <v>0</v>
      </c>
      <c r="BW436">
        <v>100</v>
      </c>
      <c r="BX436" t="s">
        <v>50</v>
      </c>
      <c r="BY436">
        <v>0</v>
      </c>
      <c r="BZ436">
        <v>0</v>
      </c>
      <c r="CA436">
        <v>0</v>
      </c>
      <c r="CB436">
        <v>0</v>
      </c>
      <c r="CC436" s="2146">
        <v>100</v>
      </c>
      <c r="CD436" s="2146" t="s">
        <v>50</v>
      </c>
      <c r="CE436" s="2146">
        <v>0</v>
      </c>
      <c r="CF436" s="2146">
        <v>0</v>
      </c>
      <c r="CG436" s="2146">
        <v>0</v>
      </c>
      <c r="CH436">
        <v>0</v>
      </c>
      <c r="CJ436" t="s">
        <v>5868</v>
      </c>
    </row>
    <row r="437" spans="1:88">
      <c r="A437" t="s">
        <v>1989</v>
      </c>
      <c r="B437" t="s">
        <v>2005</v>
      </c>
      <c r="C437" t="s">
        <v>116</v>
      </c>
      <c r="D437" t="s">
        <v>40</v>
      </c>
      <c r="E437" t="s">
        <v>41</v>
      </c>
      <c r="F437" t="s">
        <v>2006</v>
      </c>
      <c r="G437" t="s">
        <v>342</v>
      </c>
      <c r="H437" t="s">
        <v>2007</v>
      </c>
      <c r="I437" t="s">
        <v>2008</v>
      </c>
      <c r="J437" t="s">
        <v>69</v>
      </c>
      <c r="N437" t="s">
        <v>182</v>
      </c>
      <c r="O437" t="s">
        <v>48</v>
      </c>
      <c r="P437" t="s">
        <v>1698</v>
      </c>
      <c r="Q437" s="534">
        <v>2</v>
      </c>
      <c r="R437" t="s">
        <v>3264</v>
      </c>
      <c r="S437">
        <v>7.11</v>
      </c>
      <c r="T437">
        <v>7.11</v>
      </c>
      <c r="U437">
        <v>9.7799999999999994</v>
      </c>
      <c r="V437">
        <v>12.45</v>
      </c>
      <c r="W437">
        <v>15.11</v>
      </c>
      <c r="X437">
        <v>17.78</v>
      </c>
      <c r="AH437">
        <v>0</v>
      </c>
      <c r="BP437" s="534">
        <v>14.02</v>
      </c>
      <c r="BQ437" s="726">
        <v>50.21</v>
      </c>
      <c r="BR437" t="s">
        <v>50</v>
      </c>
      <c r="BS437" t="s">
        <v>52</v>
      </c>
      <c r="BT437">
        <v>0</v>
      </c>
      <c r="BU437" t="s">
        <v>52</v>
      </c>
      <c r="BV437">
        <v>0</v>
      </c>
      <c r="BW437">
        <v>37.49</v>
      </c>
      <c r="BX437" t="s">
        <v>50</v>
      </c>
      <c r="BY437">
        <v>0</v>
      </c>
      <c r="BZ437">
        <v>0</v>
      </c>
      <c r="CA437">
        <v>0</v>
      </c>
      <c r="CB437">
        <v>0</v>
      </c>
      <c r="CC437" s="2146">
        <v>42.38</v>
      </c>
      <c r="CD437" s="2146" t="s">
        <v>50</v>
      </c>
      <c r="CE437" s="2146">
        <v>0</v>
      </c>
      <c r="CF437" s="2146">
        <v>0</v>
      </c>
      <c r="CG437" s="2146">
        <v>0</v>
      </c>
      <c r="CH437">
        <v>0</v>
      </c>
      <c r="CJ437" t="s">
        <v>5869</v>
      </c>
    </row>
    <row r="438" spans="1:88">
      <c r="A438" t="s">
        <v>1989</v>
      </c>
      <c r="B438" t="s">
        <v>2009</v>
      </c>
      <c r="C438" t="s">
        <v>116</v>
      </c>
      <c r="D438" t="s">
        <v>40</v>
      </c>
      <c r="E438" t="s">
        <v>41</v>
      </c>
      <c r="F438" t="s">
        <v>2010</v>
      </c>
      <c r="G438" t="s">
        <v>348</v>
      </c>
      <c r="H438" t="s">
        <v>2011</v>
      </c>
      <c r="I438" t="s">
        <v>2012</v>
      </c>
      <c r="J438" t="s">
        <v>5406</v>
      </c>
      <c r="K438" t="s">
        <v>45</v>
      </c>
      <c r="M438" t="s">
        <v>46</v>
      </c>
      <c r="N438" t="s">
        <v>106</v>
      </c>
      <c r="O438" t="s">
        <v>281</v>
      </c>
      <c r="P438" t="s">
        <v>408</v>
      </c>
      <c r="Q438" s="534" t="s">
        <v>51</v>
      </c>
      <c r="R438" t="s">
        <v>3264</v>
      </c>
      <c r="S438" t="s">
        <v>1979</v>
      </c>
      <c r="T438" t="s">
        <v>802</v>
      </c>
      <c r="U438" t="s">
        <v>802</v>
      </c>
      <c r="V438" t="s">
        <v>802</v>
      </c>
      <c r="W438" t="s">
        <v>802</v>
      </c>
      <c r="X438" t="s">
        <v>802</v>
      </c>
      <c r="AH438">
        <v>0</v>
      </c>
      <c r="AI438" t="s">
        <v>50</v>
      </c>
      <c r="AJ438" t="s">
        <v>50</v>
      </c>
      <c r="AK438" t="s">
        <v>50</v>
      </c>
      <c r="AL438" t="s">
        <v>50</v>
      </c>
      <c r="AM438" t="s">
        <v>50</v>
      </c>
      <c r="AN438" t="s">
        <v>109</v>
      </c>
      <c r="AO438" t="s">
        <v>109</v>
      </c>
      <c r="AP438" t="s">
        <v>109</v>
      </c>
      <c r="AQ438" t="s">
        <v>109</v>
      </c>
      <c r="AR438" t="s">
        <v>109</v>
      </c>
      <c r="AS438" t="s">
        <v>109</v>
      </c>
      <c r="AT438" t="s">
        <v>109</v>
      </c>
      <c r="AU438" t="s">
        <v>109</v>
      </c>
      <c r="AV438" t="s">
        <v>109</v>
      </c>
      <c r="AW438" t="s">
        <v>109</v>
      </c>
      <c r="AX438" t="s">
        <v>109</v>
      </c>
      <c r="AY438" t="s">
        <v>109</v>
      </c>
      <c r="AZ438" t="s">
        <v>109</v>
      </c>
      <c r="BA438" t="s">
        <v>109</v>
      </c>
      <c r="BB438" t="s">
        <v>109</v>
      </c>
      <c r="BC438" t="s">
        <v>109</v>
      </c>
      <c r="BD438" t="s">
        <v>109</v>
      </c>
      <c r="BE438" t="s">
        <v>109</v>
      </c>
      <c r="BF438" t="s">
        <v>109</v>
      </c>
      <c r="BG438" t="s">
        <v>109</v>
      </c>
      <c r="BH438" t="s">
        <v>109</v>
      </c>
      <c r="BL438" t="s">
        <v>109</v>
      </c>
      <c r="BN438">
        <v>1</v>
      </c>
      <c r="BO438" t="s">
        <v>51</v>
      </c>
      <c r="BQ438" s="724">
        <v>83</v>
      </c>
      <c r="BR438" t="s">
        <v>46</v>
      </c>
      <c r="BS438" t="s">
        <v>52</v>
      </c>
      <c r="BT438">
        <v>0</v>
      </c>
      <c r="BU438" t="s">
        <v>52</v>
      </c>
      <c r="BV438">
        <v>0</v>
      </c>
      <c r="BW438">
        <v>82.86</v>
      </c>
      <c r="BX438" t="s">
        <v>46</v>
      </c>
      <c r="BY438">
        <v>0</v>
      </c>
      <c r="BZ438">
        <v>0</v>
      </c>
      <c r="CA438">
        <v>0</v>
      </c>
      <c r="CB438">
        <v>0</v>
      </c>
      <c r="CC438" s="2146">
        <v>84.64</v>
      </c>
      <c r="CD438" s="2146" t="s">
        <v>2148</v>
      </c>
      <c r="CE438" s="2146">
        <v>0</v>
      </c>
      <c r="CF438" s="2146">
        <v>0</v>
      </c>
      <c r="CG438" s="2146">
        <v>0</v>
      </c>
      <c r="CH438">
        <v>0</v>
      </c>
      <c r="CJ438" t="s">
        <v>5870</v>
      </c>
    </row>
    <row r="439" spans="1:88">
      <c r="A439" t="s">
        <v>1989</v>
      </c>
      <c r="B439" t="s">
        <v>2013</v>
      </c>
      <c r="C439" t="s">
        <v>116</v>
      </c>
      <c r="D439" t="s">
        <v>40</v>
      </c>
      <c r="E439" t="s">
        <v>41</v>
      </c>
      <c r="F439" t="s">
        <v>2010</v>
      </c>
      <c r="G439" t="s">
        <v>783</v>
      </c>
      <c r="H439" t="s">
        <v>2014</v>
      </c>
      <c r="I439" t="s">
        <v>2015</v>
      </c>
      <c r="J439" t="s">
        <v>69</v>
      </c>
      <c r="N439" t="s">
        <v>192</v>
      </c>
      <c r="O439" t="s">
        <v>48</v>
      </c>
      <c r="P439" t="s">
        <v>2016</v>
      </c>
      <c r="Q439" s="534">
        <v>0</v>
      </c>
      <c r="R439" t="s">
        <v>3263</v>
      </c>
      <c r="S439">
        <v>850</v>
      </c>
      <c r="T439">
        <v>850</v>
      </c>
      <c r="U439">
        <v>750</v>
      </c>
      <c r="V439">
        <v>650</v>
      </c>
      <c r="W439">
        <v>550</v>
      </c>
      <c r="X439">
        <v>425</v>
      </c>
      <c r="AH439">
        <v>0</v>
      </c>
      <c r="BP439" s="534">
        <v>702</v>
      </c>
      <c r="BQ439" s="725">
        <v>648</v>
      </c>
      <c r="BR439" t="s">
        <v>50</v>
      </c>
      <c r="BS439" t="s">
        <v>52</v>
      </c>
      <c r="BT439">
        <v>0</v>
      </c>
      <c r="BU439" t="s">
        <v>52</v>
      </c>
      <c r="BV439">
        <v>0</v>
      </c>
      <c r="BW439">
        <v>575</v>
      </c>
      <c r="BX439" t="s">
        <v>50</v>
      </c>
      <c r="BY439">
        <v>0</v>
      </c>
      <c r="BZ439">
        <v>0</v>
      </c>
      <c r="CA439">
        <v>0</v>
      </c>
      <c r="CB439">
        <v>0</v>
      </c>
      <c r="CC439" s="2146">
        <v>613</v>
      </c>
      <c r="CD439" s="2146" t="s">
        <v>50</v>
      </c>
      <c r="CE439" s="2146">
        <v>0</v>
      </c>
      <c r="CF439" s="2146">
        <v>0</v>
      </c>
      <c r="CG439" s="2146">
        <v>0</v>
      </c>
      <c r="CH439">
        <v>0</v>
      </c>
      <c r="CJ439" t="s">
        <v>5871</v>
      </c>
    </row>
    <row r="440" spans="1:88">
      <c r="A440" t="s">
        <v>1989</v>
      </c>
      <c r="B440" t="s">
        <v>2017</v>
      </c>
      <c r="C440" t="s">
        <v>116</v>
      </c>
      <c r="D440" t="s">
        <v>40</v>
      </c>
      <c r="E440" t="s">
        <v>41</v>
      </c>
      <c r="F440" t="s">
        <v>2010</v>
      </c>
      <c r="G440" t="s">
        <v>2018</v>
      </c>
      <c r="H440" t="s">
        <v>2019</v>
      </c>
      <c r="I440" t="s">
        <v>2020</v>
      </c>
      <c r="J440" t="s">
        <v>69</v>
      </c>
      <c r="N440" t="s">
        <v>192</v>
      </c>
      <c r="O440" t="s">
        <v>76</v>
      </c>
      <c r="P440" t="s">
        <v>193</v>
      </c>
      <c r="Q440" s="534">
        <v>0</v>
      </c>
      <c r="R440" t="s">
        <v>3264</v>
      </c>
      <c r="S440">
        <v>63</v>
      </c>
      <c r="T440">
        <v>63</v>
      </c>
      <c r="U440">
        <v>66</v>
      </c>
      <c r="V440">
        <v>68</v>
      </c>
      <c r="W440">
        <v>71</v>
      </c>
      <c r="X440">
        <v>75</v>
      </c>
      <c r="AH440">
        <v>0</v>
      </c>
      <c r="BP440" s="534">
        <v>79</v>
      </c>
      <c r="BQ440" s="725">
        <v>82</v>
      </c>
      <c r="BR440" t="s">
        <v>50</v>
      </c>
      <c r="BS440" t="s">
        <v>52</v>
      </c>
      <c r="BT440">
        <v>0</v>
      </c>
      <c r="BU440" t="s">
        <v>52</v>
      </c>
      <c r="BV440">
        <v>0</v>
      </c>
      <c r="BW440">
        <v>85</v>
      </c>
      <c r="BX440" t="s">
        <v>50</v>
      </c>
      <c r="BY440">
        <v>0</v>
      </c>
      <c r="BZ440">
        <v>0</v>
      </c>
      <c r="CA440">
        <v>0</v>
      </c>
      <c r="CB440">
        <v>0</v>
      </c>
      <c r="CC440" s="2146">
        <v>84</v>
      </c>
      <c r="CD440" s="2146" t="s">
        <v>50</v>
      </c>
      <c r="CE440" s="2146">
        <v>0</v>
      </c>
      <c r="CF440" s="2146">
        <v>0</v>
      </c>
      <c r="CG440" s="2146">
        <v>0</v>
      </c>
      <c r="CH440">
        <v>0</v>
      </c>
      <c r="CJ440" t="s">
        <v>5872</v>
      </c>
    </row>
    <row r="441" spans="1:88">
      <c r="A441" t="s">
        <v>1989</v>
      </c>
      <c r="B441" t="s">
        <v>2021</v>
      </c>
      <c r="C441" t="s">
        <v>116</v>
      </c>
      <c r="D441" t="s">
        <v>40</v>
      </c>
      <c r="E441" t="s">
        <v>41</v>
      </c>
      <c r="F441" t="s">
        <v>2022</v>
      </c>
      <c r="G441" t="s">
        <v>354</v>
      </c>
      <c r="H441" t="s">
        <v>2023</v>
      </c>
      <c r="I441" t="s">
        <v>2024</v>
      </c>
      <c r="J441" t="s">
        <v>69</v>
      </c>
      <c r="N441" t="s">
        <v>113</v>
      </c>
      <c r="O441" t="s">
        <v>76</v>
      </c>
      <c r="P441" t="s">
        <v>2025</v>
      </c>
      <c r="Q441" s="534">
        <v>0</v>
      </c>
      <c r="R441" t="s">
        <v>3263</v>
      </c>
      <c r="S441" t="s">
        <v>2026</v>
      </c>
      <c r="T441" t="s">
        <v>2027</v>
      </c>
      <c r="U441" t="s">
        <v>2027</v>
      </c>
      <c r="V441" t="s">
        <v>2027</v>
      </c>
      <c r="W441" t="s">
        <v>2027</v>
      </c>
      <c r="X441" t="s">
        <v>2027</v>
      </c>
      <c r="AH441">
        <v>0</v>
      </c>
      <c r="BP441" s="534">
        <v>-3</v>
      </c>
      <c r="BQ441" s="724">
        <v>-1</v>
      </c>
      <c r="BR441" t="s">
        <v>50</v>
      </c>
      <c r="BS441" t="s">
        <v>52</v>
      </c>
      <c r="BT441">
        <v>0</v>
      </c>
      <c r="BU441" t="s">
        <v>52</v>
      </c>
      <c r="BV441">
        <v>0</v>
      </c>
      <c r="BW441">
        <v>-1</v>
      </c>
      <c r="BX441" t="s">
        <v>50</v>
      </c>
      <c r="BY441">
        <v>0</v>
      </c>
      <c r="BZ441">
        <v>0</v>
      </c>
      <c r="CA441">
        <v>0</v>
      </c>
      <c r="CB441">
        <v>0</v>
      </c>
      <c r="CC441" s="2146">
        <v>-2</v>
      </c>
      <c r="CD441" s="2146" t="s">
        <v>50</v>
      </c>
      <c r="CE441" s="2146">
        <v>0</v>
      </c>
      <c r="CF441" s="2146">
        <v>0</v>
      </c>
      <c r="CG441" s="2146">
        <v>0</v>
      </c>
      <c r="CH441">
        <v>0</v>
      </c>
      <c r="CJ441" t="s">
        <v>5873</v>
      </c>
    </row>
    <row r="442" spans="1:88">
      <c r="A442" t="s">
        <v>1989</v>
      </c>
      <c r="B442" t="s">
        <v>2028</v>
      </c>
      <c r="C442" t="s">
        <v>116</v>
      </c>
      <c r="D442" t="s">
        <v>40</v>
      </c>
      <c r="E442" t="s">
        <v>41</v>
      </c>
      <c r="F442" t="s">
        <v>2029</v>
      </c>
      <c r="G442" t="s">
        <v>360</v>
      </c>
      <c r="H442" t="s">
        <v>2030</v>
      </c>
      <c r="I442" t="s">
        <v>2031</v>
      </c>
      <c r="J442" t="s">
        <v>5408</v>
      </c>
      <c r="K442" t="s">
        <v>45</v>
      </c>
      <c r="M442" t="s">
        <v>46</v>
      </c>
      <c r="N442" t="s">
        <v>91</v>
      </c>
      <c r="O442" t="s">
        <v>200</v>
      </c>
      <c r="P442" t="s">
        <v>323</v>
      </c>
      <c r="Q442" s="534" t="s">
        <v>51</v>
      </c>
      <c r="S442" t="s">
        <v>202</v>
      </c>
      <c r="T442" t="s">
        <v>202</v>
      </c>
      <c r="U442" t="s">
        <v>202</v>
      </c>
      <c r="V442" t="s">
        <v>202</v>
      </c>
      <c r="W442" t="s">
        <v>202</v>
      </c>
      <c r="X442" t="s">
        <v>202</v>
      </c>
      <c r="AE442" t="s">
        <v>50</v>
      </c>
      <c r="AH442">
        <v>11</v>
      </c>
      <c r="AI442" t="s">
        <v>50</v>
      </c>
      <c r="AJ442" t="s">
        <v>50</v>
      </c>
      <c r="AK442" t="s">
        <v>50</v>
      </c>
      <c r="AL442" t="s">
        <v>50</v>
      </c>
      <c r="AM442" t="s">
        <v>50</v>
      </c>
      <c r="AN442" t="s">
        <v>324</v>
      </c>
      <c r="AO442" t="s">
        <v>324</v>
      </c>
      <c r="AP442" t="s">
        <v>324</v>
      </c>
      <c r="AQ442" t="s">
        <v>324</v>
      </c>
      <c r="AR442" t="s">
        <v>324</v>
      </c>
      <c r="AS442" t="s">
        <v>325</v>
      </c>
      <c r="AT442" t="s">
        <v>325</v>
      </c>
      <c r="AU442" t="s">
        <v>325</v>
      </c>
      <c r="AV442" t="s">
        <v>325</v>
      </c>
      <c r="AW442" t="s">
        <v>325</v>
      </c>
      <c r="BH442">
        <v>20</v>
      </c>
      <c r="BN442">
        <v>1</v>
      </c>
      <c r="BO442" t="s">
        <v>51</v>
      </c>
      <c r="BP442" s="534" t="s">
        <v>202</v>
      </c>
      <c r="BQ442" s="724" t="s">
        <v>202</v>
      </c>
      <c r="BR442" t="s">
        <v>50</v>
      </c>
      <c r="BS442" t="s">
        <v>52</v>
      </c>
      <c r="BT442">
        <v>0</v>
      </c>
      <c r="BU442" t="s">
        <v>52</v>
      </c>
      <c r="BV442">
        <v>0</v>
      </c>
      <c r="BW442" t="s">
        <v>202</v>
      </c>
      <c r="BX442" t="s">
        <v>50</v>
      </c>
      <c r="BY442">
        <v>0</v>
      </c>
      <c r="BZ442">
        <v>0</v>
      </c>
      <c r="CA442">
        <v>0</v>
      </c>
      <c r="CB442">
        <v>0</v>
      </c>
      <c r="CC442" s="2146" t="s">
        <v>202</v>
      </c>
      <c r="CD442" s="2146" t="s">
        <v>50</v>
      </c>
      <c r="CE442" s="2146">
        <v>0</v>
      </c>
      <c r="CF442" s="2146">
        <v>0</v>
      </c>
      <c r="CG442" s="2146">
        <v>0</v>
      </c>
      <c r="CH442">
        <v>0</v>
      </c>
      <c r="CJ442" t="s">
        <v>5874</v>
      </c>
    </row>
    <row r="443" spans="1:88">
      <c r="A443" t="s">
        <v>1989</v>
      </c>
      <c r="B443" t="s">
        <v>2032</v>
      </c>
      <c r="C443" t="s">
        <v>116</v>
      </c>
      <c r="D443" t="s">
        <v>40</v>
      </c>
      <c r="E443" t="s">
        <v>41</v>
      </c>
      <c r="F443" t="s">
        <v>2029</v>
      </c>
      <c r="G443" t="s">
        <v>1000</v>
      </c>
      <c r="H443" t="s">
        <v>2033</v>
      </c>
      <c r="I443" t="s">
        <v>2034</v>
      </c>
      <c r="J443" t="s">
        <v>5406</v>
      </c>
      <c r="K443" t="s">
        <v>45</v>
      </c>
      <c r="N443" t="s">
        <v>47</v>
      </c>
      <c r="O443" t="s">
        <v>48</v>
      </c>
      <c r="P443" t="s">
        <v>49</v>
      </c>
      <c r="Q443" s="534">
        <v>0</v>
      </c>
      <c r="R443" t="s">
        <v>3263</v>
      </c>
      <c r="S443">
        <v>184</v>
      </c>
      <c r="T443">
        <v>181</v>
      </c>
      <c r="U443">
        <v>177</v>
      </c>
      <c r="V443">
        <v>173</v>
      </c>
      <c r="W443">
        <v>171</v>
      </c>
      <c r="X443">
        <v>169</v>
      </c>
      <c r="AE443" t="s">
        <v>50</v>
      </c>
      <c r="AH443">
        <v>0</v>
      </c>
      <c r="AI443" t="s">
        <v>50</v>
      </c>
      <c r="AJ443" t="s">
        <v>50</v>
      </c>
      <c r="AK443" t="s">
        <v>50</v>
      </c>
      <c r="AL443" t="s">
        <v>50</v>
      </c>
      <c r="AM443" t="s">
        <v>50</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51</v>
      </c>
      <c r="BP443" s="534">
        <v>180</v>
      </c>
      <c r="BQ443" s="725">
        <v>180</v>
      </c>
      <c r="BR443" t="s">
        <v>50</v>
      </c>
      <c r="BS443" t="s">
        <v>52</v>
      </c>
      <c r="BT443">
        <v>0</v>
      </c>
      <c r="BU443" t="s">
        <v>5379</v>
      </c>
      <c r="BV443">
        <v>0</v>
      </c>
      <c r="BW443">
        <v>175</v>
      </c>
      <c r="BX443" t="s">
        <v>50</v>
      </c>
      <c r="BY443">
        <v>0</v>
      </c>
      <c r="BZ443">
        <v>0</v>
      </c>
      <c r="CA443" t="s">
        <v>5379</v>
      </c>
      <c r="CB443">
        <v>0</v>
      </c>
      <c r="CC443" s="2146">
        <v>173</v>
      </c>
      <c r="CD443" s="2146" t="s">
        <v>50</v>
      </c>
      <c r="CE443" s="2146">
        <v>0</v>
      </c>
      <c r="CF443" s="2146">
        <v>0</v>
      </c>
      <c r="CG443" s="2146">
        <v>0</v>
      </c>
      <c r="CH443">
        <v>0</v>
      </c>
      <c r="CJ443" t="s">
        <v>5875</v>
      </c>
    </row>
    <row r="444" spans="1:88">
      <c r="A444" t="s">
        <v>1989</v>
      </c>
      <c r="B444" t="s">
        <v>2035</v>
      </c>
      <c r="C444" t="s">
        <v>116</v>
      </c>
      <c r="D444" t="s">
        <v>40</v>
      </c>
      <c r="E444" t="s">
        <v>41</v>
      </c>
      <c r="F444" t="s">
        <v>2029</v>
      </c>
      <c r="G444" t="s">
        <v>2036</v>
      </c>
      <c r="H444" t="s">
        <v>2037</v>
      </c>
      <c r="I444" t="s">
        <v>2038</v>
      </c>
      <c r="J444" t="s">
        <v>5408</v>
      </c>
      <c r="K444" t="s">
        <v>45</v>
      </c>
      <c r="N444" t="s">
        <v>137</v>
      </c>
      <c r="O444" t="s">
        <v>76</v>
      </c>
      <c r="P444" t="s">
        <v>2039</v>
      </c>
      <c r="Q444" s="534">
        <v>0</v>
      </c>
      <c r="R444" t="s">
        <v>3264</v>
      </c>
      <c r="S444">
        <v>80</v>
      </c>
      <c r="T444">
        <v>80</v>
      </c>
      <c r="U444">
        <v>81</v>
      </c>
      <c r="V444">
        <v>83</v>
      </c>
      <c r="W444">
        <v>85</v>
      </c>
      <c r="X444">
        <v>87</v>
      </c>
      <c r="AE444" t="s">
        <v>50</v>
      </c>
      <c r="AH444">
        <v>0</v>
      </c>
      <c r="AM444" t="s">
        <v>50</v>
      </c>
      <c r="AR444">
        <v>80</v>
      </c>
      <c r="AW444">
        <v>85</v>
      </c>
      <c r="BH444">
        <v>3.1</v>
      </c>
      <c r="BN444">
        <v>1</v>
      </c>
      <c r="BO444" t="s">
        <v>51</v>
      </c>
      <c r="BP444" s="534">
        <v>84</v>
      </c>
      <c r="BQ444" s="725">
        <v>87</v>
      </c>
      <c r="BR444" t="s">
        <v>50</v>
      </c>
      <c r="BS444" t="s">
        <v>52</v>
      </c>
      <c r="BT444">
        <v>0</v>
      </c>
      <c r="BU444" t="s">
        <v>52</v>
      </c>
      <c r="BV444">
        <v>0</v>
      </c>
      <c r="BW444">
        <v>89.5</v>
      </c>
      <c r="BX444" t="s">
        <v>50</v>
      </c>
      <c r="BY444">
        <v>0</v>
      </c>
      <c r="BZ444">
        <v>0</v>
      </c>
      <c r="CA444">
        <v>0</v>
      </c>
      <c r="CB444">
        <v>0</v>
      </c>
      <c r="CC444" s="2146">
        <v>90</v>
      </c>
      <c r="CD444" s="2146" t="s">
        <v>50</v>
      </c>
      <c r="CE444" s="2146">
        <v>0</v>
      </c>
      <c r="CF444" s="2146">
        <v>0</v>
      </c>
      <c r="CG444" s="2146">
        <v>0</v>
      </c>
      <c r="CH444">
        <v>0</v>
      </c>
      <c r="CJ444" t="s">
        <v>5876</v>
      </c>
    </row>
    <row r="445" spans="1:88">
      <c r="A445" t="s">
        <v>1989</v>
      </c>
      <c r="B445" t="s">
        <v>2040</v>
      </c>
      <c r="C445" t="s">
        <v>116</v>
      </c>
      <c r="D445" t="s">
        <v>214</v>
      </c>
      <c r="E445" t="s">
        <v>215</v>
      </c>
      <c r="F445" t="s">
        <v>2001</v>
      </c>
      <c r="G445" t="s">
        <v>457</v>
      </c>
      <c r="H445" t="s">
        <v>2041</v>
      </c>
      <c r="I445" t="s">
        <v>2042</v>
      </c>
      <c r="J445" t="s">
        <v>69</v>
      </c>
      <c r="N445" t="s">
        <v>175</v>
      </c>
      <c r="O445" t="s">
        <v>76</v>
      </c>
      <c r="P445" t="s">
        <v>2043</v>
      </c>
      <c r="Q445" s="534">
        <v>1</v>
      </c>
      <c r="R445" t="s">
        <v>3264</v>
      </c>
      <c r="S445">
        <v>97.1</v>
      </c>
      <c r="T445">
        <v>100</v>
      </c>
      <c r="U445">
        <v>100</v>
      </c>
      <c r="V445">
        <v>100</v>
      </c>
      <c r="W445">
        <v>100</v>
      </c>
      <c r="X445">
        <v>100</v>
      </c>
      <c r="AH445">
        <v>0</v>
      </c>
      <c r="BP445" s="534">
        <v>99.1</v>
      </c>
      <c r="BQ445" s="722">
        <v>98.6</v>
      </c>
      <c r="BR445" t="s">
        <v>46</v>
      </c>
      <c r="BS445" t="s">
        <v>52</v>
      </c>
      <c r="BT445">
        <v>0</v>
      </c>
      <c r="BU445" t="s">
        <v>52</v>
      </c>
      <c r="BV445">
        <v>0</v>
      </c>
      <c r="BW445">
        <v>99.47</v>
      </c>
      <c r="BX445" t="s">
        <v>46</v>
      </c>
      <c r="BY445">
        <v>0</v>
      </c>
      <c r="BZ445">
        <v>0</v>
      </c>
      <c r="CA445">
        <v>0</v>
      </c>
      <c r="CB445">
        <v>0</v>
      </c>
      <c r="CC445" s="2146">
        <v>98.21</v>
      </c>
      <c r="CD445" s="2146" t="s">
        <v>46</v>
      </c>
      <c r="CE445" s="2146">
        <v>0</v>
      </c>
      <c r="CF445" s="2146">
        <v>0</v>
      </c>
      <c r="CG445" s="2146">
        <v>0</v>
      </c>
      <c r="CH445">
        <v>0</v>
      </c>
      <c r="CJ445" t="s">
        <v>5877</v>
      </c>
    </row>
    <row r="446" spans="1:88">
      <c r="A446" t="s">
        <v>1989</v>
      </c>
      <c r="B446" t="s">
        <v>2044</v>
      </c>
      <c r="C446" t="s">
        <v>116</v>
      </c>
      <c r="D446" t="s">
        <v>214</v>
      </c>
      <c r="E446" t="s">
        <v>215</v>
      </c>
      <c r="F446" t="s">
        <v>2001</v>
      </c>
      <c r="G446" t="s">
        <v>461</v>
      </c>
      <c r="H446" t="s">
        <v>2045</v>
      </c>
      <c r="I446" t="s">
        <v>3261</v>
      </c>
      <c r="J446" t="s">
        <v>5406</v>
      </c>
      <c r="K446" t="s">
        <v>45</v>
      </c>
      <c r="N446" t="s">
        <v>249</v>
      </c>
      <c r="O446" t="s">
        <v>48</v>
      </c>
      <c r="P446" t="s">
        <v>250</v>
      </c>
      <c r="Q446" s="534">
        <v>0</v>
      </c>
      <c r="R446" t="s">
        <v>3263</v>
      </c>
      <c r="S446">
        <v>224</v>
      </c>
      <c r="T446">
        <v>161</v>
      </c>
      <c r="U446">
        <v>154</v>
      </c>
      <c r="V446">
        <v>131</v>
      </c>
      <c r="W446">
        <v>131</v>
      </c>
      <c r="X446">
        <v>131</v>
      </c>
      <c r="AB446" t="s">
        <v>50</v>
      </c>
      <c r="AE446" t="s">
        <v>50</v>
      </c>
      <c r="AH446">
        <v>0</v>
      </c>
      <c r="AI446" t="s">
        <v>50</v>
      </c>
      <c r="AJ446" t="s">
        <v>50</v>
      </c>
      <c r="AK446" t="s">
        <v>50</v>
      </c>
      <c r="AL446" t="s">
        <v>50</v>
      </c>
      <c r="AM446" t="s">
        <v>50</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51</v>
      </c>
      <c r="BP446" s="534">
        <v>117</v>
      </c>
      <c r="BQ446" s="725">
        <v>110</v>
      </c>
      <c r="BR446" t="s">
        <v>50</v>
      </c>
      <c r="BS446" t="s">
        <v>52</v>
      </c>
      <c r="BT446">
        <v>0</v>
      </c>
      <c r="BU446" t="s">
        <v>5425</v>
      </c>
      <c r="BV446">
        <v>0.98699999999999999</v>
      </c>
      <c r="BW446">
        <v>111</v>
      </c>
      <c r="BX446" t="s">
        <v>50</v>
      </c>
      <c r="BY446">
        <v>0</v>
      </c>
      <c r="BZ446">
        <v>0</v>
      </c>
      <c r="CA446" t="s">
        <v>5425</v>
      </c>
      <c r="CB446">
        <v>0.94</v>
      </c>
      <c r="CC446" s="2146">
        <v>112</v>
      </c>
      <c r="CD446" s="2146" t="s">
        <v>50</v>
      </c>
      <c r="CE446" s="2146">
        <v>0</v>
      </c>
      <c r="CF446" s="2146">
        <v>0</v>
      </c>
      <c r="CG446" s="2146" t="s">
        <v>5425</v>
      </c>
      <c r="CH446">
        <v>0.89300000000000002</v>
      </c>
      <c r="CJ446" t="s">
        <v>5878</v>
      </c>
    </row>
    <row r="447" spans="1:88">
      <c r="A447" t="s">
        <v>1989</v>
      </c>
      <c r="B447" t="s">
        <v>2046</v>
      </c>
      <c r="C447" t="s">
        <v>116</v>
      </c>
      <c r="D447" t="s">
        <v>214</v>
      </c>
      <c r="E447" t="s">
        <v>215</v>
      </c>
      <c r="F447" t="s">
        <v>2006</v>
      </c>
      <c r="G447" t="s">
        <v>338</v>
      </c>
      <c r="H447" t="s">
        <v>2047</v>
      </c>
      <c r="I447" t="s">
        <v>2048</v>
      </c>
      <c r="J447" t="s">
        <v>5408</v>
      </c>
      <c r="K447" t="s">
        <v>45</v>
      </c>
      <c r="N447" t="s">
        <v>230</v>
      </c>
      <c r="O447" t="s">
        <v>48</v>
      </c>
      <c r="P447" t="s">
        <v>5879</v>
      </c>
      <c r="Q447" s="534">
        <v>0</v>
      </c>
      <c r="R447" t="s">
        <v>3264</v>
      </c>
      <c r="S447">
        <v>1000</v>
      </c>
      <c r="T447">
        <v>1000</v>
      </c>
      <c r="U447">
        <v>1000</v>
      </c>
      <c r="V447">
        <v>15000</v>
      </c>
      <c r="W447">
        <v>20000</v>
      </c>
      <c r="X447">
        <v>25000</v>
      </c>
      <c r="AH447">
        <v>0</v>
      </c>
      <c r="AI447" t="s">
        <v>50</v>
      </c>
      <c r="AJ447" t="s">
        <v>50</v>
      </c>
      <c r="AK447" t="s">
        <v>50</v>
      </c>
      <c r="AL447" t="s">
        <v>50</v>
      </c>
      <c r="AM447" t="s">
        <v>50</v>
      </c>
      <c r="AN447">
        <v>1000</v>
      </c>
      <c r="AO447">
        <v>1000</v>
      </c>
      <c r="AP447">
        <v>1000</v>
      </c>
      <c r="AQ447">
        <v>1000</v>
      </c>
      <c r="AR447">
        <v>1000</v>
      </c>
      <c r="AS447">
        <v>1000</v>
      </c>
      <c r="AT447">
        <v>1000</v>
      </c>
      <c r="AU447">
        <v>8000</v>
      </c>
      <c r="AV447">
        <v>10500</v>
      </c>
      <c r="AW447">
        <v>13000</v>
      </c>
      <c r="BH447">
        <v>2.0000000000000001E-4</v>
      </c>
      <c r="BN447">
        <v>1</v>
      </c>
      <c r="BO447" t="s">
        <v>51</v>
      </c>
      <c r="BP447" s="534">
        <v>1247</v>
      </c>
      <c r="BQ447" s="725">
        <v>1531</v>
      </c>
      <c r="BR447" t="s">
        <v>50</v>
      </c>
      <c r="BS447" t="s">
        <v>52</v>
      </c>
      <c r="BT447">
        <v>0</v>
      </c>
      <c r="BU447" t="s">
        <v>52</v>
      </c>
      <c r="BV447">
        <v>0</v>
      </c>
      <c r="BW447">
        <v>13661</v>
      </c>
      <c r="BX447" t="s">
        <v>50</v>
      </c>
      <c r="BY447">
        <v>0</v>
      </c>
      <c r="BZ447">
        <v>0</v>
      </c>
      <c r="CA447">
        <v>0</v>
      </c>
      <c r="CB447">
        <v>0</v>
      </c>
      <c r="CC447" s="2146">
        <v>15097</v>
      </c>
      <c r="CD447" s="2146" t="s">
        <v>50</v>
      </c>
      <c r="CE447" s="2146">
        <v>0</v>
      </c>
      <c r="CF447" s="2146">
        <v>0</v>
      </c>
      <c r="CG447" s="2146">
        <v>0</v>
      </c>
      <c r="CH447">
        <v>0</v>
      </c>
      <c r="CJ447" t="s">
        <v>5880</v>
      </c>
    </row>
    <row r="448" spans="1:88">
      <c r="A448" t="s">
        <v>1989</v>
      </c>
      <c r="B448" t="s">
        <v>2049</v>
      </c>
      <c r="C448" t="s">
        <v>116</v>
      </c>
      <c r="D448" t="s">
        <v>214</v>
      </c>
      <c r="E448" t="s">
        <v>215</v>
      </c>
      <c r="F448" t="s">
        <v>2006</v>
      </c>
      <c r="G448" t="s">
        <v>342</v>
      </c>
      <c r="H448" t="s">
        <v>2050</v>
      </c>
      <c r="I448" t="s">
        <v>2008</v>
      </c>
      <c r="J448" t="s">
        <v>69</v>
      </c>
      <c r="N448" t="s">
        <v>182</v>
      </c>
      <c r="O448" t="s">
        <v>48</v>
      </c>
      <c r="P448" t="s">
        <v>1698</v>
      </c>
      <c r="Q448" s="534">
        <v>2</v>
      </c>
      <c r="R448" t="s">
        <v>3264</v>
      </c>
      <c r="S448">
        <v>32.89</v>
      </c>
      <c r="T448">
        <v>32.89</v>
      </c>
      <c r="U448">
        <v>45.22</v>
      </c>
      <c r="V448">
        <v>57.55</v>
      </c>
      <c r="W448">
        <v>69.89</v>
      </c>
      <c r="X448">
        <v>82.22</v>
      </c>
      <c r="AH448">
        <v>0</v>
      </c>
      <c r="BP448" s="534">
        <v>45.8</v>
      </c>
      <c r="BQ448" s="726">
        <v>47.16</v>
      </c>
      <c r="BR448" t="s">
        <v>50</v>
      </c>
      <c r="BS448" t="s">
        <v>52</v>
      </c>
      <c r="BT448">
        <v>0</v>
      </c>
      <c r="BU448" t="s">
        <v>52</v>
      </c>
      <c r="BV448">
        <v>0</v>
      </c>
      <c r="BW448">
        <v>49.01</v>
      </c>
      <c r="BX448" t="s">
        <v>50</v>
      </c>
      <c r="BY448">
        <v>0</v>
      </c>
      <c r="BZ448">
        <v>0</v>
      </c>
      <c r="CA448">
        <v>0</v>
      </c>
      <c r="CB448">
        <v>0</v>
      </c>
      <c r="CC448" s="2146">
        <v>55.51</v>
      </c>
      <c r="CD448" s="2146" t="s">
        <v>46</v>
      </c>
      <c r="CE448" s="2146">
        <v>0</v>
      </c>
      <c r="CF448" s="2146">
        <v>0</v>
      </c>
      <c r="CG448" s="2146">
        <v>0</v>
      </c>
      <c r="CH448">
        <v>0</v>
      </c>
      <c r="CJ448" t="s">
        <v>5869</v>
      </c>
    </row>
    <row r="449" spans="1:88">
      <c r="A449" t="s">
        <v>1989</v>
      </c>
      <c r="B449" t="s">
        <v>2051</v>
      </c>
      <c r="C449" t="s">
        <v>116</v>
      </c>
      <c r="D449" t="s">
        <v>214</v>
      </c>
      <c r="E449" t="s">
        <v>215</v>
      </c>
      <c r="F449" t="s">
        <v>2052</v>
      </c>
      <c r="G449" t="s">
        <v>348</v>
      </c>
      <c r="H449" t="s">
        <v>2053</v>
      </c>
      <c r="I449" t="s">
        <v>2012</v>
      </c>
      <c r="J449" t="s">
        <v>5406</v>
      </c>
      <c r="K449" t="s">
        <v>45</v>
      </c>
      <c r="M449" t="s">
        <v>46</v>
      </c>
      <c r="N449" t="s">
        <v>106</v>
      </c>
      <c r="O449" t="s">
        <v>281</v>
      </c>
      <c r="P449" t="s">
        <v>408</v>
      </c>
      <c r="Q449" s="534" t="s">
        <v>51</v>
      </c>
      <c r="R449" t="s">
        <v>3264</v>
      </c>
      <c r="S449" t="s">
        <v>1979</v>
      </c>
      <c r="T449" t="s">
        <v>802</v>
      </c>
      <c r="U449" t="s">
        <v>802</v>
      </c>
      <c r="V449" t="s">
        <v>802</v>
      </c>
      <c r="W449" t="s">
        <v>802</v>
      </c>
      <c r="X449" t="s">
        <v>802</v>
      </c>
      <c r="AH449">
        <v>0</v>
      </c>
      <c r="AI449" t="s">
        <v>50</v>
      </c>
      <c r="AJ449" t="s">
        <v>50</v>
      </c>
      <c r="AK449" t="s">
        <v>50</v>
      </c>
      <c r="AL449" t="s">
        <v>50</v>
      </c>
      <c r="AM449" t="s">
        <v>50</v>
      </c>
      <c r="AN449" t="s">
        <v>109</v>
      </c>
      <c r="AO449" t="s">
        <v>109</v>
      </c>
      <c r="AP449" t="s">
        <v>109</v>
      </c>
      <c r="AQ449" t="s">
        <v>109</v>
      </c>
      <c r="AR449" t="s">
        <v>109</v>
      </c>
      <c r="AS449" t="s">
        <v>109</v>
      </c>
      <c r="AT449" t="s">
        <v>109</v>
      </c>
      <c r="AU449" t="s">
        <v>109</v>
      </c>
      <c r="AV449" t="s">
        <v>109</v>
      </c>
      <c r="AW449" t="s">
        <v>109</v>
      </c>
      <c r="AX449" t="s">
        <v>109</v>
      </c>
      <c r="AY449" t="s">
        <v>109</v>
      </c>
      <c r="AZ449" t="s">
        <v>109</v>
      </c>
      <c r="BA449" t="s">
        <v>109</v>
      </c>
      <c r="BB449" t="s">
        <v>109</v>
      </c>
      <c r="BC449" t="s">
        <v>109</v>
      </c>
      <c r="BD449" t="s">
        <v>109</v>
      </c>
      <c r="BE449" t="s">
        <v>109</v>
      </c>
      <c r="BF449" t="s">
        <v>109</v>
      </c>
      <c r="BG449" t="s">
        <v>109</v>
      </c>
      <c r="BH449" t="s">
        <v>109</v>
      </c>
      <c r="BL449" t="s">
        <v>109</v>
      </c>
      <c r="BN449">
        <v>1</v>
      </c>
      <c r="BO449" t="s">
        <v>51</v>
      </c>
      <c r="BQ449" s="724">
        <v>83</v>
      </c>
      <c r="BR449" t="s">
        <v>46</v>
      </c>
      <c r="BS449" t="s">
        <v>52</v>
      </c>
      <c r="BT449">
        <v>0</v>
      </c>
      <c r="BU449" t="s">
        <v>52</v>
      </c>
      <c r="BV449">
        <v>0</v>
      </c>
      <c r="BW449">
        <v>82.86</v>
      </c>
      <c r="BX449" t="s">
        <v>46</v>
      </c>
      <c r="BY449">
        <v>0</v>
      </c>
      <c r="BZ449">
        <v>0</v>
      </c>
      <c r="CA449">
        <v>0</v>
      </c>
      <c r="CB449">
        <v>0</v>
      </c>
      <c r="CC449" s="2146">
        <v>84.64</v>
      </c>
      <c r="CD449" s="2146" t="s">
        <v>2148</v>
      </c>
      <c r="CE449" s="2146">
        <v>0</v>
      </c>
      <c r="CF449" s="2146">
        <v>0</v>
      </c>
      <c r="CG449" s="2146">
        <v>0</v>
      </c>
      <c r="CH449">
        <v>0</v>
      </c>
      <c r="CJ449" t="s">
        <v>5870</v>
      </c>
    </row>
    <row r="450" spans="1:88">
      <c r="A450" t="s">
        <v>1989</v>
      </c>
      <c r="B450" t="s">
        <v>2054</v>
      </c>
      <c r="C450" t="s">
        <v>116</v>
      </c>
      <c r="D450" t="s">
        <v>214</v>
      </c>
      <c r="E450" t="s">
        <v>215</v>
      </c>
      <c r="F450" t="s">
        <v>2052</v>
      </c>
      <c r="G450" t="s">
        <v>783</v>
      </c>
      <c r="H450" t="s">
        <v>2055</v>
      </c>
      <c r="I450" t="s">
        <v>2015</v>
      </c>
      <c r="J450" t="s">
        <v>69</v>
      </c>
      <c r="N450" t="s">
        <v>192</v>
      </c>
      <c r="O450" t="s">
        <v>48</v>
      </c>
      <c r="P450" t="s">
        <v>2016</v>
      </c>
      <c r="Q450" s="534">
        <v>0</v>
      </c>
      <c r="R450" t="s">
        <v>3263</v>
      </c>
      <c r="S450">
        <v>850</v>
      </c>
      <c r="T450">
        <v>850</v>
      </c>
      <c r="U450">
        <v>750</v>
      </c>
      <c r="V450">
        <v>650</v>
      </c>
      <c r="W450">
        <v>550</v>
      </c>
      <c r="X450">
        <v>425</v>
      </c>
      <c r="AH450">
        <v>0</v>
      </c>
      <c r="BP450" s="534">
        <v>702</v>
      </c>
      <c r="BQ450" s="725">
        <v>648</v>
      </c>
      <c r="BR450" t="s">
        <v>50</v>
      </c>
      <c r="BS450" t="s">
        <v>52</v>
      </c>
      <c r="BT450">
        <v>0</v>
      </c>
      <c r="BU450" t="s">
        <v>52</v>
      </c>
      <c r="BV450">
        <v>0</v>
      </c>
      <c r="BW450">
        <v>575</v>
      </c>
      <c r="BX450" t="s">
        <v>50</v>
      </c>
      <c r="BY450">
        <v>0</v>
      </c>
      <c r="BZ450">
        <v>0</v>
      </c>
      <c r="CA450">
        <v>0</v>
      </c>
      <c r="CB450">
        <v>0</v>
      </c>
      <c r="CC450" s="2146">
        <v>613</v>
      </c>
      <c r="CD450" s="2146" t="s">
        <v>50</v>
      </c>
      <c r="CE450" s="2146">
        <v>0</v>
      </c>
      <c r="CF450" s="2146">
        <v>0</v>
      </c>
      <c r="CG450" s="2146">
        <v>0</v>
      </c>
      <c r="CH450">
        <v>0</v>
      </c>
      <c r="CJ450" t="s">
        <v>5871</v>
      </c>
    </row>
    <row r="451" spans="1:88">
      <c r="A451" t="s">
        <v>1989</v>
      </c>
      <c r="B451" t="s">
        <v>2056</v>
      </c>
      <c r="C451" t="s">
        <v>116</v>
      </c>
      <c r="D451" t="s">
        <v>214</v>
      </c>
      <c r="E451" t="s">
        <v>215</v>
      </c>
      <c r="F451" t="s">
        <v>2052</v>
      </c>
      <c r="G451" t="s">
        <v>790</v>
      </c>
      <c r="H451" t="s">
        <v>2057</v>
      </c>
      <c r="I451" t="s">
        <v>2058</v>
      </c>
      <c r="J451" t="s">
        <v>5406</v>
      </c>
      <c r="K451" t="s">
        <v>45</v>
      </c>
      <c r="M451" t="s">
        <v>46</v>
      </c>
      <c r="N451" t="s">
        <v>219</v>
      </c>
      <c r="O451" t="s">
        <v>48</v>
      </c>
      <c r="P451" t="s">
        <v>2059</v>
      </c>
      <c r="Q451" s="534">
        <v>0</v>
      </c>
      <c r="R451" t="s">
        <v>3263</v>
      </c>
      <c r="S451">
        <v>313</v>
      </c>
      <c r="T451">
        <v>310</v>
      </c>
      <c r="U451">
        <v>300</v>
      </c>
      <c r="V451">
        <v>292</v>
      </c>
      <c r="W451">
        <v>282</v>
      </c>
      <c r="X451">
        <v>269</v>
      </c>
      <c r="AC451" t="s">
        <v>50</v>
      </c>
      <c r="AE451" t="s">
        <v>50</v>
      </c>
      <c r="AH451">
        <v>0</v>
      </c>
      <c r="AJ451" t="s">
        <v>50</v>
      </c>
      <c r="AK451" t="s">
        <v>50</v>
      </c>
      <c r="AL451" t="s">
        <v>50</v>
      </c>
      <c r="AM451" t="s">
        <v>50</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51</v>
      </c>
      <c r="BP451" s="534">
        <v>265</v>
      </c>
      <c r="BQ451" s="725">
        <v>223</v>
      </c>
      <c r="BR451" t="s">
        <v>50</v>
      </c>
      <c r="BS451" t="s">
        <v>52</v>
      </c>
      <c r="BT451">
        <v>0</v>
      </c>
      <c r="BU451" t="s">
        <v>52</v>
      </c>
      <c r="BV451">
        <v>0</v>
      </c>
      <c r="BW451">
        <v>242</v>
      </c>
      <c r="BX451" t="s">
        <v>50</v>
      </c>
      <c r="BY451">
        <v>0</v>
      </c>
      <c r="BZ451">
        <v>0</v>
      </c>
      <c r="CA451" t="s">
        <v>5425</v>
      </c>
      <c r="CB451">
        <v>1.86</v>
      </c>
      <c r="CC451" s="2146">
        <v>221</v>
      </c>
      <c r="CD451" s="2146" t="s">
        <v>50</v>
      </c>
      <c r="CE451" s="2146">
        <v>0</v>
      </c>
      <c r="CF451" s="2146">
        <v>0</v>
      </c>
      <c r="CG451" s="2146" t="s">
        <v>5425</v>
      </c>
      <c r="CH451">
        <v>1.488</v>
      </c>
      <c r="CJ451" t="s">
        <v>5881</v>
      </c>
    </row>
    <row r="452" spans="1:88">
      <c r="A452" t="s">
        <v>1989</v>
      </c>
      <c r="B452" t="s">
        <v>2060</v>
      </c>
      <c r="C452" t="s">
        <v>116</v>
      </c>
      <c r="D452" t="s">
        <v>214</v>
      </c>
      <c r="E452" t="s">
        <v>215</v>
      </c>
      <c r="F452" t="s">
        <v>2052</v>
      </c>
      <c r="G452" t="s">
        <v>2018</v>
      </c>
      <c r="H452" t="s">
        <v>2061</v>
      </c>
      <c r="I452" t="s">
        <v>2062</v>
      </c>
      <c r="J452" t="s">
        <v>69</v>
      </c>
      <c r="N452" t="s">
        <v>192</v>
      </c>
      <c r="O452" t="s">
        <v>76</v>
      </c>
      <c r="P452" t="s">
        <v>193</v>
      </c>
      <c r="Q452" s="534">
        <v>0</v>
      </c>
      <c r="R452" t="s">
        <v>3264</v>
      </c>
      <c r="S452">
        <v>63</v>
      </c>
      <c r="T452">
        <v>63</v>
      </c>
      <c r="U452">
        <v>66</v>
      </c>
      <c r="V452">
        <v>68</v>
      </c>
      <c r="W452">
        <v>71</v>
      </c>
      <c r="X452">
        <v>75</v>
      </c>
      <c r="AH452">
        <v>0</v>
      </c>
      <c r="BP452" s="534">
        <v>79</v>
      </c>
      <c r="BQ452" s="725">
        <v>82</v>
      </c>
      <c r="BR452" t="s">
        <v>50</v>
      </c>
      <c r="BS452" t="s">
        <v>52</v>
      </c>
      <c r="BT452">
        <v>0</v>
      </c>
      <c r="BU452" t="s">
        <v>52</v>
      </c>
      <c r="BV452">
        <v>0</v>
      </c>
      <c r="BW452">
        <v>85</v>
      </c>
      <c r="BX452" t="s">
        <v>50</v>
      </c>
      <c r="BY452">
        <v>0</v>
      </c>
      <c r="BZ452">
        <v>0</v>
      </c>
      <c r="CA452">
        <v>0</v>
      </c>
      <c r="CB452">
        <v>0</v>
      </c>
      <c r="CC452" s="2146">
        <v>84</v>
      </c>
      <c r="CD452" s="2146" t="s">
        <v>50</v>
      </c>
      <c r="CE452" s="2146">
        <v>0</v>
      </c>
      <c r="CF452" s="2146">
        <v>0</v>
      </c>
      <c r="CG452" s="2146">
        <v>0</v>
      </c>
      <c r="CH452">
        <v>0</v>
      </c>
      <c r="CJ452" t="s">
        <v>5882</v>
      </c>
    </row>
    <row r="453" spans="1:88">
      <c r="A453" t="s">
        <v>1989</v>
      </c>
      <c r="B453" t="s">
        <v>2063</v>
      </c>
      <c r="C453" t="s">
        <v>116</v>
      </c>
      <c r="D453" t="s">
        <v>214</v>
      </c>
      <c r="E453" t="s">
        <v>215</v>
      </c>
      <c r="F453" t="s">
        <v>2022</v>
      </c>
      <c r="G453" t="s">
        <v>354</v>
      </c>
      <c r="H453" t="s">
        <v>2064</v>
      </c>
      <c r="I453" t="s">
        <v>2024</v>
      </c>
      <c r="J453" t="s">
        <v>69</v>
      </c>
      <c r="N453" t="s">
        <v>113</v>
      </c>
      <c r="O453" t="s">
        <v>76</v>
      </c>
      <c r="P453" t="s">
        <v>2025</v>
      </c>
      <c r="Q453" s="534">
        <v>0</v>
      </c>
      <c r="R453" t="s">
        <v>3263</v>
      </c>
      <c r="S453" t="s">
        <v>2026</v>
      </c>
      <c r="T453" t="s">
        <v>2027</v>
      </c>
      <c r="U453" t="s">
        <v>2027</v>
      </c>
      <c r="V453" t="s">
        <v>2027</v>
      </c>
      <c r="W453" t="s">
        <v>2027</v>
      </c>
      <c r="X453" t="s">
        <v>2027</v>
      </c>
      <c r="AH453">
        <v>0</v>
      </c>
      <c r="BP453" s="534">
        <v>-3</v>
      </c>
      <c r="BQ453" s="724">
        <v>-1</v>
      </c>
      <c r="BR453" t="s">
        <v>50</v>
      </c>
      <c r="BS453" t="s">
        <v>52</v>
      </c>
      <c r="BT453">
        <v>0</v>
      </c>
      <c r="BU453" t="s">
        <v>52</v>
      </c>
      <c r="BV453">
        <v>0</v>
      </c>
      <c r="BW453">
        <v>-1</v>
      </c>
      <c r="BX453" t="s">
        <v>50</v>
      </c>
      <c r="BY453">
        <v>0</v>
      </c>
      <c r="BZ453">
        <v>0</v>
      </c>
      <c r="CA453">
        <v>0</v>
      </c>
      <c r="CB453">
        <v>0</v>
      </c>
      <c r="CC453" s="2146">
        <v>-2</v>
      </c>
      <c r="CD453" s="2146" t="s">
        <v>50</v>
      </c>
      <c r="CE453" s="2146">
        <v>0</v>
      </c>
      <c r="CF453" s="2146">
        <v>0</v>
      </c>
      <c r="CG453" s="2146">
        <v>0</v>
      </c>
      <c r="CH453">
        <v>0</v>
      </c>
      <c r="CJ453" t="s">
        <v>5873</v>
      </c>
    </row>
    <row r="454" spans="1:88">
      <c r="A454" t="s">
        <v>1989</v>
      </c>
      <c r="B454" t="s">
        <v>2065</v>
      </c>
      <c r="C454" t="s">
        <v>116</v>
      </c>
      <c r="D454" t="s">
        <v>214</v>
      </c>
      <c r="E454" t="s">
        <v>215</v>
      </c>
      <c r="F454" t="s">
        <v>2029</v>
      </c>
      <c r="G454" t="s">
        <v>360</v>
      </c>
      <c r="H454" t="s">
        <v>2066</v>
      </c>
      <c r="I454" t="s">
        <v>2031</v>
      </c>
      <c r="J454" t="s">
        <v>5408</v>
      </c>
      <c r="K454" t="s">
        <v>45</v>
      </c>
      <c r="M454" t="s">
        <v>46</v>
      </c>
      <c r="N454" t="s">
        <v>273</v>
      </c>
      <c r="O454" t="s">
        <v>200</v>
      </c>
      <c r="P454" t="s">
        <v>323</v>
      </c>
      <c r="Q454" s="534" t="s">
        <v>51</v>
      </c>
      <c r="S454" t="s">
        <v>202</v>
      </c>
      <c r="T454" t="s">
        <v>202</v>
      </c>
      <c r="U454" t="s">
        <v>202</v>
      </c>
      <c r="V454" t="s">
        <v>202</v>
      </c>
      <c r="W454" t="s">
        <v>202</v>
      </c>
      <c r="X454" t="s">
        <v>202</v>
      </c>
      <c r="AE454" t="s">
        <v>50</v>
      </c>
      <c r="AH454">
        <v>9</v>
      </c>
      <c r="AI454" t="s">
        <v>50</v>
      </c>
      <c r="AJ454" t="s">
        <v>50</v>
      </c>
      <c r="AK454" t="s">
        <v>50</v>
      </c>
      <c r="AL454" t="s">
        <v>50</v>
      </c>
      <c r="AM454" t="s">
        <v>50</v>
      </c>
      <c r="AN454" t="s">
        <v>324</v>
      </c>
      <c r="AO454" t="s">
        <v>324</v>
      </c>
      <c r="AP454" t="s">
        <v>324</v>
      </c>
      <c r="AQ454" t="s">
        <v>324</v>
      </c>
      <c r="AR454" t="s">
        <v>324</v>
      </c>
      <c r="AS454" t="s">
        <v>325</v>
      </c>
      <c r="AT454" t="s">
        <v>325</v>
      </c>
      <c r="AU454" t="s">
        <v>325</v>
      </c>
      <c r="AV454" t="s">
        <v>325</v>
      </c>
      <c r="AW454" t="s">
        <v>325</v>
      </c>
      <c r="BH454">
        <v>20</v>
      </c>
      <c r="BN454">
        <v>1</v>
      </c>
      <c r="BO454" t="s">
        <v>51</v>
      </c>
      <c r="BP454" s="534" t="s">
        <v>202</v>
      </c>
      <c r="BQ454" s="724" t="s">
        <v>202</v>
      </c>
      <c r="BR454" t="s">
        <v>50</v>
      </c>
      <c r="BS454" t="s">
        <v>52</v>
      </c>
      <c r="BT454">
        <v>0</v>
      </c>
      <c r="BU454" t="s">
        <v>52</v>
      </c>
      <c r="BV454">
        <v>0</v>
      </c>
      <c r="BW454" t="s">
        <v>202</v>
      </c>
      <c r="BX454" t="s">
        <v>50</v>
      </c>
      <c r="BY454">
        <v>0</v>
      </c>
      <c r="BZ454">
        <v>0</v>
      </c>
      <c r="CA454">
        <v>0</v>
      </c>
      <c r="CB454">
        <v>0</v>
      </c>
      <c r="CC454" s="2146" t="s">
        <v>202</v>
      </c>
      <c r="CD454" s="2146" t="s">
        <v>50</v>
      </c>
      <c r="CE454" s="2146">
        <v>0</v>
      </c>
      <c r="CF454" s="2146">
        <v>0</v>
      </c>
      <c r="CG454" s="2146">
        <v>0</v>
      </c>
      <c r="CH454">
        <v>0</v>
      </c>
      <c r="CJ454" t="s">
        <v>5874</v>
      </c>
    </row>
    <row r="455" spans="1:88">
      <c r="A455" t="s">
        <v>1989</v>
      </c>
      <c r="B455" t="s">
        <v>2067</v>
      </c>
      <c r="C455" t="s">
        <v>116</v>
      </c>
      <c r="D455" t="s">
        <v>214</v>
      </c>
      <c r="E455" t="s">
        <v>215</v>
      </c>
      <c r="F455" t="s">
        <v>2029</v>
      </c>
      <c r="G455" t="s">
        <v>2036</v>
      </c>
      <c r="H455" t="s">
        <v>2068</v>
      </c>
      <c r="I455" t="s">
        <v>2038</v>
      </c>
      <c r="J455" t="s">
        <v>5408</v>
      </c>
      <c r="K455" t="s">
        <v>45</v>
      </c>
      <c r="N455" t="s">
        <v>137</v>
      </c>
      <c r="O455" t="s">
        <v>76</v>
      </c>
      <c r="P455" t="s">
        <v>2039</v>
      </c>
      <c r="Q455" s="534">
        <v>0</v>
      </c>
      <c r="R455" t="s">
        <v>3264</v>
      </c>
      <c r="S455">
        <v>71</v>
      </c>
      <c r="T455">
        <v>71</v>
      </c>
      <c r="U455">
        <v>72</v>
      </c>
      <c r="V455">
        <v>74</v>
      </c>
      <c r="W455">
        <v>76</v>
      </c>
      <c r="X455">
        <v>78</v>
      </c>
      <c r="AE455" t="s">
        <v>50</v>
      </c>
      <c r="AH455">
        <v>0</v>
      </c>
      <c r="AM455" t="s">
        <v>50</v>
      </c>
      <c r="AR455">
        <v>71</v>
      </c>
      <c r="AW455">
        <v>76</v>
      </c>
      <c r="BH455">
        <v>2.2000000000000002</v>
      </c>
      <c r="BN455">
        <v>1</v>
      </c>
      <c r="BO455" t="s">
        <v>51</v>
      </c>
      <c r="BP455" s="534">
        <v>75</v>
      </c>
      <c r="BQ455" s="725">
        <v>74</v>
      </c>
      <c r="BR455" t="s">
        <v>50</v>
      </c>
      <c r="BS455" t="s">
        <v>52</v>
      </c>
      <c r="BT455">
        <v>0</v>
      </c>
      <c r="BU455" t="s">
        <v>52</v>
      </c>
      <c r="BV455">
        <v>0</v>
      </c>
      <c r="BW455">
        <v>73.599999999999994</v>
      </c>
      <c r="BX455" t="s">
        <v>50</v>
      </c>
      <c r="BY455">
        <v>0</v>
      </c>
      <c r="BZ455">
        <v>0</v>
      </c>
      <c r="CA455">
        <v>0</v>
      </c>
      <c r="CB455">
        <v>0</v>
      </c>
      <c r="CC455" s="2146">
        <v>77.5</v>
      </c>
      <c r="CD455" s="2146" t="s">
        <v>50</v>
      </c>
      <c r="CE455" s="2146">
        <v>0</v>
      </c>
      <c r="CF455" s="2146">
        <v>0</v>
      </c>
      <c r="CG455" s="2146">
        <v>0</v>
      </c>
      <c r="CH455">
        <v>0</v>
      </c>
      <c r="CJ455" t="s">
        <v>5876</v>
      </c>
    </row>
    <row r="456" spans="1:88">
      <c r="A456" t="s">
        <v>1989</v>
      </c>
      <c r="B456" t="s">
        <v>2069</v>
      </c>
      <c r="C456" t="s">
        <v>116</v>
      </c>
      <c r="D456" t="s">
        <v>478</v>
      </c>
      <c r="E456" t="s">
        <v>479</v>
      </c>
      <c r="F456" t="s">
        <v>2070</v>
      </c>
      <c r="G456" t="s">
        <v>348</v>
      </c>
      <c r="H456" t="s">
        <v>2071</v>
      </c>
      <c r="I456" t="s">
        <v>2012</v>
      </c>
      <c r="J456" t="s">
        <v>5406</v>
      </c>
      <c r="K456" t="s">
        <v>45</v>
      </c>
      <c r="M456" t="s">
        <v>46</v>
      </c>
      <c r="N456" t="s">
        <v>106</v>
      </c>
      <c r="O456" t="s">
        <v>281</v>
      </c>
      <c r="P456" t="s">
        <v>408</v>
      </c>
      <c r="Q456" s="534" t="s">
        <v>51</v>
      </c>
      <c r="R456" t="s">
        <v>3264</v>
      </c>
      <c r="S456" t="s">
        <v>1979</v>
      </c>
      <c r="T456" t="s">
        <v>802</v>
      </c>
      <c r="U456" t="s">
        <v>802</v>
      </c>
      <c r="V456" t="s">
        <v>802</v>
      </c>
      <c r="W456" t="s">
        <v>802</v>
      </c>
      <c r="X456" t="s">
        <v>802</v>
      </c>
      <c r="AH456">
        <v>0</v>
      </c>
      <c r="AI456" t="s">
        <v>50</v>
      </c>
      <c r="AJ456" t="s">
        <v>50</v>
      </c>
      <c r="AK456" t="s">
        <v>50</v>
      </c>
      <c r="AL456" t="s">
        <v>50</v>
      </c>
      <c r="AM456" t="s">
        <v>50</v>
      </c>
      <c r="AN456" t="s">
        <v>109</v>
      </c>
      <c r="AO456" t="s">
        <v>109</v>
      </c>
      <c r="AP456" t="s">
        <v>109</v>
      </c>
      <c r="AQ456" t="s">
        <v>109</v>
      </c>
      <c r="AR456" t="s">
        <v>109</v>
      </c>
      <c r="AS456" t="s">
        <v>109</v>
      </c>
      <c r="AT456" t="s">
        <v>109</v>
      </c>
      <c r="AU456" t="s">
        <v>109</v>
      </c>
      <c r="AV456" t="s">
        <v>109</v>
      </c>
      <c r="AW456" t="s">
        <v>109</v>
      </c>
      <c r="AX456" t="s">
        <v>109</v>
      </c>
      <c r="AY456" t="s">
        <v>109</v>
      </c>
      <c r="AZ456" t="s">
        <v>109</v>
      </c>
      <c r="BA456" t="s">
        <v>109</v>
      </c>
      <c r="BB456" t="s">
        <v>109</v>
      </c>
      <c r="BC456" t="s">
        <v>109</v>
      </c>
      <c r="BD456" t="s">
        <v>109</v>
      </c>
      <c r="BE456" t="s">
        <v>109</v>
      </c>
      <c r="BF456" t="s">
        <v>109</v>
      </c>
      <c r="BG456" t="s">
        <v>109</v>
      </c>
      <c r="BH456" t="s">
        <v>109</v>
      </c>
      <c r="BL456" t="s">
        <v>109</v>
      </c>
      <c r="BN456">
        <v>1</v>
      </c>
      <c r="BO456" t="s">
        <v>51</v>
      </c>
      <c r="BQ456" s="724">
        <v>83</v>
      </c>
      <c r="BR456" t="s">
        <v>46</v>
      </c>
      <c r="BS456" t="s">
        <v>52</v>
      </c>
      <c r="BT456">
        <v>0</v>
      </c>
      <c r="BU456" t="s">
        <v>52</v>
      </c>
      <c r="BV456">
        <v>0</v>
      </c>
      <c r="BW456">
        <v>1152</v>
      </c>
      <c r="BX456" t="s">
        <v>46</v>
      </c>
      <c r="BY456">
        <v>0</v>
      </c>
      <c r="BZ456">
        <v>0</v>
      </c>
      <c r="CA456">
        <v>0</v>
      </c>
      <c r="CB456">
        <v>0</v>
      </c>
      <c r="CC456" s="2146">
        <v>574</v>
      </c>
      <c r="CD456" s="2146" t="s">
        <v>2148</v>
      </c>
      <c r="CE456" s="2146">
        <v>0</v>
      </c>
      <c r="CF456" s="2146">
        <v>0</v>
      </c>
      <c r="CG456" s="2146">
        <v>0</v>
      </c>
      <c r="CH456">
        <v>0</v>
      </c>
      <c r="CJ456" t="s">
        <v>5870</v>
      </c>
    </row>
    <row r="457" spans="1:88">
      <c r="A457" t="s">
        <v>1989</v>
      </c>
      <c r="B457" t="s">
        <v>2072</v>
      </c>
      <c r="C457" t="s">
        <v>116</v>
      </c>
      <c r="D457" t="s">
        <v>478</v>
      </c>
      <c r="E457" t="s">
        <v>479</v>
      </c>
      <c r="F457" t="s">
        <v>2070</v>
      </c>
      <c r="G457" t="s">
        <v>2073</v>
      </c>
      <c r="H457" t="s">
        <v>2074</v>
      </c>
      <c r="I457" t="s">
        <v>2075</v>
      </c>
      <c r="J457" t="s">
        <v>5408</v>
      </c>
      <c r="K457" t="s">
        <v>45</v>
      </c>
      <c r="N457" t="s">
        <v>192</v>
      </c>
      <c r="O457" t="s">
        <v>76</v>
      </c>
      <c r="P457" t="s">
        <v>193</v>
      </c>
      <c r="Q457" s="534">
        <v>0</v>
      </c>
      <c r="R457" t="s">
        <v>3264</v>
      </c>
      <c r="S457">
        <v>87</v>
      </c>
      <c r="T457">
        <v>87</v>
      </c>
      <c r="U457">
        <v>88</v>
      </c>
      <c r="V457">
        <v>89</v>
      </c>
      <c r="W457">
        <v>90</v>
      </c>
      <c r="X457">
        <v>90</v>
      </c>
      <c r="AH457">
        <v>0</v>
      </c>
      <c r="AI457" t="s">
        <v>50</v>
      </c>
      <c r="AJ457" t="s">
        <v>50</v>
      </c>
      <c r="AK457" t="s">
        <v>50</v>
      </c>
      <c r="AL457" t="s">
        <v>50</v>
      </c>
      <c r="AM457" t="s">
        <v>50</v>
      </c>
      <c r="AN457">
        <v>70</v>
      </c>
      <c r="AO457">
        <v>70</v>
      </c>
      <c r="AP457">
        <v>70</v>
      </c>
      <c r="AQ457">
        <v>70</v>
      </c>
      <c r="AR457">
        <v>70</v>
      </c>
      <c r="AS457">
        <v>80</v>
      </c>
      <c r="AT457">
        <v>80</v>
      </c>
      <c r="AU457">
        <v>80</v>
      </c>
      <c r="AV457">
        <v>80</v>
      </c>
      <c r="AW457">
        <v>80</v>
      </c>
      <c r="BH457">
        <v>0.5</v>
      </c>
      <c r="BN457">
        <v>1</v>
      </c>
      <c r="BO457" t="s">
        <v>51</v>
      </c>
      <c r="BP457" s="534">
        <v>89</v>
      </c>
      <c r="BQ457" s="725">
        <v>88</v>
      </c>
      <c r="BR457" t="s">
        <v>50</v>
      </c>
      <c r="BS457" t="s">
        <v>52</v>
      </c>
      <c r="BT457">
        <v>0</v>
      </c>
      <c r="BU457" t="s">
        <v>52</v>
      </c>
      <c r="BV457">
        <v>0</v>
      </c>
      <c r="BW457">
        <v>89</v>
      </c>
      <c r="BX457" t="s">
        <v>50</v>
      </c>
      <c r="BY457">
        <v>0</v>
      </c>
      <c r="BZ457">
        <v>0</v>
      </c>
      <c r="CA457">
        <v>0</v>
      </c>
      <c r="CB457">
        <v>0</v>
      </c>
      <c r="CC457" s="2146">
        <v>87</v>
      </c>
      <c r="CD457" s="2146" t="s">
        <v>46</v>
      </c>
      <c r="CE457" s="2146">
        <v>0</v>
      </c>
      <c r="CF457" s="2146">
        <v>0</v>
      </c>
      <c r="CG457" s="2146" t="s">
        <v>13445</v>
      </c>
      <c r="CH457">
        <v>0</v>
      </c>
      <c r="CJ457" t="s">
        <v>5883</v>
      </c>
    </row>
    <row r="458" spans="1:88">
      <c r="A458" t="s">
        <v>1989</v>
      </c>
      <c r="B458" t="s">
        <v>2076</v>
      </c>
      <c r="C458" t="s">
        <v>116</v>
      </c>
      <c r="D458" t="s">
        <v>478</v>
      </c>
      <c r="E458" t="s">
        <v>479</v>
      </c>
      <c r="F458" t="s">
        <v>2070</v>
      </c>
      <c r="G458" t="s">
        <v>2018</v>
      </c>
      <c r="H458" t="s">
        <v>2077</v>
      </c>
      <c r="I458" t="s">
        <v>2020</v>
      </c>
      <c r="J458" t="s">
        <v>69</v>
      </c>
      <c r="N458" t="s">
        <v>192</v>
      </c>
      <c r="O458" t="s">
        <v>76</v>
      </c>
      <c r="P458" t="s">
        <v>193</v>
      </c>
      <c r="Q458" s="534">
        <v>0</v>
      </c>
      <c r="R458" t="s">
        <v>3264</v>
      </c>
      <c r="S458">
        <v>63</v>
      </c>
      <c r="T458">
        <v>63</v>
      </c>
      <c r="U458">
        <v>66</v>
      </c>
      <c r="V458">
        <v>68</v>
      </c>
      <c r="W458">
        <v>71</v>
      </c>
      <c r="X458">
        <v>75</v>
      </c>
      <c r="AH458">
        <v>0</v>
      </c>
      <c r="BP458" s="534">
        <v>79</v>
      </c>
      <c r="BQ458" s="725">
        <v>82</v>
      </c>
      <c r="BR458" t="s">
        <v>50</v>
      </c>
      <c r="BS458" t="s">
        <v>52</v>
      </c>
      <c r="BT458">
        <v>0</v>
      </c>
      <c r="BU458" t="s">
        <v>52</v>
      </c>
      <c r="BV458">
        <v>0</v>
      </c>
      <c r="BW458">
        <v>85</v>
      </c>
      <c r="BX458" t="s">
        <v>50</v>
      </c>
      <c r="BY458">
        <v>0</v>
      </c>
      <c r="BZ458">
        <v>0</v>
      </c>
      <c r="CA458">
        <v>0</v>
      </c>
      <c r="CB458">
        <v>0</v>
      </c>
      <c r="CC458" s="2146">
        <v>84</v>
      </c>
      <c r="CD458" s="2146" t="s">
        <v>50</v>
      </c>
      <c r="CE458" s="2146">
        <v>0</v>
      </c>
      <c r="CF458" s="2146">
        <v>0</v>
      </c>
      <c r="CG458" s="2146">
        <v>0</v>
      </c>
      <c r="CH458">
        <v>0</v>
      </c>
      <c r="CJ458" t="s">
        <v>5872</v>
      </c>
    </row>
    <row r="459" spans="1:88">
      <c r="A459" t="s">
        <v>1989</v>
      </c>
      <c r="B459" t="s">
        <v>2078</v>
      </c>
      <c r="C459" t="s">
        <v>116</v>
      </c>
      <c r="D459" t="s">
        <v>478</v>
      </c>
      <c r="E459" t="s">
        <v>479</v>
      </c>
      <c r="F459" t="s">
        <v>2022</v>
      </c>
      <c r="G459" t="s">
        <v>354</v>
      </c>
      <c r="H459" t="s">
        <v>2079</v>
      </c>
      <c r="I459" t="s">
        <v>2024</v>
      </c>
      <c r="J459" t="s">
        <v>69</v>
      </c>
      <c r="N459" t="s">
        <v>113</v>
      </c>
      <c r="O459" t="s">
        <v>76</v>
      </c>
      <c r="P459" t="s">
        <v>2025</v>
      </c>
      <c r="Q459" s="534">
        <v>0</v>
      </c>
      <c r="R459" t="s">
        <v>3263</v>
      </c>
      <c r="S459" t="s">
        <v>2026</v>
      </c>
      <c r="T459" t="s">
        <v>2027</v>
      </c>
      <c r="U459" t="s">
        <v>2027</v>
      </c>
      <c r="V459" t="s">
        <v>2027</v>
      </c>
      <c r="W459" t="s">
        <v>2027</v>
      </c>
      <c r="X459" t="s">
        <v>2027</v>
      </c>
      <c r="AH459">
        <v>0</v>
      </c>
      <c r="BP459" s="534">
        <v>-3</v>
      </c>
      <c r="BQ459" s="724">
        <v>-1</v>
      </c>
      <c r="BR459" t="s">
        <v>50</v>
      </c>
      <c r="BS459" t="s">
        <v>52</v>
      </c>
      <c r="BT459">
        <v>0</v>
      </c>
      <c r="BU459" t="s">
        <v>52</v>
      </c>
      <c r="BV459">
        <v>0</v>
      </c>
      <c r="BW459">
        <v>-1</v>
      </c>
      <c r="BX459" t="s">
        <v>50</v>
      </c>
      <c r="BY459">
        <v>0</v>
      </c>
      <c r="BZ459">
        <v>0</v>
      </c>
      <c r="CA459">
        <v>0</v>
      </c>
      <c r="CB459">
        <v>0</v>
      </c>
      <c r="CC459" s="2146">
        <v>-1</v>
      </c>
      <c r="CD459" s="2146" t="s">
        <v>50</v>
      </c>
      <c r="CE459" s="2146">
        <v>0</v>
      </c>
      <c r="CF459" s="2146">
        <v>0</v>
      </c>
      <c r="CG459" s="2146">
        <v>0</v>
      </c>
      <c r="CH459">
        <v>0</v>
      </c>
      <c r="CJ459" t="s">
        <v>5873</v>
      </c>
    </row>
    <row r="460" spans="1:88">
      <c r="A460" t="s">
        <v>1989</v>
      </c>
      <c r="B460" t="s">
        <v>2080</v>
      </c>
      <c r="C460" t="s">
        <v>116</v>
      </c>
      <c r="D460" t="s">
        <v>101</v>
      </c>
      <c r="E460" t="s">
        <v>102</v>
      </c>
      <c r="F460" t="s">
        <v>2052</v>
      </c>
      <c r="G460" t="s">
        <v>348</v>
      </c>
      <c r="H460" t="s">
        <v>2081</v>
      </c>
      <c r="I460" t="s">
        <v>2012</v>
      </c>
      <c r="J460" t="s">
        <v>5406</v>
      </c>
      <c r="K460" t="s">
        <v>45</v>
      </c>
      <c r="M460" t="s">
        <v>46</v>
      </c>
      <c r="N460" t="s">
        <v>106</v>
      </c>
      <c r="O460" t="s">
        <v>281</v>
      </c>
      <c r="P460" t="s">
        <v>408</v>
      </c>
      <c r="Q460" s="534" t="s">
        <v>51</v>
      </c>
      <c r="R460" t="s">
        <v>3264</v>
      </c>
      <c r="S460" t="s">
        <v>1979</v>
      </c>
      <c r="T460" t="s">
        <v>802</v>
      </c>
      <c r="U460" t="s">
        <v>802</v>
      </c>
      <c r="V460" t="s">
        <v>802</v>
      </c>
      <c r="W460" t="s">
        <v>802</v>
      </c>
      <c r="X460" t="s">
        <v>802</v>
      </c>
      <c r="AH460">
        <v>0</v>
      </c>
      <c r="AI460" t="s">
        <v>50</v>
      </c>
      <c r="AJ460" t="s">
        <v>50</v>
      </c>
      <c r="AK460" t="s">
        <v>50</v>
      </c>
      <c r="AL460" t="s">
        <v>50</v>
      </c>
      <c r="AM460" t="s">
        <v>50</v>
      </c>
      <c r="AN460" t="s">
        <v>109</v>
      </c>
      <c r="AO460" t="s">
        <v>109</v>
      </c>
      <c r="AP460" t="s">
        <v>109</v>
      </c>
      <c r="AQ460" t="s">
        <v>109</v>
      </c>
      <c r="AR460" t="s">
        <v>109</v>
      </c>
      <c r="AS460" t="s">
        <v>109</v>
      </c>
      <c r="AT460" t="s">
        <v>109</v>
      </c>
      <c r="AU460" t="s">
        <v>109</v>
      </c>
      <c r="AV460" t="s">
        <v>109</v>
      </c>
      <c r="AW460" t="s">
        <v>109</v>
      </c>
      <c r="AX460" t="s">
        <v>109</v>
      </c>
      <c r="AY460" t="s">
        <v>109</v>
      </c>
      <c r="AZ460" t="s">
        <v>109</v>
      </c>
      <c r="BA460" t="s">
        <v>109</v>
      </c>
      <c r="BB460" t="s">
        <v>109</v>
      </c>
      <c r="BC460" t="s">
        <v>109</v>
      </c>
      <c r="BD460" t="s">
        <v>109</v>
      </c>
      <c r="BE460" t="s">
        <v>109</v>
      </c>
      <c r="BF460" t="s">
        <v>109</v>
      </c>
      <c r="BG460" t="s">
        <v>109</v>
      </c>
      <c r="BH460" t="s">
        <v>109</v>
      </c>
      <c r="BL460" t="s">
        <v>109</v>
      </c>
      <c r="BN460">
        <v>1</v>
      </c>
      <c r="BO460" t="s">
        <v>51</v>
      </c>
      <c r="BQ460" s="724">
        <v>83</v>
      </c>
      <c r="BR460" t="s">
        <v>46</v>
      </c>
      <c r="BS460" t="s">
        <v>52</v>
      </c>
      <c r="BT460">
        <v>0</v>
      </c>
      <c r="BU460" t="s">
        <v>52</v>
      </c>
      <c r="BV460">
        <v>0</v>
      </c>
      <c r="BW460">
        <v>82.86</v>
      </c>
      <c r="BX460" t="s">
        <v>46</v>
      </c>
      <c r="BY460">
        <v>0</v>
      </c>
      <c r="BZ460">
        <v>0</v>
      </c>
      <c r="CA460">
        <v>0</v>
      </c>
      <c r="CB460">
        <v>0</v>
      </c>
      <c r="CC460" s="2146">
        <v>84.64</v>
      </c>
      <c r="CD460" s="2146" t="s">
        <v>2148</v>
      </c>
      <c r="CE460" s="2146">
        <v>0</v>
      </c>
      <c r="CF460" s="2146">
        <v>0</v>
      </c>
      <c r="CG460" s="2146">
        <v>0</v>
      </c>
      <c r="CH460">
        <v>0</v>
      </c>
      <c r="CJ460" t="s">
        <v>5870</v>
      </c>
    </row>
    <row r="461" spans="1:88">
      <c r="A461" t="s">
        <v>1989</v>
      </c>
      <c r="B461" t="s">
        <v>2082</v>
      </c>
      <c r="C461" t="s">
        <v>116</v>
      </c>
      <c r="D461" t="s">
        <v>101</v>
      </c>
      <c r="E461" t="s">
        <v>102</v>
      </c>
      <c r="F461" t="s">
        <v>2052</v>
      </c>
      <c r="G461" t="s">
        <v>2018</v>
      </c>
      <c r="H461" t="s">
        <v>2083</v>
      </c>
      <c r="I461" t="s">
        <v>2020</v>
      </c>
      <c r="J461" t="s">
        <v>69</v>
      </c>
      <c r="N461" t="s">
        <v>192</v>
      </c>
      <c r="O461" t="s">
        <v>76</v>
      </c>
      <c r="P461" t="s">
        <v>193</v>
      </c>
      <c r="Q461" s="534">
        <v>0</v>
      </c>
      <c r="R461" t="s">
        <v>3264</v>
      </c>
      <c r="S461">
        <v>63</v>
      </c>
      <c r="T461">
        <v>63</v>
      </c>
      <c r="U461">
        <v>66</v>
      </c>
      <c r="V461">
        <v>68</v>
      </c>
      <c r="W461">
        <v>71</v>
      </c>
      <c r="X461">
        <v>75</v>
      </c>
      <c r="AH461">
        <v>0</v>
      </c>
      <c r="BP461" s="534">
        <v>79</v>
      </c>
      <c r="BQ461" s="725">
        <v>82</v>
      </c>
      <c r="BR461" t="s">
        <v>50</v>
      </c>
      <c r="BS461" t="s">
        <v>52</v>
      </c>
      <c r="BT461">
        <v>0</v>
      </c>
      <c r="BU461" t="s">
        <v>52</v>
      </c>
      <c r="BV461">
        <v>0</v>
      </c>
      <c r="BW461">
        <v>85</v>
      </c>
      <c r="BX461" t="s">
        <v>50</v>
      </c>
      <c r="BY461">
        <v>0</v>
      </c>
      <c r="BZ461">
        <v>0</v>
      </c>
      <c r="CA461">
        <v>0</v>
      </c>
      <c r="CB461">
        <v>0</v>
      </c>
      <c r="CC461" s="2146">
        <v>84</v>
      </c>
      <c r="CD461" s="2146" t="s">
        <v>50</v>
      </c>
      <c r="CE461" s="2146">
        <v>0</v>
      </c>
      <c r="CF461" s="2146">
        <v>0</v>
      </c>
      <c r="CG461" s="2146">
        <v>0</v>
      </c>
      <c r="CH461">
        <v>0</v>
      </c>
      <c r="CJ461" t="s">
        <v>5872</v>
      </c>
    </row>
    <row r="462" spans="1:88">
      <c r="A462" t="s">
        <v>1989</v>
      </c>
      <c r="B462" t="s">
        <v>2084</v>
      </c>
      <c r="C462" t="s">
        <v>116</v>
      </c>
      <c r="D462" t="s">
        <v>101</v>
      </c>
      <c r="E462" t="s">
        <v>102</v>
      </c>
      <c r="F462" t="s">
        <v>2022</v>
      </c>
      <c r="G462" t="s">
        <v>354</v>
      </c>
      <c r="H462" t="s">
        <v>2085</v>
      </c>
      <c r="I462" t="s">
        <v>2024</v>
      </c>
      <c r="J462" t="s">
        <v>69</v>
      </c>
      <c r="N462" t="s">
        <v>113</v>
      </c>
      <c r="O462" t="s">
        <v>76</v>
      </c>
      <c r="P462" t="s">
        <v>2025</v>
      </c>
      <c r="Q462" s="534">
        <v>0</v>
      </c>
      <c r="R462" t="s">
        <v>3263</v>
      </c>
      <c r="S462" t="s">
        <v>2026</v>
      </c>
      <c r="T462" t="s">
        <v>2027</v>
      </c>
      <c r="U462" t="s">
        <v>2027</v>
      </c>
      <c r="V462" t="s">
        <v>2027</v>
      </c>
      <c r="W462" t="s">
        <v>2027</v>
      </c>
      <c r="X462" t="s">
        <v>2027</v>
      </c>
      <c r="AH462">
        <v>0</v>
      </c>
      <c r="BP462" s="534">
        <v>-3</v>
      </c>
      <c r="BQ462" s="724">
        <v>-1</v>
      </c>
      <c r="BR462" t="s">
        <v>50</v>
      </c>
      <c r="BS462" t="s">
        <v>52</v>
      </c>
      <c r="BT462">
        <v>0</v>
      </c>
      <c r="BU462" t="s">
        <v>52</v>
      </c>
      <c r="BV462">
        <v>0</v>
      </c>
      <c r="BW462">
        <v>-1</v>
      </c>
      <c r="BX462" t="s">
        <v>50</v>
      </c>
      <c r="BY462">
        <v>0</v>
      </c>
      <c r="BZ462">
        <v>0</v>
      </c>
      <c r="CA462">
        <v>0</v>
      </c>
      <c r="CB462">
        <v>0</v>
      </c>
      <c r="CC462" s="2146">
        <v>-2</v>
      </c>
      <c r="CD462" s="2146" t="s">
        <v>50</v>
      </c>
      <c r="CE462" s="2146">
        <v>0</v>
      </c>
      <c r="CF462" s="2146">
        <v>0</v>
      </c>
      <c r="CG462" s="2146">
        <v>0</v>
      </c>
      <c r="CH462">
        <v>0</v>
      </c>
      <c r="CJ462" t="s">
        <v>5873</v>
      </c>
    </row>
    <row r="463" spans="1:88">
      <c r="A463" t="s">
        <v>1989</v>
      </c>
      <c r="B463" t="s">
        <v>2086</v>
      </c>
      <c r="C463" t="s">
        <v>116</v>
      </c>
      <c r="D463" t="s">
        <v>101</v>
      </c>
      <c r="E463" t="s">
        <v>102</v>
      </c>
      <c r="F463" t="s">
        <v>2022</v>
      </c>
      <c r="G463" t="s">
        <v>489</v>
      </c>
      <c r="H463" t="s">
        <v>2087</v>
      </c>
      <c r="I463" t="s">
        <v>2088</v>
      </c>
      <c r="J463" t="s">
        <v>69</v>
      </c>
      <c r="N463" t="s">
        <v>113</v>
      </c>
      <c r="O463" t="s">
        <v>48</v>
      </c>
      <c r="P463" t="s">
        <v>2089</v>
      </c>
      <c r="Q463" s="534">
        <v>0</v>
      </c>
      <c r="R463" t="s">
        <v>3264</v>
      </c>
      <c r="S463">
        <v>52000</v>
      </c>
      <c r="T463">
        <v>52000</v>
      </c>
      <c r="U463">
        <v>65000</v>
      </c>
      <c r="V463">
        <v>75000</v>
      </c>
      <c r="W463">
        <v>85000</v>
      </c>
      <c r="X463">
        <v>100000</v>
      </c>
      <c r="AH463">
        <v>0</v>
      </c>
      <c r="BP463" s="534">
        <v>49455</v>
      </c>
      <c r="BQ463" s="725">
        <v>48734</v>
      </c>
      <c r="BR463" t="s">
        <v>50</v>
      </c>
      <c r="BS463" t="s">
        <v>52</v>
      </c>
      <c r="BT463">
        <v>0</v>
      </c>
      <c r="BU463" t="s">
        <v>52</v>
      </c>
      <c r="BV463">
        <v>0</v>
      </c>
      <c r="BW463">
        <v>65461</v>
      </c>
      <c r="BX463" t="s">
        <v>50</v>
      </c>
      <c r="BY463">
        <v>0</v>
      </c>
      <c r="BZ463">
        <v>0</v>
      </c>
      <c r="CA463">
        <v>0</v>
      </c>
      <c r="CB463">
        <v>0</v>
      </c>
      <c r="CC463" s="2146">
        <v>100999</v>
      </c>
      <c r="CD463" s="2146" t="s">
        <v>50</v>
      </c>
      <c r="CE463" s="2146">
        <v>0</v>
      </c>
      <c r="CF463" s="2146">
        <v>0</v>
      </c>
      <c r="CG463" s="2146">
        <v>0</v>
      </c>
      <c r="CH463">
        <v>0</v>
      </c>
      <c r="CJ463" t="s">
        <v>5884</v>
      </c>
    </row>
    <row r="464" spans="1:88">
      <c r="A464" t="s">
        <v>2090</v>
      </c>
      <c r="B464" t="s">
        <v>2091</v>
      </c>
      <c r="C464" t="s">
        <v>116</v>
      </c>
      <c r="D464" t="s">
        <v>40</v>
      </c>
      <c r="E464" t="s">
        <v>41</v>
      </c>
      <c r="F464" t="s">
        <v>2092</v>
      </c>
      <c r="G464" t="s">
        <v>465</v>
      </c>
      <c r="H464" t="s">
        <v>2093</v>
      </c>
      <c r="I464" t="s">
        <v>2094</v>
      </c>
      <c r="J464" t="s">
        <v>69</v>
      </c>
      <c r="N464" t="s">
        <v>65</v>
      </c>
      <c r="O464" t="s">
        <v>76</v>
      </c>
      <c r="P464" t="s">
        <v>2095</v>
      </c>
      <c r="Q464" s="534">
        <v>1</v>
      </c>
      <c r="R464" t="s">
        <v>3264</v>
      </c>
      <c r="S464">
        <v>100</v>
      </c>
      <c r="T464">
        <v>100</v>
      </c>
      <c r="U464">
        <v>100</v>
      </c>
      <c r="V464">
        <v>100</v>
      </c>
      <c r="W464">
        <v>100</v>
      </c>
      <c r="X464">
        <v>100</v>
      </c>
      <c r="AH464">
        <v>0</v>
      </c>
      <c r="BP464" s="534">
        <v>100</v>
      </c>
      <c r="BQ464" s="722">
        <v>100</v>
      </c>
      <c r="BR464" t="s">
        <v>50</v>
      </c>
      <c r="BS464" t="s">
        <v>52</v>
      </c>
      <c r="BT464">
        <v>0</v>
      </c>
      <c r="BU464" t="s">
        <v>52</v>
      </c>
      <c r="BV464">
        <v>0</v>
      </c>
      <c r="BW464">
        <v>100</v>
      </c>
      <c r="BX464" t="s">
        <v>50</v>
      </c>
      <c r="BY464">
        <v>0</v>
      </c>
      <c r="BZ464">
        <v>0</v>
      </c>
      <c r="CA464">
        <v>0</v>
      </c>
      <c r="CB464">
        <v>0</v>
      </c>
      <c r="CC464" s="2146">
        <v>100</v>
      </c>
      <c r="CD464" s="2146" t="s">
        <v>50</v>
      </c>
      <c r="CE464" s="2146">
        <v>0</v>
      </c>
      <c r="CF464" s="2146">
        <v>0</v>
      </c>
      <c r="CG464" s="2146">
        <v>0</v>
      </c>
      <c r="CH464">
        <v>0</v>
      </c>
      <c r="CJ464" t="s">
        <v>5885</v>
      </c>
    </row>
    <row r="465" spans="1:88">
      <c r="A465" t="s">
        <v>2090</v>
      </c>
      <c r="B465" t="s">
        <v>2096</v>
      </c>
      <c r="C465" t="s">
        <v>116</v>
      </c>
      <c r="D465" t="s">
        <v>40</v>
      </c>
      <c r="E465" t="s">
        <v>41</v>
      </c>
      <c r="F465" t="s">
        <v>2092</v>
      </c>
      <c r="G465" t="s">
        <v>834</v>
      </c>
      <c r="H465" t="s">
        <v>2097</v>
      </c>
      <c r="I465" t="s">
        <v>2098</v>
      </c>
      <c r="J465" t="s">
        <v>5408</v>
      </c>
      <c r="K465" t="s">
        <v>45</v>
      </c>
      <c r="N465" t="s">
        <v>65</v>
      </c>
      <c r="O465" t="s">
        <v>48</v>
      </c>
      <c r="P465" t="s">
        <v>2099</v>
      </c>
      <c r="Q465" s="534">
        <v>0</v>
      </c>
      <c r="R465" t="s">
        <v>3263</v>
      </c>
      <c r="S465">
        <v>100</v>
      </c>
      <c r="T465">
        <v>100</v>
      </c>
      <c r="U465">
        <v>100</v>
      </c>
      <c r="V465">
        <v>100</v>
      </c>
      <c r="W465">
        <v>100</v>
      </c>
      <c r="X465">
        <v>100</v>
      </c>
      <c r="AG465" t="s">
        <v>50</v>
      </c>
      <c r="AH465">
        <v>0</v>
      </c>
      <c r="AI465" t="s">
        <v>50</v>
      </c>
      <c r="AJ465" t="s">
        <v>50</v>
      </c>
      <c r="AK465" t="s">
        <v>50</v>
      </c>
      <c r="AL465" t="s">
        <v>50</v>
      </c>
      <c r="AM465" t="s">
        <v>50</v>
      </c>
      <c r="AN465">
        <v>1350</v>
      </c>
      <c r="AO465">
        <v>1350</v>
      </c>
      <c r="AP465">
        <v>1350</v>
      </c>
      <c r="AQ465">
        <v>1350</v>
      </c>
      <c r="AR465">
        <v>1350</v>
      </c>
      <c r="AS465">
        <v>100</v>
      </c>
      <c r="AT465">
        <v>100</v>
      </c>
      <c r="AU465">
        <v>100</v>
      </c>
      <c r="AV465">
        <v>100</v>
      </c>
      <c r="AW465">
        <v>100</v>
      </c>
      <c r="BH465">
        <v>2.5000000000000001E-5</v>
      </c>
      <c r="BN465">
        <v>1</v>
      </c>
      <c r="BO465" t="s">
        <v>51</v>
      </c>
      <c r="BP465" s="534">
        <v>88</v>
      </c>
      <c r="BQ465" s="725">
        <v>172</v>
      </c>
      <c r="BR465" t="s">
        <v>46</v>
      </c>
      <c r="BS465" t="s">
        <v>52</v>
      </c>
      <c r="BT465">
        <v>0</v>
      </c>
      <c r="BU465" t="s">
        <v>5415</v>
      </c>
      <c r="BV465">
        <v>-1.8E-3</v>
      </c>
      <c r="BW465">
        <v>341</v>
      </c>
      <c r="BX465" t="s">
        <v>46</v>
      </c>
      <c r="BY465">
        <v>0</v>
      </c>
      <c r="BZ465">
        <v>0</v>
      </c>
      <c r="CA465" t="s">
        <v>5415</v>
      </c>
      <c r="CB465">
        <v>-6.0000000000000001E-3</v>
      </c>
      <c r="CC465" s="2146">
        <v>30</v>
      </c>
      <c r="CD465" s="2146" t="s">
        <v>50</v>
      </c>
      <c r="CE465" s="2146">
        <v>0</v>
      </c>
      <c r="CF465" s="2146">
        <v>0</v>
      </c>
      <c r="CG465" s="2146">
        <v>0</v>
      </c>
      <c r="CH465">
        <v>0</v>
      </c>
      <c r="CJ465" t="s">
        <v>5886</v>
      </c>
    </row>
    <row r="466" spans="1:88">
      <c r="A466" t="s">
        <v>2090</v>
      </c>
      <c r="B466" t="s">
        <v>2100</v>
      </c>
      <c r="C466" t="s">
        <v>116</v>
      </c>
      <c r="D466" t="s">
        <v>40</v>
      </c>
      <c r="E466" t="s">
        <v>41</v>
      </c>
      <c r="F466" t="s">
        <v>2092</v>
      </c>
      <c r="G466" t="s">
        <v>839</v>
      </c>
      <c r="H466" t="s">
        <v>2101</v>
      </c>
      <c r="I466" t="s">
        <v>2102</v>
      </c>
      <c r="J466" t="s">
        <v>5408</v>
      </c>
      <c r="K466" t="s">
        <v>322</v>
      </c>
      <c r="N466" t="s">
        <v>169</v>
      </c>
      <c r="O466" t="s">
        <v>76</v>
      </c>
      <c r="P466" t="s">
        <v>2103</v>
      </c>
      <c r="Q466" s="534">
        <v>0</v>
      </c>
      <c r="R466" t="s">
        <v>3264</v>
      </c>
      <c r="S466">
        <v>47</v>
      </c>
      <c r="T466">
        <v>60</v>
      </c>
      <c r="U466">
        <v>70</v>
      </c>
      <c r="V466">
        <v>80</v>
      </c>
      <c r="W466">
        <v>90</v>
      </c>
      <c r="X466">
        <v>100</v>
      </c>
      <c r="AF466" t="s">
        <v>50</v>
      </c>
      <c r="AH466">
        <v>0</v>
      </c>
      <c r="AI466" t="s">
        <v>50</v>
      </c>
      <c r="AJ466" t="s">
        <v>50</v>
      </c>
      <c r="AK466" t="s">
        <v>50</v>
      </c>
      <c r="AL466" t="s">
        <v>50</v>
      </c>
      <c r="AM466" t="s">
        <v>50</v>
      </c>
      <c r="AN466">
        <v>50</v>
      </c>
      <c r="AO466">
        <v>50</v>
      </c>
      <c r="AP466">
        <v>50</v>
      </c>
      <c r="AQ466">
        <v>50</v>
      </c>
      <c r="AR466">
        <v>50</v>
      </c>
      <c r="AS466">
        <v>60</v>
      </c>
      <c r="AT466">
        <v>70</v>
      </c>
      <c r="AU466">
        <v>80</v>
      </c>
      <c r="AV466">
        <v>90</v>
      </c>
      <c r="AW466">
        <v>100</v>
      </c>
      <c r="BH466">
        <v>4.0000000000000001E-3</v>
      </c>
      <c r="BN466">
        <v>1</v>
      </c>
      <c r="BO466" t="s">
        <v>51</v>
      </c>
      <c r="BP466" s="534">
        <v>47</v>
      </c>
      <c r="BQ466" s="725">
        <v>60</v>
      </c>
      <c r="BR466" t="s">
        <v>50</v>
      </c>
      <c r="BS466" t="s">
        <v>52</v>
      </c>
      <c r="BT466">
        <v>0</v>
      </c>
      <c r="BU466" t="s">
        <v>52</v>
      </c>
      <c r="BV466">
        <v>0</v>
      </c>
      <c r="BW466">
        <v>71</v>
      </c>
      <c r="BX466" t="s">
        <v>50</v>
      </c>
      <c r="BY466">
        <v>0</v>
      </c>
      <c r="BZ466">
        <v>0</v>
      </c>
      <c r="CA466">
        <v>0</v>
      </c>
      <c r="CB466">
        <v>0</v>
      </c>
      <c r="CC466" s="2146">
        <v>86</v>
      </c>
      <c r="CD466" s="2146" t="s">
        <v>50</v>
      </c>
      <c r="CE466" s="2146">
        <v>0</v>
      </c>
      <c r="CF466" s="2146">
        <v>0</v>
      </c>
      <c r="CG466" s="2146">
        <v>0</v>
      </c>
      <c r="CH466">
        <v>0</v>
      </c>
      <c r="CJ466" t="s">
        <v>5887</v>
      </c>
    </row>
    <row r="467" spans="1:88">
      <c r="A467" t="s">
        <v>2090</v>
      </c>
      <c r="B467" t="s">
        <v>2104</v>
      </c>
      <c r="C467" t="s">
        <v>116</v>
      </c>
      <c r="D467" t="s">
        <v>40</v>
      </c>
      <c r="E467" t="s">
        <v>41</v>
      </c>
      <c r="F467" t="s">
        <v>2092</v>
      </c>
      <c r="G467" t="s">
        <v>2105</v>
      </c>
      <c r="H467" t="s">
        <v>2106</v>
      </c>
      <c r="I467" t="s">
        <v>2107</v>
      </c>
      <c r="J467" t="s">
        <v>5406</v>
      </c>
      <c r="K467" t="s">
        <v>322</v>
      </c>
      <c r="N467" t="s">
        <v>175</v>
      </c>
      <c r="O467" t="s">
        <v>48</v>
      </c>
      <c r="P467" t="s">
        <v>2108</v>
      </c>
      <c r="Q467" s="534">
        <v>0</v>
      </c>
      <c r="R467" t="s">
        <v>3264</v>
      </c>
      <c r="S467">
        <v>0</v>
      </c>
      <c r="T467">
        <v>0</v>
      </c>
      <c r="U467">
        <v>0</v>
      </c>
      <c r="V467">
        <v>0</v>
      </c>
      <c r="W467">
        <v>99</v>
      </c>
      <c r="X467">
        <v>99</v>
      </c>
      <c r="AF467" t="s">
        <v>50</v>
      </c>
      <c r="AH467">
        <v>0</v>
      </c>
      <c r="AI467" t="s">
        <v>50</v>
      </c>
      <c r="AJ467" t="s">
        <v>50</v>
      </c>
      <c r="AK467" t="s">
        <v>50</v>
      </c>
      <c r="AL467" t="s">
        <v>50</v>
      </c>
      <c r="AM467" t="s">
        <v>50</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51</v>
      </c>
      <c r="BP467" s="534">
        <v>0</v>
      </c>
      <c r="BQ467" s="725">
        <v>0</v>
      </c>
      <c r="BR467" t="s">
        <v>50</v>
      </c>
      <c r="BS467" t="s">
        <v>52</v>
      </c>
      <c r="BT467">
        <v>0</v>
      </c>
      <c r="BU467" t="s">
        <v>52</v>
      </c>
      <c r="BV467">
        <v>0</v>
      </c>
      <c r="BW467">
        <v>0</v>
      </c>
      <c r="BX467" t="s">
        <v>50</v>
      </c>
      <c r="BY467">
        <v>0</v>
      </c>
      <c r="BZ467">
        <v>0</v>
      </c>
      <c r="CA467">
        <v>0</v>
      </c>
      <c r="CB467">
        <v>0</v>
      </c>
      <c r="CC467" s="2146">
        <v>78</v>
      </c>
      <c r="CD467" s="2146" t="s">
        <v>50</v>
      </c>
      <c r="CE467" s="2146">
        <v>0</v>
      </c>
      <c r="CF467" s="2146">
        <v>0</v>
      </c>
      <c r="CG467" s="2146" t="s">
        <v>5425</v>
      </c>
      <c r="CH467">
        <v>1.482</v>
      </c>
      <c r="CJ467" t="s">
        <v>5888</v>
      </c>
    </row>
    <row r="468" spans="1:88">
      <c r="A468" t="s">
        <v>2090</v>
      </c>
      <c r="B468" t="s">
        <v>2109</v>
      </c>
      <c r="C468" t="s">
        <v>116</v>
      </c>
      <c r="D468" t="s">
        <v>40</v>
      </c>
      <c r="E468" t="s">
        <v>41</v>
      </c>
      <c r="F468" t="s">
        <v>2110</v>
      </c>
      <c r="G468" t="s">
        <v>783</v>
      </c>
      <c r="H468" t="s">
        <v>2111</v>
      </c>
      <c r="I468" t="s">
        <v>2112</v>
      </c>
      <c r="J468" t="s">
        <v>5408</v>
      </c>
      <c r="K468" t="s">
        <v>45</v>
      </c>
      <c r="M468" t="s">
        <v>46</v>
      </c>
      <c r="N468" t="s">
        <v>143</v>
      </c>
      <c r="O468" t="s">
        <v>48</v>
      </c>
      <c r="P468" t="s">
        <v>2113</v>
      </c>
      <c r="Q468" s="534">
        <v>0</v>
      </c>
      <c r="R468" t="s">
        <v>3263</v>
      </c>
      <c r="S468">
        <v>0</v>
      </c>
      <c r="T468">
        <v>0</v>
      </c>
      <c r="U468">
        <v>0</v>
      </c>
      <c r="V468">
        <v>0</v>
      </c>
      <c r="W468">
        <v>0</v>
      </c>
      <c r="X468">
        <v>0</v>
      </c>
      <c r="AH468">
        <v>0</v>
      </c>
      <c r="AI468" t="s">
        <v>50</v>
      </c>
      <c r="AJ468" t="s">
        <v>50</v>
      </c>
      <c r="AK468" t="s">
        <v>50</v>
      </c>
      <c r="AL468" t="s">
        <v>50</v>
      </c>
      <c r="AM468" t="s">
        <v>50</v>
      </c>
      <c r="AN468">
        <v>1</v>
      </c>
      <c r="AO468">
        <v>1</v>
      </c>
      <c r="AP468">
        <v>1</v>
      </c>
      <c r="AQ468">
        <v>1</v>
      </c>
      <c r="AR468">
        <v>1</v>
      </c>
      <c r="AS468">
        <v>0</v>
      </c>
      <c r="AT468">
        <v>0</v>
      </c>
      <c r="AU468">
        <v>0</v>
      </c>
      <c r="AV468">
        <v>0</v>
      </c>
      <c r="AW468">
        <v>0</v>
      </c>
      <c r="BH468">
        <v>10.1</v>
      </c>
      <c r="BN468">
        <v>1</v>
      </c>
      <c r="BO468" t="s">
        <v>51</v>
      </c>
      <c r="BP468" s="534">
        <v>0</v>
      </c>
      <c r="BQ468" s="725">
        <v>0</v>
      </c>
      <c r="BR468" t="s">
        <v>50</v>
      </c>
      <c r="BS468" t="s">
        <v>52</v>
      </c>
      <c r="BT468">
        <v>0</v>
      </c>
      <c r="BU468" t="s">
        <v>52</v>
      </c>
      <c r="BV468">
        <v>0</v>
      </c>
      <c r="BW468">
        <v>0</v>
      </c>
      <c r="BX468" t="s">
        <v>50</v>
      </c>
      <c r="BY468">
        <v>0</v>
      </c>
      <c r="BZ468">
        <v>0</v>
      </c>
      <c r="CA468">
        <v>0</v>
      </c>
      <c r="CB468">
        <v>0</v>
      </c>
      <c r="CC468" s="2146">
        <v>0</v>
      </c>
      <c r="CD468" s="2146" t="s">
        <v>50</v>
      </c>
      <c r="CE468" s="2146">
        <v>0</v>
      </c>
      <c r="CF468" s="2146">
        <v>0</v>
      </c>
      <c r="CG468" s="2146">
        <v>0</v>
      </c>
      <c r="CH468">
        <v>0</v>
      </c>
      <c r="CJ468" t="s">
        <v>5889</v>
      </c>
    </row>
    <row r="469" spans="1:88">
      <c r="A469" t="s">
        <v>2090</v>
      </c>
      <c r="B469" t="s">
        <v>2114</v>
      </c>
      <c r="C469" t="s">
        <v>116</v>
      </c>
      <c r="D469" t="s">
        <v>40</v>
      </c>
      <c r="E469" t="s">
        <v>41</v>
      </c>
      <c r="F469" t="s">
        <v>2110</v>
      </c>
      <c r="G469" t="s">
        <v>790</v>
      </c>
      <c r="H469" t="s">
        <v>2115</v>
      </c>
      <c r="I469" t="s">
        <v>2116</v>
      </c>
      <c r="J469" t="s">
        <v>5406</v>
      </c>
      <c r="K469" t="s">
        <v>45</v>
      </c>
      <c r="N469" t="s">
        <v>86</v>
      </c>
      <c r="O469" t="s">
        <v>119</v>
      </c>
      <c r="P469" t="s">
        <v>120</v>
      </c>
      <c r="Q469" s="534">
        <v>1</v>
      </c>
      <c r="R469" t="s">
        <v>3263</v>
      </c>
      <c r="S469">
        <v>24</v>
      </c>
      <c r="T469">
        <v>21.3</v>
      </c>
      <c r="U469">
        <v>16</v>
      </c>
      <c r="V469">
        <v>12</v>
      </c>
      <c r="W469">
        <v>12</v>
      </c>
      <c r="X469">
        <v>12</v>
      </c>
      <c r="AA469" t="s">
        <v>50</v>
      </c>
      <c r="AE469" t="s">
        <v>50</v>
      </c>
      <c r="AH469">
        <v>0</v>
      </c>
      <c r="AI469" t="s">
        <v>50</v>
      </c>
      <c r="AJ469" t="s">
        <v>50</v>
      </c>
      <c r="AK469" t="s">
        <v>50</v>
      </c>
      <c r="AL469" t="s">
        <v>50</v>
      </c>
      <c r="AM469" t="s">
        <v>50</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51</v>
      </c>
      <c r="BP469" s="534">
        <v>20.100000000000001</v>
      </c>
      <c r="BQ469" s="722">
        <v>14.3</v>
      </c>
      <c r="BR469" t="s">
        <v>50</v>
      </c>
      <c r="BS469" t="s">
        <v>52</v>
      </c>
      <c r="BT469">
        <v>0</v>
      </c>
      <c r="BU469" t="s">
        <v>5379</v>
      </c>
      <c r="BV469">
        <v>0</v>
      </c>
      <c r="BW469">
        <v>12.8</v>
      </c>
      <c r="BX469" t="s">
        <v>50</v>
      </c>
      <c r="BY469">
        <v>0</v>
      </c>
      <c r="BZ469">
        <v>0</v>
      </c>
      <c r="CA469" t="s">
        <v>5379</v>
      </c>
      <c r="CB469">
        <v>0</v>
      </c>
      <c r="CC469" s="2146">
        <v>12.3</v>
      </c>
      <c r="CD469" s="2146" t="s">
        <v>46</v>
      </c>
      <c r="CE469" s="2146">
        <v>0</v>
      </c>
      <c r="CF469" s="2146">
        <v>0</v>
      </c>
      <c r="CG469" s="2146" t="s">
        <v>13444</v>
      </c>
      <c r="CH469">
        <v>-1.26E-2</v>
      </c>
      <c r="CJ469" t="s">
        <v>5890</v>
      </c>
    </row>
    <row r="470" spans="1:88">
      <c r="A470" t="s">
        <v>2090</v>
      </c>
      <c r="B470" t="s">
        <v>2117</v>
      </c>
      <c r="C470" t="s">
        <v>116</v>
      </c>
      <c r="D470" t="s">
        <v>40</v>
      </c>
      <c r="E470" t="s">
        <v>41</v>
      </c>
      <c r="F470" t="s">
        <v>2110</v>
      </c>
      <c r="G470" t="s">
        <v>2073</v>
      </c>
      <c r="H470" t="s">
        <v>2118</v>
      </c>
      <c r="I470" t="s">
        <v>2119</v>
      </c>
      <c r="J470" t="s">
        <v>5408</v>
      </c>
      <c r="K470" t="s">
        <v>322</v>
      </c>
      <c r="M470" t="s">
        <v>46</v>
      </c>
      <c r="N470" t="s">
        <v>137</v>
      </c>
      <c r="O470" t="s">
        <v>48</v>
      </c>
      <c r="P470" t="s">
        <v>2120</v>
      </c>
      <c r="Q470" s="534">
        <v>0</v>
      </c>
      <c r="R470" t="s">
        <v>3263</v>
      </c>
      <c r="S470">
        <v>106000</v>
      </c>
      <c r="T470">
        <v>78000</v>
      </c>
      <c r="U470">
        <v>78000</v>
      </c>
      <c r="V470">
        <v>78000</v>
      </c>
      <c r="W470">
        <v>42000</v>
      </c>
      <c r="X470">
        <v>42000</v>
      </c>
      <c r="AD470" t="s">
        <v>50</v>
      </c>
      <c r="AE470" t="s">
        <v>50</v>
      </c>
      <c r="AH470">
        <v>0</v>
      </c>
      <c r="AI470" t="s">
        <v>50</v>
      </c>
      <c r="AJ470" t="s">
        <v>50</v>
      </c>
      <c r="AK470" t="s">
        <v>50</v>
      </c>
      <c r="AL470" t="s">
        <v>50</v>
      </c>
      <c r="AM470" t="s">
        <v>50</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51</v>
      </c>
      <c r="BP470" s="534">
        <v>91000</v>
      </c>
      <c r="BQ470" s="725">
        <v>78000</v>
      </c>
      <c r="BR470" t="s">
        <v>50</v>
      </c>
      <c r="BS470" t="s">
        <v>52</v>
      </c>
      <c r="BT470">
        <v>0</v>
      </c>
      <c r="BU470" t="s">
        <v>52</v>
      </c>
      <c r="BV470">
        <v>0</v>
      </c>
      <c r="BW470">
        <v>48000</v>
      </c>
      <c r="BX470" t="s">
        <v>50</v>
      </c>
      <c r="BY470">
        <v>0</v>
      </c>
      <c r="BZ470">
        <v>0</v>
      </c>
      <c r="CA470">
        <v>0</v>
      </c>
      <c r="CB470">
        <v>0</v>
      </c>
      <c r="CC470" s="2146">
        <v>42000</v>
      </c>
      <c r="CD470" s="2146" t="s">
        <v>50</v>
      </c>
      <c r="CE470" s="2146">
        <v>0</v>
      </c>
      <c r="CF470" s="2146">
        <v>0</v>
      </c>
      <c r="CG470" s="2146">
        <v>0</v>
      </c>
      <c r="CH470">
        <v>0</v>
      </c>
      <c r="CJ470" t="s">
        <v>5891</v>
      </c>
    </row>
    <row r="471" spans="1:88">
      <c r="A471" t="s">
        <v>2090</v>
      </c>
      <c r="B471" t="s">
        <v>2121</v>
      </c>
      <c r="C471" t="s">
        <v>116</v>
      </c>
      <c r="D471" t="s">
        <v>40</v>
      </c>
      <c r="E471" t="s">
        <v>41</v>
      </c>
      <c r="F471" t="s">
        <v>2110</v>
      </c>
      <c r="G471" t="s">
        <v>2018</v>
      </c>
      <c r="H471" t="s">
        <v>2122</v>
      </c>
      <c r="I471" t="s">
        <v>2123</v>
      </c>
      <c r="J471" t="s">
        <v>5408</v>
      </c>
      <c r="K471" t="s">
        <v>322</v>
      </c>
      <c r="N471" t="s">
        <v>91</v>
      </c>
      <c r="O471" t="s">
        <v>48</v>
      </c>
      <c r="P471" t="s">
        <v>2124</v>
      </c>
      <c r="Q471" s="534">
        <v>0</v>
      </c>
      <c r="R471" t="s">
        <v>3263</v>
      </c>
      <c r="S471" t="s">
        <v>2125</v>
      </c>
      <c r="T471" t="s">
        <v>2126</v>
      </c>
      <c r="U471" t="s">
        <v>2126</v>
      </c>
      <c r="V471" t="s">
        <v>2126</v>
      </c>
      <c r="W471" t="s">
        <v>2126</v>
      </c>
      <c r="X471" t="s">
        <v>2126</v>
      </c>
      <c r="AE471" t="s">
        <v>50</v>
      </c>
      <c r="AH471">
        <v>0</v>
      </c>
      <c r="AI471" t="s">
        <v>50</v>
      </c>
      <c r="AJ471" t="s">
        <v>50</v>
      </c>
      <c r="AK471" t="s">
        <v>50</v>
      </c>
      <c r="AL471" t="s">
        <v>50</v>
      </c>
      <c r="AM471" t="s">
        <v>50</v>
      </c>
      <c r="AN471">
        <v>999999</v>
      </c>
      <c r="AO471">
        <v>999999</v>
      </c>
      <c r="AP471">
        <v>999999</v>
      </c>
      <c r="AQ471">
        <v>999999</v>
      </c>
      <c r="AR471">
        <v>999999</v>
      </c>
      <c r="AS471">
        <v>1993</v>
      </c>
      <c r="AT471">
        <v>1993</v>
      </c>
      <c r="AU471">
        <v>1993</v>
      </c>
      <c r="AV471">
        <v>1993</v>
      </c>
      <c r="AW471">
        <v>1993</v>
      </c>
      <c r="BH471">
        <v>4.8999999999999998E-3</v>
      </c>
      <c r="BN471">
        <v>1</v>
      </c>
      <c r="BO471" t="s">
        <v>51</v>
      </c>
      <c r="BP471" s="534">
        <v>1892</v>
      </c>
      <c r="BQ471" s="725">
        <v>1663</v>
      </c>
      <c r="BR471" t="s">
        <v>50</v>
      </c>
      <c r="BS471" t="s">
        <v>52</v>
      </c>
      <c r="BT471">
        <v>0</v>
      </c>
      <c r="BU471" t="s">
        <v>52</v>
      </c>
      <c r="BV471">
        <v>0</v>
      </c>
      <c r="BW471">
        <v>1863</v>
      </c>
      <c r="BX471" t="s">
        <v>50</v>
      </c>
      <c r="BY471">
        <v>0</v>
      </c>
      <c r="BZ471">
        <v>0</v>
      </c>
      <c r="CA471">
        <v>0</v>
      </c>
      <c r="CB471">
        <v>0</v>
      </c>
      <c r="CC471" s="2146">
        <v>1920</v>
      </c>
      <c r="CD471" s="2146" t="s">
        <v>50</v>
      </c>
      <c r="CE471" s="2146">
        <v>0</v>
      </c>
      <c r="CF471" s="2146">
        <v>0</v>
      </c>
      <c r="CG471" s="2146">
        <v>0</v>
      </c>
      <c r="CH471">
        <v>0</v>
      </c>
      <c r="CJ471" t="s">
        <v>5892</v>
      </c>
    </row>
    <row r="472" spans="1:88">
      <c r="A472" t="s">
        <v>2090</v>
      </c>
      <c r="B472" t="s">
        <v>2127</v>
      </c>
      <c r="C472" t="s">
        <v>116</v>
      </c>
      <c r="D472" t="s">
        <v>40</v>
      </c>
      <c r="E472" t="s">
        <v>41</v>
      </c>
      <c r="F472" t="s">
        <v>47</v>
      </c>
      <c r="G472" t="s">
        <v>360</v>
      </c>
      <c r="H472" t="s">
        <v>2128</v>
      </c>
      <c r="I472" t="s">
        <v>2129</v>
      </c>
      <c r="J472" t="s">
        <v>5406</v>
      </c>
      <c r="K472" t="s">
        <v>45</v>
      </c>
      <c r="N472" t="s">
        <v>47</v>
      </c>
      <c r="O472" t="s">
        <v>48</v>
      </c>
      <c r="P472" t="s">
        <v>49</v>
      </c>
      <c r="Q472" s="534">
        <v>1</v>
      </c>
      <c r="R472" t="s">
        <v>3263</v>
      </c>
      <c r="S472">
        <v>70</v>
      </c>
      <c r="T472">
        <v>69.3</v>
      </c>
      <c r="U472">
        <v>68.599999999999994</v>
      </c>
      <c r="V472">
        <v>67.900000000000006</v>
      </c>
      <c r="W472">
        <v>67.2</v>
      </c>
      <c r="X472">
        <v>66.5</v>
      </c>
      <c r="AE472" t="s">
        <v>50</v>
      </c>
      <c r="AH472">
        <v>0</v>
      </c>
      <c r="AI472" t="s">
        <v>50</v>
      </c>
      <c r="AJ472" t="s">
        <v>50</v>
      </c>
      <c r="AK472" t="s">
        <v>50</v>
      </c>
      <c r="AL472" t="s">
        <v>50</v>
      </c>
      <c r="AM472" t="s">
        <v>50</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51</v>
      </c>
      <c r="BP472" s="534">
        <v>68.599999999999994</v>
      </c>
      <c r="BQ472" s="722">
        <v>68.3</v>
      </c>
      <c r="BR472" t="s">
        <v>50</v>
      </c>
      <c r="BS472" t="s">
        <v>52</v>
      </c>
      <c r="BT472">
        <v>0</v>
      </c>
      <c r="BU472" t="s">
        <v>5379</v>
      </c>
      <c r="BV472">
        <v>0</v>
      </c>
      <c r="BW472">
        <v>68.3</v>
      </c>
      <c r="BX472" t="s">
        <v>50</v>
      </c>
      <c r="BY472">
        <v>0</v>
      </c>
      <c r="BZ472">
        <v>0</v>
      </c>
      <c r="CA472" t="s">
        <v>5379</v>
      </c>
      <c r="CB472">
        <v>0</v>
      </c>
      <c r="CC472" s="2146">
        <v>67.7</v>
      </c>
      <c r="CD472" s="2146" t="s">
        <v>50</v>
      </c>
      <c r="CE472" s="2146">
        <v>0</v>
      </c>
      <c r="CF472" s="2146">
        <v>0</v>
      </c>
      <c r="CG472" s="2146" t="s">
        <v>5379</v>
      </c>
      <c r="CH472">
        <v>0</v>
      </c>
      <c r="CJ472" t="s">
        <v>5893</v>
      </c>
    </row>
    <row r="473" spans="1:88">
      <c r="A473" t="s">
        <v>2090</v>
      </c>
      <c r="B473" t="s">
        <v>2130</v>
      </c>
      <c r="C473" t="s">
        <v>116</v>
      </c>
      <c r="D473" t="s">
        <v>40</v>
      </c>
      <c r="E473" t="s">
        <v>41</v>
      </c>
      <c r="F473" t="s">
        <v>47</v>
      </c>
      <c r="G473" t="s">
        <v>1000</v>
      </c>
      <c r="H473" t="s">
        <v>2131</v>
      </c>
      <c r="I473" t="s">
        <v>2132</v>
      </c>
      <c r="J473" t="s">
        <v>69</v>
      </c>
      <c r="N473" t="s">
        <v>47</v>
      </c>
      <c r="O473" t="s">
        <v>76</v>
      </c>
      <c r="P473" t="s">
        <v>2133</v>
      </c>
      <c r="Q473" s="534">
        <v>0</v>
      </c>
      <c r="R473" t="s">
        <v>3264</v>
      </c>
      <c r="S473" t="s">
        <v>598</v>
      </c>
      <c r="T473">
        <v>66</v>
      </c>
      <c r="U473">
        <v>70</v>
      </c>
      <c r="V473">
        <v>75</v>
      </c>
      <c r="W473">
        <v>80</v>
      </c>
      <c r="X473">
        <v>90</v>
      </c>
      <c r="AE473" t="s">
        <v>50</v>
      </c>
      <c r="AH473">
        <v>0</v>
      </c>
      <c r="BP473" s="534" t="s">
        <v>2148</v>
      </c>
      <c r="BQ473" s="725">
        <v>68</v>
      </c>
      <c r="BR473" t="s">
        <v>50</v>
      </c>
      <c r="BS473" t="s">
        <v>52</v>
      </c>
      <c r="BT473">
        <v>0</v>
      </c>
      <c r="BU473" t="s">
        <v>52</v>
      </c>
      <c r="BV473">
        <v>0</v>
      </c>
      <c r="BW473">
        <v>70</v>
      </c>
      <c r="BX473" t="s">
        <v>50</v>
      </c>
      <c r="BY473">
        <v>0</v>
      </c>
      <c r="BZ473">
        <v>0</v>
      </c>
      <c r="CA473">
        <v>0</v>
      </c>
      <c r="CB473">
        <v>0</v>
      </c>
      <c r="CC473" s="2146">
        <v>76</v>
      </c>
      <c r="CD473" s="2146" t="s">
        <v>50</v>
      </c>
      <c r="CE473" s="2146">
        <v>0</v>
      </c>
      <c r="CF473" s="2146">
        <v>0</v>
      </c>
      <c r="CG473" s="2146">
        <v>0</v>
      </c>
      <c r="CH473">
        <v>0</v>
      </c>
      <c r="CJ473" t="s">
        <v>5894</v>
      </c>
    </row>
    <row r="474" spans="1:88">
      <c r="A474" t="s">
        <v>2090</v>
      </c>
      <c r="B474" t="s">
        <v>2134</v>
      </c>
      <c r="C474" t="s">
        <v>116</v>
      </c>
      <c r="D474" t="s">
        <v>40</v>
      </c>
      <c r="E474" t="s">
        <v>41</v>
      </c>
      <c r="F474" t="s">
        <v>2135</v>
      </c>
      <c r="G474" t="s">
        <v>365</v>
      </c>
      <c r="H474" t="s">
        <v>2136</v>
      </c>
      <c r="I474" t="s">
        <v>2137</v>
      </c>
      <c r="J474" t="s">
        <v>5406</v>
      </c>
      <c r="K474" t="s">
        <v>322</v>
      </c>
      <c r="N474" t="s">
        <v>24</v>
      </c>
      <c r="O474" t="s">
        <v>48</v>
      </c>
      <c r="P474" t="s">
        <v>2138</v>
      </c>
      <c r="Q474" s="534">
        <v>0</v>
      </c>
      <c r="R474" t="s">
        <v>3263</v>
      </c>
      <c r="S474">
        <v>3000</v>
      </c>
      <c r="T474">
        <v>2536</v>
      </c>
      <c r="U474">
        <v>2072</v>
      </c>
      <c r="V474">
        <v>1608</v>
      </c>
      <c r="W474">
        <v>1608</v>
      </c>
      <c r="X474">
        <v>1608</v>
      </c>
      <c r="Z474" t="s">
        <v>50</v>
      </c>
      <c r="AE474" t="s">
        <v>50</v>
      </c>
      <c r="AH474">
        <v>0</v>
      </c>
      <c r="AI474" t="s">
        <v>50</v>
      </c>
      <c r="AJ474" t="s">
        <v>50</v>
      </c>
      <c r="AK474" t="s">
        <v>50</v>
      </c>
      <c r="AL474" t="s">
        <v>50</v>
      </c>
      <c r="AM474" t="s">
        <v>50</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51</v>
      </c>
      <c r="BP474" s="534">
        <v>3006</v>
      </c>
      <c r="BQ474" s="725">
        <v>2431</v>
      </c>
      <c r="BR474" t="s">
        <v>50</v>
      </c>
      <c r="BS474" t="s">
        <v>52</v>
      </c>
      <c r="BT474">
        <v>0</v>
      </c>
      <c r="BU474" t="s">
        <v>5379</v>
      </c>
      <c r="BV474">
        <v>0</v>
      </c>
      <c r="BW474">
        <v>2172</v>
      </c>
      <c r="BX474" t="s">
        <v>46</v>
      </c>
      <c r="BY474">
        <v>0</v>
      </c>
      <c r="BZ474">
        <v>0</v>
      </c>
      <c r="CA474" t="s">
        <v>5378</v>
      </c>
      <c r="CB474">
        <v>0</v>
      </c>
      <c r="CC474" s="2146">
        <v>2031</v>
      </c>
      <c r="CD474" s="2146" t="s">
        <v>46</v>
      </c>
      <c r="CE474" s="2146">
        <v>0</v>
      </c>
      <c r="CF474" s="2146">
        <v>0</v>
      </c>
      <c r="CG474" s="2146" t="s">
        <v>13444</v>
      </c>
      <c r="CH474">
        <v>-0.4</v>
      </c>
      <c r="CJ474" t="s">
        <v>5895</v>
      </c>
    </row>
    <row r="475" spans="1:88">
      <c r="A475" t="s">
        <v>2090</v>
      </c>
      <c r="B475" t="s">
        <v>2139</v>
      </c>
      <c r="C475" t="s">
        <v>116</v>
      </c>
      <c r="D475" t="s">
        <v>40</v>
      </c>
      <c r="E475" t="s">
        <v>41</v>
      </c>
      <c r="F475" t="s">
        <v>2135</v>
      </c>
      <c r="G475" t="s">
        <v>394</v>
      </c>
      <c r="H475" t="s">
        <v>2140</v>
      </c>
      <c r="I475" t="s">
        <v>2141</v>
      </c>
      <c r="J475" t="s">
        <v>5408</v>
      </c>
      <c r="K475" t="s">
        <v>322</v>
      </c>
      <c r="M475" t="s">
        <v>46</v>
      </c>
      <c r="N475" t="s">
        <v>75</v>
      </c>
      <c r="O475" t="s">
        <v>76</v>
      </c>
      <c r="P475" t="s">
        <v>77</v>
      </c>
      <c r="Q475" s="534">
        <v>2</v>
      </c>
      <c r="R475" t="s">
        <v>3264</v>
      </c>
      <c r="S475">
        <v>99.98</v>
      </c>
      <c r="T475">
        <v>99.98</v>
      </c>
      <c r="U475">
        <v>99.98</v>
      </c>
      <c r="V475">
        <v>100</v>
      </c>
      <c r="W475">
        <v>100</v>
      </c>
      <c r="X475">
        <v>100</v>
      </c>
      <c r="Y475" t="s">
        <v>50</v>
      </c>
      <c r="AE475" t="s">
        <v>50</v>
      </c>
      <c r="AH475">
        <v>0</v>
      </c>
      <c r="AI475" t="s">
        <v>50</v>
      </c>
      <c r="AJ475" t="s">
        <v>50</v>
      </c>
      <c r="AK475" t="s">
        <v>50</v>
      </c>
      <c r="AL475" t="s">
        <v>50</v>
      </c>
      <c r="AM475" t="s">
        <v>50</v>
      </c>
      <c r="AN475" t="s">
        <v>2142</v>
      </c>
      <c r="AO475" t="s">
        <v>2142</v>
      </c>
      <c r="AP475" t="s">
        <v>2142</v>
      </c>
      <c r="AQ475" t="s">
        <v>2142</v>
      </c>
      <c r="AR475" t="s">
        <v>2142</v>
      </c>
      <c r="AS475">
        <v>99.95</v>
      </c>
      <c r="AT475">
        <v>99.95</v>
      </c>
      <c r="AU475">
        <v>99.95</v>
      </c>
      <c r="AV475">
        <v>99.95</v>
      </c>
      <c r="AW475">
        <v>99.95</v>
      </c>
      <c r="BH475">
        <v>0.77</v>
      </c>
      <c r="BN475">
        <v>1</v>
      </c>
      <c r="BO475" t="s">
        <v>51</v>
      </c>
      <c r="BP475" s="534">
        <v>99.97</v>
      </c>
      <c r="BQ475" s="726">
        <v>99.96</v>
      </c>
      <c r="BR475" t="s">
        <v>46</v>
      </c>
      <c r="BS475" t="s">
        <v>52</v>
      </c>
      <c r="BT475">
        <v>0</v>
      </c>
      <c r="BU475" t="s">
        <v>5378</v>
      </c>
      <c r="BV475">
        <v>0</v>
      </c>
      <c r="BW475">
        <v>99.95</v>
      </c>
      <c r="BX475" t="s">
        <v>46</v>
      </c>
      <c r="BY475">
        <v>0</v>
      </c>
      <c r="BZ475">
        <v>0</v>
      </c>
      <c r="CA475" t="s">
        <v>5378</v>
      </c>
      <c r="CB475">
        <v>0</v>
      </c>
      <c r="CC475" s="2146">
        <v>99.959000000000003</v>
      </c>
      <c r="CD475" s="2146" t="s">
        <v>46</v>
      </c>
      <c r="CE475" s="2146">
        <v>0</v>
      </c>
      <c r="CF475" s="2146">
        <v>0</v>
      </c>
      <c r="CG475" s="2146" t="s">
        <v>13445</v>
      </c>
      <c r="CH475">
        <v>0</v>
      </c>
      <c r="CJ475" t="s">
        <v>5896</v>
      </c>
    </row>
    <row r="476" spans="1:88">
      <c r="A476" t="s">
        <v>2090</v>
      </c>
      <c r="B476" t="s">
        <v>2143</v>
      </c>
      <c r="C476" t="s">
        <v>116</v>
      </c>
      <c r="D476" t="s">
        <v>214</v>
      </c>
      <c r="E476" t="s">
        <v>215</v>
      </c>
      <c r="F476" t="s">
        <v>2144</v>
      </c>
      <c r="G476" t="s">
        <v>315</v>
      </c>
      <c r="H476" t="s">
        <v>2145</v>
      </c>
      <c r="I476" t="s">
        <v>2146</v>
      </c>
      <c r="J476" t="s">
        <v>5408</v>
      </c>
      <c r="K476" t="s">
        <v>322</v>
      </c>
      <c r="N476" t="s">
        <v>175</v>
      </c>
      <c r="O476" t="s">
        <v>76</v>
      </c>
      <c r="P476" t="s">
        <v>2147</v>
      </c>
      <c r="Q476" s="534">
        <v>0</v>
      </c>
      <c r="R476" t="s">
        <v>3264</v>
      </c>
      <c r="S476" t="s">
        <v>2148</v>
      </c>
      <c r="T476">
        <v>100</v>
      </c>
      <c r="U476">
        <v>100</v>
      </c>
      <c r="V476">
        <v>100</v>
      </c>
      <c r="W476">
        <v>100</v>
      </c>
      <c r="X476">
        <v>100</v>
      </c>
      <c r="AF476" t="s">
        <v>50</v>
      </c>
      <c r="AH476">
        <v>0</v>
      </c>
      <c r="AI476" t="s">
        <v>50</v>
      </c>
      <c r="AJ476" t="s">
        <v>50</v>
      </c>
      <c r="AK476" t="s">
        <v>50</v>
      </c>
      <c r="AL476" t="s">
        <v>50</v>
      </c>
      <c r="AM476" t="s">
        <v>50</v>
      </c>
      <c r="AN476">
        <v>0</v>
      </c>
      <c r="AO476">
        <v>0</v>
      </c>
      <c r="AP476">
        <v>0</v>
      </c>
      <c r="AQ476">
        <v>0</v>
      </c>
      <c r="AR476">
        <v>0</v>
      </c>
      <c r="AS476">
        <v>100</v>
      </c>
      <c r="AT476">
        <v>100</v>
      </c>
      <c r="AU476">
        <v>100</v>
      </c>
      <c r="AV476">
        <v>100</v>
      </c>
      <c r="AW476">
        <v>100</v>
      </c>
      <c r="BH476">
        <v>8.9999999999999993E-3</v>
      </c>
      <c r="BN476">
        <v>1</v>
      </c>
      <c r="BO476" t="s">
        <v>51</v>
      </c>
      <c r="BP476" s="534" t="s">
        <v>2148</v>
      </c>
      <c r="BQ476" s="725">
        <v>100</v>
      </c>
      <c r="BR476" t="s">
        <v>50</v>
      </c>
      <c r="BS476" t="s">
        <v>52</v>
      </c>
      <c r="BT476">
        <v>0</v>
      </c>
      <c r="BU476" t="s">
        <v>52</v>
      </c>
      <c r="BV476">
        <v>0</v>
      </c>
      <c r="BW476">
        <v>100</v>
      </c>
      <c r="BX476" t="s">
        <v>50</v>
      </c>
      <c r="BY476">
        <v>0</v>
      </c>
      <c r="BZ476">
        <v>0</v>
      </c>
      <c r="CA476">
        <v>0</v>
      </c>
      <c r="CB476">
        <v>0</v>
      </c>
      <c r="CC476" s="2146">
        <v>100</v>
      </c>
      <c r="CD476" s="2146" t="s">
        <v>50</v>
      </c>
      <c r="CE476" s="2146">
        <v>0</v>
      </c>
      <c r="CF476" s="2146">
        <v>0</v>
      </c>
      <c r="CG476" s="2146">
        <v>0</v>
      </c>
      <c r="CH476">
        <v>0</v>
      </c>
      <c r="CJ476" t="s">
        <v>5897</v>
      </c>
    </row>
    <row r="477" spans="1:88">
      <c r="A477" t="s">
        <v>2090</v>
      </c>
      <c r="B477" t="s">
        <v>2149</v>
      </c>
      <c r="C477" t="s">
        <v>116</v>
      </c>
      <c r="D477" t="s">
        <v>214</v>
      </c>
      <c r="E477" t="s">
        <v>215</v>
      </c>
      <c r="F477" t="s">
        <v>2144</v>
      </c>
      <c r="G477" t="s">
        <v>319</v>
      </c>
      <c r="H477" t="s">
        <v>2150</v>
      </c>
      <c r="I477" t="s">
        <v>2151</v>
      </c>
      <c r="J477" t="s">
        <v>69</v>
      </c>
      <c r="N477" t="s">
        <v>175</v>
      </c>
      <c r="O477" t="s">
        <v>76</v>
      </c>
      <c r="P477" t="s">
        <v>2152</v>
      </c>
      <c r="Q477" s="534">
        <v>0</v>
      </c>
      <c r="R477" t="s">
        <v>3264</v>
      </c>
      <c r="S477" t="s">
        <v>598</v>
      </c>
      <c r="T477">
        <v>100</v>
      </c>
      <c r="U477">
        <v>100</v>
      </c>
      <c r="V477">
        <v>100</v>
      </c>
      <c r="W477">
        <v>100</v>
      </c>
      <c r="X477">
        <v>100</v>
      </c>
      <c r="AF477" t="s">
        <v>50</v>
      </c>
      <c r="AH477">
        <v>0</v>
      </c>
      <c r="BP477" s="534">
        <v>98</v>
      </c>
      <c r="BQ477" s="725">
        <v>98</v>
      </c>
      <c r="BR477" t="s">
        <v>46</v>
      </c>
      <c r="BS477" t="s">
        <v>52</v>
      </c>
      <c r="BT477">
        <v>0</v>
      </c>
      <c r="BU477" t="s">
        <v>52</v>
      </c>
      <c r="BV477">
        <v>0</v>
      </c>
      <c r="BW477">
        <v>98</v>
      </c>
      <c r="BX477" t="s">
        <v>46</v>
      </c>
      <c r="BY477">
        <v>0</v>
      </c>
      <c r="BZ477">
        <v>0</v>
      </c>
      <c r="CA477">
        <v>0</v>
      </c>
      <c r="CB477">
        <v>0</v>
      </c>
      <c r="CC477" s="2146">
        <v>96</v>
      </c>
      <c r="CD477" s="2146" t="s">
        <v>46</v>
      </c>
      <c r="CE477" s="2146">
        <v>0</v>
      </c>
      <c r="CF477" s="2146">
        <v>0</v>
      </c>
      <c r="CG477" s="2146">
        <v>0</v>
      </c>
      <c r="CH477">
        <v>0</v>
      </c>
      <c r="CJ477" t="s">
        <v>5898</v>
      </c>
    </row>
    <row r="478" spans="1:88" ht="25.5">
      <c r="A478" t="s">
        <v>2090</v>
      </c>
      <c r="B478" t="s">
        <v>2153</v>
      </c>
      <c r="C478" t="s">
        <v>116</v>
      </c>
      <c r="D478" t="s">
        <v>214</v>
      </c>
      <c r="E478" t="s">
        <v>215</v>
      </c>
      <c r="F478" t="s">
        <v>2092</v>
      </c>
      <c r="G478" t="s">
        <v>332</v>
      </c>
      <c r="H478" t="s">
        <v>2154</v>
      </c>
      <c r="I478" t="s">
        <v>5899</v>
      </c>
      <c r="J478" t="s">
        <v>5406</v>
      </c>
      <c r="K478" t="s">
        <v>45</v>
      </c>
      <c r="M478" t="s">
        <v>46</v>
      </c>
      <c r="N478" t="s">
        <v>249</v>
      </c>
      <c r="O478" t="s">
        <v>281</v>
      </c>
      <c r="P478" t="s">
        <v>2155</v>
      </c>
      <c r="Q478" s="534" t="s">
        <v>51</v>
      </c>
      <c r="S478" t="s">
        <v>2156</v>
      </c>
      <c r="T478" t="s">
        <v>2157</v>
      </c>
      <c r="U478" t="s">
        <v>2157</v>
      </c>
      <c r="V478" t="s">
        <v>2157</v>
      </c>
      <c r="W478" t="s">
        <v>2157</v>
      </c>
      <c r="X478" t="s">
        <v>2157</v>
      </c>
      <c r="AB478" t="s">
        <v>50</v>
      </c>
      <c r="AE478" t="s">
        <v>50</v>
      </c>
      <c r="AH478">
        <v>0</v>
      </c>
      <c r="AI478" t="s">
        <v>50</v>
      </c>
      <c r="AJ478" t="s">
        <v>50</v>
      </c>
      <c r="AK478" t="s">
        <v>50</v>
      </c>
      <c r="AL478" t="s">
        <v>50</v>
      </c>
      <c r="AM478" t="s">
        <v>50</v>
      </c>
      <c r="AN478" t="s">
        <v>2158</v>
      </c>
      <c r="AO478" t="s">
        <v>2158</v>
      </c>
      <c r="AP478" t="s">
        <v>2158</v>
      </c>
      <c r="AQ478" t="s">
        <v>2158</v>
      </c>
      <c r="AR478" t="s">
        <v>2158</v>
      </c>
      <c r="AS478" t="s">
        <v>2159</v>
      </c>
      <c r="AT478" t="s">
        <v>2159</v>
      </c>
      <c r="AU478" t="s">
        <v>2159</v>
      </c>
      <c r="AV478" t="s">
        <v>2159</v>
      </c>
      <c r="AW478" t="s">
        <v>2159</v>
      </c>
      <c r="AX478" t="s">
        <v>2160</v>
      </c>
      <c r="AY478" t="s">
        <v>2160</v>
      </c>
      <c r="AZ478" t="s">
        <v>2160</v>
      </c>
      <c r="BA478" t="s">
        <v>2160</v>
      </c>
      <c r="BB478" t="s">
        <v>2160</v>
      </c>
      <c r="BC478" t="s">
        <v>2161</v>
      </c>
      <c r="BD478" t="s">
        <v>2161</v>
      </c>
      <c r="BE478" t="s">
        <v>2161</v>
      </c>
      <c r="BF478" t="s">
        <v>2161</v>
      </c>
      <c r="BG478" t="s">
        <v>2161</v>
      </c>
      <c r="BH478">
        <v>5.9</v>
      </c>
      <c r="BL478">
        <v>0.19</v>
      </c>
      <c r="BN478">
        <v>1</v>
      </c>
      <c r="BO478" t="s">
        <v>51</v>
      </c>
      <c r="BP478" s="534" t="s">
        <v>3318</v>
      </c>
      <c r="BQ478" s="724" t="s">
        <v>2156</v>
      </c>
      <c r="BR478" t="s">
        <v>50</v>
      </c>
      <c r="BS478" t="s">
        <v>52</v>
      </c>
      <c r="BT478">
        <v>0</v>
      </c>
      <c r="BU478" t="s">
        <v>52</v>
      </c>
      <c r="BV478">
        <v>0</v>
      </c>
      <c r="BW478" t="s">
        <v>2156</v>
      </c>
      <c r="BX478" t="s">
        <v>50</v>
      </c>
      <c r="BY478">
        <v>0</v>
      </c>
      <c r="BZ478">
        <v>0</v>
      </c>
      <c r="CA478">
        <v>0</v>
      </c>
      <c r="CB478">
        <v>0</v>
      </c>
      <c r="CC478" s="2146" t="s">
        <v>2156</v>
      </c>
      <c r="CD478" s="2146" t="s">
        <v>50</v>
      </c>
      <c r="CE478" s="2146">
        <v>0</v>
      </c>
      <c r="CF478" s="2146">
        <v>0</v>
      </c>
      <c r="CG478" s="2146" t="s">
        <v>5379</v>
      </c>
      <c r="CH478">
        <v>0</v>
      </c>
      <c r="CJ478" t="s">
        <v>5900</v>
      </c>
    </row>
    <row r="479" spans="1:88">
      <c r="A479" t="s">
        <v>2090</v>
      </c>
      <c r="B479" t="s">
        <v>2162</v>
      </c>
      <c r="C479" t="s">
        <v>116</v>
      </c>
      <c r="D479" t="s">
        <v>214</v>
      </c>
      <c r="E479" t="s">
        <v>215</v>
      </c>
      <c r="F479" t="s">
        <v>2092</v>
      </c>
      <c r="G479" t="s">
        <v>457</v>
      </c>
      <c r="H479" t="s">
        <v>2163</v>
      </c>
      <c r="I479" t="s">
        <v>2164</v>
      </c>
      <c r="J479" t="s">
        <v>5408</v>
      </c>
      <c r="K479" t="s">
        <v>322</v>
      </c>
      <c r="N479" t="s">
        <v>175</v>
      </c>
      <c r="O479" t="s">
        <v>76</v>
      </c>
      <c r="P479" t="s">
        <v>2165</v>
      </c>
      <c r="Q479" s="534">
        <v>0</v>
      </c>
      <c r="R479" t="s">
        <v>3264</v>
      </c>
      <c r="S479">
        <v>33</v>
      </c>
      <c r="T479">
        <v>40</v>
      </c>
      <c r="U479">
        <v>40</v>
      </c>
      <c r="V479">
        <v>43</v>
      </c>
      <c r="W479">
        <v>43</v>
      </c>
      <c r="X479">
        <v>100</v>
      </c>
      <c r="AF479" t="s">
        <v>50</v>
      </c>
      <c r="AH479">
        <v>0</v>
      </c>
      <c r="AI479" t="s">
        <v>50</v>
      </c>
      <c r="AJ479" t="s">
        <v>50</v>
      </c>
      <c r="AK479" t="s">
        <v>50</v>
      </c>
      <c r="AL479" t="s">
        <v>50</v>
      </c>
      <c r="AM479" t="s">
        <v>50</v>
      </c>
      <c r="AN479">
        <v>33</v>
      </c>
      <c r="AO479">
        <v>33</v>
      </c>
      <c r="AP479">
        <v>33</v>
      </c>
      <c r="AQ479">
        <v>33</v>
      </c>
      <c r="AR479">
        <v>33</v>
      </c>
      <c r="AS479">
        <v>40</v>
      </c>
      <c r="AT479">
        <v>40</v>
      </c>
      <c r="AU479">
        <v>43</v>
      </c>
      <c r="AV479">
        <v>43</v>
      </c>
      <c r="AW479">
        <v>100</v>
      </c>
      <c r="BH479">
        <v>0.01</v>
      </c>
      <c r="BN479">
        <v>1</v>
      </c>
      <c r="BO479" t="s">
        <v>51</v>
      </c>
      <c r="BP479" s="534">
        <v>39</v>
      </c>
      <c r="BQ479" s="725">
        <v>46</v>
      </c>
      <c r="BR479" t="s">
        <v>50</v>
      </c>
      <c r="BS479" t="s">
        <v>52</v>
      </c>
      <c r="BT479">
        <v>0</v>
      </c>
      <c r="BU479" t="s">
        <v>52</v>
      </c>
      <c r="BV479">
        <v>0</v>
      </c>
      <c r="BW479">
        <v>50</v>
      </c>
      <c r="BX479" t="s">
        <v>50</v>
      </c>
      <c r="BY479">
        <v>0</v>
      </c>
      <c r="BZ479">
        <v>0</v>
      </c>
      <c r="CA479">
        <v>0</v>
      </c>
      <c r="CB479">
        <v>0</v>
      </c>
      <c r="CC479" s="2146">
        <v>60</v>
      </c>
      <c r="CD479" s="2146" t="s">
        <v>50</v>
      </c>
      <c r="CE479" s="2146">
        <v>0</v>
      </c>
      <c r="CF479" s="2146">
        <v>0</v>
      </c>
      <c r="CG479" s="2146">
        <v>0</v>
      </c>
      <c r="CH479">
        <v>0</v>
      </c>
      <c r="CJ479" t="s">
        <v>5901</v>
      </c>
    </row>
    <row r="480" spans="1:88">
      <c r="A480" t="s">
        <v>2090</v>
      </c>
      <c r="B480" t="s">
        <v>2166</v>
      </c>
      <c r="C480" t="s">
        <v>116</v>
      </c>
      <c r="D480" t="s">
        <v>214</v>
      </c>
      <c r="E480" t="s">
        <v>215</v>
      </c>
      <c r="F480" t="s">
        <v>2092</v>
      </c>
      <c r="G480" t="s">
        <v>461</v>
      </c>
      <c r="H480" t="s">
        <v>2167</v>
      </c>
      <c r="I480" t="s">
        <v>2168</v>
      </c>
      <c r="J480" t="s">
        <v>5406</v>
      </c>
      <c r="K480" t="s">
        <v>45</v>
      </c>
      <c r="N480" t="s">
        <v>175</v>
      </c>
      <c r="O480" t="s">
        <v>48</v>
      </c>
      <c r="P480" t="s">
        <v>2169</v>
      </c>
      <c r="Q480" s="534">
        <v>0</v>
      </c>
      <c r="R480" t="s">
        <v>3264</v>
      </c>
      <c r="S480">
        <v>0</v>
      </c>
      <c r="T480">
        <v>0</v>
      </c>
      <c r="U480">
        <v>0</v>
      </c>
      <c r="V480">
        <v>8</v>
      </c>
      <c r="W480">
        <v>11</v>
      </c>
      <c r="X480">
        <v>70</v>
      </c>
      <c r="AF480" t="s">
        <v>50</v>
      </c>
      <c r="AH480">
        <v>0</v>
      </c>
      <c r="AM480" t="s">
        <v>50</v>
      </c>
      <c r="AR480">
        <v>0</v>
      </c>
      <c r="AW480">
        <v>70</v>
      </c>
      <c r="BB480">
        <v>70</v>
      </c>
      <c r="BG480">
        <v>131</v>
      </c>
      <c r="BH480">
        <v>1.6739999999999999</v>
      </c>
      <c r="BL480">
        <v>1.29</v>
      </c>
      <c r="BN480">
        <v>1</v>
      </c>
      <c r="BO480" t="s">
        <v>51</v>
      </c>
      <c r="BP480" s="534">
        <v>0</v>
      </c>
      <c r="BQ480" s="725">
        <v>0</v>
      </c>
      <c r="BR480" t="s">
        <v>50</v>
      </c>
      <c r="BS480" t="s">
        <v>52</v>
      </c>
      <c r="BT480">
        <v>0</v>
      </c>
      <c r="BU480" t="s">
        <v>52</v>
      </c>
      <c r="BV480">
        <v>0</v>
      </c>
      <c r="BW480">
        <v>8</v>
      </c>
      <c r="BX480" t="s">
        <v>50</v>
      </c>
      <c r="BY480">
        <v>0</v>
      </c>
      <c r="BZ480">
        <v>0</v>
      </c>
      <c r="CA480">
        <v>0</v>
      </c>
      <c r="CB480">
        <v>0</v>
      </c>
      <c r="CC480" s="2146">
        <v>23</v>
      </c>
      <c r="CD480" s="2146" t="s">
        <v>50</v>
      </c>
      <c r="CE480" s="2146">
        <v>0</v>
      </c>
      <c r="CF480" s="2146">
        <v>0</v>
      </c>
      <c r="CG480" s="2146">
        <v>0</v>
      </c>
      <c r="CH480">
        <v>0</v>
      </c>
      <c r="CJ480" t="s">
        <v>5902</v>
      </c>
    </row>
    <row r="481" spans="1:88">
      <c r="A481" t="s">
        <v>2090</v>
      </c>
      <c r="B481" t="s">
        <v>2170</v>
      </c>
      <c r="C481" t="s">
        <v>116</v>
      </c>
      <c r="D481" t="s">
        <v>214</v>
      </c>
      <c r="E481" t="s">
        <v>215</v>
      </c>
      <c r="F481" t="s">
        <v>2171</v>
      </c>
      <c r="G481" t="s">
        <v>338</v>
      </c>
      <c r="H481" t="s">
        <v>2172</v>
      </c>
      <c r="I481" t="s">
        <v>2173</v>
      </c>
      <c r="J481" t="s">
        <v>5406</v>
      </c>
      <c r="K481" t="s">
        <v>45</v>
      </c>
      <c r="N481" t="s">
        <v>219</v>
      </c>
      <c r="O481" t="s">
        <v>48</v>
      </c>
      <c r="P481" t="s">
        <v>2174</v>
      </c>
      <c r="Q481" s="534">
        <v>2</v>
      </c>
      <c r="R481" t="s">
        <v>3263</v>
      </c>
      <c r="S481">
        <v>1.77</v>
      </c>
      <c r="T481">
        <v>1.75</v>
      </c>
      <c r="U481">
        <v>1.72</v>
      </c>
      <c r="V481">
        <v>1.7</v>
      </c>
      <c r="W481">
        <v>1.68</v>
      </c>
      <c r="X481">
        <v>1.66</v>
      </c>
      <c r="AC481" t="s">
        <v>50</v>
      </c>
      <c r="AE481" t="s">
        <v>50</v>
      </c>
      <c r="AH481">
        <v>0</v>
      </c>
      <c r="AI481" t="s">
        <v>50</v>
      </c>
      <c r="AJ481" t="s">
        <v>50</v>
      </c>
      <c r="AK481" t="s">
        <v>50</v>
      </c>
      <c r="AL481" t="s">
        <v>50</v>
      </c>
      <c r="AM481" t="s">
        <v>50</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2175</v>
      </c>
      <c r="BP481" s="534">
        <v>1.1499999999999999</v>
      </c>
      <c r="BQ481" s="726">
        <v>1.36</v>
      </c>
      <c r="BR481" t="s">
        <v>50</v>
      </c>
      <c r="BS481" t="s">
        <v>52</v>
      </c>
      <c r="BT481">
        <v>0</v>
      </c>
      <c r="BU481" t="s">
        <v>5425</v>
      </c>
      <c r="BV481">
        <v>5.0999999999999996</v>
      </c>
      <c r="BW481">
        <v>1.2</v>
      </c>
      <c r="BX481" t="s">
        <v>50</v>
      </c>
      <c r="BY481">
        <v>0</v>
      </c>
      <c r="BZ481">
        <v>0</v>
      </c>
      <c r="CA481" t="s">
        <v>5425</v>
      </c>
      <c r="CB481">
        <v>5.508</v>
      </c>
      <c r="CC481" s="2146">
        <v>1.21</v>
      </c>
      <c r="CD481" s="2146" t="s">
        <v>50</v>
      </c>
      <c r="CE481" s="2146">
        <v>0</v>
      </c>
      <c r="CF481" s="2146">
        <v>0</v>
      </c>
      <c r="CG481" s="2146" t="s">
        <v>5425</v>
      </c>
      <c r="CH481">
        <v>5.508</v>
      </c>
      <c r="CJ481" t="s">
        <v>5903</v>
      </c>
    </row>
    <row r="482" spans="1:88">
      <c r="A482" t="s">
        <v>2090</v>
      </c>
      <c r="B482" t="s">
        <v>2176</v>
      </c>
      <c r="C482" t="s">
        <v>116</v>
      </c>
      <c r="D482" t="s">
        <v>214</v>
      </c>
      <c r="E482" t="s">
        <v>215</v>
      </c>
      <c r="F482" t="s">
        <v>2171</v>
      </c>
      <c r="G482" t="s">
        <v>342</v>
      </c>
      <c r="H482" t="s">
        <v>2177</v>
      </c>
      <c r="I482" t="s">
        <v>2178</v>
      </c>
      <c r="J482" t="s">
        <v>5406</v>
      </c>
      <c r="K482" t="s">
        <v>322</v>
      </c>
      <c r="M482" t="s">
        <v>46</v>
      </c>
      <c r="N482" t="s">
        <v>219</v>
      </c>
      <c r="O482" t="s">
        <v>48</v>
      </c>
      <c r="P482" t="s">
        <v>2179</v>
      </c>
      <c r="Q482" s="534">
        <v>0</v>
      </c>
      <c r="R482" t="s">
        <v>3263</v>
      </c>
      <c r="S482">
        <v>50000</v>
      </c>
      <c r="T482">
        <v>50651</v>
      </c>
      <c r="U482">
        <v>50651</v>
      </c>
      <c r="V482">
        <v>50651</v>
      </c>
      <c r="W482">
        <v>50651</v>
      </c>
      <c r="X482">
        <v>50651</v>
      </c>
      <c r="AE482" t="s">
        <v>50</v>
      </c>
      <c r="AH482">
        <v>0</v>
      </c>
      <c r="AI482" t="s">
        <v>50</v>
      </c>
      <c r="AJ482" t="s">
        <v>50</v>
      </c>
      <c r="AK482" t="s">
        <v>50</v>
      </c>
      <c r="AL482" t="s">
        <v>50</v>
      </c>
      <c r="AM482" t="s">
        <v>50</v>
      </c>
      <c r="AN482" t="s">
        <v>2180</v>
      </c>
      <c r="AO482" t="s">
        <v>2180</v>
      </c>
      <c r="AP482" t="s">
        <v>2180</v>
      </c>
      <c r="AQ482" t="s">
        <v>2180</v>
      </c>
      <c r="AR482" t="s">
        <v>2180</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51</v>
      </c>
      <c r="BP482" s="534">
        <v>50651</v>
      </c>
      <c r="BQ482" s="725">
        <v>51509</v>
      </c>
      <c r="BR482" t="s">
        <v>46</v>
      </c>
      <c r="BS482" t="s">
        <v>52</v>
      </c>
      <c r="BT482">
        <v>0</v>
      </c>
      <c r="BU482" t="s">
        <v>5378</v>
      </c>
      <c r="BV482">
        <v>0</v>
      </c>
      <c r="BW482">
        <v>51125</v>
      </c>
      <c r="BX482" t="s">
        <v>46</v>
      </c>
      <c r="BY482">
        <v>0</v>
      </c>
      <c r="BZ482">
        <v>0</v>
      </c>
      <c r="CA482" t="s">
        <v>5378</v>
      </c>
      <c r="CB482">
        <v>0</v>
      </c>
      <c r="CC482" s="2146">
        <v>49796</v>
      </c>
      <c r="CD482" s="2146" t="s">
        <v>50</v>
      </c>
      <c r="CE482" s="2146">
        <v>0</v>
      </c>
      <c r="CF482" s="2146">
        <v>0</v>
      </c>
      <c r="CG482" s="2146" t="s">
        <v>5379</v>
      </c>
      <c r="CH482">
        <v>0</v>
      </c>
      <c r="CJ482" t="s">
        <v>5904</v>
      </c>
    </row>
    <row r="483" spans="1:88">
      <c r="A483" t="s">
        <v>2090</v>
      </c>
      <c r="B483" t="s">
        <v>2181</v>
      </c>
      <c r="C483" t="s">
        <v>116</v>
      </c>
      <c r="D483" t="s">
        <v>214</v>
      </c>
      <c r="E483" t="s">
        <v>215</v>
      </c>
      <c r="F483" t="s">
        <v>2171</v>
      </c>
      <c r="G483" t="s">
        <v>2182</v>
      </c>
      <c r="H483" t="s">
        <v>2183</v>
      </c>
      <c r="I483" t="s">
        <v>2184</v>
      </c>
      <c r="J483" t="s">
        <v>5408</v>
      </c>
      <c r="K483" t="s">
        <v>322</v>
      </c>
      <c r="M483" t="s">
        <v>46</v>
      </c>
      <c r="N483" t="s">
        <v>219</v>
      </c>
      <c r="O483" t="s">
        <v>281</v>
      </c>
      <c r="P483" t="s">
        <v>2185</v>
      </c>
      <c r="Q483" s="534" t="s">
        <v>51</v>
      </c>
      <c r="X483" t="s">
        <v>788</v>
      </c>
      <c r="AD483" t="s">
        <v>50</v>
      </c>
      <c r="AE483" t="s">
        <v>50</v>
      </c>
      <c r="AH483">
        <v>0</v>
      </c>
      <c r="AM483" t="s">
        <v>50</v>
      </c>
      <c r="BH483">
        <v>1.86</v>
      </c>
      <c r="BI483">
        <v>24.917000000000002</v>
      </c>
      <c r="BN483">
        <v>1</v>
      </c>
      <c r="BO483" t="s">
        <v>51</v>
      </c>
      <c r="BP483" s="534" t="s">
        <v>2148</v>
      </c>
      <c r="BQ483" s="724" t="s">
        <v>2148</v>
      </c>
      <c r="BR483" t="s">
        <v>50</v>
      </c>
      <c r="BS483" t="s">
        <v>52</v>
      </c>
      <c r="BT483">
        <v>0</v>
      </c>
      <c r="BU483" t="s">
        <v>52</v>
      </c>
      <c r="BV483">
        <v>0</v>
      </c>
      <c r="BW483" t="s">
        <v>2148</v>
      </c>
      <c r="BX483" t="s">
        <v>2148</v>
      </c>
      <c r="BY483">
        <v>0</v>
      </c>
      <c r="BZ483">
        <v>0</v>
      </c>
      <c r="CA483">
        <v>0</v>
      </c>
      <c r="CB483">
        <v>0</v>
      </c>
      <c r="CC483" s="2146" t="s">
        <v>2148</v>
      </c>
      <c r="CD483" s="2146" t="s">
        <v>2148</v>
      </c>
      <c r="CE483" s="2146">
        <v>0</v>
      </c>
      <c r="CF483" s="2146">
        <v>0</v>
      </c>
      <c r="CG483" s="2146">
        <v>0</v>
      </c>
      <c r="CH483">
        <v>0</v>
      </c>
      <c r="CJ483" t="s">
        <v>5905</v>
      </c>
    </row>
    <row r="484" spans="1:88">
      <c r="A484" t="s">
        <v>2090</v>
      </c>
      <c r="B484" t="s">
        <v>2186</v>
      </c>
      <c r="C484" t="s">
        <v>116</v>
      </c>
      <c r="D484" t="s">
        <v>214</v>
      </c>
      <c r="E484" t="s">
        <v>215</v>
      </c>
      <c r="F484" t="s">
        <v>2171</v>
      </c>
      <c r="G484" t="s">
        <v>2187</v>
      </c>
      <c r="H484" t="s">
        <v>2188</v>
      </c>
      <c r="I484" t="s">
        <v>2189</v>
      </c>
      <c r="J484" t="s">
        <v>5408</v>
      </c>
      <c r="K484" t="s">
        <v>322</v>
      </c>
      <c r="M484" t="s">
        <v>46</v>
      </c>
      <c r="N484" t="s">
        <v>219</v>
      </c>
      <c r="O484" t="s">
        <v>281</v>
      </c>
      <c r="P484" t="s">
        <v>2190</v>
      </c>
      <c r="Q484" s="534" t="s">
        <v>51</v>
      </c>
      <c r="V484" t="s">
        <v>448</v>
      </c>
      <c r="AD484" t="s">
        <v>50</v>
      </c>
      <c r="AE484" t="s">
        <v>50</v>
      </c>
      <c r="AH484">
        <v>0</v>
      </c>
      <c r="AK484" t="s">
        <v>50</v>
      </c>
      <c r="AL484" t="s">
        <v>50</v>
      </c>
      <c r="AM484" t="s">
        <v>50</v>
      </c>
      <c r="BH484">
        <v>0.97</v>
      </c>
      <c r="BI484">
        <v>14.083</v>
      </c>
      <c r="BN484">
        <v>1</v>
      </c>
      <c r="BO484" t="s">
        <v>51</v>
      </c>
      <c r="BP484" s="534" t="s">
        <v>2148</v>
      </c>
      <c r="BQ484" s="724" t="s">
        <v>2148</v>
      </c>
      <c r="BR484" t="s">
        <v>50</v>
      </c>
      <c r="BS484" t="s">
        <v>52</v>
      </c>
      <c r="BT484">
        <v>0</v>
      </c>
      <c r="BU484" t="s">
        <v>52</v>
      </c>
      <c r="BV484">
        <v>0</v>
      </c>
      <c r="BW484" t="s">
        <v>2148</v>
      </c>
      <c r="BX484" t="s">
        <v>2148</v>
      </c>
      <c r="BY484">
        <v>0</v>
      </c>
      <c r="BZ484">
        <v>0</v>
      </c>
      <c r="CA484">
        <v>0</v>
      </c>
      <c r="CB484">
        <v>0</v>
      </c>
      <c r="CC484" s="2146" t="s">
        <v>13456</v>
      </c>
      <c r="CD484" s="2146" t="s">
        <v>50</v>
      </c>
      <c r="CE484" s="2146">
        <v>0</v>
      </c>
      <c r="CF484" s="2146">
        <v>0</v>
      </c>
      <c r="CG484" s="2146">
        <v>0</v>
      </c>
      <c r="CH484">
        <v>0</v>
      </c>
      <c r="CJ484" t="s">
        <v>5906</v>
      </c>
    </row>
    <row r="485" spans="1:88">
      <c r="A485" t="s">
        <v>2090</v>
      </c>
      <c r="B485" t="s">
        <v>2191</v>
      </c>
      <c r="C485" t="s">
        <v>116</v>
      </c>
      <c r="D485" t="s">
        <v>214</v>
      </c>
      <c r="E485" t="s">
        <v>215</v>
      </c>
      <c r="F485" t="s">
        <v>2110</v>
      </c>
      <c r="G485" t="s">
        <v>348</v>
      </c>
      <c r="H485" t="s">
        <v>2192</v>
      </c>
      <c r="I485" t="s">
        <v>2193</v>
      </c>
      <c r="J485" t="s">
        <v>5408</v>
      </c>
      <c r="K485" t="s">
        <v>322</v>
      </c>
      <c r="N485" t="s">
        <v>273</v>
      </c>
      <c r="O485" t="s">
        <v>48</v>
      </c>
      <c r="P485" t="s">
        <v>2194</v>
      </c>
      <c r="Q485" s="534">
        <v>0</v>
      </c>
      <c r="R485" t="s">
        <v>3263</v>
      </c>
      <c r="S485" t="s">
        <v>2195</v>
      </c>
      <c r="T485" t="s">
        <v>2195</v>
      </c>
      <c r="U485" t="s">
        <v>2195</v>
      </c>
      <c r="V485" t="s">
        <v>2195</v>
      </c>
      <c r="W485" t="s">
        <v>2195</v>
      </c>
      <c r="X485" t="s">
        <v>2195</v>
      </c>
      <c r="AE485" t="s">
        <v>50</v>
      </c>
      <c r="AH485">
        <v>0</v>
      </c>
      <c r="AI485" t="s">
        <v>50</v>
      </c>
      <c r="AJ485" t="s">
        <v>50</v>
      </c>
      <c r="AK485" t="s">
        <v>50</v>
      </c>
      <c r="AL485" t="s">
        <v>50</v>
      </c>
      <c r="AM485" t="s">
        <v>50</v>
      </c>
      <c r="AN485">
        <v>999999</v>
      </c>
      <c r="AO485">
        <v>999999</v>
      </c>
      <c r="AP485">
        <v>999999</v>
      </c>
      <c r="AQ485">
        <v>999999</v>
      </c>
      <c r="AR485">
        <v>999999</v>
      </c>
      <c r="AS485">
        <v>300</v>
      </c>
      <c r="AT485">
        <v>300</v>
      </c>
      <c r="AU485">
        <v>300</v>
      </c>
      <c r="AV485">
        <v>300</v>
      </c>
      <c r="AW485">
        <v>300</v>
      </c>
      <c r="BH485">
        <v>8.3999999999999995E-3</v>
      </c>
      <c r="BN485">
        <v>1</v>
      </c>
      <c r="BO485" t="s">
        <v>51</v>
      </c>
      <c r="BP485" s="534">
        <v>270</v>
      </c>
      <c r="BQ485" s="725">
        <v>282</v>
      </c>
      <c r="BR485" t="s">
        <v>50</v>
      </c>
      <c r="BS485" t="s">
        <v>52</v>
      </c>
      <c r="BT485">
        <v>0</v>
      </c>
      <c r="BU485" t="s">
        <v>52</v>
      </c>
      <c r="BV485">
        <v>0</v>
      </c>
      <c r="BW485">
        <v>264</v>
      </c>
      <c r="BX485" t="s">
        <v>50</v>
      </c>
      <c r="BY485">
        <v>0</v>
      </c>
      <c r="BZ485">
        <v>0</v>
      </c>
      <c r="CA485">
        <v>0</v>
      </c>
      <c r="CB485">
        <v>0</v>
      </c>
      <c r="CC485" s="2146">
        <v>223</v>
      </c>
      <c r="CD485" s="2146" t="s">
        <v>50</v>
      </c>
      <c r="CE485" s="2146">
        <v>0</v>
      </c>
      <c r="CF485" s="2146">
        <v>0</v>
      </c>
      <c r="CG485" s="2146">
        <v>0</v>
      </c>
      <c r="CH485">
        <v>0</v>
      </c>
      <c r="CJ485" t="s">
        <v>5907</v>
      </c>
    </row>
    <row r="486" spans="1:88">
      <c r="A486" t="s">
        <v>2090</v>
      </c>
      <c r="B486" t="s">
        <v>2196</v>
      </c>
      <c r="C486" t="s">
        <v>116</v>
      </c>
      <c r="D486" t="s">
        <v>214</v>
      </c>
      <c r="E486" t="s">
        <v>215</v>
      </c>
      <c r="F486" t="s">
        <v>2197</v>
      </c>
      <c r="G486" t="s">
        <v>354</v>
      </c>
      <c r="H486" t="s">
        <v>2198</v>
      </c>
      <c r="I486" t="s">
        <v>2199</v>
      </c>
      <c r="J486" t="s">
        <v>69</v>
      </c>
      <c r="N486" t="s">
        <v>182</v>
      </c>
      <c r="O486" t="s">
        <v>48</v>
      </c>
      <c r="P486" t="s">
        <v>603</v>
      </c>
      <c r="Q486" s="534">
        <v>0</v>
      </c>
      <c r="R486" t="s">
        <v>3263</v>
      </c>
      <c r="S486">
        <v>152</v>
      </c>
      <c r="T486">
        <v>133</v>
      </c>
      <c r="U486">
        <v>124</v>
      </c>
      <c r="V486">
        <v>122</v>
      </c>
      <c r="W486">
        <v>121</v>
      </c>
      <c r="X486">
        <v>119</v>
      </c>
      <c r="AH486">
        <v>0</v>
      </c>
      <c r="BP486" s="534">
        <v>147.80000000000001</v>
      </c>
      <c r="BQ486" s="725">
        <v>138</v>
      </c>
      <c r="BR486" t="s">
        <v>46</v>
      </c>
      <c r="BS486" t="s">
        <v>52</v>
      </c>
      <c r="BT486">
        <v>0</v>
      </c>
      <c r="BU486" t="s">
        <v>52</v>
      </c>
      <c r="BV486">
        <v>0</v>
      </c>
      <c r="BW486">
        <v>123</v>
      </c>
      <c r="BX486" t="s">
        <v>50</v>
      </c>
      <c r="BY486">
        <v>0</v>
      </c>
      <c r="BZ486">
        <v>0</v>
      </c>
      <c r="CA486">
        <v>0</v>
      </c>
      <c r="CB486">
        <v>0</v>
      </c>
      <c r="CC486" s="2146">
        <v>122</v>
      </c>
      <c r="CD486" s="2146" t="s">
        <v>50</v>
      </c>
      <c r="CE486" s="2146">
        <v>0</v>
      </c>
      <c r="CF486" s="2146">
        <v>0</v>
      </c>
      <c r="CG486" s="2146">
        <v>0</v>
      </c>
      <c r="CH486">
        <v>0</v>
      </c>
      <c r="CJ486" t="s">
        <v>5908</v>
      </c>
    </row>
    <row r="487" spans="1:88">
      <c r="A487" t="s">
        <v>2090</v>
      </c>
      <c r="B487" t="s">
        <v>2200</v>
      </c>
      <c r="C487" t="s">
        <v>116</v>
      </c>
      <c r="D487" t="s">
        <v>214</v>
      </c>
      <c r="E487" t="s">
        <v>215</v>
      </c>
      <c r="F487" t="s">
        <v>2197</v>
      </c>
      <c r="G487" t="s">
        <v>489</v>
      </c>
      <c r="H487" t="s">
        <v>2201</v>
      </c>
      <c r="I487" t="s">
        <v>2202</v>
      </c>
      <c r="J487" t="s">
        <v>5408</v>
      </c>
      <c r="K487" t="s">
        <v>322</v>
      </c>
      <c r="N487" t="s">
        <v>182</v>
      </c>
      <c r="O487" t="s">
        <v>76</v>
      </c>
      <c r="P487" t="s">
        <v>5909</v>
      </c>
      <c r="Q487" s="534">
        <v>0</v>
      </c>
      <c r="R487" t="s">
        <v>3264</v>
      </c>
      <c r="S487">
        <v>20</v>
      </c>
      <c r="T487">
        <v>21</v>
      </c>
      <c r="U487">
        <v>22</v>
      </c>
      <c r="V487">
        <v>22</v>
      </c>
      <c r="W487">
        <v>21</v>
      </c>
      <c r="X487">
        <v>24</v>
      </c>
      <c r="AH487">
        <v>0</v>
      </c>
      <c r="AI487" t="s">
        <v>50</v>
      </c>
      <c r="AJ487" t="s">
        <v>50</v>
      </c>
      <c r="AK487" t="s">
        <v>50</v>
      </c>
      <c r="AL487" t="s">
        <v>50</v>
      </c>
      <c r="AM487" t="s">
        <v>50</v>
      </c>
      <c r="AN487">
        <v>0</v>
      </c>
      <c r="AO487">
        <v>0</v>
      </c>
      <c r="AP487">
        <v>0</v>
      </c>
      <c r="AQ487">
        <v>0</v>
      </c>
      <c r="AR487">
        <v>0</v>
      </c>
      <c r="AS487">
        <v>21</v>
      </c>
      <c r="AT487">
        <v>22</v>
      </c>
      <c r="AU487">
        <v>22</v>
      </c>
      <c r="AV487">
        <v>21</v>
      </c>
      <c r="AW487">
        <v>24</v>
      </c>
      <c r="BH487">
        <v>9.9000000000000005E-2</v>
      </c>
      <c r="BN487">
        <v>1</v>
      </c>
      <c r="BO487" t="s">
        <v>51</v>
      </c>
      <c r="BP487" s="534">
        <v>18</v>
      </c>
      <c r="BQ487" s="725">
        <v>25</v>
      </c>
      <c r="BR487" t="s">
        <v>50</v>
      </c>
      <c r="BS487" t="s">
        <v>52</v>
      </c>
      <c r="BT487">
        <v>0</v>
      </c>
      <c r="BU487" t="s">
        <v>52</v>
      </c>
      <c r="BV487">
        <v>0</v>
      </c>
      <c r="BW487">
        <v>29</v>
      </c>
      <c r="BX487" t="s">
        <v>50</v>
      </c>
      <c r="BY487">
        <v>0</v>
      </c>
      <c r="BZ487">
        <v>0</v>
      </c>
      <c r="CA487">
        <v>0</v>
      </c>
      <c r="CB487">
        <v>0</v>
      </c>
      <c r="CC487" s="2146">
        <v>25.5</v>
      </c>
      <c r="CD487" s="2146" t="s">
        <v>50</v>
      </c>
      <c r="CE487" s="2146">
        <v>0</v>
      </c>
      <c r="CF487" s="2146">
        <v>0</v>
      </c>
      <c r="CG487" s="2146">
        <v>0</v>
      </c>
      <c r="CH487">
        <v>0</v>
      </c>
      <c r="CJ487" t="s">
        <v>5910</v>
      </c>
    </row>
    <row r="488" spans="1:88">
      <c r="A488" t="s">
        <v>2090</v>
      </c>
      <c r="B488" t="s">
        <v>2203</v>
      </c>
      <c r="C488" t="s">
        <v>116</v>
      </c>
      <c r="D488" t="s">
        <v>101</v>
      </c>
      <c r="E488" t="s">
        <v>102</v>
      </c>
      <c r="F488" t="s">
        <v>2204</v>
      </c>
      <c r="G488" t="s">
        <v>315</v>
      </c>
      <c r="H488" t="s">
        <v>2205</v>
      </c>
      <c r="I488" t="s">
        <v>2206</v>
      </c>
      <c r="J488" t="s">
        <v>5406</v>
      </c>
      <c r="K488" t="s">
        <v>45</v>
      </c>
      <c r="M488" t="s">
        <v>46</v>
      </c>
      <c r="N488" t="s">
        <v>106</v>
      </c>
      <c r="O488" t="s">
        <v>107</v>
      </c>
      <c r="P488" t="s">
        <v>108</v>
      </c>
      <c r="Q488" s="534">
        <v>0</v>
      </c>
      <c r="R488" t="s">
        <v>3264</v>
      </c>
      <c r="S488" t="s">
        <v>2207</v>
      </c>
      <c r="T488" t="s">
        <v>2207</v>
      </c>
      <c r="U488" t="s">
        <v>2207</v>
      </c>
      <c r="V488" t="s">
        <v>2207</v>
      </c>
      <c r="W488" t="s">
        <v>2207</v>
      </c>
      <c r="X488" t="s">
        <v>2207</v>
      </c>
      <c r="AH488">
        <v>0</v>
      </c>
      <c r="AI488" t="s">
        <v>50</v>
      </c>
      <c r="AJ488" t="s">
        <v>50</v>
      </c>
      <c r="AK488" t="s">
        <v>50</v>
      </c>
      <c r="AL488" t="s">
        <v>50</v>
      </c>
      <c r="AM488" t="s">
        <v>50</v>
      </c>
      <c r="AN488" t="s">
        <v>109</v>
      </c>
      <c r="AO488" t="s">
        <v>109</v>
      </c>
      <c r="AP488" t="s">
        <v>109</v>
      </c>
      <c r="AQ488" t="s">
        <v>109</v>
      </c>
      <c r="AR488" t="s">
        <v>109</v>
      </c>
      <c r="AS488" t="s">
        <v>109</v>
      </c>
      <c r="AT488" t="s">
        <v>109</v>
      </c>
      <c r="AU488" t="s">
        <v>109</v>
      </c>
      <c r="AV488" t="s">
        <v>109</v>
      </c>
      <c r="AW488" t="s">
        <v>109</v>
      </c>
      <c r="AX488" t="s">
        <v>109</v>
      </c>
      <c r="AY488" t="s">
        <v>109</v>
      </c>
      <c r="AZ488" t="s">
        <v>109</v>
      </c>
      <c r="BA488" t="s">
        <v>109</v>
      </c>
      <c r="BB488" t="s">
        <v>109</v>
      </c>
      <c r="BC488" t="s">
        <v>109</v>
      </c>
      <c r="BD488" t="s">
        <v>109</v>
      </c>
      <c r="BE488" t="s">
        <v>109</v>
      </c>
      <c r="BF488" t="s">
        <v>109</v>
      </c>
      <c r="BG488" t="s">
        <v>109</v>
      </c>
      <c r="BH488" t="s">
        <v>109</v>
      </c>
      <c r="BL488" t="s">
        <v>109</v>
      </c>
      <c r="BN488">
        <v>1</v>
      </c>
      <c r="BO488" t="s">
        <v>51</v>
      </c>
      <c r="BP488" s="534" t="s">
        <v>2797</v>
      </c>
      <c r="BQ488" s="725">
        <v>87</v>
      </c>
      <c r="BR488" t="s">
        <v>50</v>
      </c>
      <c r="BS488" t="s">
        <v>52</v>
      </c>
      <c r="BT488">
        <v>0</v>
      </c>
      <c r="BU488" t="s">
        <v>52</v>
      </c>
      <c r="BV488">
        <v>0</v>
      </c>
      <c r="BW488">
        <v>88</v>
      </c>
      <c r="BX488" t="s">
        <v>50</v>
      </c>
      <c r="BY488">
        <v>0</v>
      </c>
      <c r="BZ488">
        <v>0</v>
      </c>
      <c r="CA488">
        <v>0</v>
      </c>
      <c r="CB488">
        <v>0</v>
      </c>
      <c r="CC488" s="2146">
        <v>87</v>
      </c>
      <c r="CD488" s="2146" t="s">
        <v>50</v>
      </c>
      <c r="CE488" s="2146">
        <v>0</v>
      </c>
      <c r="CF488" s="2146">
        <v>0</v>
      </c>
      <c r="CG488" s="2146">
        <v>0</v>
      </c>
      <c r="CH488">
        <v>0</v>
      </c>
      <c r="CJ488" t="s">
        <v>5911</v>
      </c>
    </row>
    <row r="489" spans="1:88">
      <c r="A489" t="s">
        <v>2090</v>
      </c>
      <c r="B489" t="s">
        <v>2208</v>
      </c>
      <c r="C489" t="s">
        <v>116</v>
      </c>
      <c r="D489" t="s">
        <v>101</v>
      </c>
      <c r="E489" t="s">
        <v>102</v>
      </c>
      <c r="F489" t="s">
        <v>2204</v>
      </c>
      <c r="G489" t="s">
        <v>319</v>
      </c>
      <c r="H489" t="s">
        <v>2209</v>
      </c>
      <c r="I489" t="s">
        <v>2210</v>
      </c>
      <c r="J489" t="s">
        <v>69</v>
      </c>
      <c r="N489" t="s">
        <v>192</v>
      </c>
      <c r="O489" t="s">
        <v>76</v>
      </c>
      <c r="P489" t="s">
        <v>193</v>
      </c>
      <c r="Q489" s="534">
        <v>0</v>
      </c>
      <c r="R489" t="s">
        <v>3264</v>
      </c>
      <c r="S489" t="s">
        <v>2211</v>
      </c>
      <c r="T489" t="s">
        <v>2211</v>
      </c>
      <c r="U489" t="s">
        <v>2211</v>
      </c>
      <c r="V489" t="s">
        <v>2211</v>
      </c>
      <c r="W489" t="s">
        <v>2211</v>
      </c>
      <c r="X489" t="s">
        <v>2211</v>
      </c>
      <c r="AH489">
        <v>0</v>
      </c>
      <c r="BP489" s="534">
        <v>96</v>
      </c>
      <c r="BQ489" s="725">
        <v>96</v>
      </c>
      <c r="BR489" t="s">
        <v>50</v>
      </c>
      <c r="BS489" t="s">
        <v>52</v>
      </c>
      <c r="BT489">
        <v>0</v>
      </c>
      <c r="BU489" t="s">
        <v>52</v>
      </c>
      <c r="BV489">
        <v>0</v>
      </c>
      <c r="BW489">
        <v>96</v>
      </c>
      <c r="BX489" t="s">
        <v>50</v>
      </c>
      <c r="BY489">
        <v>0</v>
      </c>
      <c r="BZ489">
        <v>0</v>
      </c>
      <c r="CA489">
        <v>0</v>
      </c>
      <c r="CB489">
        <v>0</v>
      </c>
      <c r="CC489" s="2146">
        <v>95.69</v>
      </c>
      <c r="CD489" s="2146" t="s">
        <v>50</v>
      </c>
      <c r="CE489" s="2146">
        <v>0</v>
      </c>
      <c r="CF489" s="2146">
        <v>0</v>
      </c>
      <c r="CG489" s="2146">
        <v>0</v>
      </c>
      <c r="CH489">
        <v>0</v>
      </c>
      <c r="CJ489" t="s">
        <v>5912</v>
      </c>
    </row>
    <row r="490" spans="1:88">
      <c r="A490" t="s">
        <v>2090</v>
      </c>
      <c r="B490" t="s">
        <v>2212</v>
      </c>
      <c r="C490" t="s">
        <v>116</v>
      </c>
      <c r="D490" t="s">
        <v>101</v>
      </c>
      <c r="E490" t="s">
        <v>102</v>
      </c>
      <c r="F490" t="s">
        <v>2204</v>
      </c>
      <c r="G490" t="s">
        <v>327</v>
      </c>
      <c r="H490" t="s">
        <v>2213</v>
      </c>
      <c r="I490" t="s">
        <v>2214</v>
      </c>
      <c r="J490" t="s">
        <v>69</v>
      </c>
      <c r="N490" t="s">
        <v>113</v>
      </c>
      <c r="O490" t="s">
        <v>76</v>
      </c>
      <c r="P490" t="s">
        <v>193</v>
      </c>
      <c r="Q490" s="534">
        <v>0</v>
      </c>
      <c r="R490" t="s">
        <v>3264</v>
      </c>
      <c r="S490">
        <v>70</v>
      </c>
      <c r="T490">
        <v>71</v>
      </c>
      <c r="U490">
        <v>72</v>
      </c>
      <c r="V490">
        <v>73</v>
      </c>
      <c r="W490">
        <v>74</v>
      </c>
      <c r="X490">
        <v>75</v>
      </c>
      <c r="AH490">
        <v>0</v>
      </c>
      <c r="BP490" s="534">
        <v>65</v>
      </c>
      <c r="BQ490" s="725">
        <v>78</v>
      </c>
      <c r="BR490" t="s">
        <v>50</v>
      </c>
      <c r="BS490" t="s">
        <v>52</v>
      </c>
      <c r="BT490">
        <v>0</v>
      </c>
      <c r="BU490" t="s">
        <v>52</v>
      </c>
      <c r="BV490">
        <v>0</v>
      </c>
      <c r="BW490">
        <v>84</v>
      </c>
      <c r="BX490" t="s">
        <v>50</v>
      </c>
      <c r="BY490">
        <v>0</v>
      </c>
      <c r="BZ490">
        <v>0</v>
      </c>
      <c r="CA490">
        <v>0</v>
      </c>
      <c r="CB490">
        <v>0</v>
      </c>
      <c r="CC490" s="2146">
        <v>70</v>
      </c>
      <c r="CD490" s="2146" t="s">
        <v>46</v>
      </c>
      <c r="CE490" s="2146">
        <v>0</v>
      </c>
      <c r="CF490" s="2146">
        <v>0</v>
      </c>
      <c r="CG490" s="2146">
        <v>0</v>
      </c>
      <c r="CH490">
        <v>0</v>
      </c>
      <c r="CJ490" t="s">
        <v>5913</v>
      </c>
    </row>
    <row r="491" spans="1:88">
      <c r="A491" t="s">
        <v>2090</v>
      </c>
      <c r="B491" t="s">
        <v>2215</v>
      </c>
      <c r="C491" t="s">
        <v>116</v>
      </c>
      <c r="D491" t="s">
        <v>101</v>
      </c>
      <c r="E491" t="s">
        <v>102</v>
      </c>
      <c r="F491" t="s">
        <v>2204</v>
      </c>
      <c r="G491" t="s">
        <v>444</v>
      </c>
      <c r="H491" t="s">
        <v>2216</v>
      </c>
      <c r="I491" t="s">
        <v>2217</v>
      </c>
      <c r="J491" t="s">
        <v>69</v>
      </c>
      <c r="N491" t="s">
        <v>192</v>
      </c>
      <c r="O491" t="s">
        <v>76</v>
      </c>
      <c r="P491" t="s">
        <v>193</v>
      </c>
      <c r="Q491" s="534">
        <v>0</v>
      </c>
      <c r="R491" t="s">
        <v>3264</v>
      </c>
      <c r="S491" t="s">
        <v>598</v>
      </c>
      <c r="T491" t="s">
        <v>2218</v>
      </c>
      <c r="U491" t="s">
        <v>2218</v>
      </c>
      <c r="V491" t="s">
        <v>2218</v>
      </c>
      <c r="W491" t="s">
        <v>2218</v>
      </c>
      <c r="X491" t="s">
        <v>2218</v>
      </c>
      <c r="AH491">
        <v>0</v>
      </c>
      <c r="BP491" s="534">
        <v>79</v>
      </c>
      <c r="BQ491" s="740">
        <v>81</v>
      </c>
      <c r="BR491" t="s">
        <v>50</v>
      </c>
      <c r="BS491" t="s">
        <v>52</v>
      </c>
      <c r="BT491">
        <v>0</v>
      </c>
      <c r="BU491" t="s">
        <v>52</v>
      </c>
      <c r="BV491">
        <v>0</v>
      </c>
      <c r="BW491">
        <v>75</v>
      </c>
      <c r="BX491" t="s">
        <v>46</v>
      </c>
      <c r="BY491">
        <v>0</v>
      </c>
      <c r="BZ491">
        <v>0</v>
      </c>
      <c r="CA491">
        <v>0</v>
      </c>
      <c r="CB491">
        <v>0</v>
      </c>
      <c r="CC491" s="2146">
        <v>93.1</v>
      </c>
      <c r="CD491" s="2146" t="s">
        <v>46</v>
      </c>
      <c r="CE491" s="2146">
        <v>0</v>
      </c>
      <c r="CF491" s="2146">
        <v>0</v>
      </c>
      <c r="CG491" s="2146">
        <v>0</v>
      </c>
      <c r="CH491">
        <v>0</v>
      </c>
      <c r="CJ491" t="s">
        <v>5914</v>
      </c>
    </row>
    <row r="492" spans="1:88" ht="56.25">
      <c r="A492" t="s">
        <v>2090</v>
      </c>
      <c r="B492" t="s">
        <v>2219</v>
      </c>
      <c r="C492" t="s">
        <v>116</v>
      </c>
      <c r="D492" t="s">
        <v>101</v>
      </c>
      <c r="E492" t="s">
        <v>102</v>
      </c>
      <c r="F492" t="s">
        <v>2204</v>
      </c>
      <c r="G492" t="s">
        <v>891</v>
      </c>
      <c r="H492" t="s">
        <v>2220</v>
      </c>
      <c r="I492" t="s">
        <v>2221</v>
      </c>
      <c r="J492" t="s">
        <v>69</v>
      </c>
      <c r="N492" t="s">
        <v>192</v>
      </c>
      <c r="O492" t="s">
        <v>281</v>
      </c>
      <c r="P492" t="s">
        <v>2222</v>
      </c>
      <c r="Q492" s="534" t="s">
        <v>51</v>
      </c>
      <c r="S492" t="s">
        <v>598</v>
      </c>
      <c r="T492" t="s">
        <v>497</v>
      </c>
      <c r="U492" t="s">
        <v>497</v>
      </c>
      <c r="V492" t="s">
        <v>497</v>
      </c>
      <c r="W492" t="s">
        <v>497</v>
      </c>
      <c r="X492" t="s">
        <v>2223</v>
      </c>
      <c r="AH492">
        <v>0</v>
      </c>
      <c r="BP492" s="534" t="s">
        <v>3319</v>
      </c>
      <c r="BQ492" s="741" t="s">
        <v>3319</v>
      </c>
      <c r="BR492" t="s">
        <v>50</v>
      </c>
      <c r="BS492" t="s">
        <v>52</v>
      </c>
      <c r="BT492">
        <v>0</v>
      </c>
      <c r="BU492" t="s">
        <v>52</v>
      </c>
      <c r="BV492">
        <v>0</v>
      </c>
      <c r="BW492" t="s">
        <v>3319</v>
      </c>
      <c r="BX492" t="s">
        <v>50</v>
      </c>
      <c r="BY492">
        <v>0</v>
      </c>
      <c r="BZ492">
        <v>0</v>
      </c>
      <c r="CA492">
        <v>0</v>
      </c>
      <c r="CB492">
        <v>0</v>
      </c>
      <c r="CC492" s="2146" t="s">
        <v>13457</v>
      </c>
      <c r="CD492" s="2146" t="s">
        <v>50</v>
      </c>
      <c r="CE492" s="2146">
        <v>0</v>
      </c>
      <c r="CF492" s="2146">
        <v>0</v>
      </c>
      <c r="CG492" s="2146">
        <v>0</v>
      </c>
      <c r="CH492">
        <v>0</v>
      </c>
      <c r="CJ492" t="s">
        <v>5915</v>
      </c>
    </row>
    <row r="493" spans="1:88">
      <c r="A493" t="s">
        <v>2090</v>
      </c>
      <c r="B493" t="s">
        <v>2224</v>
      </c>
      <c r="C493" t="s">
        <v>116</v>
      </c>
      <c r="D493" t="s">
        <v>101</v>
      </c>
      <c r="E493" t="s">
        <v>102</v>
      </c>
      <c r="F493" t="s">
        <v>399</v>
      </c>
      <c r="G493" t="s">
        <v>2225</v>
      </c>
      <c r="H493" t="s">
        <v>2226</v>
      </c>
      <c r="I493" t="s">
        <v>2227</v>
      </c>
      <c r="J493" t="s">
        <v>69</v>
      </c>
      <c r="N493" t="s">
        <v>56</v>
      </c>
      <c r="O493" t="s">
        <v>48</v>
      </c>
      <c r="P493" t="s">
        <v>57</v>
      </c>
      <c r="Q493" s="534">
        <v>0</v>
      </c>
      <c r="R493" t="s">
        <v>3263</v>
      </c>
      <c r="S493">
        <v>137</v>
      </c>
      <c r="T493">
        <v>135</v>
      </c>
      <c r="U493">
        <v>134</v>
      </c>
      <c r="V493">
        <v>133</v>
      </c>
      <c r="W493">
        <v>132</v>
      </c>
      <c r="X493">
        <v>131</v>
      </c>
      <c r="AH493">
        <v>0</v>
      </c>
      <c r="BP493" s="534">
        <v>138</v>
      </c>
      <c r="BQ493" s="725">
        <v>138</v>
      </c>
      <c r="BR493" t="s">
        <v>46</v>
      </c>
      <c r="BS493" t="s">
        <v>52</v>
      </c>
      <c r="BT493">
        <v>0</v>
      </c>
      <c r="BU493" t="s">
        <v>52</v>
      </c>
      <c r="BV493">
        <v>0</v>
      </c>
      <c r="BW493">
        <v>141.19999999999999</v>
      </c>
      <c r="BX493" t="s">
        <v>46</v>
      </c>
      <c r="BY493">
        <v>0</v>
      </c>
      <c r="BZ493">
        <v>0</v>
      </c>
      <c r="CA493">
        <v>0</v>
      </c>
      <c r="CB493">
        <v>0</v>
      </c>
      <c r="CC493" s="2146">
        <v>143.19999999999999</v>
      </c>
      <c r="CD493" s="2146" t="s">
        <v>46</v>
      </c>
      <c r="CE493" s="2146">
        <v>0</v>
      </c>
      <c r="CF493" s="2146">
        <v>0</v>
      </c>
      <c r="CG493" s="2146">
        <v>0</v>
      </c>
      <c r="CH493">
        <v>0</v>
      </c>
      <c r="CJ493" t="s">
        <v>5916</v>
      </c>
    </row>
    <row r="494" spans="1:88">
      <c r="A494" t="s">
        <v>2090</v>
      </c>
      <c r="B494" t="s">
        <v>2228</v>
      </c>
      <c r="C494" t="s">
        <v>116</v>
      </c>
      <c r="D494" t="s">
        <v>101</v>
      </c>
      <c r="E494" t="s">
        <v>102</v>
      </c>
      <c r="F494" t="s">
        <v>399</v>
      </c>
      <c r="G494" t="s">
        <v>2229</v>
      </c>
      <c r="H494" t="s">
        <v>2230</v>
      </c>
      <c r="I494" t="s">
        <v>2231</v>
      </c>
      <c r="J494" t="s">
        <v>5408</v>
      </c>
      <c r="K494" t="s">
        <v>45</v>
      </c>
      <c r="N494" t="s">
        <v>56</v>
      </c>
      <c r="O494" t="s">
        <v>48</v>
      </c>
      <c r="P494" t="s">
        <v>57</v>
      </c>
      <c r="Q494" s="534">
        <v>2</v>
      </c>
      <c r="R494" t="s">
        <v>3264</v>
      </c>
      <c r="T494">
        <v>0.56999999999999995</v>
      </c>
      <c r="U494">
        <v>1.25</v>
      </c>
      <c r="V494">
        <v>1.92</v>
      </c>
      <c r="W494">
        <v>2.59</v>
      </c>
      <c r="X494">
        <v>3.26</v>
      </c>
      <c r="AH494">
        <v>0</v>
      </c>
      <c r="AI494" t="s">
        <v>50</v>
      </c>
      <c r="AJ494" t="s">
        <v>50</v>
      </c>
      <c r="AK494" t="s">
        <v>50</v>
      </c>
      <c r="AL494" t="s">
        <v>50</v>
      </c>
      <c r="AM494" t="s">
        <v>50</v>
      </c>
      <c r="AN494">
        <v>0</v>
      </c>
      <c r="AO494">
        <v>0</v>
      </c>
      <c r="AP494">
        <v>0</v>
      </c>
      <c r="AQ494">
        <v>0</v>
      </c>
      <c r="AR494">
        <v>0</v>
      </c>
      <c r="AS494">
        <v>0.56999999999999995</v>
      </c>
      <c r="AT494">
        <v>1.25</v>
      </c>
      <c r="AU494">
        <v>1.92</v>
      </c>
      <c r="AV494">
        <v>2.59</v>
      </c>
      <c r="AW494">
        <v>3.26</v>
      </c>
      <c r="BH494">
        <v>1.89</v>
      </c>
      <c r="BN494">
        <v>1</v>
      </c>
      <c r="BO494" t="s">
        <v>51</v>
      </c>
      <c r="BP494" s="534">
        <v>0.48</v>
      </c>
      <c r="BQ494" s="726">
        <v>0.68</v>
      </c>
      <c r="BR494" t="s">
        <v>50</v>
      </c>
      <c r="BS494" t="s">
        <v>52</v>
      </c>
      <c r="BT494">
        <v>0</v>
      </c>
      <c r="BU494" t="s">
        <v>52</v>
      </c>
      <c r="BV494">
        <v>0</v>
      </c>
      <c r="BW494">
        <v>1.56</v>
      </c>
      <c r="BX494" t="s">
        <v>50</v>
      </c>
      <c r="BY494">
        <v>0</v>
      </c>
      <c r="BZ494">
        <v>0</v>
      </c>
      <c r="CA494">
        <v>0</v>
      </c>
      <c r="CB494">
        <v>0</v>
      </c>
      <c r="CC494" s="2146">
        <v>2.48</v>
      </c>
      <c r="CD494" s="2146" t="s">
        <v>50</v>
      </c>
      <c r="CE494" s="2146">
        <v>0</v>
      </c>
      <c r="CF494" s="2146">
        <v>0</v>
      </c>
      <c r="CG494" s="2146">
        <v>0</v>
      </c>
      <c r="CH494">
        <v>0</v>
      </c>
      <c r="CJ494" t="s">
        <v>5917</v>
      </c>
    </row>
    <row r="495" spans="1:88">
      <c r="A495" t="s">
        <v>2090</v>
      </c>
      <c r="B495" t="s">
        <v>2232</v>
      </c>
      <c r="C495" t="s">
        <v>116</v>
      </c>
      <c r="D495" t="s">
        <v>101</v>
      </c>
      <c r="E495" t="s">
        <v>102</v>
      </c>
      <c r="F495" t="s">
        <v>399</v>
      </c>
      <c r="G495" t="s">
        <v>457</v>
      </c>
      <c r="H495" t="s">
        <v>2233</v>
      </c>
      <c r="I495" t="s">
        <v>2234</v>
      </c>
      <c r="J495" t="s">
        <v>69</v>
      </c>
      <c r="N495" t="s">
        <v>113</v>
      </c>
      <c r="O495" t="s">
        <v>76</v>
      </c>
      <c r="P495" t="s">
        <v>2235</v>
      </c>
      <c r="Q495" s="534">
        <v>1</v>
      </c>
      <c r="R495" t="s">
        <v>3263</v>
      </c>
      <c r="S495">
        <v>1.6E-2</v>
      </c>
      <c r="T495" t="s">
        <v>2236</v>
      </c>
      <c r="U495" t="s">
        <v>2236</v>
      </c>
      <c r="V495" t="s">
        <v>2236</v>
      </c>
      <c r="W495" t="s">
        <v>2236</v>
      </c>
      <c r="X495" t="s">
        <v>2236</v>
      </c>
      <c r="AH495">
        <v>0</v>
      </c>
      <c r="BP495" s="534">
        <v>1.6</v>
      </c>
      <c r="BQ495" s="740">
        <v>1.5</v>
      </c>
      <c r="BR495" t="s">
        <v>50</v>
      </c>
      <c r="BS495" t="s">
        <v>52</v>
      </c>
      <c r="BT495">
        <v>0</v>
      </c>
      <c r="BU495" t="s">
        <v>52</v>
      </c>
      <c r="BV495">
        <v>0</v>
      </c>
      <c r="BW495">
        <v>1.4</v>
      </c>
      <c r="BX495" t="s">
        <v>50</v>
      </c>
      <c r="BY495">
        <v>0</v>
      </c>
      <c r="BZ495">
        <v>0</v>
      </c>
      <c r="CA495">
        <v>0</v>
      </c>
      <c r="CB495">
        <v>0</v>
      </c>
      <c r="CC495" s="2146">
        <v>1.46</v>
      </c>
      <c r="CD495" s="2146" t="s">
        <v>50</v>
      </c>
      <c r="CE495" s="2146">
        <v>0</v>
      </c>
      <c r="CF495" s="2146">
        <v>0</v>
      </c>
      <c r="CG495" s="2146">
        <v>0</v>
      </c>
      <c r="CH495">
        <v>0</v>
      </c>
      <c r="CJ495" t="s">
        <v>5918</v>
      </c>
    </row>
    <row r="496" spans="1:88">
      <c r="A496" t="s">
        <v>2237</v>
      </c>
      <c r="B496" t="s">
        <v>2238</v>
      </c>
      <c r="C496" t="s">
        <v>116</v>
      </c>
      <c r="D496" t="s">
        <v>40</v>
      </c>
      <c r="E496" t="s">
        <v>41</v>
      </c>
      <c r="F496" t="s">
        <v>2239</v>
      </c>
      <c r="G496" t="s">
        <v>1611</v>
      </c>
      <c r="H496" t="s">
        <v>2240</v>
      </c>
      <c r="I496" t="s">
        <v>2241</v>
      </c>
      <c r="J496" t="s">
        <v>5408</v>
      </c>
      <c r="K496" t="s">
        <v>2242</v>
      </c>
      <c r="N496" t="s">
        <v>75</v>
      </c>
      <c r="O496" t="s">
        <v>76</v>
      </c>
      <c r="P496" t="s">
        <v>77</v>
      </c>
      <c r="Q496" s="534">
        <v>3</v>
      </c>
      <c r="R496" t="s">
        <v>3264</v>
      </c>
      <c r="S496">
        <v>99.96</v>
      </c>
      <c r="T496">
        <v>99.96</v>
      </c>
      <c r="U496">
        <v>99.96</v>
      </c>
      <c r="V496">
        <v>100</v>
      </c>
      <c r="W496">
        <v>100</v>
      </c>
      <c r="X496">
        <v>100</v>
      </c>
      <c r="Y496" t="s">
        <v>50</v>
      </c>
      <c r="AE496" t="s">
        <v>50</v>
      </c>
      <c r="AH496">
        <v>0</v>
      </c>
      <c r="AI496" t="s">
        <v>50</v>
      </c>
      <c r="AJ496" t="s">
        <v>50</v>
      </c>
      <c r="AK496" t="s">
        <v>50</v>
      </c>
      <c r="AL496" t="s">
        <v>50</v>
      </c>
      <c r="AM496" t="s">
        <v>50</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351</v>
      </c>
      <c r="BP496" s="534">
        <v>99.953000000000003</v>
      </c>
      <c r="BQ496" s="736">
        <v>99.953999999999994</v>
      </c>
      <c r="BR496" t="s">
        <v>46</v>
      </c>
      <c r="BS496" t="s">
        <v>52</v>
      </c>
      <c r="BT496">
        <v>0</v>
      </c>
      <c r="BU496" t="s">
        <v>5378</v>
      </c>
      <c r="BV496">
        <v>0</v>
      </c>
      <c r="BW496">
        <v>99.962000000000003</v>
      </c>
      <c r="BX496" t="s">
        <v>50</v>
      </c>
      <c r="BY496">
        <v>0</v>
      </c>
      <c r="BZ496">
        <v>0</v>
      </c>
      <c r="CA496">
        <v>0</v>
      </c>
      <c r="CB496">
        <v>0</v>
      </c>
      <c r="CC496" s="2146">
        <v>99.953000000000003</v>
      </c>
      <c r="CD496" s="2146" t="s">
        <v>46</v>
      </c>
      <c r="CE496" s="2146">
        <v>0</v>
      </c>
      <c r="CF496" s="2146">
        <v>0</v>
      </c>
      <c r="CG496" s="2146" t="s">
        <v>13445</v>
      </c>
      <c r="CH496">
        <v>0</v>
      </c>
      <c r="CJ496" t="s">
        <v>5919</v>
      </c>
    </row>
    <row r="497" spans="1:88">
      <c r="A497" t="s">
        <v>2237</v>
      </c>
      <c r="B497" t="s">
        <v>2243</v>
      </c>
      <c r="C497" t="s">
        <v>116</v>
      </c>
      <c r="D497" t="s">
        <v>40</v>
      </c>
      <c r="E497" t="s">
        <v>41</v>
      </c>
      <c r="F497" t="s">
        <v>2239</v>
      </c>
      <c r="G497" t="s">
        <v>1616</v>
      </c>
      <c r="H497" t="s">
        <v>2244</v>
      </c>
      <c r="I497" t="s">
        <v>2245</v>
      </c>
      <c r="J497" t="s">
        <v>69</v>
      </c>
      <c r="N497" t="s">
        <v>75</v>
      </c>
      <c r="O497" t="s">
        <v>48</v>
      </c>
      <c r="P497" t="s">
        <v>2246</v>
      </c>
      <c r="Q497" s="534">
        <v>0</v>
      </c>
      <c r="R497" t="s">
        <v>3263</v>
      </c>
      <c r="S497">
        <v>6</v>
      </c>
      <c r="T497">
        <v>6</v>
      </c>
      <c r="U497">
        <v>6</v>
      </c>
      <c r="V497">
        <v>6</v>
      </c>
      <c r="W497">
        <v>6</v>
      </c>
      <c r="X497">
        <v>6</v>
      </c>
      <c r="AE497" t="s">
        <v>50</v>
      </c>
      <c r="AH497">
        <v>0</v>
      </c>
      <c r="BP497" s="534">
        <v>3</v>
      </c>
      <c r="BQ497" s="725">
        <v>5</v>
      </c>
      <c r="BR497" t="s">
        <v>50</v>
      </c>
      <c r="BS497" t="s">
        <v>52</v>
      </c>
      <c r="BT497">
        <v>0</v>
      </c>
      <c r="BU497" t="s">
        <v>52</v>
      </c>
      <c r="BV497">
        <v>0</v>
      </c>
      <c r="BW497">
        <v>3</v>
      </c>
      <c r="BX497" t="s">
        <v>50</v>
      </c>
      <c r="BY497">
        <v>0</v>
      </c>
      <c r="BZ497">
        <v>0</v>
      </c>
      <c r="CA497">
        <v>0</v>
      </c>
      <c r="CB497">
        <v>0</v>
      </c>
      <c r="CC497" s="2146">
        <v>4</v>
      </c>
      <c r="CD497" s="2146" t="s">
        <v>50</v>
      </c>
      <c r="CE497" s="2146">
        <v>0</v>
      </c>
      <c r="CF497" s="2146">
        <v>0</v>
      </c>
      <c r="CG497" s="2146">
        <v>0</v>
      </c>
      <c r="CH497">
        <v>0</v>
      </c>
      <c r="CJ497" t="s">
        <v>5920</v>
      </c>
    </row>
    <row r="498" spans="1:88">
      <c r="A498" t="s">
        <v>2237</v>
      </c>
      <c r="B498" t="s">
        <v>2247</v>
      </c>
      <c r="C498" t="s">
        <v>116</v>
      </c>
      <c r="D498" t="s">
        <v>40</v>
      </c>
      <c r="E498" t="s">
        <v>41</v>
      </c>
      <c r="F498" t="s">
        <v>2239</v>
      </c>
      <c r="G498" t="s">
        <v>1621</v>
      </c>
      <c r="H498" t="s">
        <v>2248</v>
      </c>
      <c r="I498" t="s">
        <v>2249</v>
      </c>
      <c r="J498" t="s">
        <v>5406</v>
      </c>
      <c r="K498" t="s">
        <v>2250</v>
      </c>
      <c r="N498" t="s">
        <v>24</v>
      </c>
      <c r="O498" t="s">
        <v>48</v>
      </c>
      <c r="P498" t="s">
        <v>2251</v>
      </c>
      <c r="Q498" s="534">
        <v>0</v>
      </c>
      <c r="R498" t="s">
        <v>3263</v>
      </c>
      <c r="S498">
        <v>12143</v>
      </c>
      <c r="T498">
        <v>10131</v>
      </c>
      <c r="U498">
        <v>8120</v>
      </c>
      <c r="V498">
        <v>6108</v>
      </c>
      <c r="W498">
        <v>6108</v>
      </c>
      <c r="X498">
        <v>6108</v>
      </c>
      <c r="Z498" t="s">
        <v>50</v>
      </c>
      <c r="AE498" t="s">
        <v>50</v>
      </c>
      <c r="AH498">
        <v>0</v>
      </c>
      <c r="AI498" t="s">
        <v>50</v>
      </c>
      <c r="AJ498" t="s">
        <v>50</v>
      </c>
      <c r="AK498" t="s">
        <v>50</v>
      </c>
      <c r="AL498" t="s">
        <v>50</v>
      </c>
      <c r="AM498" t="s">
        <v>50</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51</v>
      </c>
      <c r="BP498" s="534">
        <v>10570</v>
      </c>
      <c r="BQ498" s="725">
        <v>10007</v>
      </c>
      <c r="BR498" t="s">
        <v>50</v>
      </c>
      <c r="BS498" t="s">
        <v>52</v>
      </c>
      <c r="BT498">
        <v>0</v>
      </c>
      <c r="BU498" t="s">
        <v>5379</v>
      </c>
      <c r="BV498">
        <v>0</v>
      </c>
      <c r="BW498">
        <v>9093</v>
      </c>
      <c r="BX498" t="s">
        <v>46</v>
      </c>
      <c r="BY498">
        <v>0</v>
      </c>
      <c r="BZ498">
        <v>0</v>
      </c>
      <c r="CA498" t="s">
        <v>5378</v>
      </c>
      <c r="CB498">
        <v>0</v>
      </c>
      <c r="CC498" s="2146">
        <v>8100</v>
      </c>
      <c r="CD498" s="2146" t="s">
        <v>46</v>
      </c>
      <c r="CE498" s="2146">
        <v>0</v>
      </c>
      <c r="CF498" s="2146">
        <v>0</v>
      </c>
      <c r="CG498" s="2146" t="s">
        <v>13444</v>
      </c>
      <c r="CH498">
        <v>-6.5735999999999999</v>
      </c>
      <c r="CJ498" t="s">
        <v>5921</v>
      </c>
    </row>
    <row r="499" spans="1:88">
      <c r="A499" t="s">
        <v>2237</v>
      </c>
      <c r="B499" t="s">
        <v>2252</v>
      </c>
      <c r="C499" t="s">
        <v>116</v>
      </c>
      <c r="D499" t="s">
        <v>40</v>
      </c>
      <c r="E499" t="s">
        <v>41</v>
      </c>
      <c r="F499" t="s">
        <v>2239</v>
      </c>
      <c r="G499" t="s">
        <v>1626</v>
      </c>
      <c r="H499" t="s">
        <v>2253</v>
      </c>
      <c r="I499" t="s">
        <v>2254</v>
      </c>
      <c r="J499" t="s">
        <v>5408</v>
      </c>
      <c r="K499" t="s">
        <v>2242</v>
      </c>
      <c r="M499" t="s">
        <v>46</v>
      </c>
      <c r="N499" t="s">
        <v>91</v>
      </c>
      <c r="O499" t="s">
        <v>200</v>
      </c>
      <c r="P499" t="s">
        <v>323</v>
      </c>
      <c r="Q499" s="534" t="s">
        <v>51</v>
      </c>
      <c r="S499" t="s">
        <v>202</v>
      </c>
      <c r="X499" t="s">
        <v>202</v>
      </c>
      <c r="AE499" t="s">
        <v>50</v>
      </c>
      <c r="AH499">
        <v>5</v>
      </c>
      <c r="AM499" t="s">
        <v>50</v>
      </c>
      <c r="AW499" t="s">
        <v>324</v>
      </c>
      <c r="BH499" t="s">
        <v>2255</v>
      </c>
      <c r="BN499">
        <v>1</v>
      </c>
      <c r="BO499" t="s">
        <v>51</v>
      </c>
      <c r="BP499" s="534" t="s">
        <v>3320</v>
      </c>
      <c r="BQ499" s="740" t="s">
        <v>3320</v>
      </c>
      <c r="BR499" t="s">
        <v>52</v>
      </c>
      <c r="BS499" t="s">
        <v>52</v>
      </c>
      <c r="BT499">
        <v>0</v>
      </c>
      <c r="BU499" t="s">
        <v>52</v>
      </c>
      <c r="BV499">
        <v>0</v>
      </c>
      <c r="BW499" t="s">
        <v>3320</v>
      </c>
      <c r="BX499" t="s">
        <v>2148</v>
      </c>
      <c r="BY499">
        <v>0</v>
      </c>
      <c r="BZ499">
        <v>0</v>
      </c>
      <c r="CA499">
        <v>0</v>
      </c>
      <c r="CB499">
        <v>0</v>
      </c>
      <c r="CC499" s="2146" t="s">
        <v>202</v>
      </c>
      <c r="CD499" s="2146" t="s">
        <v>2148</v>
      </c>
      <c r="CE499" s="2146">
        <v>0</v>
      </c>
      <c r="CF499" s="2146">
        <v>0</v>
      </c>
      <c r="CG499" s="2146">
        <v>0</v>
      </c>
      <c r="CH499">
        <v>0</v>
      </c>
      <c r="CJ499" t="s">
        <v>5922</v>
      </c>
    </row>
    <row r="500" spans="1:88">
      <c r="A500" t="s">
        <v>2237</v>
      </c>
      <c r="B500" t="s">
        <v>2256</v>
      </c>
      <c r="C500" t="s">
        <v>116</v>
      </c>
      <c r="D500" t="s">
        <v>40</v>
      </c>
      <c r="E500" t="s">
        <v>41</v>
      </c>
      <c r="F500" t="s">
        <v>2257</v>
      </c>
      <c r="G500" t="s">
        <v>1637</v>
      </c>
      <c r="H500" t="s">
        <v>2258</v>
      </c>
      <c r="I500" t="s">
        <v>2259</v>
      </c>
      <c r="J500" t="s">
        <v>5406</v>
      </c>
      <c r="K500" t="s">
        <v>2250</v>
      </c>
      <c r="N500" t="s">
        <v>47</v>
      </c>
      <c r="O500" t="s">
        <v>48</v>
      </c>
      <c r="P500" t="s">
        <v>49</v>
      </c>
      <c r="Q500" s="534">
        <v>1</v>
      </c>
      <c r="R500" t="s">
        <v>3263</v>
      </c>
      <c r="S500">
        <v>297.10000000000002</v>
      </c>
      <c r="T500">
        <v>297.10000000000002</v>
      </c>
      <c r="U500">
        <v>297.10000000000002</v>
      </c>
      <c r="V500">
        <v>297.10000000000002</v>
      </c>
      <c r="W500">
        <v>292.10000000000002</v>
      </c>
      <c r="X500">
        <v>287.10000000000002</v>
      </c>
      <c r="AE500" t="s">
        <v>50</v>
      </c>
      <c r="AH500">
        <v>0</v>
      </c>
      <c r="AI500" t="s">
        <v>50</v>
      </c>
      <c r="AJ500" t="s">
        <v>50</v>
      </c>
      <c r="AK500" t="s">
        <v>50</v>
      </c>
      <c r="AL500" t="s">
        <v>50</v>
      </c>
      <c r="AM500" t="s">
        <v>50</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51</v>
      </c>
      <c r="BP500" s="534">
        <v>288.42</v>
      </c>
      <c r="BQ500" s="722">
        <v>285.12</v>
      </c>
      <c r="BR500" t="s">
        <v>50</v>
      </c>
      <c r="BS500" t="s">
        <v>52</v>
      </c>
      <c r="BT500">
        <v>0</v>
      </c>
      <c r="BU500" t="s">
        <v>5379</v>
      </c>
      <c r="BV500">
        <v>0</v>
      </c>
      <c r="BW500">
        <v>295.16000000000003</v>
      </c>
      <c r="BX500" t="s">
        <v>50</v>
      </c>
      <c r="BY500">
        <v>0</v>
      </c>
      <c r="BZ500">
        <v>0</v>
      </c>
      <c r="CA500" t="s">
        <v>5379</v>
      </c>
      <c r="CB500">
        <v>0</v>
      </c>
      <c r="CC500" s="2146">
        <v>300.27999999999997</v>
      </c>
      <c r="CD500" s="2146" t="s">
        <v>46</v>
      </c>
      <c r="CE500" s="2146">
        <v>0</v>
      </c>
      <c r="CF500" s="2146">
        <v>0</v>
      </c>
      <c r="CG500" s="2146" t="s">
        <v>13445</v>
      </c>
      <c r="CH500">
        <v>0</v>
      </c>
      <c r="CJ500" t="s">
        <v>5923</v>
      </c>
    </row>
    <row r="501" spans="1:88">
      <c r="A501" t="s">
        <v>2237</v>
      </c>
      <c r="B501" t="s">
        <v>2260</v>
      </c>
      <c r="C501" t="s">
        <v>116</v>
      </c>
      <c r="D501" t="s">
        <v>40</v>
      </c>
      <c r="E501" t="s">
        <v>41</v>
      </c>
      <c r="F501" t="s">
        <v>2257</v>
      </c>
      <c r="G501" t="s">
        <v>1641</v>
      </c>
      <c r="H501" t="s">
        <v>2261</v>
      </c>
      <c r="I501" t="s">
        <v>2262</v>
      </c>
      <c r="J501" t="s">
        <v>5406</v>
      </c>
      <c r="K501" t="s">
        <v>2250</v>
      </c>
      <c r="N501" t="s">
        <v>86</v>
      </c>
      <c r="O501" t="s">
        <v>119</v>
      </c>
      <c r="P501" t="s">
        <v>2263</v>
      </c>
      <c r="Q501" s="534">
        <v>2</v>
      </c>
      <c r="R501" t="s">
        <v>3263</v>
      </c>
      <c r="S501">
        <v>14.44</v>
      </c>
      <c r="T501">
        <v>13.63</v>
      </c>
      <c r="U501">
        <v>12.81</v>
      </c>
      <c r="V501">
        <v>12</v>
      </c>
      <c r="W501">
        <v>12</v>
      </c>
      <c r="X501">
        <v>12</v>
      </c>
      <c r="AA501" t="s">
        <v>50</v>
      </c>
      <c r="AE501" t="s">
        <v>50</v>
      </c>
      <c r="AH501">
        <v>0</v>
      </c>
      <c r="AI501" t="s">
        <v>50</v>
      </c>
      <c r="AJ501" t="s">
        <v>50</v>
      </c>
      <c r="AK501" t="s">
        <v>50</v>
      </c>
      <c r="AL501" t="s">
        <v>50</v>
      </c>
      <c r="AM501" t="s">
        <v>50</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51</v>
      </c>
      <c r="BP501" s="534">
        <v>9.48</v>
      </c>
      <c r="BQ501" s="726">
        <v>12.89</v>
      </c>
      <c r="BR501" t="s">
        <v>50</v>
      </c>
      <c r="BS501" t="s">
        <v>52</v>
      </c>
      <c r="BT501">
        <v>0</v>
      </c>
      <c r="BU501" t="s">
        <v>5379</v>
      </c>
      <c r="BV501">
        <v>0</v>
      </c>
      <c r="BW501">
        <v>9.7799999999999994</v>
      </c>
      <c r="BX501" t="s">
        <v>50</v>
      </c>
      <c r="BY501">
        <v>0</v>
      </c>
      <c r="BZ501">
        <v>0</v>
      </c>
      <c r="CA501" t="s">
        <v>5425</v>
      </c>
      <c r="CB501">
        <v>5.7916999999999996</v>
      </c>
      <c r="CC501" s="2146">
        <v>6.96</v>
      </c>
      <c r="CD501" s="2146" t="s">
        <v>50</v>
      </c>
      <c r="CE501" s="2146">
        <v>0</v>
      </c>
      <c r="CF501" s="2146">
        <v>0</v>
      </c>
      <c r="CG501" s="2146" t="s">
        <v>5425</v>
      </c>
      <c r="CH501">
        <v>10.22681744</v>
      </c>
      <c r="CJ501" t="s">
        <v>5924</v>
      </c>
    </row>
    <row r="502" spans="1:88">
      <c r="A502" t="s">
        <v>2237</v>
      </c>
      <c r="B502" t="s">
        <v>2264</v>
      </c>
      <c r="C502" t="s">
        <v>116</v>
      </c>
      <c r="D502" t="s">
        <v>40</v>
      </c>
      <c r="E502" t="s">
        <v>41</v>
      </c>
      <c r="F502" t="s">
        <v>2257</v>
      </c>
      <c r="G502" t="s">
        <v>1645</v>
      </c>
      <c r="H502" t="s">
        <v>2265</v>
      </c>
      <c r="I502" t="s">
        <v>2266</v>
      </c>
      <c r="J502" t="s">
        <v>69</v>
      </c>
      <c r="N502" t="s">
        <v>56</v>
      </c>
      <c r="O502" t="s">
        <v>48</v>
      </c>
      <c r="P502" t="s">
        <v>397</v>
      </c>
      <c r="Q502" s="534">
        <v>1</v>
      </c>
      <c r="R502" t="s">
        <v>3263</v>
      </c>
      <c r="S502">
        <v>143.69999999999999</v>
      </c>
      <c r="T502">
        <v>142.6</v>
      </c>
      <c r="U502">
        <v>141.5</v>
      </c>
      <c r="V502">
        <v>140.4</v>
      </c>
      <c r="W502">
        <v>139.30000000000001</v>
      </c>
      <c r="X502">
        <v>138.30000000000001</v>
      </c>
      <c r="AH502">
        <v>0</v>
      </c>
      <c r="BP502" s="534" t="s">
        <v>2797</v>
      </c>
      <c r="BQ502" s="722">
        <v>141.71</v>
      </c>
      <c r="BR502" t="s">
        <v>50</v>
      </c>
      <c r="BS502" t="s">
        <v>52</v>
      </c>
      <c r="BT502">
        <v>0</v>
      </c>
      <c r="BU502" t="s">
        <v>52</v>
      </c>
      <c r="BV502">
        <v>0</v>
      </c>
      <c r="BW502">
        <v>137.4</v>
      </c>
      <c r="BX502" t="s">
        <v>50</v>
      </c>
      <c r="BY502">
        <v>0</v>
      </c>
      <c r="BZ502">
        <v>0</v>
      </c>
      <c r="CA502">
        <v>0</v>
      </c>
      <c r="CB502">
        <v>0</v>
      </c>
      <c r="CC502" s="2146">
        <v>135.85</v>
      </c>
      <c r="CD502" s="2146" t="s">
        <v>50</v>
      </c>
      <c r="CE502" s="2146">
        <v>0</v>
      </c>
      <c r="CF502" s="2146">
        <v>0</v>
      </c>
      <c r="CG502" s="2146">
        <v>0</v>
      </c>
      <c r="CH502">
        <v>0</v>
      </c>
      <c r="CJ502" t="s">
        <v>5925</v>
      </c>
    </row>
    <row r="503" spans="1:88">
      <c r="A503" t="s">
        <v>2237</v>
      </c>
      <c r="B503" t="s">
        <v>2267</v>
      </c>
      <c r="C503" t="s">
        <v>116</v>
      </c>
      <c r="D503" t="s">
        <v>40</v>
      </c>
      <c r="E503" t="s">
        <v>41</v>
      </c>
      <c r="F503" t="s">
        <v>2257</v>
      </c>
      <c r="G503" t="s">
        <v>1649</v>
      </c>
      <c r="H503" t="s">
        <v>2268</v>
      </c>
      <c r="I503" t="s">
        <v>2269</v>
      </c>
      <c r="J503" t="s">
        <v>5408</v>
      </c>
      <c r="K503" t="s">
        <v>2242</v>
      </c>
      <c r="M503" t="s">
        <v>46</v>
      </c>
      <c r="N503" t="s">
        <v>91</v>
      </c>
      <c r="O503" t="s">
        <v>200</v>
      </c>
      <c r="P503" t="s">
        <v>323</v>
      </c>
      <c r="Q503" s="534" t="s">
        <v>51</v>
      </c>
      <c r="S503" t="s">
        <v>202</v>
      </c>
      <c r="X503" t="s">
        <v>202</v>
      </c>
      <c r="AE503" t="s">
        <v>50</v>
      </c>
      <c r="AH503">
        <v>6</v>
      </c>
      <c r="AM503" t="s">
        <v>50</v>
      </c>
      <c r="AW503" t="s">
        <v>324</v>
      </c>
      <c r="BH503" t="s">
        <v>2255</v>
      </c>
      <c r="BN503">
        <v>1</v>
      </c>
      <c r="BO503" t="s">
        <v>51</v>
      </c>
      <c r="BP503" s="534" t="s">
        <v>3320</v>
      </c>
      <c r="BQ503" s="740" t="s">
        <v>3320</v>
      </c>
      <c r="BR503" t="s">
        <v>52</v>
      </c>
      <c r="BS503" t="s">
        <v>52</v>
      </c>
      <c r="BT503">
        <v>0</v>
      </c>
      <c r="BU503" t="s">
        <v>52</v>
      </c>
      <c r="BV503">
        <v>0</v>
      </c>
      <c r="BW503" t="s">
        <v>202</v>
      </c>
      <c r="BX503" t="s">
        <v>2148</v>
      </c>
      <c r="BY503">
        <v>0</v>
      </c>
      <c r="BZ503">
        <v>0</v>
      </c>
      <c r="CA503">
        <v>0</v>
      </c>
      <c r="CB503">
        <v>0</v>
      </c>
      <c r="CC503" s="2146" t="s">
        <v>202</v>
      </c>
      <c r="CD503" s="2146" t="s">
        <v>2148</v>
      </c>
      <c r="CE503" s="2146">
        <v>0</v>
      </c>
      <c r="CF503" s="2146">
        <v>0</v>
      </c>
      <c r="CG503" s="2146">
        <v>0</v>
      </c>
      <c r="CH503">
        <v>0</v>
      </c>
      <c r="CJ503" t="s">
        <v>5926</v>
      </c>
    </row>
    <row r="504" spans="1:88">
      <c r="A504" t="s">
        <v>2237</v>
      </c>
      <c r="B504" t="s">
        <v>2270</v>
      </c>
      <c r="C504" t="s">
        <v>116</v>
      </c>
      <c r="D504" t="s">
        <v>40</v>
      </c>
      <c r="E504" t="s">
        <v>41</v>
      </c>
      <c r="F504" t="s">
        <v>2271</v>
      </c>
      <c r="G504" t="s">
        <v>1672</v>
      </c>
      <c r="H504" t="s">
        <v>2272</v>
      </c>
      <c r="I504" t="s">
        <v>2273</v>
      </c>
      <c r="J504" t="s">
        <v>5406</v>
      </c>
      <c r="K504" t="s">
        <v>2250</v>
      </c>
      <c r="M504" t="s">
        <v>46</v>
      </c>
      <c r="N504" t="s">
        <v>175</v>
      </c>
      <c r="O504" t="s">
        <v>48</v>
      </c>
      <c r="P504" t="s">
        <v>2274</v>
      </c>
      <c r="Q504" s="534">
        <v>0</v>
      </c>
      <c r="R504" t="s">
        <v>3264</v>
      </c>
      <c r="X504">
        <v>100</v>
      </c>
      <c r="AF504" t="s">
        <v>50</v>
      </c>
      <c r="AH504">
        <v>0</v>
      </c>
      <c r="AM504" t="s">
        <v>50</v>
      </c>
      <c r="AR504">
        <v>0</v>
      </c>
      <c r="AW504">
        <v>97</v>
      </c>
      <c r="BB504">
        <v>103</v>
      </c>
      <c r="BG504">
        <v>999999</v>
      </c>
      <c r="BH504">
        <v>0.14623800000000001</v>
      </c>
      <c r="BL504">
        <v>7.6696E-2</v>
      </c>
      <c r="BN504">
        <v>1</v>
      </c>
      <c r="BO504" t="s">
        <v>51</v>
      </c>
      <c r="BP504" s="534" t="s">
        <v>2797</v>
      </c>
      <c r="BQ504" s="725">
        <v>0</v>
      </c>
      <c r="BR504" t="s">
        <v>52</v>
      </c>
      <c r="BS504" t="s">
        <v>52</v>
      </c>
      <c r="BT504">
        <v>0</v>
      </c>
      <c r="BU504" t="s">
        <v>52</v>
      </c>
      <c r="BV504">
        <v>0</v>
      </c>
      <c r="BW504">
        <v>0</v>
      </c>
      <c r="BX504" t="s">
        <v>2148</v>
      </c>
      <c r="BY504">
        <v>0</v>
      </c>
      <c r="BZ504">
        <v>0</v>
      </c>
      <c r="CA504">
        <v>0</v>
      </c>
      <c r="CB504">
        <v>0</v>
      </c>
      <c r="CC504" s="2146" t="s">
        <v>2148</v>
      </c>
      <c r="CD504" s="2146" t="s">
        <v>2148</v>
      </c>
      <c r="CE504" s="2146">
        <v>0</v>
      </c>
      <c r="CF504" s="2146">
        <v>0</v>
      </c>
      <c r="CG504" s="2146">
        <v>0</v>
      </c>
      <c r="CH504">
        <v>0</v>
      </c>
      <c r="CJ504" t="s">
        <v>5927</v>
      </c>
    </row>
    <row r="505" spans="1:88">
      <c r="A505" t="s">
        <v>2237</v>
      </c>
      <c r="B505" t="s">
        <v>2275</v>
      </c>
      <c r="C505" t="s">
        <v>116</v>
      </c>
      <c r="D505" t="s">
        <v>40</v>
      </c>
      <c r="E505" t="s">
        <v>41</v>
      </c>
      <c r="F505" t="s">
        <v>2271</v>
      </c>
      <c r="G505" t="s">
        <v>1676</v>
      </c>
      <c r="H505" t="s">
        <v>2276</v>
      </c>
      <c r="I505" t="s">
        <v>2277</v>
      </c>
      <c r="J505" t="s">
        <v>5717</v>
      </c>
      <c r="K505" t="s">
        <v>45</v>
      </c>
      <c r="M505" t="s">
        <v>46</v>
      </c>
      <c r="N505" t="s">
        <v>861</v>
      </c>
      <c r="O505" t="s">
        <v>48</v>
      </c>
      <c r="P505" t="s">
        <v>2278</v>
      </c>
      <c r="Q505" s="534">
        <v>0</v>
      </c>
      <c r="R505" t="s">
        <v>3264</v>
      </c>
      <c r="T505">
        <v>3</v>
      </c>
      <c r="U505">
        <v>3</v>
      </c>
      <c r="V505">
        <v>3</v>
      </c>
      <c r="W505">
        <v>3</v>
      </c>
      <c r="X505">
        <v>4</v>
      </c>
      <c r="AH505">
        <v>0</v>
      </c>
      <c r="AI505" t="s">
        <v>50</v>
      </c>
      <c r="AJ505" t="s">
        <v>50</v>
      </c>
      <c r="AK505" t="s">
        <v>50</v>
      </c>
      <c r="AL505" t="s">
        <v>50</v>
      </c>
      <c r="AM505" t="s">
        <v>50</v>
      </c>
      <c r="AX505">
        <v>3</v>
      </c>
      <c r="AY505">
        <v>6</v>
      </c>
      <c r="AZ505">
        <v>9</v>
      </c>
      <c r="BA505">
        <v>12</v>
      </c>
      <c r="BB505">
        <v>16</v>
      </c>
      <c r="BC505">
        <v>999999</v>
      </c>
      <c r="BD505">
        <v>999999</v>
      </c>
      <c r="BE505">
        <v>999999</v>
      </c>
      <c r="BF505">
        <v>999999</v>
      </c>
      <c r="BG505">
        <v>999999</v>
      </c>
      <c r="BL505" t="s">
        <v>2279</v>
      </c>
      <c r="BN505">
        <v>1</v>
      </c>
      <c r="BO505" t="s">
        <v>51</v>
      </c>
      <c r="BP505" s="534" t="s">
        <v>2797</v>
      </c>
      <c r="BQ505" s="725">
        <v>4</v>
      </c>
      <c r="BR505" t="s">
        <v>50</v>
      </c>
      <c r="BS505" t="s">
        <v>52</v>
      </c>
      <c r="BT505">
        <v>0</v>
      </c>
      <c r="BU505" t="s">
        <v>5425</v>
      </c>
      <c r="BV505">
        <v>2.3955E-4</v>
      </c>
      <c r="BW505">
        <v>5</v>
      </c>
      <c r="BX505" t="s">
        <v>50</v>
      </c>
      <c r="BY505">
        <v>0</v>
      </c>
      <c r="BZ505">
        <v>0</v>
      </c>
      <c r="CA505" t="s">
        <v>5425</v>
      </c>
      <c r="CB505">
        <v>1.6763999999999999E-4</v>
      </c>
      <c r="CC505" s="2146">
        <v>12</v>
      </c>
      <c r="CD505" s="2146" t="s">
        <v>50</v>
      </c>
      <c r="CE505" s="2146">
        <v>0</v>
      </c>
      <c r="CF505" s="2146">
        <v>0</v>
      </c>
      <c r="CG505" s="2146" t="s">
        <v>5425</v>
      </c>
      <c r="CH505">
        <v>5.4502837499999998E-2</v>
      </c>
      <c r="CJ505" t="s">
        <v>5928</v>
      </c>
    </row>
    <row r="506" spans="1:88">
      <c r="A506" t="s">
        <v>2237</v>
      </c>
      <c r="B506" t="s">
        <v>2280</v>
      </c>
      <c r="C506" t="s">
        <v>116</v>
      </c>
      <c r="D506" t="s">
        <v>40</v>
      </c>
      <c r="E506" t="s">
        <v>41</v>
      </c>
      <c r="F506" t="s">
        <v>2271</v>
      </c>
      <c r="G506" t="s">
        <v>1680</v>
      </c>
      <c r="H506" t="s">
        <v>2281</v>
      </c>
      <c r="I506" t="s">
        <v>5929</v>
      </c>
      <c r="J506" t="s">
        <v>5406</v>
      </c>
      <c r="K506" t="s">
        <v>2250</v>
      </c>
      <c r="M506" t="s">
        <v>46</v>
      </c>
      <c r="N506" t="s">
        <v>169</v>
      </c>
      <c r="O506" t="s">
        <v>48</v>
      </c>
      <c r="P506" t="s">
        <v>2282</v>
      </c>
      <c r="Q506" s="534">
        <v>0</v>
      </c>
      <c r="R506" t="s">
        <v>3264</v>
      </c>
      <c r="X506">
        <v>11736</v>
      </c>
      <c r="AF506" t="s">
        <v>50</v>
      </c>
      <c r="AH506">
        <v>0</v>
      </c>
      <c r="AM506" t="s">
        <v>50</v>
      </c>
      <c r="AR506">
        <v>10998</v>
      </c>
      <c r="AW506">
        <v>11501</v>
      </c>
      <c r="BB506">
        <v>11971</v>
      </c>
      <c r="BG506">
        <v>12049</v>
      </c>
      <c r="BH506">
        <v>2.0263E-2</v>
      </c>
      <c r="BL506">
        <v>1.3171E-2</v>
      </c>
      <c r="BN506">
        <v>1</v>
      </c>
      <c r="BO506" t="s">
        <v>51</v>
      </c>
      <c r="BP506" s="534">
        <v>11466</v>
      </c>
      <c r="BQ506" s="725">
        <v>11466</v>
      </c>
      <c r="BR506" t="s">
        <v>52</v>
      </c>
      <c r="BS506" t="s">
        <v>52</v>
      </c>
      <c r="BT506">
        <v>0</v>
      </c>
      <c r="BU506" t="s">
        <v>52</v>
      </c>
      <c r="BV506">
        <v>0</v>
      </c>
      <c r="BW506">
        <v>11492</v>
      </c>
      <c r="BX506" t="s">
        <v>2148</v>
      </c>
      <c r="BY506">
        <v>0</v>
      </c>
      <c r="BZ506">
        <v>0</v>
      </c>
      <c r="CA506">
        <v>0</v>
      </c>
      <c r="CB506">
        <v>0</v>
      </c>
      <c r="CC506" s="2146">
        <v>11479</v>
      </c>
      <c r="CD506" s="2146" t="s">
        <v>2148</v>
      </c>
      <c r="CE506" s="2146">
        <v>0</v>
      </c>
      <c r="CF506" s="2146">
        <v>0</v>
      </c>
      <c r="CG506" s="2146">
        <v>0</v>
      </c>
      <c r="CH506">
        <v>0</v>
      </c>
      <c r="CJ506" t="s">
        <v>5930</v>
      </c>
    </row>
    <row r="507" spans="1:88">
      <c r="A507" t="s">
        <v>2237</v>
      </c>
      <c r="B507" t="s">
        <v>2283</v>
      </c>
      <c r="C507" t="s">
        <v>116</v>
      </c>
      <c r="D507" t="s">
        <v>40</v>
      </c>
      <c r="E507" t="s">
        <v>41</v>
      </c>
      <c r="F507" t="s">
        <v>2271</v>
      </c>
      <c r="G507" t="s">
        <v>1684</v>
      </c>
      <c r="H507" t="s">
        <v>2284</v>
      </c>
      <c r="I507" t="s">
        <v>2285</v>
      </c>
      <c r="J507" t="s">
        <v>69</v>
      </c>
      <c r="N507" t="s">
        <v>192</v>
      </c>
      <c r="O507" t="s">
        <v>281</v>
      </c>
      <c r="P507" t="s">
        <v>5931</v>
      </c>
      <c r="Q507" s="534" t="s">
        <v>51</v>
      </c>
      <c r="S507" t="s">
        <v>2286</v>
      </c>
      <c r="T507" t="s">
        <v>2286</v>
      </c>
      <c r="U507" t="s">
        <v>2286</v>
      </c>
      <c r="V507" t="s">
        <v>2286</v>
      </c>
      <c r="W507" t="s">
        <v>2286</v>
      </c>
      <c r="X507" t="s">
        <v>2286</v>
      </c>
      <c r="AH507">
        <v>0</v>
      </c>
      <c r="BP507" s="534" t="s">
        <v>2797</v>
      </c>
      <c r="BQ507" s="724" t="s">
        <v>3323</v>
      </c>
      <c r="BR507" t="s">
        <v>50</v>
      </c>
      <c r="BS507" t="s">
        <v>52</v>
      </c>
      <c r="BT507">
        <v>0</v>
      </c>
      <c r="BU507" t="s">
        <v>52</v>
      </c>
      <c r="BV507">
        <v>0</v>
      </c>
      <c r="BW507" t="s">
        <v>3323</v>
      </c>
      <c r="BX507" t="s">
        <v>50</v>
      </c>
      <c r="BY507">
        <v>0</v>
      </c>
      <c r="BZ507">
        <v>0</v>
      </c>
      <c r="CA507">
        <v>0</v>
      </c>
      <c r="CB507">
        <v>0</v>
      </c>
      <c r="CC507" s="2146" t="s">
        <v>13458</v>
      </c>
      <c r="CD507" s="2146" t="s">
        <v>50</v>
      </c>
      <c r="CE507" s="2146">
        <v>0</v>
      </c>
      <c r="CF507" s="2146">
        <v>0</v>
      </c>
      <c r="CG507" s="2146">
        <v>0</v>
      </c>
      <c r="CH507">
        <v>0</v>
      </c>
      <c r="CJ507" t="s">
        <v>5932</v>
      </c>
    </row>
    <row r="508" spans="1:88">
      <c r="A508" t="s">
        <v>2237</v>
      </c>
      <c r="B508" t="s">
        <v>2287</v>
      </c>
      <c r="C508" t="s">
        <v>116</v>
      </c>
      <c r="D508" t="s">
        <v>40</v>
      </c>
      <c r="E508" t="s">
        <v>41</v>
      </c>
      <c r="F508" t="s">
        <v>2288</v>
      </c>
      <c r="G508" t="s">
        <v>1695</v>
      </c>
      <c r="H508" t="s">
        <v>2289</v>
      </c>
      <c r="I508" t="s">
        <v>2290</v>
      </c>
      <c r="J508" t="s">
        <v>69</v>
      </c>
      <c r="N508" t="s">
        <v>182</v>
      </c>
      <c r="O508" t="s">
        <v>76</v>
      </c>
      <c r="P508" t="s">
        <v>2291</v>
      </c>
      <c r="Q508" s="534">
        <v>0</v>
      </c>
      <c r="R508" t="s">
        <v>3264</v>
      </c>
      <c r="S508">
        <v>8</v>
      </c>
      <c r="T508">
        <v>12</v>
      </c>
      <c r="U508">
        <v>12</v>
      </c>
      <c r="V508">
        <v>12</v>
      </c>
      <c r="W508">
        <v>12</v>
      </c>
      <c r="X508">
        <v>12</v>
      </c>
      <c r="AH508">
        <v>0</v>
      </c>
      <c r="BP508" s="534">
        <v>12.26</v>
      </c>
      <c r="BQ508" s="725">
        <v>11.257999999999999</v>
      </c>
      <c r="BR508" t="s">
        <v>46</v>
      </c>
      <c r="BS508" t="s">
        <v>52</v>
      </c>
      <c r="BT508">
        <v>0</v>
      </c>
      <c r="BU508" t="s">
        <v>52</v>
      </c>
      <c r="BV508">
        <v>0</v>
      </c>
      <c r="BW508">
        <v>10.44</v>
      </c>
      <c r="BX508" t="s">
        <v>46</v>
      </c>
      <c r="BY508">
        <v>0</v>
      </c>
      <c r="BZ508">
        <v>0</v>
      </c>
      <c r="CA508">
        <v>0</v>
      </c>
      <c r="CB508">
        <v>0</v>
      </c>
      <c r="CC508" s="2146">
        <v>11.44</v>
      </c>
      <c r="CD508" s="2146" t="s">
        <v>46</v>
      </c>
      <c r="CE508" s="2146">
        <v>0</v>
      </c>
      <c r="CF508" s="2146">
        <v>0</v>
      </c>
      <c r="CG508" s="2146">
        <v>0</v>
      </c>
      <c r="CH508">
        <v>0</v>
      </c>
      <c r="CJ508" t="s">
        <v>5933</v>
      </c>
    </row>
    <row r="509" spans="1:88">
      <c r="A509" t="s">
        <v>2237</v>
      </c>
      <c r="B509" t="s">
        <v>2292</v>
      </c>
      <c r="C509" t="s">
        <v>116</v>
      </c>
      <c r="D509" t="s">
        <v>40</v>
      </c>
      <c r="E509" t="s">
        <v>41</v>
      </c>
      <c r="F509" t="s">
        <v>2288</v>
      </c>
      <c r="G509" t="s">
        <v>2293</v>
      </c>
      <c r="H509" t="s">
        <v>2294</v>
      </c>
      <c r="I509" t="s">
        <v>5934</v>
      </c>
      <c r="J509" t="s">
        <v>69</v>
      </c>
      <c r="N509" t="s">
        <v>391</v>
      </c>
      <c r="O509" t="s">
        <v>76</v>
      </c>
      <c r="P509" t="s">
        <v>2295</v>
      </c>
      <c r="Q509" s="534">
        <v>0</v>
      </c>
      <c r="R509" t="s">
        <v>3264</v>
      </c>
      <c r="S509">
        <v>93</v>
      </c>
      <c r="T509">
        <v>94</v>
      </c>
      <c r="U509">
        <v>94</v>
      </c>
      <c r="V509">
        <v>95</v>
      </c>
      <c r="W509">
        <v>95</v>
      </c>
      <c r="X509">
        <v>95</v>
      </c>
      <c r="AH509">
        <v>0</v>
      </c>
      <c r="BP509" s="534">
        <v>93.5</v>
      </c>
      <c r="BQ509" s="725">
        <v>98.91</v>
      </c>
      <c r="BR509" t="s">
        <v>50</v>
      </c>
      <c r="BS509" t="s">
        <v>52</v>
      </c>
      <c r="BT509">
        <v>0</v>
      </c>
      <c r="BU509" t="s">
        <v>52</v>
      </c>
      <c r="BV509">
        <v>0</v>
      </c>
      <c r="BW509">
        <v>99.3</v>
      </c>
      <c r="BX509" t="s">
        <v>50</v>
      </c>
      <c r="BY509">
        <v>0</v>
      </c>
      <c r="BZ509">
        <v>0</v>
      </c>
      <c r="CA509">
        <v>0</v>
      </c>
      <c r="CB509">
        <v>0</v>
      </c>
      <c r="CC509" s="2146">
        <v>99</v>
      </c>
      <c r="CD509" s="2146" t="s">
        <v>50</v>
      </c>
      <c r="CE509" s="2146">
        <v>0</v>
      </c>
      <c r="CF509" s="2146">
        <v>0</v>
      </c>
      <c r="CG509" s="2146">
        <v>0</v>
      </c>
      <c r="CH509">
        <v>0</v>
      </c>
      <c r="CJ509" t="s">
        <v>5935</v>
      </c>
    </row>
    <row r="510" spans="1:88">
      <c r="A510" t="s">
        <v>2237</v>
      </c>
      <c r="B510" t="s">
        <v>2296</v>
      </c>
      <c r="C510" t="s">
        <v>116</v>
      </c>
      <c r="D510" t="s">
        <v>214</v>
      </c>
      <c r="E510" t="s">
        <v>215</v>
      </c>
      <c r="F510" t="s">
        <v>2297</v>
      </c>
      <c r="G510" t="s">
        <v>1700</v>
      </c>
      <c r="H510" t="s">
        <v>2298</v>
      </c>
      <c r="I510" t="s">
        <v>2299</v>
      </c>
      <c r="J510" t="s">
        <v>5406</v>
      </c>
      <c r="K510" t="s">
        <v>2250</v>
      </c>
      <c r="N510" t="s">
        <v>219</v>
      </c>
      <c r="O510" t="s">
        <v>48</v>
      </c>
      <c r="P510" t="s">
        <v>1141</v>
      </c>
      <c r="Q510" s="534">
        <v>0</v>
      </c>
      <c r="S510">
        <v>1857</v>
      </c>
      <c r="T510">
        <v>1877</v>
      </c>
      <c r="U510">
        <v>1898</v>
      </c>
      <c r="V510">
        <v>1919</v>
      </c>
      <c r="W510">
        <v>1919</v>
      </c>
      <c r="X510">
        <v>1919</v>
      </c>
      <c r="AC510" t="s">
        <v>50</v>
      </c>
      <c r="AE510" t="s">
        <v>50</v>
      </c>
      <c r="AH510">
        <v>0</v>
      </c>
      <c r="AI510" t="s">
        <v>50</v>
      </c>
      <c r="AJ510" t="s">
        <v>50</v>
      </c>
      <c r="AK510" t="s">
        <v>50</v>
      </c>
      <c r="AL510" t="s">
        <v>50</v>
      </c>
      <c r="AM510" t="s">
        <v>50</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51</v>
      </c>
      <c r="BP510" s="534">
        <v>1947</v>
      </c>
      <c r="BQ510" s="725">
        <v>1842</v>
      </c>
      <c r="BR510" t="s">
        <v>50</v>
      </c>
      <c r="BS510" t="s">
        <v>52</v>
      </c>
      <c r="BT510">
        <v>0</v>
      </c>
      <c r="BU510" t="s">
        <v>5379</v>
      </c>
      <c r="BV510">
        <v>0</v>
      </c>
      <c r="BW510">
        <v>1769</v>
      </c>
      <c r="BX510" t="s">
        <v>50</v>
      </c>
      <c r="BY510">
        <v>0</v>
      </c>
      <c r="BZ510">
        <v>0</v>
      </c>
      <c r="CA510" t="s">
        <v>5425</v>
      </c>
      <c r="CB510">
        <v>2.2423999999999999</v>
      </c>
      <c r="CC510" s="2146">
        <v>1682</v>
      </c>
      <c r="CD510" s="2146" t="s">
        <v>50</v>
      </c>
      <c r="CE510" s="2146">
        <v>0</v>
      </c>
      <c r="CF510" s="2146">
        <v>0</v>
      </c>
      <c r="CG510" s="2146" t="s">
        <v>5425</v>
      </c>
      <c r="CH510">
        <v>7.2446219999999997</v>
      </c>
      <c r="CJ510" t="s">
        <v>5936</v>
      </c>
    </row>
    <row r="511" spans="1:88">
      <c r="A511" t="s">
        <v>2237</v>
      </c>
      <c r="B511" t="s">
        <v>2300</v>
      </c>
      <c r="C511" t="s">
        <v>116</v>
      </c>
      <c r="D511" t="s">
        <v>214</v>
      </c>
      <c r="E511" t="s">
        <v>215</v>
      </c>
      <c r="F511" t="s">
        <v>2297</v>
      </c>
      <c r="G511" t="s">
        <v>1704</v>
      </c>
      <c r="H511" t="s">
        <v>2301</v>
      </c>
      <c r="I511" t="s">
        <v>2302</v>
      </c>
      <c r="J511" t="s">
        <v>69</v>
      </c>
      <c r="N511" t="s">
        <v>219</v>
      </c>
      <c r="O511" t="s">
        <v>48</v>
      </c>
      <c r="P511" t="s">
        <v>1145</v>
      </c>
      <c r="Q511" s="534">
        <v>0</v>
      </c>
      <c r="S511">
        <v>10125</v>
      </c>
      <c r="T511">
        <v>10125</v>
      </c>
      <c r="U511">
        <v>10363</v>
      </c>
      <c r="V511">
        <v>10487</v>
      </c>
      <c r="W511">
        <v>10487</v>
      </c>
      <c r="X511">
        <v>10487</v>
      </c>
      <c r="AE511" t="s">
        <v>50</v>
      </c>
      <c r="AH511">
        <v>0</v>
      </c>
      <c r="BP511" s="534">
        <v>8686</v>
      </c>
      <c r="BQ511" s="725">
        <v>9037</v>
      </c>
      <c r="BR511" t="s">
        <v>50</v>
      </c>
      <c r="BS511" t="s">
        <v>52</v>
      </c>
      <c r="BT511">
        <v>0</v>
      </c>
      <c r="BU511" t="s">
        <v>52</v>
      </c>
      <c r="BV511">
        <v>0</v>
      </c>
      <c r="BW511">
        <v>9145</v>
      </c>
      <c r="BX511" t="s">
        <v>50</v>
      </c>
      <c r="BY511">
        <v>0</v>
      </c>
      <c r="BZ511">
        <v>0</v>
      </c>
      <c r="CA511">
        <v>0</v>
      </c>
      <c r="CB511">
        <v>0</v>
      </c>
      <c r="CC511" s="2146">
        <v>9296</v>
      </c>
      <c r="CD511" s="2146" t="s">
        <v>50</v>
      </c>
      <c r="CE511" s="2146">
        <v>0</v>
      </c>
      <c r="CF511" s="2146">
        <v>0</v>
      </c>
      <c r="CG511" s="2146">
        <v>0</v>
      </c>
      <c r="CH511">
        <v>0</v>
      </c>
      <c r="CJ511" t="s">
        <v>5937</v>
      </c>
    </row>
    <row r="512" spans="1:88">
      <c r="A512" t="s">
        <v>2237</v>
      </c>
      <c r="B512" t="s">
        <v>2303</v>
      </c>
      <c r="C512" t="s">
        <v>116</v>
      </c>
      <c r="D512" t="s">
        <v>214</v>
      </c>
      <c r="E512" t="s">
        <v>215</v>
      </c>
      <c r="F512" t="s">
        <v>2297</v>
      </c>
      <c r="G512" t="s">
        <v>2304</v>
      </c>
      <c r="H512" t="s">
        <v>2305</v>
      </c>
      <c r="I512" t="s">
        <v>2306</v>
      </c>
      <c r="J512" t="s">
        <v>69</v>
      </c>
      <c r="N512" t="s">
        <v>249</v>
      </c>
      <c r="O512" t="s">
        <v>48</v>
      </c>
      <c r="P512" t="s">
        <v>1178</v>
      </c>
      <c r="Q512" s="534">
        <v>0</v>
      </c>
      <c r="R512" t="s">
        <v>3263</v>
      </c>
      <c r="S512">
        <v>10</v>
      </c>
      <c r="T512">
        <v>8</v>
      </c>
      <c r="U512">
        <v>6</v>
      </c>
      <c r="V512">
        <v>4</v>
      </c>
      <c r="W512">
        <v>2</v>
      </c>
      <c r="X512">
        <v>0</v>
      </c>
      <c r="AE512" t="s">
        <v>50</v>
      </c>
      <c r="AH512">
        <v>0</v>
      </c>
      <c r="BP512" s="534">
        <v>4</v>
      </c>
      <c r="BQ512" s="725">
        <v>5</v>
      </c>
      <c r="BR512" t="s">
        <v>50</v>
      </c>
      <c r="BS512" t="s">
        <v>52</v>
      </c>
      <c r="BT512">
        <v>0</v>
      </c>
      <c r="BU512" t="s">
        <v>52</v>
      </c>
      <c r="BV512">
        <v>0</v>
      </c>
      <c r="BW512">
        <v>4</v>
      </c>
      <c r="BX512" t="s">
        <v>50</v>
      </c>
      <c r="BY512">
        <v>0</v>
      </c>
      <c r="BZ512">
        <v>0</v>
      </c>
      <c r="CA512">
        <v>0</v>
      </c>
      <c r="CB512">
        <v>0</v>
      </c>
      <c r="CC512" s="2146">
        <v>3</v>
      </c>
      <c r="CD512" s="2146" t="s">
        <v>50</v>
      </c>
      <c r="CE512" s="2146">
        <v>0</v>
      </c>
      <c r="CF512" s="2146">
        <v>0</v>
      </c>
      <c r="CG512" s="2146">
        <v>0</v>
      </c>
      <c r="CH512">
        <v>0</v>
      </c>
      <c r="CJ512" t="s">
        <v>5938</v>
      </c>
    </row>
    <row r="513" spans="1:88">
      <c r="A513" t="s">
        <v>2237</v>
      </c>
      <c r="B513" t="s">
        <v>2307</v>
      </c>
      <c r="C513" t="s">
        <v>116</v>
      </c>
      <c r="D513" t="s">
        <v>214</v>
      </c>
      <c r="E513" t="s">
        <v>215</v>
      </c>
      <c r="F513" t="s">
        <v>2297</v>
      </c>
      <c r="G513" t="s">
        <v>2308</v>
      </c>
      <c r="H513" t="s">
        <v>2309</v>
      </c>
      <c r="I513" t="s">
        <v>2310</v>
      </c>
      <c r="J513" t="s">
        <v>5406</v>
      </c>
      <c r="K513" t="s">
        <v>2250</v>
      </c>
      <c r="N513" t="s">
        <v>249</v>
      </c>
      <c r="O513" t="s">
        <v>48</v>
      </c>
      <c r="P513" t="s">
        <v>250</v>
      </c>
      <c r="Q513" s="534">
        <v>0</v>
      </c>
      <c r="R513" t="s">
        <v>3263</v>
      </c>
      <c r="S513">
        <v>250</v>
      </c>
      <c r="T513">
        <v>237</v>
      </c>
      <c r="U513">
        <v>224</v>
      </c>
      <c r="V513">
        <v>211</v>
      </c>
      <c r="W513">
        <v>211</v>
      </c>
      <c r="X513">
        <v>211</v>
      </c>
      <c r="AB513" t="s">
        <v>50</v>
      </c>
      <c r="AE513" t="s">
        <v>50</v>
      </c>
      <c r="AH513">
        <v>0</v>
      </c>
      <c r="AI513" t="s">
        <v>50</v>
      </c>
      <c r="AJ513" t="s">
        <v>50</v>
      </c>
      <c r="AK513" t="s">
        <v>50</v>
      </c>
      <c r="AL513" t="s">
        <v>50</v>
      </c>
      <c r="AM513" t="s">
        <v>50</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51</v>
      </c>
      <c r="BP513" s="534">
        <v>170</v>
      </c>
      <c r="BQ513" s="725">
        <v>180</v>
      </c>
      <c r="BR513" t="s">
        <v>50</v>
      </c>
      <c r="BS513" t="s">
        <v>52</v>
      </c>
      <c r="BT513">
        <v>0</v>
      </c>
      <c r="BU513" t="s">
        <v>5425</v>
      </c>
      <c r="BV513">
        <v>5.7391230000000002</v>
      </c>
      <c r="BW513">
        <v>207</v>
      </c>
      <c r="BX513" t="s">
        <v>50</v>
      </c>
      <c r="BY513">
        <v>0</v>
      </c>
      <c r="BZ513">
        <v>0</v>
      </c>
      <c r="CA513" t="s">
        <v>5425</v>
      </c>
      <c r="CB513">
        <v>0.74050000000000005</v>
      </c>
      <c r="CC513" s="2146">
        <v>202</v>
      </c>
      <c r="CD513" s="2146" t="s">
        <v>50</v>
      </c>
      <c r="CE513" s="2146">
        <v>0</v>
      </c>
      <c r="CF513" s="2146">
        <v>0</v>
      </c>
      <c r="CG513" s="2146" t="s">
        <v>5425</v>
      </c>
      <c r="CH513">
        <v>1.6661969999999999</v>
      </c>
      <c r="CJ513" t="s">
        <v>5939</v>
      </c>
    </row>
    <row r="514" spans="1:88">
      <c r="A514" t="s">
        <v>2237</v>
      </c>
      <c r="B514" t="s">
        <v>2311</v>
      </c>
      <c r="C514" t="s">
        <v>116</v>
      </c>
      <c r="D514" t="s">
        <v>214</v>
      </c>
      <c r="E514" t="s">
        <v>215</v>
      </c>
      <c r="F514" t="s">
        <v>2297</v>
      </c>
      <c r="G514" t="s">
        <v>2312</v>
      </c>
      <c r="H514" t="s">
        <v>2313</v>
      </c>
      <c r="I514" t="s">
        <v>2314</v>
      </c>
      <c r="J514" t="s">
        <v>5408</v>
      </c>
      <c r="K514" t="s">
        <v>2242</v>
      </c>
      <c r="M514" t="s">
        <v>46</v>
      </c>
      <c r="N514" t="s">
        <v>273</v>
      </c>
      <c r="O514" t="s">
        <v>200</v>
      </c>
      <c r="P514" t="s">
        <v>323</v>
      </c>
      <c r="Q514" s="534" t="s">
        <v>51</v>
      </c>
      <c r="S514" t="s">
        <v>202</v>
      </c>
      <c r="X514" t="s">
        <v>202</v>
      </c>
      <c r="AE514" t="s">
        <v>50</v>
      </c>
      <c r="AH514">
        <v>6</v>
      </c>
      <c r="AM514" t="s">
        <v>50</v>
      </c>
      <c r="AW514" t="s">
        <v>324</v>
      </c>
      <c r="BH514" t="s">
        <v>2255</v>
      </c>
      <c r="BN514">
        <v>1</v>
      </c>
      <c r="BO514" t="s">
        <v>51</v>
      </c>
      <c r="BP514" s="534" t="s">
        <v>3320</v>
      </c>
      <c r="BQ514" s="724" t="s">
        <v>3320</v>
      </c>
      <c r="BR514" t="s">
        <v>52</v>
      </c>
      <c r="BS514" t="s">
        <v>52</v>
      </c>
      <c r="BT514">
        <v>0</v>
      </c>
      <c r="BU514" t="s">
        <v>52</v>
      </c>
      <c r="BV514">
        <v>0</v>
      </c>
      <c r="BW514" t="s">
        <v>3320</v>
      </c>
      <c r="BX514" t="s">
        <v>2148</v>
      </c>
      <c r="BY514">
        <v>0</v>
      </c>
      <c r="BZ514">
        <v>0</v>
      </c>
      <c r="CA514">
        <v>0</v>
      </c>
      <c r="CB514">
        <v>0</v>
      </c>
      <c r="CC514" s="2146" t="s">
        <v>202</v>
      </c>
      <c r="CD514" s="2146" t="s">
        <v>2148</v>
      </c>
      <c r="CE514" s="2146">
        <v>0</v>
      </c>
      <c r="CF514" s="2146">
        <v>0</v>
      </c>
      <c r="CG514" s="2146">
        <v>0</v>
      </c>
      <c r="CH514">
        <v>0</v>
      </c>
      <c r="CJ514" t="s">
        <v>5940</v>
      </c>
    </row>
    <row r="515" spans="1:88">
      <c r="A515" t="s">
        <v>2237</v>
      </c>
      <c r="B515" t="s">
        <v>2315</v>
      </c>
      <c r="C515" t="s">
        <v>116</v>
      </c>
      <c r="D515" t="s">
        <v>214</v>
      </c>
      <c r="E515" t="s">
        <v>215</v>
      </c>
      <c r="F515" t="s">
        <v>2271</v>
      </c>
      <c r="G515" t="s">
        <v>1713</v>
      </c>
      <c r="H515" t="s">
        <v>2316</v>
      </c>
      <c r="I515" t="s">
        <v>2317</v>
      </c>
      <c r="J515" t="s">
        <v>69</v>
      </c>
      <c r="N515" t="s">
        <v>175</v>
      </c>
      <c r="O515" t="s">
        <v>48</v>
      </c>
      <c r="P515" t="s">
        <v>2318</v>
      </c>
      <c r="Q515" s="534">
        <v>0</v>
      </c>
      <c r="R515" t="s">
        <v>3264</v>
      </c>
      <c r="S515">
        <v>15</v>
      </c>
      <c r="T515">
        <v>15</v>
      </c>
      <c r="U515">
        <v>15</v>
      </c>
      <c r="V515">
        <v>15</v>
      </c>
      <c r="W515">
        <v>15</v>
      </c>
      <c r="X515">
        <v>15</v>
      </c>
      <c r="AH515">
        <v>0</v>
      </c>
      <c r="BP515" s="534">
        <v>18</v>
      </c>
      <c r="BQ515" s="725">
        <v>18</v>
      </c>
      <c r="BR515" t="s">
        <v>50</v>
      </c>
      <c r="BS515" t="s">
        <v>52</v>
      </c>
      <c r="BT515">
        <v>0</v>
      </c>
      <c r="BU515" t="s">
        <v>52</v>
      </c>
      <c r="BV515">
        <v>0</v>
      </c>
      <c r="BW515">
        <v>17</v>
      </c>
      <c r="BX515" t="s">
        <v>50</v>
      </c>
      <c r="BY515">
        <v>0</v>
      </c>
      <c r="BZ515">
        <v>0</v>
      </c>
      <c r="CA515">
        <v>0</v>
      </c>
      <c r="CB515">
        <v>0</v>
      </c>
      <c r="CC515" s="2146">
        <v>18</v>
      </c>
      <c r="CD515" s="2146" t="s">
        <v>50</v>
      </c>
      <c r="CE515" s="2146">
        <v>0</v>
      </c>
      <c r="CF515" s="2146">
        <v>0</v>
      </c>
      <c r="CG515" s="2146">
        <v>0</v>
      </c>
      <c r="CH515">
        <v>0</v>
      </c>
      <c r="CJ515" t="s">
        <v>5941</v>
      </c>
    </row>
    <row r="516" spans="1:88">
      <c r="A516" t="s">
        <v>2237</v>
      </c>
      <c r="B516" t="s">
        <v>2319</v>
      </c>
      <c r="C516" t="s">
        <v>116</v>
      </c>
      <c r="D516" t="s">
        <v>214</v>
      </c>
      <c r="E516" t="s">
        <v>215</v>
      </c>
      <c r="F516" t="s">
        <v>2271</v>
      </c>
      <c r="G516" t="s">
        <v>1717</v>
      </c>
      <c r="H516" t="s">
        <v>2320</v>
      </c>
      <c r="I516" t="s">
        <v>2321</v>
      </c>
      <c r="J516" t="s">
        <v>5408</v>
      </c>
      <c r="K516" t="s">
        <v>2242</v>
      </c>
      <c r="M516" t="s">
        <v>46</v>
      </c>
      <c r="N516" t="s">
        <v>273</v>
      </c>
      <c r="O516" t="s">
        <v>200</v>
      </c>
      <c r="P516" t="s">
        <v>323</v>
      </c>
      <c r="Q516" s="534" t="s">
        <v>51</v>
      </c>
      <c r="S516" t="s">
        <v>202</v>
      </c>
      <c r="X516" t="s">
        <v>202</v>
      </c>
      <c r="AE516" t="s">
        <v>50</v>
      </c>
      <c r="AH516">
        <v>3</v>
      </c>
      <c r="AM516" t="s">
        <v>50</v>
      </c>
      <c r="AW516" t="s">
        <v>324</v>
      </c>
      <c r="BH516" t="s">
        <v>2255</v>
      </c>
      <c r="BN516">
        <v>1</v>
      </c>
      <c r="BO516" t="s">
        <v>51</v>
      </c>
      <c r="BP516" s="534" t="s">
        <v>3320</v>
      </c>
      <c r="BQ516" s="724" t="s">
        <v>3320</v>
      </c>
      <c r="BR516" t="s">
        <v>52</v>
      </c>
      <c r="BS516" t="s">
        <v>52</v>
      </c>
      <c r="BT516">
        <v>0</v>
      </c>
      <c r="BU516" t="s">
        <v>52</v>
      </c>
      <c r="BV516">
        <v>0</v>
      </c>
      <c r="BW516" t="s">
        <v>3320</v>
      </c>
      <c r="BX516" t="s">
        <v>2148</v>
      </c>
      <c r="BY516">
        <v>0</v>
      </c>
      <c r="BZ516">
        <v>0</v>
      </c>
      <c r="CA516">
        <v>0</v>
      </c>
      <c r="CB516">
        <v>0</v>
      </c>
      <c r="CC516" s="2146" t="s">
        <v>202</v>
      </c>
      <c r="CD516" s="2146" t="s">
        <v>2148</v>
      </c>
      <c r="CE516" s="2146">
        <v>0</v>
      </c>
      <c r="CF516" s="2146">
        <v>0</v>
      </c>
      <c r="CG516" s="2146">
        <v>0</v>
      </c>
      <c r="CH516">
        <v>0</v>
      </c>
      <c r="CJ516" t="s">
        <v>5942</v>
      </c>
    </row>
    <row r="517" spans="1:88">
      <c r="A517" t="s">
        <v>2237</v>
      </c>
      <c r="B517" t="s">
        <v>2322</v>
      </c>
      <c r="C517" t="s">
        <v>116</v>
      </c>
      <c r="D517" t="s">
        <v>214</v>
      </c>
      <c r="E517" t="s">
        <v>215</v>
      </c>
      <c r="F517" t="s">
        <v>2271</v>
      </c>
      <c r="G517" t="s">
        <v>1721</v>
      </c>
      <c r="H517" t="s">
        <v>2323</v>
      </c>
      <c r="I517" t="s">
        <v>2324</v>
      </c>
      <c r="J517" t="s">
        <v>5717</v>
      </c>
      <c r="K517" t="s">
        <v>45</v>
      </c>
      <c r="M517" t="s">
        <v>46</v>
      </c>
      <c r="N517" t="s">
        <v>861</v>
      </c>
      <c r="O517" t="s">
        <v>48</v>
      </c>
      <c r="P517" t="s">
        <v>2278</v>
      </c>
      <c r="Q517" s="534">
        <v>0</v>
      </c>
      <c r="R517" t="s">
        <v>3264</v>
      </c>
      <c r="T517">
        <v>3</v>
      </c>
      <c r="U517">
        <v>3</v>
      </c>
      <c r="V517">
        <v>3</v>
      </c>
      <c r="W517">
        <v>3</v>
      </c>
      <c r="X517">
        <v>4</v>
      </c>
      <c r="AH517">
        <v>0</v>
      </c>
      <c r="AI517" t="s">
        <v>50</v>
      </c>
      <c r="AJ517" t="s">
        <v>50</v>
      </c>
      <c r="AK517" t="s">
        <v>50</v>
      </c>
      <c r="AL517" t="s">
        <v>50</v>
      </c>
      <c r="AM517" t="s">
        <v>50</v>
      </c>
      <c r="AX517">
        <v>3</v>
      </c>
      <c r="AY517">
        <v>6</v>
      </c>
      <c r="AZ517">
        <v>9</v>
      </c>
      <c r="BA517">
        <v>12</v>
      </c>
      <c r="BB517">
        <v>16</v>
      </c>
      <c r="BC517">
        <v>999999</v>
      </c>
      <c r="BD517">
        <v>999999</v>
      </c>
      <c r="BE517">
        <v>999999</v>
      </c>
      <c r="BF517">
        <v>999999</v>
      </c>
      <c r="BG517">
        <v>999999</v>
      </c>
      <c r="BL517" t="s">
        <v>2279</v>
      </c>
      <c r="BN517">
        <v>1</v>
      </c>
      <c r="BO517" t="s">
        <v>51</v>
      </c>
      <c r="BP517" s="534" t="s">
        <v>2797</v>
      </c>
      <c r="BQ517" s="725">
        <v>4</v>
      </c>
      <c r="BR517" t="s">
        <v>50</v>
      </c>
      <c r="BS517" t="s">
        <v>52</v>
      </c>
      <c r="BT517">
        <v>0</v>
      </c>
      <c r="BU517" t="s">
        <v>5425</v>
      </c>
      <c r="BV517">
        <v>2.3955E-4</v>
      </c>
      <c r="BW517">
        <v>5</v>
      </c>
      <c r="BX517" t="s">
        <v>50</v>
      </c>
      <c r="BY517">
        <v>0</v>
      </c>
      <c r="BZ517">
        <v>0</v>
      </c>
      <c r="CA517" t="s">
        <v>5425</v>
      </c>
      <c r="CB517">
        <v>2.1336E-4</v>
      </c>
      <c r="CC517" s="2146">
        <v>12</v>
      </c>
      <c r="CD517" s="2146" t="s">
        <v>50</v>
      </c>
      <c r="CE517" s="2146">
        <v>0</v>
      </c>
      <c r="CF517" s="2146">
        <v>0</v>
      </c>
      <c r="CG517" s="2146" t="s">
        <v>5425</v>
      </c>
      <c r="CH517">
        <v>3.6480825000000001E-2</v>
      </c>
      <c r="CJ517" t="s">
        <v>5943</v>
      </c>
    </row>
    <row r="518" spans="1:88">
      <c r="A518" t="s">
        <v>2237</v>
      </c>
      <c r="B518" t="s">
        <v>2325</v>
      </c>
      <c r="C518" t="s">
        <v>116</v>
      </c>
      <c r="D518" t="s">
        <v>214</v>
      </c>
      <c r="E518" t="s">
        <v>215</v>
      </c>
      <c r="F518" t="s">
        <v>2271</v>
      </c>
      <c r="G518" t="s">
        <v>1726</v>
      </c>
      <c r="H518" t="s">
        <v>2326</v>
      </c>
      <c r="I518" t="s">
        <v>2327</v>
      </c>
      <c r="J518" t="s">
        <v>5406</v>
      </c>
      <c r="K518" t="s">
        <v>2250</v>
      </c>
      <c r="M518" t="s">
        <v>46</v>
      </c>
      <c r="N518" t="s">
        <v>175</v>
      </c>
      <c r="O518" t="s">
        <v>48</v>
      </c>
      <c r="P518" t="s">
        <v>2274</v>
      </c>
      <c r="Q518" s="534">
        <v>0</v>
      </c>
      <c r="R518" t="s">
        <v>3264</v>
      </c>
      <c r="X518">
        <v>340</v>
      </c>
      <c r="AF518" t="s">
        <v>50</v>
      </c>
      <c r="AH518">
        <v>0</v>
      </c>
      <c r="AM518" t="s">
        <v>50</v>
      </c>
      <c r="AR518">
        <v>0</v>
      </c>
      <c r="AW518">
        <v>337</v>
      </c>
      <c r="BB518">
        <v>343</v>
      </c>
      <c r="BG518">
        <v>999999</v>
      </c>
      <c r="BH518">
        <v>0.14623800000000001</v>
      </c>
      <c r="BL518">
        <v>7.6696E-2</v>
      </c>
      <c r="BN518">
        <v>1</v>
      </c>
      <c r="BO518" t="s">
        <v>51</v>
      </c>
      <c r="BP518" s="534" t="s">
        <v>2797</v>
      </c>
      <c r="BQ518" s="725">
        <v>0</v>
      </c>
      <c r="BR518" t="s">
        <v>52</v>
      </c>
      <c r="BS518" t="s">
        <v>52</v>
      </c>
      <c r="BT518">
        <v>0</v>
      </c>
      <c r="BU518" t="s">
        <v>52</v>
      </c>
      <c r="BV518">
        <v>0</v>
      </c>
      <c r="BW518">
        <v>0</v>
      </c>
      <c r="BX518" t="s">
        <v>2148</v>
      </c>
      <c r="BY518">
        <v>0</v>
      </c>
      <c r="BZ518">
        <v>0</v>
      </c>
      <c r="CA518">
        <v>0</v>
      </c>
      <c r="CB518">
        <v>0</v>
      </c>
      <c r="CC518" s="2146">
        <v>0</v>
      </c>
      <c r="CD518" s="2146" t="s">
        <v>2148</v>
      </c>
      <c r="CE518" s="2146">
        <v>0</v>
      </c>
      <c r="CF518" s="2146">
        <v>0</v>
      </c>
      <c r="CG518" s="2146">
        <v>0</v>
      </c>
      <c r="CH518">
        <v>0</v>
      </c>
      <c r="CJ518" t="s">
        <v>5944</v>
      </c>
    </row>
    <row r="519" spans="1:88">
      <c r="A519" t="s">
        <v>2237</v>
      </c>
      <c r="B519" t="s">
        <v>2328</v>
      </c>
      <c r="C519" t="s">
        <v>116</v>
      </c>
      <c r="D519" t="s">
        <v>214</v>
      </c>
      <c r="E519" t="s">
        <v>215</v>
      </c>
      <c r="F519" t="s">
        <v>2271</v>
      </c>
      <c r="G519" t="s">
        <v>1731</v>
      </c>
      <c r="H519" t="s">
        <v>2329</v>
      </c>
      <c r="I519" t="s">
        <v>2330</v>
      </c>
      <c r="J519" t="s">
        <v>5406</v>
      </c>
      <c r="K519" t="s">
        <v>2250</v>
      </c>
      <c r="M519" t="s">
        <v>46</v>
      </c>
      <c r="N519" t="s">
        <v>169</v>
      </c>
      <c r="O519" t="s">
        <v>48</v>
      </c>
      <c r="P519" t="s">
        <v>2282</v>
      </c>
      <c r="Q519" s="534">
        <v>0</v>
      </c>
      <c r="R519" t="s">
        <v>3264</v>
      </c>
      <c r="X519">
        <v>11736</v>
      </c>
      <c r="AF519" t="s">
        <v>50</v>
      </c>
      <c r="AH519">
        <v>0</v>
      </c>
      <c r="AM519" t="s">
        <v>50</v>
      </c>
      <c r="AR519">
        <v>10998</v>
      </c>
      <c r="AW519">
        <v>11501</v>
      </c>
      <c r="BB519">
        <v>11971</v>
      </c>
      <c r="BG519">
        <v>12049</v>
      </c>
      <c r="BH519">
        <v>2.0263E-2</v>
      </c>
      <c r="BL519">
        <v>1.3171E-2</v>
      </c>
      <c r="BN519">
        <v>1</v>
      </c>
      <c r="BO519" t="s">
        <v>51</v>
      </c>
      <c r="BP519" s="534">
        <v>11466</v>
      </c>
      <c r="BQ519" s="725">
        <v>11466</v>
      </c>
      <c r="BR519" t="s">
        <v>52</v>
      </c>
      <c r="BS519" t="s">
        <v>52</v>
      </c>
      <c r="BT519">
        <v>0</v>
      </c>
      <c r="BU519" t="s">
        <v>52</v>
      </c>
      <c r="BV519">
        <v>0</v>
      </c>
      <c r="BW519">
        <v>11492</v>
      </c>
      <c r="BX519" t="s">
        <v>2148</v>
      </c>
      <c r="BY519">
        <v>0</v>
      </c>
      <c r="BZ519">
        <v>0</v>
      </c>
      <c r="CA519">
        <v>0</v>
      </c>
      <c r="CB519">
        <v>0</v>
      </c>
      <c r="CC519" s="2146">
        <v>11479</v>
      </c>
      <c r="CD519" s="2146" t="s">
        <v>2148</v>
      </c>
      <c r="CE519" s="2146">
        <v>0</v>
      </c>
      <c r="CF519" s="2146">
        <v>0</v>
      </c>
      <c r="CG519" s="2146">
        <v>0</v>
      </c>
      <c r="CH519">
        <v>0</v>
      </c>
      <c r="CJ519" t="s">
        <v>5945</v>
      </c>
    </row>
    <row r="520" spans="1:88">
      <c r="A520" t="s">
        <v>2237</v>
      </c>
      <c r="B520" t="s">
        <v>2331</v>
      </c>
      <c r="C520" t="s">
        <v>116</v>
      </c>
      <c r="D520" t="s">
        <v>214</v>
      </c>
      <c r="E520" t="s">
        <v>215</v>
      </c>
      <c r="F520" t="s">
        <v>2288</v>
      </c>
      <c r="G520" t="s">
        <v>1754</v>
      </c>
      <c r="H520" t="s">
        <v>2332</v>
      </c>
      <c r="I520" t="s">
        <v>2333</v>
      </c>
      <c r="J520" t="s">
        <v>69</v>
      </c>
      <c r="N520" t="s">
        <v>182</v>
      </c>
      <c r="O520" t="s">
        <v>76</v>
      </c>
      <c r="P520" t="s">
        <v>2291</v>
      </c>
      <c r="Q520" s="534">
        <v>0</v>
      </c>
      <c r="R520" t="s">
        <v>3264</v>
      </c>
      <c r="S520">
        <v>8</v>
      </c>
      <c r="T520">
        <v>12</v>
      </c>
      <c r="U520">
        <v>12</v>
      </c>
      <c r="V520">
        <v>12</v>
      </c>
      <c r="W520">
        <v>12</v>
      </c>
      <c r="X520">
        <v>12</v>
      </c>
      <c r="AH520">
        <v>0</v>
      </c>
      <c r="BP520" s="534">
        <v>12.26</v>
      </c>
      <c r="BQ520" s="725">
        <v>11.257999999999999</v>
      </c>
      <c r="BR520" t="s">
        <v>46</v>
      </c>
      <c r="BS520" t="s">
        <v>52</v>
      </c>
      <c r="BT520">
        <v>0</v>
      </c>
      <c r="BU520" t="s">
        <v>52</v>
      </c>
      <c r="BV520">
        <v>0</v>
      </c>
      <c r="BW520">
        <v>10</v>
      </c>
      <c r="BX520" t="s">
        <v>46</v>
      </c>
      <c r="BY520">
        <v>0</v>
      </c>
      <c r="BZ520">
        <v>0</v>
      </c>
      <c r="CA520">
        <v>0</v>
      </c>
      <c r="CB520">
        <v>0</v>
      </c>
      <c r="CC520" s="2146">
        <v>11.44</v>
      </c>
      <c r="CD520" s="2146" t="s">
        <v>46</v>
      </c>
      <c r="CE520" s="2146">
        <v>0</v>
      </c>
      <c r="CF520" s="2146">
        <v>0</v>
      </c>
      <c r="CG520" s="2146">
        <v>0</v>
      </c>
      <c r="CH520">
        <v>0</v>
      </c>
      <c r="CJ520" t="s">
        <v>5946</v>
      </c>
    </row>
    <row r="521" spans="1:88">
      <c r="A521" t="s">
        <v>2237</v>
      </c>
      <c r="B521" t="s">
        <v>2334</v>
      </c>
      <c r="C521" t="s">
        <v>116</v>
      </c>
      <c r="D521" t="s">
        <v>214</v>
      </c>
      <c r="E521" t="s">
        <v>215</v>
      </c>
      <c r="F521" t="s">
        <v>2288</v>
      </c>
      <c r="G521" t="s">
        <v>1758</v>
      </c>
      <c r="H521" t="s">
        <v>2335</v>
      </c>
      <c r="I521" t="s">
        <v>2336</v>
      </c>
      <c r="J521" t="s">
        <v>69</v>
      </c>
      <c r="N521" t="s">
        <v>391</v>
      </c>
      <c r="O521" t="s">
        <v>76</v>
      </c>
      <c r="P521" t="s">
        <v>2295</v>
      </c>
      <c r="Q521" s="534">
        <v>0</v>
      </c>
      <c r="R521" t="s">
        <v>3264</v>
      </c>
      <c r="S521">
        <v>93</v>
      </c>
      <c r="T521">
        <v>94</v>
      </c>
      <c r="U521">
        <v>94</v>
      </c>
      <c r="V521">
        <v>95</v>
      </c>
      <c r="W521">
        <v>95</v>
      </c>
      <c r="X521">
        <v>95</v>
      </c>
      <c r="AH521">
        <v>0</v>
      </c>
      <c r="BP521" s="534">
        <v>93.5</v>
      </c>
      <c r="BQ521" s="725">
        <v>98.91</v>
      </c>
      <c r="BR521" t="s">
        <v>50</v>
      </c>
      <c r="BS521" t="s">
        <v>52</v>
      </c>
      <c r="BT521">
        <v>0</v>
      </c>
      <c r="BU521" t="s">
        <v>52</v>
      </c>
      <c r="BV521">
        <v>0</v>
      </c>
      <c r="BW521">
        <v>99</v>
      </c>
      <c r="BX521" t="s">
        <v>50</v>
      </c>
      <c r="BY521">
        <v>0</v>
      </c>
      <c r="BZ521">
        <v>0</v>
      </c>
      <c r="CA521">
        <v>0</v>
      </c>
      <c r="CB521">
        <v>0</v>
      </c>
      <c r="CC521" s="2146">
        <v>99</v>
      </c>
      <c r="CD521" s="2146" t="s">
        <v>50</v>
      </c>
      <c r="CE521" s="2146">
        <v>0</v>
      </c>
      <c r="CF521" s="2146">
        <v>0</v>
      </c>
      <c r="CG521" s="2146">
        <v>0</v>
      </c>
      <c r="CH521">
        <v>0</v>
      </c>
      <c r="CJ521" t="s">
        <v>5947</v>
      </c>
    </row>
    <row r="522" spans="1:88">
      <c r="A522" t="s">
        <v>2237</v>
      </c>
      <c r="B522" t="s">
        <v>2337</v>
      </c>
      <c r="C522" t="s">
        <v>116</v>
      </c>
      <c r="D522" t="s">
        <v>101</v>
      </c>
      <c r="E522" t="s">
        <v>102</v>
      </c>
      <c r="F522" t="s">
        <v>2338</v>
      </c>
      <c r="G522" t="s">
        <v>1831</v>
      </c>
      <c r="H522" t="s">
        <v>2339</v>
      </c>
      <c r="I522" t="s">
        <v>3262</v>
      </c>
      <c r="J522" t="s">
        <v>5406</v>
      </c>
      <c r="K522" t="s">
        <v>45</v>
      </c>
      <c r="M522" t="s">
        <v>46</v>
      </c>
      <c r="N522" t="s">
        <v>106</v>
      </c>
      <c r="O522" t="s">
        <v>107</v>
      </c>
      <c r="P522" t="s">
        <v>108</v>
      </c>
      <c r="Q522" s="534">
        <v>1</v>
      </c>
      <c r="R522" t="s">
        <v>3264</v>
      </c>
      <c r="S522">
        <v>82</v>
      </c>
      <c r="T522" t="s">
        <v>2340</v>
      </c>
      <c r="U522" t="s">
        <v>2341</v>
      </c>
      <c r="V522" t="s">
        <v>2342</v>
      </c>
      <c r="W522" t="s">
        <v>2343</v>
      </c>
      <c r="X522" t="s">
        <v>2344</v>
      </c>
      <c r="AH522">
        <v>0</v>
      </c>
      <c r="AI522" t="s">
        <v>50</v>
      </c>
      <c r="AJ522" t="s">
        <v>50</v>
      </c>
      <c r="AK522" t="s">
        <v>50</v>
      </c>
      <c r="AL522" t="s">
        <v>50</v>
      </c>
      <c r="AM522" t="s">
        <v>50</v>
      </c>
      <c r="AN522" t="s">
        <v>109</v>
      </c>
      <c r="AO522" t="s">
        <v>109</v>
      </c>
      <c r="AP522" t="s">
        <v>109</v>
      </c>
      <c r="AQ522" t="s">
        <v>109</v>
      </c>
      <c r="AR522" t="s">
        <v>109</v>
      </c>
      <c r="AS522" t="s">
        <v>109</v>
      </c>
      <c r="AT522" t="s">
        <v>109</v>
      </c>
      <c r="AU522" t="s">
        <v>109</v>
      </c>
      <c r="AV522" t="s">
        <v>109</v>
      </c>
      <c r="AW522" t="s">
        <v>109</v>
      </c>
      <c r="AX522" t="s">
        <v>109</v>
      </c>
      <c r="AY522" t="s">
        <v>109</v>
      </c>
      <c r="AZ522" t="s">
        <v>109</v>
      </c>
      <c r="BA522" t="s">
        <v>109</v>
      </c>
      <c r="BB522" t="s">
        <v>109</v>
      </c>
      <c r="BC522" t="s">
        <v>109</v>
      </c>
      <c r="BD522" t="s">
        <v>109</v>
      </c>
      <c r="BE522" t="s">
        <v>109</v>
      </c>
      <c r="BF522" t="s">
        <v>109</v>
      </c>
      <c r="BG522" t="s">
        <v>109</v>
      </c>
      <c r="BH522" t="s">
        <v>109</v>
      </c>
      <c r="BL522" t="s">
        <v>109</v>
      </c>
      <c r="BN522">
        <v>1</v>
      </c>
      <c r="BO522" t="s">
        <v>51</v>
      </c>
      <c r="BP522" s="534">
        <v>82</v>
      </c>
      <c r="BQ522" s="724">
        <v>82.6</v>
      </c>
      <c r="BR522" t="s">
        <v>50</v>
      </c>
      <c r="BS522" t="s">
        <v>52</v>
      </c>
      <c r="BT522">
        <v>0</v>
      </c>
      <c r="BU522" t="s">
        <v>52</v>
      </c>
      <c r="BV522">
        <v>0</v>
      </c>
      <c r="BW522">
        <v>83.4</v>
      </c>
      <c r="BX522" t="s">
        <v>50</v>
      </c>
      <c r="BY522">
        <v>0</v>
      </c>
      <c r="BZ522">
        <v>0</v>
      </c>
      <c r="CA522">
        <v>0</v>
      </c>
      <c r="CB522">
        <v>0</v>
      </c>
      <c r="CC522" s="2146">
        <v>84.27</v>
      </c>
      <c r="CD522" s="2146" t="s">
        <v>50</v>
      </c>
      <c r="CE522" s="2146">
        <v>0</v>
      </c>
      <c r="CF522" s="2146">
        <v>0</v>
      </c>
      <c r="CG522" s="2146">
        <v>0</v>
      </c>
      <c r="CH522">
        <v>0</v>
      </c>
      <c r="CJ522" t="s">
        <v>5948</v>
      </c>
    </row>
    <row r="523" spans="1:88">
      <c r="A523" t="s">
        <v>2237</v>
      </c>
      <c r="B523" t="s">
        <v>2345</v>
      </c>
      <c r="C523" t="s">
        <v>116</v>
      </c>
      <c r="D523" t="s">
        <v>101</v>
      </c>
      <c r="E523" t="s">
        <v>102</v>
      </c>
      <c r="F523" t="s">
        <v>2338</v>
      </c>
      <c r="G523" t="s">
        <v>1835</v>
      </c>
      <c r="H523" t="s">
        <v>2346</v>
      </c>
      <c r="I523" t="s">
        <v>2347</v>
      </c>
      <c r="J523" t="s">
        <v>69</v>
      </c>
      <c r="N523" t="s">
        <v>192</v>
      </c>
      <c r="O523" t="s">
        <v>48</v>
      </c>
      <c r="P523" t="s">
        <v>2348</v>
      </c>
      <c r="Q523" s="534">
        <v>0</v>
      </c>
      <c r="R523" t="s">
        <v>3263</v>
      </c>
      <c r="S523">
        <v>15267</v>
      </c>
      <c r="X523" t="s">
        <v>2349</v>
      </c>
      <c r="AH523">
        <v>0</v>
      </c>
      <c r="BP523" s="534">
        <v>10610</v>
      </c>
      <c r="BQ523" s="742">
        <v>10567</v>
      </c>
      <c r="BR523" t="s">
        <v>52</v>
      </c>
      <c r="BS523" t="s">
        <v>52</v>
      </c>
      <c r="BT523">
        <v>0</v>
      </c>
      <c r="BU523" t="s">
        <v>52</v>
      </c>
      <c r="BV523">
        <v>0</v>
      </c>
      <c r="BW523">
        <v>10356</v>
      </c>
      <c r="BX523" t="s">
        <v>2148</v>
      </c>
      <c r="BY523">
        <v>0</v>
      </c>
      <c r="BZ523">
        <v>0</v>
      </c>
      <c r="CA523">
        <v>0</v>
      </c>
      <c r="CB523">
        <v>0</v>
      </c>
      <c r="CC523" s="2146">
        <v>12203</v>
      </c>
      <c r="CD523" s="2146" t="s">
        <v>2148</v>
      </c>
      <c r="CE523" s="2146">
        <v>0</v>
      </c>
      <c r="CF523" s="2146">
        <v>0</v>
      </c>
      <c r="CG523" s="2146">
        <v>0</v>
      </c>
      <c r="CH523">
        <v>0</v>
      </c>
      <c r="CJ523" t="s">
        <v>5949</v>
      </c>
    </row>
    <row r="524" spans="1:88" ht="60">
      <c r="A524" t="s">
        <v>2237</v>
      </c>
      <c r="B524" t="s">
        <v>2350</v>
      </c>
      <c r="C524" t="s">
        <v>116</v>
      </c>
      <c r="D524" t="s">
        <v>101</v>
      </c>
      <c r="E524" t="s">
        <v>102</v>
      </c>
      <c r="F524" t="s">
        <v>2338</v>
      </c>
      <c r="G524" t="s">
        <v>1839</v>
      </c>
      <c r="H524" t="s">
        <v>2351</v>
      </c>
      <c r="I524" t="s">
        <v>2352</v>
      </c>
      <c r="J524" t="s">
        <v>69</v>
      </c>
      <c r="N524" t="s">
        <v>192</v>
      </c>
      <c r="O524" t="s">
        <v>76</v>
      </c>
      <c r="P524" t="s">
        <v>2353</v>
      </c>
      <c r="Q524" s="534">
        <v>0</v>
      </c>
      <c r="R524" t="s">
        <v>3264</v>
      </c>
      <c r="X524" t="s">
        <v>2354</v>
      </c>
      <c r="AH524">
        <v>0</v>
      </c>
      <c r="BP524" s="534" t="s">
        <v>5950</v>
      </c>
      <c r="BQ524" s="738" t="s">
        <v>5951</v>
      </c>
      <c r="BR524" t="s">
        <v>52</v>
      </c>
      <c r="BS524" t="s">
        <v>52</v>
      </c>
      <c r="BT524">
        <v>0</v>
      </c>
      <c r="BU524" t="s">
        <v>52</v>
      </c>
      <c r="BV524">
        <v>0</v>
      </c>
      <c r="BW524" t="s">
        <v>5952</v>
      </c>
      <c r="BX524" t="s">
        <v>2148</v>
      </c>
      <c r="BY524">
        <v>0</v>
      </c>
      <c r="BZ524">
        <v>0</v>
      </c>
      <c r="CA524">
        <v>0</v>
      </c>
      <c r="CB524">
        <v>0</v>
      </c>
      <c r="CC524" s="2146" t="s">
        <v>5950</v>
      </c>
      <c r="CD524" s="2146" t="s">
        <v>2148</v>
      </c>
      <c r="CE524" s="2146">
        <v>0</v>
      </c>
      <c r="CF524" s="2146">
        <v>0</v>
      </c>
      <c r="CG524" s="2146">
        <v>0</v>
      </c>
      <c r="CH524">
        <v>0</v>
      </c>
      <c r="CJ524" t="s">
        <v>5953</v>
      </c>
    </row>
    <row r="525" spans="1:88">
      <c r="A525" t="s">
        <v>2237</v>
      </c>
      <c r="B525" t="s">
        <v>2355</v>
      </c>
      <c r="C525" t="s">
        <v>116</v>
      </c>
      <c r="D525" t="s">
        <v>101</v>
      </c>
      <c r="E525" t="s">
        <v>102</v>
      </c>
      <c r="F525" t="s">
        <v>2356</v>
      </c>
      <c r="G525" t="s">
        <v>1857</v>
      </c>
      <c r="H525" t="s">
        <v>2357</v>
      </c>
      <c r="I525" t="s">
        <v>2358</v>
      </c>
      <c r="J525" t="s">
        <v>69</v>
      </c>
      <c r="N525" t="s">
        <v>113</v>
      </c>
      <c r="O525" t="s">
        <v>76</v>
      </c>
      <c r="P525" t="s">
        <v>2359</v>
      </c>
      <c r="Q525" s="534">
        <v>2</v>
      </c>
      <c r="R525" t="s">
        <v>3263</v>
      </c>
      <c r="S525">
        <v>3.1</v>
      </c>
      <c r="T525">
        <v>3.16</v>
      </c>
      <c r="U525">
        <v>3.16</v>
      </c>
      <c r="V525">
        <v>3.16</v>
      </c>
      <c r="W525">
        <v>3.16</v>
      </c>
      <c r="X525">
        <v>3.16</v>
      </c>
      <c r="AH525">
        <v>0</v>
      </c>
      <c r="BP525" s="534">
        <v>3.18</v>
      </c>
      <c r="BQ525" s="726">
        <v>3.05</v>
      </c>
      <c r="BR525" t="s">
        <v>50</v>
      </c>
      <c r="BS525" t="s">
        <v>52</v>
      </c>
      <c r="BT525">
        <v>0</v>
      </c>
      <c r="BU525" t="s">
        <v>52</v>
      </c>
      <c r="BV525">
        <v>0</v>
      </c>
      <c r="BW525">
        <v>2.94</v>
      </c>
      <c r="BX525" t="s">
        <v>50</v>
      </c>
      <c r="BY525">
        <v>0</v>
      </c>
      <c r="BZ525">
        <v>0</v>
      </c>
      <c r="CA525">
        <v>0</v>
      </c>
      <c r="CB525">
        <v>0</v>
      </c>
      <c r="CC525" s="2146">
        <v>3.1</v>
      </c>
      <c r="CD525" s="2146" t="s">
        <v>50</v>
      </c>
      <c r="CE525" s="2146">
        <v>0</v>
      </c>
      <c r="CF525" s="2146">
        <v>0</v>
      </c>
      <c r="CG525" s="2146">
        <v>0</v>
      </c>
      <c r="CH525">
        <v>0</v>
      </c>
      <c r="CJ525" t="s">
        <v>5954</v>
      </c>
    </row>
    <row r="526" spans="1:88">
      <c r="A526" t="s">
        <v>2237</v>
      </c>
      <c r="B526" t="s">
        <v>2360</v>
      </c>
      <c r="C526" t="s">
        <v>116</v>
      </c>
      <c r="D526" t="s">
        <v>101</v>
      </c>
      <c r="E526" t="s">
        <v>102</v>
      </c>
      <c r="F526" t="s">
        <v>2356</v>
      </c>
      <c r="G526" t="s">
        <v>2361</v>
      </c>
      <c r="H526" t="s">
        <v>2362</v>
      </c>
      <c r="I526" t="s">
        <v>2363</v>
      </c>
      <c r="J526" t="s">
        <v>69</v>
      </c>
      <c r="N526" t="s">
        <v>113</v>
      </c>
      <c r="O526" t="s">
        <v>48</v>
      </c>
      <c r="P526" t="s">
        <v>2364</v>
      </c>
      <c r="Q526" s="534">
        <v>0</v>
      </c>
      <c r="T526" t="s">
        <v>3268</v>
      </c>
      <c r="U526" t="s">
        <v>3268</v>
      </c>
      <c r="V526" t="s">
        <v>3268</v>
      </c>
      <c r="W526" t="s">
        <v>3268</v>
      </c>
      <c r="X526" t="s">
        <v>5955</v>
      </c>
      <c r="AH526">
        <v>0</v>
      </c>
      <c r="BP526" s="534" t="s">
        <v>2797</v>
      </c>
      <c r="BQ526" s="738">
        <v>22735</v>
      </c>
      <c r="BR526" t="s">
        <v>52</v>
      </c>
      <c r="BS526" t="s">
        <v>52</v>
      </c>
      <c r="BT526">
        <v>0</v>
      </c>
      <c r="BU526" t="s">
        <v>52</v>
      </c>
      <c r="BV526">
        <v>0</v>
      </c>
      <c r="BW526">
        <v>26902</v>
      </c>
      <c r="BX526" t="s">
        <v>2148</v>
      </c>
      <c r="BY526">
        <v>0</v>
      </c>
      <c r="BZ526">
        <v>0</v>
      </c>
      <c r="CA526">
        <v>0</v>
      </c>
      <c r="CB526">
        <v>0</v>
      </c>
      <c r="CC526" s="2146">
        <v>28853</v>
      </c>
      <c r="CD526" s="2146" t="s">
        <v>2148</v>
      </c>
      <c r="CE526" s="2146">
        <v>0</v>
      </c>
      <c r="CF526" s="2146">
        <v>0</v>
      </c>
      <c r="CG526" s="2146">
        <v>0</v>
      </c>
      <c r="CH526">
        <v>0</v>
      </c>
      <c r="CJ526" t="s">
        <v>5956</v>
      </c>
    </row>
    <row r="527" spans="1:88" ht="60">
      <c r="A527" t="s">
        <v>2237</v>
      </c>
      <c r="B527" t="s">
        <v>2365</v>
      </c>
      <c r="C527" t="s">
        <v>116</v>
      </c>
      <c r="D527" t="s">
        <v>101</v>
      </c>
      <c r="E527" t="s">
        <v>102</v>
      </c>
      <c r="F527" t="s">
        <v>2356</v>
      </c>
      <c r="G527" t="s">
        <v>2366</v>
      </c>
      <c r="H527" t="s">
        <v>2367</v>
      </c>
      <c r="I527" t="s">
        <v>2368</v>
      </c>
      <c r="J527" t="s">
        <v>69</v>
      </c>
      <c r="N527" t="s">
        <v>113</v>
      </c>
      <c r="O527" t="s">
        <v>76</v>
      </c>
      <c r="P527" t="s">
        <v>2369</v>
      </c>
      <c r="Q527" s="534">
        <v>0</v>
      </c>
      <c r="R527" t="s">
        <v>3264</v>
      </c>
      <c r="X527" t="s">
        <v>2370</v>
      </c>
      <c r="AH527">
        <v>0</v>
      </c>
      <c r="BP527" s="534" t="s">
        <v>5957</v>
      </c>
      <c r="BQ527" s="738" t="s">
        <v>5958</v>
      </c>
      <c r="BR527" t="s">
        <v>52</v>
      </c>
      <c r="BS527" t="s">
        <v>52</v>
      </c>
      <c r="BT527">
        <v>0</v>
      </c>
      <c r="BU527" t="s">
        <v>52</v>
      </c>
      <c r="BV527">
        <v>0</v>
      </c>
      <c r="BW527" t="s">
        <v>5959</v>
      </c>
      <c r="BX527" t="s">
        <v>2148</v>
      </c>
      <c r="BY527">
        <v>0</v>
      </c>
      <c r="BZ527">
        <v>0</v>
      </c>
      <c r="CA527">
        <v>0</v>
      </c>
      <c r="CB527">
        <v>0</v>
      </c>
      <c r="CC527" s="2146" t="s">
        <v>13461</v>
      </c>
      <c r="CD527" s="2146" t="s">
        <v>2148</v>
      </c>
      <c r="CE527" s="2146">
        <v>0</v>
      </c>
      <c r="CF527" s="2146">
        <v>0</v>
      </c>
      <c r="CG527" s="2146">
        <v>0</v>
      </c>
      <c r="CH527">
        <v>0</v>
      </c>
      <c r="CJ527" t="s">
        <v>5960</v>
      </c>
    </row>
    <row r="528" spans="1:88">
      <c r="A528" t="s">
        <v>2237</v>
      </c>
      <c r="B528" t="s">
        <v>2371</v>
      </c>
      <c r="C528" t="s">
        <v>116</v>
      </c>
      <c r="D528" t="s">
        <v>101</v>
      </c>
      <c r="E528" t="s">
        <v>102</v>
      </c>
      <c r="F528" t="s">
        <v>2288</v>
      </c>
      <c r="G528" t="s">
        <v>1865</v>
      </c>
      <c r="H528" t="s">
        <v>2372</v>
      </c>
      <c r="I528" t="s">
        <v>2373</v>
      </c>
      <c r="J528" t="s">
        <v>69</v>
      </c>
      <c r="N528" t="s">
        <v>182</v>
      </c>
      <c r="O528" t="s">
        <v>76</v>
      </c>
      <c r="P528" t="s">
        <v>2291</v>
      </c>
      <c r="Q528" s="534">
        <v>0</v>
      </c>
      <c r="R528" t="s">
        <v>3264</v>
      </c>
      <c r="S528">
        <v>8</v>
      </c>
      <c r="T528">
        <v>12</v>
      </c>
      <c r="U528">
        <v>12</v>
      </c>
      <c r="V528">
        <v>12</v>
      </c>
      <c r="W528">
        <v>12</v>
      </c>
      <c r="X528">
        <v>12</v>
      </c>
      <c r="AH528">
        <v>0</v>
      </c>
      <c r="BP528" s="534">
        <v>12.26</v>
      </c>
      <c r="BQ528" s="725">
        <v>11.257999999999999</v>
      </c>
      <c r="BR528" t="s">
        <v>46</v>
      </c>
      <c r="BS528" t="s">
        <v>52</v>
      </c>
      <c r="BT528">
        <v>0</v>
      </c>
      <c r="BU528" t="s">
        <v>52</v>
      </c>
      <c r="BV528">
        <v>0</v>
      </c>
      <c r="BW528">
        <v>10</v>
      </c>
      <c r="BX528" t="s">
        <v>46</v>
      </c>
      <c r="BY528">
        <v>0</v>
      </c>
      <c r="BZ528">
        <v>0</v>
      </c>
      <c r="CA528">
        <v>0</v>
      </c>
      <c r="CB528">
        <v>0</v>
      </c>
      <c r="CC528" s="2146">
        <v>11.44</v>
      </c>
      <c r="CD528" s="2146" t="s">
        <v>46</v>
      </c>
      <c r="CE528" s="2146">
        <v>0</v>
      </c>
      <c r="CF528" s="2146">
        <v>0</v>
      </c>
      <c r="CG528" s="2146">
        <v>0</v>
      </c>
      <c r="CH528">
        <v>0</v>
      </c>
      <c r="CJ528" t="s">
        <v>5961</v>
      </c>
    </row>
    <row r="529" spans="1:88">
      <c r="A529" t="s">
        <v>2237</v>
      </c>
      <c r="B529" t="s">
        <v>2374</v>
      </c>
      <c r="C529" t="s">
        <v>116</v>
      </c>
      <c r="D529" t="s">
        <v>101</v>
      </c>
      <c r="E529" t="s">
        <v>102</v>
      </c>
      <c r="F529" t="s">
        <v>2288</v>
      </c>
      <c r="G529" t="s">
        <v>1870</v>
      </c>
      <c r="H529" t="s">
        <v>2375</v>
      </c>
      <c r="I529" t="s">
        <v>2376</v>
      </c>
      <c r="J529" t="s">
        <v>69</v>
      </c>
      <c r="N529" t="s">
        <v>391</v>
      </c>
      <c r="O529" t="s">
        <v>76</v>
      </c>
      <c r="P529" t="s">
        <v>2295</v>
      </c>
      <c r="Q529" s="534">
        <v>0</v>
      </c>
      <c r="R529" t="s">
        <v>3264</v>
      </c>
      <c r="S529">
        <v>93</v>
      </c>
      <c r="T529">
        <v>94</v>
      </c>
      <c r="U529">
        <v>94</v>
      </c>
      <c r="V529">
        <v>95</v>
      </c>
      <c r="W529">
        <v>95</v>
      </c>
      <c r="X529">
        <v>95</v>
      </c>
      <c r="AH529">
        <v>0</v>
      </c>
      <c r="BP529" s="534">
        <v>93.5</v>
      </c>
      <c r="BQ529" s="725">
        <v>98.91</v>
      </c>
      <c r="BR529" t="s">
        <v>50</v>
      </c>
      <c r="BS529" t="s">
        <v>52</v>
      </c>
      <c r="BT529">
        <v>0</v>
      </c>
      <c r="BU529" t="s">
        <v>52</v>
      </c>
      <c r="BV529">
        <v>0</v>
      </c>
      <c r="BW529">
        <v>99</v>
      </c>
      <c r="BX529" t="s">
        <v>50</v>
      </c>
      <c r="BY529">
        <v>0</v>
      </c>
      <c r="BZ529">
        <v>0</v>
      </c>
      <c r="CA529">
        <v>0</v>
      </c>
      <c r="CB529">
        <v>0</v>
      </c>
      <c r="CC529" s="2146">
        <v>99</v>
      </c>
      <c r="CD529" s="2146" t="s">
        <v>50</v>
      </c>
      <c r="CJ529" t="s">
        <v>5962</v>
      </c>
    </row>
    <row r="530" spans="1:88">
      <c r="A530" t="s">
        <v>13224</v>
      </c>
      <c r="B530" t="s">
        <v>13229</v>
      </c>
      <c r="C530" t="s">
        <v>116</v>
      </c>
      <c r="D530" t="s">
        <v>40</v>
      </c>
      <c r="E530" t="s">
        <v>41</v>
      </c>
      <c r="F530" t="s">
        <v>432</v>
      </c>
      <c r="G530" t="s">
        <v>315</v>
      </c>
      <c r="H530" t="s">
        <v>433</v>
      </c>
      <c r="I530" t="s">
        <v>434</v>
      </c>
      <c r="J530" t="s">
        <v>5406</v>
      </c>
      <c r="K530" t="s">
        <v>45</v>
      </c>
      <c r="N530" t="s">
        <v>24</v>
      </c>
      <c r="O530" t="s">
        <v>48</v>
      </c>
      <c r="P530" t="s">
        <v>81</v>
      </c>
      <c r="Q530" s="534">
        <v>2</v>
      </c>
      <c r="CC530" s="2146" t="s">
        <v>2148</v>
      </c>
      <c r="CJ530" t="s">
        <v>13334</v>
      </c>
    </row>
    <row r="531" spans="1:88">
      <c r="A531" s="2146" t="s">
        <v>13224</v>
      </c>
      <c r="B531" t="s">
        <v>13230</v>
      </c>
      <c r="C531" t="s">
        <v>116</v>
      </c>
      <c r="D531" t="s">
        <v>40</v>
      </c>
      <c r="E531" t="s">
        <v>41</v>
      </c>
      <c r="F531" t="s">
        <v>432</v>
      </c>
      <c r="G531" t="s">
        <v>319</v>
      </c>
      <c r="H531" t="s">
        <v>436</v>
      </c>
      <c r="I531" t="s">
        <v>437</v>
      </c>
      <c r="J531" t="s">
        <v>5408</v>
      </c>
      <c r="K531" t="s">
        <v>45</v>
      </c>
      <c r="N531" t="s">
        <v>75</v>
      </c>
      <c r="O531" t="s">
        <v>76</v>
      </c>
      <c r="P531" t="s">
        <v>77</v>
      </c>
      <c r="Q531" s="534">
        <v>2</v>
      </c>
      <c r="CC531" s="2146" t="s">
        <v>2148</v>
      </c>
      <c r="CJ531" t="s">
        <v>13335</v>
      </c>
    </row>
    <row r="532" spans="1:88">
      <c r="A532" s="2146" t="s">
        <v>13224</v>
      </c>
      <c r="B532" t="s">
        <v>13231</v>
      </c>
      <c r="C532" t="s">
        <v>116</v>
      </c>
      <c r="D532" t="s">
        <v>40</v>
      </c>
      <c r="E532" t="s">
        <v>41</v>
      </c>
      <c r="F532" t="s">
        <v>432</v>
      </c>
      <c r="G532" t="s">
        <v>327</v>
      </c>
      <c r="H532" t="s">
        <v>439</v>
      </c>
      <c r="I532" t="s">
        <v>440</v>
      </c>
      <c r="J532" t="s">
        <v>5408</v>
      </c>
      <c r="K532" t="s">
        <v>322</v>
      </c>
      <c r="M532" t="s">
        <v>46</v>
      </c>
      <c r="N532" t="s">
        <v>75</v>
      </c>
      <c r="O532" t="s">
        <v>281</v>
      </c>
      <c r="P532" t="s">
        <v>441</v>
      </c>
      <c r="Q532" s="534" t="s">
        <v>51</v>
      </c>
      <c r="CC532" s="2146" t="s">
        <v>2148</v>
      </c>
      <c r="CJ532" t="s">
        <v>13336</v>
      </c>
    </row>
    <row r="533" spans="1:88">
      <c r="A533" s="2146" t="s">
        <v>13224</v>
      </c>
      <c r="B533" t="s">
        <v>13232</v>
      </c>
      <c r="C533" t="s">
        <v>116</v>
      </c>
      <c r="D533" t="s">
        <v>40</v>
      </c>
      <c r="E533" t="s">
        <v>41</v>
      </c>
      <c r="F533" t="s">
        <v>432</v>
      </c>
      <c r="G533" t="s">
        <v>444</v>
      </c>
      <c r="H533" t="s">
        <v>445</v>
      </c>
      <c r="I533" t="s">
        <v>446</v>
      </c>
      <c r="J533" t="s">
        <v>5408</v>
      </c>
      <c r="K533" t="s">
        <v>322</v>
      </c>
      <c r="M533" t="s">
        <v>46</v>
      </c>
      <c r="N533" t="s">
        <v>75</v>
      </c>
      <c r="O533" t="s">
        <v>281</v>
      </c>
      <c r="P533" t="s">
        <v>447</v>
      </c>
      <c r="Q533" s="534" t="s">
        <v>51</v>
      </c>
      <c r="CC533" s="2146" t="s">
        <v>2148</v>
      </c>
      <c r="CJ533" t="s">
        <v>13337</v>
      </c>
    </row>
    <row r="534" spans="1:88">
      <c r="A534" s="2146" t="s">
        <v>13224</v>
      </c>
      <c r="B534" t="s">
        <v>13233</v>
      </c>
      <c r="C534" t="s">
        <v>116</v>
      </c>
      <c r="D534" t="s">
        <v>40</v>
      </c>
      <c r="E534" t="s">
        <v>41</v>
      </c>
      <c r="F534" t="s">
        <v>451</v>
      </c>
      <c r="G534" t="s">
        <v>332</v>
      </c>
      <c r="H534" t="s">
        <v>452</v>
      </c>
      <c r="I534" t="s">
        <v>453</v>
      </c>
      <c r="J534" t="s">
        <v>5406</v>
      </c>
      <c r="K534" t="s">
        <v>45</v>
      </c>
      <c r="N534" t="s">
        <v>86</v>
      </c>
      <c r="O534" t="s">
        <v>119</v>
      </c>
      <c r="P534" t="s">
        <v>454</v>
      </c>
      <c r="Q534" s="534">
        <v>2</v>
      </c>
      <c r="CC534" s="2146" t="s">
        <v>2148</v>
      </c>
      <c r="CJ534" t="s">
        <v>13338</v>
      </c>
    </row>
    <row r="535" spans="1:88">
      <c r="A535" s="2146" t="s">
        <v>13224</v>
      </c>
      <c r="B535" t="s">
        <v>13234</v>
      </c>
      <c r="C535" t="s">
        <v>116</v>
      </c>
      <c r="D535" t="s">
        <v>40</v>
      </c>
      <c r="E535" t="s">
        <v>41</v>
      </c>
      <c r="F535" t="s">
        <v>451</v>
      </c>
      <c r="G535" t="s">
        <v>457</v>
      </c>
      <c r="H535" t="s">
        <v>458</v>
      </c>
      <c r="I535" t="s">
        <v>5494</v>
      </c>
      <c r="J535" t="s">
        <v>5406</v>
      </c>
      <c r="K535" t="s">
        <v>45</v>
      </c>
      <c r="N535" t="s">
        <v>47</v>
      </c>
      <c r="O535" t="s">
        <v>48</v>
      </c>
      <c r="P535" t="s">
        <v>459</v>
      </c>
      <c r="Q535" s="534">
        <v>1</v>
      </c>
      <c r="CC535" s="2146" t="s">
        <v>2148</v>
      </c>
      <c r="CJ535" t="s">
        <v>13339</v>
      </c>
    </row>
    <row r="536" spans="1:88">
      <c r="A536" s="2146" t="s">
        <v>13224</v>
      </c>
      <c r="B536" t="s">
        <v>13235</v>
      </c>
      <c r="C536" t="s">
        <v>116</v>
      </c>
      <c r="D536" t="s">
        <v>40</v>
      </c>
      <c r="E536" t="s">
        <v>41</v>
      </c>
      <c r="F536" t="s">
        <v>451</v>
      </c>
      <c r="G536" t="s">
        <v>461</v>
      </c>
      <c r="H536" t="s">
        <v>462</v>
      </c>
      <c r="I536" t="s">
        <v>463</v>
      </c>
      <c r="J536" t="s">
        <v>69</v>
      </c>
      <c r="N536" t="s">
        <v>61</v>
      </c>
      <c r="O536" t="s">
        <v>107</v>
      </c>
      <c r="P536" t="s">
        <v>150</v>
      </c>
      <c r="Q536" s="534">
        <v>0</v>
      </c>
      <c r="CC536" s="2146" t="s">
        <v>2148</v>
      </c>
      <c r="CJ536" t="s">
        <v>13340</v>
      </c>
    </row>
    <row r="537" spans="1:88">
      <c r="A537" s="2146" t="s">
        <v>13224</v>
      </c>
      <c r="B537" t="s">
        <v>13236</v>
      </c>
      <c r="C537" t="s">
        <v>116</v>
      </c>
      <c r="D537" t="s">
        <v>40</v>
      </c>
      <c r="E537" t="s">
        <v>41</v>
      </c>
      <c r="F537" t="s">
        <v>451</v>
      </c>
      <c r="G537" t="s">
        <v>465</v>
      </c>
      <c r="H537" t="s">
        <v>466</v>
      </c>
      <c r="I537" t="s">
        <v>467</v>
      </c>
      <c r="J537" t="s">
        <v>5406</v>
      </c>
      <c r="K537" t="s">
        <v>45</v>
      </c>
      <c r="N537" t="s">
        <v>91</v>
      </c>
      <c r="O537" t="s">
        <v>48</v>
      </c>
      <c r="P537" t="s">
        <v>92</v>
      </c>
      <c r="Q537" s="534">
        <v>0</v>
      </c>
      <c r="CC537" s="2146" t="s">
        <v>2148</v>
      </c>
      <c r="CJ537" t="s">
        <v>13341</v>
      </c>
    </row>
    <row r="538" spans="1:88">
      <c r="A538" s="2146" t="s">
        <v>13224</v>
      </c>
      <c r="B538" t="s">
        <v>13237</v>
      </c>
      <c r="C538" t="s">
        <v>116</v>
      </c>
      <c r="D538" t="s">
        <v>40</v>
      </c>
      <c r="E538" t="s">
        <v>41</v>
      </c>
      <c r="F538" t="s">
        <v>469</v>
      </c>
      <c r="G538" t="s">
        <v>338</v>
      </c>
      <c r="H538" t="s">
        <v>470</v>
      </c>
      <c r="I538" t="s">
        <v>471</v>
      </c>
      <c r="J538" t="s">
        <v>69</v>
      </c>
      <c r="N538" t="s">
        <v>182</v>
      </c>
      <c r="O538" t="s">
        <v>48</v>
      </c>
      <c r="P538" t="s">
        <v>472</v>
      </c>
      <c r="Q538" s="534">
        <v>0</v>
      </c>
      <c r="CC538" s="2146" t="s">
        <v>2148</v>
      </c>
      <c r="CJ538" t="s">
        <v>13342</v>
      </c>
    </row>
    <row r="539" spans="1:88">
      <c r="A539" s="2146" t="s">
        <v>13224</v>
      </c>
      <c r="B539" t="s">
        <v>13238</v>
      </c>
      <c r="C539" t="s">
        <v>116</v>
      </c>
      <c r="D539" t="s">
        <v>40</v>
      </c>
      <c r="E539" t="s">
        <v>41</v>
      </c>
      <c r="F539" t="s">
        <v>474</v>
      </c>
      <c r="G539" t="s">
        <v>348</v>
      </c>
      <c r="H539" t="s">
        <v>475</v>
      </c>
      <c r="I539" t="s">
        <v>476</v>
      </c>
      <c r="J539" t="s">
        <v>69</v>
      </c>
      <c r="N539" t="s">
        <v>192</v>
      </c>
      <c r="O539" t="s">
        <v>76</v>
      </c>
      <c r="P539" t="s">
        <v>193</v>
      </c>
      <c r="Q539" s="534" t="s">
        <v>51</v>
      </c>
      <c r="CC539" s="2146" t="s">
        <v>2148</v>
      </c>
      <c r="CJ539" t="s">
        <v>13343</v>
      </c>
    </row>
    <row r="540" spans="1:88">
      <c r="A540" s="2146" t="s">
        <v>13224</v>
      </c>
      <c r="B540" t="s">
        <v>13239</v>
      </c>
      <c r="C540" t="s">
        <v>116</v>
      </c>
      <c r="D540" t="s">
        <v>478</v>
      </c>
      <c r="E540" t="s">
        <v>479</v>
      </c>
      <c r="F540" t="s">
        <v>480</v>
      </c>
      <c r="G540" t="s">
        <v>360</v>
      </c>
      <c r="H540" t="s">
        <v>481</v>
      </c>
      <c r="I540" t="s">
        <v>482</v>
      </c>
      <c r="J540" t="s">
        <v>5406</v>
      </c>
      <c r="K540" t="s">
        <v>45</v>
      </c>
      <c r="M540" t="s">
        <v>46</v>
      </c>
      <c r="N540" t="s">
        <v>106</v>
      </c>
      <c r="O540" t="s">
        <v>107</v>
      </c>
      <c r="P540" t="s">
        <v>108</v>
      </c>
      <c r="Q540" s="534">
        <v>1</v>
      </c>
      <c r="CC540" s="2146" t="s">
        <v>2148</v>
      </c>
      <c r="CJ540" t="s">
        <v>13344</v>
      </c>
    </row>
    <row r="541" spans="1:88">
      <c r="A541" s="2146" t="s">
        <v>13224</v>
      </c>
      <c r="B541" t="s">
        <v>13240</v>
      </c>
      <c r="C541" t="s">
        <v>116</v>
      </c>
      <c r="D541" t="s">
        <v>101</v>
      </c>
      <c r="E541" t="s">
        <v>102</v>
      </c>
      <c r="F541" t="s">
        <v>484</v>
      </c>
      <c r="G541" t="s">
        <v>354</v>
      </c>
      <c r="H541" t="s">
        <v>485</v>
      </c>
      <c r="I541" t="s">
        <v>486</v>
      </c>
      <c r="J541" t="s">
        <v>69</v>
      </c>
      <c r="N541" t="s">
        <v>56</v>
      </c>
      <c r="O541" t="s">
        <v>48</v>
      </c>
      <c r="P541" t="s">
        <v>487</v>
      </c>
      <c r="Q541" s="534">
        <v>2</v>
      </c>
      <c r="CC541" s="2146" t="s">
        <v>2148</v>
      </c>
      <c r="CJ541" t="s">
        <v>13345</v>
      </c>
    </row>
    <row r="542" spans="1:88">
      <c r="A542" s="2146" t="s">
        <v>13224</v>
      </c>
      <c r="B542" t="s">
        <v>13241</v>
      </c>
      <c r="C542" t="s">
        <v>116</v>
      </c>
      <c r="D542" t="s">
        <v>101</v>
      </c>
      <c r="E542" t="s">
        <v>102</v>
      </c>
      <c r="F542" t="s">
        <v>484</v>
      </c>
      <c r="G542" t="s">
        <v>489</v>
      </c>
      <c r="H542" t="s">
        <v>490</v>
      </c>
      <c r="I542" t="s">
        <v>491</v>
      </c>
      <c r="J542" t="s">
        <v>5406</v>
      </c>
      <c r="K542" t="s">
        <v>45</v>
      </c>
      <c r="M542" t="s">
        <v>46</v>
      </c>
      <c r="N542" t="s">
        <v>106</v>
      </c>
      <c r="O542" t="s">
        <v>107</v>
      </c>
      <c r="P542" t="s">
        <v>108</v>
      </c>
      <c r="Q542" s="534">
        <v>1</v>
      </c>
      <c r="CC542" s="2146" t="s">
        <v>2148</v>
      </c>
      <c r="CJ542" t="s">
        <v>13346</v>
      </c>
    </row>
    <row r="543" spans="1:88">
      <c r="A543" s="2146" t="s">
        <v>13224</v>
      </c>
      <c r="B543" t="s">
        <v>13242</v>
      </c>
      <c r="C543" t="s">
        <v>116</v>
      </c>
      <c r="D543" t="s">
        <v>40</v>
      </c>
      <c r="E543" t="s">
        <v>41</v>
      </c>
      <c r="F543" t="s">
        <v>1290</v>
      </c>
      <c r="G543" t="s">
        <v>43</v>
      </c>
      <c r="H543" t="s">
        <v>1291</v>
      </c>
      <c r="I543" t="s">
        <v>1292</v>
      </c>
      <c r="J543" t="s">
        <v>5406</v>
      </c>
      <c r="K543" t="s">
        <v>45</v>
      </c>
      <c r="L543" t="s">
        <v>50</v>
      </c>
      <c r="N543" t="s">
        <v>24</v>
      </c>
      <c r="O543" t="s">
        <v>48</v>
      </c>
      <c r="P543" t="s">
        <v>1293</v>
      </c>
      <c r="Q543" s="534">
        <v>0</v>
      </c>
      <c r="CC543" s="2146" t="s">
        <v>2148</v>
      </c>
      <c r="CJ543" t="s">
        <v>13347</v>
      </c>
    </row>
    <row r="544" spans="1:88">
      <c r="A544" s="2146" t="s">
        <v>13224</v>
      </c>
      <c r="B544" t="s">
        <v>13243</v>
      </c>
      <c r="C544" t="s">
        <v>116</v>
      </c>
      <c r="D544" t="s">
        <v>40</v>
      </c>
      <c r="E544" t="s">
        <v>41</v>
      </c>
      <c r="F544" t="s">
        <v>1290</v>
      </c>
      <c r="G544" t="s">
        <v>54</v>
      </c>
      <c r="H544" t="s">
        <v>1295</v>
      </c>
      <c r="I544" t="s">
        <v>1296</v>
      </c>
      <c r="J544" t="s">
        <v>5408</v>
      </c>
      <c r="K544" t="s">
        <v>45</v>
      </c>
      <c r="L544" t="s">
        <v>50</v>
      </c>
      <c r="N544" t="s">
        <v>75</v>
      </c>
      <c r="O544" t="s">
        <v>76</v>
      </c>
      <c r="P544" t="s">
        <v>77</v>
      </c>
      <c r="Q544" s="534">
        <v>3</v>
      </c>
      <c r="CC544" s="2146" t="s">
        <v>2148</v>
      </c>
      <c r="CJ544" t="s">
        <v>13348</v>
      </c>
    </row>
    <row r="545" spans="1:88">
      <c r="A545" s="2146" t="s">
        <v>13224</v>
      </c>
      <c r="B545" t="s">
        <v>13244</v>
      </c>
      <c r="C545" t="s">
        <v>116</v>
      </c>
      <c r="D545" t="s">
        <v>40</v>
      </c>
      <c r="E545" t="s">
        <v>41</v>
      </c>
      <c r="F545" t="s">
        <v>1290</v>
      </c>
      <c r="G545" t="s">
        <v>59</v>
      </c>
      <c r="H545" t="s">
        <v>1298</v>
      </c>
      <c r="I545" t="s">
        <v>3208</v>
      </c>
      <c r="J545" t="s">
        <v>5408</v>
      </c>
      <c r="K545" t="s">
        <v>322</v>
      </c>
      <c r="M545" t="s">
        <v>46</v>
      </c>
      <c r="N545" t="s">
        <v>91</v>
      </c>
      <c r="O545" t="s">
        <v>48</v>
      </c>
      <c r="P545" t="s">
        <v>1299</v>
      </c>
      <c r="Q545" s="534">
        <v>0</v>
      </c>
      <c r="CC545" s="2146" t="s">
        <v>2148</v>
      </c>
      <c r="CJ545" t="s">
        <v>13349</v>
      </c>
    </row>
    <row r="546" spans="1:88">
      <c r="A546" s="2146" t="s">
        <v>13224</v>
      </c>
      <c r="B546" t="s">
        <v>13245</v>
      </c>
      <c r="C546" t="s">
        <v>116</v>
      </c>
      <c r="D546" t="s">
        <v>40</v>
      </c>
      <c r="E546" t="s">
        <v>41</v>
      </c>
      <c r="F546" t="s">
        <v>1308</v>
      </c>
      <c r="G546" t="s">
        <v>73</v>
      </c>
      <c r="H546" t="s">
        <v>1309</v>
      </c>
      <c r="I546" t="s">
        <v>1310</v>
      </c>
      <c r="J546" t="s">
        <v>69</v>
      </c>
      <c r="N546" t="s">
        <v>65</v>
      </c>
      <c r="O546" t="s">
        <v>48</v>
      </c>
      <c r="P546" t="s">
        <v>57</v>
      </c>
      <c r="Q546" s="534">
        <v>0</v>
      </c>
      <c r="CC546" s="2146" t="s">
        <v>2148</v>
      </c>
      <c r="CJ546" t="s">
        <v>13350</v>
      </c>
    </row>
    <row r="547" spans="1:88">
      <c r="A547" s="2146" t="s">
        <v>13224</v>
      </c>
      <c r="B547" t="s">
        <v>13246</v>
      </c>
      <c r="C547" t="s">
        <v>116</v>
      </c>
      <c r="D547" t="s">
        <v>40</v>
      </c>
      <c r="E547" t="s">
        <v>41</v>
      </c>
      <c r="F547" t="s">
        <v>1308</v>
      </c>
      <c r="G547" t="s">
        <v>79</v>
      </c>
      <c r="H547" t="s">
        <v>1312</v>
      </c>
      <c r="I547" t="s">
        <v>1313</v>
      </c>
      <c r="J547" t="s">
        <v>5406</v>
      </c>
      <c r="K547" t="s">
        <v>45</v>
      </c>
      <c r="L547" t="s">
        <v>50</v>
      </c>
      <c r="M547" t="s">
        <v>46</v>
      </c>
      <c r="N547" t="s">
        <v>47</v>
      </c>
      <c r="O547" t="s">
        <v>48</v>
      </c>
      <c r="P547" t="s">
        <v>49</v>
      </c>
      <c r="Q547" s="534">
        <v>0</v>
      </c>
      <c r="CC547" s="2146" t="s">
        <v>2148</v>
      </c>
      <c r="CJ547" t="s">
        <v>13351</v>
      </c>
    </row>
    <row r="548" spans="1:88">
      <c r="A548" s="2146" t="s">
        <v>13224</v>
      </c>
      <c r="B548" t="s">
        <v>13247</v>
      </c>
      <c r="C548" t="s">
        <v>116</v>
      </c>
      <c r="D548" t="s">
        <v>40</v>
      </c>
      <c r="E548" t="s">
        <v>41</v>
      </c>
      <c r="F548" t="s">
        <v>1308</v>
      </c>
      <c r="G548" t="s">
        <v>523</v>
      </c>
      <c r="H548" t="s">
        <v>1315</v>
      </c>
      <c r="I548" t="s">
        <v>1316</v>
      </c>
      <c r="J548" t="s">
        <v>5406</v>
      </c>
      <c r="K548" t="s">
        <v>45</v>
      </c>
      <c r="L548" t="s">
        <v>50</v>
      </c>
      <c r="N548" t="s">
        <v>47</v>
      </c>
      <c r="O548" t="s">
        <v>76</v>
      </c>
      <c r="P548" t="s">
        <v>1317</v>
      </c>
      <c r="Q548" s="534">
        <v>0</v>
      </c>
      <c r="CC548" s="2146" t="s">
        <v>2148</v>
      </c>
      <c r="CJ548" t="s">
        <v>13352</v>
      </c>
    </row>
    <row r="549" spans="1:88">
      <c r="A549" s="2146" t="s">
        <v>13224</v>
      </c>
      <c r="B549" t="s">
        <v>13248</v>
      </c>
      <c r="C549" t="s">
        <v>116</v>
      </c>
      <c r="D549" t="s">
        <v>40</v>
      </c>
      <c r="E549" t="s">
        <v>41</v>
      </c>
      <c r="F549" t="s">
        <v>1308</v>
      </c>
      <c r="G549" t="s">
        <v>1319</v>
      </c>
      <c r="H549" t="s">
        <v>1320</v>
      </c>
      <c r="I549" t="s">
        <v>1321</v>
      </c>
      <c r="J549" t="s">
        <v>5406</v>
      </c>
      <c r="K549" t="s">
        <v>45</v>
      </c>
      <c r="L549" t="s">
        <v>50</v>
      </c>
      <c r="M549" t="s">
        <v>46</v>
      </c>
      <c r="N549" t="s">
        <v>86</v>
      </c>
      <c r="O549" t="s">
        <v>119</v>
      </c>
      <c r="P549" t="s">
        <v>120</v>
      </c>
      <c r="Q549" s="534">
        <v>2</v>
      </c>
      <c r="CC549" s="2146" t="s">
        <v>2148</v>
      </c>
      <c r="CJ549" t="s">
        <v>13353</v>
      </c>
    </row>
    <row r="550" spans="1:88">
      <c r="A550" s="2146" t="s">
        <v>13224</v>
      </c>
      <c r="B550" t="s">
        <v>13249</v>
      </c>
      <c r="C550" t="s">
        <v>116</v>
      </c>
      <c r="D550" t="s">
        <v>40</v>
      </c>
      <c r="E550" t="s">
        <v>41</v>
      </c>
      <c r="F550" t="s">
        <v>1308</v>
      </c>
      <c r="G550" t="s">
        <v>1323</v>
      </c>
      <c r="H550" t="s">
        <v>1324</v>
      </c>
      <c r="I550" t="s">
        <v>1325</v>
      </c>
      <c r="J550" t="s">
        <v>5406</v>
      </c>
      <c r="K550" t="s">
        <v>45</v>
      </c>
      <c r="N550" t="s">
        <v>137</v>
      </c>
      <c r="O550" t="s">
        <v>76</v>
      </c>
      <c r="P550" t="s">
        <v>1326</v>
      </c>
      <c r="Q550" s="534">
        <v>1</v>
      </c>
      <c r="CC550" s="2146" t="s">
        <v>2148</v>
      </c>
      <c r="CJ550" t="s">
        <v>13354</v>
      </c>
    </row>
    <row r="551" spans="1:88">
      <c r="A551" s="2146" t="s">
        <v>13224</v>
      </c>
      <c r="B551" t="s">
        <v>13250</v>
      </c>
      <c r="C551" t="s">
        <v>116</v>
      </c>
      <c r="D551" t="s">
        <v>40</v>
      </c>
      <c r="E551" t="s">
        <v>41</v>
      </c>
      <c r="F551" t="s">
        <v>1308</v>
      </c>
      <c r="G551" t="s">
        <v>1328</v>
      </c>
      <c r="H551" t="s">
        <v>1329</v>
      </c>
      <c r="I551" t="s">
        <v>1330</v>
      </c>
      <c r="J551" t="s">
        <v>5408</v>
      </c>
      <c r="K551" t="s">
        <v>322</v>
      </c>
      <c r="M551" t="s">
        <v>46</v>
      </c>
      <c r="N551" t="s">
        <v>91</v>
      </c>
      <c r="O551" t="s">
        <v>48</v>
      </c>
      <c r="P551" t="s">
        <v>92</v>
      </c>
      <c r="Q551" s="534">
        <v>0</v>
      </c>
      <c r="CC551" s="2146" t="s">
        <v>2148</v>
      </c>
      <c r="CJ551" t="s">
        <v>13355</v>
      </c>
    </row>
    <row r="552" spans="1:88">
      <c r="A552" s="2146" t="s">
        <v>13224</v>
      </c>
      <c r="B552" t="s">
        <v>13251</v>
      </c>
      <c r="C552" t="s">
        <v>116</v>
      </c>
      <c r="D552" t="s">
        <v>40</v>
      </c>
      <c r="E552" t="s">
        <v>41</v>
      </c>
      <c r="F552" t="s">
        <v>1308</v>
      </c>
      <c r="G552" t="s">
        <v>1332</v>
      </c>
      <c r="H552" t="s">
        <v>1333</v>
      </c>
      <c r="I552" t="s">
        <v>1334</v>
      </c>
      <c r="J552" t="s">
        <v>5406</v>
      </c>
      <c r="K552" t="s">
        <v>45</v>
      </c>
      <c r="L552" t="s">
        <v>50</v>
      </c>
      <c r="N552" t="s">
        <v>124</v>
      </c>
      <c r="O552" t="s">
        <v>48</v>
      </c>
      <c r="P552" t="s">
        <v>1335</v>
      </c>
      <c r="Q552" s="534">
        <v>0</v>
      </c>
      <c r="CC552" s="2146" t="s">
        <v>2148</v>
      </c>
      <c r="CJ552" t="s">
        <v>13356</v>
      </c>
    </row>
    <row r="553" spans="1:88">
      <c r="A553" s="2146" t="s">
        <v>13224</v>
      </c>
      <c r="B553" t="s">
        <v>13252</v>
      </c>
      <c r="C553" t="s">
        <v>116</v>
      </c>
      <c r="D553" t="s">
        <v>40</v>
      </c>
      <c r="E553" t="s">
        <v>41</v>
      </c>
      <c r="F553" t="s">
        <v>1308</v>
      </c>
      <c r="G553" t="s">
        <v>1337</v>
      </c>
      <c r="H553" t="s">
        <v>1338</v>
      </c>
      <c r="I553" t="s">
        <v>1339</v>
      </c>
      <c r="J553" t="s">
        <v>5406</v>
      </c>
      <c r="K553" t="s">
        <v>45</v>
      </c>
      <c r="L553" t="s">
        <v>50</v>
      </c>
      <c r="M553" t="s">
        <v>46</v>
      </c>
      <c r="N553" t="s">
        <v>143</v>
      </c>
      <c r="O553" t="s">
        <v>48</v>
      </c>
      <c r="P553" t="s">
        <v>1340</v>
      </c>
      <c r="Q553" s="534">
        <v>0</v>
      </c>
      <c r="CC553" s="2146" t="s">
        <v>2148</v>
      </c>
      <c r="CJ553" t="s">
        <v>13357</v>
      </c>
    </row>
    <row r="554" spans="1:88">
      <c r="A554" s="2146" t="s">
        <v>13224</v>
      </c>
      <c r="B554" t="s">
        <v>13253</v>
      </c>
      <c r="C554" t="s">
        <v>116</v>
      </c>
      <c r="D554" t="s">
        <v>40</v>
      </c>
      <c r="E554" t="s">
        <v>41</v>
      </c>
      <c r="F554" t="s">
        <v>1366</v>
      </c>
      <c r="G554" t="s">
        <v>84</v>
      </c>
      <c r="H554" t="s">
        <v>1367</v>
      </c>
      <c r="I554" t="s">
        <v>1368</v>
      </c>
      <c r="J554" t="s">
        <v>5406</v>
      </c>
      <c r="K554" t="s">
        <v>45</v>
      </c>
      <c r="L554" t="s">
        <v>50</v>
      </c>
      <c r="N554" t="s">
        <v>113</v>
      </c>
      <c r="O554" t="s">
        <v>76</v>
      </c>
      <c r="P554" t="s">
        <v>193</v>
      </c>
      <c r="Q554" s="534">
        <v>0</v>
      </c>
      <c r="CC554" s="2146" t="s">
        <v>2148</v>
      </c>
      <c r="CJ554" t="s">
        <v>13358</v>
      </c>
    </row>
    <row r="555" spans="1:88">
      <c r="A555" s="2146" t="s">
        <v>13224</v>
      </c>
      <c r="B555" t="s">
        <v>13254</v>
      </c>
      <c r="C555" t="s">
        <v>116</v>
      </c>
      <c r="D555" t="s">
        <v>40</v>
      </c>
      <c r="E555" t="s">
        <v>41</v>
      </c>
      <c r="F555" t="s">
        <v>1370</v>
      </c>
      <c r="G555" t="s">
        <v>152</v>
      </c>
      <c r="H555" t="s">
        <v>1375</v>
      </c>
      <c r="I555" t="s">
        <v>1376</v>
      </c>
      <c r="J555" t="s">
        <v>69</v>
      </c>
      <c r="N555" t="s">
        <v>175</v>
      </c>
      <c r="O555" t="s">
        <v>76</v>
      </c>
      <c r="P555" t="s">
        <v>1377</v>
      </c>
      <c r="Q555" s="534">
        <v>0</v>
      </c>
      <c r="CC555" s="2146" t="s">
        <v>2148</v>
      </c>
      <c r="CJ555" t="s">
        <v>13359</v>
      </c>
    </row>
    <row r="556" spans="1:88">
      <c r="A556" s="2146" t="s">
        <v>13224</v>
      </c>
      <c r="B556" t="s">
        <v>13255</v>
      </c>
      <c r="C556" t="s">
        <v>116</v>
      </c>
      <c r="D556" t="s">
        <v>40</v>
      </c>
      <c r="E556" t="s">
        <v>41</v>
      </c>
      <c r="F556" t="s">
        <v>1387</v>
      </c>
      <c r="G556" t="s">
        <v>166</v>
      </c>
      <c r="H556" t="s">
        <v>1388</v>
      </c>
      <c r="I556" t="s">
        <v>1389</v>
      </c>
      <c r="J556" t="s">
        <v>5406</v>
      </c>
      <c r="K556" t="s">
        <v>45</v>
      </c>
      <c r="L556" t="s">
        <v>50</v>
      </c>
      <c r="N556" t="s">
        <v>182</v>
      </c>
      <c r="O556" t="s">
        <v>48</v>
      </c>
      <c r="P556" t="s">
        <v>603</v>
      </c>
      <c r="Q556" s="534">
        <v>3</v>
      </c>
      <c r="CC556" s="2146" t="s">
        <v>2148</v>
      </c>
      <c r="CJ556" t="s">
        <v>13360</v>
      </c>
    </row>
    <row r="557" spans="1:88">
      <c r="A557" s="2146" t="s">
        <v>13224</v>
      </c>
      <c r="B557" t="s">
        <v>13256</v>
      </c>
      <c r="C557" t="s">
        <v>116</v>
      </c>
      <c r="D557" t="s">
        <v>40</v>
      </c>
      <c r="E557" t="s">
        <v>41</v>
      </c>
      <c r="F557" t="s">
        <v>1391</v>
      </c>
      <c r="G557" t="s">
        <v>179</v>
      </c>
      <c r="H557" t="s">
        <v>1392</v>
      </c>
      <c r="I557" t="s">
        <v>1393</v>
      </c>
      <c r="J557" t="s">
        <v>69</v>
      </c>
      <c r="N557" t="s">
        <v>923</v>
      </c>
      <c r="O557" t="s">
        <v>48</v>
      </c>
      <c r="P557" t="s">
        <v>1394</v>
      </c>
      <c r="Q557" s="534">
        <v>0</v>
      </c>
      <c r="CC557" s="2146" t="s">
        <v>2148</v>
      </c>
      <c r="CJ557" t="s">
        <v>13361</v>
      </c>
    </row>
    <row r="558" spans="1:88">
      <c r="A558" s="2146" t="s">
        <v>13224</v>
      </c>
      <c r="B558" t="s">
        <v>13257</v>
      </c>
      <c r="C558" t="s">
        <v>116</v>
      </c>
      <c r="D558" t="s">
        <v>214</v>
      </c>
      <c r="E558" t="s">
        <v>215</v>
      </c>
      <c r="F558" t="s">
        <v>1396</v>
      </c>
      <c r="G558" t="s">
        <v>608</v>
      </c>
      <c r="H558" t="s">
        <v>1397</v>
      </c>
      <c r="I558" t="s">
        <v>1398</v>
      </c>
      <c r="J558" t="s">
        <v>5406</v>
      </c>
      <c r="K558" t="s">
        <v>45</v>
      </c>
      <c r="L558" t="s">
        <v>50</v>
      </c>
      <c r="M558" t="s">
        <v>46</v>
      </c>
      <c r="N558" t="s">
        <v>219</v>
      </c>
      <c r="O558" t="s">
        <v>48</v>
      </c>
      <c r="P558" t="s">
        <v>1141</v>
      </c>
      <c r="Q558" s="534">
        <v>0</v>
      </c>
      <c r="CC558" s="2146" t="s">
        <v>2148</v>
      </c>
      <c r="CJ558" t="s">
        <v>13362</v>
      </c>
    </row>
    <row r="559" spans="1:88">
      <c r="A559" s="2146" t="s">
        <v>13224</v>
      </c>
      <c r="B559" t="s">
        <v>13258</v>
      </c>
      <c r="C559" t="s">
        <v>116</v>
      </c>
      <c r="D559" t="s">
        <v>214</v>
      </c>
      <c r="E559" t="s">
        <v>215</v>
      </c>
      <c r="F559" t="s">
        <v>1396</v>
      </c>
      <c r="G559" t="s">
        <v>216</v>
      </c>
      <c r="H559" t="s">
        <v>1400</v>
      </c>
      <c r="I559" t="s">
        <v>1401</v>
      </c>
      <c r="J559" t="s">
        <v>5406</v>
      </c>
      <c r="K559" t="s">
        <v>45</v>
      </c>
      <c r="L559" t="s">
        <v>50</v>
      </c>
      <c r="M559" t="s">
        <v>46</v>
      </c>
      <c r="N559" t="s">
        <v>219</v>
      </c>
      <c r="O559" t="s">
        <v>48</v>
      </c>
      <c r="P559" t="s">
        <v>1145</v>
      </c>
      <c r="Q559" s="534">
        <v>0</v>
      </c>
      <c r="CC559" s="2146" t="s">
        <v>2148</v>
      </c>
      <c r="CJ559" t="s">
        <v>13363</v>
      </c>
    </row>
    <row r="560" spans="1:88">
      <c r="A560" s="2146" t="s">
        <v>13224</v>
      </c>
      <c r="B560" t="s">
        <v>13259</v>
      </c>
      <c r="C560" t="s">
        <v>116</v>
      </c>
      <c r="D560" t="s">
        <v>214</v>
      </c>
      <c r="E560" t="s">
        <v>215</v>
      </c>
      <c r="F560" t="s">
        <v>1396</v>
      </c>
      <c r="G560" t="s">
        <v>222</v>
      </c>
      <c r="H560" t="s">
        <v>1403</v>
      </c>
      <c r="I560" t="s">
        <v>1404</v>
      </c>
      <c r="J560" t="s">
        <v>5406</v>
      </c>
      <c r="K560" t="s">
        <v>45</v>
      </c>
      <c r="N560" t="s">
        <v>861</v>
      </c>
      <c r="O560" t="s">
        <v>48</v>
      </c>
      <c r="P560" t="s">
        <v>1405</v>
      </c>
      <c r="Q560" s="534">
        <v>0</v>
      </c>
      <c r="CC560" s="2146" t="s">
        <v>2148</v>
      </c>
      <c r="CJ560" t="s">
        <v>13364</v>
      </c>
    </row>
    <row r="561" spans="1:88">
      <c r="A561" s="2146" t="s">
        <v>13224</v>
      </c>
      <c r="B561" t="s">
        <v>13260</v>
      </c>
      <c r="C561" t="s">
        <v>116</v>
      </c>
      <c r="D561" t="s">
        <v>214</v>
      </c>
      <c r="E561" t="s">
        <v>215</v>
      </c>
      <c r="F561" t="s">
        <v>1396</v>
      </c>
      <c r="G561" t="s">
        <v>227</v>
      </c>
      <c r="H561" t="s">
        <v>1407</v>
      </c>
      <c r="I561" t="s">
        <v>1408</v>
      </c>
      <c r="J561" t="s">
        <v>5408</v>
      </c>
      <c r="K561" t="s">
        <v>322</v>
      </c>
      <c r="N561" t="s">
        <v>273</v>
      </c>
      <c r="O561" t="s">
        <v>48</v>
      </c>
      <c r="P561" t="s">
        <v>1409</v>
      </c>
      <c r="Q561" s="534">
        <v>0</v>
      </c>
      <c r="CC561" s="2146" t="s">
        <v>2148</v>
      </c>
      <c r="CJ561" t="s">
        <v>13365</v>
      </c>
    </row>
    <row r="562" spans="1:88">
      <c r="A562" s="2146" t="s">
        <v>13224</v>
      </c>
      <c r="B562" t="s">
        <v>13261</v>
      </c>
      <c r="C562" t="s">
        <v>116</v>
      </c>
      <c r="D562" t="s">
        <v>214</v>
      </c>
      <c r="E562" t="s">
        <v>215</v>
      </c>
      <c r="F562" t="s">
        <v>1396</v>
      </c>
      <c r="G562" t="s">
        <v>1416</v>
      </c>
      <c r="H562" t="s">
        <v>1417</v>
      </c>
      <c r="I562" t="s">
        <v>1418</v>
      </c>
      <c r="J562" t="s">
        <v>69</v>
      </c>
      <c r="N562" t="s">
        <v>175</v>
      </c>
      <c r="O562" t="s">
        <v>48</v>
      </c>
      <c r="P562" t="s">
        <v>3730</v>
      </c>
      <c r="Q562" s="534">
        <v>0</v>
      </c>
      <c r="CC562" s="2146" t="s">
        <v>2148</v>
      </c>
      <c r="CJ562" t="s">
        <v>13366</v>
      </c>
    </row>
    <row r="563" spans="1:88">
      <c r="A563" s="2146" t="s">
        <v>13224</v>
      </c>
      <c r="B563" t="s">
        <v>13262</v>
      </c>
      <c r="C563" t="s">
        <v>116</v>
      </c>
      <c r="D563" t="s">
        <v>214</v>
      </c>
      <c r="E563" t="s">
        <v>215</v>
      </c>
      <c r="F563" t="s">
        <v>1366</v>
      </c>
      <c r="G563" t="s">
        <v>233</v>
      </c>
      <c r="H563" t="s">
        <v>1420</v>
      </c>
      <c r="I563" t="s">
        <v>1421</v>
      </c>
      <c r="J563" t="s">
        <v>5406</v>
      </c>
      <c r="K563" t="s">
        <v>45</v>
      </c>
      <c r="L563" t="s">
        <v>50</v>
      </c>
      <c r="N563" t="s">
        <v>113</v>
      </c>
      <c r="O563" t="s">
        <v>76</v>
      </c>
      <c r="P563" t="s">
        <v>193</v>
      </c>
      <c r="Q563" s="534">
        <v>0</v>
      </c>
      <c r="CC563" s="2146" t="s">
        <v>2148</v>
      </c>
      <c r="CJ563" t="s">
        <v>13367</v>
      </c>
    </row>
    <row r="564" spans="1:88">
      <c r="A564" s="2146" t="s">
        <v>13224</v>
      </c>
      <c r="B564" t="s">
        <v>13263</v>
      </c>
      <c r="C564" t="s">
        <v>116</v>
      </c>
      <c r="D564" t="s">
        <v>214</v>
      </c>
      <c r="E564" t="s">
        <v>215</v>
      </c>
      <c r="F564" t="s">
        <v>1370</v>
      </c>
      <c r="G564" t="s">
        <v>242</v>
      </c>
      <c r="H564" t="s">
        <v>1427</v>
      </c>
      <c r="I564" t="s">
        <v>1428</v>
      </c>
      <c r="J564" t="s">
        <v>5406</v>
      </c>
      <c r="K564" t="s">
        <v>45</v>
      </c>
      <c r="L564" t="s">
        <v>50</v>
      </c>
      <c r="M564" t="s">
        <v>46</v>
      </c>
      <c r="N564" t="s">
        <v>249</v>
      </c>
      <c r="O564" t="s">
        <v>48</v>
      </c>
      <c r="P564" t="s">
        <v>250</v>
      </c>
      <c r="Q564" s="534">
        <v>0</v>
      </c>
      <c r="CC564" s="2146" t="s">
        <v>2148</v>
      </c>
      <c r="CJ564" t="s">
        <v>13368</v>
      </c>
    </row>
    <row r="565" spans="1:88">
      <c r="A565" s="2146" t="s">
        <v>13224</v>
      </c>
      <c r="B565" t="s">
        <v>13264</v>
      </c>
      <c r="C565" t="s">
        <v>116</v>
      </c>
      <c r="D565" t="s">
        <v>214</v>
      </c>
      <c r="E565" t="s">
        <v>215</v>
      </c>
      <c r="F565" t="s">
        <v>1370</v>
      </c>
      <c r="G565" t="s">
        <v>246</v>
      </c>
      <c r="H565" t="s">
        <v>1430</v>
      </c>
      <c r="I565" t="s">
        <v>3215</v>
      </c>
      <c r="J565" t="s">
        <v>5408</v>
      </c>
      <c r="K565" t="s">
        <v>322</v>
      </c>
      <c r="M565" t="s">
        <v>46</v>
      </c>
      <c r="N565" t="s">
        <v>175</v>
      </c>
      <c r="O565" t="s">
        <v>76</v>
      </c>
      <c r="P565" t="s">
        <v>1158</v>
      </c>
      <c r="Q565" s="534">
        <v>2</v>
      </c>
      <c r="CC565" s="2146" t="s">
        <v>2148</v>
      </c>
      <c r="CJ565" t="s">
        <v>13369</v>
      </c>
    </row>
    <row r="566" spans="1:88">
      <c r="A566" s="2146" t="s">
        <v>13224</v>
      </c>
      <c r="B566" t="s">
        <v>13265</v>
      </c>
      <c r="C566" t="s">
        <v>116</v>
      </c>
      <c r="D566" t="s">
        <v>214</v>
      </c>
      <c r="E566" t="s">
        <v>215</v>
      </c>
      <c r="F566" t="s">
        <v>1370</v>
      </c>
      <c r="G566" t="s">
        <v>1435</v>
      </c>
      <c r="H566" t="s">
        <v>1436</v>
      </c>
      <c r="I566" t="s">
        <v>1437</v>
      </c>
      <c r="J566" t="s">
        <v>5717</v>
      </c>
      <c r="K566" t="s">
        <v>45</v>
      </c>
      <c r="N566" t="s">
        <v>230</v>
      </c>
      <c r="O566" t="s">
        <v>48</v>
      </c>
      <c r="P566" t="s">
        <v>1438</v>
      </c>
      <c r="Q566" s="534">
        <v>0</v>
      </c>
      <c r="CC566" s="2146" t="s">
        <v>2148</v>
      </c>
      <c r="CJ566" t="s">
        <v>13370</v>
      </c>
    </row>
    <row r="567" spans="1:88">
      <c r="A567" s="2146" t="s">
        <v>13224</v>
      </c>
      <c r="B567" t="s">
        <v>13266</v>
      </c>
      <c r="C567" t="s">
        <v>116</v>
      </c>
      <c r="D567" t="s">
        <v>214</v>
      </c>
      <c r="E567" t="s">
        <v>215</v>
      </c>
      <c r="F567" t="s">
        <v>1370</v>
      </c>
      <c r="G567" t="s">
        <v>1440</v>
      </c>
      <c r="H567" t="s">
        <v>1441</v>
      </c>
      <c r="I567" t="s">
        <v>1442</v>
      </c>
      <c r="J567" t="s">
        <v>69</v>
      </c>
      <c r="N567" t="s">
        <v>249</v>
      </c>
      <c r="O567" t="s">
        <v>48</v>
      </c>
      <c r="P567" t="s">
        <v>1178</v>
      </c>
      <c r="Q567" s="534">
        <v>0</v>
      </c>
      <c r="CC567" s="2146" t="s">
        <v>2148</v>
      </c>
      <c r="CJ567" t="s">
        <v>13371</v>
      </c>
    </row>
    <row r="568" spans="1:88">
      <c r="A568" s="2146" t="s">
        <v>13224</v>
      </c>
      <c r="B568" t="s">
        <v>13267</v>
      </c>
      <c r="C568" t="s">
        <v>116</v>
      </c>
      <c r="D568" t="s">
        <v>214</v>
      </c>
      <c r="E568" t="s">
        <v>215</v>
      </c>
      <c r="F568" t="s">
        <v>1370</v>
      </c>
      <c r="G568" t="s">
        <v>1444</v>
      </c>
      <c r="H568" t="s">
        <v>1445</v>
      </c>
      <c r="I568" t="s">
        <v>1446</v>
      </c>
      <c r="J568" t="s">
        <v>5406</v>
      </c>
      <c r="K568" t="s">
        <v>45</v>
      </c>
      <c r="N568" t="s">
        <v>175</v>
      </c>
      <c r="O568" t="s">
        <v>48</v>
      </c>
      <c r="P568" t="s">
        <v>1447</v>
      </c>
      <c r="Q568" s="534">
        <v>0</v>
      </c>
      <c r="CC568" s="2146" t="s">
        <v>2148</v>
      </c>
      <c r="CJ568" t="s">
        <v>13372</v>
      </c>
    </row>
    <row r="569" spans="1:88">
      <c r="A569" s="2146" t="s">
        <v>13224</v>
      </c>
      <c r="B569" t="s">
        <v>13268</v>
      </c>
      <c r="C569" t="s">
        <v>116</v>
      </c>
      <c r="D569" t="s">
        <v>214</v>
      </c>
      <c r="E569" t="s">
        <v>215</v>
      </c>
      <c r="F569" t="s">
        <v>1370</v>
      </c>
      <c r="G569" t="s">
        <v>1449</v>
      </c>
      <c r="H569" t="s">
        <v>1450</v>
      </c>
      <c r="I569" t="s">
        <v>1451</v>
      </c>
      <c r="J569" t="s">
        <v>69</v>
      </c>
      <c r="N569" t="s">
        <v>249</v>
      </c>
      <c r="O569" t="s">
        <v>48</v>
      </c>
      <c r="P569" t="s">
        <v>1452</v>
      </c>
      <c r="Q569" s="534">
        <v>0</v>
      </c>
      <c r="CC569" s="2146" t="s">
        <v>2148</v>
      </c>
      <c r="CJ569" t="s">
        <v>13373</v>
      </c>
    </row>
    <row r="570" spans="1:88">
      <c r="A570" s="2146" t="s">
        <v>13224</v>
      </c>
      <c r="B570" t="s">
        <v>13269</v>
      </c>
      <c r="C570" t="s">
        <v>116</v>
      </c>
      <c r="D570" t="s">
        <v>214</v>
      </c>
      <c r="E570" t="s">
        <v>215</v>
      </c>
      <c r="F570" t="s">
        <v>1387</v>
      </c>
      <c r="G570" t="s">
        <v>256</v>
      </c>
      <c r="H570" t="s">
        <v>1454</v>
      </c>
      <c r="I570" t="s">
        <v>1455</v>
      </c>
      <c r="J570" t="s">
        <v>5406</v>
      </c>
      <c r="K570" t="s">
        <v>45</v>
      </c>
      <c r="L570" t="s">
        <v>50</v>
      </c>
      <c r="N570" t="s">
        <v>182</v>
      </c>
      <c r="O570" t="s">
        <v>48</v>
      </c>
      <c r="P570" t="s">
        <v>603</v>
      </c>
      <c r="Q570" s="534">
        <v>3</v>
      </c>
      <c r="CC570" s="2146" t="s">
        <v>2148</v>
      </c>
      <c r="CJ570" t="s">
        <v>13374</v>
      </c>
    </row>
    <row r="571" spans="1:88">
      <c r="A571" s="2146" t="s">
        <v>13224</v>
      </c>
      <c r="B571" t="s">
        <v>13270</v>
      </c>
      <c r="C571" t="s">
        <v>116</v>
      </c>
      <c r="D571" t="s">
        <v>214</v>
      </c>
      <c r="E571" t="s">
        <v>215</v>
      </c>
      <c r="F571" t="s">
        <v>1391</v>
      </c>
      <c r="G571" t="s">
        <v>266</v>
      </c>
      <c r="H571" t="s">
        <v>1457</v>
      </c>
      <c r="I571" t="s">
        <v>1458</v>
      </c>
      <c r="J571" t="s">
        <v>69</v>
      </c>
      <c r="N571" t="s">
        <v>923</v>
      </c>
      <c r="O571" t="s">
        <v>48</v>
      </c>
      <c r="P571" t="s">
        <v>1394</v>
      </c>
      <c r="Q571" s="534">
        <v>0</v>
      </c>
      <c r="CC571" s="2146" t="s">
        <v>2148</v>
      </c>
      <c r="CJ571" t="s">
        <v>13375</v>
      </c>
    </row>
    <row r="572" spans="1:88">
      <c r="A572" s="2146" t="s">
        <v>13224</v>
      </c>
      <c r="B572" t="s">
        <v>13271</v>
      </c>
      <c r="C572" t="s">
        <v>116</v>
      </c>
      <c r="D572" t="s">
        <v>101</v>
      </c>
      <c r="E572" t="s">
        <v>102</v>
      </c>
      <c r="F572" t="s">
        <v>1460</v>
      </c>
      <c r="G572" t="s">
        <v>104</v>
      </c>
      <c r="H572" t="s">
        <v>1461</v>
      </c>
      <c r="I572" t="s">
        <v>1462</v>
      </c>
      <c r="J572" t="s">
        <v>69</v>
      </c>
      <c r="N572" t="s">
        <v>192</v>
      </c>
      <c r="O572" t="s">
        <v>281</v>
      </c>
      <c r="P572" t="s">
        <v>1463</v>
      </c>
      <c r="Q572" s="534" t="s">
        <v>51</v>
      </c>
      <c r="CC572" s="2146" t="s">
        <v>2148</v>
      </c>
      <c r="CJ572" t="s">
        <v>13376</v>
      </c>
    </row>
    <row r="573" spans="1:88">
      <c r="A573" s="2146" t="s">
        <v>13224</v>
      </c>
      <c r="B573" t="s">
        <v>13272</v>
      </c>
      <c r="C573" t="s">
        <v>116</v>
      </c>
      <c r="D573" t="s">
        <v>101</v>
      </c>
      <c r="E573" t="s">
        <v>102</v>
      </c>
      <c r="F573" t="s">
        <v>1460</v>
      </c>
      <c r="G573" t="s">
        <v>111</v>
      </c>
      <c r="H573" t="s">
        <v>1466</v>
      </c>
      <c r="I573" t="s">
        <v>1467</v>
      </c>
      <c r="J573" t="s">
        <v>5406</v>
      </c>
      <c r="K573" t="s">
        <v>45</v>
      </c>
      <c r="M573" t="s">
        <v>46</v>
      </c>
      <c r="N573" t="s">
        <v>106</v>
      </c>
      <c r="O573" t="s">
        <v>281</v>
      </c>
      <c r="P573" t="s">
        <v>408</v>
      </c>
      <c r="Q573" s="534" t="s">
        <v>51</v>
      </c>
      <c r="CC573" s="2146" t="s">
        <v>2148</v>
      </c>
      <c r="CJ573" t="s">
        <v>13377</v>
      </c>
    </row>
    <row r="574" spans="1:88">
      <c r="A574" s="2146" t="s">
        <v>13224</v>
      </c>
      <c r="B574" t="s">
        <v>13273</v>
      </c>
      <c r="C574" t="s">
        <v>116</v>
      </c>
      <c r="D574" t="s">
        <v>101</v>
      </c>
      <c r="E574" t="s">
        <v>102</v>
      </c>
      <c r="F574" t="s">
        <v>1469</v>
      </c>
      <c r="G574" t="s">
        <v>293</v>
      </c>
      <c r="H574" t="s">
        <v>1470</v>
      </c>
      <c r="I574" t="s">
        <v>1471</v>
      </c>
      <c r="J574" t="s">
        <v>69</v>
      </c>
      <c r="N574" t="s">
        <v>113</v>
      </c>
      <c r="O574" t="s">
        <v>48</v>
      </c>
      <c r="P574" t="s">
        <v>1276</v>
      </c>
      <c r="Q574" s="534">
        <v>0</v>
      </c>
      <c r="CC574" s="2146" t="s">
        <v>2148</v>
      </c>
      <c r="CJ574" t="s">
        <v>13378</v>
      </c>
    </row>
    <row r="575" spans="1:88">
      <c r="A575" s="2146" t="s">
        <v>13224</v>
      </c>
      <c r="B575" t="s">
        <v>13274</v>
      </c>
      <c r="C575" t="s">
        <v>116</v>
      </c>
      <c r="D575" t="s">
        <v>101</v>
      </c>
      <c r="E575" t="s">
        <v>102</v>
      </c>
      <c r="F575" t="s">
        <v>1469</v>
      </c>
      <c r="G575" t="s">
        <v>297</v>
      </c>
      <c r="H575" t="s">
        <v>1473</v>
      </c>
      <c r="I575" t="s">
        <v>1474</v>
      </c>
      <c r="J575" t="s">
        <v>69</v>
      </c>
      <c r="N575" t="s">
        <v>113</v>
      </c>
      <c r="O575" t="s">
        <v>76</v>
      </c>
      <c r="P575" t="s">
        <v>1475</v>
      </c>
      <c r="Q575" s="534">
        <v>2</v>
      </c>
      <c r="CC575" s="2146" t="s">
        <v>2148</v>
      </c>
      <c r="CJ575" t="s">
        <v>13379</v>
      </c>
    </row>
    <row r="576" spans="1:88">
      <c r="A576" s="2146" t="s">
        <v>13225</v>
      </c>
      <c r="B576" t="s">
        <v>13275</v>
      </c>
      <c r="C576" t="s">
        <v>116</v>
      </c>
      <c r="D576" t="s">
        <v>40</v>
      </c>
      <c r="E576" t="s">
        <v>41</v>
      </c>
      <c r="F576" t="s">
        <v>1290</v>
      </c>
      <c r="G576" t="s">
        <v>43</v>
      </c>
      <c r="H576" t="s">
        <v>1291</v>
      </c>
      <c r="I576" t="s">
        <v>1292</v>
      </c>
      <c r="J576" t="s">
        <v>5406</v>
      </c>
      <c r="K576" t="s">
        <v>45</v>
      </c>
      <c r="L576" t="s">
        <v>50</v>
      </c>
      <c r="N576" t="s">
        <v>24</v>
      </c>
      <c r="O576" t="s">
        <v>48</v>
      </c>
      <c r="P576" t="s">
        <v>1293</v>
      </c>
      <c r="Q576" s="534">
        <v>0</v>
      </c>
      <c r="CC576" s="2146" t="s">
        <v>2148</v>
      </c>
      <c r="CJ576" t="s">
        <v>13380</v>
      </c>
    </row>
    <row r="577" spans="1:88">
      <c r="A577" s="2146" t="s">
        <v>13225</v>
      </c>
      <c r="B577" t="s">
        <v>13276</v>
      </c>
      <c r="C577" t="s">
        <v>116</v>
      </c>
      <c r="D577" t="s">
        <v>40</v>
      </c>
      <c r="E577" t="s">
        <v>41</v>
      </c>
      <c r="F577" t="s">
        <v>1290</v>
      </c>
      <c r="G577" t="s">
        <v>54</v>
      </c>
      <c r="H577" t="s">
        <v>1295</v>
      </c>
      <c r="I577" t="s">
        <v>1296</v>
      </c>
      <c r="J577" t="s">
        <v>5408</v>
      </c>
      <c r="K577" t="s">
        <v>45</v>
      </c>
      <c r="L577" t="s">
        <v>50</v>
      </c>
      <c r="N577" t="s">
        <v>75</v>
      </c>
      <c r="O577" t="s">
        <v>76</v>
      </c>
      <c r="P577" t="s">
        <v>77</v>
      </c>
      <c r="Q577" s="534">
        <v>3</v>
      </c>
      <c r="CC577" s="2146" t="s">
        <v>2148</v>
      </c>
      <c r="CJ577" t="s">
        <v>13381</v>
      </c>
    </row>
    <row r="578" spans="1:88">
      <c r="A578" s="2146" t="s">
        <v>13225</v>
      </c>
      <c r="B578" t="s">
        <v>13277</v>
      </c>
      <c r="C578" t="s">
        <v>116</v>
      </c>
      <c r="D578" t="s">
        <v>40</v>
      </c>
      <c r="E578" t="s">
        <v>41</v>
      </c>
      <c r="F578" t="s">
        <v>1290</v>
      </c>
      <c r="G578" t="s">
        <v>59</v>
      </c>
      <c r="H578" t="s">
        <v>1298</v>
      </c>
      <c r="I578" t="s">
        <v>3208</v>
      </c>
      <c r="J578" t="s">
        <v>5408</v>
      </c>
      <c r="K578" t="s">
        <v>322</v>
      </c>
      <c r="M578" t="s">
        <v>46</v>
      </c>
      <c r="N578" t="s">
        <v>91</v>
      </c>
      <c r="O578" t="s">
        <v>48</v>
      </c>
      <c r="P578" t="s">
        <v>1299</v>
      </c>
      <c r="Q578" s="534">
        <v>0</v>
      </c>
      <c r="CC578" s="2146" t="s">
        <v>2148</v>
      </c>
      <c r="CJ578" t="s">
        <v>13382</v>
      </c>
    </row>
    <row r="579" spans="1:88">
      <c r="A579" s="2146" t="s">
        <v>13225</v>
      </c>
      <c r="B579" t="s">
        <v>13278</v>
      </c>
      <c r="C579" t="s">
        <v>116</v>
      </c>
      <c r="D579" t="s">
        <v>40</v>
      </c>
      <c r="E579" t="s">
        <v>41</v>
      </c>
      <c r="F579" t="s">
        <v>1290</v>
      </c>
      <c r="G579" t="s">
        <v>63</v>
      </c>
      <c r="H579" t="s">
        <v>1303</v>
      </c>
      <c r="I579" t="s">
        <v>1304</v>
      </c>
      <c r="J579" t="s">
        <v>5406</v>
      </c>
      <c r="K579" t="s">
        <v>45</v>
      </c>
      <c r="L579" t="s">
        <v>50</v>
      </c>
      <c r="M579" t="s">
        <v>46</v>
      </c>
      <c r="N579" t="s">
        <v>1305</v>
      </c>
      <c r="O579" t="s">
        <v>48</v>
      </c>
      <c r="P579" t="s">
        <v>1306</v>
      </c>
      <c r="Q579" s="534">
        <v>0</v>
      </c>
      <c r="CC579" s="2146" t="s">
        <v>2148</v>
      </c>
      <c r="CJ579" t="s">
        <v>13383</v>
      </c>
    </row>
    <row r="580" spans="1:88">
      <c r="A580" s="2146" t="s">
        <v>13225</v>
      </c>
      <c r="B580" t="s">
        <v>13279</v>
      </c>
      <c r="C580" t="s">
        <v>116</v>
      </c>
      <c r="D580" t="s">
        <v>40</v>
      </c>
      <c r="E580" t="s">
        <v>41</v>
      </c>
      <c r="F580" t="s">
        <v>1308</v>
      </c>
      <c r="G580" t="s">
        <v>73</v>
      </c>
      <c r="H580" t="s">
        <v>1309</v>
      </c>
      <c r="I580" t="s">
        <v>1310</v>
      </c>
      <c r="J580" t="s">
        <v>69</v>
      </c>
      <c r="N580" t="s">
        <v>65</v>
      </c>
      <c r="O580" t="s">
        <v>48</v>
      </c>
      <c r="P580" t="s">
        <v>57</v>
      </c>
      <c r="Q580" s="534">
        <v>0</v>
      </c>
      <c r="CC580" s="2146" t="s">
        <v>2148</v>
      </c>
      <c r="CJ580" t="s">
        <v>13384</v>
      </c>
    </row>
    <row r="581" spans="1:88">
      <c r="A581" s="2146" t="s">
        <v>13225</v>
      </c>
      <c r="B581" t="s">
        <v>13280</v>
      </c>
      <c r="C581" t="s">
        <v>116</v>
      </c>
      <c r="D581" t="s">
        <v>40</v>
      </c>
      <c r="E581" t="s">
        <v>41</v>
      </c>
      <c r="F581" t="s">
        <v>1308</v>
      </c>
      <c r="G581" t="s">
        <v>79</v>
      </c>
      <c r="H581" t="s">
        <v>1312</v>
      </c>
      <c r="I581" t="s">
        <v>1313</v>
      </c>
      <c r="J581" t="s">
        <v>5406</v>
      </c>
      <c r="K581" t="s">
        <v>45</v>
      </c>
      <c r="L581" t="s">
        <v>50</v>
      </c>
      <c r="M581" t="s">
        <v>46</v>
      </c>
      <c r="N581" t="s">
        <v>47</v>
      </c>
      <c r="O581" t="s">
        <v>48</v>
      </c>
      <c r="P581" t="s">
        <v>49</v>
      </c>
      <c r="Q581" s="534">
        <v>0</v>
      </c>
      <c r="CC581" s="2146" t="s">
        <v>2148</v>
      </c>
      <c r="CJ581" t="s">
        <v>13385</v>
      </c>
    </row>
    <row r="582" spans="1:88">
      <c r="A582" s="2146" t="s">
        <v>13225</v>
      </c>
      <c r="B582" t="s">
        <v>13281</v>
      </c>
      <c r="C582" t="s">
        <v>116</v>
      </c>
      <c r="D582" t="s">
        <v>40</v>
      </c>
      <c r="E582" t="s">
        <v>41</v>
      </c>
      <c r="F582" t="s">
        <v>1308</v>
      </c>
      <c r="G582" t="s">
        <v>523</v>
      </c>
      <c r="H582" t="s">
        <v>1315</v>
      </c>
      <c r="I582" t="s">
        <v>1316</v>
      </c>
      <c r="J582" t="s">
        <v>5406</v>
      </c>
      <c r="K582" t="s">
        <v>45</v>
      </c>
      <c r="L582" t="s">
        <v>50</v>
      </c>
      <c r="N582" t="s">
        <v>47</v>
      </c>
      <c r="O582" t="s">
        <v>76</v>
      </c>
      <c r="P582" t="s">
        <v>1317</v>
      </c>
      <c r="Q582" s="534">
        <v>0</v>
      </c>
      <c r="CC582" s="2146" t="s">
        <v>2148</v>
      </c>
      <c r="CJ582" t="s">
        <v>13386</v>
      </c>
    </row>
    <row r="583" spans="1:88">
      <c r="A583" s="2146" t="s">
        <v>13225</v>
      </c>
      <c r="B583" t="s">
        <v>13282</v>
      </c>
      <c r="C583" t="s">
        <v>116</v>
      </c>
      <c r="D583" t="s">
        <v>40</v>
      </c>
      <c r="E583" t="s">
        <v>41</v>
      </c>
      <c r="F583" t="s">
        <v>1308</v>
      </c>
      <c r="G583" t="s">
        <v>1319</v>
      </c>
      <c r="H583" t="s">
        <v>1320</v>
      </c>
      <c r="I583" t="s">
        <v>1321</v>
      </c>
      <c r="J583" t="s">
        <v>5406</v>
      </c>
      <c r="K583" t="s">
        <v>45</v>
      </c>
      <c r="L583" t="s">
        <v>50</v>
      </c>
      <c r="M583" t="s">
        <v>46</v>
      </c>
      <c r="N583" t="s">
        <v>86</v>
      </c>
      <c r="O583" t="s">
        <v>119</v>
      </c>
      <c r="P583" t="s">
        <v>120</v>
      </c>
      <c r="Q583" s="534">
        <v>2</v>
      </c>
      <c r="CC583" s="2146" t="s">
        <v>2148</v>
      </c>
      <c r="CJ583" t="s">
        <v>13387</v>
      </c>
    </row>
    <row r="584" spans="1:88">
      <c r="A584" s="2146" t="s">
        <v>13225</v>
      </c>
      <c r="B584" t="s">
        <v>13283</v>
      </c>
      <c r="C584" t="s">
        <v>116</v>
      </c>
      <c r="D584" t="s">
        <v>40</v>
      </c>
      <c r="E584" t="s">
        <v>41</v>
      </c>
      <c r="F584" t="s">
        <v>1308</v>
      </c>
      <c r="G584" t="s">
        <v>1323</v>
      </c>
      <c r="H584" t="s">
        <v>1324</v>
      </c>
      <c r="I584" t="s">
        <v>1325</v>
      </c>
      <c r="J584" t="s">
        <v>5406</v>
      </c>
      <c r="K584" t="s">
        <v>45</v>
      </c>
      <c r="N584" t="s">
        <v>137</v>
      </c>
      <c r="O584" t="s">
        <v>76</v>
      </c>
      <c r="P584" t="s">
        <v>1326</v>
      </c>
      <c r="Q584" s="534">
        <v>1</v>
      </c>
      <c r="CC584" s="2146" t="s">
        <v>2148</v>
      </c>
      <c r="CJ584" t="s">
        <v>13388</v>
      </c>
    </row>
    <row r="585" spans="1:88">
      <c r="A585" s="2146" t="s">
        <v>13225</v>
      </c>
      <c r="B585" t="s">
        <v>13284</v>
      </c>
      <c r="C585" t="s">
        <v>116</v>
      </c>
      <c r="D585" t="s">
        <v>40</v>
      </c>
      <c r="E585" t="s">
        <v>41</v>
      </c>
      <c r="F585" t="s">
        <v>1308</v>
      </c>
      <c r="G585" t="s">
        <v>1328</v>
      </c>
      <c r="H585" t="s">
        <v>1329</v>
      </c>
      <c r="I585" t="s">
        <v>1330</v>
      </c>
      <c r="J585" t="s">
        <v>5408</v>
      </c>
      <c r="K585" t="s">
        <v>322</v>
      </c>
      <c r="M585" t="s">
        <v>46</v>
      </c>
      <c r="N585" t="s">
        <v>91</v>
      </c>
      <c r="O585" t="s">
        <v>48</v>
      </c>
      <c r="P585" t="s">
        <v>92</v>
      </c>
      <c r="Q585" s="534">
        <v>0</v>
      </c>
      <c r="CC585" s="2146" t="s">
        <v>2148</v>
      </c>
      <c r="CJ585" t="s">
        <v>13389</v>
      </c>
    </row>
    <row r="586" spans="1:88">
      <c r="A586" s="2146" t="s">
        <v>13225</v>
      </c>
      <c r="B586" t="s">
        <v>13285</v>
      </c>
      <c r="C586" t="s">
        <v>116</v>
      </c>
      <c r="D586" t="s">
        <v>40</v>
      </c>
      <c r="E586" t="s">
        <v>41</v>
      </c>
      <c r="F586" t="s">
        <v>1308</v>
      </c>
      <c r="G586" t="s">
        <v>1332</v>
      </c>
      <c r="H586" t="s">
        <v>1333</v>
      </c>
      <c r="I586" t="s">
        <v>1334</v>
      </c>
      <c r="J586" t="s">
        <v>5406</v>
      </c>
      <c r="K586" t="s">
        <v>45</v>
      </c>
      <c r="L586" t="s">
        <v>50</v>
      </c>
      <c r="N586" t="s">
        <v>124</v>
      </c>
      <c r="O586" t="s">
        <v>48</v>
      </c>
      <c r="P586" t="s">
        <v>1335</v>
      </c>
      <c r="Q586" s="534">
        <v>0</v>
      </c>
      <c r="CC586" s="2146" t="s">
        <v>2148</v>
      </c>
      <c r="CJ586" t="s">
        <v>13390</v>
      </c>
    </row>
    <row r="587" spans="1:88">
      <c r="A587" s="2146" t="s">
        <v>13225</v>
      </c>
      <c r="B587" t="s">
        <v>13286</v>
      </c>
      <c r="C587" t="s">
        <v>116</v>
      </c>
      <c r="D587" t="s">
        <v>40</v>
      </c>
      <c r="E587" t="s">
        <v>41</v>
      </c>
      <c r="F587" t="s">
        <v>1308</v>
      </c>
      <c r="G587" t="s">
        <v>1337</v>
      </c>
      <c r="H587" t="s">
        <v>1338</v>
      </c>
      <c r="I587" t="s">
        <v>1339</v>
      </c>
      <c r="J587" t="s">
        <v>5406</v>
      </c>
      <c r="K587" t="s">
        <v>45</v>
      </c>
      <c r="L587" t="s">
        <v>50</v>
      </c>
      <c r="M587" t="s">
        <v>46</v>
      </c>
      <c r="N587" t="s">
        <v>143</v>
      </c>
      <c r="O587" t="s">
        <v>48</v>
      </c>
      <c r="P587" t="s">
        <v>1340</v>
      </c>
      <c r="Q587" s="534">
        <v>0</v>
      </c>
      <c r="CC587" s="2146" t="s">
        <v>2148</v>
      </c>
      <c r="CJ587" t="s">
        <v>13391</v>
      </c>
    </row>
    <row r="588" spans="1:88">
      <c r="A588" s="2146" t="s">
        <v>13225</v>
      </c>
      <c r="B588" t="s">
        <v>13287</v>
      </c>
      <c r="C588" t="s">
        <v>116</v>
      </c>
      <c r="D588" t="s">
        <v>40</v>
      </c>
      <c r="E588" t="s">
        <v>41</v>
      </c>
      <c r="F588" t="s">
        <v>1308</v>
      </c>
      <c r="G588" t="s">
        <v>1342</v>
      </c>
      <c r="H588" t="s">
        <v>1343</v>
      </c>
      <c r="I588" t="s">
        <v>3209</v>
      </c>
      <c r="J588" t="s">
        <v>5408</v>
      </c>
      <c r="K588" t="s">
        <v>45</v>
      </c>
      <c r="M588" t="s">
        <v>46</v>
      </c>
      <c r="N588" t="s">
        <v>137</v>
      </c>
      <c r="O588" t="s">
        <v>281</v>
      </c>
      <c r="P588" t="s">
        <v>1344</v>
      </c>
      <c r="Q588" s="534" t="s">
        <v>51</v>
      </c>
      <c r="CC588" s="2146" t="s">
        <v>2148</v>
      </c>
      <c r="CJ588" t="s">
        <v>13392</v>
      </c>
    </row>
    <row r="589" spans="1:88">
      <c r="A589" s="2146" t="s">
        <v>13225</v>
      </c>
      <c r="B589" t="s">
        <v>13288</v>
      </c>
      <c r="C589" t="s">
        <v>116</v>
      </c>
      <c r="D589" t="s">
        <v>40</v>
      </c>
      <c r="E589" t="s">
        <v>41</v>
      </c>
      <c r="F589" t="s">
        <v>1308</v>
      </c>
      <c r="G589" t="s">
        <v>1348</v>
      </c>
      <c r="H589" t="s">
        <v>1349</v>
      </c>
      <c r="I589" t="s">
        <v>3210</v>
      </c>
      <c r="J589" t="s">
        <v>5408</v>
      </c>
      <c r="K589" t="s">
        <v>322</v>
      </c>
      <c r="M589" t="s">
        <v>46</v>
      </c>
      <c r="N589" t="s">
        <v>137</v>
      </c>
      <c r="O589" t="s">
        <v>281</v>
      </c>
      <c r="P589" t="s">
        <v>1344</v>
      </c>
      <c r="Q589" s="534" t="s">
        <v>51</v>
      </c>
      <c r="CC589" s="2146" t="s">
        <v>2148</v>
      </c>
      <c r="CJ589" t="s">
        <v>13393</v>
      </c>
    </row>
    <row r="590" spans="1:88">
      <c r="A590" s="2146" t="s">
        <v>13225</v>
      </c>
      <c r="B590" t="s">
        <v>13289</v>
      </c>
      <c r="C590" t="s">
        <v>116</v>
      </c>
      <c r="D590" t="s">
        <v>40</v>
      </c>
      <c r="E590" t="s">
        <v>41</v>
      </c>
      <c r="F590" t="s">
        <v>1308</v>
      </c>
      <c r="G590" t="s">
        <v>1351</v>
      </c>
      <c r="H590" t="s">
        <v>1352</v>
      </c>
      <c r="I590" t="s">
        <v>3211</v>
      </c>
      <c r="J590" t="s">
        <v>5408</v>
      </c>
      <c r="K590" t="s">
        <v>45</v>
      </c>
      <c r="M590" t="s">
        <v>46</v>
      </c>
      <c r="N590" t="s">
        <v>137</v>
      </c>
      <c r="O590" t="s">
        <v>281</v>
      </c>
      <c r="P590" t="s">
        <v>1344</v>
      </c>
      <c r="Q590" s="534" t="s">
        <v>51</v>
      </c>
      <c r="CC590" s="2146" t="s">
        <v>2148</v>
      </c>
      <c r="CJ590" t="s">
        <v>13394</v>
      </c>
    </row>
    <row r="591" spans="1:88">
      <c r="A591" s="2146" t="s">
        <v>13225</v>
      </c>
      <c r="B591" t="s">
        <v>13290</v>
      </c>
      <c r="C591" t="s">
        <v>116</v>
      </c>
      <c r="D591" t="s">
        <v>40</v>
      </c>
      <c r="E591" t="s">
        <v>41</v>
      </c>
      <c r="F591" t="s">
        <v>1308</v>
      </c>
      <c r="G591" t="s">
        <v>1356</v>
      </c>
      <c r="H591" t="s">
        <v>1357</v>
      </c>
      <c r="I591" t="s">
        <v>3212</v>
      </c>
      <c r="J591" t="s">
        <v>5408</v>
      </c>
      <c r="K591" t="s">
        <v>322</v>
      </c>
      <c r="M591" t="s">
        <v>46</v>
      </c>
      <c r="N591" t="s">
        <v>137</v>
      </c>
      <c r="O591" t="s">
        <v>281</v>
      </c>
      <c r="P591" t="s">
        <v>1344</v>
      </c>
      <c r="Q591" s="534" t="s">
        <v>51</v>
      </c>
      <c r="CC591" s="2146" t="s">
        <v>2148</v>
      </c>
      <c r="CJ591" t="s">
        <v>13395</v>
      </c>
    </row>
    <row r="592" spans="1:88">
      <c r="A592" s="2146" t="s">
        <v>13225</v>
      </c>
      <c r="B592" t="s">
        <v>13291</v>
      </c>
      <c r="C592" t="s">
        <v>116</v>
      </c>
      <c r="D592" t="s">
        <v>40</v>
      </c>
      <c r="E592" t="s">
        <v>41</v>
      </c>
      <c r="F592" t="s">
        <v>1308</v>
      </c>
      <c r="G592" t="s">
        <v>1359</v>
      </c>
      <c r="H592" t="s">
        <v>1360</v>
      </c>
      <c r="I592" t="s">
        <v>3213</v>
      </c>
      <c r="J592" t="s">
        <v>5408</v>
      </c>
      <c r="K592" t="s">
        <v>45</v>
      </c>
      <c r="M592" t="s">
        <v>46</v>
      </c>
      <c r="N592" t="s">
        <v>137</v>
      </c>
      <c r="O592" t="s">
        <v>281</v>
      </c>
      <c r="P592" t="s">
        <v>1187</v>
      </c>
      <c r="Q592" s="534" t="s">
        <v>51</v>
      </c>
      <c r="CC592" s="2146" t="s">
        <v>2148</v>
      </c>
      <c r="CJ592" t="s">
        <v>13396</v>
      </c>
    </row>
    <row r="593" spans="1:88">
      <c r="A593" s="2146" t="s">
        <v>13225</v>
      </c>
      <c r="B593" t="s">
        <v>13292</v>
      </c>
      <c r="C593" t="s">
        <v>116</v>
      </c>
      <c r="D593" t="s">
        <v>40</v>
      </c>
      <c r="E593" t="s">
        <v>41</v>
      </c>
      <c r="F593" t="s">
        <v>1308</v>
      </c>
      <c r="G593" t="s">
        <v>1363</v>
      </c>
      <c r="H593" t="s">
        <v>1364</v>
      </c>
      <c r="I593" t="s">
        <v>3214</v>
      </c>
      <c r="J593" t="s">
        <v>5408</v>
      </c>
      <c r="K593" t="s">
        <v>322</v>
      </c>
      <c r="M593" t="s">
        <v>46</v>
      </c>
      <c r="N593" t="s">
        <v>137</v>
      </c>
      <c r="O593" t="s">
        <v>281</v>
      </c>
      <c r="P593" t="s">
        <v>1187</v>
      </c>
      <c r="Q593" s="534" t="s">
        <v>51</v>
      </c>
      <c r="CC593" s="2146" t="s">
        <v>2148</v>
      </c>
      <c r="CJ593" t="s">
        <v>13397</v>
      </c>
    </row>
    <row r="594" spans="1:88">
      <c r="A594" s="2146" t="s">
        <v>13225</v>
      </c>
      <c r="B594" t="s">
        <v>13293</v>
      </c>
      <c r="C594" t="s">
        <v>116</v>
      </c>
      <c r="D594" t="s">
        <v>40</v>
      </c>
      <c r="E594" t="s">
        <v>41</v>
      </c>
      <c r="F594" t="s">
        <v>1366</v>
      </c>
      <c r="G594" t="s">
        <v>84</v>
      </c>
      <c r="H594" t="s">
        <v>1367</v>
      </c>
      <c r="I594" t="s">
        <v>1368</v>
      </c>
      <c r="J594" t="s">
        <v>5406</v>
      </c>
      <c r="K594" t="s">
        <v>45</v>
      </c>
      <c r="L594" t="s">
        <v>50</v>
      </c>
      <c r="N594" t="s">
        <v>113</v>
      </c>
      <c r="O594" t="s">
        <v>76</v>
      </c>
      <c r="P594" t="s">
        <v>193</v>
      </c>
      <c r="Q594" s="534">
        <v>0</v>
      </c>
      <c r="CC594" s="2146" t="s">
        <v>2148</v>
      </c>
      <c r="CJ594" t="s">
        <v>13398</v>
      </c>
    </row>
    <row r="595" spans="1:88">
      <c r="A595" s="2146" t="s">
        <v>13225</v>
      </c>
      <c r="B595" t="s">
        <v>13294</v>
      </c>
      <c r="C595" t="s">
        <v>116</v>
      </c>
      <c r="D595" t="s">
        <v>40</v>
      </c>
      <c r="E595" t="s">
        <v>41</v>
      </c>
      <c r="F595" t="s">
        <v>1370</v>
      </c>
      <c r="G595" t="s">
        <v>147</v>
      </c>
      <c r="H595" t="s">
        <v>1371</v>
      </c>
      <c r="I595" t="s">
        <v>1372</v>
      </c>
      <c r="J595" t="s">
        <v>5406</v>
      </c>
      <c r="K595" t="s">
        <v>45</v>
      </c>
      <c r="N595" t="s">
        <v>175</v>
      </c>
      <c r="O595" t="s">
        <v>48</v>
      </c>
      <c r="P595" t="s">
        <v>1373</v>
      </c>
      <c r="Q595" s="534">
        <v>0</v>
      </c>
      <c r="CC595" s="2146" t="s">
        <v>2148</v>
      </c>
      <c r="CJ595" t="s">
        <v>13399</v>
      </c>
    </row>
    <row r="596" spans="1:88">
      <c r="A596" s="2146" t="s">
        <v>13225</v>
      </c>
      <c r="B596" t="s">
        <v>13295</v>
      </c>
      <c r="C596" t="s">
        <v>116</v>
      </c>
      <c r="D596" t="s">
        <v>40</v>
      </c>
      <c r="E596" t="s">
        <v>41</v>
      </c>
      <c r="F596" t="s">
        <v>1370</v>
      </c>
      <c r="G596" t="s">
        <v>152</v>
      </c>
      <c r="H596" t="s">
        <v>1375</v>
      </c>
      <c r="I596" t="s">
        <v>1376</v>
      </c>
      <c r="J596" t="s">
        <v>69</v>
      </c>
      <c r="N596" t="s">
        <v>175</v>
      </c>
      <c r="O596" t="s">
        <v>76</v>
      </c>
      <c r="P596" t="s">
        <v>1377</v>
      </c>
      <c r="Q596" s="534">
        <v>0</v>
      </c>
      <c r="CC596" s="2146" t="s">
        <v>2148</v>
      </c>
      <c r="CJ596" t="s">
        <v>13400</v>
      </c>
    </row>
    <row r="597" spans="1:88">
      <c r="A597" s="2146" t="s">
        <v>13225</v>
      </c>
      <c r="B597" t="s">
        <v>13296</v>
      </c>
      <c r="C597" t="s">
        <v>116</v>
      </c>
      <c r="D597" t="s">
        <v>40</v>
      </c>
      <c r="E597" t="s">
        <v>41</v>
      </c>
      <c r="F597" t="s">
        <v>1370</v>
      </c>
      <c r="G597" t="s">
        <v>156</v>
      </c>
      <c r="H597" t="s">
        <v>1379</v>
      </c>
      <c r="I597" t="s">
        <v>1380</v>
      </c>
      <c r="J597" t="s">
        <v>69</v>
      </c>
      <c r="N597" t="s">
        <v>169</v>
      </c>
      <c r="O597" t="s">
        <v>48</v>
      </c>
      <c r="P597" t="s">
        <v>1381</v>
      </c>
      <c r="Q597" s="534">
        <v>0</v>
      </c>
      <c r="CC597" s="2146" t="s">
        <v>2148</v>
      </c>
      <c r="CJ597" t="s">
        <v>13401</v>
      </c>
    </row>
    <row r="598" spans="1:88">
      <c r="A598" s="2146" t="s">
        <v>13225</v>
      </c>
      <c r="B598" t="s">
        <v>13297</v>
      </c>
      <c r="C598" t="s">
        <v>116</v>
      </c>
      <c r="D598" t="s">
        <v>40</v>
      </c>
      <c r="E598" t="s">
        <v>41</v>
      </c>
      <c r="F598" t="s">
        <v>1370</v>
      </c>
      <c r="G598" t="s">
        <v>161</v>
      </c>
      <c r="H598" t="s">
        <v>1383</v>
      </c>
      <c r="I598" t="s">
        <v>1384</v>
      </c>
      <c r="J598" t="s">
        <v>69</v>
      </c>
      <c r="N598" t="s">
        <v>175</v>
      </c>
      <c r="O598" t="s">
        <v>48</v>
      </c>
      <c r="P598" t="s">
        <v>1385</v>
      </c>
      <c r="Q598" s="534">
        <v>0</v>
      </c>
      <c r="CC598" s="2146" t="s">
        <v>2148</v>
      </c>
      <c r="CJ598" t="s">
        <v>13402</v>
      </c>
    </row>
    <row r="599" spans="1:88">
      <c r="A599" s="2146" t="s">
        <v>13225</v>
      </c>
      <c r="B599" t="s">
        <v>13298</v>
      </c>
      <c r="C599" t="s">
        <v>116</v>
      </c>
      <c r="D599" t="s">
        <v>40</v>
      </c>
      <c r="E599" t="s">
        <v>41</v>
      </c>
      <c r="F599" t="s">
        <v>1387</v>
      </c>
      <c r="G599" t="s">
        <v>166</v>
      </c>
      <c r="H599" t="s">
        <v>1388</v>
      </c>
      <c r="I599" t="s">
        <v>1389</v>
      </c>
      <c r="J599" t="s">
        <v>5406</v>
      </c>
      <c r="K599" t="s">
        <v>45</v>
      </c>
      <c r="L599" t="s">
        <v>50</v>
      </c>
      <c r="N599" t="s">
        <v>182</v>
      </c>
      <c r="O599" t="s">
        <v>48</v>
      </c>
      <c r="P599" t="s">
        <v>603</v>
      </c>
      <c r="Q599" s="534">
        <v>3</v>
      </c>
      <c r="CC599" s="2146" t="s">
        <v>2148</v>
      </c>
      <c r="CJ599" t="s">
        <v>13403</v>
      </c>
    </row>
    <row r="600" spans="1:88">
      <c r="A600" s="2146" t="s">
        <v>13225</v>
      </c>
      <c r="B600" t="s">
        <v>13299</v>
      </c>
      <c r="C600" t="s">
        <v>116</v>
      </c>
      <c r="D600" t="s">
        <v>40</v>
      </c>
      <c r="E600" t="s">
        <v>41</v>
      </c>
      <c r="F600" t="s">
        <v>1391</v>
      </c>
      <c r="G600" t="s">
        <v>179</v>
      </c>
      <c r="H600" t="s">
        <v>1392</v>
      </c>
      <c r="I600" t="s">
        <v>1393</v>
      </c>
      <c r="J600" t="s">
        <v>69</v>
      </c>
      <c r="N600" t="s">
        <v>923</v>
      </c>
      <c r="O600" t="s">
        <v>48</v>
      </c>
      <c r="P600" t="s">
        <v>1394</v>
      </c>
      <c r="Q600" s="534">
        <v>0</v>
      </c>
      <c r="CC600" s="2146" t="s">
        <v>2148</v>
      </c>
      <c r="CJ600" t="s">
        <v>13404</v>
      </c>
    </row>
    <row r="601" spans="1:88">
      <c r="A601" s="2146" t="s">
        <v>13225</v>
      </c>
      <c r="B601" t="s">
        <v>13300</v>
      </c>
      <c r="C601" t="s">
        <v>116</v>
      </c>
      <c r="D601" t="s">
        <v>214</v>
      </c>
      <c r="E601" t="s">
        <v>215</v>
      </c>
      <c r="F601" t="s">
        <v>1396</v>
      </c>
      <c r="G601" t="s">
        <v>608</v>
      </c>
      <c r="H601" t="s">
        <v>1397</v>
      </c>
      <c r="I601" t="s">
        <v>1398</v>
      </c>
      <c r="J601" t="s">
        <v>5406</v>
      </c>
      <c r="K601" t="s">
        <v>45</v>
      </c>
      <c r="L601" t="s">
        <v>50</v>
      </c>
      <c r="M601" t="s">
        <v>46</v>
      </c>
      <c r="N601" t="s">
        <v>219</v>
      </c>
      <c r="O601" t="s">
        <v>48</v>
      </c>
      <c r="P601" t="s">
        <v>1141</v>
      </c>
      <c r="Q601" s="534">
        <v>0</v>
      </c>
      <c r="CC601" s="2146" t="s">
        <v>2148</v>
      </c>
      <c r="CJ601" t="s">
        <v>13405</v>
      </c>
    </row>
    <row r="602" spans="1:88">
      <c r="A602" s="2146" t="s">
        <v>13225</v>
      </c>
      <c r="B602" t="s">
        <v>13301</v>
      </c>
      <c r="C602" t="s">
        <v>116</v>
      </c>
      <c r="D602" t="s">
        <v>214</v>
      </c>
      <c r="E602" t="s">
        <v>215</v>
      </c>
      <c r="F602" t="s">
        <v>1396</v>
      </c>
      <c r="G602" t="s">
        <v>216</v>
      </c>
      <c r="H602" t="s">
        <v>1400</v>
      </c>
      <c r="I602" t="s">
        <v>1401</v>
      </c>
      <c r="J602" t="s">
        <v>5406</v>
      </c>
      <c r="K602" t="s">
        <v>45</v>
      </c>
      <c r="L602" t="s">
        <v>50</v>
      </c>
      <c r="M602" t="s">
        <v>46</v>
      </c>
      <c r="N602" t="s">
        <v>219</v>
      </c>
      <c r="O602" t="s">
        <v>48</v>
      </c>
      <c r="P602" t="s">
        <v>1145</v>
      </c>
      <c r="Q602" s="534">
        <v>0</v>
      </c>
      <c r="CC602" s="2146" t="s">
        <v>2148</v>
      </c>
      <c r="CJ602" t="s">
        <v>13406</v>
      </c>
    </row>
    <row r="603" spans="1:88">
      <c r="A603" s="2146" t="s">
        <v>13225</v>
      </c>
      <c r="B603" t="s">
        <v>13302</v>
      </c>
      <c r="C603" t="s">
        <v>116</v>
      </c>
      <c r="D603" t="s">
        <v>214</v>
      </c>
      <c r="E603" t="s">
        <v>215</v>
      </c>
      <c r="F603" t="s">
        <v>1396</v>
      </c>
      <c r="G603" t="s">
        <v>222</v>
      </c>
      <c r="H603" t="s">
        <v>1403</v>
      </c>
      <c r="I603" t="s">
        <v>1404</v>
      </c>
      <c r="J603" t="s">
        <v>5406</v>
      </c>
      <c r="K603" t="s">
        <v>45</v>
      </c>
      <c r="N603" t="s">
        <v>861</v>
      </c>
      <c r="O603" t="s">
        <v>48</v>
      </c>
      <c r="P603" t="s">
        <v>1405</v>
      </c>
      <c r="Q603" s="534">
        <v>0</v>
      </c>
      <c r="CC603" s="2146" t="s">
        <v>2148</v>
      </c>
      <c r="CJ603" t="s">
        <v>13407</v>
      </c>
    </row>
    <row r="604" spans="1:88">
      <c r="A604" s="2146" t="s">
        <v>13225</v>
      </c>
      <c r="B604" t="s">
        <v>13303</v>
      </c>
      <c r="C604" t="s">
        <v>116</v>
      </c>
      <c r="D604" t="s">
        <v>214</v>
      </c>
      <c r="E604" t="s">
        <v>215</v>
      </c>
      <c r="F604" t="s">
        <v>1396</v>
      </c>
      <c r="G604" t="s">
        <v>227</v>
      </c>
      <c r="H604" t="s">
        <v>1407</v>
      </c>
      <c r="I604" t="s">
        <v>1408</v>
      </c>
      <c r="J604" t="s">
        <v>5408</v>
      </c>
      <c r="K604" t="s">
        <v>322</v>
      </c>
      <c r="N604" t="s">
        <v>273</v>
      </c>
      <c r="O604" t="s">
        <v>48</v>
      </c>
      <c r="P604" t="s">
        <v>1409</v>
      </c>
      <c r="Q604" s="534">
        <v>0</v>
      </c>
      <c r="CC604" s="2146" t="s">
        <v>2148</v>
      </c>
      <c r="CJ604" t="s">
        <v>13408</v>
      </c>
    </row>
    <row r="605" spans="1:88">
      <c r="A605" s="2146" t="s">
        <v>13225</v>
      </c>
      <c r="B605" t="s">
        <v>13304</v>
      </c>
      <c r="C605" t="s">
        <v>116</v>
      </c>
      <c r="D605" t="s">
        <v>214</v>
      </c>
      <c r="E605" t="s">
        <v>215</v>
      </c>
      <c r="F605" t="s">
        <v>1396</v>
      </c>
      <c r="G605" t="s">
        <v>1416</v>
      </c>
      <c r="H605" t="s">
        <v>1417</v>
      </c>
      <c r="I605" t="s">
        <v>1418</v>
      </c>
      <c r="J605" t="s">
        <v>69</v>
      </c>
      <c r="N605" t="s">
        <v>175</v>
      </c>
      <c r="O605" t="s">
        <v>48</v>
      </c>
      <c r="P605" t="s">
        <v>3730</v>
      </c>
      <c r="Q605" s="534">
        <v>0</v>
      </c>
      <c r="CC605" s="2146" t="s">
        <v>2148</v>
      </c>
      <c r="CJ605" t="s">
        <v>13409</v>
      </c>
    </row>
    <row r="606" spans="1:88">
      <c r="A606" s="2146" t="s">
        <v>13225</v>
      </c>
      <c r="B606" t="s">
        <v>13305</v>
      </c>
      <c r="C606" t="s">
        <v>116</v>
      </c>
      <c r="D606" t="s">
        <v>214</v>
      </c>
      <c r="E606" t="s">
        <v>215</v>
      </c>
      <c r="F606" t="s">
        <v>1366</v>
      </c>
      <c r="G606" t="s">
        <v>233</v>
      </c>
      <c r="H606" t="s">
        <v>1420</v>
      </c>
      <c r="I606" t="s">
        <v>1421</v>
      </c>
      <c r="J606" t="s">
        <v>5406</v>
      </c>
      <c r="K606" t="s">
        <v>45</v>
      </c>
      <c r="L606" t="s">
        <v>50</v>
      </c>
      <c r="N606" t="s">
        <v>113</v>
      </c>
      <c r="O606" t="s">
        <v>76</v>
      </c>
      <c r="P606" t="s">
        <v>193</v>
      </c>
      <c r="Q606" s="534">
        <v>0</v>
      </c>
      <c r="CC606" s="2146" t="s">
        <v>2148</v>
      </c>
      <c r="CJ606" t="s">
        <v>13410</v>
      </c>
    </row>
    <row r="607" spans="1:88">
      <c r="A607" s="2146" t="s">
        <v>13225</v>
      </c>
      <c r="B607" t="s">
        <v>13306</v>
      </c>
      <c r="C607" t="s">
        <v>116</v>
      </c>
      <c r="D607" t="s">
        <v>214</v>
      </c>
      <c r="E607" t="s">
        <v>215</v>
      </c>
      <c r="F607" t="s">
        <v>1370</v>
      </c>
      <c r="G607" t="s">
        <v>237</v>
      </c>
      <c r="H607" t="s">
        <v>1423</v>
      </c>
      <c r="I607" t="s">
        <v>1424</v>
      </c>
      <c r="J607" t="s">
        <v>5406</v>
      </c>
      <c r="K607" t="s">
        <v>45</v>
      </c>
      <c r="M607" t="s">
        <v>46</v>
      </c>
      <c r="N607" t="s">
        <v>175</v>
      </c>
      <c r="O607" t="s">
        <v>48</v>
      </c>
      <c r="P607" t="s">
        <v>1425</v>
      </c>
      <c r="Q607" s="534">
        <v>0</v>
      </c>
      <c r="CC607" s="2146" t="s">
        <v>2148</v>
      </c>
      <c r="CJ607" t="s">
        <v>13411</v>
      </c>
    </row>
    <row r="608" spans="1:88">
      <c r="A608" s="2146" t="s">
        <v>13225</v>
      </c>
      <c r="B608" t="s">
        <v>13307</v>
      </c>
      <c r="C608" t="s">
        <v>116</v>
      </c>
      <c r="D608" t="s">
        <v>214</v>
      </c>
      <c r="E608" t="s">
        <v>215</v>
      </c>
      <c r="F608" t="s">
        <v>1370</v>
      </c>
      <c r="G608" t="s">
        <v>242</v>
      </c>
      <c r="H608" t="s">
        <v>1427</v>
      </c>
      <c r="I608" t="s">
        <v>1428</v>
      </c>
      <c r="J608" t="s">
        <v>5406</v>
      </c>
      <c r="K608" t="s">
        <v>45</v>
      </c>
      <c r="L608" t="s">
        <v>50</v>
      </c>
      <c r="M608" t="s">
        <v>46</v>
      </c>
      <c r="N608" t="s">
        <v>249</v>
      </c>
      <c r="O608" t="s">
        <v>48</v>
      </c>
      <c r="P608" t="s">
        <v>250</v>
      </c>
      <c r="Q608" s="534">
        <v>0</v>
      </c>
      <c r="CC608" s="2146" t="s">
        <v>2148</v>
      </c>
      <c r="CJ608" t="s">
        <v>13412</v>
      </c>
    </row>
    <row r="609" spans="1:88">
      <c r="A609" s="2146" t="s">
        <v>13225</v>
      </c>
      <c r="B609" t="s">
        <v>13308</v>
      </c>
      <c r="C609" t="s">
        <v>116</v>
      </c>
      <c r="D609" t="s">
        <v>214</v>
      </c>
      <c r="E609" t="s">
        <v>215</v>
      </c>
      <c r="F609" t="s">
        <v>1370</v>
      </c>
      <c r="G609" t="s">
        <v>246</v>
      </c>
      <c r="H609" t="s">
        <v>1430</v>
      </c>
      <c r="I609" t="s">
        <v>3215</v>
      </c>
      <c r="J609" t="s">
        <v>5408</v>
      </c>
      <c r="K609" t="s">
        <v>322</v>
      </c>
      <c r="M609" t="s">
        <v>46</v>
      </c>
      <c r="N609" t="s">
        <v>175</v>
      </c>
      <c r="O609" t="s">
        <v>76</v>
      </c>
      <c r="P609" t="s">
        <v>1158</v>
      </c>
      <c r="Q609" s="534">
        <v>2</v>
      </c>
      <c r="CC609" s="2146" t="s">
        <v>2148</v>
      </c>
      <c r="CJ609" t="s">
        <v>13413</v>
      </c>
    </row>
    <row r="610" spans="1:88">
      <c r="A610" s="2146" t="s">
        <v>13225</v>
      </c>
      <c r="B610" t="s">
        <v>13309</v>
      </c>
      <c r="C610" t="s">
        <v>116</v>
      </c>
      <c r="D610" t="s">
        <v>214</v>
      </c>
      <c r="E610" t="s">
        <v>215</v>
      </c>
      <c r="F610" t="s">
        <v>1370</v>
      </c>
      <c r="G610" t="s">
        <v>252</v>
      </c>
      <c r="H610" t="s">
        <v>1432</v>
      </c>
      <c r="I610" t="s">
        <v>1433</v>
      </c>
      <c r="J610" t="s">
        <v>5406</v>
      </c>
      <c r="K610" t="s">
        <v>45</v>
      </c>
      <c r="N610" t="s">
        <v>169</v>
      </c>
      <c r="O610" t="s">
        <v>48</v>
      </c>
      <c r="P610" t="s">
        <v>1381</v>
      </c>
      <c r="Q610" s="534">
        <v>0</v>
      </c>
      <c r="CC610" s="2146" t="s">
        <v>2148</v>
      </c>
      <c r="CJ610" t="s">
        <v>13414</v>
      </c>
    </row>
    <row r="611" spans="1:88">
      <c r="A611" s="2146" t="s">
        <v>13225</v>
      </c>
      <c r="B611" t="s">
        <v>13310</v>
      </c>
      <c r="C611" t="s">
        <v>116</v>
      </c>
      <c r="D611" t="s">
        <v>214</v>
      </c>
      <c r="E611" t="s">
        <v>215</v>
      </c>
      <c r="F611" t="s">
        <v>1370</v>
      </c>
      <c r="G611" t="s">
        <v>1435</v>
      </c>
      <c r="H611" t="s">
        <v>1436</v>
      </c>
      <c r="I611" t="s">
        <v>1437</v>
      </c>
      <c r="J611" t="s">
        <v>5717</v>
      </c>
      <c r="K611" t="s">
        <v>45</v>
      </c>
      <c r="N611" t="s">
        <v>230</v>
      </c>
      <c r="O611" t="s">
        <v>48</v>
      </c>
      <c r="P611" t="s">
        <v>1438</v>
      </c>
      <c r="Q611" s="534">
        <v>0</v>
      </c>
      <c r="CC611" s="2146" t="s">
        <v>2148</v>
      </c>
      <c r="CJ611" t="s">
        <v>13415</v>
      </c>
    </row>
    <row r="612" spans="1:88">
      <c r="A612" s="2146" t="s">
        <v>13225</v>
      </c>
      <c r="B612" t="s">
        <v>13311</v>
      </c>
      <c r="C612" t="s">
        <v>116</v>
      </c>
      <c r="D612" t="s">
        <v>214</v>
      </c>
      <c r="E612" t="s">
        <v>215</v>
      </c>
      <c r="F612" t="s">
        <v>1370</v>
      </c>
      <c r="G612" t="s">
        <v>1440</v>
      </c>
      <c r="H612" t="s">
        <v>1441</v>
      </c>
      <c r="I612" t="s">
        <v>1442</v>
      </c>
      <c r="J612" t="s">
        <v>69</v>
      </c>
      <c r="N612" t="s">
        <v>249</v>
      </c>
      <c r="O612" t="s">
        <v>48</v>
      </c>
      <c r="P612" t="s">
        <v>1178</v>
      </c>
      <c r="Q612" s="534">
        <v>0</v>
      </c>
      <c r="CC612" s="2146" t="s">
        <v>2148</v>
      </c>
      <c r="CJ612" t="s">
        <v>13416</v>
      </c>
    </row>
    <row r="613" spans="1:88">
      <c r="A613" s="2146" t="s">
        <v>13225</v>
      </c>
      <c r="B613" t="s">
        <v>13312</v>
      </c>
      <c r="C613" t="s">
        <v>116</v>
      </c>
      <c r="D613" t="s">
        <v>214</v>
      </c>
      <c r="E613" t="s">
        <v>215</v>
      </c>
      <c r="F613" t="s">
        <v>1370</v>
      </c>
      <c r="G613" t="s">
        <v>1444</v>
      </c>
      <c r="H613" t="s">
        <v>1445</v>
      </c>
      <c r="I613" t="s">
        <v>1446</v>
      </c>
      <c r="J613" t="s">
        <v>5406</v>
      </c>
      <c r="K613" t="s">
        <v>45</v>
      </c>
      <c r="N613" t="s">
        <v>175</v>
      </c>
      <c r="O613" t="s">
        <v>48</v>
      </c>
      <c r="P613" t="s">
        <v>1447</v>
      </c>
      <c r="Q613" s="534">
        <v>0</v>
      </c>
      <c r="CC613" s="2146" t="s">
        <v>2148</v>
      </c>
      <c r="CJ613" t="s">
        <v>13417</v>
      </c>
    </row>
    <row r="614" spans="1:88">
      <c r="A614" s="2146" t="s">
        <v>13225</v>
      </c>
      <c r="B614" t="s">
        <v>13313</v>
      </c>
      <c r="C614" t="s">
        <v>116</v>
      </c>
      <c r="D614" t="s">
        <v>214</v>
      </c>
      <c r="E614" t="s">
        <v>215</v>
      </c>
      <c r="F614" t="s">
        <v>1370</v>
      </c>
      <c r="G614" t="s">
        <v>1449</v>
      </c>
      <c r="H614" t="s">
        <v>1450</v>
      </c>
      <c r="I614" t="s">
        <v>1451</v>
      </c>
      <c r="J614" t="s">
        <v>69</v>
      </c>
      <c r="N614" t="s">
        <v>249</v>
      </c>
      <c r="O614" t="s">
        <v>48</v>
      </c>
      <c r="P614" t="s">
        <v>1452</v>
      </c>
      <c r="Q614" s="534">
        <v>0</v>
      </c>
      <c r="CC614" s="2146" t="s">
        <v>2148</v>
      </c>
      <c r="CJ614" t="s">
        <v>13418</v>
      </c>
    </row>
    <row r="615" spans="1:88">
      <c r="A615" s="2146" t="s">
        <v>13225</v>
      </c>
      <c r="B615" t="s">
        <v>13314</v>
      </c>
      <c r="C615" t="s">
        <v>116</v>
      </c>
      <c r="D615" t="s">
        <v>214</v>
      </c>
      <c r="E615" t="s">
        <v>215</v>
      </c>
      <c r="F615" t="s">
        <v>1387</v>
      </c>
      <c r="G615" t="s">
        <v>256</v>
      </c>
      <c r="H615" t="s">
        <v>1454</v>
      </c>
      <c r="I615" t="s">
        <v>1455</v>
      </c>
      <c r="J615" t="s">
        <v>5406</v>
      </c>
      <c r="K615" t="s">
        <v>45</v>
      </c>
      <c r="L615" t="s">
        <v>50</v>
      </c>
      <c r="N615" t="s">
        <v>182</v>
      </c>
      <c r="O615" t="s">
        <v>48</v>
      </c>
      <c r="P615" t="s">
        <v>603</v>
      </c>
      <c r="Q615" s="534">
        <v>3</v>
      </c>
      <c r="CC615" s="2146" t="s">
        <v>2148</v>
      </c>
      <c r="CJ615" t="s">
        <v>13419</v>
      </c>
    </row>
    <row r="616" spans="1:88">
      <c r="A616" s="2146" t="s">
        <v>13225</v>
      </c>
      <c r="B616" t="s">
        <v>13315</v>
      </c>
      <c r="C616" t="s">
        <v>116</v>
      </c>
      <c r="D616" t="s">
        <v>214</v>
      </c>
      <c r="E616" t="s">
        <v>215</v>
      </c>
      <c r="F616" t="s">
        <v>1391</v>
      </c>
      <c r="G616" t="s">
        <v>266</v>
      </c>
      <c r="H616" t="s">
        <v>1457</v>
      </c>
      <c r="I616" t="s">
        <v>1458</v>
      </c>
      <c r="J616" t="s">
        <v>69</v>
      </c>
      <c r="N616" t="s">
        <v>923</v>
      </c>
      <c r="O616" t="s">
        <v>48</v>
      </c>
      <c r="P616" t="s">
        <v>1394</v>
      </c>
      <c r="Q616" s="534">
        <v>0</v>
      </c>
      <c r="CC616" s="2146" t="s">
        <v>2148</v>
      </c>
      <c r="CJ616" t="s">
        <v>13420</v>
      </c>
    </row>
    <row r="617" spans="1:88">
      <c r="A617" s="2146" t="s">
        <v>13225</v>
      </c>
      <c r="B617" t="s">
        <v>13316</v>
      </c>
      <c r="C617" t="s">
        <v>116</v>
      </c>
      <c r="D617" t="s">
        <v>101</v>
      </c>
      <c r="E617" t="s">
        <v>102</v>
      </c>
      <c r="F617" t="s">
        <v>1460</v>
      </c>
      <c r="G617" t="s">
        <v>104</v>
      </c>
      <c r="H617" t="s">
        <v>1461</v>
      </c>
      <c r="I617" t="s">
        <v>1462</v>
      </c>
      <c r="J617" t="s">
        <v>69</v>
      </c>
      <c r="N617" t="s">
        <v>192</v>
      </c>
      <c r="O617" t="s">
        <v>281</v>
      </c>
      <c r="P617" t="s">
        <v>1463</v>
      </c>
      <c r="Q617" s="534" t="s">
        <v>51</v>
      </c>
      <c r="CC617" s="2146" t="s">
        <v>2148</v>
      </c>
      <c r="CJ617" t="s">
        <v>13421</v>
      </c>
    </row>
    <row r="618" spans="1:88">
      <c r="A618" s="2146" t="s">
        <v>13225</v>
      </c>
      <c r="B618" t="s">
        <v>13317</v>
      </c>
      <c r="C618" t="s">
        <v>116</v>
      </c>
      <c r="D618" t="s">
        <v>101</v>
      </c>
      <c r="E618" t="s">
        <v>102</v>
      </c>
      <c r="F618" t="s">
        <v>1460</v>
      </c>
      <c r="G618" t="s">
        <v>111</v>
      </c>
      <c r="H618" t="s">
        <v>1466</v>
      </c>
      <c r="I618" t="s">
        <v>1467</v>
      </c>
      <c r="J618" t="s">
        <v>5406</v>
      </c>
      <c r="K618" t="s">
        <v>45</v>
      </c>
      <c r="M618" t="s">
        <v>46</v>
      </c>
      <c r="N618" t="s">
        <v>106</v>
      </c>
      <c r="O618" t="s">
        <v>281</v>
      </c>
      <c r="P618" t="s">
        <v>408</v>
      </c>
      <c r="Q618" s="534" t="s">
        <v>51</v>
      </c>
      <c r="CC618" s="2146" t="s">
        <v>2148</v>
      </c>
      <c r="CJ618" t="s">
        <v>13422</v>
      </c>
    </row>
    <row r="619" spans="1:88">
      <c r="A619" s="2146" t="s">
        <v>13225</v>
      </c>
      <c r="B619" t="s">
        <v>13318</v>
      </c>
      <c r="C619" t="s">
        <v>116</v>
      </c>
      <c r="D619" t="s">
        <v>101</v>
      </c>
      <c r="E619" t="s">
        <v>102</v>
      </c>
      <c r="F619" t="s">
        <v>1469</v>
      </c>
      <c r="G619" t="s">
        <v>293</v>
      </c>
      <c r="H619" t="s">
        <v>1470</v>
      </c>
      <c r="I619" t="s">
        <v>1471</v>
      </c>
      <c r="J619" t="s">
        <v>69</v>
      </c>
      <c r="N619" t="s">
        <v>113</v>
      </c>
      <c r="O619" t="s">
        <v>48</v>
      </c>
      <c r="P619" t="s">
        <v>1276</v>
      </c>
      <c r="Q619" s="534">
        <v>0</v>
      </c>
      <c r="CC619" s="2146" t="s">
        <v>2148</v>
      </c>
      <c r="CJ619" t="s">
        <v>13423</v>
      </c>
    </row>
    <row r="620" spans="1:88">
      <c r="A620" s="2146" t="s">
        <v>13225</v>
      </c>
      <c r="B620" t="s">
        <v>13319</v>
      </c>
      <c r="C620" t="s">
        <v>116</v>
      </c>
      <c r="D620" t="s">
        <v>101</v>
      </c>
      <c r="E620" t="s">
        <v>102</v>
      </c>
      <c r="F620" t="s">
        <v>1469</v>
      </c>
      <c r="G620" t="s">
        <v>297</v>
      </c>
      <c r="H620" t="s">
        <v>1473</v>
      </c>
      <c r="I620" t="s">
        <v>1474</v>
      </c>
      <c r="J620" t="s">
        <v>69</v>
      </c>
      <c r="N620" t="s">
        <v>113</v>
      </c>
      <c r="O620" t="s">
        <v>76</v>
      </c>
      <c r="P620" t="s">
        <v>1475</v>
      </c>
      <c r="Q620" s="534">
        <v>2</v>
      </c>
      <c r="CC620" s="2146" t="s">
        <v>2148</v>
      </c>
      <c r="CJ620" t="s">
        <v>13424</v>
      </c>
    </row>
    <row r="621" spans="1:88">
      <c r="A621" s="2146" t="s">
        <v>13225</v>
      </c>
      <c r="B621" t="s">
        <v>13320</v>
      </c>
      <c r="C621" t="s">
        <v>116</v>
      </c>
      <c r="D621" t="s">
        <v>40</v>
      </c>
      <c r="E621" t="s">
        <v>41</v>
      </c>
      <c r="F621" t="s">
        <v>432</v>
      </c>
      <c r="G621" t="s">
        <v>315</v>
      </c>
      <c r="H621" t="s">
        <v>433</v>
      </c>
      <c r="I621" t="s">
        <v>434</v>
      </c>
      <c r="J621" t="s">
        <v>5406</v>
      </c>
      <c r="K621" t="s">
        <v>45</v>
      </c>
      <c r="N621" t="s">
        <v>24</v>
      </c>
      <c r="O621" t="s">
        <v>48</v>
      </c>
      <c r="P621" t="s">
        <v>81</v>
      </c>
      <c r="Q621" s="534">
        <v>2</v>
      </c>
      <c r="CC621" s="2146" t="s">
        <v>2148</v>
      </c>
      <c r="CJ621" t="s">
        <v>13425</v>
      </c>
    </row>
    <row r="622" spans="1:88">
      <c r="A622" s="2146" t="s">
        <v>13225</v>
      </c>
      <c r="B622" t="s">
        <v>13321</v>
      </c>
      <c r="C622" t="s">
        <v>116</v>
      </c>
      <c r="D622" t="s">
        <v>40</v>
      </c>
      <c r="E622" t="s">
        <v>41</v>
      </c>
      <c r="F622" t="s">
        <v>432</v>
      </c>
      <c r="G622" t="s">
        <v>319</v>
      </c>
      <c r="H622" t="s">
        <v>436</v>
      </c>
      <c r="I622" t="s">
        <v>437</v>
      </c>
      <c r="J622" t="s">
        <v>5408</v>
      </c>
      <c r="K622" t="s">
        <v>45</v>
      </c>
      <c r="N622" t="s">
        <v>75</v>
      </c>
      <c r="O622" t="s">
        <v>76</v>
      </c>
      <c r="P622" t="s">
        <v>77</v>
      </c>
      <c r="Q622" s="534">
        <v>2</v>
      </c>
      <c r="CC622" s="2146" t="s">
        <v>2148</v>
      </c>
      <c r="CJ622" t="s">
        <v>13426</v>
      </c>
    </row>
    <row r="623" spans="1:88">
      <c r="A623" s="2146" t="s">
        <v>13225</v>
      </c>
      <c r="B623" t="s">
        <v>13322</v>
      </c>
      <c r="C623" t="s">
        <v>116</v>
      </c>
      <c r="D623" t="s">
        <v>40</v>
      </c>
      <c r="E623" t="s">
        <v>41</v>
      </c>
      <c r="F623" t="s">
        <v>451</v>
      </c>
      <c r="G623" t="s">
        <v>332</v>
      </c>
      <c r="H623" t="s">
        <v>452</v>
      </c>
      <c r="I623" t="s">
        <v>453</v>
      </c>
      <c r="J623" t="s">
        <v>5406</v>
      </c>
      <c r="K623" t="s">
        <v>45</v>
      </c>
      <c r="N623" t="s">
        <v>86</v>
      </c>
      <c r="O623" t="s">
        <v>119</v>
      </c>
      <c r="P623" t="s">
        <v>454</v>
      </c>
      <c r="Q623" s="534">
        <v>2</v>
      </c>
      <c r="CC623" s="2146" t="s">
        <v>2148</v>
      </c>
      <c r="CJ623" t="s">
        <v>13427</v>
      </c>
    </row>
    <row r="624" spans="1:88">
      <c r="A624" s="2146" t="s">
        <v>13225</v>
      </c>
      <c r="B624" t="s">
        <v>13323</v>
      </c>
      <c r="C624" t="s">
        <v>116</v>
      </c>
      <c r="D624" t="s">
        <v>40</v>
      </c>
      <c r="E624" t="s">
        <v>41</v>
      </c>
      <c r="F624" t="s">
        <v>451</v>
      </c>
      <c r="G624" t="s">
        <v>457</v>
      </c>
      <c r="H624" t="s">
        <v>458</v>
      </c>
      <c r="I624" t="s">
        <v>5494</v>
      </c>
      <c r="J624" t="s">
        <v>5406</v>
      </c>
      <c r="K624" t="s">
        <v>45</v>
      </c>
      <c r="N624" t="s">
        <v>47</v>
      </c>
      <c r="O624" t="s">
        <v>48</v>
      </c>
      <c r="P624" t="s">
        <v>459</v>
      </c>
      <c r="Q624" s="534">
        <v>1</v>
      </c>
      <c r="CC624" s="2146" t="s">
        <v>2148</v>
      </c>
      <c r="CJ624" t="s">
        <v>13428</v>
      </c>
    </row>
    <row r="625" spans="1:88">
      <c r="A625" s="2146" t="s">
        <v>13225</v>
      </c>
      <c r="B625" t="s">
        <v>13324</v>
      </c>
      <c r="C625" t="s">
        <v>116</v>
      </c>
      <c r="D625" t="s">
        <v>40</v>
      </c>
      <c r="E625" t="s">
        <v>41</v>
      </c>
      <c r="F625" t="s">
        <v>451</v>
      </c>
      <c r="G625" t="s">
        <v>461</v>
      </c>
      <c r="H625" t="s">
        <v>462</v>
      </c>
      <c r="I625" t="s">
        <v>463</v>
      </c>
      <c r="J625" t="s">
        <v>69</v>
      </c>
      <c r="N625" t="s">
        <v>61</v>
      </c>
      <c r="O625" t="s">
        <v>107</v>
      </c>
      <c r="P625" t="s">
        <v>150</v>
      </c>
      <c r="Q625" s="534">
        <v>0</v>
      </c>
      <c r="CC625" s="2146" t="s">
        <v>2148</v>
      </c>
      <c r="CJ625" t="s">
        <v>13429</v>
      </c>
    </row>
    <row r="626" spans="1:88">
      <c r="A626" s="2146" t="s">
        <v>13225</v>
      </c>
      <c r="B626" t="s">
        <v>13325</v>
      </c>
      <c r="C626" t="s">
        <v>116</v>
      </c>
      <c r="D626" t="s">
        <v>40</v>
      </c>
      <c r="E626" t="s">
        <v>41</v>
      </c>
      <c r="F626" t="s">
        <v>451</v>
      </c>
      <c r="G626" t="s">
        <v>465</v>
      </c>
      <c r="H626" t="s">
        <v>466</v>
      </c>
      <c r="I626" t="s">
        <v>467</v>
      </c>
      <c r="J626" t="s">
        <v>5406</v>
      </c>
      <c r="K626" t="s">
        <v>45</v>
      </c>
      <c r="N626" t="s">
        <v>91</v>
      </c>
      <c r="O626" t="s">
        <v>48</v>
      </c>
      <c r="P626" t="s">
        <v>92</v>
      </c>
      <c r="Q626" s="534">
        <v>0</v>
      </c>
      <c r="CC626" s="2146" t="s">
        <v>2148</v>
      </c>
      <c r="CJ626" t="s">
        <v>13430</v>
      </c>
    </row>
    <row r="627" spans="1:88">
      <c r="A627" s="2146" t="s">
        <v>13225</v>
      </c>
      <c r="B627" t="s">
        <v>13326</v>
      </c>
      <c r="C627" t="s">
        <v>116</v>
      </c>
      <c r="D627" t="s">
        <v>40</v>
      </c>
      <c r="E627" t="s">
        <v>41</v>
      </c>
      <c r="F627" t="s">
        <v>469</v>
      </c>
      <c r="G627" t="s">
        <v>338</v>
      </c>
      <c r="H627" t="s">
        <v>470</v>
      </c>
      <c r="I627" t="s">
        <v>471</v>
      </c>
      <c r="J627" t="s">
        <v>69</v>
      </c>
      <c r="N627" t="s">
        <v>182</v>
      </c>
      <c r="O627" t="s">
        <v>48</v>
      </c>
      <c r="P627" t="s">
        <v>472</v>
      </c>
      <c r="Q627" s="534">
        <v>0</v>
      </c>
      <c r="CC627" s="2146" t="s">
        <v>2148</v>
      </c>
      <c r="CJ627" t="s">
        <v>13431</v>
      </c>
    </row>
    <row r="628" spans="1:88">
      <c r="A628" s="2146" t="s">
        <v>13225</v>
      </c>
      <c r="B628" t="s">
        <v>13327</v>
      </c>
      <c r="C628" t="s">
        <v>116</v>
      </c>
      <c r="D628" t="s">
        <v>40</v>
      </c>
      <c r="E628" t="s">
        <v>41</v>
      </c>
      <c r="F628" t="s">
        <v>474</v>
      </c>
      <c r="G628" t="s">
        <v>348</v>
      </c>
      <c r="H628" t="s">
        <v>475</v>
      </c>
      <c r="I628" t="s">
        <v>476</v>
      </c>
      <c r="J628" t="s">
        <v>69</v>
      </c>
      <c r="N628" t="s">
        <v>192</v>
      </c>
      <c r="O628" t="s">
        <v>76</v>
      </c>
      <c r="P628" t="s">
        <v>193</v>
      </c>
      <c r="Q628" s="534" t="s">
        <v>51</v>
      </c>
      <c r="CC628" s="2146" t="s">
        <v>2148</v>
      </c>
      <c r="CJ628" t="s">
        <v>13432</v>
      </c>
    </row>
    <row r="629" spans="1:88">
      <c r="A629" s="2146" t="s">
        <v>13225</v>
      </c>
      <c r="B629" t="s">
        <v>13328</v>
      </c>
      <c r="C629" t="s">
        <v>116</v>
      </c>
      <c r="D629" t="s">
        <v>478</v>
      </c>
      <c r="E629" t="s">
        <v>479</v>
      </c>
      <c r="F629" t="s">
        <v>480</v>
      </c>
      <c r="G629" t="s">
        <v>360</v>
      </c>
      <c r="H629" t="s">
        <v>481</v>
      </c>
      <c r="I629" t="s">
        <v>482</v>
      </c>
      <c r="J629" t="s">
        <v>5406</v>
      </c>
      <c r="K629" t="s">
        <v>45</v>
      </c>
      <c r="M629" t="s">
        <v>46</v>
      </c>
      <c r="N629" t="s">
        <v>106</v>
      </c>
      <c r="O629" t="s">
        <v>107</v>
      </c>
      <c r="P629" t="s">
        <v>108</v>
      </c>
      <c r="Q629" s="534">
        <v>1</v>
      </c>
      <c r="CC629" s="2146" t="s">
        <v>2148</v>
      </c>
      <c r="CJ629" t="s">
        <v>13433</v>
      </c>
    </row>
    <row r="630" spans="1:88">
      <c r="A630" s="2146" t="s">
        <v>13225</v>
      </c>
      <c r="B630" t="s">
        <v>13329</v>
      </c>
      <c r="C630" t="s">
        <v>116</v>
      </c>
      <c r="D630" t="s">
        <v>101</v>
      </c>
      <c r="E630" t="s">
        <v>102</v>
      </c>
      <c r="F630" t="s">
        <v>484</v>
      </c>
      <c r="G630" t="s">
        <v>354</v>
      </c>
      <c r="H630" t="s">
        <v>485</v>
      </c>
      <c r="I630" t="s">
        <v>486</v>
      </c>
      <c r="J630" t="s">
        <v>69</v>
      </c>
      <c r="N630" t="s">
        <v>56</v>
      </c>
      <c r="O630" t="s">
        <v>48</v>
      </c>
      <c r="P630" t="s">
        <v>487</v>
      </c>
      <c r="Q630" s="534">
        <v>2</v>
      </c>
      <c r="CC630" s="2146" t="s">
        <v>2148</v>
      </c>
      <c r="CJ630" t="s">
        <v>13434</v>
      </c>
    </row>
    <row r="631" spans="1:88">
      <c r="A631" s="2146" t="s">
        <v>13225</v>
      </c>
      <c r="B631" t="s">
        <v>13330</v>
      </c>
      <c r="C631" t="s">
        <v>116</v>
      </c>
      <c r="D631" t="s">
        <v>101</v>
      </c>
      <c r="E631" t="s">
        <v>102</v>
      </c>
      <c r="F631" t="s">
        <v>484</v>
      </c>
      <c r="G631" t="s">
        <v>489</v>
      </c>
      <c r="H631" t="s">
        <v>490</v>
      </c>
      <c r="I631" t="s">
        <v>491</v>
      </c>
      <c r="J631" t="s">
        <v>5406</v>
      </c>
      <c r="K631" t="s">
        <v>45</v>
      </c>
      <c r="M631" t="s">
        <v>46</v>
      </c>
      <c r="N631" t="s">
        <v>106</v>
      </c>
      <c r="O631" t="s">
        <v>107</v>
      </c>
      <c r="P631" t="s">
        <v>108</v>
      </c>
      <c r="Q631" s="534">
        <v>1</v>
      </c>
      <c r="CC631" s="2146" t="s">
        <v>2148</v>
      </c>
      <c r="CJ631" t="s">
        <v>13435</v>
      </c>
    </row>
    <row r="632" spans="1:88" ht="7.5" customHeight="1">
      <c r="A632" s="2363"/>
      <c r="B632" s="2363"/>
      <c r="C632" s="2363"/>
      <c r="D632" s="2363"/>
      <c r="E632" s="2363"/>
      <c r="F632" s="2363"/>
      <c r="G632" s="2363"/>
      <c r="H632" s="2363"/>
      <c r="I632" s="2363"/>
      <c r="J632" s="2363"/>
      <c r="K632" s="2363"/>
      <c r="L632" s="2363"/>
      <c r="M632" s="2363"/>
      <c r="N632" s="2363"/>
      <c r="O632" s="2363"/>
      <c r="P632" s="2363"/>
      <c r="Q632" s="2364"/>
      <c r="R632" s="2363"/>
      <c r="S632" s="2363"/>
      <c r="T632" s="2363"/>
      <c r="U632" s="2363"/>
      <c r="V632" s="2363"/>
      <c r="W632" s="2363"/>
      <c r="X632" s="2363"/>
      <c r="Y632" s="2363"/>
      <c r="Z632" s="2363"/>
      <c r="AA632" s="2363"/>
      <c r="AB632" s="2363"/>
      <c r="AC632" s="2363"/>
      <c r="AD632" s="2363"/>
      <c r="AE632" s="2363"/>
      <c r="AF632" s="2363"/>
      <c r="AG632" s="2363"/>
      <c r="AH632" s="2363"/>
      <c r="AI632" s="2363"/>
      <c r="AJ632" s="2363"/>
      <c r="AK632" s="2363"/>
      <c r="AL632" s="2363"/>
      <c r="AM632" s="2363"/>
      <c r="AN632" s="2363"/>
      <c r="AO632" s="2363"/>
      <c r="AP632" s="2363"/>
      <c r="AQ632" s="2363"/>
      <c r="AR632" s="2363"/>
      <c r="AS632" s="2363"/>
      <c r="AT632" s="2363"/>
      <c r="AU632" s="2363"/>
      <c r="AV632" s="2363"/>
      <c r="AW632" s="2363"/>
      <c r="AX632" s="2363"/>
      <c r="AY632" s="2363"/>
      <c r="AZ632" s="2363"/>
      <c r="BA632" s="2363"/>
      <c r="BB632" s="2363"/>
      <c r="BC632" s="2363"/>
      <c r="BD632" s="2363"/>
      <c r="BE632" s="2363"/>
      <c r="BF632" s="2363"/>
      <c r="BG632" s="2363"/>
      <c r="BH632" s="2363"/>
      <c r="BI632" s="2363"/>
      <c r="BJ632" s="2363"/>
      <c r="BK632" s="2363"/>
      <c r="BL632" s="2363"/>
      <c r="BM632" s="2363"/>
      <c r="BN632" s="2363"/>
      <c r="BO632" s="2363"/>
      <c r="BP632" s="2364"/>
      <c r="BQ632" s="2363"/>
      <c r="BR632" s="2363"/>
      <c r="BS632" s="2363"/>
      <c r="BT632" s="2363"/>
      <c r="BU632" s="2363"/>
      <c r="BV632" s="2363"/>
      <c r="BW632" s="2363"/>
      <c r="BX632" s="2363"/>
      <c r="BY632" s="2363"/>
      <c r="BZ632" s="2363"/>
      <c r="CA632" s="2363"/>
      <c r="CB632" s="2363"/>
      <c r="CC632" s="2363"/>
      <c r="CD632" s="2363"/>
      <c r="CE632" s="2363"/>
      <c r="CF632" s="2363"/>
      <c r="CG632" s="2363"/>
      <c r="CH632" s="2363"/>
      <c r="CJ632" s="2363"/>
    </row>
    <row r="633" spans="1:88">
      <c r="A633" s="2146"/>
    </row>
    <row r="634" spans="1:88">
      <c r="A634" s="2146"/>
    </row>
    <row r="635" spans="1:88">
      <c r="A635" s="2146"/>
    </row>
    <row r="636" spans="1:88">
      <c r="A636" s="2146"/>
    </row>
    <row r="637" spans="1:88">
      <c r="A637" s="2146"/>
    </row>
    <row r="638" spans="1:88">
      <c r="A638" s="2146"/>
    </row>
    <row r="639" spans="1:88">
      <c r="A639" s="2146"/>
    </row>
    <row r="640" spans="1:88">
      <c r="A640" s="2146"/>
    </row>
    <row r="641" spans="1:1">
      <c r="A641" s="2146"/>
    </row>
    <row r="642" spans="1:1">
      <c r="A642" s="2146"/>
    </row>
    <row r="643" spans="1:1">
      <c r="A643" s="2146"/>
    </row>
    <row r="644" spans="1:1">
      <c r="A644" s="2146"/>
    </row>
    <row r="645" spans="1:1">
      <c r="A645" s="2146"/>
    </row>
    <row r="646" spans="1:1">
      <c r="A646" s="2146"/>
    </row>
    <row r="647" spans="1:1">
      <c r="A647" s="2146"/>
    </row>
    <row r="648" spans="1:1">
      <c r="A648" s="2146"/>
    </row>
    <row r="649" spans="1:1">
      <c r="A649" s="2146"/>
    </row>
    <row r="650" spans="1:1">
      <c r="A650" s="2146"/>
    </row>
    <row r="651" spans="1:1">
      <c r="A651" s="2146"/>
    </row>
    <row r="652" spans="1:1">
      <c r="A652" s="2146"/>
    </row>
    <row r="653" spans="1:1">
      <c r="A653" s="2146"/>
    </row>
    <row r="654" spans="1:1">
      <c r="A654" s="2146"/>
    </row>
    <row r="655" spans="1:1">
      <c r="A655" s="2146"/>
    </row>
    <row r="656" spans="1:1">
      <c r="A656" s="2146"/>
    </row>
    <row r="657" spans="1:1">
      <c r="A657" s="2146"/>
    </row>
    <row r="658" spans="1:1">
      <c r="A658" s="2146"/>
    </row>
    <row r="659" spans="1:1">
      <c r="A659" s="2146"/>
    </row>
    <row r="660" spans="1:1">
      <c r="A660" s="2146"/>
    </row>
    <row r="661" spans="1:1">
      <c r="A661" s="2146"/>
    </row>
    <row r="662" spans="1:1">
      <c r="A662" s="2146"/>
    </row>
    <row r="663" spans="1:1">
      <c r="A663" s="2146"/>
    </row>
    <row r="664" spans="1:1">
      <c r="A664" s="2146"/>
    </row>
    <row r="665" spans="1:1">
      <c r="A665" s="2146"/>
    </row>
    <row r="666" spans="1:1">
      <c r="A666" s="2146"/>
    </row>
    <row r="667" spans="1:1">
      <c r="A667" s="2146"/>
    </row>
    <row r="668" spans="1:1">
      <c r="A668" s="2146"/>
    </row>
    <row r="669" spans="1:1">
      <c r="A669" s="2146"/>
    </row>
    <row r="670" spans="1:1">
      <c r="A670" s="2146"/>
    </row>
    <row r="671" spans="1:1">
      <c r="A671" s="2146"/>
    </row>
    <row r="672" spans="1:1">
      <c r="A672" s="2146"/>
    </row>
    <row r="673" spans="1:1">
      <c r="A673" s="2146"/>
    </row>
    <row r="674" spans="1:1">
      <c r="A674" s="2146"/>
    </row>
    <row r="675" spans="1:1">
      <c r="A675" s="2146"/>
    </row>
    <row r="676" spans="1:1">
      <c r="A676" s="2146"/>
    </row>
    <row r="677" spans="1:1">
      <c r="A677" s="2146"/>
    </row>
    <row r="678" spans="1:1">
      <c r="A678" s="2146"/>
    </row>
    <row r="679" spans="1:1">
      <c r="A679" s="2146"/>
    </row>
    <row r="680" spans="1:1">
      <c r="A680" s="2146"/>
    </row>
    <row r="681" spans="1:1">
      <c r="A681" s="2146"/>
    </row>
    <row r="682" spans="1:1">
      <c r="A682" s="2146"/>
    </row>
    <row r="683" spans="1:1">
      <c r="A683" s="2146"/>
    </row>
    <row r="684" spans="1:1">
      <c r="A684" s="2146"/>
    </row>
    <row r="685" spans="1:1">
      <c r="A685" s="2146"/>
    </row>
    <row r="686" spans="1:1">
      <c r="A686" s="2146"/>
    </row>
    <row r="687" spans="1:1">
      <c r="A687" s="2146"/>
    </row>
    <row r="688" spans="1:1">
      <c r="A688" s="2146"/>
    </row>
    <row r="689" spans="1:1">
      <c r="A689" s="2146"/>
    </row>
    <row r="690" spans="1:1">
      <c r="A690" s="2146"/>
    </row>
    <row r="691" spans="1:1">
      <c r="A691" s="2146"/>
    </row>
    <row r="692" spans="1:1">
      <c r="A692" s="2146"/>
    </row>
    <row r="693" spans="1:1">
      <c r="A693" s="2146"/>
    </row>
    <row r="694" spans="1:1">
      <c r="A694" s="2146"/>
    </row>
    <row r="695" spans="1:1">
      <c r="A695" s="2146"/>
    </row>
    <row r="696" spans="1:1">
      <c r="A696" s="2146"/>
    </row>
    <row r="697" spans="1:1">
      <c r="A697" s="2146"/>
    </row>
    <row r="698" spans="1:1">
      <c r="A698" s="2146"/>
    </row>
    <row r="699" spans="1:1">
      <c r="A699" s="2146"/>
    </row>
    <row r="700" spans="1:1">
      <c r="A700" s="2146"/>
    </row>
    <row r="701" spans="1:1">
      <c r="A701" s="2146"/>
    </row>
    <row r="702" spans="1:1">
      <c r="A702" s="2146"/>
    </row>
    <row r="703" spans="1:1">
      <c r="A703" s="2146"/>
    </row>
    <row r="704" spans="1:1">
      <c r="A704" s="2146"/>
    </row>
    <row r="705" spans="1:1">
      <c r="A705" s="2146"/>
    </row>
    <row r="706" spans="1:1">
      <c r="A706" s="2146"/>
    </row>
    <row r="707" spans="1:1">
      <c r="A707" s="2146"/>
    </row>
    <row r="708" spans="1:1">
      <c r="A708" s="2146"/>
    </row>
    <row r="709" spans="1:1">
      <c r="A709" s="2146"/>
    </row>
    <row r="710" spans="1:1">
      <c r="A710" s="2146"/>
    </row>
    <row r="711" spans="1:1">
      <c r="A711" s="2146"/>
    </row>
    <row r="712" spans="1:1">
      <c r="A712" s="2146"/>
    </row>
    <row r="713" spans="1:1">
      <c r="A713" s="2146"/>
    </row>
    <row r="714" spans="1:1">
      <c r="A714" s="2146"/>
    </row>
    <row r="715" spans="1:1">
      <c r="A715" s="2146"/>
    </row>
    <row r="716" spans="1:1">
      <c r="A716" s="2146"/>
    </row>
    <row r="717" spans="1:1">
      <c r="A717" s="2146"/>
    </row>
    <row r="718" spans="1:1">
      <c r="A718" s="2146"/>
    </row>
    <row r="719" spans="1:1">
      <c r="A719" s="2146"/>
    </row>
    <row r="720" spans="1:1">
      <c r="A720" s="2146"/>
    </row>
    <row r="721" spans="1:1">
      <c r="A721" s="2146"/>
    </row>
    <row r="722" spans="1:1">
      <c r="A722" s="2146"/>
    </row>
    <row r="723" spans="1:1">
      <c r="A723" s="2146"/>
    </row>
    <row r="724" spans="1:1">
      <c r="A724" s="2146"/>
    </row>
    <row r="725" spans="1:1">
      <c r="A725" s="2146"/>
    </row>
    <row r="726" spans="1:1">
      <c r="A726" s="2146"/>
    </row>
    <row r="727" spans="1:1">
      <c r="A727" s="2146"/>
    </row>
    <row r="728" spans="1:1">
      <c r="A728" s="2146"/>
    </row>
  </sheetData>
  <autoFilter ref="A2:CB52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codeName="Sheet4">
    <pageSetUpPr fitToPage="1"/>
  </sheetPr>
  <dimension ref="A1:AK71"/>
  <sheetViews>
    <sheetView workbookViewId="0"/>
  </sheetViews>
  <sheetFormatPr defaultColWidth="0" defaultRowHeight="14.25" zeroHeight="1"/>
  <cols>
    <col min="1" max="1" width="0.625" style="71" customWidth="1"/>
    <col min="2" max="2" width="5" style="71" customWidth="1"/>
    <col min="3" max="3" width="38" style="71" bestFit="1" customWidth="1"/>
    <col min="4" max="4" width="2.625" style="71" hidden="1" customWidth="1"/>
    <col min="5" max="6" width="5.125" style="71" customWidth="1"/>
    <col min="7" max="11" width="12.5" style="71" customWidth="1"/>
    <col min="12" max="12" width="2.625" style="71" customWidth="1"/>
    <col min="13" max="13" width="21.625" style="71" customWidth="1"/>
    <col min="14" max="14" width="1.625" style="71" customWidth="1"/>
    <col min="15" max="15" width="1.625" style="72" hidden="1" customWidth="1"/>
    <col min="16" max="18" width="8.125" style="71" hidden="1" customWidth="1"/>
    <col min="19" max="19" width="1.625" style="72" hidden="1" customWidth="1"/>
    <col min="20" max="24" width="8.625" style="71" hidden="1" customWidth="1"/>
    <col min="25" max="26" width="0" style="71" hidden="1" customWidth="1"/>
    <col min="27" max="27" width="4.875" style="71" customWidth="1"/>
    <col min="28" max="28" width="38" style="71" bestFit="1" customWidth="1"/>
    <col min="29" max="29" width="2.625" style="71" hidden="1" customWidth="1"/>
    <col min="30" max="31" width="5.125" style="71" customWidth="1"/>
    <col min="32" max="36" width="12.5" style="71" customWidth="1"/>
    <col min="37" max="37" width="2.375" style="71" customWidth="1"/>
    <col min="38" max="16384" width="8.125" style="71" hidden="1"/>
  </cols>
  <sheetData>
    <row r="1" spans="2:36" ht="24" customHeight="1">
      <c r="B1" s="67" t="s">
        <v>2393</v>
      </c>
      <c r="C1" s="67"/>
      <c r="D1" s="67"/>
      <c r="E1" s="67"/>
      <c r="F1" s="67"/>
      <c r="G1" s="67"/>
      <c r="H1" s="67"/>
      <c r="I1" s="67"/>
      <c r="J1" s="67"/>
      <c r="K1" s="69" t="str">
        <f>Validation!B3</f>
        <v>South West Water – South West area</v>
      </c>
      <c r="L1" s="67"/>
      <c r="M1" s="70" t="s">
        <v>2394</v>
      </c>
      <c r="AA1" s="67" t="s">
        <v>6671</v>
      </c>
      <c r="AB1" s="67"/>
      <c r="AC1" s="67"/>
      <c r="AD1" s="67"/>
      <c r="AE1" s="67"/>
      <c r="AF1" s="67"/>
      <c r="AG1" s="67"/>
      <c r="AH1" s="67"/>
      <c r="AI1" s="67"/>
      <c r="AJ1" s="69"/>
    </row>
    <row r="2" spans="2:36" ht="15" thickBot="1">
      <c r="B2" s="74" t="s">
        <v>12524</v>
      </c>
      <c r="AA2" s="74" t="str">
        <f>+B2</f>
        <v>For the 12 months ended 31 March 2019</v>
      </c>
    </row>
    <row r="3" spans="2:36" ht="15" customHeight="1">
      <c r="B3" s="3200" t="s">
        <v>2395</v>
      </c>
      <c r="C3" s="3201"/>
      <c r="D3" s="1447" t="s">
        <v>6496</v>
      </c>
      <c r="E3" s="3204" t="s">
        <v>2396</v>
      </c>
      <c r="F3" s="3206" t="s">
        <v>2397</v>
      </c>
      <c r="G3" s="3208" t="s">
        <v>2398</v>
      </c>
      <c r="H3" s="3210" t="s">
        <v>2399</v>
      </c>
      <c r="I3" s="3211"/>
      <c r="J3" s="3212"/>
      <c r="K3" s="3213" t="s">
        <v>2400</v>
      </c>
      <c r="M3" s="3213" t="s">
        <v>1361</v>
      </c>
      <c r="AA3" s="3200" t="s">
        <v>2395</v>
      </c>
      <c r="AB3" s="3201"/>
      <c r="AC3" s="1680" t="s">
        <v>6496</v>
      </c>
      <c r="AD3" s="3204" t="s">
        <v>2396</v>
      </c>
      <c r="AE3" s="3206" t="s">
        <v>2397</v>
      </c>
      <c r="AF3" s="3208" t="s">
        <v>2398</v>
      </c>
      <c r="AG3" s="3210" t="s">
        <v>2399</v>
      </c>
      <c r="AH3" s="3211"/>
      <c r="AI3" s="3212"/>
      <c r="AJ3" s="3213" t="s">
        <v>2400</v>
      </c>
    </row>
    <row r="4" spans="2:36" ht="51.75" thickBot="1">
      <c r="B4" s="3202"/>
      <c r="C4" s="3203"/>
      <c r="D4" s="1448"/>
      <c r="E4" s="3205"/>
      <c r="F4" s="3207"/>
      <c r="G4" s="3209"/>
      <c r="H4" s="80" t="s">
        <v>2401</v>
      </c>
      <c r="I4" s="81" t="s">
        <v>2402</v>
      </c>
      <c r="J4" s="82" t="s">
        <v>2403</v>
      </c>
      <c r="K4" s="3214"/>
      <c r="M4" s="3214"/>
      <c r="P4" s="3215" t="s">
        <v>2404</v>
      </c>
      <c r="Q4" s="3215"/>
      <c r="R4" s="3215"/>
      <c r="AA4" s="3202"/>
      <c r="AB4" s="3203"/>
      <c r="AC4" s="1681"/>
      <c r="AD4" s="3205"/>
      <c r="AE4" s="3207"/>
      <c r="AF4" s="3209"/>
      <c r="AG4" s="1682" t="s">
        <v>2401</v>
      </c>
      <c r="AH4" s="81" t="s">
        <v>2402</v>
      </c>
      <c r="AI4" s="1683" t="s">
        <v>2403</v>
      </c>
      <c r="AJ4" s="3214"/>
    </row>
    <row r="5" spans="2:36" ht="15" thickBot="1">
      <c r="P5" s="171" t="s">
        <v>2405</v>
      </c>
      <c r="Q5" s="132"/>
      <c r="R5" s="132"/>
    </row>
    <row r="6" spans="2:36">
      <c r="B6" s="91" t="s">
        <v>4949</v>
      </c>
      <c r="C6" s="122" t="s">
        <v>2406</v>
      </c>
      <c r="D6" s="122"/>
      <c r="E6" s="93" t="s">
        <v>750</v>
      </c>
      <c r="F6" s="94">
        <v>3</v>
      </c>
      <c r="G6" s="481"/>
      <c r="H6" s="430"/>
      <c r="I6" s="441"/>
      <c r="J6" s="198">
        <f xml:space="preserve"> H6 - I6</f>
        <v>0</v>
      </c>
      <c r="K6" s="204">
        <f xml:space="preserve"> G6 + J6</f>
        <v>0</v>
      </c>
      <c r="M6" s="24" t="str">
        <f t="shared" ref="M6:M8" si="0" xml:space="preserve"> IF( SUM( O6:S6 ) = 0, 0, $P$5 )</f>
        <v>Please complete all cells in row</v>
      </c>
      <c r="P6" s="98">
        <f xml:space="preserve"> IF( ISNUMBER( G6 ), 0, 1 )</f>
        <v>1</v>
      </c>
      <c r="Q6" s="98">
        <f t="shared" ref="Q6:R8" si="1" xml:space="preserve"> IF( ISNUMBER( H6 ), 0, 1 )</f>
        <v>1</v>
      </c>
      <c r="R6" s="98">
        <f t="shared" si="1"/>
        <v>1</v>
      </c>
      <c r="AA6" s="91" t="s">
        <v>4949</v>
      </c>
      <c r="AB6" s="122" t="s">
        <v>2406</v>
      </c>
      <c r="AC6" s="122"/>
      <c r="AD6" s="93" t="s">
        <v>750</v>
      </c>
      <c r="AE6" s="94">
        <v>3</v>
      </c>
      <c r="AF6" s="2746" t="s">
        <v>6672</v>
      </c>
      <c r="AG6" s="2747" t="s">
        <v>6673</v>
      </c>
      <c r="AH6" s="2748" t="s">
        <v>6674</v>
      </c>
      <c r="AI6" s="198" t="s">
        <v>6675</v>
      </c>
      <c r="AJ6" s="204" t="s">
        <v>6676</v>
      </c>
    </row>
    <row r="7" spans="2:36">
      <c r="B7" s="99" t="s">
        <v>4950</v>
      </c>
      <c r="C7" s="92" t="s">
        <v>2407</v>
      </c>
      <c r="D7" s="92"/>
      <c r="E7" s="100" t="s">
        <v>750</v>
      </c>
      <c r="F7" s="101">
        <v>3</v>
      </c>
      <c r="G7" s="482"/>
      <c r="H7" s="428"/>
      <c r="I7" s="429"/>
      <c r="J7" s="199">
        <f xml:space="preserve"> H7 - I7</f>
        <v>0</v>
      </c>
      <c r="K7" s="205">
        <f t="shared" ref="K7:K22" si="2" xml:space="preserve"> G7 + J7</f>
        <v>0</v>
      </c>
      <c r="M7" s="24" t="str">
        <f t="shared" si="0"/>
        <v>Please complete all cells in row</v>
      </c>
      <c r="P7" s="98">
        <f t="shared" ref="P7:P8" si="3" xml:space="preserve"> IF( ISNUMBER( G7 ), 0, 1 )</f>
        <v>1</v>
      </c>
      <c r="Q7" s="98">
        <f t="shared" si="1"/>
        <v>1</v>
      </c>
      <c r="R7" s="98">
        <f t="shared" si="1"/>
        <v>1</v>
      </c>
      <c r="AA7" s="99" t="s">
        <v>4950</v>
      </c>
      <c r="AB7" s="92" t="s">
        <v>2407</v>
      </c>
      <c r="AC7" s="92"/>
      <c r="AD7" s="100" t="s">
        <v>750</v>
      </c>
      <c r="AE7" s="101">
        <v>3</v>
      </c>
      <c r="AF7" s="2749" t="s">
        <v>6677</v>
      </c>
      <c r="AG7" s="2750" t="s">
        <v>6678</v>
      </c>
      <c r="AH7" s="2751" t="s">
        <v>6679</v>
      </c>
      <c r="AI7" s="199" t="s">
        <v>6680</v>
      </c>
      <c r="AJ7" s="205" t="s">
        <v>6681</v>
      </c>
    </row>
    <row r="8" spans="2:36">
      <c r="B8" s="99" t="s">
        <v>4951</v>
      </c>
      <c r="C8" s="92" t="s">
        <v>2408</v>
      </c>
      <c r="D8" s="92"/>
      <c r="E8" s="100" t="s">
        <v>750</v>
      </c>
      <c r="F8" s="101">
        <v>3</v>
      </c>
      <c r="G8" s="482"/>
      <c r="H8" s="428"/>
      <c r="I8" s="429"/>
      <c r="J8" s="199">
        <f xml:space="preserve"> H8 - I8</f>
        <v>0</v>
      </c>
      <c r="K8" s="205">
        <f t="shared" si="2"/>
        <v>0</v>
      </c>
      <c r="M8" s="24" t="str">
        <f t="shared" si="0"/>
        <v>Please complete all cells in row</v>
      </c>
      <c r="P8" s="98">
        <f t="shared" si="3"/>
        <v>1</v>
      </c>
      <c r="Q8" s="98">
        <f t="shared" si="1"/>
        <v>1</v>
      </c>
      <c r="R8" s="98">
        <f t="shared" si="1"/>
        <v>1</v>
      </c>
      <c r="AA8" s="99" t="s">
        <v>4951</v>
      </c>
      <c r="AB8" s="92" t="s">
        <v>2408</v>
      </c>
      <c r="AC8" s="92"/>
      <c r="AD8" s="100" t="s">
        <v>750</v>
      </c>
      <c r="AE8" s="101">
        <v>3</v>
      </c>
      <c r="AF8" s="2749" t="s">
        <v>6682</v>
      </c>
      <c r="AG8" s="2750" t="s">
        <v>6683</v>
      </c>
      <c r="AH8" s="2751" t="s">
        <v>6684</v>
      </c>
      <c r="AI8" s="199" t="s">
        <v>6685</v>
      </c>
      <c r="AJ8" s="205" t="s">
        <v>6686</v>
      </c>
    </row>
    <row r="9" spans="2:36" ht="15" thickBot="1">
      <c r="B9" s="106" t="s">
        <v>4952</v>
      </c>
      <c r="C9" s="107" t="s">
        <v>2409</v>
      </c>
      <c r="D9" s="107"/>
      <c r="E9" s="108" t="s">
        <v>750</v>
      </c>
      <c r="F9" s="105">
        <v>3</v>
      </c>
      <c r="G9" s="206">
        <f>SUM( G6:G8 )</f>
        <v>0</v>
      </c>
      <c r="H9" s="201">
        <f>SUM( H6:H8 )</f>
        <v>0</v>
      </c>
      <c r="I9" s="202">
        <f>SUM( I6:I8 )</f>
        <v>0</v>
      </c>
      <c r="J9" s="203">
        <f xml:space="preserve"> H9 - I9</f>
        <v>0</v>
      </c>
      <c r="K9" s="206">
        <f xml:space="preserve"> G9 + J9</f>
        <v>0</v>
      </c>
      <c r="M9" s="131"/>
      <c r="P9" s="132"/>
      <c r="Q9" s="132"/>
      <c r="R9" s="132"/>
      <c r="AA9" s="106" t="s">
        <v>4952</v>
      </c>
      <c r="AB9" s="107" t="s">
        <v>2409</v>
      </c>
      <c r="AC9" s="107"/>
      <c r="AD9" s="108" t="s">
        <v>750</v>
      </c>
      <c r="AE9" s="105">
        <v>3</v>
      </c>
      <c r="AF9" s="206" t="s">
        <v>6687</v>
      </c>
      <c r="AG9" s="201" t="s">
        <v>6688</v>
      </c>
      <c r="AH9" s="202" t="s">
        <v>6689</v>
      </c>
      <c r="AI9" s="203" t="s">
        <v>6690</v>
      </c>
      <c r="AJ9" s="206" t="s">
        <v>6691</v>
      </c>
    </row>
    <row r="10" spans="2:36" ht="15" thickBot="1">
      <c r="M10" s="131"/>
      <c r="P10" s="132"/>
      <c r="Q10" s="132"/>
      <c r="R10" s="132"/>
    </row>
    <row r="11" spans="2:36">
      <c r="B11" s="91" t="s">
        <v>4953</v>
      </c>
      <c r="C11" s="122" t="s">
        <v>2410</v>
      </c>
      <c r="D11" s="122"/>
      <c r="E11" s="93" t="s">
        <v>750</v>
      </c>
      <c r="F11" s="94">
        <v>3</v>
      </c>
      <c r="G11" s="477"/>
      <c r="H11" s="430"/>
      <c r="I11" s="441"/>
      <c r="J11" s="198">
        <f xml:space="preserve"> H11 - I11</f>
        <v>0</v>
      </c>
      <c r="K11" s="204">
        <f xml:space="preserve"> G11 + J11</f>
        <v>0</v>
      </c>
      <c r="M11" s="24" t="str">
        <f t="shared" ref="M11:M13" si="4" xml:space="preserve"> IF( SUM( O11:S11 ) = 0, 0, $P$5 )</f>
        <v>Please complete all cells in row</v>
      </c>
      <c r="P11" s="98">
        <f xml:space="preserve"> IF( ISNUMBER( G11 ), 0, 1 )</f>
        <v>1</v>
      </c>
      <c r="Q11" s="98">
        <f t="shared" ref="Q11:R14" si="5" xml:space="preserve"> IF( ISNUMBER( H11 ), 0, 1 )</f>
        <v>1</v>
      </c>
      <c r="R11" s="98">
        <f t="shared" si="5"/>
        <v>1</v>
      </c>
      <c r="AA11" s="91" t="s">
        <v>4953</v>
      </c>
      <c r="AB11" s="122" t="s">
        <v>2410</v>
      </c>
      <c r="AC11" s="122"/>
      <c r="AD11" s="93" t="s">
        <v>750</v>
      </c>
      <c r="AE11" s="94">
        <v>3</v>
      </c>
      <c r="AF11" s="2752" t="s">
        <v>6692</v>
      </c>
      <c r="AG11" s="2747" t="s">
        <v>6693</v>
      </c>
      <c r="AH11" s="2748" t="s">
        <v>6694</v>
      </c>
      <c r="AI11" s="198" t="s">
        <v>6695</v>
      </c>
      <c r="AJ11" s="204" t="s">
        <v>6696</v>
      </c>
    </row>
    <row r="12" spans="2:36">
      <c r="B12" s="99" t="s">
        <v>4954</v>
      </c>
      <c r="C12" s="92" t="s">
        <v>2411</v>
      </c>
      <c r="D12" s="92"/>
      <c r="E12" s="100" t="s">
        <v>750</v>
      </c>
      <c r="F12" s="101">
        <v>3</v>
      </c>
      <c r="G12" s="473"/>
      <c r="H12" s="428"/>
      <c r="I12" s="429"/>
      <c r="J12" s="199">
        <f xml:space="preserve"> H12 - I12</f>
        <v>0</v>
      </c>
      <c r="K12" s="205">
        <f xml:space="preserve"> G12 + J12</f>
        <v>0</v>
      </c>
      <c r="M12" s="24" t="str">
        <f t="shared" si="4"/>
        <v>Please complete all cells in row</v>
      </c>
      <c r="P12" s="98">
        <f t="shared" ref="P12:P14" si="6" xml:space="preserve"> IF( ISNUMBER( G12 ), 0, 1 )</f>
        <v>1</v>
      </c>
      <c r="Q12" s="98">
        <f t="shared" si="5"/>
        <v>1</v>
      </c>
      <c r="R12" s="98">
        <f t="shared" si="5"/>
        <v>1</v>
      </c>
      <c r="AA12" s="99" t="s">
        <v>4954</v>
      </c>
      <c r="AB12" s="92" t="s">
        <v>2411</v>
      </c>
      <c r="AC12" s="92"/>
      <c r="AD12" s="100" t="s">
        <v>750</v>
      </c>
      <c r="AE12" s="101">
        <v>3</v>
      </c>
      <c r="AF12" s="2753" t="s">
        <v>6697</v>
      </c>
      <c r="AG12" s="2750" t="s">
        <v>6698</v>
      </c>
      <c r="AH12" s="2751" t="s">
        <v>6699</v>
      </c>
      <c r="AI12" s="199" t="s">
        <v>6700</v>
      </c>
      <c r="AJ12" s="205" t="s">
        <v>6701</v>
      </c>
    </row>
    <row r="13" spans="2:36">
      <c r="B13" s="99" t="s">
        <v>4955</v>
      </c>
      <c r="C13" s="92" t="s">
        <v>2412</v>
      </c>
      <c r="D13" s="92"/>
      <c r="E13" s="100" t="s">
        <v>750</v>
      </c>
      <c r="F13" s="101">
        <v>3</v>
      </c>
      <c r="G13" s="473"/>
      <c r="H13" s="428"/>
      <c r="I13" s="429"/>
      <c r="J13" s="199">
        <f xml:space="preserve"> H13 - I13</f>
        <v>0</v>
      </c>
      <c r="K13" s="205">
        <f t="shared" si="2"/>
        <v>0</v>
      </c>
      <c r="M13" s="24" t="str">
        <f t="shared" si="4"/>
        <v>Please complete all cells in row</v>
      </c>
      <c r="P13" s="98">
        <f t="shared" si="6"/>
        <v>1</v>
      </c>
      <c r="Q13" s="98">
        <f t="shared" si="5"/>
        <v>1</v>
      </c>
      <c r="R13" s="98">
        <f t="shared" si="5"/>
        <v>1</v>
      </c>
      <c r="AA13" s="99" t="s">
        <v>4955</v>
      </c>
      <c r="AB13" s="92" t="s">
        <v>2412</v>
      </c>
      <c r="AC13" s="92"/>
      <c r="AD13" s="100" t="s">
        <v>750</v>
      </c>
      <c r="AE13" s="101">
        <v>3</v>
      </c>
      <c r="AF13" s="2753" t="s">
        <v>6702</v>
      </c>
      <c r="AG13" s="2750" t="s">
        <v>6703</v>
      </c>
      <c r="AH13" s="2751" t="s">
        <v>6704</v>
      </c>
      <c r="AI13" s="199" t="s">
        <v>6705</v>
      </c>
      <c r="AJ13" s="205" t="s">
        <v>6706</v>
      </c>
    </row>
    <row r="14" spans="2:36">
      <c r="B14" s="99" t="s">
        <v>4956</v>
      </c>
      <c r="C14" s="92" t="s">
        <v>2413</v>
      </c>
      <c r="D14" s="92"/>
      <c r="E14" s="100" t="s">
        <v>750</v>
      </c>
      <c r="F14" s="101">
        <v>3</v>
      </c>
      <c r="G14" s="473"/>
      <c r="H14" s="428"/>
      <c r="I14" s="429"/>
      <c r="J14" s="199">
        <f xml:space="preserve"> H14 - I14</f>
        <v>0</v>
      </c>
      <c r="K14" s="205">
        <f t="shared" si="2"/>
        <v>0</v>
      </c>
      <c r="M14" s="24" t="str">
        <f xml:space="preserve"> IF( SUM( O14:S14 ) = 0, 0, $P$5 )</f>
        <v>Please complete all cells in row</v>
      </c>
      <c r="P14" s="98">
        <f t="shared" si="6"/>
        <v>1</v>
      </c>
      <c r="Q14" s="98">
        <f t="shared" si="5"/>
        <v>1</v>
      </c>
      <c r="R14" s="98">
        <f t="shared" si="5"/>
        <v>1</v>
      </c>
      <c r="AA14" s="99" t="s">
        <v>4956</v>
      </c>
      <c r="AB14" s="92" t="s">
        <v>2413</v>
      </c>
      <c r="AC14" s="92"/>
      <c r="AD14" s="100" t="s">
        <v>750</v>
      </c>
      <c r="AE14" s="101">
        <v>3</v>
      </c>
      <c r="AF14" s="2753" t="s">
        <v>6707</v>
      </c>
      <c r="AG14" s="2750" t="s">
        <v>6708</v>
      </c>
      <c r="AH14" s="2751" t="s">
        <v>6709</v>
      </c>
      <c r="AI14" s="199" t="s">
        <v>6710</v>
      </c>
      <c r="AJ14" s="205" t="s">
        <v>6711</v>
      </c>
    </row>
    <row r="15" spans="2:36" ht="15" thickBot="1">
      <c r="B15" s="106" t="s">
        <v>4957</v>
      </c>
      <c r="C15" s="107" t="s">
        <v>2414</v>
      </c>
      <c r="D15" s="107"/>
      <c r="E15" s="108" t="s">
        <v>750</v>
      </c>
      <c r="F15" s="105">
        <v>3</v>
      </c>
      <c r="G15" s="203">
        <f xml:space="preserve"> G9 + SUM( G11:G14 )</f>
        <v>0</v>
      </c>
      <c r="H15" s="201">
        <f xml:space="preserve"> H9 + SUM( H11:H14 )</f>
        <v>0</v>
      </c>
      <c r="I15" s="202">
        <f xml:space="preserve"> I9 + SUM( I11:I14 )</f>
        <v>0</v>
      </c>
      <c r="J15" s="203">
        <f xml:space="preserve"> H15 - I15</f>
        <v>0</v>
      </c>
      <c r="K15" s="206">
        <f t="shared" si="2"/>
        <v>0</v>
      </c>
      <c r="M15" s="131"/>
      <c r="P15" s="132"/>
      <c r="Q15" s="132"/>
      <c r="R15" s="132"/>
      <c r="AA15" s="106" t="s">
        <v>4957</v>
      </c>
      <c r="AB15" s="107" t="s">
        <v>2414</v>
      </c>
      <c r="AC15" s="107"/>
      <c r="AD15" s="108" t="s">
        <v>750</v>
      </c>
      <c r="AE15" s="105">
        <v>3</v>
      </c>
      <c r="AF15" s="203" t="s">
        <v>6712</v>
      </c>
      <c r="AG15" s="201" t="s">
        <v>6713</v>
      </c>
      <c r="AH15" s="202" t="s">
        <v>6714</v>
      </c>
      <c r="AI15" s="203" t="s">
        <v>6715</v>
      </c>
      <c r="AJ15" s="206" t="s">
        <v>6716</v>
      </c>
    </row>
    <row r="16" spans="2:36" ht="15" thickBot="1">
      <c r="M16" s="131"/>
      <c r="P16" s="132"/>
      <c r="Q16" s="132"/>
      <c r="R16" s="132"/>
    </row>
    <row r="17" spans="2:36">
      <c r="B17" s="91" t="s">
        <v>4958</v>
      </c>
      <c r="C17" s="122" t="s">
        <v>2415</v>
      </c>
      <c r="D17" s="122"/>
      <c r="E17" s="93" t="s">
        <v>750</v>
      </c>
      <c r="F17" s="94">
        <v>3</v>
      </c>
      <c r="G17" s="481"/>
      <c r="H17" s="430"/>
      <c r="I17" s="441"/>
      <c r="J17" s="198">
        <f xml:space="preserve"> H17 - I17</f>
        <v>0</v>
      </c>
      <c r="K17" s="207">
        <f t="shared" si="2"/>
        <v>0</v>
      </c>
      <c r="M17" s="24" t="str">
        <f t="shared" ref="M17" si="7" xml:space="preserve"> IF( SUM( O17:S17 ) = 0, 0, $P$5 )</f>
        <v>Please complete all cells in row</v>
      </c>
      <c r="P17" s="98">
        <f t="shared" ref="P17:R17" si="8" xml:space="preserve"> IF( ISNUMBER( G17 ), 0, 1 )</f>
        <v>1</v>
      </c>
      <c r="Q17" s="98">
        <f t="shared" si="8"/>
        <v>1</v>
      </c>
      <c r="R17" s="98">
        <f t="shared" si="8"/>
        <v>1</v>
      </c>
      <c r="AA17" s="91" t="s">
        <v>4958</v>
      </c>
      <c r="AB17" s="122" t="s">
        <v>2415</v>
      </c>
      <c r="AC17" s="122"/>
      <c r="AD17" s="93" t="s">
        <v>750</v>
      </c>
      <c r="AE17" s="94">
        <v>3</v>
      </c>
      <c r="AF17" s="2746" t="s">
        <v>6717</v>
      </c>
      <c r="AG17" s="2747" t="s">
        <v>6718</v>
      </c>
      <c r="AH17" s="2748" t="s">
        <v>6719</v>
      </c>
      <c r="AI17" s="198" t="s">
        <v>6720</v>
      </c>
      <c r="AJ17" s="207" t="s">
        <v>6721</v>
      </c>
    </row>
    <row r="18" spans="2:36" ht="15" thickBot="1">
      <c r="B18" s="106" t="s">
        <v>4959</v>
      </c>
      <c r="C18" s="107" t="s">
        <v>2416</v>
      </c>
      <c r="D18" s="107"/>
      <c r="E18" s="108" t="s">
        <v>750</v>
      </c>
      <c r="F18" s="105">
        <v>3</v>
      </c>
      <c r="G18" s="206">
        <f xml:space="preserve"> G15 + G17</f>
        <v>0</v>
      </c>
      <c r="H18" s="201">
        <f xml:space="preserve"> H15 + H17</f>
        <v>0</v>
      </c>
      <c r="I18" s="202">
        <f xml:space="preserve"> I15 + I17</f>
        <v>0</v>
      </c>
      <c r="J18" s="203">
        <f xml:space="preserve"> H18 - I18</f>
        <v>0</v>
      </c>
      <c r="K18" s="208">
        <f t="shared" si="2"/>
        <v>0</v>
      </c>
      <c r="M18" s="131"/>
      <c r="P18" s="132"/>
      <c r="Q18" s="132"/>
      <c r="R18" s="132"/>
      <c r="AA18" s="106" t="s">
        <v>4959</v>
      </c>
      <c r="AB18" s="107" t="s">
        <v>2416</v>
      </c>
      <c r="AC18" s="107"/>
      <c r="AD18" s="108" t="s">
        <v>750</v>
      </c>
      <c r="AE18" s="105">
        <v>3</v>
      </c>
      <c r="AF18" s="206" t="s">
        <v>6722</v>
      </c>
      <c r="AG18" s="201" t="s">
        <v>6723</v>
      </c>
      <c r="AH18" s="202" t="s">
        <v>6724</v>
      </c>
      <c r="AI18" s="203" t="s">
        <v>6725</v>
      </c>
      <c r="AJ18" s="208" t="s">
        <v>6726</v>
      </c>
    </row>
    <row r="19" spans="2:36" ht="15" thickBot="1">
      <c r="M19" s="131"/>
      <c r="P19" s="132"/>
      <c r="Q19" s="132"/>
      <c r="R19" s="132"/>
    </row>
    <row r="20" spans="2:36">
      <c r="B20" s="91" t="s">
        <v>4960</v>
      </c>
      <c r="C20" s="122" t="s">
        <v>2417</v>
      </c>
      <c r="D20" s="122"/>
      <c r="E20" s="93" t="s">
        <v>750</v>
      </c>
      <c r="F20" s="94">
        <v>3</v>
      </c>
      <c r="G20" s="1756">
        <f>(-1 * G29)</f>
        <v>0</v>
      </c>
      <c r="H20" s="1757">
        <f>(-1 * H29)</f>
        <v>0</v>
      </c>
      <c r="I20" s="1758">
        <f>(-1 * I29)</f>
        <v>0</v>
      </c>
      <c r="J20" s="198">
        <f xml:space="preserve"> H20 - I20</f>
        <v>0</v>
      </c>
      <c r="K20" s="207">
        <f t="shared" si="2"/>
        <v>0</v>
      </c>
      <c r="M20" s="24">
        <f t="shared" ref="M20:M21" si="9" xml:space="preserve"> IF( SUM( O20:S20 ) = 0, 0, $P$5 )</f>
        <v>0</v>
      </c>
      <c r="P20" s="98">
        <f t="shared" ref="P20:R21" si="10" xml:space="preserve"> IF( ISNUMBER( G20 ), 0, 1 )</f>
        <v>0</v>
      </c>
      <c r="Q20" s="98">
        <f t="shared" si="10"/>
        <v>0</v>
      </c>
      <c r="R20" s="98">
        <f t="shared" si="10"/>
        <v>0</v>
      </c>
      <c r="AA20" s="91" t="s">
        <v>4960</v>
      </c>
      <c r="AB20" s="122" t="s">
        <v>2417</v>
      </c>
      <c r="AC20" s="122"/>
      <c r="AD20" s="93" t="s">
        <v>750</v>
      </c>
      <c r="AE20" s="94">
        <v>3</v>
      </c>
      <c r="AF20" s="204" t="s">
        <v>6727</v>
      </c>
      <c r="AG20" s="196" t="s">
        <v>6728</v>
      </c>
      <c r="AH20" s="197" t="s">
        <v>6729</v>
      </c>
      <c r="AI20" s="198" t="s">
        <v>6730</v>
      </c>
      <c r="AJ20" s="207" t="s">
        <v>6731</v>
      </c>
    </row>
    <row r="21" spans="2:36">
      <c r="B21" s="99" t="s">
        <v>4961</v>
      </c>
      <c r="C21" s="92" t="s">
        <v>2418</v>
      </c>
      <c r="D21" s="92"/>
      <c r="E21" s="100" t="s">
        <v>750</v>
      </c>
      <c r="F21" s="101">
        <v>3</v>
      </c>
      <c r="G21" s="482"/>
      <c r="H21" s="428"/>
      <c r="I21" s="429"/>
      <c r="J21" s="199">
        <f xml:space="preserve"> H21 - I21</f>
        <v>0</v>
      </c>
      <c r="K21" s="249">
        <f t="shared" si="2"/>
        <v>0</v>
      </c>
      <c r="M21" s="24" t="str">
        <f t="shared" si="9"/>
        <v>Please complete all cells in row</v>
      </c>
      <c r="P21" s="98">
        <f t="shared" si="10"/>
        <v>1</v>
      </c>
      <c r="Q21" s="98">
        <f t="shared" si="10"/>
        <v>1</v>
      </c>
      <c r="R21" s="98">
        <f t="shared" si="10"/>
        <v>1</v>
      </c>
      <c r="AA21" s="99" t="s">
        <v>4961</v>
      </c>
      <c r="AB21" s="92" t="s">
        <v>2418</v>
      </c>
      <c r="AC21" s="92"/>
      <c r="AD21" s="100" t="s">
        <v>750</v>
      </c>
      <c r="AE21" s="101">
        <v>3</v>
      </c>
      <c r="AF21" s="2749" t="s">
        <v>6732</v>
      </c>
      <c r="AG21" s="2750" t="s">
        <v>6733</v>
      </c>
      <c r="AH21" s="2751" t="s">
        <v>6734</v>
      </c>
      <c r="AI21" s="199" t="s">
        <v>6735</v>
      </c>
      <c r="AJ21" s="249" t="s">
        <v>6736</v>
      </c>
    </row>
    <row r="22" spans="2:36" ht="15" thickBot="1">
      <c r="B22" s="106" t="s">
        <v>4962</v>
      </c>
      <c r="C22" s="107" t="s">
        <v>2419</v>
      </c>
      <c r="D22" s="107"/>
      <c r="E22" s="108" t="s">
        <v>750</v>
      </c>
      <c r="F22" s="105">
        <v>3</v>
      </c>
      <c r="G22" s="206">
        <f xml:space="preserve"> G18 + (SUM( G20:G21 ))</f>
        <v>0</v>
      </c>
      <c r="H22" s="201">
        <f xml:space="preserve"> H18 + (SUM( H20:H21 ))</f>
        <v>0</v>
      </c>
      <c r="I22" s="202">
        <f xml:space="preserve"> I18 + (SUM( I20:I21 ))</f>
        <v>0</v>
      </c>
      <c r="J22" s="203">
        <f xml:space="preserve"> H22 - I22</f>
        <v>0</v>
      </c>
      <c r="K22" s="208">
        <f t="shared" si="2"/>
        <v>0</v>
      </c>
      <c r="M22" s="131"/>
      <c r="AA22" s="106" t="s">
        <v>4962</v>
      </c>
      <c r="AB22" s="107" t="s">
        <v>2419</v>
      </c>
      <c r="AC22" s="107"/>
      <c r="AD22" s="108" t="s">
        <v>750</v>
      </c>
      <c r="AE22" s="105">
        <v>3</v>
      </c>
      <c r="AF22" s="206" t="s">
        <v>6737</v>
      </c>
      <c r="AG22" s="201" t="s">
        <v>6738</v>
      </c>
      <c r="AH22" s="202" t="s">
        <v>6739</v>
      </c>
      <c r="AI22" s="203" t="s">
        <v>6740</v>
      </c>
      <c r="AJ22" s="208" t="s">
        <v>6741</v>
      </c>
    </row>
    <row r="23" spans="2:36" s="115" customFormat="1" ht="15" thickBot="1">
      <c r="C23" s="157"/>
      <c r="D23" s="157"/>
      <c r="H23" s="170"/>
      <c r="J23" s="123"/>
      <c r="K23" s="123"/>
      <c r="L23" s="123"/>
      <c r="M23" s="131"/>
      <c r="N23" s="123"/>
      <c r="O23" s="129"/>
      <c r="P23" s="288"/>
      <c r="S23" s="129"/>
      <c r="AB23" s="157"/>
      <c r="AC23" s="157"/>
      <c r="AG23" s="170"/>
      <c r="AI23" s="123"/>
      <c r="AJ23" s="123"/>
    </row>
    <row r="24" spans="2:36" s="115" customFormat="1" ht="15" thickBot="1">
      <c r="B24" s="617" t="s">
        <v>4963</v>
      </c>
      <c r="C24" s="618" t="s">
        <v>3181</v>
      </c>
      <c r="D24" s="618"/>
      <c r="E24" s="138" t="s">
        <v>750</v>
      </c>
      <c r="F24" s="139">
        <v>3</v>
      </c>
      <c r="G24" s="443"/>
      <c r="H24" s="462"/>
      <c r="I24" s="470"/>
      <c r="J24" s="255">
        <f xml:space="preserve"> H24 - I24</f>
        <v>0</v>
      </c>
      <c r="K24" s="504">
        <f t="shared" ref="K24" si="11" xml:space="preserve"> G24 + J24</f>
        <v>0</v>
      </c>
      <c r="L24" s="71"/>
      <c r="M24" s="24" t="str">
        <f t="shared" ref="M24" si="12" xml:space="preserve"> IF( SUM( O24:S24 ) = 0, 0, $P$5 )</f>
        <v>Please complete all cells in row</v>
      </c>
      <c r="N24" s="123"/>
      <c r="O24" s="129"/>
      <c r="P24" s="98">
        <f t="shared" ref="P24" si="13" xml:space="preserve"> IF( ISNUMBER( G24 ), 0, 1 )</f>
        <v>1</v>
      </c>
      <c r="Q24" s="98">
        <f t="shared" ref="Q24" si="14" xml:space="preserve"> IF( ISNUMBER( H24 ), 0, 1 )</f>
        <v>1</v>
      </c>
      <c r="R24" s="98">
        <f t="shared" ref="R24" si="15" xml:space="preserve"> IF( ISNUMBER( I24 ), 0, 1 )</f>
        <v>1</v>
      </c>
      <c r="S24" s="129"/>
      <c r="AA24" s="617" t="s">
        <v>4963</v>
      </c>
      <c r="AB24" s="618" t="s">
        <v>3181</v>
      </c>
      <c r="AC24" s="618"/>
      <c r="AD24" s="138" t="s">
        <v>750</v>
      </c>
      <c r="AE24" s="139">
        <v>3</v>
      </c>
      <c r="AF24" s="2754" t="s">
        <v>6742</v>
      </c>
      <c r="AG24" s="2755" t="s">
        <v>6743</v>
      </c>
      <c r="AH24" s="2756" t="s">
        <v>6744</v>
      </c>
      <c r="AI24" s="255" t="s">
        <v>6745</v>
      </c>
      <c r="AJ24" s="504" t="s">
        <v>6746</v>
      </c>
    </row>
    <row r="25" spans="2:36" s="115" customFormat="1" ht="15" thickBot="1">
      <c r="C25" s="157"/>
      <c r="D25" s="157"/>
      <c r="H25" s="170"/>
      <c r="J25" s="123"/>
      <c r="K25" s="123"/>
      <c r="L25" s="123"/>
      <c r="M25" s="131"/>
      <c r="N25" s="123"/>
      <c r="O25" s="129"/>
      <c r="P25" s="288"/>
      <c r="S25" s="129"/>
      <c r="AB25" s="157"/>
      <c r="AC25" s="157"/>
      <c r="AG25" s="170"/>
      <c r="AI25" s="123"/>
      <c r="AJ25" s="123"/>
    </row>
    <row r="26" spans="2:36" ht="15" thickBot="1">
      <c r="B26" s="87" t="s">
        <v>2449</v>
      </c>
      <c r="C26" s="88" t="s">
        <v>3752</v>
      </c>
      <c r="D26" s="1584"/>
      <c r="M26" s="131"/>
      <c r="AA26" s="87" t="s">
        <v>2449</v>
      </c>
      <c r="AB26" s="88" t="s">
        <v>3752</v>
      </c>
      <c r="AC26" s="1584"/>
    </row>
    <row r="27" spans="2:36">
      <c r="B27" s="91" t="s">
        <v>4964</v>
      </c>
      <c r="C27" s="122" t="s">
        <v>2642</v>
      </c>
      <c r="D27" s="122"/>
      <c r="E27" s="93" t="s">
        <v>750</v>
      </c>
      <c r="F27" s="94">
        <v>3</v>
      </c>
      <c r="G27" s="477"/>
      <c r="H27" s="430"/>
      <c r="I27" s="441"/>
      <c r="J27" s="198">
        <f xml:space="preserve"> H27 - I27</f>
        <v>0</v>
      </c>
      <c r="K27" s="204">
        <f xml:space="preserve"> G27 + J27</f>
        <v>0</v>
      </c>
      <c r="M27" s="24" t="str">
        <f t="shared" ref="M27:M28" si="16" xml:space="preserve"> IF( SUM( O27:S27 ) = 0, 0, $P$5 )</f>
        <v>Please complete all cells in row</v>
      </c>
      <c r="P27" s="98">
        <f t="shared" ref="P27:R28" si="17" xml:space="preserve"> IF( ISNUMBER( G27 ), 0, 1 )</f>
        <v>1</v>
      </c>
      <c r="Q27" s="98">
        <f t="shared" si="17"/>
        <v>1</v>
      </c>
      <c r="R27" s="98">
        <f t="shared" si="17"/>
        <v>1</v>
      </c>
      <c r="AA27" s="91" t="s">
        <v>4964</v>
      </c>
      <c r="AB27" s="122" t="s">
        <v>2642</v>
      </c>
      <c r="AC27" s="122"/>
      <c r="AD27" s="93" t="s">
        <v>750</v>
      </c>
      <c r="AE27" s="94">
        <v>3</v>
      </c>
      <c r="AF27" s="2757" t="s">
        <v>11020</v>
      </c>
      <c r="AG27" s="2556" t="s">
        <v>11022</v>
      </c>
      <c r="AH27" s="2758" t="s">
        <v>11024</v>
      </c>
      <c r="AI27" s="2148" t="s">
        <v>11026</v>
      </c>
      <c r="AJ27" s="2149" t="s">
        <v>11028</v>
      </c>
    </row>
    <row r="28" spans="2:36">
      <c r="B28" s="99" t="s">
        <v>4965</v>
      </c>
      <c r="C28" s="92" t="s">
        <v>3753</v>
      </c>
      <c r="D28" s="92"/>
      <c r="E28" s="100" t="s">
        <v>750</v>
      </c>
      <c r="F28" s="101">
        <v>3</v>
      </c>
      <c r="G28" s="473"/>
      <c r="H28" s="428"/>
      <c r="I28" s="429"/>
      <c r="J28" s="199">
        <f xml:space="preserve"> H28 - I28</f>
        <v>0</v>
      </c>
      <c r="K28" s="205">
        <f xml:space="preserve"> G28 + J28</f>
        <v>0</v>
      </c>
      <c r="M28" s="24" t="str">
        <f t="shared" si="16"/>
        <v>Please complete all cells in row</v>
      </c>
      <c r="P28" s="98">
        <f t="shared" si="17"/>
        <v>1</v>
      </c>
      <c r="Q28" s="98">
        <f t="shared" si="17"/>
        <v>1</v>
      </c>
      <c r="R28" s="98">
        <f t="shared" si="17"/>
        <v>1</v>
      </c>
      <c r="AA28" s="99" t="s">
        <v>4965</v>
      </c>
      <c r="AB28" s="92" t="s">
        <v>3753</v>
      </c>
      <c r="AC28" s="92"/>
      <c r="AD28" s="100" t="s">
        <v>750</v>
      </c>
      <c r="AE28" s="101">
        <v>3</v>
      </c>
      <c r="AF28" s="2759" t="s">
        <v>11021</v>
      </c>
      <c r="AG28" s="2558" t="s">
        <v>11023</v>
      </c>
      <c r="AH28" s="2760" t="s">
        <v>11025</v>
      </c>
      <c r="AI28" s="2150" t="s">
        <v>11027</v>
      </c>
      <c r="AJ28" s="2151" t="s">
        <v>11029</v>
      </c>
    </row>
    <row r="29" spans="2:36" ht="15" thickBot="1">
      <c r="B29" s="106" t="s">
        <v>4966</v>
      </c>
      <c r="C29" s="107" t="s">
        <v>2417</v>
      </c>
      <c r="D29" s="107"/>
      <c r="E29" s="108" t="s">
        <v>750</v>
      </c>
      <c r="F29" s="105">
        <v>3</v>
      </c>
      <c r="G29" s="203">
        <f>SUM( G27:G28 )</f>
        <v>0</v>
      </c>
      <c r="H29" s="1701">
        <f>SUM( H27:H28 )</f>
        <v>0</v>
      </c>
      <c r="I29" s="202">
        <f>SUM( I27:I28 )</f>
        <v>0</v>
      </c>
      <c r="J29" s="206">
        <f xml:space="preserve"> H29 - I29</f>
        <v>0</v>
      </c>
      <c r="K29" s="206">
        <f xml:space="preserve"> G29 + J29</f>
        <v>0</v>
      </c>
      <c r="M29" s="131"/>
      <c r="AA29" s="106" t="s">
        <v>4966</v>
      </c>
      <c r="AB29" s="107" t="s">
        <v>2417</v>
      </c>
      <c r="AC29" s="107"/>
      <c r="AD29" s="108" t="s">
        <v>750</v>
      </c>
      <c r="AE29" s="105">
        <v>3</v>
      </c>
      <c r="AF29" s="2152" t="s">
        <v>11015</v>
      </c>
      <c r="AG29" s="2153" t="s">
        <v>11016</v>
      </c>
      <c r="AH29" s="2154" t="s">
        <v>11017</v>
      </c>
      <c r="AI29" s="2155" t="s">
        <v>11018</v>
      </c>
      <c r="AJ29" s="2155" t="s">
        <v>11019</v>
      </c>
    </row>
    <row r="30" spans="2:36" s="115" customFormat="1" ht="15" thickBot="1">
      <c r="C30" s="157"/>
      <c r="D30" s="157"/>
      <c r="H30" s="170"/>
      <c r="J30" s="123"/>
      <c r="K30" s="123"/>
      <c r="L30" s="123"/>
      <c r="M30" s="131"/>
      <c r="N30" s="123"/>
      <c r="O30" s="129"/>
      <c r="P30" s="288"/>
      <c r="S30" s="129"/>
      <c r="AB30" s="157"/>
      <c r="AC30" s="157"/>
      <c r="AG30" s="170"/>
      <c r="AI30" s="123"/>
      <c r="AJ30" s="123"/>
    </row>
    <row r="31" spans="2:36" s="115" customFormat="1" ht="15" thickBot="1">
      <c r="C31" s="157"/>
      <c r="D31" s="157"/>
      <c r="G31" s="364" t="s">
        <v>2402</v>
      </c>
      <c r="H31" s="170"/>
      <c r="J31" s="123"/>
      <c r="K31" s="123"/>
      <c r="L31" s="123"/>
      <c r="M31" s="131"/>
      <c r="N31" s="123"/>
      <c r="O31" s="129"/>
      <c r="P31" s="288"/>
      <c r="S31" s="129"/>
      <c r="AB31" s="157"/>
      <c r="AC31" s="157"/>
      <c r="AF31" s="364" t="s">
        <v>2402</v>
      </c>
      <c r="AG31" s="170"/>
      <c r="AI31" s="123"/>
      <c r="AJ31" s="123"/>
    </row>
    <row r="32" spans="2:36" ht="15" thickBot="1">
      <c r="B32" s="87" t="s">
        <v>2458</v>
      </c>
      <c r="C32" s="88" t="s">
        <v>3754</v>
      </c>
      <c r="D32" s="1584"/>
      <c r="M32" s="131"/>
      <c r="AA32" s="87" t="s">
        <v>2458</v>
      </c>
      <c r="AB32" s="88" t="s">
        <v>3754</v>
      </c>
      <c r="AC32" s="1584"/>
    </row>
    <row r="33" spans="1:36">
      <c r="B33" s="91" t="s">
        <v>4967</v>
      </c>
      <c r="C33" s="122" t="s">
        <v>3755</v>
      </c>
      <c r="D33" s="122"/>
      <c r="E33" s="93" t="s">
        <v>750</v>
      </c>
      <c r="F33" s="94">
        <v>3</v>
      </c>
      <c r="G33" s="444"/>
      <c r="M33" s="24" t="str">
        <f t="shared" ref="M33:M34" si="18" xml:space="preserve"> IF( SUM( O33:S33 ) = 0, 0, $P$5 )</f>
        <v>Please complete all cells in row</v>
      </c>
      <c r="P33" s="98">
        <f t="shared" ref="P33:P34" si="19" xml:space="preserve"> IF( ISNUMBER( G33 ), 0, 1 )</f>
        <v>1</v>
      </c>
      <c r="Q33" s="132"/>
      <c r="R33" s="132"/>
      <c r="AA33" s="91" t="s">
        <v>4967</v>
      </c>
      <c r="AB33" s="122" t="s">
        <v>3755</v>
      </c>
      <c r="AC33" s="122"/>
      <c r="AD33" s="93" t="s">
        <v>750</v>
      </c>
      <c r="AE33" s="94">
        <v>3</v>
      </c>
      <c r="AF33" s="2557" t="s">
        <v>11031</v>
      </c>
    </row>
    <row r="34" spans="1:36">
      <c r="B34" s="99" t="s">
        <v>4968</v>
      </c>
      <c r="C34" s="92" t="s">
        <v>3756</v>
      </c>
      <c r="D34" s="92"/>
      <c r="E34" s="100" t="s">
        <v>750</v>
      </c>
      <c r="F34" s="101">
        <v>3</v>
      </c>
      <c r="G34" s="427"/>
      <c r="M34" s="24" t="str">
        <f t="shared" si="18"/>
        <v>Please complete all cells in row</v>
      </c>
      <c r="P34" s="98">
        <f t="shared" si="19"/>
        <v>1</v>
      </c>
      <c r="Q34" s="132"/>
      <c r="R34" s="132"/>
      <c r="AA34" s="99" t="s">
        <v>4968</v>
      </c>
      <c r="AB34" s="92" t="s">
        <v>3756</v>
      </c>
      <c r="AC34" s="92"/>
      <c r="AD34" s="100" t="s">
        <v>750</v>
      </c>
      <c r="AE34" s="101">
        <v>3</v>
      </c>
      <c r="AF34" s="2559" t="s">
        <v>11032</v>
      </c>
    </row>
    <row r="35" spans="1:36">
      <c r="B35" s="99" t="s">
        <v>4969</v>
      </c>
      <c r="C35" s="227" t="s">
        <v>3757</v>
      </c>
      <c r="D35" s="227"/>
      <c r="E35" s="100" t="s">
        <v>750</v>
      </c>
      <c r="F35" s="101">
        <v>3</v>
      </c>
      <c r="G35" s="777"/>
      <c r="M35" s="24" t="str">
        <f t="shared" ref="M35" si="20" xml:space="preserve"> IF( SUM( O35:S35 ) = 0, 0, $P$5 )</f>
        <v>Please complete all cells in row</v>
      </c>
      <c r="P35" s="98">
        <f t="shared" ref="P35" si="21" xml:space="preserve"> IF( ISNUMBER( G35 ), 0, 1 )</f>
        <v>1</v>
      </c>
      <c r="Q35" s="132"/>
      <c r="R35" s="132"/>
      <c r="AA35" s="99" t="s">
        <v>4969</v>
      </c>
      <c r="AB35" s="227" t="s">
        <v>3757</v>
      </c>
      <c r="AC35" s="227"/>
      <c r="AD35" s="100" t="s">
        <v>750</v>
      </c>
      <c r="AE35" s="101">
        <v>3</v>
      </c>
      <c r="AF35" s="2761" t="s">
        <v>11033</v>
      </c>
    </row>
    <row r="36" spans="1:36" ht="15" thickBot="1">
      <c r="B36" s="106" t="s">
        <v>4970</v>
      </c>
      <c r="C36" s="107" t="s">
        <v>2406</v>
      </c>
      <c r="D36" s="107"/>
      <c r="E36" s="108" t="s">
        <v>750</v>
      </c>
      <c r="F36" s="105">
        <v>3</v>
      </c>
      <c r="G36" s="208">
        <f>SUM( G33:G35 )</f>
        <v>0</v>
      </c>
      <c r="M36" s="131"/>
      <c r="AA36" s="106" t="s">
        <v>4970</v>
      </c>
      <c r="AB36" s="107" t="s">
        <v>2406</v>
      </c>
      <c r="AC36" s="107"/>
      <c r="AD36" s="108" t="s">
        <v>750</v>
      </c>
      <c r="AE36" s="105">
        <v>3</v>
      </c>
      <c r="AF36" s="2156" t="s">
        <v>11030</v>
      </c>
    </row>
    <row r="37" spans="1:36" s="170" customFormat="1" ht="12">
      <c r="B37" s="146"/>
      <c r="C37" s="147"/>
      <c r="D37" s="147"/>
      <c r="J37" s="131"/>
      <c r="K37" s="131"/>
      <c r="L37" s="131"/>
      <c r="M37" s="131"/>
      <c r="N37" s="131"/>
      <c r="O37" s="124"/>
      <c r="P37" s="211"/>
      <c r="S37" s="124"/>
      <c r="AA37" s="146"/>
      <c r="AB37" s="147"/>
      <c r="AC37" s="147"/>
      <c r="AI37" s="131"/>
      <c r="AJ37" s="131"/>
    </row>
    <row r="38" spans="1:36" s="170" customFormat="1" ht="12">
      <c r="B38" s="25"/>
      <c r="C38" s="148" t="s">
        <v>2421</v>
      </c>
      <c r="D38" s="148"/>
      <c r="J38" s="131"/>
      <c r="K38" s="131"/>
      <c r="L38" s="131"/>
      <c r="M38" s="131"/>
      <c r="N38" s="131"/>
      <c r="O38" s="124"/>
      <c r="P38" s="211"/>
      <c r="S38" s="124"/>
      <c r="AA38" s="148"/>
      <c r="AG38" s="131"/>
      <c r="AH38" s="131"/>
    </row>
    <row r="39" spans="1:36" s="170" customFormat="1" ht="12">
      <c r="B39" s="146"/>
      <c r="C39" s="147"/>
      <c r="D39" s="147"/>
      <c r="J39" s="131"/>
      <c r="K39" s="131"/>
      <c r="L39" s="131"/>
      <c r="M39" s="131"/>
      <c r="N39" s="131"/>
      <c r="O39" s="124"/>
      <c r="P39" s="211"/>
      <c r="S39" s="124"/>
      <c r="AA39" s="147"/>
      <c r="AG39" s="131"/>
      <c r="AH39" s="131"/>
    </row>
    <row r="40" spans="1:36" s="170" customFormat="1" ht="12">
      <c r="B40" s="149"/>
      <c r="C40" s="148" t="s">
        <v>2422</v>
      </c>
      <c r="D40" s="148"/>
      <c r="J40" s="131"/>
      <c r="K40" s="131"/>
      <c r="L40" s="131"/>
      <c r="M40" s="131"/>
      <c r="N40" s="131"/>
      <c r="O40" s="124"/>
      <c r="P40" s="211"/>
      <c r="S40" s="124"/>
      <c r="AA40" s="148"/>
      <c r="AG40" s="131"/>
      <c r="AH40" s="131"/>
    </row>
    <row r="41" spans="1:36" s="170" customFormat="1" ht="12">
      <c r="B41" s="150"/>
      <c r="C41" s="148"/>
      <c r="D41" s="148"/>
      <c r="J41" s="131"/>
      <c r="K41" s="131"/>
      <c r="L41" s="131"/>
      <c r="M41" s="131"/>
      <c r="N41" s="131"/>
      <c r="O41" s="124"/>
      <c r="P41" s="211"/>
      <c r="S41" s="124"/>
      <c r="AA41" s="148"/>
      <c r="AG41" s="131"/>
      <c r="AH41" s="131"/>
    </row>
    <row r="42" spans="1:36" s="185" customFormat="1" ht="13.5" thickBot="1">
      <c r="C42" s="186"/>
      <c r="D42" s="186"/>
      <c r="J42" s="135"/>
      <c r="K42" s="135"/>
      <c r="L42" s="135"/>
      <c r="M42" s="131"/>
      <c r="N42" s="131"/>
      <c r="O42" s="124"/>
      <c r="P42" s="313"/>
      <c r="S42" s="124"/>
      <c r="AA42" s="186"/>
      <c r="AG42" s="135"/>
      <c r="AH42" s="135"/>
    </row>
    <row r="43" spans="1:36" s="185" customFormat="1" ht="19.5" thickBot="1">
      <c r="B43" s="1433" t="s">
        <v>12572</v>
      </c>
      <c r="C43" s="152"/>
      <c r="D43" s="152"/>
      <c r="E43" s="153"/>
      <c r="F43" s="153"/>
      <c r="G43" s="153"/>
      <c r="H43" s="153"/>
      <c r="I43" s="153"/>
      <c r="J43" s="153"/>
      <c r="K43" s="159"/>
      <c r="L43" s="135"/>
      <c r="M43" s="131"/>
      <c r="N43" s="131"/>
      <c r="O43" s="124"/>
      <c r="P43" s="313"/>
      <c r="S43" s="124"/>
    </row>
    <row r="44" spans="1:36" s="185" customFormat="1" ht="12.75">
      <c r="C44" s="186"/>
      <c r="D44" s="186"/>
      <c r="J44" s="135"/>
      <c r="K44" s="135"/>
      <c r="L44" s="135"/>
      <c r="M44" s="131"/>
      <c r="N44" s="131"/>
      <c r="O44" s="124"/>
      <c r="P44" s="313"/>
      <c r="S44" s="124"/>
    </row>
    <row r="45" spans="1:36" s="115" customFormat="1" ht="19.5" hidden="1" thickBot="1">
      <c r="A45" s="1643"/>
      <c r="B45" s="151" t="str">
        <f ca="1" xml:space="preserve"> RIGHT(CELL("filename", $A$1), LEN(CELL("filename", $A$1)) - SEARCH("]", CELL("filename", $A$1)))&amp;" - Line definitions"</f>
        <v>1A - Line definitions</v>
      </c>
      <c r="C45" s="152"/>
      <c r="D45" s="152"/>
      <c r="E45" s="153"/>
      <c r="F45" s="153"/>
      <c r="G45" s="153"/>
      <c r="H45" s="153"/>
      <c r="I45" s="153"/>
      <c r="J45" s="153"/>
      <c r="K45" s="159"/>
      <c r="L45" s="123"/>
      <c r="M45" s="125"/>
      <c r="N45" s="123"/>
      <c r="O45" s="129"/>
      <c r="P45" s="288"/>
      <c r="S45" s="129"/>
    </row>
    <row r="46" spans="1:36" s="115" customFormat="1" ht="15" hidden="1" thickBot="1">
      <c r="A46" s="1643"/>
      <c r="B46" s="75"/>
      <c r="C46" s="160"/>
      <c r="D46" s="160"/>
      <c r="E46" s="75"/>
      <c r="F46" s="75"/>
      <c r="G46" s="75"/>
      <c r="J46" s="123"/>
      <c r="K46" s="123"/>
      <c r="L46" s="123"/>
      <c r="M46" s="125"/>
      <c r="N46" s="123"/>
      <c r="O46" s="129"/>
      <c r="P46" s="288"/>
      <c r="S46" s="129"/>
    </row>
    <row r="47" spans="1:36" s="185" customFormat="1" ht="13.5" hidden="1" thickBot="1">
      <c r="A47" s="1644"/>
      <c r="B47" s="295" t="s">
        <v>2423</v>
      </c>
      <c r="C47" s="296" t="s">
        <v>2424</v>
      </c>
      <c r="D47" s="1460"/>
      <c r="E47" s="163"/>
      <c r="F47" s="163"/>
      <c r="G47" s="163"/>
      <c r="H47" s="163"/>
      <c r="I47" s="163"/>
      <c r="J47" s="163"/>
      <c r="K47" s="164"/>
      <c r="L47" s="360"/>
      <c r="M47" s="135"/>
      <c r="N47" s="123"/>
      <c r="O47" s="129"/>
      <c r="P47" s="90" t="s">
        <v>2425</v>
      </c>
      <c r="S47" s="129"/>
    </row>
    <row r="48" spans="1:36" s="115" customFormat="1" ht="35.25" hidden="1" customHeight="1">
      <c r="A48" s="1643"/>
      <c r="B48" s="188" t="str">
        <f>B6</f>
        <v>1A.1</v>
      </c>
      <c r="C48" s="3216" t="s">
        <v>3597</v>
      </c>
      <c r="D48" s="3216"/>
      <c r="E48" s="3216"/>
      <c r="F48" s="3216"/>
      <c r="G48" s="3216"/>
      <c r="H48" s="3216"/>
      <c r="I48" s="3216"/>
      <c r="J48" s="3216"/>
      <c r="K48" s="3217"/>
      <c r="L48" s="362"/>
      <c r="M48" s="125"/>
      <c r="N48" s="123"/>
      <c r="O48" s="419"/>
      <c r="P48" s="168" t="s">
        <v>2428</v>
      </c>
      <c r="S48" s="129"/>
    </row>
    <row r="49" spans="1:19" s="115" customFormat="1" hidden="1">
      <c r="A49" s="1643"/>
      <c r="B49" s="166" t="str">
        <f>B7</f>
        <v>1A.2</v>
      </c>
      <c r="C49" s="3198" t="s">
        <v>3598</v>
      </c>
      <c r="D49" s="3198"/>
      <c r="E49" s="3198"/>
      <c r="F49" s="3198"/>
      <c r="G49" s="3198"/>
      <c r="H49" s="3198"/>
      <c r="I49" s="3198"/>
      <c r="J49" s="3198"/>
      <c r="K49" s="3199"/>
      <c r="L49" s="363"/>
      <c r="M49" s="125"/>
      <c r="N49" s="123"/>
      <c r="O49" s="419"/>
      <c r="P49" s="214">
        <v>1</v>
      </c>
      <c r="S49" s="129"/>
    </row>
    <row r="50" spans="1:19" s="115" customFormat="1" ht="25.5" hidden="1">
      <c r="A50" s="1643"/>
      <c r="B50" s="166" t="str">
        <f>B8</f>
        <v>1A.3</v>
      </c>
      <c r="C50" s="3198" t="s">
        <v>2427</v>
      </c>
      <c r="D50" s="3198"/>
      <c r="E50" s="3198"/>
      <c r="F50" s="3198"/>
      <c r="G50" s="3198"/>
      <c r="H50" s="3198"/>
      <c r="I50" s="3198"/>
      <c r="J50" s="3198"/>
      <c r="K50" s="3199"/>
      <c r="L50" s="362"/>
      <c r="M50" s="125"/>
      <c r="N50" s="123"/>
      <c r="O50" s="419"/>
      <c r="P50" s="215" t="s">
        <v>2428</v>
      </c>
      <c r="S50" s="129"/>
    </row>
    <row r="51" spans="1:19" s="125" customFormat="1" hidden="1">
      <c r="A51" s="1645"/>
      <c r="B51" s="166" t="str">
        <f>B9</f>
        <v>1A.4</v>
      </c>
      <c r="C51" s="3198" t="s">
        <v>2429</v>
      </c>
      <c r="D51" s="3198"/>
      <c r="E51" s="3198"/>
      <c r="F51" s="3198"/>
      <c r="G51" s="3198"/>
      <c r="H51" s="3198"/>
      <c r="I51" s="3198"/>
      <c r="J51" s="3198"/>
      <c r="K51" s="3199"/>
      <c r="L51" s="363"/>
      <c r="N51" s="123"/>
      <c r="O51" s="419"/>
      <c r="P51" s="214">
        <v>1</v>
      </c>
      <c r="S51" s="129"/>
    </row>
    <row r="52" spans="1:19" s="125" customFormat="1" ht="127.5" hidden="1">
      <c r="A52" s="1645"/>
      <c r="B52" s="166" t="str">
        <f>B11</f>
        <v>1A.5</v>
      </c>
      <c r="C52" s="3198" t="s">
        <v>3758</v>
      </c>
      <c r="D52" s="3198"/>
      <c r="E52" s="3198"/>
      <c r="F52" s="3198"/>
      <c r="G52" s="3198"/>
      <c r="H52" s="3198"/>
      <c r="I52" s="3198"/>
      <c r="J52" s="3198"/>
      <c r="K52" s="3199"/>
      <c r="L52" s="363"/>
      <c r="N52" s="123"/>
      <c r="O52" s="419"/>
      <c r="P52" s="168" t="s">
        <v>2496</v>
      </c>
      <c r="S52" s="129"/>
    </row>
    <row r="53" spans="1:19" s="125" customFormat="1" hidden="1">
      <c r="A53" s="1645"/>
      <c r="B53" s="166" t="str">
        <f>B12</f>
        <v>1A.6</v>
      </c>
      <c r="C53" s="3198" t="s">
        <v>2430</v>
      </c>
      <c r="D53" s="3198"/>
      <c r="E53" s="3198"/>
      <c r="F53" s="3198"/>
      <c r="G53" s="3198"/>
      <c r="H53" s="3198"/>
      <c r="I53" s="3198"/>
      <c r="J53" s="3198"/>
      <c r="K53" s="3199"/>
      <c r="L53" s="363"/>
      <c r="N53" s="123"/>
      <c r="O53" s="419"/>
      <c r="P53" s="214">
        <v>1</v>
      </c>
      <c r="S53" s="129"/>
    </row>
    <row r="54" spans="1:19" hidden="1">
      <c r="A54" s="1646"/>
      <c r="B54" s="166" t="str">
        <f>B13</f>
        <v>1A.7</v>
      </c>
      <c r="C54" s="3198" t="s">
        <v>2431</v>
      </c>
      <c r="D54" s="3198"/>
      <c r="E54" s="3198"/>
      <c r="F54" s="3198"/>
      <c r="G54" s="3198"/>
      <c r="H54" s="3198"/>
      <c r="I54" s="3198"/>
      <c r="J54" s="3198"/>
      <c r="K54" s="3199"/>
      <c r="L54" s="334"/>
      <c r="O54" s="420"/>
      <c r="P54" s="165">
        <v>1</v>
      </c>
    </row>
    <row r="55" spans="1:19" hidden="1">
      <c r="A55" s="1646"/>
      <c r="B55" s="166" t="str">
        <f>B14</f>
        <v>1A.8</v>
      </c>
      <c r="C55" s="3198" t="s">
        <v>3759</v>
      </c>
      <c r="D55" s="3198"/>
      <c r="E55" s="3198"/>
      <c r="F55" s="3198"/>
      <c r="G55" s="3198"/>
      <c r="H55" s="3198"/>
      <c r="I55" s="3198"/>
      <c r="J55" s="3198"/>
      <c r="K55" s="3199"/>
      <c r="L55" s="333"/>
      <c r="O55" s="420"/>
      <c r="P55" s="168">
        <v>1</v>
      </c>
    </row>
    <row r="56" spans="1:19" hidden="1">
      <c r="A56" s="1646"/>
      <c r="B56" s="166" t="str">
        <f>B15</f>
        <v>1A.9</v>
      </c>
      <c r="C56" s="3198" t="s">
        <v>2433</v>
      </c>
      <c r="D56" s="3198"/>
      <c r="E56" s="3198"/>
      <c r="F56" s="3198"/>
      <c r="G56" s="3198"/>
      <c r="H56" s="3198"/>
      <c r="I56" s="3198"/>
      <c r="J56" s="3198"/>
      <c r="K56" s="3199"/>
      <c r="L56" s="334"/>
      <c r="O56" s="420"/>
      <c r="P56" s="165">
        <v>1</v>
      </c>
    </row>
    <row r="57" spans="1:19" hidden="1">
      <c r="A57" s="1646"/>
      <c r="B57" s="166" t="str">
        <f>B17</f>
        <v>1A.10</v>
      </c>
      <c r="C57" s="3198" t="s">
        <v>2434</v>
      </c>
      <c r="D57" s="3198"/>
      <c r="E57" s="3198"/>
      <c r="F57" s="3198"/>
      <c r="G57" s="3198"/>
      <c r="H57" s="3198"/>
      <c r="I57" s="3198"/>
      <c r="J57" s="3198"/>
      <c r="K57" s="3199"/>
      <c r="L57" s="334"/>
      <c r="O57" s="420"/>
      <c r="P57" s="168">
        <v>1</v>
      </c>
    </row>
    <row r="58" spans="1:19" hidden="1">
      <c r="A58" s="1646"/>
      <c r="B58" s="166" t="str">
        <f>B18</f>
        <v>1A.11</v>
      </c>
      <c r="C58" s="3198" t="s">
        <v>2435</v>
      </c>
      <c r="D58" s="3198"/>
      <c r="E58" s="3198"/>
      <c r="F58" s="3198"/>
      <c r="G58" s="3198"/>
      <c r="H58" s="3198"/>
      <c r="I58" s="3198"/>
      <c r="J58" s="3198"/>
      <c r="K58" s="3199"/>
      <c r="L58" s="334"/>
      <c r="O58" s="420"/>
      <c r="P58" s="165">
        <v>1</v>
      </c>
    </row>
    <row r="59" spans="1:19" ht="25.5" hidden="1">
      <c r="A59" s="1646"/>
      <c r="B59" s="166" t="str">
        <f>B20</f>
        <v>1A.12</v>
      </c>
      <c r="C59" s="3198" t="s">
        <v>2436</v>
      </c>
      <c r="D59" s="3198"/>
      <c r="E59" s="3198"/>
      <c r="F59" s="3198"/>
      <c r="G59" s="3198"/>
      <c r="H59" s="3198"/>
      <c r="I59" s="3198"/>
      <c r="J59" s="3198"/>
      <c r="K59" s="3199"/>
      <c r="L59" s="333"/>
      <c r="O59" s="420"/>
      <c r="P59" s="168" t="s">
        <v>2428</v>
      </c>
    </row>
    <row r="60" spans="1:19" hidden="1">
      <c r="A60" s="1646"/>
      <c r="B60" s="166" t="str">
        <f>B21</f>
        <v>1A.13</v>
      </c>
      <c r="C60" s="3198" t="s">
        <v>2437</v>
      </c>
      <c r="D60" s="3198"/>
      <c r="E60" s="3198"/>
      <c r="F60" s="3198"/>
      <c r="G60" s="3198"/>
      <c r="H60" s="3198"/>
      <c r="I60" s="3198"/>
      <c r="J60" s="3198"/>
      <c r="K60" s="3199"/>
      <c r="L60" s="334"/>
      <c r="O60" s="420"/>
      <c r="P60" s="165">
        <v>1</v>
      </c>
    </row>
    <row r="61" spans="1:19" ht="14.25" hidden="1" customHeight="1">
      <c r="A61" s="1646"/>
      <c r="B61" s="166" t="str">
        <f>B22</f>
        <v>1A.14</v>
      </c>
      <c r="C61" s="3198" t="s">
        <v>2438</v>
      </c>
      <c r="D61" s="3198"/>
      <c r="E61" s="3198"/>
      <c r="F61" s="3198"/>
      <c r="G61" s="3198"/>
      <c r="H61" s="3198"/>
      <c r="I61" s="3198"/>
      <c r="J61" s="3198"/>
      <c r="K61" s="3199"/>
      <c r="L61" s="334"/>
      <c r="O61" s="420"/>
      <c r="P61" s="165">
        <v>1</v>
      </c>
    </row>
    <row r="62" spans="1:19" hidden="1">
      <c r="A62" s="1646"/>
      <c r="B62" s="166" t="str">
        <f>B24</f>
        <v>1A.15</v>
      </c>
      <c r="C62" s="3198" t="s">
        <v>12738</v>
      </c>
      <c r="D62" s="3198"/>
      <c r="E62" s="3198"/>
      <c r="F62" s="3198"/>
      <c r="G62" s="3198"/>
      <c r="H62" s="3198"/>
      <c r="I62" s="3198"/>
      <c r="J62" s="3198"/>
      <c r="K62" s="3199"/>
      <c r="L62" s="334"/>
      <c r="O62" s="420"/>
      <c r="P62" s="165">
        <v>1</v>
      </c>
    </row>
    <row r="63" spans="1:19" ht="25.5" hidden="1">
      <c r="A63" s="1646"/>
      <c r="B63" s="166" t="str">
        <f>B27</f>
        <v>1A.16</v>
      </c>
      <c r="C63" s="3198" t="s">
        <v>3760</v>
      </c>
      <c r="D63" s="3198"/>
      <c r="E63" s="3198"/>
      <c r="F63" s="3198"/>
      <c r="G63" s="3198"/>
      <c r="H63" s="3198"/>
      <c r="I63" s="3198"/>
      <c r="J63" s="3198"/>
      <c r="K63" s="3199"/>
      <c r="L63" s="334"/>
      <c r="O63" s="420"/>
      <c r="P63" s="168" t="s">
        <v>2428</v>
      </c>
    </row>
    <row r="64" spans="1:19" hidden="1">
      <c r="A64" s="1646"/>
      <c r="B64" s="166" t="str">
        <f>B28</f>
        <v>1A.17</v>
      </c>
      <c r="C64" s="3198" t="s">
        <v>3761</v>
      </c>
      <c r="D64" s="3198"/>
      <c r="E64" s="3198"/>
      <c r="F64" s="3198"/>
      <c r="G64" s="3198"/>
      <c r="H64" s="3198"/>
      <c r="I64" s="3198"/>
      <c r="J64" s="3198"/>
      <c r="K64" s="3199"/>
      <c r="L64" s="334"/>
      <c r="O64" s="420"/>
      <c r="P64" s="165">
        <v>1</v>
      </c>
    </row>
    <row r="65" spans="1:16" hidden="1">
      <c r="A65" s="1646"/>
      <c r="B65" s="166" t="str">
        <f>B29</f>
        <v>1A.18</v>
      </c>
      <c r="C65" s="3198" t="s">
        <v>3762</v>
      </c>
      <c r="D65" s="3198"/>
      <c r="E65" s="3198"/>
      <c r="F65" s="3198"/>
      <c r="G65" s="3198"/>
      <c r="H65" s="3198"/>
      <c r="I65" s="3198"/>
      <c r="J65" s="3198"/>
      <c r="K65" s="3199"/>
      <c r="P65" s="165">
        <v>1</v>
      </c>
    </row>
    <row r="66" spans="1:16" hidden="1">
      <c r="A66" s="1646"/>
      <c r="B66" s="166" t="str">
        <f>B33</f>
        <v>1A.19</v>
      </c>
      <c r="C66" s="3198" t="s">
        <v>3763</v>
      </c>
      <c r="D66" s="3198"/>
      <c r="E66" s="3198"/>
      <c r="F66" s="3198"/>
      <c r="G66" s="3198"/>
      <c r="H66" s="3198"/>
      <c r="I66" s="3198"/>
      <c r="J66" s="3198"/>
      <c r="K66" s="3199"/>
      <c r="P66" s="165">
        <v>1</v>
      </c>
    </row>
    <row r="67" spans="1:16" hidden="1">
      <c r="A67" s="1646"/>
      <c r="B67" s="166" t="str">
        <f t="shared" ref="B67:B69" si="22">B34</f>
        <v>1A.20</v>
      </c>
      <c r="C67" s="3198" t="s">
        <v>3764</v>
      </c>
      <c r="D67" s="3198"/>
      <c r="E67" s="3198"/>
      <c r="F67" s="3198"/>
      <c r="G67" s="3198"/>
      <c r="H67" s="3198"/>
      <c r="I67" s="3198"/>
      <c r="J67" s="3198"/>
      <c r="K67" s="3199"/>
      <c r="P67" s="165">
        <v>1</v>
      </c>
    </row>
    <row r="68" spans="1:16" hidden="1">
      <c r="A68" s="1646"/>
      <c r="B68" s="166" t="str">
        <f t="shared" si="22"/>
        <v>1A.21</v>
      </c>
      <c r="C68" s="3198" t="s">
        <v>3765</v>
      </c>
      <c r="D68" s="3198"/>
      <c r="E68" s="3198"/>
      <c r="F68" s="3198"/>
      <c r="G68" s="3198"/>
      <c r="H68" s="3198"/>
      <c r="I68" s="3198"/>
      <c r="J68" s="3198"/>
      <c r="K68" s="3199"/>
      <c r="P68" s="165">
        <v>1</v>
      </c>
    </row>
    <row r="69" spans="1:16" ht="15" hidden="1" thickBot="1">
      <c r="A69" s="1646"/>
      <c r="B69" s="190" t="str">
        <f t="shared" si="22"/>
        <v>1A.22</v>
      </c>
      <c r="C69" s="3218" t="s">
        <v>3766</v>
      </c>
      <c r="D69" s="3218"/>
      <c r="E69" s="3218"/>
      <c r="F69" s="3218"/>
      <c r="G69" s="3218"/>
      <c r="H69" s="3218"/>
      <c r="I69" s="3218"/>
      <c r="J69" s="3218"/>
      <c r="K69" s="3219"/>
      <c r="P69" s="165">
        <v>1</v>
      </c>
    </row>
    <row r="70" spans="1:16" hidden="1">
      <c r="A70" s="1646"/>
    </row>
    <row r="71" spans="1:16" hidden="1">
      <c r="A71" s="1646"/>
    </row>
  </sheetData>
  <mergeCells count="36">
    <mergeCell ref="AJ3:AJ4"/>
    <mergeCell ref="AA3:AB4"/>
    <mergeCell ref="AD3:AD4"/>
    <mergeCell ref="AE3:AE4"/>
    <mergeCell ref="AF3:AF4"/>
    <mergeCell ref="AG3:AI3"/>
    <mergeCell ref="C67:K67"/>
    <mergeCell ref="C68:K68"/>
    <mergeCell ref="C69:K69"/>
    <mergeCell ref="C62:K62"/>
    <mergeCell ref="C63:K63"/>
    <mergeCell ref="C64:K64"/>
    <mergeCell ref="C65:K65"/>
    <mergeCell ref="C66:K66"/>
    <mergeCell ref="C60:K60"/>
    <mergeCell ref="C61:K61"/>
    <mergeCell ref="C54:K54"/>
    <mergeCell ref="C55:K55"/>
    <mergeCell ref="C57:K57"/>
    <mergeCell ref="C58:K58"/>
    <mergeCell ref="C59:K59"/>
    <mergeCell ref="C56:K56"/>
    <mergeCell ref="M3:M4"/>
    <mergeCell ref="P4:R4"/>
    <mergeCell ref="C48:K48"/>
    <mergeCell ref="C49:K49"/>
    <mergeCell ref="C51:K51"/>
    <mergeCell ref="C52:K52"/>
    <mergeCell ref="C53:K53"/>
    <mergeCell ref="C50:K50"/>
    <mergeCell ref="B3:C4"/>
    <mergeCell ref="E3:E4"/>
    <mergeCell ref="F3:F4"/>
    <mergeCell ref="G3:G4"/>
    <mergeCell ref="H3:J3"/>
    <mergeCell ref="K3:K4"/>
  </mergeCells>
  <conditionalFormatting sqref="M6:M8 M20:M21 M17 M11:M14">
    <cfRule type="cellIs" dxfId="2833" priority="8" operator="equal">
      <formula>0</formula>
    </cfRule>
  </conditionalFormatting>
  <conditionalFormatting sqref="M24">
    <cfRule type="cellIs" dxfId="2832" priority="7" operator="equal">
      <formula>0</formula>
    </cfRule>
  </conditionalFormatting>
  <conditionalFormatting sqref="M27">
    <cfRule type="cellIs" dxfId="2831" priority="5" operator="equal">
      <formula>0</formula>
    </cfRule>
  </conditionalFormatting>
  <conditionalFormatting sqref="M28">
    <cfRule type="cellIs" dxfId="2830" priority="4" operator="equal">
      <formula>0</formula>
    </cfRule>
  </conditionalFormatting>
  <conditionalFormatting sqref="M33">
    <cfRule type="cellIs" dxfId="2829" priority="3" operator="equal">
      <formula>0</formula>
    </cfRule>
  </conditionalFormatting>
  <conditionalFormatting sqref="M34">
    <cfRule type="cellIs" dxfId="2828" priority="2" operator="equal">
      <formula>0</formula>
    </cfRule>
  </conditionalFormatting>
  <conditionalFormatting sqref="M35">
    <cfRule type="cellIs" dxfId="282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60.xml><?xml version="1.0" encoding="utf-8"?>
<worksheet xmlns="http://schemas.openxmlformats.org/spreadsheetml/2006/main" xmlns:r="http://schemas.openxmlformats.org/officeDocument/2006/relationships">
  <sheetPr codeName="Sheet52">
    <tabColor theme="4" tint="0.749992370372631"/>
    <pageSetUpPr fitToPage="1"/>
  </sheetPr>
  <dimension ref="A1:EJ529"/>
  <sheetViews>
    <sheetView workbookViewId="0"/>
  </sheetViews>
  <sheetFormatPr defaultColWidth="9" defaultRowHeight="14.25"/>
  <cols>
    <col min="1" max="1" width="18.625" style="56" bestFit="1" customWidth="1"/>
    <col min="2" max="2" width="34.125" style="57" customWidth="1"/>
    <col min="6" max="6" width="11.125" bestFit="1" customWidth="1"/>
    <col min="7" max="7" width="13.625" bestFit="1" customWidth="1"/>
    <col min="8" max="8" width="17.625" style="54" bestFit="1" customWidth="1"/>
    <col min="9" max="9" width="29.125" style="54" customWidth="1"/>
    <col min="13" max="13" width="11" bestFit="1" customWidth="1"/>
    <col min="14" max="14" width="11" customWidth="1"/>
    <col min="15" max="15" width="15.125" style="54" bestFit="1" customWidth="1"/>
    <col min="16" max="16" width="27.625" style="54" customWidth="1"/>
    <col min="22" max="22" width="15.625" style="54" bestFit="1" customWidth="1"/>
    <col min="23" max="23" width="24.5" style="54" customWidth="1"/>
    <col min="29" max="29" width="17.625" style="54" bestFit="1" customWidth="1"/>
    <col min="30" max="30" width="31.625" style="54" customWidth="1"/>
    <col min="32" max="32" width="19.125" customWidth="1"/>
    <col min="36" max="36" width="15.125" style="54" bestFit="1" customWidth="1"/>
    <col min="37" max="37" width="20.625" style="54" bestFit="1" customWidth="1"/>
    <col min="43" max="43" width="15.625" style="54" bestFit="1" customWidth="1"/>
    <col min="44" max="44" width="68.125" style="54" bestFit="1" customWidth="1"/>
    <col min="50" max="50" width="15.125" style="54" bestFit="1" customWidth="1"/>
    <col min="51" max="51" width="29" style="54" customWidth="1"/>
    <col min="57" max="57" width="17.125" style="54" customWidth="1"/>
    <col min="58" max="58" width="27.5" style="54" customWidth="1"/>
    <col min="64" max="64" width="14.125" style="54" bestFit="1" customWidth="1"/>
    <col min="65" max="65" width="25.625" style="54" bestFit="1" customWidth="1"/>
    <col min="71" max="71" width="15.625" style="54" bestFit="1" customWidth="1"/>
    <col min="72" max="72" width="43.125" style="54" bestFit="1" customWidth="1"/>
    <col min="78" max="78" width="17.5" style="54" bestFit="1" customWidth="1"/>
    <col min="79" max="79" width="42.125" style="54" customWidth="1"/>
    <col min="85" max="85" width="18" style="54" bestFit="1" customWidth="1"/>
    <col min="86" max="86" width="42.125" style="54" customWidth="1"/>
    <col min="92" max="92" width="17.125" style="54" bestFit="1" customWidth="1"/>
    <col min="93" max="93" width="56.125" style="54" customWidth="1"/>
    <col min="98" max="98" width="10.125" style="534" bestFit="1" customWidth="1"/>
    <col min="99" max="99" width="14.125" style="54" bestFit="1" customWidth="1"/>
    <col min="100" max="100" width="40.625" style="54" bestFit="1" customWidth="1"/>
    <col min="106" max="106" width="15.625" style="54" bestFit="1" customWidth="1"/>
    <col min="107" max="107" width="72.625" style="54" bestFit="1" customWidth="1"/>
    <col min="113" max="113" width="17.125" style="54" bestFit="1" customWidth="1"/>
    <col min="114" max="114" width="36.125" style="54" bestFit="1" customWidth="1"/>
    <col min="119" max="119" width="9" style="534"/>
    <col min="120" max="120" width="9" style="54" customWidth="1"/>
    <col min="121" max="121" width="33" style="54" customWidth="1"/>
    <col min="122" max="122" width="7.125" style="54" bestFit="1" customWidth="1"/>
    <col min="123" max="123" width="7.125" style="54" customWidth="1"/>
    <col min="124" max="125" width="9" style="54"/>
    <col min="126" max="126" width="14.5" style="54" customWidth="1"/>
    <col min="127" max="127" width="9" style="54"/>
    <col min="128" max="128" width="33" style="54" customWidth="1"/>
    <col min="129" max="129" width="7.125" style="54" bestFit="1" customWidth="1"/>
    <col min="130" max="130" width="7.125" style="54" customWidth="1"/>
    <col min="131" max="132" width="9" style="54"/>
    <col min="133" max="133" width="14.5" style="54" customWidth="1"/>
    <col min="134" max="134" width="9" style="54"/>
    <col min="135" max="135" width="33" style="54" customWidth="1"/>
    <col min="136" max="136" width="7.125" style="54" bestFit="1" customWidth="1"/>
    <col min="137" max="137" width="7.125" style="54" customWidth="1"/>
    <col min="138" max="139" width="9" style="54"/>
    <col min="140" max="140" width="14.5" style="54" customWidth="1"/>
    <col min="141" max="16384" width="9" style="54"/>
  </cols>
  <sheetData>
    <row r="1" spans="1:140" ht="26.25" customHeight="1">
      <c r="A1" s="2384" t="s">
        <v>2</v>
      </c>
      <c r="B1" s="2385" t="s">
        <v>9</v>
      </c>
      <c r="C1" s="2386"/>
      <c r="D1" s="2386"/>
      <c r="E1" s="2386"/>
      <c r="F1" s="2386"/>
      <c r="G1" s="2386"/>
      <c r="H1" s="2387"/>
      <c r="I1" s="2387"/>
      <c r="J1" s="2388"/>
      <c r="K1" s="2388"/>
      <c r="L1" s="2388"/>
      <c r="M1" s="2388"/>
      <c r="N1" s="2388"/>
      <c r="O1" s="2378"/>
      <c r="P1" s="2378"/>
      <c r="Q1" s="2383"/>
      <c r="R1" s="2383"/>
      <c r="S1" s="2383"/>
      <c r="T1" s="2383"/>
      <c r="U1" s="2383"/>
      <c r="V1" s="2379"/>
      <c r="W1" s="2379"/>
      <c r="X1" s="2386"/>
      <c r="Y1" s="2386"/>
      <c r="Z1" s="2386"/>
      <c r="AA1" s="2386"/>
      <c r="AB1" s="2386"/>
      <c r="AC1" s="2377"/>
      <c r="AD1" s="2377"/>
      <c r="AE1" s="2381"/>
      <c r="AF1" s="2381"/>
      <c r="AG1" s="2381"/>
      <c r="AH1" s="2381"/>
      <c r="AI1" s="2381"/>
      <c r="AJ1" s="2378"/>
      <c r="AK1" s="2378"/>
      <c r="AL1" s="2383"/>
      <c r="AM1" s="2383"/>
      <c r="AN1" s="2383"/>
      <c r="AO1" s="2383"/>
      <c r="AP1" s="2383"/>
      <c r="AQ1" s="2379"/>
      <c r="AR1" s="2379"/>
      <c r="AS1" s="2386"/>
      <c r="AT1" s="2386"/>
      <c r="AU1" s="2386"/>
      <c r="AV1" s="2386"/>
      <c r="AW1" s="2386"/>
      <c r="AX1" s="2377"/>
      <c r="AY1" s="2377"/>
      <c r="AZ1" s="2381"/>
      <c r="BA1" s="2381"/>
      <c r="BB1" s="2381"/>
      <c r="BC1" s="2381"/>
      <c r="BD1" s="2381"/>
      <c r="BE1" s="2378"/>
      <c r="BF1" s="2378"/>
      <c r="BG1" s="2383"/>
      <c r="BH1" s="2383"/>
      <c r="BI1" s="2383"/>
      <c r="BJ1" s="2383"/>
      <c r="BK1" s="2383"/>
      <c r="BL1" s="2379"/>
      <c r="BM1" s="2379"/>
      <c r="BN1" s="2386"/>
      <c r="BO1" s="2386"/>
      <c r="BP1" s="2386"/>
      <c r="BQ1" s="2386"/>
      <c r="BR1" s="2386"/>
      <c r="BS1" s="2377"/>
      <c r="BT1" s="2377"/>
      <c r="BU1" s="2381"/>
      <c r="BV1" s="2381"/>
      <c r="BW1" s="2381"/>
      <c r="BX1" s="2381"/>
      <c r="BY1" s="2381"/>
      <c r="BZ1" s="2378"/>
      <c r="CA1" s="2378"/>
      <c r="CB1" s="2383"/>
      <c r="CC1" s="2383"/>
      <c r="CD1" s="2383"/>
      <c r="CE1" s="2383"/>
      <c r="CF1" s="2383"/>
      <c r="CG1" s="2379"/>
      <c r="CH1" s="2379"/>
      <c r="CI1" s="2386"/>
      <c r="CJ1" s="2386"/>
      <c r="CK1" s="2386"/>
      <c r="CL1" s="2386"/>
      <c r="CM1" s="2386"/>
      <c r="CN1" s="2377"/>
      <c r="CO1" s="2377"/>
      <c r="CP1" s="2381"/>
      <c r="CQ1" s="2381"/>
      <c r="CR1" s="2381"/>
      <c r="CS1" s="2381"/>
      <c r="CT1" s="2382"/>
      <c r="CU1" s="2378"/>
      <c r="CV1" s="2378"/>
      <c r="CW1" s="2383"/>
      <c r="CX1" s="2383"/>
      <c r="CY1" s="2383"/>
      <c r="CZ1" s="2383"/>
      <c r="DA1" s="2383"/>
      <c r="DB1" s="2379"/>
      <c r="DC1" s="2379"/>
      <c r="DD1" s="2386"/>
      <c r="DE1" s="2386"/>
      <c r="DF1" s="2386"/>
      <c r="DG1" s="2386"/>
      <c r="DH1" s="2386"/>
      <c r="DI1" s="2377"/>
      <c r="DJ1" s="2377"/>
      <c r="DK1" s="2381"/>
      <c r="DL1" s="2381"/>
      <c r="DM1" s="2381"/>
      <c r="DN1" s="2381"/>
      <c r="DO1" s="2382"/>
      <c r="DP1" s="2378"/>
      <c r="DQ1" s="2378"/>
      <c r="DR1" s="2378"/>
      <c r="DS1" s="2378"/>
      <c r="DT1" s="2378"/>
      <c r="DU1" s="2378"/>
      <c r="DV1" s="2378"/>
      <c r="DW1" s="2379"/>
      <c r="DX1" s="2379"/>
      <c r="DY1" s="2379"/>
      <c r="DZ1" s="2379"/>
      <c r="EA1" s="2379"/>
      <c r="EB1" s="2379"/>
      <c r="EC1" s="2379"/>
      <c r="ED1" s="2377"/>
      <c r="EE1" s="2377"/>
      <c r="EF1" s="2377"/>
      <c r="EG1" s="2377"/>
      <c r="EH1" s="2377"/>
      <c r="EI1" s="2377"/>
      <c r="EJ1" s="2377"/>
    </row>
    <row r="2" spans="1:140" s="55" customFormat="1" ht="12.75">
      <c r="A2" s="55" t="s">
        <v>37</v>
      </c>
      <c r="B2" s="55" t="str">
        <f xml:space="preserve"> A2 &amp; "PC"</f>
        <v>AFWPC</v>
      </c>
      <c r="C2" s="55" t="str">
        <f xml:space="preserve"> A2 &amp; "Unit"</f>
        <v>AFWUnit</v>
      </c>
      <c r="D2" s="55" t="str">
        <f xml:space="preserve"> A2 &amp; "UnitDes"</f>
        <v>AFWUnitDes</v>
      </c>
      <c r="E2" s="55" t="s">
        <v>3326</v>
      </c>
      <c r="F2" s="55" t="str">
        <f xml:space="preserve"> A2 &amp; 'PC LIST'!$J$2</f>
        <v>AFWODI type</v>
      </c>
      <c r="G2" s="55" t="str">
        <f xml:space="preserve"> A2 &amp; "201718Actual"</f>
        <v>AFW201718Actual</v>
      </c>
      <c r="H2" s="55" t="s">
        <v>114</v>
      </c>
      <c r="I2" s="55" t="str">
        <f>H2&amp;"PC"</f>
        <v>ANHPC</v>
      </c>
      <c r="J2" s="55" t="str">
        <f xml:space="preserve"> H2 &amp; "Unit"</f>
        <v>ANHUnit</v>
      </c>
      <c r="K2" s="55" t="str">
        <f xml:space="preserve"> H2 &amp; "UnitDes"</f>
        <v>ANHUnitDes</v>
      </c>
      <c r="L2" s="55" t="s">
        <v>3327</v>
      </c>
      <c r="M2" s="55" t="str">
        <f xml:space="preserve"> H2 &amp; 'PC LIST'!$J$2</f>
        <v>ANHODI type</v>
      </c>
      <c r="N2" s="55" t="str">
        <f xml:space="preserve"> H2 &amp; "201718Actual"</f>
        <v>ANH201718Actual</v>
      </c>
      <c r="O2" s="55" t="s">
        <v>312</v>
      </c>
      <c r="P2" s="55" t="str">
        <f>O2&amp;"PC"</f>
        <v>BRLPC</v>
      </c>
      <c r="Q2" s="55" t="str">
        <f xml:space="preserve"> O2 &amp; "Unit"</f>
        <v>BRLUnit</v>
      </c>
      <c r="R2" s="55" t="str">
        <f xml:space="preserve"> O2 &amp; "UnitDes"</f>
        <v>BRLUnitDes</v>
      </c>
      <c r="S2" s="55" t="s">
        <v>3328</v>
      </c>
      <c r="T2" s="55" t="str">
        <f xml:space="preserve"> O2 &amp; 'PC LIST'!$J$2</f>
        <v>BRLODI type</v>
      </c>
      <c r="U2" s="55" t="str">
        <f xml:space="preserve"> O2 &amp; "201718Actual"</f>
        <v>BRL201718Actual</v>
      </c>
      <c r="V2" s="55" t="s">
        <v>430</v>
      </c>
      <c r="W2" s="55" t="str">
        <f>V2&amp;"PC"</f>
        <v>DVWPC</v>
      </c>
      <c r="X2" s="55" t="str">
        <f xml:space="preserve"> V2 &amp; "Unit"</f>
        <v>DVWUnit</v>
      </c>
      <c r="Y2" s="55" t="str">
        <f xml:space="preserve"> V2 &amp; "UnitDes"</f>
        <v>DVWUnitDes</v>
      </c>
      <c r="Z2" s="55" t="s">
        <v>3329</v>
      </c>
      <c r="AA2" s="55" t="str">
        <f xml:space="preserve"> V2 &amp; 'PC LIST'!$J$2</f>
        <v>DVWODI type</v>
      </c>
      <c r="AB2" s="55" t="str">
        <f xml:space="preserve"> V2 &amp; "201718Actual"</f>
        <v>DVW201718Actual</v>
      </c>
      <c r="AC2" s="55" t="s">
        <v>492</v>
      </c>
      <c r="AD2" s="55" t="str">
        <f>AC2&amp;"PC"</f>
        <v>NESPC</v>
      </c>
      <c r="AE2" s="55" t="str">
        <f xml:space="preserve"> AC2 &amp; "Unit"</f>
        <v>NESUnit</v>
      </c>
      <c r="AF2" s="55" t="str">
        <f xml:space="preserve"> AC2 &amp; "UnitDes"</f>
        <v>NESUnitDes</v>
      </c>
      <c r="AG2" s="55" t="s">
        <v>3330</v>
      </c>
      <c r="AH2" s="55" t="str">
        <f xml:space="preserve"> AC2 &amp; 'PC LIST'!$J$2</f>
        <v>NESODI type</v>
      </c>
      <c r="AI2" s="55" t="str">
        <f xml:space="preserve"> AC2 &amp; "201718Actual"</f>
        <v>NES201718Actual</v>
      </c>
      <c r="AJ2" s="55" t="s">
        <v>753</v>
      </c>
      <c r="AK2" s="55" t="str">
        <f>AJ2&amp;"PC"</f>
        <v>PRTPC</v>
      </c>
      <c r="AL2" s="55" t="str">
        <f xml:space="preserve"> AJ2 &amp; "Unit"</f>
        <v>PRTUnit</v>
      </c>
      <c r="AM2" s="55" t="str">
        <f xml:space="preserve"> AJ2 &amp; "UnitDes"</f>
        <v>PRTUnitDes</v>
      </c>
      <c r="AN2" s="55" t="s">
        <v>3331</v>
      </c>
      <c r="AO2" s="55" t="str">
        <f xml:space="preserve"> AJ2 &amp; 'PC LIST'!$J$2</f>
        <v>PRTODI type</v>
      </c>
      <c r="AP2" s="55" t="str">
        <f xml:space="preserve"> AJ2 &amp; "201718Actual"</f>
        <v>PRT201718Actual</v>
      </c>
      <c r="AQ2" s="55" t="s">
        <v>810</v>
      </c>
      <c r="AR2" s="55" t="str">
        <f>AQ2&amp;"PC"</f>
        <v>SBWPC</v>
      </c>
      <c r="AS2" s="55" t="str">
        <f xml:space="preserve"> AQ2 &amp; "Unit"</f>
        <v>SBWUnit</v>
      </c>
      <c r="AT2" s="55" t="str">
        <f xml:space="preserve"> AQ2 &amp; "UnitDes"</f>
        <v>SBWUnitDes</v>
      </c>
      <c r="AU2" s="55" t="s">
        <v>3332</v>
      </c>
      <c r="AV2" s="55" t="str">
        <f xml:space="preserve"> AQ2 &amp; 'PC LIST'!$J$2</f>
        <v>SBWODI type</v>
      </c>
      <c r="AW2" s="55" t="str">
        <f xml:space="preserve"> AQ2 &amp; "201718Actual"</f>
        <v>SBW201718Actual</v>
      </c>
      <c r="AX2" s="55" t="s">
        <v>875</v>
      </c>
      <c r="AY2" s="55" t="str">
        <f>AX2&amp;"PC"</f>
        <v>SESPC</v>
      </c>
      <c r="AZ2" s="55" t="str">
        <f xml:space="preserve"> AX2 &amp; "Unit"</f>
        <v>SESUnit</v>
      </c>
      <c r="BA2" s="55" t="str">
        <f xml:space="preserve"> AX2 &amp; "UnitDes"</f>
        <v>SESUnitDes</v>
      </c>
      <c r="BB2" s="55" t="s">
        <v>3333</v>
      </c>
      <c r="BC2" s="55" t="str">
        <f xml:space="preserve"> AX2 &amp; 'PC LIST'!$J$2</f>
        <v>SESODI type</v>
      </c>
      <c r="BD2" s="55" t="str">
        <f xml:space="preserve"> AX2 &amp; "201718Actual"</f>
        <v>SES201718Actual</v>
      </c>
      <c r="BE2" s="55" t="s">
        <v>966</v>
      </c>
      <c r="BF2" s="55" t="str">
        <f>BE2&amp;"PC"</f>
        <v>SEWPC</v>
      </c>
      <c r="BG2" s="55" t="str">
        <f xml:space="preserve"> BE2 &amp; "Unit"</f>
        <v>SEWUnit</v>
      </c>
      <c r="BH2" s="55" t="str">
        <f xml:space="preserve"> BE2 &amp; "UnitDes"</f>
        <v>SEWUnitDes</v>
      </c>
      <c r="BI2" s="55" t="s">
        <v>3334</v>
      </c>
      <c r="BJ2" s="55" t="str">
        <f xml:space="preserve"> BE2 &amp; 'PC LIST'!$J$2</f>
        <v>SEWODI type</v>
      </c>
      <c r="BK2" s="55" t="str">
        <f xml:space="preserve"> BE2 &amp; "201718Actual"</f>
        <v>SEW201718Actual</v>
      </c>
      <c r="BL2" s="55" t="s">
        <v>1097</v>
      </c>
      <c r="BM2" s="55" t="str">
        <f>BL2&amp;"PC"</f>
        <v>SRNPC</v>
      </c>
      <c r="BN2" s="55" t="str">
        <f xml:space="preserve"> BL2 &amp; "Unit"</f>
        <v>SRNUnit</v>
      </c>
      <c r="BO2" s="55" t="str">
        <f xml:space="preserve"> BL2 &amp; "UnitDes"</f>
        <v>SRNUnitDes</v>
      </c>
      <c r="BP2" s="55" t="s">
        <v>3335</v>
      </c>
      <c r="BQ2" s="55" t="str">
        <f xml:space="preserve"> BL2 &amp; 'PC LIST'!$J$2</f>
        <v>SRNODI type</v>
      </c>
      <c r="BR2" s="55" t="str">
        <f xml:space="preserve"> BL2 &amp; "201718Actual"</f>
        <v>SRN201718Actual</v>
      </c>
      <c r="BS2" s="55" t="s">
        <v>1231</v>
      </c>
      <c r="BT2" s="55" t="str">
        <f>BS2&amp;"PC"</f>
        <v>SSCPC</v>
      </c>
      <c r="BU2" s="55" t="str">
        <f xml:space="preserve"> BS2 &amp; "Unit"</f>
        <v>SSCUnit</v>
      </c>
      <c r="BV2" s="55" t="str">
        <f xml:space="preserve"> BS2 &amp; "UnitDes"</f>
        <v>SSCUnitDes</v>
      </c>
      <c r="BW2" s="55" t="str">
        <f xml:space="preserve"> BS2 &amp; "DP"</f>
        <v>SSCDP</v>
      </c>
      <c r="BX2" s="55" t="str">
        <f xml:space="preserve"> BS2 &amp; 'PC LIST'!$J$2</f>
        <v>SSCODI type</v>
      </c>
      <c r="BY2" s="55" t="str">
        <f xml:space="preserve"> BS2 &amp; "201718Actual"</f>
        <v>SSC201718Actual</v>
      </c>
      <c r="BZ2" s="55" t="s">
        <v>1288</v>
      </c>
      <c r="CA2" s="55" t="str">
        <f>BZ2&amp;"PC"</f>
        <v>SVTPC</v>
      </c>
      <c r="CB2" s="55" t="str">
        <f xml:space="preserve"> BZ2 &amp; "Unit"</f>
        <v>SVTUnit</v>
      </c>
      <c r="CC2" s="55" t="str">
        <f xml:space="preserve"> BZ2 &amp; "UnitDes"</f>
        <v>SVTUnitDes</v>
      </c>
      <c r="CD2" s="55" t="s">
        <v>3337</v>
      </c>
      <c r="CE2" s="55" t="str">
        <f xml:space="preserve"> BZ2 &amp; 'PC LIST'!$J$2</f>
        <v>SVTODI type</v>
      </c>
      <c r="CF2" s="55" t="str">
        <f xml:space="preserve"> BZ2 &amp; "201718Actual"</f>
        <v>SVT201718Actual</v>
      </c>
      <c r="CG2" s="55" t="s">
        <v>1476</v>
      </c>
      <c r="CH2" s="55" t="str">
        <f>CG2&amp;"PC"</f>
        <v>SWTPC</v>
      </c>
      <c r="CI2" s="55" t="str">
        <f xml:space="preserve"> CG2 &amp; "Unit"</f>
        <v>SWTUnit</v>
      </c>
      <c r="CJ2" s="55" t="str">
        <f xml:space="preserve"> CG2 &amp; "UnitDes"</f>
        <v>SWTUnitDes</v>
      </c>
      <c r="CK2" s="55" t="s">
        <v>3338</v>
      </c>
      <c r="CL2" s="55" t="str">
        <f xml:space="preserve"> CG2 &amp; 'PC LIST'!$J$2</f>
        <v>SWTODI type</v>
      </c>
      <c r="CM2" s="55" t="str">
        <f xml:space="preserve"> CG2 &amp; "201718Actual"</f>
        <v>SWT201718Actual</v>
      </c>
      <c r="CN2" s="55" t="s">
        <v>1608</v>
      </c>
      <c r="CO2" s="55" t="str">
        <f>CN2&amp;"PC"</f>
        <v>TMSPC</v>
      </c>
      <c r="CP2" s="55" t="str">
        <f xml:space="preserve"> CN2 &amp; "Unit"</f>
        <v>TMSUnit</v>
      </c>
      <c r="CQ2" s="55" t="str">
        <f xml:space="preserve"> CN2 &amp; "UnitDes"</f>
        <v>TMSUnitDes</v>
      </c>
      <c r="CR2" s="55" t="s">
        <v>3339</v>
      </c>
      <c r="CS2" s="55" t="str">
        <f xml:space="preserve"> CN2 &amp; 'PC LIST'!$J$2</f>
        <v>TMSODI type</v>
      </c>
      <c r="CT2" s="745" t="str">
        <f xml:space="preserve"> CN2 &amp; "201718Actual"</f>
        <v>TMS201718Actual</v>
      </c>
      <c r="CU2" s="55" t="s">
        <v>2883</v>
      </c>
      <c r="CV2" s="55" t="str">
        <f>CU2&amp;"PC"</f>
        <v>NWTPC</v>
      </c>
      <c r="CW2" s="55" t="str">
        <f xml:space="preserve"> CU2 &amp; "Unit"</f>
        <v>NWTUnit</v>
      </c>
      <c r="CX2" s="55" t="str">
        <f xml:space="preserve"> CU2 &amp; "UnitDes"</f>
        <v>NWTUnitDes</v>
      </c>
      <c r="CY2" s="55" t="s">
        <v>3340</v>
      </c>
      <c r="CZ2" s="55" t="str">
        <f xml:space="preserve"> CU2 &amp; 'PC LIST'!$J$2</f>
        <v>NWTODI type</v>
      </c>
      <c r="DA2" s="55" t="str">
        <f xml:space="preserve"> CU2 &amp; "201718Actual"</f>
        <v>NWT201718Actual</v>
      </c>
      <c r="DB2" s="55" t="s">
        <v>1989</v>
      </c>
      <c r="DC2" s="55" t="str">
        <f>DB2&amp;"PC"</f>
        <v>WSHPC</v>
      </c>
      <c r="DD2" s="55" t="str">
        <f xml:space="preserve"> DB2 &amp; "Unit"</f>
        <v>WSHUnit</v>
      </c>
      <c r="DE2" s="55" t="str">
        <f xml:space="preserve"> DB2 &amp; "UnitDes"</f>
        <v>WSHUnitDes</v>
      </c>
      <c r="DF2" s="55" t="s">
        <v>3341</v>
      </c>
      <c r="DG2" s="55" t="str">
        <f xml:space="preserve"> DB2 &amp; 'PC LIST'!$J$2</f>
        <v>WSHODI type</v>
      </c>
      <c r="DH2" s="55" t="str">
        <f xml:space="preserve"> DB2 &amp; "201718Actual"</f>
        <v>WSH201718Actual</v>
      </c>
      <c r="DI2" s="55" t="s">
        <v>2090</v>
      </c>
      <c r="DJ2" s="55" t="s">
        <v>2911</v>
      </c>
      <c r="DK2" s="55" t="str">
        <f xml:space="preserve"> DI2 &amp; "Unit"</f>
        <v>WSXUnit</v>
      </c>
      <c r="DL2" s="55" t="str">
        <f xml:space="preserve"> DI2 &amp; "UnitDes"</f>
        <v>WSXUnitDes</v>
      </c>
      <c r="DM2" s="55" t="s">
        <v>3342</v>
      </c>
      <c r="DN2" s="55" t="str">
        <f xml:space="preserve"> DI2 &amp; 'PC LIST'!$J$2</f>
        <v>WSXODI type</v>
      </c>
      <c r="DO2" s="745" t="str">
        <f xml:space="preserve"> DI2 &amp; "201718Actual"</f>
        <v>WSX201718Actual</v>
      </c>
      <c r="DP2" s="55" t="s">
        <v>2237</v>
      </c>
      <c r="DQ2" s="55" t="str">
        <f>DP2&amp;"PC"</f>
        <v>YKYPC</v>
      </c>
      <c r="DR2" s="55" t="str">
        <f xml:space="preserve"> DP2 &amp; "Unit"</f>
        <v>YKYUnit</v>
      </c>
      <c r="DS2" s="55" t="str">
        <f xml:space="preserve"> DP2 &amp; "UnitDes"</f>
        <v>YKYUnitDes</v>
      </c>
      <c r="DT2" s="55" t="s">
        <v>3343</v>
      </c>
      <c r="DU2" s="55" t="str">
        <f xml:space="preserve"> DP2 &amp; 'PC LIST'!$J$2</f>
        <v>YKYODI type</v>
      </c>
      <c r="DV2" s="55" t="str">
        <f xml:space="preserve"> DP2 &amp; "201718Actual"</f>
        <v>YKY201718Actual</v>
      </c>
      <c r="DW2" s="55" t="s">
        <v>13224</v>
      </c>
      <c r="DX2" s="55" t="str">
        <f>DW2&amp;"PC"</f>
        <v>HDDPC</v>
      </c>
      <c r="DY2" s="55" t="str">
        <f xml:space="preserve"> DW2 &amp; "Unit"</f>
        <v>HDDUnit</v>
      </c>
      <c r="DZ2" s="55" t="str">
        <f xml:space="preserve"> DW2 &amp; "UnitDes"</f>
        <v>HDDUnitDes</v>
      </c>
      <c r="EA2" s="55" t="s">
        <v>13459</v>
      </c>
      <c r="EB2" s="55" t="str">
        <f xml:space="preserve"> DW2 &amp; 'PC LIST'!$J$2</f>
        <v>HDDODI type</v>
      </c>
      <c r="EC2" s="55" t="str">
        <f xml:space="preserve"> DW2 &amp; "201718Actual"</f>
        <v>HDD201718Actual</v>
      </c>
      <c r="ED2" s="55" t="s">
        <v>13225</v>
      </c>
      <c r="EE2" s="55" t="str">
        <f>ED2&amp;"PC"</f>
        <v>SVEPC</v>
      </c>
      <c r="EF2" s="55" t="str">
        <f xml:space="preserve"> ED2 &amp; "Unit"</f>
        <v>SVEUnit</v>
      </c>
      <c r="EG2" s="55" t="str">
        <f xml:space="preserve"> ED2 &amp; "UnitDes"</f>
        <v>SVEUnitDes</v>
      </c>
      <c r="EH2" s="55" t="s">
        <v>13460</v>
      </c>
      <c r="EI2" s="55" t="str">
        <f xml:space="preserve"> ED2 &amp; 'PC LIST'!$J$2</f>
        <v>SVEODI type</v>
      </c>
      <c r="EJ2" s="55" t="str">
        <f xml:space="preserve"> ED2 &amp; "201718Actual"</f>
        <v>SVE201718Actual</v>
      </c>
    </row>
    <row r="3" spans="1:140" ht="15.75" customHeight="1">
      <c r="A3" s="56" t="str">
        <f>'PC LIST'!B3</f>
        <v>PR14AFWWSW_W-A1</v>
      </c>
      <c r="B3" s="56" t="str">
        <f>'PC LIST'!I3</f>
        <v>W-A1: Leakage</v>
      </c>
      <c r="C3" s="56" t="str">
        <f>'PC LIST'!O3</f>
        <v>nr</v>
      </c>
      <c r="D3" s="56" t="str">
        <f>'PC LIST'!P3</f>
        <v>Megalitres per day (Ml/d)</v>
      </c>
      <c r="E3" s="56">
        <f>'PC LIST'!Q3</f>
        <v>1</v>
      </c>
      <c r="F3" s="56" t="str">
        <f>'PC LIST'!J3</f>
        <v>Out &amp; under</v>
      </c>
      <c r="G3" s="56">
        <f>'PC LIST'!CC3</f>
        <v>172.67</v>
      </c>
      <c r="H3" s="56" t="str">
        <f>'PC LIST'!B16</f>
        <v>PR14ANHWSW_W-A2</v>
      </c>
      <c r="I3" s="57" t="str">
        <f>'PC LIST'!I16</f>
        <v>W-A2: Water supply interruptions</v>
      </c>
      <c r="J3" s="57" t="str">
        <f>'PC LIST'!O16</f>
        <v>time</v>
      </c>
      <c r="K3" s="57" t="str">
        <f>'PC LIST'!P16</f>
        <v>Minutes / property / year</v>
      </c>
      <c r="L3" s="56">
        <f>'PC LIST'!Q16</f>
        <v>2</v>
      </c>
      <c r="M3" s="56" t="str">
        <f>'PC LIST'!J16</f>
        <v>Out &amp; under</v>
      </c>
      <c r="N3" s="743">
        <f>'PC LIST'!CC16</f>
        <v>7.4</v>
      </c>
      <c r="O3" s="56" t="str">
        <f>'PC LIST'!B55</f>
        <v>PR14BRLWSW_A1</v>
      </c>
      <c r="P3" s="57" t="str">
        <f>'PC LIST'!I55</f>
        <v>A1: Unplanned customer minutes lost</v>
      </c>
      <c r="Q3" s="57" t="str">
        <f>'PC LIST'!O55</f>
        <v>time</v>
      </c>
      <c r="R3" s="57" t="str">
        <f>'PC LIST'!P55</f>
        <v>Minutes / property / year</v>
      </c>
      <c r="S3" s="56">
        <f>'PC LIST'!Q55</f>
        <v>1</v>
      </c>
      <c r="T3" s="56" t="str">
        <f>'PC LIST'!J55</f>
        <v>Out &amp; under</v>
      </c>
      <c r="U3" s="743">
        <f>'PC LIST'!CC55</f>
        <v>73.7</v>
      </c>
      <c r="V3" s="56" t="str">
        <f>'PC LIST'!B76</f>
        <v>PR14DVWWSW_A1</v>
      </c>
      <c r="W3" s="57" t="str">
        <f>'PC LIST'!I76</f>
        <v>A1: Discoloured water contacts</v>
      </c>
      <c r="X3" s="57" t="str">
        <f>'PC LIST'!O76</f>
        <v>nr</v>
      </c>
      <c r="Y3" s="57" t="str">
        <f>'PC LIST'!P76</f>
        <v>No. per 1,000 population</v>
      </c>
      <c r="Z3" s="56">
        <f>'PC LIST'!Q76</f>
        <v>2</v>
      </c>
      <c r="AA3" s="56" t="str">
        <f>'PC LIST'!J76</f>
        <v>Out &amp; under</v>
      </c>
      <c r="AB3" s="743">
        <f>'PC LIST'!CC76</f>
        <v>0.91</v>
      </c>
      <c r="AC3" s="56" t="str">
        <f>'PC LIST'!B89</f>
        <v>PR14NESWSW_W-A1</v>
      </c>
      <c r="AD3" s="58" t="str">
        <f>'PC LIST'!I89</f>
        <v>W-A1: Asset health measures - water</v>
      </c>
      <c r="AE3" s="58" t="str">
        <f>'PC LIST'!O89</f>
        <v>N/A</v>
      </c>
      <c r="AF3" s="58" t="str">
        <f>'PC LIST'!P89</f>
        <v>N/A (measured in separate PCs)</v>
      </c>
      <c r="AG3" s="56" t="str">
        <f>'PC LIST'!Q89</f>
        <v>na</v>
      </c>
      <c r="AH3" s="56" t="str">
        <f>'PC LIST'!J89</f>
        <v>NFI</v>
      </c>
      <c r="AI3" s="56" t="str">
        <f>'PC LIST'!CC89</f>
        <v>n/a</v>
      </c>
      <c r="AJ3" s="56" t="str">
        <f>'PC LIST'!B133</f>
        <v>PR14PRTWSW_A1</v>
      </c>
      <c r="AK3" s="57" t="str">
        <f>'PC LIST'!I133</f>
        <v>A1: Bursts</v>
      </c>
      <c r="AL3" s="57" t="str">
        <f>'PC LIST'!O133</f>
        <v>nr</v>
      </c>
      <c r="AM3" s="57" t="str">
        <f>'PC LIST'!P133</f>
        <v>No. of burst mains per year</v>
      </c>
      <c r="AN3" s="56">
        <f>'PC LIST'!Q133</f>
        <v>0</v>
      </c>
      <c r="AO3" s="56" t="str">
        <f>'PC LIST'!J133</f>
        <v>Out &amp; under</v>
      </c>
      <c r="AP3" s="744">
        <f>'PC LIST'!CC133</f>
        <v>347</v>
      </c>
      <c r="AQ3" s="56" t="str">
        <f>'PC LIST'!B146</f>
        <v>PR14SBWWSW_A1</v>
      </c>
      <c r="AR3" s="57" t="str">
        <f>'PC LIST'!I146</f>
        <v>A1: Customer contacts: taste and appearance (water quality contacts)</v>
      </c>
      <c r="AS3" s="57" t="str">
        <f>'PC LIST'!O146</f>
        <v>nr</v>
      </c>
      <c r="AT3" s="57" t="str">
        <f>'PC LIST'!P146</f>
        <v>No. per 1,000 population</v>
      </c>
      <c r="AU3" s="56">
        <f>'PC LIST'!Q146</f>
        <v>2</v>
      </c>
      <c r="AV3" s="56" t="str">
        <f>'PC LIST'!J146</f>
        <v>Under</v>
      </c>
      <c r="AW3" s="743">
        <f>'PC LIST'!CC146</f>
        <v>0.82</v>
      </c>
      <c r="AX3" s="56" t="str">
        <f>'PC LIST'!B161</f>
        <v>PR14SESWSW_A1</v>
      </c>
      <c r="AY3" s="57" t="str">
        <f>'PC LIST'!I161</f>
        <v>A1: Security of supply index (SoSI) dry year average</v>
      </c>
      <c r="AZ3" s="57" t="str">
        <f>'PC LIST'!O161</f>
        <v>score</v>
      </c>
      <c r="BA3" s="57" t="str">
        <f>'PC LIST'!P161</f>
        <v>Security of Supply Index (SOSI)</v>
      </c>
      <c r="BB3" s="56">
        <f>'PC LIST'!Q161</f>
        <v>0</v>
      </c>
      <c r="BC3" s="56" t="str">
        <f>'PC LIST'!J161</f>
        <v>Under</v>
      </c>
      <c r="BD3" s="744">
        <f>'PC LIST'!CC161</f>
        <v>100</v>
      </c>
      <c r="BE3" s="56" t="str">
        <f>'PC LIST'!B182</f>
        <v>PR14SEWWSW_A1</v>
      </c>
      <c r="BF3" s="57" t="str">
        <f>'PC LIST'!I182</f>
        <v>A1: Customer satisfaction - appearance of water</v>
      </c>
      <c r="BG3" s="57" t="str">
        <f>'PC LIST'!O182</f>
        <v>score</v>
      </c>
      <c r="BH3" s="57" t="str">
        <f>'PC LIST'!P182</f>
        <v>Customer satisfaction score out of 5</v>
      </c>
      <c r="BI3" s="56">
        <f>'PC LIST'!Q182</f>
        <v>1</v>
      </c>
      <c r="BJ3" s="56" t="str">
        <f>'PC LIST'!J182</f>
        <v>Out &amp; under</v>
      </c>
      <c r="BK3" s="56">
        <f>'PC LIST'!CC182</f>
        <v>4.5</v>
      </c>
      <c r="BL3" s="56" t="str">
        <f>'PC LIST'!B216</f>
        <v>PR14SRNWSW_1</v>
      </c>
      <c r="BM3" s="57" t="str">
        <f>'PC LIST'!I216</f>
        <v>1: Water asset health (mains bursts, TIM, WSW &amp; WSR coliform compliance, turbidity compliance)</v>
      </c>
      <c r="BN3" s="57" t="str">
        <f>'PC LIST'!O216</f>
        <v>category</v>
      </c>
      <c r="BO3" s="57" t="str">
        <f>'PC LIST'!P216</f>
        <v>Asset health indicator</v>
      </c>
      <c r="BP3" s="56" t="str">
        <f>'PC LIST'!Q216</f>
        <v>na</v>
      </c>
      <c r="BQ3" s="56" t="str">
        <f>'PC LIST'!J216</f>
        <v>Under</v>
      </c>
      <c r="BR3" s="56" t="str">
        <f>'PC LIST'!CC216</f>
        <v>Stable</v>
      </c>
      <c r="BS3" s="56" t="str">
        <f>'PC LIST'!B249</f>
        <v>PR14SSCWSW_1.1</v>
      </c>
      <c r="BT3" s="57" t="str">
        <f>'PC LIST'!I249</f>
        <v>1.1: Mean zonal compliance (MZC, combined company)</v>
      </c>
      <c r="BU3" s="57" t="str">
        <f>'PC LIST'!O249</f>
        <v>%</v>
      </c>
      <c r="BV3" s="57" t="str">
        <f>'PC LIST'!P249</f>
        <v>Mean zonal compliance (%)</v>
      </c>
      <c r="BW3" s="56">
        <f>'PC LIST'!Q249</f>
        <v>3</v>
      </c>
      <c r="BX3" s="56" t="str">
        <f>'PC LIST'!J249</f>
        <v>Under</v>
      </c>
      <c r="BY3" s="56">
        <f>'PC LIST'!CC249</f>
        <v>99.942899999999995</v>
      </c>
      <c r="BZ3" s="56" t="str">
        <f>'PC LIST'!B264</f>
        <v>PR14SVTWSW_W-A1</v>
      </c>
      <c r="CA3" s="57" t="str">
        <f>'PC LIST'!I264</f>
        <v>W-A1: Number of complaints about drinking water quality</v>
      </c>
      <c r="CB3" s="57" t="str">
        <f>'PC LIST'!O264</f>
        <v>nr</v>
      </c>
      <c r="CC3" s="57" t="str">
        <f>'PC LIST'!P264</f>
        <v>No. of water quality complaints</v>
      </c>
      <c r="CD3" s="56">
        <f>'PC LIST'!Q264</f>
        <v>0</v>
      </c>
      <c r="CE3" s="56" t="str">
        <f>'PC LIST'!J264</f>
        <v>Out &amp; under</v>
      </c>
      <c r="CF3" s="744">
        <f>'PC LIST'!CC264</f>
        <v>12687</v>
      </c>
      <c r="CG3" s="56" t="str">
        <f>'PC LIST'!B309</f>
        <v>PR14SWTWSW_W-A1</v>
      </c>
      <c r="CH3" s="59" t="str">
        <f>'PC LIST'!I309</f>
        <v>W-A1: Compliance with water quality standard</v>
      </c>
      <c r="CI3" s="59" t="str">
        <f>'PC LIST'!O309</f>
        <v>%</v>
      </c>
      <c r="CJ3" s="59" t="str">
        <f>'PC LIST'!P309</f>
        <v>Mean zonal compliance (%)</v>
      </c>
      <c r="CK3" s="56">
        <f>'PC LIST'!Q309</f>
        <v>2</v>
      </c>
      <c r="CL3" s="56" t="str">
        <f>'PC LIST'!J309</f>
        <v>Under</v>
      </c>
      <c r="CM3" s="743">
        <f>'PC LIST'!CC309</f>
        <v>99.96</v>
      </c>
      <c r="CN3" s="56" t="str">
        <f>'PC LIST'!B351</f>
        <v>PR14TMSWSW_WA1</v>
      </c>
      <c r="CO3" s="57" t="str">
        <f>'PC LIST'!I351</f>
        <v>WA1: Improve handling of written complaints by increasing 1st time resolution</v>
      </c>
      <c r="CP3" s="57" t="str">
        <f>'PC LIST'!O351</f>
        <v>%</v>
      </c>
      <c r="CQ3" s="57" t="str">
        <f>'PC LIST'!P351</f>
        <v>% written complaints resolved 1st time</v>
      </c>
      <c r="CR3" s="56">
        <f>'PC LIST'!Q351</f>
        <v>0</v>
      </c>
      <c r="CS3" s="56" t="str">
        <f>'PC LIST'!J351</f>
        <v>NFI</v>
      </c>
      <c r="CT3" s="56">
        <f>'PC LIST'!CC351</f>
        <v>96.03</v>
      </c>
      <c r="CU3" s="56" t="str">
        <f>'PC LIST'!B406</f>
        <v>PR14UUWSW_A1</v>
      </c>
      <c r="CV3" s="57" t="str">
        <f>'PC LIST'!I406</f>
        <v>A1: Drinking Water Safety Plan risk score</v>
      </c>
      <c r="CW3" s="57" t="str">
        <f>'PC LIST'!O406</f>
        <v>score</v>
      </c>
      <c r="CX3" s="57" t="str">
        <f>'PC LIST'!P406</f>
        <v>Drinking Water Safety Plan (DWSP) risk score</v>
      </c>
      <c r="CY3" s="56">
        <f>'PC LIST'!Q406</f>
        <v>1</v>
      </c>
      <c r="CZ3" s="56" t="str">
        <f>'PC LIST'!J406</f>
        <v>NFI</v>
      </c>
      <c r="DA3" s="56">
        <f>'PC LIST'!CC406</f>
        <v>4.3</v>
      </c>
      <c r="DB3" s="56" t="str">
        <f>'PC LIST'!B433</f>
        <v>PR14WSHWSW_A1</v>
      </c>
      <c r="DC3" s="57" t="str">
        <f>'PC LIST'!I433</f>
        <v>A1: Safety of drinking water</v>
      </c>
      <c r="DD3" s="57" t="str">
        <f>'PC LIST'!O433</f>
        <v>%</v>
      </c>
      <c r="DE3" s="57" t="str">
        <f>'PC LIST'!P433</f>
        <v>Mean zonal compliance (%)</v>
      </c>
      <c r="DF3" s="56">
        <f>'PC LIST'!Q433</f>
        <v>2</v>
      </c>
      <c r="DG3" s="56" t="str">
        <f>'PC LIST'!J433</f>
        <v>Under</v>
      </c>
      <c r="DH3" s="743">
        <f>'PC LIST'!CC433</f>
        <v>99.96</v>
      </c>
      <c r="DI3" s="56" t="str">
        <f>'PC LIST'!B464</f>
        <v>PR14WSXWSW_B4</v>
      </c>
      <c r="DJ3" s="57" t="str">
        <f>'PC LIST'!I464</f>
        <v>B4: Compliance with abstraction licences</v>
      </c>
      <c r="DK3" s="57" t="str">
        <f>'PC LIST'!O464</f>
        <v>%</v>
      </c>
      <c r="DL3" s="57" t="str">
        <f>'PC LIST'!P464</f>
        <v>% compliance with EA abstraction licences</v>
      </c>
      <c r="DM3" s="56">
        <f>'PC LIST'!Q464</f>
        <v>1</v>
      </c>
      <c r="DN3" s="56" t="str">
        <f>'PC LIST'!J464</f>
        <v>NFI</v>
      </c>
      <c r="DO3" s="56">
        <f>'PC LIST'!CC464</f>
        <v>100</v>
      </c>
      <c r="DP3" s="56" t="str">
        <f>'PC LIST'!B496</f>
        <v>PR14YKYWSW_WA1</v>
      </c>
      <c r="DQ3" s="57" t="str">
        <f>'PC LIST'!I496</f>
        <v>WA1: Drinking water quality</v>
      </c>
      <c r="DR3" s="57" t="str">
        <f>'PC LIST'!O496</f>
        <v>%</v>
      </c>
      <c r="DS3" s="57" t="str">
        <f>'PC LIST'!P496</f>
        <v>Mean zonal compliance (%)</v>
      </c>
      <c r="DT3" s="56">
        <f>'PC LIST'!Q496</f>
        <v>3</v>
      </c>
      <c r="DU3" s="56" t="str">
        <f>'PC LIST'!J496</f>
        <v>Under</v>
      </c>
      <c r="DV3" s="56">
        <f>'PC LIST'!CC496</f>
        <v>99.953000000000003</v>
      </c>
      <c r="DW3" s="56" t="str">
        <f>'PC LIST'!B530</f>
        <v>PR14HDDWSW_A1</v>
      </c>
      <c r="DX3" s="57" t="str">
        <f>'PC LIST'!I530</f>
        <v>A1: Discoloured water contacts</v>
      </c>
      <c r="DY3" s="57" t="str">
        <f>'PC LIST'!O530</f>
        <v>nr</v>
      </c>
      <c r="DZ3" s="57" t="str">
        <f>'PC LIST'!P530</f>
        <v>No. per 1,000 population</v>
      </c>
      <c r="EA3" s="56">
        <f>'PC LIST'!Q530</f>
        <v>2</v>
      </c>
      <c r="EB3" s="56" t="str">
        <f>'PC LIST'!J530</f>
        <v>Out &amp; under</v>
      </c>
      <c r="EC3" s="56" t="str">
        <f>'PC LIST'!CC530</f>
        <v>-</v>
      </c>
      <c r="ED3" s="56" t="str">
        <f>'PC LIST'!B576</f>
        <v>PR14SVEWSW_W-A1</v>
      </c>
      <c r="EE3" s="57" t="str">
        <f>'PC LIST'!I576</f>
        <v>W-A1: Number of complaints about drinking water quality</v>
      </c>
      <c r="EF3" s="57" t="str">
        <f>'PC LIST'!O576</f>
        <v>nr</v>
      </c>
      <c r="EG3" s="57" t="str">
        <f>'PC LIST'!P576</f>
        <v>No. of water quality complaints</v>
      </c>
      <c r="EH3" s="56">
        <f>'PC LIST'!Q576</f>
        <v>0</v>
      </c>
      <c r="EI3" s="56" t="str">
        <f>'PC LIST'!J576</f>
        <v>Out &amp; under</v>
      </c>
      <c r="EJ3" s="56" t="str">
        <f>'PC LIST'!CC576</f>
        <v>-</v>
      </c>
    </row>
    <row r="4" spans="1:140" ht="15.75" customHeight="1">
      <c r="A4" s="56" t="str">
        <f>'PC LIST'!B4</f>
        <v>PR14AFWWSW_W-A2</v>
      </c>
      <c r="B4" s="56" t="str">
        <f>'PC LIST'!I4</f>
        <v>W-A2: Average water use</v>
      </c>
      <c r="C4" s="56" t="str">
        <f>'PC LIST'!O4</f>
        <v>nr</v>
      </c>
      <c r="D4" s="56" t="str">
        <f>'PC LIST'!P4</f>
        <v>Litres per person per day (l/p/d)</v>
      </c>
      <c r="E4" s="56">
        <f>'PC LIST'!Q4</f>
        <v>1</v>
      </c>
      <c r="F4" s="56" t="str">
        <f>'PC LIST'!J4</f>
        <v>Under</v>
      </c>
      <c r="G4" s="56">
        <f>'PC LIST'!CC4</f>
        <v>151.68543751188128</v>
      </c>
      <c r="H4" s="56" t="str">
        <f>'PC LIST'!B17</f>
        <v>PR14ANHWSW_W-A3</v>
      </c>
      <c r="I4" s="57" t="str">
        <f>'PC LIST'!I17</f>
        <v>W-A3: Properties at risk of persistent low pressure</v>
      </c>
      <c r="J4" s="57" t="str">
        <f>'PC LIST'!O17</f>
        <v>nr</v>
      </c>
      <c r="K4" s="57" t="str">
        <f>'PC LIST'!P17</f>
        <v>No. of properties</v>
      </c>
      <c r="L4" s="56">
        <f>'PC LIST'!Q17</f>
        <v>0</v>
      </c>
      <c r="M4" s="56" t="str">
        <f>'PC LIST'!J17</f>
        <v>Out &amp; under</v>
      </c>
      <c r="N4" s="743">
        <f>'PC LIST'!CC17</f>
        <v>297</v>
      </c>
      <c r="O4" s="56" t="str">
        <f>'PC LIST'!B56</f>
        <v>PR14BRLWSW_A2</v>
      </c>
      <c r="P4" s="57" t="str">
        <f>'PC LIST'!I56</f>
        <v>A2: Asset reliability - infrastructure</v>
      </c>
      <c r="Q4" s="57" t="str">
        <f>'PC LIST'!O56</f>
        <v>category</v>
      </c>
      <c r="R4" s="57" t="str">
        <f>'PC LIST'!P56</f>
        <v>Asset health indicator</v>
      </c>
      <c r="S4" s="56" t="str">
        <f>'PC LIST'!Q56</f>
        <v>na</v>
      </c>
      <c r="T4" s="56" t="str">
        <f>'PC LIST'!J56</f>
        <v>Under</v>
      </c>
      <c r="U4" s="743" t="str">
        <f>'PC LIST'!CC56</f>
        <v>Marginal</v>
      </c>
      <c r="V4" s="56" t="str">
        <f>'PC LIST'!B77</f>
        <v>PR14DVWWSW_A2</v>
      </c>
      <c r="W4" s="57" t="str">
        <f>'PC LIST'!I77</f>
        <v>A2: Mean zonal compliance (MZC)</v>
      </c>
      <c r="X4" s="57" t="str">
        <f>'PC LIST'!O77</f>
        <v>%</v>
      </c>
      <c r="Y4" s="57" t="str">
        <f>'PC LIST'!P77</f>
        <v>Mean zonal compliance (%)</v>
      </c>
      <c r="Z4" s="56">
        <f>'PC LIST'!Q77</f>
        <v>2</v>
      </c>
      <c r="AA4" s="56" t="str">
        <f>'PC LIST'!J77</f>
        <v>Under</v>
      </c>
      <c r="AB4" s="743">
        <f>'PC LIST'!CC77</f>
        <v>99.97</v>
      </c>
      <c r="AC4" s="56" t="str">
        <f>'PC LIST'!B90</f>
        <v>PR14NESWSW_W-B1</v>
      </c>
      <c r="AD4" s="58" t="str">
        <f>'PC LIST'!I90</f>
        <v>W-B1: Satisfaction with taste and odour of tap water</v>
      </c>
      <c r="AE4" s="58" t="str">
        <f>'PC LIST'!O90</f>
        <v>nr</v>
      </c>
      <c r="AF4" s="58" t="str">
        <f>'PC LIST'!P90</f>
        <v>No. of complaints per year</v>
      </c>
      <c r="AG4" s="56">
        <f>'PC LIST'!Q90</f>
        <v>0</v>
      </c>
      <c r="AH4" s="56" t="str">
        <f>'PC LIST'!J90</f>
        <v>Out &amp; under</v>
      </c>
      <c r="AI4" s="56">
        <f>'PC LIST'!CC90</f>
        <v>978</v>
      </c>
      <c r="AJ4" s="56" t="str">
        <f>'PC LIST'!B134</f>
        <v>PR14PRTWSW_A2</v>
      </c>
      <c r="AK4" s="57" t="str">
        <f>'PC LIST'!I134</f>
        <v>A2: Water quality standards</v>
      </c>
      <c r="AL4" s="57" t="str">
        <f>'PC LIST'!O134</f>
        <v>%</v>
      </c>
      <c r="AM4" s="57" t="str">
        <f>'PC LIST'!P134</f>
        <v>Mean zonal compliance (%)</v>
      </c>
      <c r="AN4" s="56">
        <f>'PC LIST'!Q134</f>
        <v>2</v>
      </c>
      <c r="AO4" s="56" t="str">
        <f>'PC LIST'!J134</f>
        <v>Under</v>
      </c>
      <c r="AP4" s="744">
        <f>'PC LIST'!CC134</f>
        <v>99.93</v>
      </c>
      <c r="AQ4" s="56" t="str">
        <f>'PC LIST'!B147</f>
        <v>PR14SBWWSW_A2</v>
      </c>
      <c r="AR4" s="57" t="str">
        <f>'PC LIST'!I147</f>
        <v>A2: WS (WQ) regulation compliance - mean zonal compliance (compliance with DWI regulations)</v>
      </c>
      <c r="AS4" s="57" t="str">
        <f>'PC LIST'!O147</f>
        <v>%</v>
      </c>
      <c r="AT4" s="57" t="str">
        <f>'PC LIST'!P147</f>
        <v>Mean zonal compliance (%)</v>
      </c>
      <c r="AU4" s="56">
        <f>'PC LIST'!Q147</f>
        <v>2</v>
      </c>
      <c r="AV4" s="56" t="str">
        <f>'PC LIST'!J147</f>
        <v>Under</v>
      </c>
      <c r="AW4" s="743">
        <f>'PC LIST'!CC147</f>
        <v>100</v>
      </c>
      <c r="AX4" s="56" t="str">
        <f>'PC LIST'!B162</f>
        <v>PR14SESWSW_A2</v>
      </c>
      <c r="AY4" s="57" t="str">
        <f>'PC LIST'!I162</f>
        <v>A2: Security of supply index (SoSI) critical period</v>
      </c>
      <c r="AZ4" s="57" t="str">
        <f>'PC LIST'!O162</f>
        <v>score</v>
      </c>
      <c r="BA4" s="57" t="str">
        <f>'PC LIST'!P162</f>
        <v>Security of Supply Index (SOSI)</v>
      </c>
      <c r="BB4" s="56">
        <f>'PC LIST'!Q162</f>
        <v>0</v>
      </c>
      <c r="BC4" s="56" t="str">
        <f>'PC LIST'!J162</f>
        <v>NFI</v>
      </c>
      <c r="BD4" s="744">
        <f>'PC LIST'!CC162</f>
        <v>100</v>
      </c>
      <c r="BE4" s="56" t="str">
        <f>'PC LIST'!B183</f>
        <v>PR14SEWWSW_B1</v>
      </c>
      <c r="BF4" s="57" t="str">
        <f>'PC LIST'!I183</f>
        <v>B1: Customer satisfaction - taste and odour of water</v>
      </c>
      <c r="BG4" s="57" t="str">
        <f>'PC LIST'!O183</f>
        <v>score</v>
      </c>
      <c r="BH4" s="57" t="str">
        <f>'PC LIST'!P183</f>
        <v>Customer satisfaction score out of 5</v>
      </c>
      <c r="BI4" s="56">
        <f>'PC LIST'!Q183</f>
        <v>1</v>
      </c>
      <c r="BJ4" s="56" t="str">
        <f>'PC LIST'!J183</f>
        <v>Out &amp; under</v>
      </c>
      <c r="BK4" s="56">
        <f>'PC LIST'!CC183</f>
        <v>4.2</v>
      </c>
      <c r="BL4" s="56" t="str">
        <f>'PC LIST'!B217</f>
        <v>PR14SRNWSW_2</v>
      </c>
      <c r="BM4" s="57" t="str">
        <f>'PC LIST'!I217</f>
        <v>2: Water use restrictions</v>
      </c>
      <c r="BN4" s="57" t="str">
        <f>'PC LIST'!O217</f>
        <v>nr</v>
      </c>
      <c r="BO4" s="57" t="str">
        <f>'PC LIST'!P217</f>
        <v>No. of properties affected per ban</v>
      </c>
      <c r="BP4" s="56">
        <f>'PC LIST'!Q217</f>
        <v>0</v>
      </c>
      <c r="BQ4" s="56" t="str">
        <f>'PC LIST'!J217</f>
        <v>Under</v>
      </c>
      <c r="BR4" s="56">
        <f>'PC LIST'!CC217</f>
        <v>0</v>
      </c>
      <c r="BS4" s="56" t="str">
        <f>'PC LIST'!B250</f>
        <v>PR14SSCWSW_1.2</v>
      </c>
      <c r="BT4" s="57" t="str">
        <f>'PC LIST'!I250</f>
        <v>1.2: Acceptability of water to customers (combined company)</v>
      </c>
      <c r="BU4" s="57" t="str">
        <f>'PC LIST'!O250</f>
        <v>nr</v>
      </c>
      <c r="BV4" s="57" t="str">
        <f>'PC LIST'!P250</f>
        <v>No. of contacts per 1,000 population</v>
      </c>
      <c r="BW4" s="56">
        <f>'PC LIST'!Q250</f>
        <v>2</v>
      </c>
      <c r="BX4" s="56" t="str">
        <f>'PC LIST'!J250</f>
        <v>Out &amp; under</v>
      </c>
      <c r="BY4" s="56">
        <f>'PC LIST'!CC250</f>
        <v>1.4159999999999999</v>
      </c>
      <c r="BZ4" s="56" t="str">
        <f>'PC LIST'!B265</f>
        <v>PR14SVTWSW_W-A2</v>
      </c>
      <c r="CA4" s="57" t="str">
        <f>'PC LIST'!I265</f>
        <v>W-A2: Compliance with drinking water quality standards</v>
      </c>
      <c r="CB4" s="57" t="str">
        <f>'PC LIST'!O265</f>
        <v>%</v>
      </c>
      <c r="CC4" s="57" t="str">
        <f>'PC LIST'!P265</f>
        <v>Mean zonal compliance (%)</v>
      </c>
      <c r="CD4" s="56">
        <f>'PC LIST'!Q265</f>
        <v>3</v>
      </c>
      <c r="CE4" s="56" t="str">
        <f>'PC LIST'!J265</f>
        <v>Under</v>
      </c>
      <c r="CF4" s="744">
        <f>'PC LIST'!CC265</f>
        <v>99.96</v>
      </c>
      <c r="CG4" s="56" t="str">
        <f>'PC LIST'!B310</f>
        <v>PR14SWTWSW_W-A2</v>
      </c>
      <c r="CH4" s="59" t="str">
        <f>'PC LIST'!I310</f>
        <v>W-A2: Taste, smell and colour contacts</v>
      </c>
      <c r="CI4" s="59" t="str">
        <f>'PC LIST'!O310</f>
        <v>nr</v>
      </c>
      <c r="CJ4" s="59" t="str">
        <f>'PC LIST'!P310</f>
        <v>No. of contacts per 1,000 population</v>
      </c>
      <c r="CK4" s="56">
        <f>'PC LIST'!Q310</f>
        <v>2</v>
      </c>
      <c r="CL4" s="56" t="str">
        <f>'PC LIST'!J310</f>
        <v>Out &amp; under</v>
      </c>
      <c r="CM4" s="743">
        <f>'PC LIST'!CC310</f>
        <v>2.2000000000000002</v>
      </c>
      <c r="CN4" s="56" t="str">
        <f>'PC LIST'!B352</f>
        <v>PR14TMSWSW_WA2</v>
      </c>
      <c r="CO4" s="57" t="str">
        <f>'PC LIST'!I352</f>
        <v>WA2: Number of written complaints per 10,000 connected properties</v>
      </c>
      <c r="CP4" s="57" t="str">
        <f>'PC LIST'!O352</f>
        <v>nr</v>
      </c>
      <c r="CQ4" s="57" t="str">
        <f>'PC LIST'!P352</f>
        <v>No. written complaints / 10,000 properties</v>
      </c>
      <c r="CR4" s="56">
        <f>'PC LIST'!Q352</f>
        <v>2</v>
      </c>
      <c r="CS4" s="56" t="str">
        <f>'PC LIST'!J352</f>
        <v>NFI</v>
      </c>
      <c r="CT4" s="56">
        <f>'PC LIST'!CC352</f>
        <v>12.386340875657</v>
      </c>
      <c r="CU4" s="56" t="str">
        <f>'PC LIST'!B407</f>
        <v>PR14UUWSW_A2</v>
      </c>
      <c r="CV4" s="57" t="str">
        <f>'PC LIST'!I407</f>
        <v>A2: Water quality events DWI category 3 or above</v>
      </c>
      <c r="CW4" s="57" t="str">
        <f>'PC LIST'!O407</f>
        <v>nr</v>
      </c>
      <c r="CX4" s="57" t="str">
        <f>'PC LIST'!P407</f>
        <v>No. water quality events DWI cat 3 or above</v>
      </c>
      <c r="CY4" s="56">
        <f>'PC LIST'!Q407</f>
        <v>0</v>
      </c>
      <c r="CZ4" s="56" t="str">
        <f>'PC LIST'!J407</f>
        <v>Under</v>
      </c>
      <c r="DA4" s="56">
        <f>'PC LIST'!CC407</f>
        <v>27</v>
      </c>
      <c r="DB4" s="56" t="str">
        <f>'PC LIST'!B434</f>
        <v>PR14WSHWSW_A2</v>
      </c>
      <c r="DC4" s="57" t="str">
        <f>'PC LIST'!I434</f>
        <v>A2: Customer acceptability (drinking water) - contacts per 1,000 population</v>
      </c>
      <c r="DD4" s="57" t="str">
        <f>'PC LIST'!O434</f>
        <v>nr</v>
      </c>
      <c r="DE4" s="57" t="str">
        <f>'PC LIST'!P434</f>
        <v>No. of contacts per 1,000 population</v>
      </c>
      <c r="DF4" s="56">
        <f>'PC LIST'!Q434</f>
        <v>2</v>
      </c>
      <c r="DG4" s="56" t="str">
        <f>'PC LIST'!J434</f>
        <v>Out &amp; under</v>
      </c>
      <c r="DH4" s="743">
        <f>'PC LIST'!CC434</f>
        <v>3.19</v>
      </c>
      <c r="DI4" s="56" t="str">
        <f>'PC LIST'!B465</f>
        <v>PR14WSXWSW_B5</v>
      </c>
      <c r="DJ4" s="57" t="str">
        <f>'PC LIST'!I465</f>
        <v>B5: Abstractions at Mere exported (follows principles of the AIM methodology)</v>
      </c>
      <c r="DK4" s="57" t="str">
        <f>'PC LIST'!O465</f>
        <v>nr</v>
      </c>
      <c r="DL4" s="57" t="str">
        <f>'PC LIST'!P465</f>
        <v>Megalitres per annum (Ml/a)</v>
      </c>
      <c r="DM4" s="56">
        <f>'PC LIST'!Q465</f>
        <v>0</v>
      </c>
      <c r="DN4" s="56" t="str">
        <f>'PC LIST'!J465</f>
        <v>Under</v>
      </c>
      <c r="DO4" s="56">
        <f>'PC LIST'!CC465</f>
        <v>30</v>
      </c>
      <c r="DP4" s="56" t="str">
        <f>'PC LIST'!B497</f>
        <v>PR14YKYWSW_WA2</v>
      </c>
      <c r="DQ4" s="57" t="str">
        <f>'PC LIST'!I497</f>
        <v>WA2: Significant drinking water events which require corrective action</v>
      </c>
      <c r="DR4" s="57" t="str">
        <f>'PC LIST'!O497</f>
        <v>nr</v>
      </c>
      <c r="DS4" s="57" t="str">
        <f>'PC LIST'!P497</f>
        <v>No. of corrective actions required by DWI with respect to potentially significant events notified</v>
      </c>
      <c r="DT4" s="56">
        <f>'PC LIST'!Q497</f>
        <v>0</v>
      </c>
      <c r="DU4" s="56" t="str">
        <f>'PC LIST'!J497</f>
        <v>NFI</v>
      </c>
      <c r="DV4" s="56">
        <f>'PC LIST'!CC497</f>
        <v>4</v>
      </c>
      <c r="DW4" s="56" t="str">
        <f>'PC LIST'!B531</f>
        <v>PR14HDDWSW_A2</v>
      </c>
      <c r="DX4" s="57" t="str">
        <f>'PC LIST'!I531</f>
        <v>A2: Mean zonal compliance (MZC)</v>
      </c>
      <c r="DY4" s="57" t="str">
        <f>'PC LIST'!O531</f>
        <v>%</v>
      </c>
      <c r="DZ4" s="57" t="str">
        <f>'PC LIST'!P531</f>
        <v>Mean zonal compliance (%)</v>
      </c>
      <c r="EA4" s="56">
        <f>'PC LIST'!Q531</f>
        <v>2</v>
      </c>
      <c r="EB4" s="56" t="str">
        <f>'PC LIST'!J531</f>
        <v>Under</v>
      </c>
      <c r="EC4" s="56" t="str">
        <f>'PC LIST'!CC531</f>
        <v>-</v>
      </c>
      <c r="ED4" s="56" t="str">
        <f>'PC LIST'!B577</f>
        <v>PR14SVEWSW_W-A2</v>
      </c>
      <c r="EE4" s="57" t="str">
        <f>'PC LIST'!I577</f>
        <v>W-A2: Compliance with drinking water quality standards</v>
      </c>
      <c r="EF4" s="57" t="str">
        <f>'PC LIST'!O577</f>
        <v>%</v>
      </c>
      <c r="EG4" s="57" t="str">
        <f>'PC LIST'!P577</f>
        <v>Mean zonal compliance (%)</v>
      </c>
      <c r="EH4" s="56">
        <f>'PC LIST'!Q577</f>
        <v>3</v>
      </c>
      <c r="EI4" s="56" t="str">
        <f>'PC LIST'!J577</f>
        <v>Under</v>
      </c>
      <c r="EJ4" s="56" t="str">
        <f>'PC LIST'!CC577</f>
        <v>-</v>
      </c>
    </row>
    <row r="5" spans="1:140" ht="15.75" customHeight="1">
      <c r="A5" s="56" t="str">
        <f>'PC LIST'!B5</f>
        <v>PR14AFWWSW_W-A3</v>
      </c>
      <c r="B5" s="56" t="str">
        <f>'PC LIST'!I5</f>
        <v>W-A3: Water available for use</v>
      </c>
      <c r="C5" s="56" t="str">
        <f>'PC LIST'!O5</f>
        <v>nr</v>
      </c>
      <c r="D5" s="56" t="str">
        <f>'PC LIST'!P5</f>
        <v>Megalitres per day (Ml/d)</v>
      </c>
      <c r="E5" s="56">
        <f>'PC LIST'!Q5</f>
        <v>1</v>
      </c>
      <c r="F5" s="56" t="str">
        <f>'PC LIST'!J5</f>
        <v>Under</v>
      </c>
      <c r="G5" s="56">
        <f>'PC LIST'!CC5</f>
        <v>1135.5530304347826</v>
      </c>
      <c r="H5" s="56" t="str">
        <f>'PC LIST'!B18</f>
        <v>PR14ANHWSW_W-A4</v>
      </c>
      <c r="I5" s="57" t="str">
        <f>'PC LIST'!I18</f>
        <v>W-A4: Water quality contacts</v>
      </c>
      <c r="J5" s="57" t="str">
        <f>'PC LIST'!O18</f>
        <v>nr</v>
      </c>
      <c r="K5" s="57" t="str">
        <f>'PC LIST'!P18</f>
        <v>No. per 1,000 population</v>
      </c>
      <c r="L5" s="56">
        <f>'PC LIST'!Q18</f>
        <v>2</v>
      </c>
      <c r="M5" s="56" t="str">
        <f>'PC LIST'!J18</f>
        <v>Out &amp; under</v>
      </c>
      <c r="N5" s="743">
        <f>'PC LIST'!CC18</f>
        <v>1.23</v>
      </c>
      <c r="O5" s="56" t="str">
        <f>'PC LIST'!B57</f>
        <v>PR14BRLWSW_A3</v>
      </c>
      <c r="P5" s="57" t="str">
        <f>'PC LIST'!I57</f>
        <v>A3: Asset reliability - non-infrastructure</v>
      </c>
      <c r="Q5" s="57" t="str">
        <f>'PC LIST'!O57</f>
        <v>category</v>
      </c>
      <c r="R5" s="57" t="str">
        <f>'PC LIST'!P57</f>
        <v>Asset health indicator</v>
      </c>
      <c r="S5" s="56" t="str">
        <f>'PC LIST'!Q57</f>
        <v>na</v>
      </c>
      <c r="T5" s="56" t="str">
        <f>'PC LIST'!J57</f>
        <v>Under</v>
      </c>
      <c r="U5" s="743" t="str">
        <f>'PC LIST'!CC57</f>
        <v>Stable</v>
      </c>
      <c r="V5" s="56" t="str">
        <f>'PC LIST'!B78</f>
        <v>PR14DVWWSW_A3</v>
      </c>
      <c r="W5" s="57" t="str">
        <f>'PC LIST'!I78</f>
        <v>A3: Delivery of the outcomes of the Legacy water treatment works (south west Wrexham) major scheme</v>
      </c>
      <c r="X5" s="57" t="str">
        <f>'PC LIST'!O78</f>
        <v>text</v>
      </c>
      <c r="Y5" s="57" t="str">
        <f>'PC LIST'!P78</f>
        <v>Pass/fail (until completion)</v>
      </c>
      <c r="Z5" s="56" t="str">
        <f>'PC LIST'!Q78</f>
        <v>na</v>
      </c>
      <c r="AA5" s="56" t="str">
        <f>'PC LIST'!J78</f>
        <v>Under</v>
      </c>
      <c r="AB5" s="743" t="str">
        <f>'PC LIST'!CC78</f>
        <v>Complete</v>
      </c>
      <c r="AC5" s="56" t="str">
        <f>'PC LIST'!B91</f>
        <v>PR14NESWSW_W-B2</v>
      </c>
      <c r="AD5" s="58" t="str">
        <f>'PC LIST'!I91</f>
        <v>W-B2: Overall drinking water compliance (3-year average)</v>
      </c>
      <c r="AE5" s="58" t="str">
        <f>'PC LIST'!O91</f>
        <v>%</v>
      </c>
      <c r="AF5" s="58" t="str">
        <f>'PC LIST'!P91</f>
        <v>Mean zonal compliance (%)</v>
      </c>
      <c r="AG5" s="56">
        <f>'PC LIST'!Q91</f>
        <v>3</v>
      </c>
      <c r="AH5" s="56" t="str">
        <f>'PC LIST'!J91</f>
        <v>Under</v>
      </c>
      <c r="AI5" s="56">
        <f>'PC LIST'!CC91</f>
        <v>99.942999999999998</v>
      </c>
      <c r="AJ5" s="56" t="str">
        <f>'PC LIST'!B135</f>
        <v>PR14PRTWSW_A3</v>
      </c>
      <c r="AK5" s="57" t="str">
        <f>'PC LIST'!I135</f>
        <v>A3: Water quality contacts</v>
      </c>
      <c r="AL5" s="57" t="str">
        <f>'PC LIST'!O135</f>
        <v>nr</v>
      </c>
      <c r="AM5" s="57" t="str">
        <f>'PC LIST'!P135</f>
        <v>No. contacts per 1,000 population served</v>
      </c>
      <c r="AN5" s="56">
        <f>'PC LIST'!Q135</f>
        <v>3</v>
      </c>
      <c r="AO5" s="56" t="str">
        <f>'PC LIST'!J135</f>
        <v>Out &amp; under</v>
      </c>
      <c r="AP5" s="744">
        <f>'PC LIST'!CC135</f>
        <v>0.54900000000000004</v>
      </c>
      <c r="AQ5" s="56" t="str">
        <f>'PC LIST'!B148</f>
        <v>PR14SBWWSW_B1</v>
      </c>
      <c r="AR5" s="57" t="str">
        <f>'PC LIST'!I148</f>
        <v>B1: Reduce leakage (to less than or equal to 20.00 Ml/d by 2020)</v>
      </c>
      <c r="AS5" s="57" t="str">
        <f>'PC LIST'!O148</f>
        <v>nr</v>
      </c>
      <c r="AT5" s="57" t="str">
        <f>'PC LIST'!P148</f>
        <v>Megalitres per day (Ml/d)</v>
      </c>
      <c r="AU5" s="56">
        <f>'PC LIST'!Q148</f>
        <v>2</v>
      </c>
      <c r="AV5" s="56" t="str">
        <f>'PC LIST'!J148</f>
        <v>Out &amp; under</v>
      </c>
      <c r="AW5" s="743">
        <f>'PC LIST'!CC148</f>
        <v>19.11</v>
      </c>
      <c r="AX5" s="56" t="str">
        <f>'PC LIST'!B163</f>
        <v>PR14SESWSW_A3</v>
      </c>
      <c r="AY5" s="57" t="str">
        <f>'PC LIST'!I163</f>
        <v>A3: Supply interruptions &gt;3 hours</v>
      </c>
      <c r="AZ5" s="57" t="str">
        <f>'PC LIST'!O163</f>
        <v>time</v>
      </c>
      <c r="BA5" s="57" t="str">
        <f>'PC LIST'!P163</f>
        <v>Hours / property / year</v>
      </c>
      <c r="BB5" s="56">
        <f>'PC LIST'!Q163</f>
        <v>2</v>
      </c>
      <c r="BC5" s="56" t="str">
        <f>'PC LIST'!J163</f>
        <v>Out &amp; under</v>
      </c>
      <c r="BD5" s="744">
        <f>'PC LIST'!CC163</f>
        <v>0.05</v>
      </c>
      <c r="BE5" s="56" t="str">
        <f>'PC LIST'!B184</f>
        <v>PR14SEWWSW_C1</v>
      </c>
      <c r="BF5" s="57" t="str">
        <f>'PC LIST'!I184</f>
        <v>C1: Customer satisfaction - level of leakage</v>
      </c>
      <c r="BG5" s="57" t="str">
        <f>'PC LIST'!O184</f>
        <v>score</v>
      </c>
      <c r="BH5" s="57" t="str">
        <f>'PC LIST'!P184</f>
        <v>Customer satisfaction score out of 5</v>
      </c>
      <c r="BI5" s="56">
        <f>'PC LIST'!Q184</f>
        <v>1</v>
      </c>
      <c r="BJ5" s="56" t="str">
        <f>'PC LIST'!J184</f>
        <v>Out &amp; under</v>
      </c>
      <c r="BK5" s="56">
        <f>'PC LIST'!CC184</f>
        <v>3.8</v>
      </c>
      <c r="BL5" s="56" t="str">
        <f>'PC LIST'!B218</f>
        <v>PR14SRNWSW_3</v>
      </c>
      <c r="BM5" s="57" t="str">
        <f>'PC LIST'!I218</f>
        <v>3: Leakage (including customer supply-pipe leakage) - five-year average target</v>
      </c>
      <c r="BN5" s="57" t="str">
        <f>'PC LIST'!O218</f>
        <v>nr</v>
      </c>
      <c r="BO5" s="57" t="str">
        <f>'PC LIST'!P218</f>
        <v>Megalitres per day (Ml/d)</v>
      </c>
      <c r="BP5" s="56">
        <f>'PC LIST'!Q218</f>
        <v>1</v>
      </c>
      <c r="BQ5" s="56" t="str">
        <f>'PC LIST'!J218</f>
        <v>Out &amp; under</v>
      </c>
      <c r="BR5" s="56">
        <f>'PC LIST'!CC218</f>
        <v>88.7</v>
      </c>
      <c r="BS5" s="56" t="str">
        <f>'PC LIST'!B251</f>
        <v>PR14SSCWSW_2.1</v>
      </c>
      <c r="BT5" s="57" t="str">
        <f>'PC LIST'!I251</f>
        <v>2.1: Interruptions to supply (combined company)</v>
      </c>
      <c r="BU5" s="57" t="str">
        <f>'PC LIST'!O251</f>
        <v>time</v>
      </c>
      <c r="BV5" s="57" t="str">
        <f>'PC LIST'!P251</f>
        <v>Minutes / property / year</v>
      </c>
      <c r="BW5" s="56">
        <f>'PC LIST'!Q251</f>
        <v>1</v>
      </c>
      <c r="BX5" s="56" t="str">
        <f>'PC LIST'!J251</f>
        <v>Out &amp; under</v>
      </c>
      <c r="BY5" s="56">
        <f>'PC LIST'!CC251</f>
        <v>8.5319000000000003</v>
      </c>
      <c r="BZ5" s="56" t="str">
        <f>'PC LIST'!B266</f>
        <v>PR14SVTWSW_W-A3</v>
      </c>
      <c r="CA5" s="57" t="str">
        <f>'PC LIST'!I266</f>
        <v>W-A3: Asset stewardship - number of sites with coliform failures (WTWs)</v>
      </c>
      <c r="CB5" s="57" t="str">
        <f>'PC LIST'!O266</f>
        <v>nr</v>
      </c>
      <c r="CC5" s="57" t="str">
        <f>'PC LIST'!P266</f>
        <v>No. of sites with coliform failures per year</v>
      </c>
      <c r="CD5" s="56">
        <f>'PC LIST'!Q266</f>
        <v>0</v>
      </c>
      <c r="CE5" s="56" t="str">
        <f>'PC LIST'!J266</f>
        <v>Under</v>
      </c>
      <c r="CF5" s="744">
        <f>'PC LIST'!CC266</f>
        <v>8</v>
      </c>
      <c r="CG5" s="56" t="str">
        <f>'PC LIST'!B311</f>
        <v>PR14SWTWSW_W-A3</v>
      </c>
      <c r="CH5" s="59" t="str">
        <f>'PC LIST'!I311</f>
        <v>W-A3: Asset reliability (pipes)</v>
      </c>
      <c r="CI5" s="59" t="str">
        <f>'PC LIST'!O311</f>
        <v>category</v>
      </c>
      <c r="CJ5" s="59" t="str">
        <f>'PC LIST'!P311</f>
        <v>Asset health indicator</v>
      </c>
      <c r="CK5" s="56" t="str">
        <f>'PC LIST'!Q311</f>
        <v>na</v>
      </c>
      <c r="CL5" s="56" t="str">
        <f>'PC LIST'!J311</f>
        <v>Under</v>
      </c>
      <c r="CM5" s="743" t="str">
        <f>'PC LIST'!CC311</f>
        <v>Stable</v>
      </c>
      <c r="CN5" s="56" t="str">
        <f>'PC LIST'!B353</f>
        <v>PR14TMSWSW_WA3</v>
      </c>
      <c r="CO5" s="57" t="str">
        <f>'PC LIST'!I353</f>
        <v>WA3: Customer satisfaction surveys (internal CSAT monitor)</v>
      </c>
      <c r="CP5" s="57" t="str">
        <f>'PC LIST'!O353</f>
        <v>score</v>
      </c>
      <c r="CQ5" s="57" t="str">
        <f>'PC LIST'!P353</f>
        <v>TW internal Customer satisfaction score (mean score out of 5)</v>
      </c>
      <c r="CR5" s="56">
        <f>'PC LIST'!Q353</f>
        <v>2</v>
      </c>
      <c r="CS5" s="56" t="str">
        <f>'PC LIST'!J353</f>
        <v>NFI</v>
      </c>
      <c r="CT5" s="56">
        <f>'PC LIST'!CC353</f>
        <v>4.4216950913340796</v>
      </c>
      <c r="CU5" s="56" t="str">
        <f>'PC LIST'!B408</f>
        <v>PR14UUWSW_A3</v>
      </c>
      <c r="CV5" s="57" t="str">
        <f>'PC LIST'!I408</f>
        <v>A3: Water Quality Service Index</v>
      </c>
      <c r="CW5" s="57" t="str">
        <f>'PC LIST'!O408</f>
        <v>score</v>
      </c>
      <c r="CX5" s="57" t="str">
        <f>'PC LIST'!P408</f>
        <v>Water Quality Service Index (UU bespoke)</v>
      </c>
      <c r="CY5" s="56">
        <f>'PC LIST'!Q408</f>
        <v>3</v>
      </c>
      <c r="CZ5" s="56" t="str">
        <f>'PC LIST'!J408</f>
        <v>Out &amp; under</v>
      </c>
      <c r="DA5" s="56">
        <f>'PC LIST'!CC408</f>
        <v>98.645494378014845</v>
      </c>
      <c r="DB5" s="56" t="str">
        <f>'PC LIST'!B435</f>
        <v>PR14WSHWSW_A3</v>
      </c>
      <c r="DC5" s="57" t="str">
        <f>'PC LIST'!I435</f>
        <v>A3: Reliability of supply - minutes lost per property per year</v>
      </c>
      <c r="DD5" s="57" t="str">
        <f>'PC LIST'!O435</f>
        <v>time</v>
      </c>
      <c r="DE5" s="57" t="str">
        <f>'PC LIST'!P435</f>
        <v>Minutes of supply interruption per property per year</v>
      </c>
      <c r="DF5" s="56">
        <f>'PC LIST'!Q435</f>
        <v>1</v>
      </c>
      <c r="DG5" s="56" t="str">
        <f>'PC LIST'!J435</f>
        <v>Out &amp; under</v>
      </c>
      <c r="DH5" s="743">
        <f>'PC LIST'!CC435</f>
        <v>43.3</v>
      </c>
      <c r="DI5" s="56" t="str">
        <f>'PC LIST'!B466</f>
        <v>PR14WSXWSW_B6</v>
      </c>
      <c r="DJ5" s="57" t="str">
        <f>'PC LIST'!I466</f>
        <v>B6: BAP landholding assessed and managed for biodiversity</v>
      </c>
      <c r="DK5" s="57" t="str">
        <f>'PC LIST'!O466</f>
        <v>%</v>
      </c>
      <c r="DL5" s="57" t="str">
        <f>'PC LIST'!P466</f>
        <v>% WSX landholding assessed &amp; managed for biodiversity</v>
      </c>
      <c r="DM5" s="56">
        <f>'PC LIST'!Q466</f>
        <v>0</v>
      </c>
      <c r="DN5" s="56" t="str">
        <f>'PC LIST'!J466</f>
        <v>Under</v>
      </c>
      <c r="DO5" s="56">
        <f>'PC LIST'!CC466</f>
        <v>86</v>
      </c>
      <c r="DP5" s="56" t="str">
        <f>'PC LIST'!B498</f>
        <v>PR14YKYWSW_WA3</v>
      </c>
      <c r="DQ5" s="57" t="str">
        <f>'PC LIST'!I498</f>
        <v>WA3: Drinking water contacts</v>
      </c>
      <c r="DR5" s="57" t="str">
        <f>'PC LIST'!O498</f>
        <v>nr</v>
      </c>
      <c r="DS5" s="57" t="str">
        <f>'PC LIST'!P498</f>
        <v>No. of contacts (discolouration, taste &amp; odour and illness) in line with DWI reporting</v>
      </c>
      <c r="DT5" s="56">
        <f>'PC LIST'!Q498</f>
        <v>0</v>
      </c>
      <c r="DU5" s="56" t="str">
        <f>'PC LIST'!J498</f>
        <v>Out &amp; under</v>
      </c>
      <c r="DV5" s="56">
        <f>'PC LIST'!CC498</f>
        <v>8100</v>
      </c>
      <c r="DW5" s="56" t="str">
        <f>'PC LIST'!B532</f>
        <v>PR14HDDWSW_A3</v>
      </c>
      <c r="DX5" s="57" t="str">
        <f>'PC LIST'!I532</f>
        <v>A3: Delivery of the outcomes of the Legacy water treatment works (south west Wrexham) major scheme</v>
      </c>
      <c r="DY5" s="57" t="str">
        <f>'PC LIST'!O532</f>
        <v>text</v>
      </c>
      <c r="DZ5" s="57" t="str">
        <f>'PC LIST'!P532</f>
        <v>Pass/fail (until completion)</v>
      </c>
      <c r="EA5" s="56" t="str">
        <f>'PC LIST'!Q532</f>
        <v>na</v>
      </c>
      <c r="EB5" s="56" t="str">
        <f>'PC LIST'!J532</f>
        <v>Under</v>
      </c>
      <c r="EC5" s="56" t="str">
        <f>'PC LIST'!CC532</f>
        <v>-</v>
      </c>
      <c r="ED5" s="56" t="str">
        <f>'PC LIST'!B578</f>
        <v>PR14SVEWSW_W-A3</v>
      </c>
      <c r="EE5" s="57" t="str">
        <f>'PC LIST'!I578</f>
        <v>W-A3: Asset stewardship - number of sites with coliform failures (WTWs)</v>
      </c>
      <c r="EF5" s="57" t="str">
        <f>'PC LIST'!O578</f>
        <v>nr</v>
      </c>
      <c r="EG5" s="57" t="str">
        <f>'PC LIST'!P578</f>
        <v>No. of sites with coliform failures per year</v>
      </c>
      <c r="EH5" s="56">
        <f>'PC LIST'!Q578</f>
        <v>0</v>
      </c>
      <c r="EI5" s="56" t="str">
        <f>'PC LIST'!J578</f>
        <v>Under</v>
      </c>
      <c r="EJ5" s="56" t="str">
        <f>'PC LIST'!CC578</f>
        <v>-</v>
      </c>
    </row>
    <row r="6" spans="1:140" ht="15.75" customHeight="1">
      <c r="A6" s="56" t="str">
        <f>'PC LIST'!B6</f>
        <v>PR14AFWWSW_W-A4</v>
      </c>
      <c r="B6" s="56" t="str">
        <f>'PC LIST'!I6</f>
        <v>W-A4: Sustainable abstraction reductions</v>
      </c>
      <c r="C6" s="56" t="str">
        <f>'PC LIST'!O6</f>
        <v>nr</v>
      </c>
      <c r="D6" s="56" t="str">
        <f>'PC LIST'!P6</f>
        <v>Megalitres per day (Ml/d)</v>
      </c>
      <c r="E6" s="56">
        <f>'PC LIST'!Q6</f>
        <v>1</v>
      </c>
      <c r="F6" s="56" t="str">
        <f>'PC LIST'!J6</f>
        <v>Out &amp; under</v>
      </c>
      <c r="G6" s="56">
        <f>'PC LIST'!CC6</f>
        <v>-32.700000000000003</v>
      </c>
      <c r="H6" s="56" t="str">
        <f>'PC LIST'!B19</f>
        <v>PR14ANHWSW_W-B1</v>
      </c>
      <c r="I6" s="57" t="str">
        <f>'PC LIST'!I19</f>
        <v>W-B1: Value for money perception - variation from baseline against WaSCs (water)</v>
      </c>
      <c r="J6" s="57" t="str">
        <f>'PC LIST'!O19</f>
        <v>%</v>
      </c>
      <c r="K6" s="57" t="str">
        <f>'PC LIST'!P19</f>
        <v>% variation from WaSC baseline</v>
      </c>
      <c r="L6" s="56">
        <f>'PC LIST'!Q19</f>
        <v>0</v>
      </c>
      <c r="M6" s="56" t="str">
        <f>'PC LIST'!J19</f>
        <v>Out &amp; under</v>
      </c>
      <c r="N6" s="743">
        <f>'PC LIST'!CC19</f>
        <v>8</v>
      </c>
      <c r="O6" s="56" t="str">
        <f>'PC LIST'!B58</f>
        <v>PR14BRLWSW_B1</v>
      </c>
      <c r="P6" s="57" t="str">
        <f>'PC LIST'!I58</f>
        <v>B1: Population in centres &gt;25,000 at risk from asset failure</v>
      </c>
      <c r="Q6" s="57" t="str">
        <f>'PC LIST'!O58</f>
        <v>nr</v>
      </c>
      <c r="R6" s="57" t="str">
        <f>'PC LIST'!P58</f>
        <v>No. of people (population)</v>
      </c>
      <c r="S6" s="56">
        <f>'PC LIST'!Q58</f>
        <v>0</v>
      </c>
      <c r="T6" s="56" t="str">
        <f>'PC LIST'!J58</f>
        <v>Out &amp; under</v>
      </c>
      <c r="U6" s="743">
        <f>'PC LIST'!CC58</f>
        <v>9063</v>
      </c>
      <c r="V6" s="56" t="str">
        <f>'PC LIST'!B79</f>
        <v>PR14DVWWSW_A4</v>
      </c>
      <c r="W6" s="57" t="str">
        <f>'PC LIST'!I79</f>
        <v>A4: Delivery of the outcomes of the service reservoir water quality risk management schemes</v>
      </c>
      <c r="X6" s="57" t="str">
        <f>'PC LIST'!O79</f>
        <v>text</v>
      </c>
      <c r="Y6" s="57" t="str">
        <f>'PC LIST'!P79</f>
        <v>Pass/fail (for each scheme)</v>
      </c>
      <c r="Z6" s="56" t="str">
        <f>'PC LIST'!Q79</f>
        <v>na</v>
      </c>
      <c r="AA6" s="56" t="str">
        <f>'PC LIST'!J79</f>
        <v>Under</v>
      </c>
      <c r="AB6" s="743" t="str">
        <f>'PC LIST'!CC79</f>
        <v>Pass</v>
      </c>
      <c r="AC6" s="56" t="str">
        <f>'PC LIST'!B92</f>
        <v>PR14NESWSW_W-B3</v>
      </c>
      <c r="AD6" s="58" t="str">
        <f>'PC LIST'!I92</f>
        <v>W-B3: Discoloured water complaints (3-year average)</v>
      </c>
      <c r="AE6" s="58" t="str">
        <f>'PC LIST'!O92</f>
        <v>nr</v>
      </c>
      <c r="AF6" s="58" t="str">
        <f>'PC LIST'!P92</f>
        <v>No. of complaints per year</v>
      </c>
      <c r="AG6" s="56">
        <f>'PC LIST'!Q92</f>
        <v>0</v>
      </c>
      <c r="AH6" s="56" t="str">
        <f>'PC LIST'!J92</f>
        <v>Out &amp; under</v>
      </c>
      <c r="AI6" s="56">
        <f>'PC LIST'!CC92</f>
        <v>2776</v>
      </c>
      <c r="AJ6" s="56" t="str">
        <f>'PC LIST'!B136</f>
        <v>PR14PRTWSW_A4</v>
      </c>
      <c r="AK6" s="57" t="str">
        <f>'PC LIST'!I136</f>
        <v>A4: Temporary usage bans</v>
      </c>
      <c r="AL6" s="57" t="str">
        <f>'PC LIST'!O136</f>
        <v>nr</v>
      </c>
      <c r="AM6" s="57" t="str">
        <f>'PC LIST'!P136</f>
        <v>No. of temporary usage bans per year</v>
      </c>
      <c r="AN6" s="56">
        <f>'PC LIST'!Q136</f>
        <v>0</v>
      </c>
      <c r="AO6" s="56" t="str">
        <f>'PC LIST'!J136</f>
        <v>NFI</v>
      </c>
      <c r="AP6" s="744">
        <f>'PC LIST'!CC136</f>
        <v>0</v>
      </c>
      <c r="AQ6" s="56" t="str">
        <f>'PC LIST'!B149</f>
        <v>PR14SBWWSW_B2</v>
      </c>
      <c r="AR6" s="57" t="str">
        <f>'PC LIST'!I149</f>
        <v>B2: Large scale interruptions (minimise risk of large scale interruption to 12,000 properties)</v>
      </c>
      <c r="AS6" s="57" t="str">
        <f>'PC LIST'!O149</f>
        <v>nr</v>
      </c>
      <c r="AT6" s="57" t="str">
        <f>'PC LIST'!P149</f>
        <v>1,000 properties</v>
      </c>
      <c r="AU6" s="56">
        <f>'PC LIST'!Q149</f>
        <v>1</v>
      </c>
      <c r="AV6" s="56" t="str">
        <f>'PC LIST'!J149</f>
        <v>Out &amp; under</v>
      </c>
      <c r="AW6" s="743">
        <f>'PC LIST'!CC149</f>
        <v>4.3</v>
      </c>
      <c r="AX6" s="56" t="str">
        <f>'PC LIST'!B164</f>
        <v>PR14SESWSW_A4</v>
      </c>
      <c r="AY6" s="57" t="str">
        <f>'PC LIST'!I164</f>
        <v>A4: Condition and reliability of the mains network - number of burst pipes a year</v>
      </c>
      <c r="AZ6" s="57" t="str">
        <f>'PC LIST'!O164</f>
        <v>nr</v>
      </c>
      <c r="BA6" s="57" t="str">
        <f>'PC LIST'!P164</f>
        <v>No. of burst mains per year</v>
      </c>
      <c r="BB6" s="56">
        <f>'PC LIST'!Q164</f>
        <v>0</v>
      </c>
      <c r="BC6" s="56" t="str">
        <f>'PC LIST'!J164</f>
        <v>Under</v>
      </c>
      <c r="BD6" s="744">
        <f>'PC LIST'!CC164</f>
        <v>214</v>
      </c>
      <c r="BE6" s="56" t="str">
        <f>'PC LIST'!B185</f>
        <v>PR14SEWWSW_C2</v>
      </c>
      <c r="BF6" s="57" t="str">
        <f>'PC LIST'!I185</f>
        <v>C2: Leakage (actual reported leakage per Ml/d per year)</v>
      </c>
      <c r="BG6" s="57" t="str">
        <f>'PC LIST'!O185</f>
        <v>nr</v>
      </c>
      <c r="BH6" s="57" t="str">
        <f>'PC LIST'!P185</f>
        <v>Megalitres per day (Ml/d)</v>
      </c>
      <c r="BI6" s="56">
        <f>'PC LIST'!Q185</f>
        <v>1</v>
      </c>
      <c r="BJ6" s="56" t="str">
        <f>'PC LIST'!J185</f>
        <v>Out &amp; under</v>
      </c>
      <c r="BK6" s="56">
        <f>'PC LIST'!CC185</f>
        <v>87.7</v>
      </c>
      <c r="BL6" s="56" t="str">
        <f>'PC LIST'!B219</f>
        <v>PR14SRNWSW_4</v>
      </c>
      <c r="BM6" s="57" t="str">
        <f>'PC LIST'!I219</f>
        <v>4: Interruptions to supply</v>
      </c>
      <c r="BN6" s="57" t="str">
        <f>'PC LIST'!O219</f>
        <v>time</v>
      </c>
      <c r="BO6" s="57" t="str">
        <f>'PC LIST'!P219</f>
        <v>Minutes / property / year</v>
      </c>
      <c r="BP6" s="56">
        <f>'PC LIST'!Q219</f>
        <v>0</v>
      </c>
      <c r="BQ6" s="56" t="str">
        <f>'PC LIST'!J219</f>
        <v>Under</v>
      </c>
      <c r="BR6" s="56">
        <f>'PC LIST'!CC219</f>
        <v>16.899999999999999</v>
      </c>
      <c r="BS6" s="56" t="str">
        <f>'PC LIST'!B252</f>
        <v>PR14SSCWSW_2.2</v>
      </c>
      <c r="BT6" s="57" t="str">
        <f>'PC LIST'!I252</f>
        <v>2.2: Serviceability infrastructure (combined company)</v>
      </c>
      <c r="BU6" s="57" t="str">
        <f>'PC LIST'!O252</f>
        <v>category</v>
      </c>
      <c r="BV6" s="57" t="str">
        <f>'PC LIST'!P252</f>
        <v>Asset health indicator</v>
      </c>
      <c r="BW6" s="56" t="str">
        <f>'PC LIST'!Q252</f>
        <v>na</v>
      </c>
      <c r="BX6" s="56" t="str">
        <f>'PC LIST'!J252</f>
        <v>Under</v>
      </c>
      <c r="BY6" s="56" t="str">
        <f>'PC LIST'!CC252</f>
        <v>Stable</v>
      </c>
      <c r="BZ6" s="56" t="str">
        <f>'PC LIST'!B267</f>
        <v>PR14SVTWSW_W-A4</v>
      </c>
      <c r="CA6" s="57" t="str">
        <f>'PC LIST'!I267</f>
        <v>W-A4: Number of successful catchment management schemes</v>
      </c>
      <c r="CB6" s="57" t="str">
        <f>'PC LIST'!O267</f>
        <v>nr</v>
      </c>
      <c r="CC6" s="57" t="str">
        <f>'PC LIST'!P267</f>
        <v>No. catchment management schemes</v>
      </c>
      <c r="CD6" s="56">
        <f>'PC LIST'!Q267</f>
        <v>0</v>
      </c>
      <c r="CE6" s="56" t="str">
        <f>'PC LIST'!J267</f>
        <v>Out &amp; under</v>
      </c>
      <c r="CF6" s="744">
        <f>'PC LIST'!CC267</f>
        <v>0</v>
      </c>
      <c r="CG6" s="56" t="str">
        <f>'PC LIST'!B312</f>
        <v>PR14SWTWSW_W-A4</v>
      </c>
      <c r="CH6" s="59" t="str">
        <f>'PC LIST'!I312</f>
        <v>W-A4: Asset reliability (process)</v>
      </c>
      <c r="CI6" s="59" t="str">
        <f>'PC LIST'!O312</f>
        <v>category</v>
      </c>
      <c r="CJ6" s="59" t="str">
        <f>'PC LIST'!P312</f>
        <v>Asset health indicator</v>
      </c>
      <c r="CK6" s="56" t="str">
        <f>'PC LIST'!Q312</f>
        <v>na</v>
      </c>
      <c r="CL6" s="56" t="str">
        <f>'PC LIST'!J312</f>
        <v>Under</v>
      </c>
      <c r="CM6" s="743" t="str">
        <f>'PC LIST'!CC312</f>
        <v>Stable</v>
      </c>
      <c r="CN6" s="56" t="str">
        <f>'PC LIST'!B354</f>
        <v>PR14TMSWSW_WA4</v>
      </c>
      <c r="CO6" s="57" t="str">
        <f>'PC LIST'!I354</f>
        <v>WA4: Reduced water consumption from issuing water efficiency devices to customers</v>
      </c>
      <c r="CP6" s="57" t="str">
        <f>'PC LIST'!O354</f>
        <v>nr</v>
      </c>
      <c r="CQ6" s="57" t="str">
        <f>'PC LIST'!P354</f>
        <v>Ml/d reduced water consumption (cumulative)</v>
      </c>
      <c r="CR6" s="56">
        <f>'PC LIST'!Q354</f>
        <v>2</v>
      </c>
      <c r="CS6" s="56" t="str">
        <f>'PC LIST'!J354</f>
        <v>Under</v>
      </c>
      <c r="CT6" s="56">
        <f>'PC LIST'!CC354</f>
        <v>20.22</v>
      </c>
      <c r="CU6" s="56" t="str">
        <f>'PC LIST'!B409</f>
        <v>PR14UUWSW_B1</v>
      </c>
      <c r="CV6" s="57" t="str">
        <f>'PC LIST'!I409</f>
        <v>B1: Average minutes supply lost per property (a year)</v>
      </c>
      <c r="CW6" s="57" t="str">
        <f>'PC LIST'!O409</f>
        <v>time</v>
      </c>
      <c r="CX6" s="57" t="str">
        <f>'PC LIST'!P409</f>
        <v>Mins:secs supply lost per property per year</v>
      </c>
      <c r="CY6" s="56" t="str">
        <f>'PC LIST'!Q409</f>
        <v>mins:secs</v>
      </c>
      <c r="CZ6" s="56" t="str">
        <f>'PC LIST'!J409</f>
        <v>Out &amp; under</v>
      </c>
      <c r="DA6" s="56">
        <f>'PC LIST'!CC409</f>
        <v>0.54791666666666672</v>
      </c>
      <c r="DB6" s="56" t="str">
        <f>'PC LIST'!B436</f>
        <v>PR14WSHWSW_B1</v>
      </c>
      <c r="DC6" s="57" t="str">
        <f>'PC LIST'!I436</f>
        <v>B1: Abstraction for water for use - % compliance with abstraction licences, as regulated by NRW</v>
      </c>
      <c r="DD6" s="57" t="str">
        <f>'PC LIST'!O436</f>
        <v>%</v>
      </c>
      <c r="DE6" s="57" t="str">
        <f>'PC LIST'!P436</f>
        <v>% compliance with abstraction licences (NRW regulated)</v>
      </c>
      <c r="DF6" s="56">
        <f>'PC LIST'!Q436</f>
        <v>0</v>
      </c>
      <c r="DG6" s="56" t="str">
        <f>'PC LIST'!J436</f>
        <v>NFI</v>
      </c>
      <c r="DH6" s="743">
        <f>'PC LIST'!CC436</f>
        <v>100</v>
      </c>
      <c r="DI6" s="56" t="str">
        <f>'PC LIST'!B467</f>
        <v>PR14WSXWSW_B7</v>
      </c>
      <c r="DJ6" s="57" t="str">
        <f>'PC LIST'!I467</f>
        <v>B7: Length of rivers with improved flows</v>
      </c>
      <c r="DK6" s="57" t="str">
        <f>'PC LIST'!O467</f>
        <v>nr</v>
      </c>
      <c r="DL6" s="57" t="str">
        <f>'PC LIST'!P467</f>
        <v>Kilometres (km) of river with improved flows (cumulative)</v>
      </c>
      <c r="DM6" s="56">
        <f>'PC LIST'!Q467</f>
        <v>0</v>
      </c>
      <c r="DN6" s="56" t="str">
        <f>'PC LIST'!J467</f>
        <v>Out &amp; under</v>
      </c>
      <c r="DO6" s="56">
        <f>'PC LIST'!CC467</f>
        <v>78</v>
      </c>
      <c r="DP6" s="56" t="str">
        <f>'PC LIST'!B499</f>
        <v>PR14YKYWSW_WA4</v>
      </c>
      <c r="DQ6" s="57" t="str">
        <f>'PC LIST'!I499</f>
        <v>WA4: Water quality stability and reliability factor</v>
      </c>
      <c r="DR6" s="57" t="str">
        <f>'PC LIST'!O499</f>
        <v>category</v>
      </c>
      <c r="DS6" s="57" t="str">
        <f>'PC LIST'!P499</f>
        <v>Asset health indicator</v>
      </c>
      <c r="DT6" s="56" t="str">
        <f>'PC LIST'!Q499</f>
        <v>na</v>
      </c>
      <c r="DU6" s="56" t="str">
        <f>'PC LIST'!J499</f>
        <v>Under</v>
      </c>
      <c r="DV6" s="56" t="str">
        <f>'PC LIST'!CC499</f>
        <v>Stable</v>
      </c>
      <c r="DW6" s="56" t="str">
        <f>'PC LIST'!B533</f>
        <v>PR14HDDWSW_A4</v>
      </c>
      <c r="DX6" s="57" t="str">
        <f>'PC LIST'!I533</f>
        <v>A4: Delivery of the outcomes of the service reservoir water quality risk management schemes</v>
      </c>
      <c r="DY6" s="57" t="str">
        <f>'PC LIST'!O533</f>
        <v>text</v>
      </c>
      <c r="DZ6" s="57" t="str">
        <f>'PC LIST'!P533</f>
        <v>Pass/fail (for each scheme)</v>
      </c>
      <c r="EA6" s="56" t="str">
        <f>'PC LIST'!Q533</f>
        <v>na</v>
      </c>
      <c r="EB6" s="56" t="str">
        <f>'PC LIST'!J533</f>
        <v>Under</v>
      </c>
      <c r="EC6" s="56" t="str">
        <f>'PC LIST'!CC533</f>
        <v>-</v>
      </c>
      <c r="ED6" s="56" t="str">
        <f>'PC LIST'!B579</f>
        <v>PR14SVEWSW_W-A4</v>
      </c>
      <c r="EE6" s="57" t="str">
        <f>'PC LIST'!I579</f>
        <v>W-A4: Number of successful catchment management schemes</v>
      </c>
      <c r="EF6" s="57" t="str">
        <f>'PC LIST'!O579</f>
        <v>nr</v>
      </c>
      <c r="EG6" s="57" t="str">
        <f>'PC LIST'!P579</f>
        <v>No. catchment management schemes</v>
      </c>
      <c r="EH6" s="56">
        <f>'PC LIST'!Q579</f>
        <v>0</v>
      </c>
      <c r="EI6" s="56" t="str">
        <f>'PC LIST'!J579</f>
        <v>Out &amp; under</v>
      </c>
      <c r="EJ6" s="56" t="str">
        <f>'PC LIST'!CC579</f>
        <v>-</v>
      </c>
    </row>
    <row r="7" spans="1:140" ht="15.75" customHeight="1">
      <c r="A7" s="56" t="str">
        <f>'PC LIST'!B7</f>
        <v>PR14AFWWSW_W-A5</v>
      </c>
      <c r="B7" s="56" t="str">
        <f>'PC LIST'!I7</f>
        <v>W-A5: Abstraction incentive mechanism (AIM)</v>
      </c>
      <c r="C7" s="56" t="str">
        <f>'PC LIST'!O7</f>
        <v>TBC</v>
      </c>
      <c r="D7" s="56" t="str">
        <f>'PC LIST'!P7</f>
        <v>TBC</v>
      </c>
      <c r="E7" s="56" t="str">
        <f>'PC LIST'!Q7</f>
        <v>TBC</v>
      </c>
      <c r="F7" s="56" t="str">
        <f>'PC LIST'!J7</f>
        <v>NFI</v>
      </c>
      <c r="G7" s="56">
        <f>'PC LIST'!CC7</f>
        <v>-5.1060000000000008</v>
      </c>
      <c r="H7" s="56" t="str">
        <f>'PC LIST'!B20</f>
        <v>PR14ANHWSW_W-C1</v>
      </c>
      <c r="I7" s="57" t="str">
        <f>'PC LIST'!I20</f>
        <v>W-C1: Percentage of population supplied by single supply system</v>
      </c>
      <c r="J7" s="57" t="str">
        <f>'PC LIST'!O20</f>
        <v>%</v>
      </c>
      <c r="K7" s="57" t="str">
        <f>'PC LIST'!P20</f>
        <v>% population with single supply system</v>
      </c>
      <c r="L7" s="56">
        <f>'PC LIST'!Q20</f>
        <v>1</v>
      </c>
      <c r="M7" s="56" t="str">
        <f>'PC LIST'!J20</f>
        <v>Under</v>
      </c>
      <c r="N7" s="743">
        <f>'PC LIST'!CC20</f>
        <v>45.3</v>
      </c>
      <c r="O7" s="56" t="str">
        <f>'PC LIST'!B59</f>
        <v>PR14BRLWSW_C1</v>
      </c>
      <c r="P7" s="57" t="str">
        <f>'PC LIST'!I59</f>
        <v>C1: Security of supply index (SOSI)</v>
      </c>
      <c r="Q7" s="57" t="str">
        <f>'PC LIST'!O59</f>
        <v>score</v>
      </c>
      <c r="R7" s="57" t="str">
        <f>'PC LIST'!P59</f>
        <v>Security of Supply Index (SOSI)</v>
      </c>
      <c r="S7" s="56">
        <f>'PC LIST'!Q59</f>
        <v>0</v>
      </c>
      <c r="T7" s="56" t="str">
        <f>'PC LIST'!J59</f>
        <v>NFI</v>
      </c>
      <c r="U7" s="743">
        <f>'PC LIST'!CC59</f>
        <v>100</v>
      </c>
      <c r="V7" s="56" t="str">
        <f>'PC LIST'!B80</f>
        <v>PR14DVWWSW_B1</v>
      </c>
      <c r="W7" s="57" t="str">
        <f>'PC LIST'!I80</f>
        <v>B1: Average duration of interruptions - 3 hours or longer (planned and unplanned interruptions)</v>
      </c>
      <c r="X7" s="57" t="str">
        <f>'PC LIST'!O80</f>
        <v>time</v>
      </c>
      <c r="Y7" s="57" t="str">
        <f>'PC LIST'!P80</f>
        <v>Hours / property / year</v>
      </c>
      <c r="Z7" s="56">
        <f>'PC LIST'!Q80</f>
        <v>2</v>
      </c>
      <c r="AA7" s="56" t="str">
        <f>'PC LIST'!J80</f>
        <v>Out &amp; under</v>
      </c>
      <c r="AB7" s="743">
        <f>'PC LIST'!CC80</f>
        <v>7.0000000000000007E-2</v>
      </c>
      <c r="AC7" s="56" t="str">
        <f>'PC LIST'!B93</f>
        <v>PR14NESWSW_W-C1</v>
      </c>
      <c r="AD7" s="58" t="str">
        <f>'PC LIST'!I93</f>
        <v>W-C1: Interruptions to water supply for more than 3 hours (average time per property per year)</v>
      </c>
      <c r="AE7" s="58" t="str">
        <f>'PC LIST'!O93</f>
        <v>time</v>
      </c>
      <c r="AF7" s="58" t="str">
        <f>'PC LIST'!P93</f>
        <v>Mins:secs per property per year</v>
      </c>
      <c r="AG7" s="56" t="str">
        <f>'PC LIST'!Q93</f>
        <v>mins:secs</v>
      </c>
      <c r="AH7" s="56" t="str">
        <f>'PC LIST'!J93</f>
        <v>Out &amp; under</v>
      </c>
      <c r="AI7" s="56">
        <f>'PC LIST'!CC93</f>
        <v>0.22430555555555556</v>
      </c>
      <c r="AJ7" s="56" t="str">
        <f>'PC LIST'!B137</f>
        <v>PR14PRTWSW_B1</v>
      </c>
      <c r="AK7" s="57" t="str">
        <f>'PC LIST'!I137</f>
        <v>B1: Leakage</v>
      </c>
      <c r="AL7" s="57" t="str">
        <f>'PC LIST'!O137</f>
        <v>nr</v>
      </c>
      <c r="AM7" s="57" t="str">
        <f>'PC LIST'!P137</f>
        <v>Megalitres per day (Ml/d)</v>
      </c>
      <c r="AN7" s="56">
        <f>'PC LIST'!Q137</f>
        <v>2</v>
      </c>
      <c r="AO7" s="56" t="str">
        <f>'PC LIST'!J137</f>
        <v>Out &amp; under</v>
      </c>
      <c r="AP7" s="744">
        <f>'PC LIST'!CC137</f>
        <v>32.869999999999997</v>
      </c>
      <c r="AQ7" s="56" t="str">
        <f>'PC LIST'!B150</f>
        <v>PR14SBWWSW_B3</v>
      </c>
      <c r="AR7" s="57" t="str">
        <f>'PC LIST'!I150</f>
        <v>B3: Decreasing average interruptions &gt;3 hours</v>
      </c>
      <c r="AS7" s="57" t="str">
        <f>'PC LIST'!O150</f>
        <v>time</v>
      </c>
      <c r="AT7" s="57" t="str">
        <f>'PC LIST'!P150</f>
        <v>Minutes / property / year</v>
      </c>
      <c r="AU7" s="56">
        <f>'PC LIST'!Q150</f>
        <v>1</v>
      </c>
      <c r="AV7" s="56" t="str">
        <f>'PC LIST'!J150</f>
        <v>Under</v>
      </c>
      <c r="AW7" s="743">
        <f>'PC LIST'!CC150</f>
        <v>0.7</v>
      </c>
      <c r="AX7" s="56" t="str">
        <f>'PC LIST'!B165</f>
        <v>PR14SESWSW_A5</v>
      </c>
      <c r="AY7" s="57" t="str">
        <f>'PC LIST'!I165</f>
        <v>A5: Drinking Water Inspectorate’s (DWI) index of water quality</v>
      </c>
      <c r="AZ7" s="57" t="str">
        <f>'PC LIST'!O165</f>
        <v>%</v>
      </c>
      <c r="BA7" s="57" t="str">
        <f>'PC LIST'!P165</f>
        <v>Mean zonal compliance (%)</v>
      </c>
      <c r="BB7" s="56">
        <f>'PC LIST'!Q165</f>
        <v>2</v>
      </c>
      <c r="BC7" s="56" t="str">
        <f>'PC LIST'!J165</f>
        <v>Under</v>
      </c>
      <c r="BD7" s="744">
        <f>'PC LIST'!CC165</f>
        <v>99.98</v>
      </c>
      <c r="BE7" s="56" t="str">
        <f>'PC LIST'!B186</f>
        <v>PR14SEWWSW_D1</v>
      </c>
      <c r="BF7" s="57" t="str">
        <f>'PC LIST'!I186</f>
        <v>D1: Customer satisfaction - direct interaction experience</v>
      </c>
      <c r="BG7" s="57" t="str">
        <f>'PC LIST'!O186</f>
        <v>score</v>
      </c>
      <c r="BH7" s="57" t="str">
        <f>'PC LIST'!P186</f>
        <v>Customer satisfaction score out of 5</v>
      </c>
      <c r="BI7" s="56">
        <f>'PC LIST'!Q186</f>
        <v>1</v>
      </c>
      <c r="BJ7" s="56" t="str">
        <f>'PC LIST'!J186</f>
        <v>Out &amp; under</v>
      </c>
      <c r="BK7" s="56">
        <f>'PC LIST'!CC186</f>
        <v>4.3</v>
      </c>
      <c r="BL7" s="56" t="str">
        <f>'PC LIST'!B220</f>
        <v>PR14SRNWSW_5</v>
      </c>
      <c r="BM7" s="57" t="str">
        <f>'PC LIST'!I220</f>
        <v>5: Mean Zonal Compliance (MZC)</v>
      </c>
      <c r="BN7" s="57" t="str">
        <f>'PC LIST'!O220</f>
        <v>%</v>
      </c>
      <c r="BO7" s="57" t="str">
        <f>'PC LIST'!P220</f>
        <v>Mean zonal compliance (%)</v>
      </c>
      <c r="BP7" s="56">
        <f>'PC LIST'!Q220</f>
        <v>2</v>
      </c>
      <c r="BQ7" s="56" t="str">
        <f>'PC LIST'!J220</f>
        <v>Under</v>
      </c>
      <c r="BR7" s="56">
        <f>'PC LIST'!CC220</f>
        <v>99.96</v>
      </c>
      <c r="BS7" s="56" t="str">
        <f>'PC LIST'!B253</f>
        <v>PR14SSCWSW_2.3</v>
      </c>
      <c r="BT7" s="57" t="str">
        <f>'PC LIST'!I253</f>
        <v>2.3: Serviceability non-infrastructure (combined company)</v>
      </c>
      <c r="BU7" s="57" t="str">
        <f>'PC LIST'!O253</f>
        <v>category</v>
      </c>
      <c r="BV7" s="57" t="str">
        <f>'PC LIST'!P253</f>
        <v>Asset health indicator</v>
      </c>
      <c r="BW7" s="56" t="str">
        <f>'PC LIST'!Q253</f>
        <v>na</v>
      </c>
      <c r="BX7" s="56" t="str">
        <f>'PC LIST'!J253</f>
        <v>Under</v>
      </c>
      <c r="BY7" s="56" t="str">
        <f>'PC LIST'!CC253</f>
        <v>Stable</v>
      </c>
      <c r="BZ7" s="56" t="str">
        <f>'PC LIST'!B268</f>
        <v>PR14SVTWSW_W-B1</v>
      </c>
      <c r="CA7" s="57" t="str">
        <f>'PC LIST'!I268</f>
        <v>W-B1: Resource efficiency (distribution input per customer) - amount of water taken out of the environment</v>
      </c>
      <c r="CB7" s="57" t="str">
        <f>'PC LIST'!O268</f>
        <v>nr</v>
      </c>
      <c r="CC7" s="57" t="str">
        <f>'PC LIST'!P268</f>
        <v>Litres per person per day (l/p/d)</v>
      </c>
      <c r="CD7" s="56">
        <f>'PC LIST'!Q268</f>
        <v>0</v>
      </c>
      <c r="CE7" s="56" t="str">
        <f>'PC LIST'!J268</f>
        <v>NFI</v>
      </c>
      <c r="CF7" s="744">
        <f>'PC LIST'!CC268</f>
        <v>235</v>
      </c>
      <c r="CG7" s="56" t="str">
        <f>'PC LIST'!B313</f>
        <v>PR14SWTWSW_W-A5</v>
      </c>
      <c r="CH7" s="59" t="str">
        <f>'PC LIST'!I313</f>
        <v>W-A5: Duration of interruptions in supply (hours/property)</v>
      </c>
      <c r="CI7" s="59" t="str">
        <f>'PC LIST'!O313</f>
        <v>time</v>
      </c>
      <c r="CJ7" s="59" t="str">
        <f>'PC LIST'!P313</f>
        <v>Hours / property / year</v>
      </c>
      <c r="CK7" s="56">
        <f>'PC LIST'!Q313</f>
        <v>3</v>
      </c>
      <c r="CL7" s="56" t="str">
        <f>'PC LIST'!J313</f>
        <v>Out &amp; under</v>
      </c>
      <c r="CM7" s="743">
        <f>'PC LIST'!CC313</f>
        <v>0.54400000000000004</v>
      </c>
      <c r="CN7" s="56" t="str">
        <f>'PC LIST'!B355</f>
        <v>PR14TMSWSW_WA5</v>
      </c>
      <c r="CO7" s="57" t="str">
        <f>'PC LIST'!I355</f>
        <v>WA5: Provide a free repair service for customers with a customer side leak outside of the property</v>
      </c>
      <c r="CP7" s="57" t="str">
        <f>'PC LIST'!O355</f>
        <v>nr</v>
      </c>
      <c r="CQ7" s="57" t="str">
        <f>'PC LIST'!P355</f>
        <v>Number against target above annual baseline no.</v>
      </c>
      <c r="CR7" s="56">
        <f>'PC LIST'!Q355</f>
        <v>0</v>
      </c>
      <c r="CS7" s="56" t="str">
        <f>'PC LIST'!J355</f>
        <v>NFI</v>
      </c>
      <c r="CT7" s="56">
        <f>'PC LIST'!CC355</f>
        <v>4834</v>
      </c>
      <c r="CU7" s="56" t="str">
        <f>'PC LIST'!B410</f>
        <v>PR14UUWSW_B2</v>
      </c>
      <c r="CV7" s="57" t="str">
        <f>'PC LIST'!I410</f>
        <v>B2: Reliable water service index</v>
      </c>
      <c r="CW7" s="57" t="str">
        <f>'PC LIST'!O410</f>
        <v>score</v>
      </c>
      <c r="CX7" s="57" t="str">
        <f>'PC LIST'!P410</f>
        <v>Reliable water service index (UU bespoke)</v>
      </c>
      <c r="CY7" s="56">
        <f>'PC LIST'!Q410</f>
        <v>3</v>
      </c>
      <c r="CZ7" s="56" t="str">
        <f>'PC LIST'!J410</f>
        <v>Out &amp; under</v>
      </c>
      <c r="DA7" s="56">
        <f>'PC LIST'!CC410</f>
        <v>70.826999999999998</v>
      </c>
      <c r="DB7" s="56" t="str">
        <f>'PC LIST'!B437</f>
        <v>PR14WSHWSW_C2</v>
      </c>
      <c r="DC7" s="57" t="str">
        <f>'PC LIST'!I437</f>
        <v>C2: Carbon footprint - gigawatt-hours (GWh) of renewable energy generated</v>
      </c>
      <c r="DD7" s="57" t="str">
        <f>'PC LIST'!O437</f>
        <v>nr</v>
      </c>
      <c r="DE7" s="57" t="str">
        <f>'PC LIST'!P437</f>
        <v>GWh (gigawatt-hours)</v>
      </c>
      <c r="DF7" s="56">
        <f>'PC LIST'!Q437</f>
        <v>2</v>
      </c>
      <c r="DG7" s="56" t="str">
        <f>'PC LIST'!J437</f>
        <v>NFI</v>
      </c>
      <c r="DH7" s="743">
        <f>'PC LIST'!CC437</f>
        <v>42.38</v>
      </c>
      <c r="DI7" s="56" t="str">
        <f>'PC LIST'!B468</f>
        <v>PR14WSXWSW_D2</v>
      </c>
      <c r="DJ7" s="57" t="str">
        <f>'PC LIST'!I468</f>
        <v>D2: Restrictions on water use (hosepipe bans)</v>
      </c>
      <c r="DK7" s="57" t="str">
        <f>'PC LIST'!O468</f>
        <v>nr</v>
      </c>
      <c r="DL7" s="57" t="str">
        <f>'PC LIST'!P468</f>
        <v>No. of hosepipe bans (temporary use ban)</v>
      </c>
      <c r="DM7" s="56">
        <f>'PC LIST'!Q468</f>
        <v>0</v>
      </c>
      <c r="DN7" s="56" t="str">
        <f>'PC LIST'!J468</f>
        <v>Under</v>
      </c>
      <c r="DO7" s="56">
        <f>'PC LIST'!CC468</f>
        <v>0</v>
      </c>
      <c r="DP7" s="56" t="str">
        <f>'PC LIST'!B500</f>
        <v>PR14YKYWSW_WB1</v>
      </c>
      <c r="DQ7" s="57" t="str">
        <f>'PC LIST'!I500</f>
        <v>WB1: Leakage</v>
      </c>
      <c r="DR7" s="57" t="str">
        <f>'PC LIST'!O500</f>
        <v>nr</v>
      </c>
      <c r="DS7" s="57" t="str">
        <f>'PC LIST'!P500</f>
        <v>Megalitres per day (Ml/d)</v>
      </c>
      <c r="DT7" s="56">
        <f>'PC LIST'!Q500</f>
        <v>1</v>
      </c>
      <c r="DU7" s="56" t="str">
        <f>'PC LIST'!J500</f>
        <v>Out &amp; under</v>
      </c>
      <c r="DV7" s="56">
        <f>'PC LIST'!CC500</f>
        <v>300.27999999999997</v>
      </c>
      <c r="DW7" s="56" t="str">
        <f>'PC LIST'!B534</f>
        <v>PR14HDDWSW_B1</v>
      </c>
      <c r="DX7" s="57" t="str">
        <f>'PC LIST'!I534</f>
        <v>B1: Average duration of interruptions - 3 hours or longer (planned and unplanned interruptions)</v>
      </c>
      <c r="DY7" s="57" t="str">
        <f>'PC LIST'!O534</f>
        <v>time</v>
      </c>
      <c r="DZ7" s="57" t="str">
        <f>'PC LIST'!P534</f>
        <v>Hours / property / year</v>
      </c>
      <c r="EA7" s="56">
        <f>'PC LIST'!Q534</f>
        <v>2</v>
      </c>
      <c r="EB7" s="56" t="str">
        <f>'PC LIST'!J534</f>
        <v>Out &amp; under</v>
      </c>
      <c r="EC7" s="56" t="str">
        <f>'PC LIST'!CC534</f>
        <v>-</v>
      </c>
      <c r="ED7" s="56" t="str">
        <f>'PC LIST'!B580</f>
        <v>PR14SVEWSW_W-B1</v>
      </c>
      <c r="EE7" s="57" t="str">
        <f>'PC LIST'!I580</f>
        <v>W-B1: Resource efficiency (distribution input per customer) - amount of water taken out of the environment</v>
      </c>
      <c r="EF7" s="57" t="str">
        <f>'PC LIST'!O580</f>
        <v>nr</v>
      </c>
      <c r="EG7" s="57" t="str">
        <f>'PC LIST'!P580</f>
        <v>Litres per person per day (l/p/d)</v>
      </c>
      <c r="EH7" s="56">
        <f>'PC LIST'!Q580</f>
        <v>0</v>
      </c>
      <c r="EI7" s="56" t="str">
        <f>'PC LIST'!J580</f>
        <v>NFI</v>
      </c>
      <c r="EJ7" s="56" t="str">
        <f>'PC LIST'!CC580</f>
        <v>-</v>
      </c>
    </row>
    <row r="8" spans="1:140" ht="15.75" customHeight="1">
      <c r="A8" s="56" t="str">
        <f>'PC LIST'!B8</f>
        <v>PR14AFWWSW_W-B1</v>
      </c>
      <c r="B8" s="56" t="str">
        <f>'PC LIST'!I8</f>
        <v>W-B1: Compliance with water quality standards (mean zonal compliance)</v>
      </c>
      <c r="C8" s="56" t="str">
        <f>'PC LIST'!O8</f>
        <v>%</v>
      </c>
      <c r="D8" s="56" t="str">
        <f>'PC LIST'!P8</f>
        <v>Mean zonal compliance (%)</v>
      </c>
      <c r="E8" s="56">
        <f>'PC LIST'!Q8</f>
        <v>2</v>
      </c>
      <c r="F8" s="56" t="str">
        <f>'PC LIST'!J8</f>
        <v>Under</v>
      </c>
      <c r="G8" s="56">
        <f>'PC LIST'!CC8</f>
        <v>99.96</v>
      </c>
      <c r="H8" s="56" t="str">
        <f>'PC LIST'!B21</f>
        <v>PR14ANHWSW_W-C2</v>
      </c>
      <c r="I8" s="57" t="str">
        <f>'PC LIST'!I21</f>
        <v>W-C2: Frequency of service level restrictions (hosepipe bans)</v>
      </c>
      <c r="J8" s="57" t="str">
        <f>'PC LIST'!O21</f>
        <v>nr</v>
      </c>
      <c r="K8" s="57" t="str">
        <f>'PC LIST'!P21</f>
        <v>No. (frequency) per 10 years</v>
      </c>
      <c r="L8" s="56">
        <f>'PC LIST'!Q21</f>
        <v>0</v>
      </c>
      <c r="M8" s="56" t="str">
        <f>'PC LIST'!J21</f>
        <v>NFI</v>
      </c>
      <c r="N8" s="743">
        <f>'PC LIST'!CC21</f>
        <v>1</v>
      </c>
      <c r="O8" s="56" t="str">
        <f>'PC LIST'!B60</f>
        <v>PR14BRLWSW_C2</v>
      </c>
      <c r="P8" s="57" t="str">
        <f>'PC LIST'!I60</f>
        <v>C2: Hosepipe ban frequency</v>
      </c>
      <c r="Q8" s="57" t="str">
        <f>'PC LIST'!O60</f>
        <v>nr</v>
      </c>
      <c r="R8" s="57" t="str">
        <f>'PC LIST'!P60</f>
        <v>No. of expected days that water restrictions are placed</v>
      </c>
      <c r="S8" s="56">
        <f>'PC LIST'!Q60</f>
        <v>1</v>
      </c>
      <c r="T8" s="56" t="str">
        <f>'PC LIST'!J60</f>
        <v>Under</v>
      </c>
      <c r="U8" s="743">
        <f>'PC LIST'!CC60</f>
        <v>3.09</v>
      </c>
      <c r="V8" s="56" t="str">
        <f>'PC LIST'!B81</f>
        <v>PR14DVWWSW_B2</v>
      </c>
      <c r="W8" s="57" t="str">
        <f>'PC LIST'!I81</f>
        <v>B2: Sustainable economic level of leakage</v>
      </c>
      <c r="X8" s="57" t="str">
        <f>'PC LIST'!O81</f>
        <v>nr</v>
      </c>
      <c r="Y8" s="57" t="str">
        <f>'PC LIST'!P81</f>
        <v>Litres per property per day (l/prop/day)</v>
      </c>
      <c r="Z8" s="56">
        <f>'PC LIST'!Q81</f>
        <v>1</v>
      </c>
      <c r="AA8" s="56" t="str">
        <f>'PC LIST'!J81</f>
        <v>Out &amp; under</v>
      </c>
      <c r="AB8" s="743">
        <f>'PC LIST'!CC81</f>
        <v>92.5</v>
      </c>
      <c r="AC8" s="56" t="str">
        <f>'PC LIST'!B94</f>
        <v>PR14NESWSW_W-C2</v>
      </c>
      <c r="AD8" s="58" t="str">
        <f>'PC LIST'!I94</f>
        <v>W-C2: Properties experiencing poor water pressure (3-year average)</v>
      </c>
      <c r="AE8" s="58" t="str">
        <f>'PC LIST'!O94</f>
        <v>nr</v>
      </c>
      <c r="AF8" s="58" t="str">
        <f>'PC LIST'!P94</f>
        <v>No. of properties</v>
      </c>
      <c r="AG8" s="56">
        <f>'PC LIST'!Q94</f>
        <v>0</v>
      </c>
      <c r="AH8" s="56" t="str">
        <f>'PC LIST'!J94</f>
        <v>Out &amp; under</v>
      </c>
      <c r="AI8" s="56">
        <f>'PC LIST'!CC94</f>
        <v>202</v>
      </c>
      <c r="AJ8" s="56" t="str">
        <f>'PC LIST'!B138</f>
        <v>PR14PRTWSW_C1</v>
      </c>
      <c r="AK8" s="57" t="str">
        <f>'PC LIST'!I138</f>
        <v>C1: Interruptions to supply</v>
      </c>
      <c r="AL8" s="57" t="str">
        <f>'PC LIST'!O138</f>
        <v>time</v>
      </c>
      <c r="AM8" s="57" t="str">
        <f>'PC LIST'!P138</f>
        <v>Mins:secs per property per year</v>
      </c>
      <c r="AN8" s="56" t="str">
        <f>'PC LIST'!Q138</f>
        <v>mins:secs</v>
      </c>
      <c r="AO8" s="56" t="str">
        <f>'PC LIST'!J138</f>
        <v>Out &amp; under</v>
      </c>
      <c r="AP8" s="744" t="str">
        <f>'PC LIST'!CC138</f>
        <v>4 min 17 secs</v>
      </c>
      <c r="AQ8" s="56" t="str">
        <f>'PC LIST'!B151</f>
        <v>PR14SBWWSW_B4</v>
      </c>
      <c r="AR8" s="57" t="str">
        <f>'PC LIST'!I151</f>
        <v>B4: Maintain serviceable assets</v>
      </c>
      <c r="AS8" s="57" t="str">
        <f>'PC LIST'!O151</f>
        <v>category</v>
      </c>
      <c r="AT8" s="57" t="str">
        <f>'PC LIST'!P151</f>
        <v>Asset health indicator</v>
      </c>
      <c r="AU8" s="56" t="str">
        <f>'PC LIST'!Q151</f>
        <v>na</v>
      </c>
      <c r="AV8" s="56" t="str">
        <f>'PC LIST'!J151</f>
        <v>Under</v>
      </c>
      <c r="AW8" s="743" t="str">
        <f>'PC LIST'!CC151</f>
        <v>Stable</v>
      </c>
      <c r="AX8" s="56" t="str">
        <f>'PC LIST'!B166</f>
        <v>PR14SESWSW_A6</v>
      </c>
      <c r="AY8" s="57" t="str">
        <f>'PC LIST'!I166</f>
        <v>A6: Taste, odour and discolouration (number of contacts received)</v>
      </c>
      <c r="AZ8" s="57" t="str">
        <f>'PC LIST'!O166</f>
        <v>nr</v>
      </c>
      <c r="BA8" s="57" t="str">
        <f>'PC LIST'!P166</f>
        <v>No. of contacts per year</v>
      </c>
      <c r="BB8" s="56">
        <f>'PC LIST'!Q166</f>
        <v>0</v>
      </c>
      <c r="BC8" s="56" t="str">
        <f>'PC LIST'!J166</f>
        <v>Out &amp; under</v>
      </c>
      <c r="BD8" s="744">
        <f>'PC LIST'!CC166</f>
        <v>365</v>
      </c>
      <c r="BE8" s="56" t="str">
        <f>'PC LIST'!B187</f>
        <v>PR14SEWWSW_D2</v>
      </c>
      <c r="BF8" s="57" t="str">
        <f>'PC LIST'!I187</f>
        <v>D2: Service Incentive Mechanism (SIM)</v>
      </c>
      <c r="BG8" s="57" t="str">
        <f>'PC LIST'!O187</f>
        <v>score</v>
      </c>
      <c r="BH8" s="57" t="str">
        <f>'PC LIST'!P187</f>
        <v>Service incentive mechanism (SIM) score</v>
      </c>
      <c r="BI8" s="56">
        <f>'PC LIST'!Q187</f>
        <v>1</v>
      </c>
      <c r="BJ8" s="56" t="str">
        <f>'PC LIST'!J187</f>
        <v>Out &amp; under</v>
      </c>
      <c r="BK8" s="56">
        <f>'PC LIST'!CC187</f>
        <v>85.6</v>
      </c>
      <c r="BL8" s="56" t="str">
        <f>'PC LIST'!B221</f>
        <v>PR14SRNWSW_5a</v>
      </c>
      <c r="BM8" s="57" t="str">
        <f>'PC LIST'!I221</f>
        <v>5a: Drinking water quality - discolouration contacts</v>
      </c>
      <c r="BN8" s="57" t="str">
        <f>'PC LIST'!O221</f>
        <v>nr</v>
      </c>
      <c r="BO8" s="57" t="str">
        <f>'PC LIST'!P221</f>
        <v>No. per 1,000 population</v>
      </c>
      <c r="BP8" s="56">
        <f>'PC LIST'!Q221</f>
        <v>2</v>
      </c>
      <c r="BQ8" s="56" t="str">
        <f>'PC LIST'!J221</f>
        <v>Under</v>
      </c>
      <c r="BR8" s="56">
        <f>'PC LIST'!CC221</f>
        <v>0.82</v>
      </c>
      <c r="BS8" s="56" t="str">
        <f>'PC LIST'!B254</f>
        <v>PR14SSCWSW_4.1</v>
      </c>
      <c r="BT8" s="57" t="str">
        <f>'PC LIST'!I254</f>
        <v>4.1: Leakage (South Staffordshire operating region)</v>
      </c>
      <c r="BU8" s="57" t="str">
        <f>'PC LIST'!O254</f>
        <v>nr</v>
      </c>
      <c r="BV8" s="57" t="str">
        <f>'PC LIST'!P254</f>
        <v>Megalitres per day (Ml/d)</v>
      </c>
      <c r="BW8" s="56">
        <f>'PC LIST'!Q254</f>
        <v>1</v>
      </c>
      <c r="BX8" s="56" t="str">
        <f>'PC LIST'!J254</f>
        <v>Out &amp; under</v>
      </c>
      <c r="BY8" s="56">
        <f>'PC LIST'!CC254</f>
        <v>72.41</v>
      </c>
      <c r="BZ8" s="56" t="str">
        <f>'PC LIST'!B269</f>
        <v>PR14SVTWSW_W-B2</v>
      </c>
      <c r="CA8" s="57" t="str">
        <f>'PC LIST'!I269</f>
        <v>W-B2: Leakage levels</v>
      </c>
      <c r="CB8" s="57" t="str">
        <f>'PC LIST'!O269</f>
        <v>nr</v>
      </c>
      <c r="CC8" s="57" t="str">
        <f>'PC LIST'!P269</f>
        <v>Megalitres per day (Ml/d)</v>
      </c>
      <c r="CD8" s="56">
        <f>'PC LIST'!Q269</f>
        <v>0</v>
      </c>
      <c r="CE8" s="56" t="str">
        <f>'PC LIST'!J269</f>
        <v>Out &amp; under</v>
      </c>
      <c r="CF8" s="744">
        <f>'PC LIST'!CC269</f>
        <v>443</v>
      </c>
      <c r="CG8" s="56" t="str">
        <f>'PC LIST'!B314</f>
        <v>PR14SWTWSW_W-B1</v>
      </c>
      <c r="CH8" s="59" t="str">
        <f>'PC LIST'!I314</f>
        <v>W-B1: Water restrictions placed on customers (number)</v>
      </c>
      <c r="CI8" s="59" t="str">
        <f>'PC LIST'!O314</f>
        <v>nr</v>
      </c>
      <c r="CJ8" s="59" t="str">
        <f>'PC LIST'!P314</f>
        <v>No. of water restrictions</v>
      </c>
      <c r="CK8" s="56">
        <f>'PC LIST'!Q314</f>
        <v>0</v>
      </c>
      <c r="CL8" s="56" t="str">
        <f>'PC LIST'!J314</f>
        <v>Out &amp; under</v>
      </c>
      <c r="CM8" s="743">
        <f>'PC LIST'!CC314</f>
        <v>0</v>
      </c>
      <c r="CN8" s="56" t="str">
        <f>'PC LIST'!B356</f>
        <v>PR14TMSWSW_WB1</v>
      </c>
      <c r="CO8" s="57" t="str">
        <f>'PC LIST'!I356</f>
        <v>WB1: Asset health water infrastructure</v>
      </c>
      <c r="CP8" s="57" t="str">
        <f>'PC LIST'!O356</f>
        <v>category</v>
      </c>
      <c r="CQ8" s="57" t="str">
        <f>'PC LIST'!P356</f>
        <v>Asset health indicator</v>
      </c>
      <c r="CR8" s="56" t="str">
        <f>'PC LIST'!Q356</f>
        <v>na</v>
      </c>
      <c r="CS8" s="56" t="str">
        <f>'PC LIST'!J356</f>
        <v>Under</v>
      </c>
      <c r="CT8" s="56" t="str">
        <f>'PC LIST'!CC356</f>
        <v>Marginal</v>
      </c>
      <c r="CU8" s="56" t="str">
        <f>'PC LIST'!B411</f>
        <v>PR14UUWSW_B3</v>
      </c>
      <c r="CV8" s="57" t="str">
        <f>'PC LIST'!I411</f>
        <v>B3: Security of supply index (SoSI)</v>
      </c>
      <c r="CW8" s="57" t="str">
        <f>'PC LIST'!O411</f>
        <v>score</v>
      </c>
      <c r="CX8" s="57" t="str">
        <f>'PC LIST'!P411</f>
        <v>Security of Supply Index (SOSI)</v>
      </c>
      <c r="CY8" s="56">
        <f>'PC LIST'!Q411</f>
        <v>3</v>
      </c>
      <c r="CZ8" s="56" t="str">
        <f>'PC LIST'!J411</f>
        <v>Under</v>
      </c>
      <c r="DA8" s="56">
        <f>'PC LIST'!CC411</f>
        <v>100</v>
      </c>
      <c r="DB8" s="56" t="str">
        <f>'PC LIST'!B438</f>
        <v>PR14WSHWSW_D1</v>
      </c>
      <c r="DC8" s="57" t="str">
        <f>'PC LIST'!I438</f>
        <v>D1: Service incentive mechanism (SIM)</v>
      </c>
      <c r="DD8" s="57" t="str">
        <f>'PC LIST'!O438</f>
        <v>text</v>
      </c>
      <c r="DE8" s="57" t="str">
        <f>'PC LIST'!P438</f>
        <v>Service incentive mechanism (SIM) score ranking</v>
      </c>
      <c r="DF8" s="56" t="str">
        <f>'PC LIST'!Q438</f>
        <v>na</v>
      </c>
      <c r="DG8" s="56" t="str">
        <f>'PC LIST'!J438</f>
        <v>Out &amp; under</v>
      </c>
      <c r="DH8" s="743">
        <f>'PC LIST'!CC438</f>
        <v>84.64</v>
      </c>
      <c r="DI8" s="56" t="str">
        <f>'PC LIST'!B469</f>
        <v>PR14WSXWSW_D3</v>
      </c>
      <c r="DJ8" s="57" t="str">
        <f>'PC LIST'!I469</f>
        <v>D3: Water supply interruptions (&gt; 3 hours including planned, unplanned and third party interruptions)</v>
      </c>
      <c r="DK8" s="57" t="str">
        <f>'PC LIST'!O469</f>
        <v>time</v>
      </c>
      <c r="DL8" s="57" t="str">
        <f>'PC LIST'!P469</f>
        <v>Minutes / property / year</v>
      </c>
      <c r="DM8" s="56">
        <f>'PC LIST'!Q469</f>
        <v>1</v>
      </c>
      <c r="DN8" s="56" t="str">
        <f>'PC LIST'!J469</f>
        <v>Out &amp; under</v>
      </c>
      <c r="DO8" s="56">
        <f>'PC LIST'!CC469</f>
        <v>12.3</v>
      </c>
      <c r="DP8" s="56" t="str">
        <f>'PC LIST'!B501</f>
        <v>PR14YKYWSW_WB2</v>
      </c>
      <c r="DQ8" s="57" t="str">
        <f>'PC LIST'!I501</f>
        <v>WB2: Water supply interruptions</v>
      </c>
      <c r="DR8" s="57" t="str">
        <f>'PC LIST'!O501</f>
        <v>time</v>
      </c>
      <c r="DS8" s="57" t="str">
        <f>'PC LIST'!P501</f>
        <v>Minutes lost per property per year</v>
      </c>
      <c r="DT8" s="56">
        <f>'PC LIST'!Q501</f>
        <v>2</v>
      </c>
      <c r="DU8" s="56" t="str">
        <f>'PC LIST'!J501</f>
        <v>Out &amp; under</v>
      </c>
      <c r="DV8" s="56">
        <f>'PC LIST'!CC501</f>
        <v>6.96</v>
      </c>
      <c r="DW8" s="56" t="str">
        <f>'PC LIST'!B535</f>
        <v>PR14HDDWSW_B2</v>
      </c>
      <c r="DX8" s="57" t="str">
        <f>'PC LIST'!I535</f>
        <v>B2: Sustainable economic level of leakage</v>
      </c>
      <c r="DY8" s="57" t="str">
        <f>'PC LIST'!O535</f>
        <v>nr</v>
      </c>
      <c r="DZ8" s="57" t="str">
        <f>'PC LIST'!P535</f>
        <v>Litres per property per day (l/prop/day)</v>
      </c>
      <c r="EA8" s="56">
        <f>'PC LIST'!Q535</f>
        <v>1</v>
      </c>
      <c r="EB8" s="56" t="str">
        <f>'PC LIST'!J535</f>
        <v>Out &amp; under</v>
      </c>
      <c r="EC8" s="56" t="str">
        <f>'PC LIST'!CC535</f>
        <v>-</v>
      </c>
      <c r="ED8" s="56" t="str">
        <f>'PC LIST'!B581</f>
        <v>PR14SVEWSW_W-B2</v>
      </c>
      <c r="EE8" s="57" t="str">
        <f>'PC LIST'!I581</f>
        <v>W-B2: Leakage levels</v>
      </c>
      <c r="EF8" s="57" t="str">
        <f>'PC LIST'!O581</f>
        <v>nr</v>
      </c>
      <c r="EG8" s="57" t="str">
        <f>'PC LIST'!P581</f>
        <v>Megalitres per day (Ml/d)</v>
      </c>
      <c r="EH8" s="56">
        <f>'PC LIST'!Q581</f>
        <v>0</v>
      </c>
      <c r="EI8" s="56" t="str">
        <f>'PC LIST'!J581</f>
        <v>Out &amp; under</v>
      </c>
      <c r="EJ8" s="56" t="str">
        <f>'PC LIST'!CC581</f>
        <v>-</v>
      </c>
    </row>
    <row r="9" spans="1:140" ht="15.75" customHeight="1">
      <c r="A9" s="56" t="str">
        <f>'PC LIST'!B9</f>
        <v>PR14AFWWSW_W-B2</v>
      </c>
      <c r="B9" s="56" t="str">
        <f>'PC LIST'!I9</f>
        <v>W-B2: Customer contacts for discolouration</v>
      </c>
      <c r="C9" s="56" t="str">
        <f>'PC LIST'!O9</f>
        <v>nr</v>
      </c>
      <c r="D9" s="56" t="str">
        <f>'PC LIST'!P9</f>
        <v>No. per 1,000 population</v>
      </c>
      <c r="E9" s="56">
        <f>'PC LIST'!Q9</f>
        <v>2</v>
      </c>
      <c r="F9" s="56" t="str">
        <f>'PC LIST'!J9</f>
        <v>Under</v>
      </c>
      <c r="G9" s="56">
        <f>'PC LIST'!CC9</f>
        <v>0.27</v>
      </c>
      <c r="H9" s="56" t="str">
        <f>'PC LIST'!B22</f>
        <v>PR14ANHWSW_W-D1</v>
      </c>
      <c r="I9" s="57" t="str">
        <f>'PC LIST'!I22</f>
        <v>W-D1: Security of Supply Index (SoSI) - dry year annual average</v>
      </c>
      <c r="J9" s="57" t="str">
        <f>'PC LIST'!O22</f>
        <v>score</v>
      </c>
      <c r="K9" s="57" t="str">
        <f>'PC LIST'!P22</f>
        <v>Security of Supply Index (SOSI)</v>
      </c>
      <c r="L9" s="56">
        <f>'PC LIST'!Q22</f>
        <v>0</v>
      </c>
      <c r="M9" s="56" t="str">
        <f>'PC LIST'!J22</f>
        <v>NFI</v>
      </c>
      <c r="N9" s="743">
        <f>'PC LIST'!CC22</f>
        <v>100</v>
      </c>
      <c r="O9" s="56" t="str">
        <f>'PC LIST'!B61</f>
        <v>PR14BRLWSW_D1</v>
      </c>
      <c r="P9" s="57" t="str">
        <f>'PC LIST'!I61</f>
        <v>D1: Mean zonal compliance (MZC)</v>
      </c>
      <c r="Q9" s="57" t="str">
        <f>'PC LIST'!O61</f>
        <v>%</v>
      </c>
      <c r="R9" s="57" t="str">
        <f>'PC LIST'!P61</f>
        <v>Mean zonal compliance (%)</v>
      </c>
      <c r="S9" s="56">
        <f>'PC LIST'!Q61</f>
        <v>2</v>
      </c>
      <c r="T9" s="56" t="str">
        <f>'PC LIST'!J61</f>
        <v>Under</v>
      </c>
      <c r="U9" s="743">
        <f>'PC LIST'!CC61</f>
        <v>99.93</v>
      </c>
      <c r="V9" s="56" t="str">
        <f>'PC LIST'!B82</f>
        <v>PR14DVWWSW_B3</v>
      </c>
      <c r="W9" s="57" t="str">
        <f>'PC LIST'!I82</f>
        <v>B3: Security of supply index (SOSI)</v>
      </c>
      <c r="X9" s="57" t="str">
        <f>'PC LIST'!O82</f>
        <v>score</v>
      </c>
      <c r="Y9" s="57" t="str">
        <f>'PC LIST'!P82</f>
        <v>Security of Supply Index (SOSI)</v>
      </c>
      <c r="Z9" s="56">
        <f>'PC LIST'!Q82</f>
        <v>0</v>
      </c>
      <c r="AA9" s="56" t="str">
        <f>'PC LIST'!J82</f>
        <v>NFI</v>
      </c>
      <c r="AB9" s="743">
        <f>'PC LIST'!CC82</f>
        <v>100</v>
      </c>
      <c r="AC9" s="56" t="str">
        <f>'PC LIST'!B95</f>
        <v>PR14NESWSW_W-C3</v>
      </c>
      <c r="AD9" s="58" t="str">
        <f>'PC LIST'!I95</f>
        <v>W-C3: Water mains bursts (3-year average)</v>
      </c>
      <c r="AE9" s="58" t="str">
        <f>'PC LIST'!O95</f>
        <v>nr</v>
      </c>
      <c r="AF9" s="58" t="str">
        <f>'PC LIST'!P95</f>
        <v>No. of burst mains per year</v>
      </c>
      <c r="AG9" s="56">
        <f>'PC LIST'!Q95</f>
        <v>0</v>
      </c>
      <c r="AH9" s="56" t="str">
        <f>'PC LIST'!J95</f>
        <v>Under</v>
      </c>
      <c r="AI9" s="56">
        <f>'PC LIST'!CC95</f>
        <v>4102</v>
      </c>
      <c r="AJ9" s="56" t="str">
        <f>'PC LIST'!B139</f>
        <v>PR14PRTWSW_D1</v>
      </c>
      <c r="AK9" s="57" t="str">
        <f>'PC LIST'!I139</f>
        <v>D1: Biodiversity</v>
      </c>
      <c r="AL9" s="57" t="str">
        <f>'PC LIST'!O139</f>
        <v>%</v>
      </c>
      <c r="AM9" s="57" t="str">
        <f>'PC LIST'!P139</f>
        <v>% (completion of agreed actions)</v>
      </c>
      <c r="AN9" s="56">
        <f>'PC LIST'!Q139</f>
        <v>0</v>
      </c>
      <c r="AO9" s="56" t="str">
        <f>'PC LIST'!J139</f>
        <v>Under</v>
      </c>
      <c r="AP9" s="744">
        <f>'PC LIST'!CC139</f>
        <v>60</v>
      </c>
      <c r="AQ9" s="56" t="str">
        <f>'PC LIST'!B152</f>
        <v>PR14SBWWSW_B5</v>
      </c>
      <c r="AR9" s="57" t="str">
        <f>'PC LIST'!I152</f>
        <v>B5: Metering - continue current strategy</v>
      </c>
      <c r="AS9" s="57" t="str">
        <f>'PC LIST'!O152</f>
        <v>nr</v>
      </c>
      <c r="AT9" s="57" t="str">
        <f>'PC LIST'!P152</f>
        <v>No. of additional meters installed</v>
      </c>
      <c r="AU9" s="56">
        <f>'PC LIST'!Q152</f>
        <v>0</v>
      </c>
      <c r="AV9" s="56" t="str">
        <f>'PC LIST'!J152</f>
        <v>Under</v>
      </c>
      <c r="AW9" s="743">
        <f>'PC LIST'!CC152</f>
        <v>6298</v>
      </c>
      <c r="AX9" s="56" t="str">
        <f>'PC LIST'!B167</f>
        <v>PR14SESWSW_A7</v>
      </c>
      <c r="AY9" s="57" t="str">
        <f>'PC LIST'!I167</f>
        <v>A7: Water softening programme</v>
      </c>
      <c r="AZ9" s="57" t="str">
        <f>'PC LIST'!O167</f>
        <v>text</v>
      </c>
      <c r="BA9" s="57" t="str">
        <f>'PC LIST'!P167</f>
        <v>Programme delivery</v>
      </c>
      <c r="BB9" s="56" t="str">
        <f>'PC LIST'!Q167</f>
        <v>na</v>
      </c>
      <c r="BC9" s="56" t="str">
        <f>'PC LIST'!J167</f>
        <v>Under</v>
      </c>
      <c r="BD9" s="744" t="str">
        <f>'PC LIST'!CC167</f>
        <v>Delivered</v>
      </c>
      <c r="BE9" s="56" t="str">
        <f>'PC LIST'!B188</f>
        <v>PR14SEWWSW_E1</v>
      </c>
      <c r="BF9" s="57" t="str">
        <f>'PC LIST'!I188</f>
        <v>E1: Customer satisfaction - bills are value for money and affordable</v>
      </c>
      <c r="BG9" s="57" t="str">
        <f>'PC LIST'!O188</f>
        <v>%</v>
      </c>
      <c r="BH9" s="57" t="str">
        <f>'PC LIST'!P188</f>
        <v>% customer satisfaction</v>
      </c>
      <c r="BI9" s="56">
        <f>'PC LIST'!Q188</f>
        <v>0</v>
      </c>
      <c r="BJ9" s="56" t="str">
        <f>'PC LIST'!J188</f>
        <v>NFI</v>
      </c>
      <c r="BK9" s="56">
        <f>'PC LIST'!CC188</f>
        <v>71</v>
      </c>
      <c r="BL9" s="56" t="str">
        <f>'PC LIST'!B222</f>
        <v>PR14SRNWSW_6</v>
      </c>
      <c r="BM9" s="57" t="str">
        <f>'PC LIST'!I222</f>
        <v>6: Water pressure (number of properties on the DG2 low water pressure register)</v>
      </c>
      <c r="BN9" s="57" t="str">
        <f>'PC LIST'!O222</f>
        <v>nr</v>
      </c>
      <c r="BO9" s="57" t="str">
        <f>'PC LIST'!P222</f>
        <v>No. of properties on DG2 register</v>
      </c>
      <c r="BP9" s="56">
        <f>'PC LIST'!Q222</f>
        <v>0</v>
      </c>
      <c r="BQ9" s="56" t="str">
        <f>'PC LIST'!J222</f>
        <v>Under</v>
      </c>
      <c r="BR9" s="56">
        <f>'PC LIST'!CC222</f>
        <v>243</v>
      </c>
      <c r="BS9" s="56" t="str">
        <f>'PC LIST'!B255</f>
        <v>PR14SSCWSW_4.2</v>
      </c>
      <c r="BT9" s="57" t="str">
        <f>'PC LIST'!I255</f>
        <v>4.2: Leakage (Cambridge operating region)</v>
      </c>
      <c r="BU9" s="57" t="str">
        <f>'PC LIST'!O255</f>
        <v>nr</v>
      </c>
      <c r="BV9" s="57" t="str">
        <f>'PC LIST'!P255</f>
        <v>Megalitres per day (Ml/d)</v>
      </c>
      <c r="BW9" s="56">
        <f>'PC LIST'!Q255</f>
        <v>1</v>
      </c>
      <c r="BX9" s="56" t="str">
        <f>'PC LIST'!J255</f>
        <v>Out &amp; under</v>
      </c>
      <c r="BY9" s="56">
        <f>'PC LIST'!CC255</f>
        <v>14.39</v>
      </c>
      <c r="BZ9" s="56" t="str">
        <f>'PC LIST'!B270</f>
        <v>PR14SVTWSW_W-B3</v>
      </c>
      <c r="CA9" s="57" t="str">
        <f>'PC LIST'!I270</f>
        <v>W-B3: Speed of response in repairing leaks (% fixed within 24 hours)</v>
      </c>
      <c r="CB9" s="57" t="str">
        <f>'PC LIST'!O270</f>
        <v>%</v>
      </c>
      <c r="CC9" s="57" t="str">
        <f>'PC LIST'!P270</f>
        <v>% visible leaks fixed within 24 hours</v>
      </c>
      <c r="CD9" s="56">
        <f>'PC LIST'!Q270</f>
        <v>0</v>
      </c>
      <c r="CE9" s="56" t="str">
        <f>'PC LIST'!J270</f>
        <v>Out &amp; under</v>
      </c>
      <c r="CF9" s="744">
        <f>'PC LIST'!CC270</f>
        <v>23</v>
      </c>
      <c r="CG9" s="56" t="str">
        <f>'PC LIST'!B315</f>
        <v>PR14SWTWSW_W-B2</v>
      </c>
      <c r="CH9" s="59" t="str">
        <f>'PC LIST'!I315</f>
        <v>W-B2: Ability to move water around the network</v>
      </c>
      <c r="CI9" s="59" t="str">
        <f>'PC LIST'!O315</f>
        <v>text</v>
      </c>
      <c r="CJ9" s="59" t="str">
        <f>'PC LIST'!P315</f>
        <v>Limited / partial / increased / substantial</v>
      </c>
      <c r="CK9" s="56" t="str">
        <f>'PC LIST'!Q315</f>
        <v>na</v>
      </c>
      <c r="CL9" s="56" t="str">
        <f>'PC LIST'!J315</f>
        <v>NFI</v>
      </c>
      <c r="CM9" s="743" t="str">
        <f>'PC LIST'!CC315</f>
        <v>Partial</v>
      </c>
      <c r="CN9" s="56" t="str">
        <f>'PC LIST'!B357</f>
        <v>PR14TMSWSW_WB2</v>
      </c>
      <c r="CO9" s="57" t="str">
        <f>'PC LIST'!I357</f>
        <v>WB2: Asset health water non-infrastructure</v>
      </c>
      <c r="CP9" s="57" t="str">
        <f>'PC LIST'!O357</f>
        <v>category</v>
      </c>
      <c r="CQ9" s="57" t="str">
        <f>'PC LIST'!P357</f>
        <v>Asset health indicator</v>
      </c>
      <c r="CR9" s="56" t="str">
        <f>'PC LIST'!Q357</f>
        <v>na</v>
      </c>
      <c r="CS9" s="56" t="str">
        <f>'PC LIST'!J357</f>
        <v>Under</v>
      </c>
      <c r="CT9" s="56" t="str">
        <f>'PC LIST'!CC357</f>
        <v>Stable</v>
      </c>
      <c r="CU9" s="56" t="str">
        <f>'PC LIST'!B412</f>
        <v>PR14UUWSW_B4</v>
      </c>
      <c r="CV9" s="57" t="str">
        <f>'PC LIST'!I412</f>
        <v>B4: Total leakage at or below target</v>
      </c>
      <c r="CW9" s="57" t="str">
        <f>'PC LIST'!O412</f>
        <v>nr</v>
      </c>
      <c r="CX9" s="57" t="str">
        <f>'PC LIST'!P412</f>
        <v>Megalitres per day (Ml/d) variance from target</v>
      </c>
      <c r="CY9" s="56">
        <f>'PC LIST'!Q412</f>
        <v>2</v>
      </c>
      <c r="CZ9" s="56" t="str">
        <f>'PC LIST'!J412</f>
        <v>Out &amp; under</v>
      </c>
      <c r="DA9" s="56">
        <f>'PC LIST'!CC412</f>
        <v>9.1</v>
      </c>
      <c r="DB9" s="56" t="str">
        <f>'PC LIST'!B439</f>
        <v>PR14WSHWSW_D2</v>
      </c>
      <c r="DC9" s="57" t="str">
        <f>'PC LIST'!I439</f>
        <v>D2: ‘At risk’ customer services - number of customers who have experienced poor service</v>
      </c>
      <c r="DD9" s="57" t="str">
        <f>'PC LIST'!O439</f>
        <v>nr</v>
      </c>
      <c r="DE9" s="57" t="str">
        <f>'PC LIST'!P439</f>
        <v>No. of properties/ incidents on the internal 'at risk' register</v>
      </c>
      <c r="DF9" s="56">
        <f>'PC LIST'!Q439</f>
        <v>0</v>
      </c>
      <c r="DG9" s="56" t="str">
        <f>'PC LIST'!J439</f>
        <v>NFI</v>
      </c>
      <c r="DH9" s="743">
        <f>'PC LIST'!CC439</f>
        <v>613</v>
      </c>
      <c r="DI9" s="56" t="str">
        <f>'PC LIST'!B470</f>
        <v>PR14WSXWSW_D4</v>
      </c>
      <c r="DJ9" s="57" t="str">
        <f>'PC LIST'!I470</f>
        <v>D4: Properties supplied by a single source (including the integrated supply grid)</v>
      </c>
      <c r="DK9" s="57" t="str">
        <f>'PC LIST'!O470</f>
        <v>nr</v>
      </c>
      <c r="DL9" s="57" t="str">
        <f>'PC LIST'!P470</f>
        <v>No. of properties supplied by a single source</v>
      </c>
      <c r="DM9" s="56">
        <f>'PC LIST'!Q470</f>
        <v>0</v>
      </c>
      <c r="DN9" s="56" t="str">
        <f>'PC LIST'!J470</f>
        <v>Under</v>
      </c>
      <c r="DO9" s="56">
        <f>'PC LIST'!CC470</f>
        <v>42000</v>
      </c>
      <c r="DP9" s="56" t="str">
        <f>'PC LIST'!B502</f>
        <v>PR14YKYWSW_WB3</v>
      </c>
      <c r="DQ9" s="57" t="str">
        <f>'PC LIST'!I502</f>
        <v>WB3: Water use</v>
      </c>
      <c r="DR9" s="57" t="str">
        <f>'PC LIST'!O502</f>
        <v>nr</v>
      </c>
      <c r="DS9" s="57" t="str">
        <f>'PC LIST'!P502</f>
        <v>Litres per head per day (l/h/d)</v>
      </c>
      <c r="DT9" s="56">
        <f>'PC LIST'!Q502</f>
        <v>1</v>
      </c>
      <c r="DU9" s="56" t="str">
        <f>'PC LIST'!J502</f>
        <v>NFI</v>
      </c>
      <c r="DV9" s="56">
        <f>'PC LIST'!CC502</f>
        <v>135.85</v>
      </c>
      <c r="DW9" s="56" t="str">
        <f>'PC LIST'!B536</f>
        <v>PR14HDDWSW_B3</v>
      </c>
      <c r="DX9" s="57" t="str">
        <f>'PC LIST'!I536</f>
        <v>B3: Security of supply index (SOSI)</v>
      </c>
      <c r="DY9" s="57" t="str">
        <f>'PC LIST'!O536</f>
        <v>score</v>
      </c>
      <c r="DZ9" s="57" t="str">
        <f>'PC LIST'!P536</f>
        <v>Security of Supply Index (SOSI)</v>
      </c>
      <c r="EA9" s="56">
        <f>'PC LIST'!Q536</f>
        <v>0</v>
      </c>
      <c r="EB9" s="56" t="str">
        <f>'PC LIST'!J536</f>
        <v>NFI</v>
      </c>
      <c r="EC9" s="56" t="str">
        <f>'PC LIST'!CC536</f>
        <v>-</v>
      </c>
      <c r="ED9" s="56" t="str">
        <f>'PC LIST'!B582</f>
        <v>PR14SVEWSW_W-B3</v>
      </c>
      <c r="EE9" s="57" t="str">
        <f>'PC LIST'!I582</f>
        <v>W-B3: Speed of response in repairing leaks (% fixed within 24 hours)</v>
      </c>
      <c r="EF9" s="57" t="str">
        <f>'PC LIST'!O582</f>
        <v>%</v>
      </c>
      <c r="EG9" s="57" t="str">
        <f>'PC LIST'!P582</f>
        <v>% visible leaks fixed within 24 hours</v>
      </c>
      <c r="EH9" s="56">
        <f>'PC LIST'!Q582</f>
        <v>0</v>
      </c>
      <c r="EI9" s="56" t="str">
        <f>'PC LIST'!J582</f>
        <v>Out &amp; under</v>
      </c>
      <c r="EJ9" s="56" t="str">
        <f>'PC LIST'!CC582</f>
        <v>-</v>
      </c>
    </row>
    <row r="10" spans="1:140" ht="15.75" customHeight="1">
      <c r="A10" s="56" t="str">
        <f>'PC LIST'!B10</f>
        <v>PR14AFWWSW_W-C1</v>
      </c>
      <c r="B10" s="56" t="str">
        <f>'PC LIST'!I10</f>
        <v>W-C1: Unplanned interruptions to supply over 12 hours</v>
      </c>
      <c r="C10" s="56" t="str">
        <f>'PC LIST'!O10</f>
        <v>nr</v>
      </c>
      <c r="D10" s="56" t="str">
        <f>'PC LIST'!P10</f>
        <v>No. of properties</v>
      </c>
      <c r="E10" s="56">
        <f>'PC LIST'!Q10</f>
        <v>0</v>
      </c>
      <c r="F10" s="56" t="str">
        <f>'PC LIST'!J10</f>
        <v>Out &amp; under</v>
      </c>
      <c r="G10" s="56">
        <f>'PC LIST'!CC10</f>
        <v>7890</v>
      </c>
      <c r="H10" s="56" t="str">
        <f>'PC LIST'!B23</f>
        <v>PR14ANHWSW_W-D2</v>
      </c>
      <c r="I10" s="57" t="str">
        <f>'PC LIST'!I23</f>
        <v>W-D2: Security of Supply Index (SoSI) - critical period (peak) demand</v>
      </c>
      <c r="J10" s="57" t="str">
        <f>'PC LIST'!O23</f>
        <v>score</v>
      </c>
      <c r="K10" s="57" t="str">
        <f>'PC LIST'!P23</f>
        <v>Security of Supply Index (SOSI)</v>
      </c>
      <c r="L10" s="56">
        <f>'PC LIST'!Q23</f>
        <v>0</v>
      </c>
      <c r="M10" s="56" t="str">
        <f>'PC LIST'!J23</f>
        <v>NFI</v>
      </c>
      <c r="N10" s="743">
        <f>'PC LIST'!CC23</f>
        <v>100</v>
      </c>
      <c r="O10" s="56" t="str">
        <f>'PC LIST'!B62</f>
        <v>PR14BRLWSW_E1</v>
      </c>
      <c r="P10" s="57" t="str">
        <f>'PC LIST'!I62</f>
        <v>E1: Negative water quality contacts</v>
      </c>
      <c r="Q10" s="57" t="str">
        <f>'PC LIST'!O62</f>
        <v>nr</v>
      </c>
      <c r="R10" s="57" t="str">
        <f>'PC LIST'!P62</f>
        <v>No. of contacts per year</v>
      </c>
      <c r="S10" s="56">
        <f>'PC LIST'!Q62</f>
        <v>0</v>
      </c>
      <c r="T10" s="56" t="str">
        <f>'PC LIST'!J62</f>
        <v>Out &amp; under</v>
      </c>
      <c r="U10" s="743">
        <f>'PC LIST'!CC62</f>
        <v>1711</v>
      </c>
      <c r="V10" s="56" t="str">
        <f>'PC LIST'!B83</f>
        <v>PR14DVWWSW_B4</v>
      </c>
      <c r="W10" s="57" t="str">
        <f>'PC LIST'!I83</f>
        <v>B4: Number of bursts</v>
      </c>
      <c r="X10" s="57" t="str">
        <f>'PC LIST'!O83</f>
        <v>nr</v>
      </c>
      <c r="Y10" s="57" t="str">
        <f>'PC LIST'!P83</f>
        <v>No. of burst mains per year</v>
      </c>
      <c r="Z10" s="56">
        <f>'PC LIST'!Q83</f>
        <v>0</v>
      </c>
      <c r="AA10" s="56" t="str">
        <f>'PC LIST'!J83</f>
        <v>Out &amp; under</v>
      </c>
      <c r="AB10" s="743">
        <f>'PC LIST'!CC83</f>
        <v>243</v>
      </c>
      <c r="AC10" s="56" t="str">
        <f>'PC LIST'!B96</f>
        <v>PR14NESWSW_W-C4</v>
      </c>
      <c r="AD10" s="58" t="str">
        <f>'PC LIST'!I96</f>
        <v>W-C4: Leakage (Ml/d) Northumbrian area</v>
      </c>
      <c r="AE10" s="58" t="str">
        <f>'PC LIST'!O96</f>
        <v>nr</v>
      </c>
      <c r="AF10" s="58" t="str">
        <f>'PC LIST'!P96</f>
        <v>Megalitres per day (Ml/d)</v>
      </c>
      <c r="AG10" s="56">
        <f>'PC LIST'!Q96</f>
        <v>2</v>
      </c>
      <c r="AH10" s="56" t="str">
        <f>'PC LIST'!J96</f>
        <v>Out &amp; under</v>
      </c>
      <c r="AI10" s="56">
        <f>'PC LIST'!CC96</f>
        <v>137.05000000000001</v>
      </c>
      <c r="AJ10" s="56" t="str">
        <f>'PC LIST'!B140</f>
        <v>PR14PRTWSW_D2</v>
      </c>
      <c r="AK10" s="57" t="str">
        <f>'PC LIST'!I140</f>
        <v>D2: Water Framework Directive (WFD)</v>
      </c>
      <c r="AL10" s="57" t="str">
        <f>'PC LIST'!O140</f>
        <v>text</v>
      </c>
      <c r="AM10" s="57" t="str">
        <f>'PC LIST'!P140</f>
        <v>Programme completion</v>
      </c>
      <c r="AN10" s="56" t="str">
        <f>'PC LIST'!Q140</f>
        <v>na</v>
      </c>
      <c r="AO10" s="56" t="str">
        <f>'PC LIST'!J140</f>
        <v>Out &amp; under</v>
      </c>
      <c r="AP10" s="744" t="str">
        <f>'PC LIST'!CC140</f>
        <v>Completed and signed off by EA</v>
      </c>
      <c r="AQ10" s="56" t="str">
        <f>'PC LIST'!B153</f>
        <v>PR14SBWWSW_B6</v>
      </c>
      <c r="AR10" s="57" t="str">
        <f>'PC LIST'!I153</f>
        <v>B6: Reduce per capita consumption (PCC) to 140 litres/head/day by March 2020</v>
      </c>
      <c r="AS10" s="57" t="str">
        <f>'PC LIST'!O153</f>
        <v>nr</v>
      </c>
      <c r="AT10" s="57" t="str">
        <f>'PC LIST'!P153</f>
        <v>Litres per head per day (l/h/d)</v>
      </c>
      <c r="AU10" s="56">
        <f>'PC LIST'!Q153</f>
        <v>1</v>
      </c>
      <c r="AV10" s="56" t="str">
        <f>'PC LIST'!J153</f>
        <v>NFI</v>
      </c>
      <c r="AW10" s="743">
        <f>'PC LIST'!CC153</f>
        <v>141</v>
      </c>
      <c r="AX10" s="56" t="str">
        <f>'PC LIST'!B168</f>
        <v>PR14SESWSW_C1</v>
      </c>
      <c r="AY10" s="57" t="str">
        <f>'PC LIST'!I168</f>
        <v>C1: The number of times on average the Company has to impose restrictions on the use of water</v>
      </c>
      <c r="AZ10" s="57" t="str">
        <f>'PC LIST'!O168</f>
        <v>nr</v>
      </c>
      <c r="BA10" s="57" t="str">
        <f>'PC LIST'!P168</f>
        <v>No. of restrictions in last 10 years</v>
      </c>
      <c r="BB10" s="56">
        <f>'PC LIST'!Q168</f>
        <v>0</v>
      </c>
      <c r="BC10" s="56" t="str">
        <f>'PC LIST'!J168</f>
        <v>NFI</v>
      </c>
      <c r="BD10" s="744">
        <f>'PC LIST'!CC168</f>
        <v>0</v>
      </c>
      <c r="BE10" s="56" t="str">
        <f>'PC LIST'!B189</f>
        <v>PR14SEWWSW_F1</v>
      </c>
      <c r="BF10" s="57" t="str">
        <f>'PC LIST'!I189</f>
        <v>F1: Customer satisfaction - water supply is of sufficient pressure</v>
      </c>
      <c r="BG10" s="57" t="str">
        <f>'PC LIST'!O189</f>
        <v>score</v>
      </c>
      <c r="BH10" s="57" t="str">
        <f>'PC LIST'!P189</f>
        <v>Customer satisfaction score out of 5</v>
      </c>
      <c r="BI10" s="56">
        <f>'PC LIST'!Q189</f>
        <v>1</v>
      </c>
      <c r="BJ10" s="56" t="str">
        <f>'PC LIST'!J189</f>
        <v>Out &amp; under</v>
      </c>
      <c r="BK10" s="56">
        <f>'PC LIST'!CC189</f>
        <v>4.3</v>
      </c>
      <c r="BL10" s="56" t="str">
        <f>'PC LIST'!B223</f>
        <v>PR14SRNWSW_7</v>
      </c>
      <c r="BM10" s="57" t="str">
        <f>'PC LIST'!I223</f>
        <v>7: Distribution input</v>
      </c>
      <c r="BN10" s="57" t="str">
        <f>'PC LIST'!O223</f>
        <v>nr</v>
      </c>
      <c r="BO10" s="57" t="str">
        <f>'PC LIST'!P223</f>
        <v>Megalitres per day (Ml/d)</v>
      </c>
      <c r="BP10" s="56">
        <f>'PC LIST'!Q223</f>
        <v>2</v>
      </c>
      <c r="BQ10" s="56" t="str">
        <f>'PC LIST'!J223</f>
        <v>NFI</v>
      </c>
      <c r="BR10" s="56">
        <f>'PC LIST'!CC223</f>
        <v>541</v>
      </c>
      <c r="BS10" s="56" t="str">
        <f>'PC LIST'!B256</f>
        <v>PR14SSCWSW_4.3</v>
      </c>
      <c r="BT10" s="57" t="str">
        <f>'PC LIST'!I256</f>
        <v>4.3: Water efficiency (household per capita consumption (PCC) reported annually, combined company)</v>
      </c>
      <c r="BU10" s="57" t="str">
        <f>'PC LIST'!O256</f>
        <v>nr</v>
      </c>
      <c r="BV10" s="57" t="str">
        <f>'PC LIST'!P256</f>
        <v>Litres per head per day (l/h/d)</v>
      </c>
      <c r="BW10" s="56">
        <f>'PC LIST'!Q256</f>
        <v>2</v>
      </c>
      <c r="BX10" s="56" t="str">
        <f>'PC LIST'!J256</f>
        <v>NFI</v>
      </c>
      <c r="BY10" s="56">
        <f>'PC LIST'!CC256</f>
        <v>133.09</v>
      </c>
      <c r="BZ10" s="56" t="str">
        <f>'PC LIST'!B271</f>
        <v>PR14SVTWSW_W-B4</v>
      </c>
      <c r="CA10" s="57" t="str">
        <f>'PC LIST'!I271</f>
        <v>W-B4: Number of minutes customers go without supply each year (interruptions to supply &gt; 3 hours)</v>
      </c>
      <c r="CB10" s="57" t="str">
        <f>'PC LIST'!O271</f>
        <v>time</v>
      </c>
      <c r="CC10" s="57" t="str">
        <f>'PC LIST'!P271</f>
        <v>Minutes / property / year</v>
      </c>
      <c r="CD10" s="56">
        <f>'PC LIST'!Q271</f>
        <v>2</v>
      </c>
      <c r="CE10" s="56" t="str">
        <f>'PC LIST'!J271</f>
        <v>Out &amp; under</v>
      </c>
      <c r="CF10" s="744">
        <f>'PC LIST'!CC271</f>
        <v>34.29</v>
      </c>
      <c r="CG10" s="56" t="str">
        <f>'PC LIST'!B316</f>
        <v>PR14SWTWSW_W-B3</v>
      </c>
      <c r="CH10" s="59" t="str">
        <f>'PC LIST'!I316</f>
        <v>W-B3: Leakage levels (megalitres a day, Ml/d)</v>
      </c>
      <c r="CI10" s="59" t="str">
        <f>'PC LIST'!O316</f>
        <v>nr</v>
      </c>
      <c r="CJ10" s="59" t="str">
        <f>'PC LIST'!P316</f>
        <v>Megalitres per day (Ml/d)</v>
      </c>
      <c r="CK10" s="56">
        <f>'PC LIST'!Q316</f>
        <v>0</v>
      </c>
      <c r="CL10" s="56" t="str">
        <f>'PC LIST'!J316</f>
        <v>Out &amp; under</v>
      </c>
      <c r="CM10" s="743">
        <f>'PC LIST'!CC316</f>
        <v>83</v>
      </c>
      <c r="CN10" s="56" t="str">
        <f>'PC LIST'!B358</f>
        <v>PR14TMSWSW_WB3</v>
      </c>
      <c r="CO10" s="57" t="str">
        <f>'PC LIST'!I358</f>
        <v>WB3: Compliance with drinking water quality standards (MZC) - Ofwat/ DWI KPI</v>
      </c>
      <c r="CP10" s="57" t="str">
        <f>'PC LIST'!O358</f>
        <v>%</v>
      </c>
      <c r="CQ10" s="57" t="str">
        <f>'PC LIST'!P358</f>
        <v>Mean zonal compliance (%)</v>
      </c>
      <c r="CR10" s="56">
        <f>'PC LIST'!Q358</f>
        <v>2</v>
      </c>
      <c r="CS10" s="56" t="str">
        <f>'PC LIST'!J358</f>
        <v>Under</v>
      </c>
      <c r="CT10" s="56">
        <f>'PC LIST'!CC358</f>
        <v>99.96</v>
      </c>
      <c r="CU10" s="56" t="str">
        <f>'PC LIST'!B413</f>
        <v>PR14UUWSW_B5</v>
      </c>
      <c r="CV10" s="57" t="str">
        <f>'PC LIST'!I413</f>
        <v>B5: Resilience of impounding reservoirs</v>
      </c>
      <c r="CW10" s="57" t="str">
        <f>'PC LIST'!O413</f>
        <v>nr</v>
      </c>
      <c r="CX10" s="57" t="str">
        <f>'PC LIST'!P413</f>
        <v>Aggregate (cumulative) reduction in risk</v>
      </c>
      <c r="CY10" s="56">
        <f>'PC LIST'!Q413</f>
        <v>2</v>
      </c>
      <c r="CZ10" s="56" t="str">
        <f>'PC LIST'!J413</f>
        <v>Under</v>
      </c>
      <c r="DA10" s="56">
        <f>'PC LIST'!CC413</f>
        <v>165.42</v>
      </c>
      <c r="DB10" s="56" t="str">
        <f>'PC LIST'!B440</f>
        <v>PR14WSHWSW_D5</v>
      </c>
      <c r="DC10" s="57" t="str">
        <f>'PC LIST'!I440</f>
        <v>D5: Earning the trust of customers - % of customers surveyed that say they trust the company</v>
      </c>
      <c r="DD10" s="57" t="str">
        <f>'PC LIST'!O440</f>
        <v>%</v>
      </c>
      <c r="DE10" s="57" t="str">
        <f>'PC LIST'!P440</f>
        <v>% customer satisfaction</v>
      </c>
      <c r="DF10" s="56">
        <f>'PC LIST'!Q440</f>
        <v>0</v>
      </c>
      <c r="DG10" s="56" t="str">
        <f>'PC LIST'!J440</f>
        <v>NFI</v>
      </c>
      <c r="DH10" s="743">
        <f>'PC LIST'!CC440</f>
        <v>84</v>
      </c>
      <c r="DI10" s="56" t="str">
        <f>'PC LIST'!B471</f>
        <v>PR14WSXWSW_D5</v>
      </c>
      <c r="DJ10" s="57" t="str">
        <f>'PC LIST'!I471</f>
        <v>D5: Water main bursts</v>
      </c>
      <c r="DK10" s="57" t="str">
        <f>'PC LIST'!O471</f>
        <v>nr</v>
      </c>
      <c r="DL10" s="57" t="str">
        <f>'PC LIST'!P471</f>
        <v>No. of water main bursts per year</v>
      </c>
      <c r="DM10" s="56">
        <f>'PC LIST'!Q471</f>
        <v>0</v>
      </c>
      <c r="DN10" s="56" t="str">
        <f>'PC LIST'!J471</f>
        <v>Under</v>
      </c>
      <c r="DO10" s="56">
        <f>'PC LIST'!CC471</f>
        <v>1920</v>
      </c>
      <c r="DP10" s="56" t="str">
        <f>'PC LIST'!B503</f>
        <v>PR14YKYWSW_WB4</v>
      </c>
      <c r="DQ10" s="57" t="str">
        <f>'PC LIST'!I503</f>
        <v>WB4: Water network stability and reliability factor</v>
      </c>
      <c r="DR10" s="57" t="str">
        <f>'PC LIST'!O503</f>
        <v>category</v>
      </c>
      <c r="DS10" s="57" t="str">
        <f>'PC LIST'!P503</f>
        <v>Asset health indicator</v>
      </c>
      <c r="DT10" s="56" t="str">
        <f>'PC LIST'!Q503</f>
        <v>na</v>
      </c>
      <c r="DU10" s="56" t="str">
        <f>'PC LIST'!J503</f>
        <v>Under</v>
      </c>
      <c r="DV10" s="56" t="str">
        <f>'PC LIST'!CC503</f>
        <v>Stable</v>
      </c>
      <c r="DW10" s="56" t="str">
        <f>'PC LIST'!B537</f>
        <v>PR14HDDWSW_B4</v>
      </c>
      <c r="DX10" s="57" t="str">
        <f>'PC LIST'!I537</f>
        <v>B4: Number of bursts</v>
      </c>
      <c r="DY10" s="57" t="str">
        <f>'PC LIST'!O537</f>
        <v>nr</v>
      </c>
      <c r="DZ10" s="57" t="str">
        <f>'PC LIST'!P537</f>
        <v>No. of burst mains per year</v>
      </c>
      <c r="EA10" s="56">
        <f>'PC LIST'!Q537</f>
        <v>0</v>
      </c>
      <c r="EB10" s="56" t="str">
        <f>'PC LIST'!J537</f>
        <v>Out &amp; under</v>
      </c>
      <c r="EC10" s="56" t="str">
        <f>'PC LIST'!CC537</f>
        <v>-</v>
      </c>
      <c r="ED10" s="56" t="str">
        <f>'PC LIST'!B583</f>
        <v>PR14SVEWSW_W-B4</v>
      </c>
      <c r="EE10" s="57" t="str">
        <f>'PC LIST'!I583</f>
        <v>W-B4: Number of minutes customers go without supply each year (interruptions to supply &gt; 3 hours)</v>
      </c>
      <c r="EF10" s="57" t="str">
        <f>'PC LIST'!O583</f>
        <v>time</v>
      </c>
      <c r="EG10" s="57" t="str">
        <f>'PC LIST'!P583</f>
        <v>Minutes / property / year</v>
      </c>
      <c r="EH10" s="56">
        <f>'PC LIST'!Q583</f>
        <v>2</v>
      </c>
      <c r="EI10" s="56" t="str">
        <f>'PC LIST'!J583</f>
        <v>Out &amp; under</v>
      </c>
      <c r="EJ10" s="56" t="str">
        <f>'PC LIST'!CC583</f>
        <v>-</v>
      </c>
    </row>
    <row r="11" spans="1:140" ht="15.75" customHeight="1">
      <c r="A11" s="56" t="str">
        <f>'PC LIST'!B11</f>
        <v>PR14AFWWSW_W-C2</v>
      </c>
      <c r="B11" s="56" t="str">
        <f>'PC LIST'!I11</f>
        <v>W-C2: Number of burst mains</v>
      </c>
      <c r="C11" s="56" t="str">
        <f>'PC LIST'!O11</f>
        <v>nr</v>
      </c>
      <c r="D11" s="56" t="str">
        <f>'PC LIST'!P11</f>
        <v>No. of burst mains per year</v>
      </c>
      <c r="E11" s="56">
        <f>'PC LIST'!Q11</f>
        <v>0</v>
      </c>
      <c r="F11" s="56" t="str">
        <f>'PC LIST'!J11</f>
        <v>Under</v>
      </c>
      <c r="G11" s="56">
        <f>'PC LIST'!CC11</f>
        <v>2923</v>
      </c>
      <c r="H11" s="56" t="str">
        <f>'PC LIST'!B24</f>
        <v>PR14ANHWSW_W-D3</v>
      </c>
      <c r="I11" s="57" t="str">
        <f>'PC LIST'!I24</f>
        <v>W-D3: Per property consumption (PPC) (litres/household/day reduction)</v>
      </c>
      <c r="J11" s="57" t="str">
        <f>'PC LIST'!O24</f>
        <v>nr</v>
      </c>
      <c r="K11" s="57" t="str">
        <f>'PC LIST'!P24</f>
        <v>Litres per household per day (l/hh/d)</v>
      </c>
      <c r="L11" s="56">
        <f>'PC LIST'!Q24</f>
        <v>0</v>
      </c>
      <c r="M11" s="56" t="str">
        <f>'PC LIST'!J24</f>
        <v>Under</v>
      </c>
      <c r="N11" s="743">
        <f>'PC LIST'!CC24</f>
        <v>-4</v>
      </c>
      <c r="O11" s="56" t="str">
        <f>'PC LIST'!B63</f>
        <v>PR14BRLWSW_F1</v>
      </c>
      <c r="P11" s="57" t="str">
        <f>'PC LIST'!I63</f>
        <v>F1: Leakage</v>
      </c>
      <c r="Q11" s="57" t="str">
        <f>'PC LIST'!O63</f>
        <v>nr</v>
      </c>
      <c r="R11" s="57" t="str">
        <f>'PC LIST'!P63</f>
        <v>Megalitres per day (Ml/d)</v>
      </c>
      <c r="S11" s="56">
        <f>'PC LIST'!Q63</f>
        <v>1</v>
      </c>
      <c r="T11" s="56" t="str">
        <f>'PC LIST'!J63</f>
        <v>Out &amp; under</v>
      </c>
      <c r="U11" s="743">
        <f>'PC LIST'!CC63</f>
        <v>49.58</v>
      </c>
      <c r="V11" s="56" t="str">
        <f>'PC LIST'!B84</f>
        <v>PR14DVWWSW_C1</v>
      </c>
      <c r="W11" s="57" t="str">
        <f>'PC LIST'!I84</f>
        <v>C1: Gross operational greenhouse gas emissions</v>
      </c>
      <c r="X11" s="57" t="str">
        <f>'PC LIST'!O84</f>
        <v>nr</v>
      </c>
      <c r="Y11" s="57" t="str">
        <f>'PC LIST'!P84</f>
        <v>tCO2e</v>
      </c>
      <c r="Z11" s="56">
        <f>'PC LIST'!Q84</f>
        <v>0</v>
      </c>
      <c r="AA11" s="56" t="str">
        <f>'PC LIST'!J84</f>
        <v>NFI</v>
      </c>
      <c r="AB11" s="743">
        <f>'PC LIST'!CC84</f>
        <v>7709</v>
      </c>
      <c r="AC11" s="56" t="str">
        <f>'PC LIST'!B97</f>
        <v>PR14NESWSW_W-C5</v>
      </c>
      <c r="AD11" s="58" t="str">
        <f>'PC LIST'!I97</f>
        <v>W-C5: Leakage (Ml/d) Essex &amp; Suffolk area</v>
      </c>
      <c r="AE11" s="58" t="str">
        <f>'PC LIST'!O97</f>
        <v>nr</v>
      </c>
      <c r="AF11" s="58" t="str">
        <f>'PC LIST'!P97</f>
        <v>Megalitres per day (Ml/d)</v>
      </c>
      <c r="AG11" s="56">
        <f>'PC LIST'!Q97</f>
        <v>2</v>
      </c>
      <c r="AH11" s="56" t="str">
        <f>'PC LIST'!J97</f>
        <v>Out &amp; under</v>
      </c>
      <c r="AI11" s="56">
        <f>'PC LIST'!CC97</f>
        <v>66.17</v>
      </c>
      <c r="AJ11" s="56" t="str">
        <f>'PC LIST'!B141</f>
        <v>PR14PRTWSW_D3</v>
      </c>
      <c r="AK11" s="57" t="str">
        <f>'PC LIST'!I141</f>
        <v>D3: Carbon</v>
      </c>
      <c r="AL11" s="57" t="str">
        <f>'PC LIST'!O141</f>
        <v>%</v>
      </c>
      <c r="AM11" s="57" t="str">
        <f>'PC LIST'!P141</f>
        <v>Energy sourced from renewables (% increase)</v>
      </c>
      <c r="AN11" s="56">
        <f>'PC LIST'!Q141</f>
        <v>0</v>
      </c>
      <c r="AO11" s="56" t="str">
        <f>'PC LIST'!J141</f>
        <v>NFI</v>
      </c>
      <c r="AP11" s="744" t="str">
        <f>'PC LIST'!CC141</f>
        <v>&gt; 95%</v>
      </c>
      <c r="AQ11" s="56" t="str">
        <f>'PC LIST'!B154</f>
        <v>PR14SBWWSW_C1</v>
      </c>
      <c r="AR11" s="57" t="str">
        <f>'PC LIST'!I154</f>
        <v>C1: Repair visible leaks</v>
      </c>
      <c r="AS11" s="57" t="str">
        <f>'PC LIST'!O154</f>
        <v>%</v>
      </c>
      <c r="AT11" s="57" t="str">
        <f>'PC LIST'!P154</f>
        <v>% visible leaks repaired within 7 days</v>
      </c>
      <c r="AU11" s="56">
        <f>'PC LIST'!Q154</f>
        <v>1</v>
      </c>
      <c r="AV11" s="56" t="str">
        <f>'PC LIST'!J154</f>
        <v>Under</v>
      </c>
      <c r="AW11" s="743">
        <f>'PC LIST'!CC154</f>
        <v>62.4</v>
      </c>
      <c r="AX11" s="56" t="str">
        <f>'PC LIST'!B169</f>
        <v>PR14SESWSW_C2</v>
      </c>
      <c r="AY11" s="57" t="str">
        <f>'PC LIST'!I169</f>
        <v>C2: Percentage of properties that are connected to more than one treatment works (resilience measure)</v>
      </c>
      <c r="AZ11" s="57" t="str">
        <f>'PC LIST'!O169</f>
        <v>%</v>
      </c>
      <c r="BA11" s="57" t="str">
        <f>'PC LIST'!P169</f>
        <v>% props can be supplied from &gt;1 WTW</v>
      </c>
      <c r="BB11" s="56">
        <f>'PC LIST'!Q169</f>
        <v>0</v>
      </c>
      <c r="BC11" s="56" t="str">
        <f>'PC LIST'!J169</f>
        <v>Out &amp; under</v>
      </c>
      <c r="BD11" s="744">
        <f>'PC LIST'!CC169</f>
        <v>36</v>
      </c>
      <c r="BE11" s="56" t="str">
        <f>'PC LIST'!B190</f>
        <v>PR14SEWWSW_F2</v>
      </c>
      <c r="BF11" s="57" t="str">
        <f>'PC LIST'!I190</f>
        <v>F2: Number of properties at risk of low pressure, as recorded on the DG2 register</v>
      </c>
      <c r="BG11" s="57" t="str">
        <f>'PC LIST'!O190</f>
        <v>nr</v>
      </c>
      <c r="BH11" s="57" t="str">
        <f>'PC LIST'!P190</f>
        <v>No. of properties on DG2 register</v>
      </c>
      <c r="BI11" s="56">
        <f>'PC LIST'!Q190</f>
        <v>0</v>
      </c>
      <c r="BJ11" s="56" t="str">
        <f>'PC LIST'!J190</f>
        <v>Out &amp; under</v>
      </c>
      <c r="BK11" s="56">
        <f>'PC LIST'!CC190</f>
        <v>47</v>
      </c>
      <c r="BL11" s="56" t="str">
        <f>'PC LIST'!B224</f>
        <v>PR14SRNWSW_8</v>
      </c>
      <c r="BM11" s="57" t="str">
        <f>'PC LIST'!I224</f>
        <v>8: Per capita consumption (PCC) - five-year average target</v>
      </c>
      <c r="BN11" s="57" t="str">
        <f>'PC LIST'!O224</f>
        <v>nr</v>
      </c>
      <c r="BO11" s="57" t="str">
        <f>'PC LIST'!P224</f>
        <v>Litres per head per day (l/h/d)</v>
      </c>
      <c r="BP11" s="56">
        <f>'PC LIST'!Q224</f>
        <v>1</v>
      </c>
      <c r="BQ11" s="56" t="str">
        <f>'PC LIST'!J224</f>
        <v>Out &amp; under</v>
      </c>
      <c r="BR11" s="56">
        <f>'PC LIST'!CC224</f>
        <v>128.9</v>
      </c>
      <c r="BS11" s="56" t="str">
        <f>'PC LIST'!B257</f>
        <v>PR14SSCWSW_4.4</v>
      </c>
      <c r="BT11" s="57" t="str">
        <f>'PC LIST'!I257</f>
        <v>4.4: Biodiversity (cumulative total hectares of land under management per year, combined company)</v>
      </c>
      <c r="BU11" s="57" t="str">
        <f>'PC LIST'!O257</f>
        <v>nr</v>
      </c>
      <c r="BV11" s="57" t="str">
        <f>'PC LIST'!P257</f>
        <v>Cumulative total hectares of land</v>
      </c>
      <c r="BW11" s="56">
        <f>'PC LIST'!Q257</f>
        <v>0</v>
      </c>
      <c r="BX11" s="56" t="str">
        <f>'PC LIST'!J257</f>
        <v>NFI</v>
      </c>
      <c r="BY11" s="56">
        <f>'PC LIST'!CC257</f>
        <v>119</v>
      </c>
      <c r="BZ11" s="56" t="str">
        <f>'PC LIST'!B272</f>
        <v>PR14SVTWSW_W-B5</v>
      </c>
      <c r="CA11" s="57" t="str">
        <f>'PC LIST'!I272</f>
        <v>W-B5: % of customers with resilient supplies (those that benefit from a second source of supply)</v>
      </c>
      <c r="CB11" s="57" t="str">
        <f>'PC LIST'!O272</f>
        <v>%</v>
      </c>
      <c r="CC11" s="57" t="str">
        <f>'PC LIST'!P272</f>
        <v>% customers with 2nd supply source</v>
      </c>
      <c r="CD11" s="56">
        <f>'PC LIST'!Q272</f>
        <v>1</v>
      </c>
      <c r="CE11" s="56" t="str">
        <f>'PC LIST'!J272</f>
        <v>Out &amp; under</v>
      </c>
      <c r="CF11" s="744">
        <f>'PC LIST'!CC272</f>
        <v>77.400000000000006</v>
      </c>
      <c r="CG11" s="56" t="str">
        <f>'PC LIST'!B317</f>
        <v>PR14SWTWSW_W-B4</v>
      </c>
      <c r="CH11" s="59" t="str">
        <f>'PC LIST'!I317</f>
        <v>W-B4: Time taken to fix significant leaks (days)</v>
      </c>
      <c r="CI11" s="59" t="str">
        <f>'PC LIST'!O317</f>
        <v>nr</v>
      </c>
      <c r="CJ11" s="59" t="str">
        <f>'PC LIST'!P317</f>
        <v>No. of days taken to fix significant leaks</v>
      </c>
      <c r="CK11" s="56">
        <f>'PC LIST'!Q317</f>
        <v>0</v>
      </c>
      <c r="CL11" s="56" t="str">
        <f>'PC LIST'!J317</f>
        <v>NFI</v>
      </c>
      <c r="CM11" s="743">
        <f>'PC LIST'!CC317</f>
        <v>2.93</v>
      </c>
      <c r="CN11" s="56" t="str">
        <f>'PC LIST'!B359</f>
        <v>PR14TMSWSW_WB4</v>
      </c>
      <c r="CO11" s="57" t="str">
        <f>'PC LIST'!I359</f>
        <v>WB4: Properties experiencing chronic low pressure (DG2)</v>
      </c>
      <c r="CP11" s="57" t="str">
        <f>'PC LIST'!O359</f>
        <v>nr</v>
      </c>
      <c r="CQ11" s="57" t="str">
        <f>'PC LIST'!P359</f>
        <v>No. of properties with low pressure (DG2) at the end of the reporting year</v>
      </c>
      <c r="CR11" s="56">
        <f>'PC LIST'!Q359</f>
        <v>0</v>
      </c>
      <c r="CS11" s="56" t="str">
        <f>'PC LIST'!J359</f>
        <v>NFI</v>
      </c>
      <c r="CT11" s="56">
        <f>'PC LIST'!CC359</f>
        <v>206</v>
      </c>
      <c r="CU11" s="56" t="str">
        <f>'PC LIST'!B414</f>
        <v>PR14UUWSW_B6</v>
      </c>
      <c r="CV11" s="57" t="str">
        <f>'PC LIST'!I414</f>
        <v>B6: Thirlmere transfer into West Cumbria</v>
      </c>
      <c r="CW11" s="57" t="str">
        <f>'PC LIST'!O414</f>
        <v>%</v>
      </c>
      <c r="CX11" s="57" t="str">
        <f>'PC LIST'!P414</f>
        <v>% project complete based on earned value tied to milestones</v>
      </c>
      <c r="CY11" s="56">
        <f>'PC LIST'!Q414</f>
        <v>0</v>
      </c>
      <c r="CZ11" s="56" t="str">
        <f>'PC LIST'!J414</f>
        <v>Out &amp; under</v>
      </c>
      <c r="DA11" s="56">
        <f>'PC LIST'!CC414</f>
        <v>24.7</v>
      </c>
      <c r="DB11" s="56" t="str">
        <f>'PC LIST'!B441</f>
        <v>PR14WSHWSW_E1</v>
      </c>
      <c r="DC11" s="57" t="str">
        <f>'PC LIST'!I441</f>
        <v>E1: Affordable bills - annual increase</v>
      </c>
      <c r="DD11" s="57" t="str">
        <f>'PC LIST'!O441</f>
        <v>%</v>
      </c>
      <c r="DE11" s="57" t="str">
        <f>'PC LIST'!P441</f>
        <v>% above or below inflation (affordability of bills)</v>
      </c>
      <c r="DF11" s="56">
        <f>'PC LIST'!Q441</f>
        <v>0</v>
      </c>
      <c r="DG11" s="56" t="str">
        <f>'PC LIST'!J441</f>
        <v>NFI</v>
      </c>
      <c r="DH11" s="743">
        <f>'PC LIST'!CC441</f>
        <v>-2</v>
      </c>
      <c r="DI11" s="56" t="str">
        <f>'PC LIST'!B472</f>
        <v>PR14WSXWSW_F1</v>
      </c>
      <c r="DJ11" s="57" t="str">
        <f>'PC LIST'!I472</f>
        <v>F1: Volume of water leaked</v>
      </c>
      <c r="DK11" s="57" t="str">
        <f>'PC LIST'!O472</f>
        <v>nr</v>
      </c>
      <c r="DL11" s="57" t="str">
        <f>'PC LIST'!P472</f>
        <v>Megalitres per day (Ml/d)</v>
      </c>
      <c r="DM11" s="56">
        <f>'PC LIST'!Q472</f>
        <v>1</v>
      </c>
      <c r="DN11" s="56" t="str">
        <f>'PC LIST'!J472</f>
        <v>Out &amp; under</v>
      </c>
      <c r="DO11" s="56">
        <f>'PC LIST'!CC472</f>
        <v>67.7</v>
      </c>
      <c r="DP11" s="56" t="str">
        <f>'PC LIST'!B504</f>
        <v>PR14YKYWSW_WC1</v>
      </c>
      <c r="DQ11" s="57" t="str">
        <f>'PC LIST'!I504</f>
        <v>WC1: Length of river improved (note: PC is part of a total commitment at Appointee level - see also SB4)</v>
      </c>
      <c r="DR11" s="57" t="str">
        <f>'PC LIST'!O504</f>
        <v>nr</v>
      </c>
      <c r="DS11" s="57" t="str">
        <f>'PC LIST'!P504</f>
        <v>Kilometres (km) of river improved (modelled length)</v>
      </c>
      <c r="DT11" s="56">
        <f>'PC LIST'!Q504</f>
        <v>0</v>
      </c>
      <c r="DU11" s="56" t="str">
        <f>'PC LIST'!J504</f>
        <v>Out &amp; under</v>
      </c>
      <c r="DV11" s="56" t="str">
        <f>'PC LIST'!CC504</f>
        <v>-</v>
      </c>
      <c r="DW11" s="56" t="str">
        <f>'PC LIST'!B538</f>
        <v>PR14HDDWSW_C1</v>
      </c>
      <c r="DX11" s="57" t="str">
        <f>'PC LIST'!I538</f>
        <v>C1: Gross operational greenhouse gas emissions</v>
      </c>
      <c r="DY11" s="57" t="str">
        <f>'PC LIST'!O538</f>
        <v>nr</v>
      </c>
      <c r="DZ11" s="57" t="str">
        <f>'PC LIST'!P538</f>
        <v>tCO2e</v>
      </c>
      <c r="EA11" s="56">
        <f>'PC LIST'!Q538</f>
        <v>0</v>
      </c>
      <c r="EB11" s="56" t="str">
        <f>'PC LIST'!J538</f>
        <v>NFI</v>
      </c>
      <c r="EC11" s="56" t="str">
        <f>'PC LIST'!CC538</f>
        <v>-</v>
      </c>
      <c r="ED11" s="56" t="str">
        <f>'PC LIST'!B584</f>
        <v>PR14SVEWSW_W-B5</v>
      </c>
      <c r="EE11" s="57" t="str">
        <f>'PC LIST'!I584</f>
        <v>W-B5: % of customers with resilient supplies (those that benefit from a second source of supply)</v>
      </c>
      <c r="EF11" s="57" t="str">
        <f>'PC LIST'!O584</f>
        <v>%</v>
      </c>
      <c r="EG11" s="57" t="str">
        <f>'PC LIST'!P584</f>
        <v>% customers with 2nd supply source</v>
      </c>
      <c r="EH11" s="56">
        <f>'PC LIST'!Q584</f>
        <v>1</v>
      </c>
      <c r="EI11" s="56" t="str">
        <f>'PC LIST'!J584</f>
        <v>Out &amp; under</v>
      </c>
      <c r="EJ11" s="56" t="str">
        <f>'PC LIST'!CC584</f>
        <v>-</v>
      </c>
    </row>
    <row r="12" spans="1:140" ht="15.75" customHeight="1">
      <c r="A12" s="56" t="str">
        <f>'PC LIST'!B12</f>
        <v>PR14AFWWSW_W-C3</v>
      </c>
      <c r="B12" s="56" t="str">
        <f>'PC LIST'!I12</f>
        <v>W-C3: Affected customers not notified of planned interruptions</v>
      </c>
      <c r="C12" s="56" t="str">
        <f>'PC LIST'!O12</f>
        <v>nr</v>
      </c>
      <c r="D12" s="56" t="str">
        <f>'PC LIST'!P12</f>
        <v>No. of GSS events</v>
      </c>
      <c r="E12" s="56">
        <f>'PC LIST'!Q12</f>
        <v>0</v>
      </c>
      <c r="F12" s="56" t="str">
        <f>'PC LIST'!J12</f>
        <v>NFI</v>
      </c>
      <c r="G12" s="56">
        <f>'PC LIST'!CC12</f>
        <v>282</v>
      </c>
      <c r="H12" s="56" t="str">
        <f>'PC LIST'!B25</f>
        <v>PR14ANHWSW_W-D4</v>
      </c>
      <c r="I12" s="57" t="str">
        <f>'PC LIST'!I25</f>
        <v>W-D4: Leakage - three-year average</v>
      </c>
      <c r="J12" s="57" t="str">
        <f>'PC LIST'!O25</f>
        <v>nr</v>
      </c>
      <c r="K12" s="57" t="str">
        <f>'PC LIST'!P25</f>
        <v>Megalitres per day (Ml/d)</v>
      </c>
      <c r="L12" s="56">
        <f>'PC LIST'!Q25</f>
        <v>0</v>
      </c>
      <c r="M12" s="56" t="str">
        <f>'PC LIST'!J25</f>
        <v>Out &amp; under</v>
      </c>
      <c r="N12" s="743">
        <f>'PC LIST'!CC25</f>
        <v>183.3</v>
      </c>
      <c r="O12" s="56" t="str">
        <f>'PC LIST'!B64</f>
        <v>PR14BRLWSW_G1</v>
      </c>
      <c r="P12" s="57" t="str">
        <f>'PC LIST'!I64</f>
        <v>G1: Meter penetration</v>
      </c>
      <c r="Q12" s="57" t="str">
        <f>'PC LIST'!O64</f>
        <v>%</v>
      </c>
      <c r="R12" s="57" t="str">
        <f>'PC LIST'!P64</f>
        <v xml:space="preserve">% metered supplies </v>
      </c>
      <c r="S12" s="56">
        <f>'PC LIST'!Q64</f>
        <v>1</v>
      </c>
      <c r="T12" s="56" t="str">
        <f>'PC LIST'!J64</f>
        <v>Out &amp; under</v>
      </c>
      <c r="U12" s="743">
        <f>'PC LIST'!CC64</f>
        <v>52.67</v>
      </c>
      <c r="V12" s="56" t="str">
        <f>'PC LIST'!B85</f>
        <v>PR14DVWWSW_D1</v>
      </c>
      <c r="W12" s="57" t="str">
        <f>'PC LIST'!I85</f>
        <v>D1: Customers’ perception based on market research</v>
      </c>
      <c r="X12" s="57" t="str">
        <f>'PC LIST'!O85</f>
        <v>%</v>
      </c>
      <c r="Y12" s="57" t="str">
        <f>'PC LIST'!P85</f>
        <v>% customer satisfaction</v>
      </c>
      <c r="Z12" s="56" t="str">
        <f>'PC LIST'!Q85</f>
        <v>na</v>
      </c>
      <c r="AA12" s="56" t="str">
        <f>'PC LIST'!J85</f>
        <v>NFI</v>
      </c>
      <c r="AB12" s="743">
        <f>'PC LIST'!CC85</f>
        <v>73</v>
      </c>
      <c r="AC12" s="56" t="str">
        <f>'PC LIST'!B98</f>
        <v>PR14NESWSW_W-D1</v>
      </c>
      <c r="AD12" s="58" t="str">
        <f>'PC LIST'!I98</f>
        <v>W-D1: NWL independent overall customer satisfaction score</v>
      </c>
      <c r="AE12" s="58" t="str">
        <f>'PC LIST'!O98</f>
        <v>score</v>
      </c>
      <c r="AF12" s="58" t="str">
        <f>'PC LIST'!P98</f>
        <v>Score between 0 and 10</v>
      </c>
      <c r="AG12" s="56">
        <f>'PC LIST'!Q98</f>
        <v>1</v>
      </c>
      <c r="AH12" s="56" t="str">
        <f>'PC LIST'!J98</f>
        <v>NFI</v>
      </c>
      <c r="AI12" s="56">
        <f>'PC LIST'!CC98</f>
        <v>8.6999999999999993</v>
      </c>
      <c r="AJ12" s="56" t="str">
        <f>'PC LIST'!B142</f>
        <v>PR14PRTWSW_E1</v>
      </c>
      <c r="AK12" s="57" t="str">
        <f>'PC LIST'!I142</f>
        <v>E1: RoSPA Health and Safety accreditation</v>
      </c>
      <c r="AL12" s="57" t="str">
        <f>'PC LIST'!O142</f>
        <v>text</v>
      </c>
      <c r="AM12" s="57" t="str">
        <f>'PC LIST'!P142</f>
        <v>RoSPA Gold award</v>
      </c>
      <c r="AN12" s="56" t="str">
        <f>'PC LIST'!Q142</f>
        <v>na</v>
      </c>
      <c r="AO12" s="56" t="str">
        <f>'PC LIST'!J142</f>
        <v>NFI</v>
      </c>
      <c r="AP12" s="744" t="str">
        <f>'PC LIST'!CC142</f>
        <v>Awarded</v>
      </c>
      <c r="AQ12" s="56" t="str">
        <f>'PC LIST'!B155</f>
        <v>PR14SBWWSW_D1</v>
      </c>
      <c r="AR12" s="57" t="str">
        <f>'PC LIST'!I155</f>
        <v>D1: Reduce energy used in water delivery</v>
      </c>
      <c r="AS12" s="57" t="str">
        <f>'PC LIST'!O155</f>
        <v>nr</v>
      </c>
      <c r="AT12" s="57" t="str">
        <f>'PC LIST'!P155</f>
        <v>kWh/Ml (kilowatt hours per megalitre)</v>
      </c>
      <c r="AU12" s="56">
        <f>'PC LIST'!Q155</f>
        <v>2</v>
      </c>
      <c r="AV12" s="56" t="str">
        <f>'PC LIST'!J155</f>
        <v>NFI</v>
      </c>
      <c r="AW12" s="743">
        <f>'PC LIST'!CC155</f>
        <v>604.92999999999995</v>
      </c>
      <c r="AX12" s="56" t="str">
        <f>'PC LIST'!B170</f>
        <v>PR14SESWSW_E1</v>
      </c>
      <c r="AY12" s="57" t="str">
        <f>'PC LIST'!I170</f>
        <v>E1: Level of leakage measured in megalitres per day (including customer supply pipe leakage)</v>
      </c>
      <c r="AZ12" s="57" t="str">
        <f>'PC LIST'!O170</f>
        <v>nr</v>
      </c>
      <c r="BA12" s="57" t="str">
        <f>'PC LIST'!P170</f>
        <v>Megalitres per day (Ml/d)</v>
      </c>
      <c r="BB12" s="56">
        <f>'PC LIST'!Q170</f>
        <v>2</v>
      </c>
      <c r="BC12" s="56" t="str">
        <f>'PC LIST'!J170</f>
        <v>Out &amp; under</v>
      </c>
      <c r="BD12" s="744">
        <f>'PC LIST'!CC170</f>
        <v>24.2</v>
      </c>
      <c r="BE12" s="56" t="str">
        <f>'PC LIST'!B191</f>
        <v>PR14SEWWSW_G1</v>
      </c>
      <c r="BF12" s="57" t="str">
        <f>'PC LIST'!I191</f>
        <v>G1: Customer satisfaction - frequency and duration of supply interruptions</v>
      </c>
      <c r="BG12" s="57" t="str">
        <f>'PC LIST'!O191</f>
        <v>score</v>
      </c>
      <c r="BH12" s="57" t="str">
        <f>'PC LIST'!P191</f>
        <v>Customer satisfaction score out of 5</v>
      </c>
      <c r="BI12" s="56">
        <f>'PC LIST'!Q191</f>
        <v>1</v>
      </c>
      <c r="BJ12" s="56" t="str">
        <f>'PC LIST'!J191</f>
        <v>Out &amp; under</v>
      </c>
      <c r="BK12" s="56">
        <f>'PC LIST'!CC191</f>
        <v>4.5999999999999996</v>
      </c>
      <c r="BL12" s="56" t="str">
        <f>'PC LIST'!B225</f>
        <v>PR14SRNWSWW_1</v>
      </c>
      <c r="BM12" s="57" t="str">
        <f>'PC LIST'!I225</f>
        <v>1: Wastewater asset health (sewer collapses, WwTW PE compliance, external flooding - other causes)</v>
      </c>
      <c r="BN12" s="57" t="str">
        <f>'PC LIST'!O225</f>
        <v>category</v>
      </c>
      <c r="BO12" s="57" t="str">
        <f>'PC LIST'!P225</f>
        <v>Asset health indicator</v>
      </c>
      <c r="BP12" s="56" t="str">
        <f>'PC LIST'!Q225</f>
        <v>na</v>
      </c>
      <c r="BQ12" s="56" t="str">
        <f>'PC LIST'!J225</f>
        <v>Under</v>
      </c>
      <c r="BR12" s="56" t="str">
        <f>'PC LIST'!CC225</f>
        <v>Stable</v>
      </c>
      <c r="BS12" s="56" t="str">
        <f>'PC LIST'!B258</f>
        <v>PR14SSCWSW_4.5</v>
      </c>
      <c r="BT12" s="57" t="str">
        <f>'PC LIST'!I258</f>
        <v>4.5: Carbon emissions from power consumption (tonnes, combined company)</v>
      </c>
      <c r="BU12" s="57" t="str">
        <f>'PC LIST'!O258</f>
        <v>nr</v>
      </c>
      <c r="BV12" s="57" t="str">
        <f>'PC LIST'!P258</f>
        <v>tCO2e (tonnes CO2e) in real savings</v>
      </c>
      <c r="BW12" s="56">
        <f>'PC LIST'!Q258</f>
        <v>0</v>
      </c>
      <c r="BX12" s="56" t="str">
        <f>'PC LIST'!J258</f>
        <v>NFI</v>
      </c>
      <c r="BY12" s="56">
        <f>'PC LIST'!CC258</f>
        <v>550</v>
      </c>
      <c r="BZ12" s="56" t="str">
        <f>'PC LIST'!B273</f>
        <v>PR14SVTWSW_W-B6</v>
      </c>
      <c r="CA12" s="57" t="str">
        <f>'PC LIST'!I273</f>
        <v>W-B6: Asset stewardship - mains bursts</v>
      </c>
      <c r="CB12" s="57" t="str">
        <f>'PC LIST'!O273</f>
        <v>nr</v>
      </c>
      <c r="CC12" s="57" t="str">
        <f>'PC LIST'!P273</f>
        <v>No. of burst mains per year</v>
      </c>
      <c r="CD12" s="56">
        <f>'PC LIST'!Q273</f>
        <v>0</v>
      </c>
      <c r="CE12" s="56" t="str">
        <f>'PC LIST'!J273</f>
        <v>Under</v>
      </c>
      <c r="CF12" s="744">
        <f>'PC LIST'!CC273</f>
        <v>5825</v>
      </c>
      <c r="CG12" s="56" t="str">
        <f>'PC LIST'!B318</f>
        <v>PR14SWTWSW_W-B5</v>
      </c>
      <c r="CH12" s="59" t="str">
        <f>'PC LIST'!I318</f>
        <v>W-B5: Security of supply index (SoSI)</v>
      </c>
      <c r="CI12" s="59" t="str">
        <f>'PC LIST'!O318</f>
        <v>score</v>
      </c>
      <c r="CJ12" s="59" t="str">
        <f>'PC LIST'!P318</f>
        <v>Security of Supply Index (SOSI)</v>
      </c>
      <c r="CK12" s="56">
        <f>'PC LIST'!Q318</f>
        <v>0</v>
      </c>
      <c r="CL12" s="56" t="str">
        <f>'PC LIST'!J318</f>
        <v>NFI</v>
      </c>
      <c r="CM12" s="743">
        <f>'PC LIST'!CC318</f>
        <v>100</v>
      </c>
      <c r="CN12" s="56" t="str">
        <f>'PC LIST'!B360</f>
        <v>PR14TMSWSW_WB5</v>
      </c>
      <c r="CO12" s="57" t="str">
        <f>'PC LIST'!I360</f>
        <v>WB5: Average hours lost supply per property served, due to interruptions &gt; 4 hours</v>
      </c>
      <c r="CP12" s="57" t="str">
        <f>'PC LIST'!O360</f>
        <v>time</v>
      </c>
      <c r="CQ12" s="57" t="str">
        <f>'PC LIST'!P360</f>
        <v>Hours lost supply per property served</v>
      </c>
      <c r="CR12" s="56">
        <f>'PC LIST'!Q360</f>
        <v>2</v>
      </c>
      <c r="CS12" s="56" t="str">
        <f>'PC LIST'!J360</f>
        <v>Out &amp; under</v>
      </c>
      <c r="CT12" s="56">
        <f>'PC LIST'!CC360</f>
        <v>0.21</v>
      </c>
      <c r="CU12" s="56" t="str">
        <f>'PC LIST'!B415</f>
        <v>PR14UUWSW_C1</v>
      </c>
      <c r="CV12" s="57" t="str">
        <f>'PC LIST'!I415</f>
        <v>C1: Contribution to rivers improved - water programme (NEP schemes and abstraction changes at 4 AIM sites)</v>
      </c>
      <c r="CW12" s="57" t="str">
        <f>'PC LIST'!O415</f>
        <v>nr</v>
      </c>
      <c r="CX12" s="57" t="str">
        <f>'PC LIST'!P415</f>
        <v>Kilometres (km) of river improved (cumulative)</v>
      </c>
      <c r="CY12" s="56">
        <f>'PC LIST'!Q415</f>
        <v>1</v>
      </c>
      <c r="CZ12" s="56" t="str">
        <f>'PC LIST'!J415</f>
        <v>Out &amp; under</v>
      </c>
      <c r="DA12" s="56">
        <f>'PC LIST'!CC415</f>
        <v>80.599999999999994</v>
      </c>
      <c r="DB12" s="56" t="str">
        <f>'PC LIST'!B442</f>
        <v>PR14WSHWSW_F1</v>
      </c>
      <c r="DC12" s="57" t="str">
        <f>'PC LIST'!I442</f>
        <v>F1: Asset serviceability</v>
      </c>
      <c r="DD12" s="57" t="str">
        <f>'PC LIST'!O442</f>
        <v>category</v>
      </c>
      <c r="DE12" s="57" t="str">
        <f>'PC LIST'!P442</f>
        <v>Asset health indicator</v>
      </c>
      <c r="DF12" s="56" t="str">
        <f>'PC LIST'!Q442</f>
        <v>na</v>
      </c>
      <c r="DG12" s="56" t="str">
        <f>'PC LIST'!J442</f>
        <v>Under</v>
      </c>
      <c r="DH12" s="743" t="str">
        <f>'PC LIST'!CC442</f>
        <v>Stable</v>
      </c>
      <c r="DI12" s="56" t="str">
        <f>'PC LIST'!B473</f>
        <v>PR14WSXWSW_F2</v>
      </c>
      <c r="DJ12" s="57" t="str">
        <f>'PC LIST'!I473</f>
        <v>F2: Customer reported leaks fixed within a day</v>
      </c>
      <c r="DK12" s="57" t="str">
        <f>'PC LIST'!O473</f>
        <v>%</v>
      </c>
      <c r="DL12" s="57" t="str">
        <f>'PC LIST'!P473</f>
        <v>% customer reported leaks fixed within a day</v>
      </c>
      <c r="DM12" s="56">
        <f>'PC LIST'!Q473</f>
        <v>0</v>
      </c>
      <c r="DN12" s="56" t="str">
        <f>'PC LIST'!J473</f>
        <v>NFI</v>
      </c>
      <c r="DO12" s="56">
        <f>'PC LIST'!CC473</f>
        <v>76</v>
      </c>
      <c r="DP12" s="56" t="str">
        <f>'PC LIST'!B505</f>
        <v>PR14YKYWSW_WC2</v>
      </c>
      <c r="DQ12" s="57" t="str">
        <f>'PC LIST'!I505</f>
        <v>WC2: Solutions delivered by working with others (note: PC is part of a total commitment at Appointee level - see also SB3)</v>
      </c>
      <c r="DR12" s="57" t="str">
        <f>'PC LIST'!O505</f>
        <v>nr</v>
      </c>
      <c r="DS12" s="57" t="str">
        <f>'PC LIST'!P505</f>
        <v>No. of solutions delivered by working with others</v>
      </c>
      <c r="DT12" s="56">
        <f>'PC LIST'!Q505</f>
        <v>0</v>
      </c>
      <c r="DU12" s="56" t="str">
        <f>'PC LIST'!J505</f>
        <v>Out</v>
      </c>
      <c r="DV12" s="56">
        <f>'PC LIST'!CC505</f>
        <v>12</v>
      </c>
      <c r="DW12" s="56" t="str">
        <f>'PC LIST'!B539</f>
        <v>PR14HDDWSW_D1</v>
      </c>
      <c r="DX12" s="57" t="str">
        <f>'PC LIST'!I539</f>
        <v>D1: Customers’ perception based on market research</v>
      </c>
      <c r="DY12" s="57" t="str">
        <f>'PC LIST'!O539</f>
        <v>%</v>
      </c>
      <c r="DZ12" s="57" t="str">
        <f>'PC LIST'!P539</f>
        <v>% customer satisfaction</v>
      </c>
      <c r="EA12" s="56" t="str">
        <f>'PC LIST'!Q539</f>
        <v>na</v>
      </c>
      <c r="EB12" s="56" t="str">
        <f>'PC LIST'!J539</f>
        <v>NFI</v>
      </c>
      <c r="EC12" s="56" t="str">
        <f>'PC LIST'!CC539</f>
        <v>-</v>
      </c>
      <c r="ED12" s="56" t="str">
        <f>'PC LIST'!B585</f>
        <v>PR14SVEWSW_W-B6</v>
      </c>
      <c r="EE12" s="57" t="str">
        <f>'PC LIST'!I585</f>
        <v>W-B6: Asset stewardship - mains bursts</v>
      </c>
      <c r="EF12" s="57" t="str">
        <f>'PC LIST'!O585</f>
        <v>nr</v>
      </c>
      <c r="EG12" s="57" t="str">
        <f>'PC LIST'!P585</f>
        <v>No. of burst mains per year</v>
      </c>
      <c r="EH12" s="56">
        <f>'PC LIST'!Q585</f>
        <v>0</v>
      </c>
      <c r="EI12" s="56" t="str">
        <f>'PC LIST'!J585</f>
        <v>Under</v>
      </c>
      <c r="EJ12" s="56" t="str">
        <f>'PC LIST'!CC585</f>
        <v>-</v>
      </c>
    </row>
    <row r="13" spans="1:140" ht="15.75" customHeight="1">
      <c r="A13" s="56" t="str">
        <f>'PC LIST'!B13</f>
        <v>PR14AFWWSW_W-C4</v>
      </c>
      <c r="B13" s="56" t="str">
        <f>'PC LIST'!I13</f>
        <v>W-C4: Planned work taking longer to complete than notified</v>
      </c>
      <c r="C13" s="56" t="str">
        <f>'PC LIST'!O13</f>
        <v>nr</v>
      </c>
      <c r="D13" s="56" t="str">
        <f>'PC LIST'!P13</f>
        <v>No. of GSS events</v>
      </c>
      <c r="E13" s="56">
        <f>'PC LIST'!Q13</f>
        <v>0</v>
      </c>
      <c r="F13" s="56" t="str">
        <f>'PC LIST'!J13</f>
        <v>NFI</v>
      </c>
      <c r="G13" s="56">
        <f>'PC LIST'!CC13</f>
        <v>484</v>
      </c>
      <c r="H13" s="56" t="str">
        <f>'PC LIST'!B26</f>
        <v>PR14ANHWSW_W-E1</v>
      </c>
      <c r="I13" s="57" t="str">
        <f>'PC LIST'!I26</f>
        <v>W-E1: Percentage of SSSIs (by area) with favourable status</v>
      </c>
      <c r="J13" s="57" t="str">
        <f>'PC LIST'!O26</f>
        <v>%</v>
      </c>
      <c r="K13" s="57" t="str">
        <f>'PC LIST'!P26</f>
        <v>% SSSIs with favourable status</v>
      </c>
      <c r="L13" s="56">
        <f>'PC LIST'!Q26</f>
        <v>0</v>
      </c>
      <c r="M13" s="56" t="str">
        <f>'PC LIST'!J26</f>
        <v>NFI</v>
      </c>
      <c r="N13" s="743">
        <f>'PC LIST'!CC26</f>
        <v>98.832999999999998</v>
      </c>
      <c r="O13" s="56" t="str">
        <f>'PC LIST'!B65</f>
        <v>PR14BRLWSW_H1</v>
      </c>
      <c r="P13" s="57" t="str">
        <f>'PC LIST'!I65</f>
        <v>H1: Total carbon emissions</v>
      </c>
      <c r="Q13" s="57" t="str">
        <f>'PC LIST'!O65</f>
        <v>nr</v>
      </c>
      <c r="R13" s="57" t="str">
        <f>'PC LIST'!P65</f>
        <v>kgCO2e per person</v>
      </c>
      <c r="S13" s="56">
        <f>'PC LIST'!Q65</f>
        <v>0</v>
      </c>
      <c r="T13" s="56" t="str">
        <f>'PC LIST'!J65</f>
        <v>NFI</v>
      </c>
      <c r="U13" s="743">
        <f>'PC LIST'!CC65</f>
        <v>28.35</v>
      </c>
      <c r="V13" s="56" t="str">
        <f>'PC LIST'!B86</f>
        <v>PR14DVWNHHR_F1</v>
      </c>
      <c r="W13" s="57" t="str">
        <f>'PC LIST'!I86</f>
        <v>F1: Non-household Service incentive mechanism (SIM)</v>
      </c>
      <c r="X13" s="57" t="str">
        <f>'PC LIST'!O86</f>
        <v>score</v>
      </c>
      <c r="Y13" s="57" t="str">
        <f>'PC LIST'!P86</f>
        <v>Service incentive mechanism (SIM) score</v>
      </c>
      <c r="Z13" s="56">
        <f>'PC LIST'!Q86</f>
        <v>1</v>
      </c>
      <c r="AA13" s="56" t="str">
        <f>'PC LIST'!J86</f>
        <v>Out &amp; under</v>
      </c>
      <c r="AB13" s="743">
        <f>'PC LIST'!CC86</f>
        <v>94</v>
      </c>
      <c r="AC13" s="56" t="str">
        <f>'PC LIST'!B99</f>
        <v>PR14NESWSW_W-D2</v>
      </c>
      <c r="AD13" s="58" t="str">
        <f>'PC LIST'!I99</f>
        <v>W-D2: Service incentive mechanism (SIM)</v>
      </c>
      <c r="AE13" s="58" t="str">
        <f>'PC LIST'!O99</f>
        <v>score</v>
      </c>
      <c r="AF13" s="58" t="str">
        <f>'PC LIST'!P99</f>
        <v>Service incentive mechanism (SIM) score</v>
      </c>
      <c r="AG13" s="56">
        <f>'PC LIST'!Q99</f>
        <v>1</v>
      </c>
      <c r="AH13" s="56" t="str">
        <f>'PC LIST'!J99</f>
        <v>Out &amp; under</v>
      </c>
      <c r="AI13" s="56">
        <f>'PC LIST'!CC99</f>
        <v>86.39</v>
      </c>
      <c r="AJ13" s="56" t="str">
        <f>'PC LIST'!B143</f>
        <v>PR14PRTHHR_A1</v>
      </c>
      <c r="AK13" s="57" t="str">
        <f>'PC LIST'!I143</f>
        <v>A1: Service incentive mechanism (SIM)</v>
      </c>
      <c r="AL13" s="57" t="str">
        <f>'PC LIST'!O143</f>
        <v>text</v>
      </c>
      <c r="AM13" s="57" t="str">
        <f>'PC LIST'!P143</f>
        <v>Service incentive mechanism (SIM) score ranking</v>
      </c>
      <c r="AN13" s="56" t="str">
        <f>'PC LIST'!Q143</f>
        <v>na</v>
      </c>
      <c r="AO13" s="56" t="str">
        <f>'PC LIST'!J143</f>
        <v>Out &amp; under</v>
      </c>
      <c r="AP13" s="744">
        <f>'PC LIST'!CC143</f>
        <v>87.9</v>
      </c>
      <c r="AQ13" s="56" t="str">
        <f>'PC LIST'!B156</f>
        <v>PR14SBWWSW_D2</v>
      </c>
      <c r="AR13" s="57" t="str">
        <f>'PC LIST'!I156</f>
        <v>D2: Help support a natural healthy water environment (in addition to NEP statutory obligation work)</v>
      </c>
      <c r="AS13" s="57" t="str">
        <f>'PC LIST'!O156</f>
        <v>text</v>
      </c>
      <c r="AT13" s="57" t="str">
        <f>'PC LIST'!P156</f>
        <v>Annual review of environmental work</v>
      </c>
      <c r="AU13" s="56" t="str">
        <f>'PC LIST'!Q156</f>
        <v>na</v>
      </c>
      <c r="AV13" s="56" t="str">
        <f>'PC LIST'!J156</f>
        <v>NFI</v>
      </c>
      <c r="AW13" s="743" t="str">
        <f>'PC LIST'!CC156</f>
        <v>Met</v>
      </c>
      <c r="AX13" s="56" t="str">
        <f>'PC LIST'!B171</f>
        <v>PR14SESWSW_E2</v>
      </c>
      <c r="AY13" s="57" t="str">
        <f>'PC LIST'!I171</f>
        <v>E2: Per capita consumption (PCC), measured in litres per head per day (l/h/d)</v>
      </c>
      <c r="AZ13" s="57" t="str">
        <f>'PC LIST'!O171</f>
        <v>nr</v>
      </c>
      <c r="BA13" s="57" t="str">
        <f>'PC LIST'!P171</f>
        <v>Litres per head per day (l/h/d)</v>
      </c>
      <c r="BB13" s="56">
        <f>'PC LIST'!Q171</f>
        <v>1</v>
      </c>
      <c r="BC13" s="56" t="str">
        <f>'PC LIST'!J171</f>
        <v>Under</v>
      </c>
      <c r="BD13" s="744">
        <f>'PC LIST'!CC171</f>
        <v>158.80000000000001</v>
      </c>
      <c r="BE13" s="56" t="str">
        <f>'PC LIST'!B192</f>
        <v>PR14SEWWSW_G2</v>
      </c>
      <c r="BF13" s="57" t="str">
        <f>'PC LIST'!I192</f>
        <v>G2: Average time lost per property (measured in minutes, per property served)</v>
      </c>
      <c r="BG13" s="57" t="str">
        <f>'PC LIST'!O192</f>
        <v>time</v>
      </c>
      <c r="BH13" s="57" t="str">
        <f>'PC LIST'!P192</f>
        <v>Minutes / property / year</v>
      </c>
      <c r="BI13" s="56">
        <f>'PC LIST'!Q192</f>
        <v>1</v>
      </c>
      <c r="BJ13" s="56" t="str">
        <f>'PC LIST'!J192</f>
        <v>Out &amp; under</v>
      </c>
      <c r="BK13" s="56">
        <f>'PC LIST'!CC192</f>
        <v>44.6</v>
      </c>
      <c r="BL13" s="56" t="str">
        <f>'PC LIST'!B226</f>
        <v>PR14SRNWSWW_1a</v>
      </c>
      <c r="BM13" s="57" t="str">
        <f>'PC LIST'!I226</f>
        <v>1a: Category 3 pollution incidents (including transferred assets and excluding private pumping stations)</v>
      </c>
      <c r="BN13" s="57" t="str">
        <f>'PC LIST'!O226</f>
        <v>nr</v>
      </c>
      <c r="BO13" s="57" t="str">
        <f>'PC LIST'!P226</f>
        <v>No. of pollution incidents (cat 3)</v>
      </c>
      <c r="BP13" s="56">
        <f>'PC LIST'!Q226</f>
        <v>0</v>
      </c>
      <c r="BQ13" s="56" t="str">
        <f>'PC LIST'!J226</f>
        <v>Under</v>
      </c>
      <c r="BR13" s="56">
        <f>'PC LIST'!CC226</f>
        <v>131</v>
      </c>
      <c r="BS13" s="56" t="str">
        <f>'PC LIST'!B259</f>
        <v>PR14SSCWSW_5.1</v>
      </c>
      <c r="BT13" s="57" t="str">
        <f>'PC LIST'!I259</f>
        <v>5.1: Independent customer surveys of value for money and affordability (combined company)</v>
      </c>
      <c r="BU13" s="57" t="str">
        <f>'PC LIST'!O259</f>
        <v>%</v>
      </c>
      <c r="BV13" s="57" t="str">
        <f>'PC LIST'!P259</f>
        <v>% customers satisfied with vfm &amp; affordability</v>
      </c>
      <c r="BW13" s="56">
        <f>'PC LIST'!Q259</f>
        <v>0</v>
      </c>
      <c r="BX13" s="56" t="str">
        <f>'PC LIST'!J259</f>
        <v>NFI</v>
      </c>
      <c r="BY13" s="56">
        <f>'PC LIST'!CC259</f>
        <v>94</v>
      </c>
      <c r="BZ13" s="56" t="str">
        <f>'PC LIST'!B274</f>
        <v>PR14SVTWSW_W-B7</v>
      </c>
      <c r="CA13" s="57" t="str">
        <f>'PC LIST'!I274</f>
        <v>W-B7: Customers at risk of low pressure</v>
      </c>
      <c r="CB13" s="57" t="str">
        <f>'PC LIST'!O274</f>
        <v>nr</v>
      </c>
      <c r="CC13" s="57" t="str">
        <f>'PC LIST'!P274</f>
        <v>No. customers at risk of low pressure</v>
      </c>
      <c r="CD13" s="56">
        <f>'PC LIST'!Q274</f>
        <v>0</v>
      </c>
      <c r="CE13" s="56" t="str">
        <f>'PC LIST'!J274</f>
        <v>Out &amp; under</v>
      </c>
      <c r="CF13" s="744">
        <f>'PC LIST'!CC274</f>
        <v>204</v>
      </c>
      <c r="CG13" s="56" t="str">
        <f>'PC LIST'!B319</f>
        <v>PR14SWTWSW_W-C1</v>
      </c>
      <c r="CH13" s="59" t="str">
        <f>'PC LIST'!I319</f>
        <v>W-C1: Supplies interrupted due to flooded South West Water sites</v>
      </c>
      <c r="CI13" s="59" t="str">
        <f>'PC LIST'!O319</f>
        <v>nr</v>
      </c>
      <c r="CJ13" s="59" t="str">
        <f>'PC LIST'!P319</f>
        <v>No. of events over AMP6</v>
      </c>
      <c r="CK13" s="56">
        <f>'PC LIST'!Q319</f>
        <v>0</v>
      </c>
      <c r="CL13" s="56" t="str">
        <f>'PC LIST'!J319</f>
        <v>Out &amp; under</v>
      </c>
      <c r="CM13" s="743">
        <f>'PC LIST'!CC319</f>
        <v>0</v>
      </c>
      <c r="CN13" s="56" t="str">
        <f>'PC LIST'!B361</f>
        <v>PR14TMSWSW_WB6</v>
      </c>
      <c r="CO13" s="57" t="str">
        <f>'PC LIST'!I361</f>
        <v>WB6: Security of Supply Index - Ofwat KPI</v>
      </c>
      <c r="CP13" s="57" t="str">
        <f>'PC LIST'!O361</f>
        <v>score</v>
      </c>
      <c r="CQ13" s="57" t="str">
        <f>'PC LIST'!P361</f>
        <v>Security of Supply Index (SOSI)</v>
      </c>
      <c r="CR13" s="56">
        <f>'PC LIST'!Q361</f>
        <v>0</v>
      </c>
      <c r="CS13" s="56" t="str">
        <f>'PC LIST'!J361</f>
        <v>Under</v>
      </c>
      <c r="CT13" s="56">
        <f>'PC LIST'!CC361</f>
        <v>97</v>
      </c>
      <c r="CU13" s="56" t="str">
        <f>'PC LIST'!B416</f>
        <v>PR14UUWSW_D1</v>
      </c>
      <c r="CV13" s="57" t="str">
        <f>'PC LIST'!I416</f>
        <v>D1: Delivering our commitments to developers, local authorities and highway authorities</v>
      </c>
      <c r="CW13" s="57" t="str">
        <f>'PC LIST'!O416</f>
        <v>%</v>
      </c>
      <c r="CX13" s="57" t="str">
        <f>'PC LIST'!P416</f>
        <v>% of jobs completed within response times</v>
      </c>
      <c r="CY13" s="56">
        <f>'PC LIST'!Q416</f>
        <v>0</v>
      </c>
      <c r="CZ13" s="56" t="str">
        <f>'PC LIST'!J416</f>
        <v>NFI</v>
      </c>
      <c r="DA13" s="56">
        <f>'PC LIST'!CC416</f>
        <v>94</v>
      </c>
      <c r="DB13" s="56" t="str">
        <f>'PC LIST'!B443</f>
        <v>PR14WSHWSW_F2</v>
      </c>
      <c r="DC13" s="57" t="str">
        <f>'PC LIST'!I443</f>
        <v>F2: Leakage</v>
      </c>
      <c r="DD13" s="57" t="str">
        <f>'PC LIST'!O443</f>
        <v>nr</v>
      </c>
      <c r="DE13" s="57" t="str">
        <f>'PC LIST'!P443</f>
        <v>Megalitres per day (Ml/d)</v>
      </c>
      <c r="DF13" s="56">
        <f>'PC LIST'!Q443</f>
        <v>0</v>
      </c>
      <c r="DG13" s="56" t="str">
        <f>'PC LIST'!J443</f>
        <v>Out &amp; under</v>
      </c>
      <c r="DH13" s="743">
        <f>'PC LIST'!CC443</f>
        <v>173</v>
      </c>
      <c r="DI13" s="56" t="str">
        <f>'PC LIST'!B474</f>
        <v>PR14WSXWSW_G1</v>
      </c>
      <c r="DJ13" s="57" t="str">
        <f>'PC LIST'!I474</f>
        <v>G1: Customer contacts about drinking water quality</v>
      </c>
      <c r="DK13" s="57" t="str">
        <f>'PC LIST'!O474</f>
        <v>nr</v>
      </c>
      <c r="DL13" s="57" t="str">
        <f>'PC LIST'!P474</f>
        <v>No. contacts in the year about drinking water quality</v>
      </c>
      <c r="DM13" s="56">
        <f>'PC LIST'!Q474</f>
        <v>0</v>
      </c>
      <c r="DN13" s="56" t="str">
        <f>'PC LIST'!J474</f>
        <v>Out &amp; under</v>
      </c>
      <c r="DO13" s="56">
        <f>'PC LIST'!CC474</f>
        <v>2031</v>
      </c>
      <c r="DP13" s="56" t="str">
        <f>'PC LIST'!B506</f>
        <v>PR14YKYWSW_WC3</v>
      </c>
      <c r="DQ13" s="57" t="str">
        <f>'PC LIST'!I506</f>
        <v>WC3: Amount of land conserved and enhanced (total cumulative area) (note: PC is part of a total commitment at Appointee level - see also SB5)</v>
      </c>
      <c r="DR13" s="57" t="str">
        <f>'PC LIST'!O506</f>
        <v>nr</v>
      </c>
      <c r="DS13" s="57" t="str">
        <f>'PC LIST'!P506</f>
        <v>No. of hectares of land conserved &amp; enhanced (cumulative)</v>
      </c>
      <c r="DT13" s="56">
        <f>'PC LIST'!Q506</f>
        <v>0</v>
      </c>
      <c r="DU13" s="56" t="str">
        <f>'PC LIST'!J506</f>
        <v>Out &amp; under</v>
      </c>
      <c r="DV13" s="56">
        <f>'PC LIST'!CC506</f>
        <v>11479</v>
      </c>
      <c r="DW13" s="56" t="str">
        <f>'PC LIST'!B540</f>
        <v>PR14HDDNHHR_F1</v>
      </c>
      <c r="DX13" s="57" t="str">
        <f>'PC LIST'!I540</f>
        <v>F1: Non-household Service incentive mechanism (SIM)</v>
      </c>
      <c r="DY13" s="57" t="str">
        <f>'PC LIST'!O540</f>
        <v>score</v>
      </c>
      <c r="DZ13" s="57" t="str">
        <f>'PC LIST'!P540</f>
        <v>Service incentive mechanism (SIM) score</v>
      </c>
      <c r="EA13" s="56">
        <f>'PC LIST'!Q540</f>
        <v>1</v>
      </c>
      <c r="EB13" s="56" t="str">
        <f>'PC LIST'!J540</f>
        <v>Out &amp; under</v>
      </c>
      <c r="EC13" s="56" t="str">
        <f>'PC LIST'!CC540</f>
        <v>-</v>
      </c>
      <c r="ED13" s="56" t="str">
        <f>'PC LIST'!B586</f>
        <v>PR14SVEWSW_W-B7</v>
      </c>
      <c r="EE13" s="57" t="str">
        <f>'PC LIST'!I586</f>
        <v>W-B7: Customers at risk of low pressure</v>
      </c>
      <c r="EF13" s="57" t="str">
        <f>'PC LIST'!O586</f>
        <v>nr</v>
      </c>
      <c r="EG13" s="57" t="str">
        <f>'PC LIST'!P586</f>
        <v>No. customers at risk of low pressure</v>
      </c>
      <c r="EH13" s="56">
        <f>'PC LIST'!Q586</f>
        <v>0</v>
      </c>
      <c r="EI13" s="56" t="str">
        <f>'PC LIST'!J586</f>
        <v>Out &amp; under</v>
      </c>
      <c r="EJ13" s="56" t="str">
        <f>'PC LIST'!CC586</f>
        <v>-</v>
      </c>
    </row>
    <row r="14" spans="1:140" ht="15.75" customHeight="1">
      <c r="A14" s="56" t="str">
        <f>'PC LIST'!B14</f>
        <v>PR14AFWHHR_R-A1</v>
      </c>
      <c r="B14" s="56" t="str">
        <f>'PC LIST'!I14</f>
        <v>R-A1: SIM service score</v>
      </c>
      <c r="C14" s="56" t="str">
        <f>'PC LIST'!O14</f>
        <v>score</v>
      </c>
      <c r="D14" s="56" t="str">
        <f>'PC LIST'!P14</f>
        <v>Service incentive mechanism (SIM) score</v>
      </c>
      <c r="E14" s="56">
        <f>'PC LIST'!Q14</f>
        <v>2</v>
      </c>
      <c r="F14" s="56" t="str">
        <f>'PC LIST'!J14</f>
        <v>Out &amp; under</v>
      </c>
      <c r="G14" s="56">
        <f>'PC LIST'!CC14</f>
        <v>80.909102903993897</v>
      </c>
      <c r="H14" s="56" t="str">
        <f>'PC LIST'!B27</f>
        <v>PR14ANHWSW_W-E2</v>
      </c>
      <c r="I14" s="57" t="str">
        <f>'PC LIST'!I27</f>
        <v>W-E2: Environmental compliance (water)</v>
      </c>
      <c r="J14" s="57" t="str">
        <f>'PC LIST'!O27</f>
        <v>nr</v>
      </c>
      <c r="K14" s="57" t="str">
        <f>'PC LIST'!P27</f>
        <v>No. of obligations delivered</v>
      </c>
      <c r="L14" s="56">
        <f>'PC LIST'!Q27</f>
        <v>0</v>
      </c>
      <c r="M14" s="56" t="str">
        <f>'PC LIST'!J27</f>
        <v>Under</v>
      </c>
      <c r="N14" s="743">
        <f>'PC LIST'!CC27</f>
        <v>4</v>
      </c>
      <c r="O14" s="56" t="str">
        <f>'PC LIST'!B66</f>
        <v>PR14BRLWSW_H2</v>
      </c>
      <c r="P14" s="57" t="str">
        <f>'PC LIST'!I66</f>
        <v>H2: Raw water quality of sources</v>
      </c>
      <c r="Q14" s="57" t="str">
        <f>'PC LIST'!O66</f>
        <v>category</v>
      </c>
      <c r="R14" s="57" t="str">
        <f>'PC LIST'!P66</f>
        <v>Raw water quality indicator
(reported as deteriorating, marginal, stable or improving)</v>
      </c>
      <c r="S14" s="56">
        <f>'PC LIST'!Q66</f>
        <v>0</v>
      </c>
      <c r="T14" s="56" t="str">
        <f>'PC LIST'!J66</f>
        <v>NFI</v>
      </c>
      <c r="U14" s="743">
        <f>'PC LIST'!CC66</f>
        <v>-1</v>
      </c>
      <c r="V14" s="56" t="str">
        <f>'PC LIST'!B87</f>
        <v>PR14DVWHHR_E1</v>
      </c>
      <c r="W14" s="57" t="str">
        <f>'PC LIST'!I87</f>
        <v>E1: Per capita consumption and water efficiency</v>
      </c>
      <c r="X14" s="57" t="str">
        <f>'PC LIST'!O87</f>
        <v>nr</v>
      </c>
      <c r="Y14" s="57" t="str">
        <f>'PC LIST'!P87</f>
        <v>Litres per capita per day</v>
      </c>
      <c r="Z14" s="56">
        <f>'PC LIST'!Q87</f>
        <v>2</v>
      </c>
      <c r="AA14" s="56" t="str">
        <f>'PC LIST'!J87</f>
        <v>NFI</v>
      </c>
      <c r="AB14" s="743">
        <f>'PC LIST'!CC87</f>
        <v>136.57</v>
      </c>
      <c r="AC14" s="56" t="str">
        <f>'PC LIST'!B100</f>
        <v>PR14NESWSW_W-D3</v>
      </c>
      <c r="AD14" s="58" t="str">
        <f>'PC LIST'!I100</f>
        <v>W-D3: Domestic customer satisfaction, net promoter score</v>
      </c>
      <c r="AE14" s="58" t="str">
        <f>'PC LIST'!O100</f>
        <v>%</v>
      </c>
      <c r="AF14" s="58" t="str">
        <f>'PC LIST'!P100</f>
        <v>% customer satisfaction</v>
      </c>
      <c r="AG14" s="56">
        <f>'PC LIST'!Q100</f>
        <v>0</v>
      </c>
      <c r="AH14" s="56" t="str">
        <f>'PC LIST'!J100</f>
        <v>NFI</v>
      </c>
      <c r="AI14" s="56">
        <f>'PC LIST'!CC100</f>
        <v>44</v>
      </c>
      <c r="AJ14" s="56" t="str">
        <f>'PC LIST'!B144</f>
        <v>PR14PRTHHR_B1</v>
      </c>
      <c r="AK14" s="57" t="str">
        <f>'PC LIST'!I144</f>
        <v>B1: Reducing per capita consumption (PCC)</v>
      </c>
      <c r="AL14" s="57" t="str">
        <f>'PC LIST'!O144</f>
        <v>nr</v>
      </c>
      <c r="AM14" s="57" t="str">
        <f>'PC LIST'!P144</f>
        <v>Litres per head per day (l/h/d)</v>
      </c>
      <c r="AN14" s="56">
        <f>'PC LIST'!Q144</f>
        <v>2</v>
      </c>
      <c r="AO14" s="56" t="str">
        <f>'PC LIST'!J144</f>
        <v>Under</v>
      </c>
      <c r="AP14" s="744">
        <f>'PC LIST'!CC144</f>
        <v>147.54</v>
      </c>
      <c r="AQ14" s="56" t="str">
        <f>'PC LIST'!B157</f>
        <v>PR14SBWWSW_E1</v>
      </c>
      <c r="AR14" s="57" t="str">
        <f>'PC LIST'!I157</f>
        <v>E1: Contribute to our community (increase educational visits to schools, and working days for volunteer and charity work)</v>
      </c>
      <c r="AS14" s="57" t="str">
        <f>'PC LIST'!O157</f>
        <v>nr</v>
      </c>
      <c r="AT14" s="57" t="str">
        <f>'PC LIST'!P157</f>
        <v>No. of working days</v>
      </c>
      <c r="AU14" s="56">
        <f>'PC LIST'!Q157</f>
        <v>0</v>
      </c>
      <c r="AV14" s="56" t="str">
        <f>'PC LIST'!J157</f>
        <v>NFI</v>
      </c>
      <c r="AW14" s="743">
        <f>'PC LIST'!CC157</f>
        <v>28</v>
      </c>
      <c r="AX14" s="56" t="str">
        <f>'PC LIST'!B172</f>
        <v>PR14SESWSW_E3</v>
      </c>
      <c r="AY14" s="57" t="str">
        <f>'PC LIST'!I172</f>
        <v>E3: The number of children and adults engaged in environmental education activities</v>
      </c>
      <c r="AZ14" s="57" t="str">
        <f>'PC LIST'!O172</f>
        <v>nr</v>
      </c>
      <c r="BA14" s="57" t="str">
        <f>'PC LIST'!P172</f>
        <v>No. people the company engages with</v>
      </c>
      <c r="BB14" s="56">
        <f>'PC LIST'!Q172</f>
        <v>0</v>
      </c>
      <c r="BC14" s="56" t="str">
        <f>'PC LIST'!J172</f>
        <v>NFI</v>
      </c>
      <c r="BD14" s="744">
        <f>'PC LIST'!CC172</f>
        <v>9551</v>
      </c>
      <c r="BE14" s="56" t="str">
        <f>'PC LIST'!B193</f>
        <v>PR14SEWWSW_H1</v>
      </c>
      <c r="BF14" s="57" t="str">
        <f>'PC LIST'!I193</f>
        <v>H1: Customer satisfaction - frequency of water use restrictions</v>
      </c>
      <c r="BG14" s="57" t="str">
        <f>'PC LIST'!O193</f>
        <v>score</v>
      </c>
      <c r="BH14" s="57" t="str">
        <f>'PC LIST'!P193</f>
        <v>Customer satisfaction score out of 5</v>
      </c>
      <c r="BI14" s="56">
        <f>'PC LIST'!Q193</f>
        <v>1</v>
      </c>
      <c r="BJ14" s="56" t="str">
        <f>'PC LIST'!J193</f>
        <v>Out &amp; under</v>
      </c>
      <c r="BK14" s="56">
        <f>'PC LIST'!CC193</f>
        <v>4.4000000000000004</v>
      </c>
      <c r="BL14" s="56" t="str">
        <f>'PC LIST'!B227</f>
        <v>PR14SRNWSWW_2</v>
      </c>
      <c r="BM14" s="57" t="str">
        <f>'PC LIST'!I227</f>
        <v>2: Internal flooding incidents</v>
      </c>
      <c r="BN14" s="57" t="str">
        <f>'PC LIST'!O227</f>
        <v>nr</v>
      </c>
      <c r="BO14" s="57" t="str">
        <f>'PC LIST'!P227</f>
        <v>No. of internal sewer flooding incidents</v>
      </c>
      <c r="BP14" s="56">
        <f>'PC LIST'!Q227</f>
        <v>0</v>
      </c>
      <c r="BQ14" s="56" t="str">
        <f>'PC LIST'!J227</f>
        <v>Out &amp; under</v>
      </c>
      <c r="BR14" s="56">
        <f>'PC LIST'!CC227</f>
        <v>401</v>
      </c>
      <c r="BS14" s="56" t="str">
        <f>'PC LIST'!B260</f>
        <v>PR14SSCWSW_5.2</v>
      </c>
      <c r="BT14" s="57" t="str">
        <f>'PC LIST'!I260</f>
        <v>5.2: Support for customers in debt (combined company)</v>
      </c>
      <c r="BU14" s="57" t="str">
        <f>'PC LIST'!O260</f>
        <v>nr</v>
      </c>
      <c r="BV14" s="57" t="str">
        <f>'PC LIST'!P260</f>
        <v>No. of customers engaged with on debt</v>
      </c>
      <c r="BW14" s="56">
        <f>'PC LIST'!Q260</f>
        <v>0</v>
      </c>
      <c r="BX14" s="56" t="str">
        <f>'PC LIST'!J260</f>
        <v>NFI</v>
      </c>
      <c r="BY14" s="56">
        <f>'PC LIST'!CC260</f>
        <v>29036</v>
      </c>
      <c r="BZ14" s="56" t="str">
        <f>'PC LIST'!B275</f>
        <v>PR14SVTWSW_W-B8</v>
      </c>
      <c r="CA14" s="57" t="str">
        <f>'PC LIST'!I275</f>
        <v>W-B8: Restrictions on water use</v>
      </c>
      <c r="CB14" s="57" t="str">
        <f>'PC LIST'!O275</f>
        <v>nr</v>
      </c>
      <c r="CC14" s="57" t="str">
        <f>'PC LIST'!P275</f>
        <v>No. water restrictions in five-year period</v>
      </c>
      <c r="CD14" s="56">
        <f>'PC LIST'!Q275</f>
        <v>0</v>
      </c>
      <c r="CE14" s="56" t="str">
        <f>'PC LIST'!J275</f>
        <v>Out &amp; under</v>
      </c>
      <c r="CF14" s="744">
        <f>'PC LIST'!CC275</f>
        <v>0</v>
      </c>
      <c r="CG14" s="56" t="str">
        <f>'PC LIST'!B320</f>
        <v>PR14SWTWSW_W-D1</v>
      </c>
      <c r="CH14" s="59" t="str">
        <f>'PC LIST'!I320</f>
        <v>W-D1: Operational customer contacts resolved first time (%)</v>
      </c>
      <c r="CI14" s="59" t="str">
        <f>'PC LIST'!O320</f>
        <v>%</v>
      </c>
      <c r="CJ14" s="59" t="str">
        <f>'PC LIST'!P320</f>
        <v>% customer contacts resolved 1st time</v>
      </c>
      <c r="CK14" s="56">
        <f>'PC LIST'!Q320</f>
        <v>1</v>
      </c>
      <c r="CL14" s="56" t="str">
        <f>'PC LIST'!J320</f>
        <v>Out &amp; under</v>
      </c>
      <c r="CM14" s="743">
        <f>'PC LIST'!CC320</f>
        <v>96.1</v>
      </c>
      <c r="CN14" s="56" t="str">
        <f>'PC LIST'!B362</f>
        <v>PR14TMSWSW_WB7</v>
      </c>
      <c r="CO14" s="57" t="str">
        <f>'PC LIST'!I362</f>
        <v>WB7: Compliance with SEMD advice notes (with or without derogation)</v>
      </c>
      <c r="CP14" s="57" t="str">
        <f>'PC LIST'!O362</f>
        <v>%</v>
      </c>
      <c r="CQ14" s="57" t="str">
        <f>'PC LIST'!P362</f>
        <v>% compliance with SEMD advice notes</v>
      </c>
      <c r="CR14" s="56">
        <f>'PC LIST'!Q362</f>
        <v>0</v>
      </c>
      <c r="CS14" s="56" t="str">
        <f>'PC LIST'!J362</f>
        <v>Under</v>
      </c>
      <c r="CT14" s="56">
        <f>'PC LIST'!CC362</f>
        <v>21</v>
      </c>
      <c r="CU14" s="56" t="str">
        <f>'PC LIST'!B417</f>
        <v>PR14UUWSW_E1</v>
      </c>
      <c r="CV14" s="57" t="str">
        <f>'PC LIST'!I417</f>
        <v>E1: Number of free water meters installed</v>
      </c>
      <c r="CW14" s="57" t="str">
        <f>'PC LIST'!O417</f>
        <v>nr</v>
      </c>
      <c r="CX14" s="57" t="str">
        <f>'PC LIST'!P417</f>
        <v>No. of free water meters installed per year</v>
      </c>
      <c r="CY14" s="56">
        <f>'PC LIST'!Q417</f>
        <v>0</v>
      </c>
      <c r="CZ14" s="56" t="str">
        <f>'PC LIST'!J417</f>
        <v>NFI</v>
      </c>
      <c r="DA14" s="56">
        <f>'PC LIST'!CC417</f>
        <v>36615</v>
      </c>
      <c r="DB14" s="56" t="str">
        <f>'PC LIST'!B444</f>
        <v>PR14WSHWSW_F3</v>
      </c>
      <c r="DC14" s="57" t="str">
        <f>'PC LIST'!I444</f>
        <v>F3: Asset resilience - % of critical assets that are resilient against a set of criteria</v>
      </c>
      <c r="DD14" s="57" t="str">
        <f>'PC LIST'!O444</f>
        <v>%</v>
      </c>
      <c r="DE14" s="57" t="str">
        <f>'PC LIST'!P444</f>
        <v>% critical assets that are resilient against a set of criteria</v>
      </c>
      <c r="DF14" s="56">
        <f>'PC LIST'!Q444</f>
        <v>0</v>
      </c>
      <c r="DG14" s="56" t="str">
        <f>'PC LIST'!J444</f>
        <v>Under</v>
      </c>
      <c r="DH14" s="743">
        <f>'PC LIST'!CC444</f>
        <v>90</v>
      </c>
      <c r="DI14" s="56" t="str">
        <f>'PC LIST'!B475</f>
        <v>PR14WSXWSW_G2</v>
      </c>
      <c r="DJ14" s="57" t="str">
        <f>'PC LIST'!I475</f>
        <v>G2: Compliance with drinking water standards (MZC)</v>
      </c>
      <c r="DK14" s="57" t="str">
        <f>'PC LIST'!O475</f>
        <v>%</v>
      </c>
      <c r="DL14" s="57" t="str">
        <f>'PC LIST'!P475</f>
        <v>Mean zonal compliance (%)</v>
      </c>
      <c r="DM14" s="56">
        <f>'PC LIST'!Q475</f>
        <v>2</v>
      </c>
      <c r="DN14" s="56" t="str">
        <f>'PC LIST'!J475</f>
        <v>Under</v>
      </c>
      <c r="DO14" s="56">
        <f>'PC LIST'!CC475</f>
        <v>99.959000000000003</v>
      </c>
      <c r="DP14" s="56" t="str">
        <f>'PC LIST'!B507</f>
        <v>PR14YKYWSW_WC4</v>
      </c>
      <c r="DQ14" s="57" t="str">
        <f>'PC LIST'!I507</f>
        <v>WC4: Recreational visitor satisfaction</v>
      </c>
      <c r="DR14" s="57" t="str">
        <f>'PC LIST'!O507</f>
        <v>text</v>
      </c>
      <c r="DS14" s="57" t="str">
        <f>'PC LIST'!P507</f>
        <v>Assessment of customer satisfaction (qualitative survey)</v>
      </c>
      <c r="DT14" s="56" t="str">
        <f>'PC LIST'!Q507</f>
        <v>na</v>
      </c>
      <c r="DU14" s="56" t="str">
        <f>'PC LIST'!J507</f>
        <v>NFI</v>
      </c>
      <c r="DV14" s="56" t="str">
        <f>'PC LIST'!CC507</f>
        <v>Published</v>
      </c>
      <c r="DW14" s="56" t="str">
        <f>'PC LIST'!B541</f>
        <v>PR14HDDHHR_E1</v>
      </c>
      <c r="DX14" s="57" t="str">
        <f>'PC LIST'!I541</f>
        <v>E1: Per capita consumption and water efficiency</v>
      </c>
      <c r="DY14" s="57" t="str">
        <f>'PC LIST'!O541</f>
        <v>nr</v>
      </c>
      <c r="DZ14" s="57" t="str">
        <f>'PC LIST'!P541</f>
        <v>Litres per capita per day</v>
      </c>
      <c r="EA14" s="56">
        <f>'PC LIST'!Q541</f>
        <v>2</v>
      </c>
      <c r="EB14" s="56" t="str">
        <f>'PC LIST'!J541</f>
        <v>NFI</v>
      </c>
      <c r="EC14" s="56" t="str">
        <f>'PC LIST'!CC541</f>
        <v>-</v>
      </c>
      <c r="ED14" s="56" t="str">
        <f>'PC LIST'!B587</f>
        <v>PR14SVEWSW_W-B8</v>
      </c>
      <c r="EE14" s="57" t="str">
        <f>'PC LIST'!I587</f>
        <v>W-B8: Restrictions on water use</v>
      </c>
      <c r="EF14" s="57" t="str">
        <f>'PC LIST'!O587</f>
        <v>nr</v>
      </c>
      <c r="EG14" s="57" t="str">
        <f>'PC LIST'!P587</f>
        <v>No. water restrictions in five-year period</v>
      </c>
      <c r="EH14" s="56">
        <f>'PC LIST'!Q587</f>
        <v>0</v>
      </c>
      <c r="EI14" s="56" t="str">
        <f>'PC LIST'!J587</f>
        <v>Out &amp; under</v>
      </c>
      <c r="EJ14" s="56" t="str">
        <f>'PC LIST'!CC587</f>
        <v>-</v>
      </c>
    </row>
    <row r="15" spans="1:140" ht="15.75" customHeight="1">
      <c r="A15" s="56" t="str">
        <f>'PC LIST'!B15</f>
        <v>PR14AFWHHR_R-A2</v>
      </c>
      <c r="B15" s="56" t="str">
        <f>'PC LIST'!I15</f>
        <v>R-A2: Value for money survey</v>
      </c>
      <c r="C15" s="56" t="str">
        <f>'PC LIST'!O15</f>
        <v>score</v>
      </c>
      <c r="D15" s="56" t="str">
        <f>'PC LIST'!P15</f>
        <v>Score out of 100</v>
      </c>
      <c r="E15" s="56">
        <f>'PC LIST'!Q15</f>
        <v>1</v>
      </c>
      <c r="F15" s="56" t="str">
        <f>'PC LIST'!J15</f>
        <v>NFI</v>
      </c>
      <c r="G15" s="56">
        <f>'PC LIST'!CC15</f>
        <v>67.7</v>
      </c>
      <c r="H15" s="56" t="str">
        <f>'PC LIST'!B28</f>
        <v>PR14ANHWSW_W-F1</v>
      </c>
      <c r="I15" s="57" t="str">
        <f>'PC LIST'!I28</f>
        <v>W-F1: Operational carbon (% reduction from 2015 baseline)</v>
      </c>
      <c r="J15" s="57" t="str">
        <f>'PC LIST'!O28</f>
        <v>%</v>
      </c>
      <c r="K15" s="57" t="str">
        <f>'PC LIST'!P28</f>
        <v>% reduction from 2015 baseline</v>
      </c>
      <c r="L15" s="56">
        <f>'PC LIST'!Q28</f>
        <v>0</v>
      </c>
      <c r="M15" s="56" t="str">
        <f>'PC LIST'!J28</f>
        <v>NFI</v>
      </c>
      <c r="N15" s="743">
        <f>'PC LIST'!CC28</f>
        <v>19.600000000000001</v>
      </c>
      <c r="O15" s="56" t="str">
        <f>'PC LIST'!B67</f>
        <v>PR14BRLWSW_H3</v>
      </c>
      <c r="P15" s="57" t="str">
        <f>'PC LIST'!I67</f>
        <v>H3: Biodiversity index</v>
      </c>
      <c r="Q15" s="57" t="str">
        <f>'PC LIST'!O67</f>
        <v>score</v>
      </c>
      <c r="R15" s="57" t="str">
        <f>'PC LIST'!P67</f>
        <v>Biodiversity index</v>
      </c>
      <c r="S15" s="56">
        <f>'PC LIST'!Q67</f>
        <v>0</v>
      </c>
      <c r="T15" s="56" t="str">
        <f>'PC LIST'!J67</f>
        <v>NFI</v>
      </c>
      <c r="U15" s="743">
        <f>'PC LIST'!CC67</f>
        <v>17657.490000000002</v>
      </c>
      <c r="V15" s="56" t="str">
        <f>'PC LIST'!B88</f>
        <v>PR14DVWHHR_E2</v>
      </c>
      <c r="W15" s="57" t="str">
        <f>'PC LIST'!I88</f>
        <v>E2: Service incentive mechanism (SIM)</v>
      </c>
      <c r="X15" s="57" t="str">
        <f>'PC LIST'!O88</f>
        <v>score</v>
      </c>
      <c r="Y15" s="57" t="str">
        <f>'PC LIST'!P88</f>
        <v>Service incentive mechanism (SIM) score</v>
      </c>
      <c r="Z15" s="56">
        <f>'PC LIST'!Q88</f>
        <v>1</v>
      </c>
      <c r="AA15" s="56" t="str">
        <f>'PC LIST'!J88</f>
        <v>Out &amp; under</v>
      </c>
      <c r="AB15" s="743">
        <f>'PC LIST'!CC88</f>
        <v>86.5</v>
      </c>
      <c r="AC15" s="56" t="str">
        <f>'PC LIST'!B101</f>
        <v>PR14NESWSW_W-E1</v>
      </c>
      <c r="AD15" s="58" t="str">
        <f>'PC LIST'!I101</f>
        <v>W-E1: NWL independent survey on keeping customers informed</v>
      </c>
      <c r="AE15" s="58" t="str">
        <f>'PC LIST'!O101</f>
        <v>%</v>
      </c>
      <c r="AF15" s="58" t="str">
        <f>'PC LIST'!P101</f>
        <v>% customer satisfaction</v>
      </c>
      <c r="AG15" s="56">
        <f>'PC LIST'!Q101</f>
        <v>0</v>
      </c>
      <c r="AH15" s="56" t="str">
        <f>'PC LIST'!J101</f>
        <v>NFI</v>
      </c>
      <c r="AI15" s="56">
        <f>'PC LIST'!CC101</f>
        <v>94</v>
      </c>
      <c r="AJ15" s="56" t="str">
        <f>'PC LIST'!B145</f>
        <v>PR14PRTHHR_C1</v>
      </c>
      <c r="AK15" s="57" t="str">
        <f>'PC LIST'!I145</f>
        <v>C1: Survey of developers</v>
      </c>
      <c r="AL15" s="57" t="str">
        <f>'PC LIST'!O145</f>
        <v>%</v>
      </c>
      <c r="AM15" s="57" t="str">
        <f>'PC LIST'!P145</f>
        <v>Satisfaction rate (%)</v>
      </c>
      <c r="AN15" s="56">
        <f>'PC LIST'!Q145</f>
        <v>0</v>
      </c>
      <c r="AO15" s="56" t="str">
        <f>'PC LIST'!J145</f>
        <v>NFI</v>
      </c>
      <c r="AP15" s="744">
        <f>'PC LIST'!CC145</f>
        <v>91</v>
      </c>
      <c r="AQ15" s="56" t="str">
        <f>'PC LIST'!B158</f>
        <v>PR14SBWHHR_A1</v>
      </c>
      <c r="AR15" s="57" t="str">
        <f>'PC LIST'!I158</f>
        <v>A1: Service incentive mechanism (SIM)</v>
      </c>
      <c r="AS15" s="57" t="str">
        <f>'PC LIST'!O158</f>
        <v>score</v>
      </c>
      <c r="AT15" s="57" t="str">
        <f>'PC LIST'!P158</f>
        <v>Service incentive mechanism (SIM) score (average)</v>
      </c>
      <c r="AU15" s="56">
        <f>'PC LIST'!Q158</f>
        <v>1</v>
      </c>
      <c r="AV15" s="56" t="str">
        <f>'PC LIST'!J158</f>
        <v>Out &amp; under</v>
      </c>
      <c r="AW15" s="743">
        <f>'PC LIST'!CC158</f>
        <v>87.6</v>
      </c>
      <c r="AX15" s="56" t="str">
        <f>'PC LIST'!B173</f>
        <v>PR14SESWSW_E4</v>
      </c>
      <c r="AY15" s="57" t="str">
        <f>'PC LIST'!I173</f>
        <v>E4: Greenhouse gas emissions per million litres of water supplied</v>
      </c>
      <c r="AZ15" s="57" t="str">
        <f>'PC LIST'!O173</f>
        <v>nr</v>
      </c>
      <c r="BA15" s="57" t="str">
        <f>'PC LIST'!P173</f>
        <v>kgCO2e/Ml</v>
      </c>
      <c r="BB15" s="56">
        <f>'PC LIST'!Q173</f>
        <v>0</v>
      </c>
      <c r="BC15" s="56" t="str">
        <f>'PC LIST'!J173</f>
        <v>NFI</v>
      </c>
      <c r="BD15" s="744">
        <f>'PC LIST'!CC173</f>
        <v>376</v>
      </c>
      <c r="BE15" s="56" t="str">
        <f>'PC LIST'!B194</f>
        <v>PR14SEWWSW_H2</v>
      </c>
      <c r="BF15" s="57" t="str">
        <f>'PC LIST'!I194</f>
        <v>H2: Meeting the water resource deficit</v>
      </c>
      <c r="BG15" s="57" t="str">
        <f>'PC LIST'!O194</f>
        <v>nr</v>
      </c>
      <c r="BH15" s="57" t="str">
        <f>'PC LIST'!P194</f>
        <v>Megalitres per day (Ml/d)</v>
      </c>
      <c r="BI15" s="56">
        <f>'PC LIST'!Q194</f>
        <v>0</v>
      </c>
      <c r="BJ15" s="56" t="str">
        <f>'PC LIST'!J194</f>
        <v>Under</v>
      </c>
      <c r="BK15" s="56">
        <f>'PC LIST'!CC194</f>
        <v>0</v>
      </c>
      <c r="BL15" s="56" t="str">
        <f>'PC LIST'!B228</f>
        <v>PR14SRNWSWW_3</v>
      </c>
      <c r="BM15" s="57" t="str">
        <f>'PC LIST'!I228</f>
        <v>3: External flooding incidents</v>
      </c>
      <c r="BN15" s="57" t="str">
        <f>'PC LIST'!O228</f>
        <v>nr</v>
      </c>
      <c r="BO15" s="57" t="str">
        <f>'PC LIST'!P228</f>
        <v>No. of external sewer flooding incidents</v>
      </c>
      <c r="BP15" s="56">
        <f>'PC LIST'!Q228</f>
        <v>0</v>
      </c>
      <c r="BQ15" s="56" t="str">
        <f>'PC LIST'!J228</f>
        <v>NFI</v>
      </c>
      <c r="BR15" s="56">
        <f>'PC LIST'!CC228</f>
        <v>7106</v>
      </c>
      <c r="BS15" s="56" t="str">
        <f>'PC LIST'!B261</f>
        <v>PR14SSCHHR_3.1</v>
      </c>
      <c r="BT15" s="57" t="str">
        <f>'PC LIST'!I261</f>
        <v>3.1: Service incentive mechanism (SIM, combined company)</v>
      </c>
      <c r="BU15" s="57" t="str">
        <f>'PC LIST'!O261</f>
        <v>score</v>
      </c>
      <c r="BV15" s="57" t="str">
        <f>'PC LIST'!P261</f>
        <v>Service incentive mechanism (SIM) score</v>
      </c>
      <c r="BW15" s="56">
        <f>'PC LIST'!Q261</f>
        <v>1</v>
      </c>
      <c r="BX15" s="56" t="str">
        <f>'PC LIST'!J261</f>
        <v>Out &amp; under</v>
      </c>
      <c r="BY15" s="56">
        <f>'PC LIST'!CC261</f>
        <v>87.03</v>
      </c>
      <c r="BZ15" s="56" t="str">
        <f>'PC LIST'!B276</f>
        <v>PR14SVTWSW_W-B9</v>
      </c>
      <c r="CA15" s="57" t="str">
        <f>'PC LIST'!I276</f>
        <v>W-B9: Timing delays on Birmingham resilience scheme</v>
      </c>
      <c r="CB15" s="57" t="str">
        <f>'PC LIST'!O276</f>
        <v>text</v>
      </c>
      <c r="CC15" s="57" t="str">
        <f>'PC LIST'!P276</f>
        <v>Scheme delivery (3 components)</v>
      </c>
      <c r="CD15" s="56" t="str">
        <f>'PC LIST'!Q276</f>
        <v>na</v>
      </c>
      <c r="CE15" s="56" t="str">
        <f>'PC LIST'!J276</f>
        <v>Under</v>
      </c>
      <c r="CF15" s="744" t="str">
        <f>'PC LIST'!CC276</f>
        <v>On track</v>
      </c>
      <c r="CG15" s="56" t="str">
        <f>'PC LIST'!B321</f>
        <v>PR14SWTWSW_W-E1</v>
      </c>
      <c r="CH15" s="59" t="str">
        <f>'PC LIST'!I321</f>
        <v>W-E1: Sustainable abstractions (EA/WFD classification)</v>
      </c>
      <c r="CI15" s="59" t="str">
        <f>'PC LIST'!O321</f>
        <v>nr</v>
      </c>
      <c r="CJ15" s="59" t="str">
        <f>'PC LIST'!P321</f>
        <v>No. sites where improvement required</v>
      </c>
      <c r="CK15" s="56">
        <f>'PC LIST'!Q321</f>
        <v>0</v>
      </c>
      <c r="CL15" s="56" t="str">
        <f>'PC LIST'!J321</f>
        <v>NFI</v>
      </c>
      <c r="CM15" s="743">
        <f>'PC LIST'!CC321</f>
        <v>0</v>
      </c>
      <c r="CN15" s="56" t="str">
        <f>'PC LIST'!B363</f>
        <v>PR14TMSWSW_WB8</v>
      </c>
      <c r="CO15" s="57" t="str">
        <f>'PC LIST'!I363</f>
        <v>WB8: Ml/d of sites made resilient to future extreme rainfall events</v>
      </c>
      <c r="CP15" s="57" t="str">
        <f>'PC LIST'!O363</f>
        <v>nr</v>
      </c>
      <c r="CQ15" s="57" t="str">
        <f>'PC LIST'!P363</f>
        <v>Ml/d of WTWs made resilient (cumulative)</v>
      </c>
      <c r="CR15" s="56">
        <f>'PC LIST'!Q363</f>
        <v>0</v>
      </c>
      <c r="CS15" s="56" t="str">
        <f>'PC LIST'!J363</f>
        <v>Out &amp; under</v>
      </c>
      <c r="CT15" s="56">
        <f>'PC LIST'!CC363</f>
        <v>4</v>
      </c>
      <c r="CU15" s="56" t="str">
        <f>'PC LIST'!B418</f>
        <v>PR14UUWSWW_S-A1</v>
      </c>
      <c r="CV15" s="57" t="str">
        <f>'PC LIST'!I418</f>
        <v>S-A1: Private sewers service index</v>
      </c>
      <c r="CW15" s="57" t="str">
        <f>'PC LIST'!O418</f>
        <v>score</v>
      </c>
      <c r="CX15" s="57" t="str">
        <f>'PC LIST'!P418</f>
        <v>Private sewers service index (UU bespoke)</v>
      </c>
      <c r="CY15" s="56">
        <f>'PC LIST'!Q418</f>
        <v>2</v>
      </c>
      <c r="CZ15" s="56" t="str">
        <f>'PC LIST'!J418</f>
        <v>Out &amp; under</v>
      </c>
      <c r="DA15" s="56">
        <f>'PC LIST'!CC418</f>
        <v>85</v>
      </c>
      <c r="DB15" s="56" t="str">
        <f>'PC LIST'!B445</f>
        <v>PR14WSHWSWW_B2</v>
      </c>
      <c r="DC15" s="57" t="str">
        <f>'PC LIST'!I445</f>
        <v>B2: Treating used water - % compliance of WwTW</v>
      </c>
      <c r="DD15" s="57" t="str">
        <f>'PC LIST'!O445</f>
        <v>%</v>
      </c>
      <c r="DE15" s="57" t="str">
        <f>'PC LIST'!P445</f>
        <v>% compliance against WwTW discharge permits</v>
      </c>
      <c r="DF15" s="56">
        <f>'PC LIST'!Q445</f>
        <v>1</v>
      </c>
      <c r="DG15" s="56" t="str">
        <f>'PC LIST'!J445</f>
        <v>NFI</v>
      </c>
      <c r="DH15" s="743">
        <f>'PC LIST'!CC445</f>
        <v>98.21</v>
      </c>
      <c r="DI15" s="56" t="str">
        <f>'PC LIST'!B476</f>
        <v>PR14WSXWSWW_A1</v>
      </c>
      <c r="DJ15" s="57" t="str">
        <f>'PC LIST'!I476</f>
        <v>A1: Agreed schemes delivered (named outputs with bathing water drivers in the NEP)</v>
      </c>
      <c r="DK15" s="57" t="str">
        <f>'PC LIST'!O476</f>
        <v>%</v>
      </c>
      <c r="DL15" s="57" t="str">
        <f>'PC LIST'!P476</f>
        <v>% of agreed schemes delivered (NEP bathing water)</v>
      </c>
      <c r="DM15" s="56">
        <f>'PC LIST'!Q476</f>
        <v>0</v>
      </c>
      <c r="DN15" s="56" t="str">
        <f>'PC LIST'!J476</f>
        <v>Under</v>
      </c>
      <c r="DO15" s="56">
        <f>'PC LIST'!CC476</f>
        <v>100</v>
      </c>
      <c r="DP15" s="56" t="str">
        <f>'PC LIST'!B508</f>
        <v>PR14YKYWSW_WD1</v>
      </c>
      <c r="DQ15" s="57" t="str">
        <f>'PC LIST'!I508</f>
        <v>WD1: Proportion of energy use generated by renewable technology (note: PC is part of a total commitment at Appointee level - see also SC1 and RC1)</v>
      </c>
      <c r="DR15" s="57" t="str">
        <f>'PC LIST'!O508</f>
        <v>%</v>
      </c>
      <c r="DS15" s="57" t="str">
        <f>'PC LIST'!P508</f>
        <v>% of energy use generated by renewable technology</v>
      </c>
      <c r="DT15" s="56">
        <f>'PC LIST'!Q508</f>
        <v>0</v>
      </c>
      <c r="DU15" s="56" t="str">
        <f>'PC LIST'!J508</f>
        <v>NFI</v>
      </c>
      <c r="DV15" s="56">
        <f>'PC LIST'!CC508</f>
        <v>11.44</v>
      </c>
      <c r="DW15" s="56" t="str">
        <f>'PC LIST'!B542</f>
        <v>PR14HDDHHR_E2</v>
      </c>
      <c r="DX15" s="57" t="str">
        <f>'PC LIST'!I542</f>
        <v>E2: Service incentive mechanism (SIM)</v>
      </c>
      <c r="DY15" s="57" t="str">
        <f>'PC LIST'!O542</f>
        <v>score</v>
      </c>
      <c r="DZ15" s="57" t="str">
        <f>'PC LIST'!P542</f>
        <v>Service incentive mechanism (SIM) score</v>
      </c>
      <c r="EA15" s="56">
        <f>'PC LIST'!Q542</f>
        <v>1</v>
      </c>
      <c r="EB15" s="56" t="str">
        <f>'PC LIST'!J542</f>
        <v>Out &amp; under</v>
      </c>
      <c r="EC15" s="56" t="str">
        <f>'PC LIST'!CC542</f>
        <v>-</v>
      </c>
      <c r="ED15" s="56" t="str">
        <f>'PC LIST'!B588</f>
        <v>PR14SVEWSW_W-B9</v>
      </c>
      <c r="EE15" s="57" t="str">
        <f>'PC LIST'!I588</f>
        <v>W-B9: Timing delays on Birmingham resilience scheme</v>
      </c>
      <c r="EF15" s="57" t="str">
        <f>'PC LIST'!O588</f>
        <v>text</v>
      </c>
      <c r="EG15" s="57" t="str">
        <f>'PC LIST'!P588</f>
        <v>Scheme delivery (3 components)</v>
      </c>
      <c r="EH15" s="56" t="str">
        <f>'PC LIST'!Q588</f>
        <v>na</v>
      </c>
      <c r="EI15" s="56" t="str">
        <f>'PC LIST'!J588</f>
        <v>Under</v>
      </c>
      <c r="EJ15" s="56" t="str">
        <f>'PC LIST'!CC588</f>
        <v>-</v>
      </c>
    </row>
    <row r="16" spans="1:140" ht="15.75" customHeight="1">
      <c r="B16" s="56"/>
      <c r="H16" s="56" t="str">
        <f>'PC LIST'!B29</f>
        <v>PR14ANHWSW_W-F2</v>
      </c>
      <c r="I16" s="57" t="str">
        <f>'PC LIST'!I29</f>
        <v>W-F2: Embodied carbon (% reduction from 2010 baseline)</v>
      </c>
      <c r="J16" s="57" t="str">
        <f>'PC LIST'!O29</f>
        <v>%</v>
      </c>
      <c r="K16" s="57" t="str">
        <f>'PC LIST'!P29</f>
        <v>% reduction from 2010 baseline</v>
      </c>
      <c r="L16" s="56">
        <f>'PC LIST'!Q29</f>
        <v>0</v>
      </c>
      <c r="M16" s="56" t="str">
        <f>'PC LIST'!J29</f>
        <v>NFI</v>
      </c>
      <c r="N16" s="743">
        <f>'PC LIST'!CC29</f>
        <v>57</v>
      </c>
      <c r="O16" s="56" t="str">
        <f>'PC LIST'!B68</f>
        <v>PR14BRLWSW_H4</v>
      </c>
      <c r="P16" s="57" t="str">
        <f>'PC LIST'!I68</f>
        <v>H4: Waste disposal compliance</v>
      </c>
      <c r="Q16" s="57" t="str">
        <f>'PC LIST'!O68</f>
        <v>%</v>
      </c>
      <c r="R16" s="57" t="str">
        <f>'PC LIST'!P68</f>
        <v>% waste disposal compliance</v>
      </c>
      <c r="S16" s="56">
        <f>'PC LIST'!Q68</f>
        <v>0</v>
      </c>
      <c r="T16" s="56" t="str">
        <f>'PC LIST'!J68</f>
        <v>NFI</v>
      </c>
      <c r="U16" s="743">
        <f>'PC LIST'!CC68</f>
        <v>98.08</v>
      </c>
      <c r="V16" s="56"/>
      <c r="W16" s="57"/>
      <c r="X16" s="57"/>
      <c r="Y16" s="57"/>
      <c r="AC16" s="56" t="str">
        <f>'PC LIST'!B102</f>
        <v>PR14NESWSW_W-F1</v>
      </c>
      <c r="AD16" s="58" t="str">
        <f>'PC LIST'!I102</f>
        <v>W-F1: Greenhouse gas emissions</v>
      </c>
      <c r="AE16" s="58" t="str">
        <f>'PC LIST'!O102</f>
        <v>nr</v>
      </c>
      <c r="AF16" s="58" t="str">
        <f>'PC LIST'!P102</f>
        <v>ktCO2e</v>
      </c>
      <c r="AG16" s="56">
        <f>'PC LIST'!Q102</f>
        <v>0</v>
      </c>
      <c r="AH16" s="56" t="str">
        <f>'PC LIST'!J102</f>
        <v>NFI</v>
      </c>
      <c r="AI16" s="56">
        <f>'PC LIST'!CC102</f>
        <v>164</v>
      </c>
      <c r="AJ16" s="56"/>
      <c r="AK16" s="57"/>
      <c r="AQ16" s="56" t="str">
        <f>'PC LIST'!B159</f>
        <v>PR14SBWHHR_A2</v>
      </c>
      <c r="AR16" s="57" t="str">
        <f>'PC LIST'!I159</f>
        <v>A2: New customer relationship management (CRM) system</v>
      </c>
      <c r="AS16" s="57" t="str">
        <f>'PC LIST'!O159</f>
        <v>£m</v>
      </c>
      <c r="AT16" s="57" t="str">
        <f>'PC LIST'!P159</f>
        <v>£ million cumulative depreciation</v>
      </c>
      <c r="AU16" s="56">
        <f>'PC LIST'!Q159</f>
        <v>2</v>
      </c>
      <c r="AV16" s="56" t="str">
        <f>'PC LIST'!J159</f>
        <v>Under</v>
      </c>
      <c r="AW16" s="743">
        <f>'PC LIST'!CC159</f>
        <v>1.08</v>
      </c>
      <c r="AX16" s="56" t="str">
        <f>'PC LIST'!B174</f>
        <v>PR14SESWSW_E5</v>
      </c>
      <c r="AY16" s="57" t="str">
        <f>'PC LIST'!I174</f>
        <v>E5: Number of severe pollution incidents (category 3 or worse, as reported by the Environment Agency)</v>
      </c>
      <c r="AZ16" s="57" t="str">
        <f>'PC LIST'!O174</f>
        <v>nr</v>
      </c>
      <c r="BA16" s="57" t="str">
        <f>'PC LIST'!P174</f>
        <v>No. of pollution incidents (cats 1, 2 and 3)</v>
      </c>
      <c r="BB16" s="56">
        <f>'PC LIST'!Q174</f>
        <v>1</v>
      </c>
      <c r="BC16" s="56" t="str">
        <f>'PC LIST'!J174</f>
        <v>NFI</v>
      </c>
      <c r="BD16" s="744">
        <f>'PC LIST'!CC174</f>
        <v>0.6</v>
      </c>
      <c r="BE16" s="56" t="str">
        <f>'PC LIST'!B195</f>
        <v>PR14SEWWSW_I1</v>
      </c>
      <c r="BF16" s="57" t="str">
        <f>'PC LIST'!I195</f>
        <v>I1: Mean zonal compliance (MZC)</v>
      </c>
      <c r="BG16" s="57" t="str">
        <f>'PC LIST'!O195</f>
        <v>%</v>
      </c>
      <c r="BH16" s="57" t="str">
        <f>'PC LIST'!P195</f>
        <v>Mean zonal compliance (%)</v>
      </c>
      <c r="BI16" s="56">
        <f>'PC LIST'!Q195</f>
        <v>2</v>
      </c>
      <c r="BJ16" s="56" t="str">
        <f>'PC LIST'!J195</f>
        <v>Under</v>
      </c>
      <c r="BK16" s="56">
        <f>'PC LIST'!CC195</f>
        <v>99.95</v>
      </c>
      <c r="BL16" s="56" t="str">
        <f>'PC LIST'!B229</f>
        <v>PR14SRNWSWW_4</v>
      </c>
      <c r="BM16" s="57" t="str">
        <f>'PC LIST'!I229</f>
        <v>4: Sewer blockages</v>
      </c>
      <c r="BN16" s="57" t="str">
        <f>'PC LIST'!O229</f>
        <v>nr</v>
      </c>
      <c r="BO16" s="57" t="str">
        <f>'PC LIST'!P229</f>
        <v>No. of sewer blockages per km</v>
      </c>
      <c r="BP16" s="56">
        <f>'PC LIST'!Q229</f>
        <v>2</v>
      </c>
      <c r="BQ16" s="56" t="str">
        <f>'PC LIST'!J229</f>
        <v>Under</v>
      </c>
      <c r="BR16" s="56">
        <f>'PC LIST'!CC229</f>
        <v>0.49</v>
      </c>
      <c r="BS16" s="56" t="str">
        <f>'PC LIST'!B262</f>
        <v>PR14SSCHHR_3.2</v>
      </c>
      <c r="BT16" s="57" t="str">
        <f>'PC LIST'!I262</f>
        <v>3.2: Customer satisfaction surveys (combined company)</v>
      </c>
      <c r="BU16" s="57" t="str">
        <f>'PC LIST'!O262</f>
        <v>%</v>
      </c>
      <c r="BV16" s="57" t="str">
        <f>'PC LIST'!P262</f>
        <v>% customer satisfaction</v>
      </c>
      <c r="BW16" s="56">
        <f>'PC LIST'!Q262</f>
        <v>0</v>
      </c>
      <c r="BX16" s="56" t="str">
        <f>'PC LIST'!J262</f>
        <v>NFI</v>
      </c>
      <c r="BY16" s="56">
        <f>'PC LIST'!CC262</f>
        <v>97</v>
      </c>
      <c r="BZ16" s="56" t="str">
        <f>'PC LIST'!B277</f>
        <v>PR14SVTWSW_W-B10</v>
      </c>
      <c r="CA16" s="57" t="str">
        <f>'PC LIST'!I277</f>
        <v>W-B10: Non-delivery of the outcome of the Birmingham resilience scheme</v>
      </c>
      <c r="CB16" s="57" t="str">
        <f>'PC LIST'!O277</f>
        <v>text</v>
      </c>
      <c r="CC16" s="57" t="str">
        <f>'PC LIST'!P277</f>
        <v>Scheme delivery (3 components)</v>
      </c>
      <c r="CD16" s="56" t="str">
        <f>'PC LIST'!Q277</f>
        <v>na</v>
      </c>
      <c r="CE16" s="56" t="str">
        <f>'PC LIST'!J277</f>
        <v>Under</v>
      </c>
      <c r="CF16" s="744" t="str">
        <f>'PC LIST'!CC277</f>
        <v>On track</v>
      </c>
      <c r="CG16" s="56" t="str">
        <f>'PC LIST'!B322</f>
        <v>PR14SWTWSW_W-E2</v>
      </c>
      <c r="CH16" s="59" t="str">
        <f>'PC LIST'!I322</f>
        <v>W-E2: Sustainable abstractions (Environment Agency water stress status)</v>
      </c>
      <c r="CI16" s="59" t="str">
        <f>'PC LIST'!O322</f>
        <v>category</v>
      </c>
      <c r="CJ16" s="59" t="str">
        <f>'PC LIST'!P322</f>
        <v>Water scarcity status (defined by EA)</v>
      </c>
      <c r="CK16" s="56" t="str">
        <f>'PC LIST'!Q322</f>
        <v>na</v>
      </c>
      <c r="CL16" s="56" t="str">
        <f>'PC LIST'!J322</f>
        <v>Under</v>
      </c>
      <c r="CM16" s="743" t="str">
        <f>'PC LIST'!CC322</f>
        <v>Moderate</v>
      </c>
      <c r="CN16" s="56" t="str">
        <f>'PC LIST'!B364</f>
        <v>PR14TMSWSW_WC1</v>
      </c>
      <c r="CO16" s="57" t="str">
        <f>'PC LIST'!I364</f>
        <v>WC1: Greenhouse gas emissions from water operations</v>
      </c>
      <c r="CP16" s="57" t="str">
        <f>'PC LIST'!O364</f>
        <v>nr</v>
      </c>
      <c r="CQ16" s="57" t="str">
        <f>'PC LIST'!P364</f>
        <v>ktCO2e</v>
      </c>
      <c r="CR16" s="56">
        <f>'PC LIST'!Q364</f>
        <v>1</v>
      </c>
      <c r="CS16" s="56" t="str">
        <f>'PC LIST'!J364</f>
        <v>NFI</v>
      </c>
      <c r="CT16" s="56">
        <f>'PC LIST'!CC364</f>
        <v>46.2</v>
      </c>
      <c r="CU16" s="56" t="str">
        <f>'PC LIST'!B419</f>
        <v>PR14UUWSWW_S-A2</v>
      </c>
      <c r="CV16" s="57" t="str">
        <f>'PC LIST'!I419</f>
        <v>S-A2: Wastewater network performance index</v>
      </c>
      <c r="CW16" s="57" t="str">
        <f>'PC LIST'!O419</f>
        <v>score</v>
      </c>
      <c r="CX16" s="57" t="str">
        <f>'PC LIST'!P419</f>
        <v>Wastewater network performance index (UU bespoke)</v>
      </c>
      <c r="CY16" s="56">
        <f>'PC LIST'!Q419</f>
        <v>2</v>
      </c>
      <c r="CZ16" s="56" t="str">
        <f>'PC LIST'!J419</f>
        <v>Under</v>
      </c>
      <c r="DA16" s="56">
        <f>'PC LIST'!CC419</f>
        <v>86.17</v>
      </c>
      <c r="DB16" s="56" t="str">
        <f>'PC LIST'!B446</f>
        <v>PR14WSHWSWW_B3</v>
      </c>
      <c r="DC16" s="57" t="str">
        <f>'PC LIST'!I446</f>
        <v>B3: Preventing pollution - number of category 3 pollution incidents</v>
      </c>
      <c r="DD16" s="57" t="str">
        <f>'PC LIST'!O446</f>
        <v>nr</v>
      </c>
      <c r="DE16" s="57" t="str">
        <f>'PC LIST'!P446</f>
        <v>No. of pollution incidents (cat 3)</v>
      </c>
      <c r="DF16" s="56">
        <f>'PC LIST'!Q446</f>
        <v>0</v>
      </c>
      <c r="DG16" s="56" t="str">
        <f>'PC LIST'!J446</f>
        <v>Out &amp; under</v>
      </c>
      <c r="DH16" s="743">
        <f>'PC LIST'!CC446</f>
        <v>112</v>
      </c>
      <c r="DI16" s="56" t="str">
        <f>'PC LIST'!B477</f>
        <v>PR14WSXWSWW_A2</v>
      </c>
      <c r="DJ16" s="57" t="str">
        <f>'PC LIST'!I477</f>
        <v>A2: Beaches passing EU standards</v>
      </c>
      <c r="DK16" s="57" t="str">
        <f>'PC LIST'!O477</f>
        <v>%</v>
      </c>
      <c r="DL16" s="57" t="str">
        <f>'PC LIST'!P477</f>
        <v>% bathing waters meeting the revised BWD standards</v>
      </c>
      <c r="DM16" s="56">
        <f>'PC LIST'!Q477</f>
        <v>0</v>
      </c>
      <c r="DN16" s="56" t="str">
        <f>'PC LIST'!J477</f>
        <v>NFI</v>
      </c>
      <c r="DO16" s="56">
        <f>'PC LIST'!CC477</f>
        <v>96</v>
      </c>
      <c r="DP16" s="56" t="str">
        <f>'PC LIST'!B509</f>
        <v>PR14YKYWSW_WD2</v>
      </c>
      <c r="DQ16" s="57" t="str">
        <f>'PC LIST'!I509</f>
        <v>WD2: Proportion of waste diverted from landfill (re-used and recycled) (note: PC is part of a total commitment at Appointee level - see also SC2 and RC2)</v>
      </c>
      <c r="DR16" s="57" t="str">
        <f>'PC LIST'!O509</f>
        <v>%</v>
      </c>
      <c r="DS16" s="57" t="str">
        <f>'PC LIST'!P509</f>
        <v>% of waste diverted from landfill (re-used and recycled)</v>
      </c>
      <c r="DT16" s="56">
        <f>'PC LIST'!Q509</f>
        <v>0</v>
      </c>
      <c r="DU16" s="56" t="str">
        <f>'PC LIST'!J509</f>
        <v>NFI</v>
      </c>
      <c r="DV16" s="56">
        <f>'PC LIST'!CC509</f>
        <v>99</v>
      </c>
      <c r="DW16" s="56" t="str">
        <f>'PC LIST'!B543</f>
        <v>PR14HDDWSW_W-A1</v>
      </c>
      <c r="DX16" s="57" t="str">
        <f>'PC LIST'!I543</f>
        <v>W-A1: Number of complaints about drinking water quality</v>
      </c>
      <c r="DY16" s="57" t="str">
        <f>'PC LIST'!O543</f>
        <v>nr</v>
      </c>
      <c r="DZ16" s="57" t="str">
        <f>'PC LIST'!P543</f>
        <v>No. of water quality complaints</v>
      </c>
      <c r="EA16" s="56">
        <f>'PC LIST'!Q543</f>
        <v>0</v>
      </c>
      <c r="EB16" s="56" t="str">
        <f>'PC LIST'!J543</f>
        <v>Out &amp; under</v>
      </c>
      <c r="EC16" s="56" t="str">
        <f>'PC LIST'!CC543</f>
        <v>-</v>
      </c>
      <c r="ED16" s="56" t="str">
        <f>'PC LIST'!B589</f>
        <v>PR14SVEWSW_W-B10</v>
      </c>
      <c r="EE16" s="57" t="str">
        <f>'PC LIST'!I589</f>
        <v>W-B10: Non-delivery of the outcome of the Birmingham resilience scheme</v>
      </c>
      <c r="EF16" s="57" t="str">
        <f>'PC LIST'!O589</f>
        <v>text</v>
      </c>
      <c r="EG16" s="57" t="str">
        <f>'PC LIST'!P589</f>
        <v>Scheme delivery (3 components)</v>
      </c>
      <c r="EH16" s="56" t="str">
        <f>'PC LIST'!Q589</f>
        <v>na</v>
      </c>
      <c r="EI16" s="56" t="str">
        <f>'PC LIST'!J589</f>
        <v>Under</v>
      </c>
      <c r="EJ16" s="56" t="str">
        <f>'PC LIST'!CC589</f>
        <v>-</v>
      </c>
    </row>
    <row r="17" spans="8:140" ht="15.75" customHeight="1">
      <c r="H17" s="56" t="str">
        <f>'PC LIST'!B30</f>
        <v>PR14ANHWSW_W-G1</v>
      </c>
      <c r="I17" s="57" t="str">
        <f>'PC LIST'!I30</f>
        <v>W-G1: Survey of community perception</v>
      </c>
      <c r="J17" s="57" t="str">
        <f>'PC LIST'!O30</f>
        <v>%</v>
      </c>
      <c r="K17" s="57" t="str">
        <f>'PC LIST'!P30</f>
        <v>% customer satisfaction</v>
      </c>
      <c r="L17" s="56" t="str">
        <f>'PC LIST'!Q30</f>
        <v>na</v>
      </c>
      <c r="M17" s="56" t="str">
        <f>'PC LIST'!J30</f>
        <v>NFI</v>
      </c>
      <c r="N17" s="743">
        <f>'PC LIST'!CC30</f>
        <v>55</v>
      </c>
      <c r="O17" s="56" t="str">
        <f>'PC LIST'!B69</f>
        <v>PR14BRLHHR_G2</v>
      </c>
      <c r="P17" s="57" t="str">
        <f>'PC LIST'!I69</f>
        <v>G2: Per capita consumption (PCC), measured as litres per head per day (l/h/d)</v>
      </c>
      <c r="Q17" s="57" t="str">
        <f>'PC LIST'!O69</f>
        <v>nr</v>
      </c>
      <c r="R17" s="57" t="str">
        <f>'PC LIST'!P69</f>
        <v>Litres per head per day (l/h/d)</v>
      </c>
      <c r="S17" s="56">
        <f>'PC LIST'!Q69</f>
        <v>1</v>
      </c>
      <c r="T17" s="56" t="str">
        <f>'PC LIST'!J69</f>
        <v>NFI</v>
      </c>
      <c r="U17" s="743">
        <f>'PC LIST'!CC69</f>
        <v>144.5</v>
      </c>
      <c r="X17" s="54"/>
      <c r="Y17" s="54"/>
      <c r="Z17" s="54"/>
      <c r="AA17" s="54"/>
      <c r="AB17" s="54"/>
      <c r="AC17" s="56" t="str">
        <f>'PC LIST'!B103</f>
        <v>PR14NESWSW_W-F2</v>
      </c>
      <c r="AD17" s="58" t="str">
        <f>'PC LIST'!I103</f>
        <v>W-F2: Annual environmental performance report</v>
      </c>
      <c r="AE17" s="58" t="str">
        <f>'PC LIST'!O103</f>
        <v>text</v>
      </c>
      <c r="AF17" s="58" t="str">
        <f>'PC LIST'!P103</f>
        <v>CRAG report publication</v>
      </c>
      <c r="AG17" s="56" t="str">
        <f>'PC LIST'!Q103</f>
        <v>na</v>
      </c>
      <c r="AH17" s="56" t="str">
        <f>'PC LIST'!J103</f>
        <v>NFI</v>
      </c>
      <c r="AI17" s="56" t="str">
        <f>'PC LIST'!CC103</f>
        <v>The Forums have prepared their statement and it will be published in the Our Contribution document.</v>
      </c>
      <c r="AQ17" s="56" t="str">
        <f>'PC LIST'!B160</f>
        <v>PR14SBWHHR_B1</v>
      </c>
      <c r="AR17" s="57" t="str">
        <f>'PC LIST'!I160</f>
        <v>B1: Fair customer bills (efficient debt management: % of average bill)</v>
      </c>
      <c r="AS17" s="57" t="str">
        <f>'PC LIST'!O160</f>
        <v>%</v>
      </c>
      <c r="AT17" s="57" t="str">
        <f>'PC LIST'!P160</f>
        <v>% of average bill</v>
      </c>
      <c r="AU17" s="56">
        <f>'PC LIST'!Q160</f>
        <v>2</v>
      </c>
      <c r="AV17" s="56" t="str">
        <f>'PC LIST'!J160</f>
        <v>NFI</v>
      </c>
      <c r="AW17" s="743">
        <f>'PC LIST'!CC160</f>
        <v>3.03</v>
      </c>
      <c r="AX17" s="56" t="str">
        <f>'PC LIST'!B175</f>
        <v>PR14SESWSW_E6</v>
      </c>
      <c r="AY17" s="57" t="str">
        <f>'PC LIST'!I175</f>
        <v>E6: Environmental investigations or catchment management schemes carried out as part of the NEP</v>
      </c>
      <c r="AZ17" s="57" t="str">
        <f>'PC LIST'!O175</f>
        <v>nr</v>
      </c>
      <c r="BA17" s="57" t="str">
        <f>'PC LIST'!P175</f>
        <v>No. of NEP schemes</v>
      </c>
      <c r="BB17" s="56">
        <f>'PC LIST'!Q175</f>
        <v>0</v>
      </c>
      <c r="BC17" s="56" t="str">
        <f>'PC LIST'!J175</f>
        <v>NFI</v>
      </c>
      <c r="BD17" s="744">
        <f>'PC LIST'!CC175</f>
        <v>0</v>
      </c>
      <c r="BE17" s="56" t="str">
        <f>'PC LIST'!B196</f>
        <v>PR14SEWWSW_J1</v>
      </c>
      <c r="BF17" s="57" t="str">
        <f>'PC LIST'!I196</f>
        <v>J1: Number of breaches of abstraction licences, discharge consents and environmental permits</v>
      </c>
      <c r="BG17" s="57" t="str">
        <f>'PC LIST'!O196</f>
        <v>nr</v>
      </c>
      <c r="BH17" s="57" t="str">
        <f>'PC LIST'!P196</f>
        <v>No. of breaches</v>
      </c>
      <c r="BI17" s="56">
        <f>'PC LIST'!Q196</f>
        <v>0</v>
      </c>
      <c r="BJ17" s="56" t="str">
        <f>'PC LIST'!J196</f>
        <v>NFI</v>
      </c>
      <c r="BK17" s="56">
        <f>'PC LIST'!CC196</f>
        <v>215</v>
      </c>
      <c r="BL17" s="56" t="str">
        <f>'PC LIST'!B230</f>
        <v>PR14SRNWSWW_5</v>
      </c>
      <c r="BM17" s="57" t="str">
        <f>'PC LIST'!I230</f>
        <v>5: Odour complaints (Portswood and Tonbridge treatment works)</v>
      </c>
      <c r="BN17" s="57" t="str">
        <f>'PC LIST'!O230</f>
        <v>nr</v>
      </c>
      <c r="BO17" s="57" t="str">
        <f>'PC LIST'!P230</f>
        <v>No. of odour complaints</v>
      </c>
      <c r="BP17" s="56">
        <f>'PC LIST'!Q230</f>
        <v>0</v>
      </c>
      <c r="BQ17" s="56" t="str">
        <f>'PC LIST'!J230</f>
        <v>Under</v>
      </c>
      <c r="BR17" s="56">
        <f>'PC LIST'!CC230</f>
        <v>18</v>
      </c>
      <c r="BS17" s="56" t="str">
        <f>'PC LIST'!B263</f>
        <v>PR14SSCHHR_3.3</v>
      </c>
      <c r="BT17" s="57" t="str">
        <f>'PC LIST'!I263</f>
        <v>3.3: Community engagement (combined company)</v>
      </c>
      <c r="BU17" s="57" t="str">
        <f>'PC LIST'!O263</f>
        <v>nr</v>
      </c>
      <c r="BV17" s="57" t="str">
        <f>'PC LIST'!P263</f>
        <v>No. of employee days per year</v>
      </c>
      <c r="BW17" s="56">
        <f>'PC LIST'!Q263</f>
        <v>0</v>
      </c>
      <c r="BX17" s="56" t="str">
        <f>'PC LIST'!J263</f>
        <v>NFI</v>
      </c>
      <c r="BY17" s="56">
        <f>'PC LIST'!CC263</f>
        <v>425</v>
      </c>
      <c r="BZ17" s="56" t="str">
        <f>'PC LIST'!B278</f>
        <v>PR14SVTWSW_W-B11</v>
      </c>
      <c r="CA17" s="57" t="str">
        <f>'PC LIST'!I278</f>
        <v>W-B11: Timing delays on community risk schemes</v>
      </c>
      <c r="CB17" s="57" t="str">
        <f>'PC LIST'!O278</f>
        <v>text</v>
      </c>
      <c r="CC17" s="57" t="str">
        <f>'PC LIST'!P278</f>
        <v>Scheme delivery (3 components)</v>
      </c>
      <c r="CD17" s="56" t="str">
        <f>'PC LIST'!Q278</f>
        <v>na</v>
      </c>
      <c r="CE17" s="56" t="str">
        <f>'PC LIST'!J278</f>
        <v>Under</v>
      </c>
      <c r="CF17" s="744" t="str">
        <f>'PC LIST'!CC278</f>
        <v>On track</v>
      </c>
      <c r="CG17" s="56" t="str">
        <f>'PC LIST'!B323</f>
        <v>PR14SWTWSW_W-E3a</v>
      </c>
      <c r="CH17" s="59" t="str">
        <f>'PC LIST'!I323</f>
        <v>W-E3a: Catchment management (number of acres)</v>
      </c>
      <c r="CI17" s="59" t="str">
        <f>'PC LIST'!O323</f>
        <v>nr</v>
      </c>
      <c r="CJ17" s="59" t="str">
        <f>'PC LIST'!P323</f>
        <v>No. of acres (cumulative)</v>
      </c>
      <c r="CK17" s="56">
        <f>'PC LIST'!Q323</f>
        <v>0</v>
      </c>
      <c r="CL17" s="56" t="str">
        <f>'PC LIST'!J323</f>
        <v>NFI</v>
      </c>
      <c r="CM17" s="743">
        <f>'PC LIST'!CC323</f>
        <v>7997</v>
      </c>
      <c r="CN17" s="56" t="str">
        <f>'PC LIST'!B365</f>
        <v>PR14TMSWSW_WC2</v>
      </c>
      <c r="CO17" s="57" t="str">
        <f>'PC LIST'!I365</f>
        <v>WC2: Leakage</v>
      </c>
      <c r="CP17" s="57" t="str">
        <f>'PC LIST'!O365</f>
        <v>nr</v>
      </c>
      <c r="CQ17" s="57" t="str">
        <f>'PC LIST'!P365</f>
        <v>Megalitres per day (Ml/d) (annual average)</v>
      </c>
      <c r="CR17" s="56">
        <f>'PC LIST'!Q365</f>
        <v>0</v>
      </c>
      <c r="CS17" s="56" t="str">
        <f>'PC LIST'!J365</f>
        <v>Out &amp; under</v>
      </c>
      <c r="CT17" s="56">
        <f>'PC LIST'!CC365</f>
        <v>695</v>
      </c>
      <c r="CU17" s="56" t="str">
        <f>'PC LIST'!B420</f>
        <v>PR14UUWSWW_S-B1</v>
      </c>
      <c r="CV17" s="57" t="str">
        <f>'PC LIST'!I420</f>
        <v>S-B1: Future flood risk</v>
      </c>
      <c r="CW17" s="57" t="str">
        <f>'PC LIST'!O420</f>
        <v>nr</v>
      </c>
      <c r="CX17" s="57" t="str">
        <f>'PC LIST'!P420</f>
        <v>No. of properties at risk</v>
      </c>
      <c r="CY17" s="56">
        <f>'PC LIST'!Q420</f>
        <v>0</v>
      </c>
      <c r="CZ17" s="56" t="str">
        <f>'PC LIST'!J420</f>
        <v>NFI</v>
      </c>
      <c r="DA17" s="56">
        <f>'PC LIST'!CC420</f>
        <v>16395</v>
      </c>
      <c r="DB17" s="56" t="str">
        <f>'PC LIST'!B447</f>
        <v>PR14WSHWSWW_C1</v>
      </c>
      <c r="DC17" s="57" t="str">
        <f>'PC LIST'!I447</f>
        <v>C1: Adapting to climate change - the volume of surface water removed from the system, expressed in number of properties equivalent</v>
      </c>
      <c r="DD17" s="57" t="str">
        <f>'PC LIST'!O447</f>
        <v>nr</v>
      </c>
      <c r="DE17" s="57" t="str">
        <f>'PC LIST'!P447</f>
        <v>Surface water removed expressed in no. props equivalent (cumulative)</v>
      </c>
      <c r="DF17" s="56">
        <f>'PC LIST'!Q447</f>
        <v>0</v>
      </c>
      <c r="DG17" s="56" t="str">
        <f>'PC LIST'!J447</f>
        <v>Under</v>
      </c>
      <c r="DH17" s="743">
        <f>'PC LIST'!CC447</f>
        <v>15097</v>
      </c>
      <c r="DI17" s="56" t="str">
        <f>'PC LIST'!B478</f>
        <v>PR14WSXWSWW_B1</v>
      </c>
      <c r="DJ17" s="57" t="str">
        <f>'PC LIST'!I478</f>
        <v>B1: The EA’s Environmental Performance Assessment (ODI based on pollution incidents)</v>
      </c>
      <c r="DK17" s="57" t="str">
        <f>'PC LIST'!O478</f>
        <v>text</v>
      </c>
      <c r="DL17" s="57" t="str">
        <f>'PC LIST'!P478</f>
        <v>EA’s Environmental Performance Assessment standing</v>
      </c>
      <c r="DM17" s="56" t="str">
        <f>'PC LIST'!Q478</f>
        <v>na</v>
      </c>
      <c r="DN17" s="56" t="str">
        <f>'PC LIST'!J478</f>
        <v>Out &amp; under</v>
      </c>
      <c r="DO17" s="56" t="str">
        <f>'PC LIST'!CC478</f>
        <v>Industry leading</v>
      </c>
      <c r="DP17" s="56" t="str">
        <f>'PC LIST'!B510</f>
        <v>PR14YKYWSWW_SA1</v>
      </c>
      <c r="DQ17" s="57" t="str">
        <f>'PC LIST'!I510</f>
        <v>SA1: Internal sewer flooding incidents</v>
      </c>
      <c r="DR17" s="57" t="str">
        <f>'PC LIST'!O510</f>
        <v>nr</v>
      </c>
      <c r="DS17" s="57" t="str">
        <f>'PC LIST'!P510</f>
        <v>No. of internal sewer flooding incidents</v>
      </c>
      <c r="DT17" s="56">
        <f>'PC LIST'!Q510</f>
        <v>0</v>
      </c>
      <c r="DU17" s="56" t="str">
        <f>'PC LIST'!J510</f>
        <v>Out &amp; under</v>
      </c>
      <c r="DV17" s="56">
        <f>'PC LIST'!CC510</f>
        <v>1682</v>
      </c>
      <c r="DW17" s="56" t="str">
        <f>'PC LIST'!B544</f>
        <v>PR14HDDWSW_W-A2</v>
      </c>
      <c r="DX17" s="57" t="str">
        <f>'PC LIST'!I544</f>
        <v>W-A2: Compliance with drinking water quality standards</v>
      </c>
      <c r="DY17" s="57" t="str">
        <f>'PC LIST'!O544</f>
        <v>%</v>
      </c>
      <c r="DZ17" s="57" t="str">
        <f>'PC LIST'!P544</f>
        <v>Mean zonal compliance (%)</v>
      </c>
      <c r="EA17" s="56">
        <f>'PC LIST'!Q544</f>
        <v>3</v>
      </c>
      <c r="EB17" s="56" t="str">
        <f>'PC LIST'!J544</f>
        <v>Under</v>
      </c>
      <c r="EC17" s="56" t="str">
        <f>'PC LIST'!CC544</f>
        <v>-</v>
      </c>
      <c r="ED17" s="56" t="str">
        <f>'PC LIST'!B590</f>
        <v>PR14SVEWSW_W-B11</v>
      </c>
      <c r="EE17" s="57" t="str">
        <f>'PC LIST'!I590</f>
        <v>W-B11: Timing delays on community risk schemes</v>
      </c>
      <c r="EF17" s="57" t="str">
        <f>'PC LIST'!O590</f>
        <v>text</v>
      </c>
      <c r="EG17" s="57" t="str">
        <f>'PC LIST'!P590</f>
        <v>Scheme delivery (3 components)</v>
      </c>
      <c r="EH17" s="56" t="str">
        <f>'PC LIST'!Q590</f>
        <v>na</v>
      </c>
      <c r="EI17" s="56" t="str">
        <f>'PC LIST'!J590</f>
        <v>Under</v>
      </c>
      <c r="EJ17" s="56" t="str">
        <f>'PC LIST'!CC590</f>
        <v>-</v>
      </c>
    </row>
    <row r="18" spans="8:140" ht="15.75" customHeight="1">
      <c r="H18" s="56" t="str">
        <f>'PC LIST'!B31</f>
        <v>PR14ANHWSW_W-H1</v>
      </c>
      <c r="I18" s="57" t="str">
        <f>'PC LIST'!I31</f>
        <v>W-H1: Water infrastructure</v>
      </c>
      <c r="J18" s="57" t="str">
        <f>'PC LIST'!O31</f>
        <v>category</v>
      </c>
      <c r="K18" s="57" t="str">
        <f>'PC LIST'!P31</f>
        <v>Asset health indicator (RAG)</v>
      </c>
      <c r="L18" s="56" t="str">
        <f>'PC LIST'!Q31</f>
        <v>na</v>
      </c>
      <c r="M18" s="56" t="str">
        <f>'PC LIST'!J31</f>
        <v>Under</v>
      </c>
      <c r="N18" s="743" t="str">
        <f>'PC LIST'!CC31</f>
        <v>Green</v>
      </c>
      <c r="O18" s="56" t="str">
        <f>'PC LIST'!B70</f>
        <v>PR14BRLHHR_I1</v>
      </c>
      <c r="P18" s="57" t="str">
        <f>'PC LIST'!I70</f>
        <v>I1: Percentage of customers in water poverty</v>
      </c>
      <c r="Q18" s="57" t="str">
        <f>'PC LIST'!O70</f>
        <v>%</v>
      </c>
      <c r="R18" s="57" t="str">
        <f>'PC LIST'!P70</f>
        <v>% customers in water poverty</v>
      </c>
      <c r="S18" s="56">
        <f>'PC LIST'!Q70</f>
        <v>1</v>
      </c>
      <c r="T18" s="56" t="str">
        <f>'PC LIST'!J70</f>
        <v>NFI</v>
      </c>
      <c r="U18" s="743">
        <f>'PC LIST'!CC70</f>
        <v>0</v>
      </c>
      <c r="X18" s="54"/>
      <c r="Y18" s="54"/>
      <c r="Z18" s="54"/>
      <c r="AA18" s="54"/>
      <c r="AB18" s="54"/>
      <c r="AC18" s="56" t="str">
        <f>'PC LIST'!B104</f>
        <v>PR14NESWSWW_S-A1</v>
      </c>
      <c r="AD18" s="58" t="str">
        <f>'PC LIST'!I104</f>
        <v>S-A1: Asset health measures - wastewater</v>
      </c>
      <c r="AE18" s="58" t="str">
        <f>'PC LIST'!O104</f>
        <v>N/A</v>
      </c>
      <c r="AF18" s="58" t="str">
        <f>'PC LIST'!P104</f>
        <v>N/A (measured in separate PCs)</v>
      </c>
      <c r="AG18" s="56" t="str">
        <f>'PC LIST'!Q104</f>
        <v>na</v>
      </c>
      <c r="AH18" s="56" t="str">
        <f>'PC LIST'!J104</f>
        <v>NFI</v>
      </c>
      <c r="AI18" s="56" t="str">
        <f>'PC LIST'!CC104</f>
        <v>n/a</v>
      </c>
      <c r="AQ18" s="56"/>
      <c r="AR18" s="57"/>
      <c r="AX18" s="56" t="str">
        <f>'PC LIST'!B176</f>
        <v>PR14SESHHR_B1</v>
      </c>
      <c r="AY18" s="57" t="str">
        <f>'PC LIST'!I176</f>
        <v>B1: Number of customers that are in water poverty and receiving assistance</v>
      </c>
      <c r="AZ18" s="57" t="str">
        <f>'PC LIST'!O176</f>
        <v>nr</v>
      </c>
      <c r="BA18" s="57" t="str">
        <f>'PC LIST'!P176</f>
        <v>No. of customers</v>
      </c>
      <c r="BB18" s="56">
        <f>'PC LIST'!Q176</f>
        <v>0</v>
      </c>
      <c r="BC18" s="56" t="str">
        <f>'PC LIST'!J176</f>
        <v>NFI</v>
      </c>
      <c r="BD18" s="744">
        <f>'PC LIST'!CC176</f>
        <v>8150</v>
      </c>
      <c r="BE18" s="56" t="str">
        <f>'PC LIST'!B197</f>
        <v>PR14SEWWSW_J2</v>
      </c>
      <c r="BF18" s="57" t="str">
        <f>'PC LIST'!I197</f>
        <v>J2: Number of pollution incidents (category 1-2)</v>
      </c>
      <c r="BG18" s="57" t="str">
        <f>'PC LIST'!O197</f>
        <v>nr</v>
      </c>
      <c r="BH18" s="57" t="str">
        <f>'PC LIST'!P197</f>
        <v>No. of pollution incidents (cat 1 and 2)</v>
      </c>
      <c r="BI18" s="56">
        <f>'PC LIST'!Q197</f>
        <v>0</v>
      </c>
      <c r="BJ18" s="56" t="str">
        <f>'PC LIST'!J197</f>
        <v>NFI</v>
      </c>
      <c r="BK18" s="56">
        <f>'PC LIST'!CC197</f>
        <v>1</v>
      </c>
      <c r="BL18" s="56" t="str">
        <f>'PC LIST'!B231</f>
        <v>PR14SRNWSWW_6</v>
      </c>
      <c r="BM18" s="57" t="str">
        <f>'PC LIST'!I231</f>
        <v>6: Wastewater treatment works numeric compliance</v>
      </c>
      <c r="BN18" s="57" t="str">
        <f>'PC LIST'!O231</f>
        <v>%</v>
      </c>
      <c r="BO18" s="57" t="str">
        <f>'PC LIST'!P231</f>
        <v>% compliance with WwTW regulations</v>
      </c>
      <c r="BP18" s="56">
        <f>'PC LIST'!Q231</f>
        <v>1</v>
      </c>
      <c r="BQ18" s="56" t="str">
        <f>'PC LIST'!J231</f>
        <v>Under</v>
      </c>
      <c r="BR18" s="56">
        <f>'PC LIST'!CC231</f>
        <v>98.38</v>
      </c>
      <c r="BS18" s="56"/>
      <c r="BT18" s="57"/>
      <c r="BU18" s="57"/>
      <c r="BV18" s="57"/>
      <c r="BZ18" s="56" t="str">
        <f>'PC LIST'!B279</f>
        <v>PR14SVTWSW_W-B12</v>
      </c>
      <c r="CA18" s="57" t="str">
        <f>'PC LIST'!I279</f>
        <v>W-B12: Non-delivery of the community risk schemes</v>
      </c>
      <c r="CB18" s="57" t="str">
        <f>'PC LIST'!O279</f>
        <v>text</v>
      </c>
      <c r="CC18" s="57" t="str">
        <f>'PC LIST'!P279</f>
        <v>Scheme delivery (3 components)</v>
      </c>
      <c r="CD18" s="56" t="str">
        <f>'PC LIST'!Q279</f>
        <v>na</v>
      </c>
      <c r="CE18" s="56" t="str">
        <f>'PC LIST'!J279</f>
        <v>Under</v>
      </c>
      <c r="CF18" s="744" t="str">
        <f>'PC LIST'!CC279</f>
        <v>On track</v>
      </c>
      <c r="CG18" s="56" t="str">
        <f>'PC LIST'!B324</f>
        <v>PR14SWTWSW_W-E3b</v>
      </c>
      <c r="CH18" s="59" t="str">
        <f>'PC LIST'!I324</f>
        <v>W-E3b: Catchment management (number of farms)</v>
      </c>
      <c r="CI18" s="59" t="str">
        <f>'PC LIST'!O324</f>
        <v>nr</v>
      </c>
      <c r="CJ18" s="59" t="str">
        <f>'PC LIST'!P324</f>
        <v>No. of farms (cumulative)</v>
      </c>
      <c r="CK18" s="56">
        <f>'PC LIST'!Q324</f>
        <v>0</v>
      </c>
      <c r="CL18" s="56" t="str">
        <f>'PC LIST'!J324</f>
        <v>NFI</v>
      </c>
      <c r="CM18" s="743">
        <f>'PC LIST'!CC324</f>
        <v>1290</v>
      </c>
      <c r="CN18" s="56" t="str">
        <f>'PC LIST'!B366</f>
        <v>PR14TMSWSW_WC3</v>
      </c>
      <c r="CO18" s="57" t="str">
        <f>'PC LIST'!I366</f>
        <v xml:space="preserve">WC3: Abstraction Incentive Mechanism (AIM) </v>
      </c>
      <c r="CP18" s="57" t="str">
        <f>'PC LIST'!O366</f>
        <v>nr</v>
      </c>
      <c r="CQ18" s="57" t="str">
        <f>'PC LIST'!P366</f>
        <v>Megalitres per day (Ml/d) abstracted at the relevant site</v>
      </c>
      <c r="CR18" s="56">
        <f>'PC LIST'!Q366</f>
        <v>2</v>
      </c>
      <c r="CS18" s="56" t="str">
        <f>'PC LIST'!J366</f>
        <v>NFI</v>
      </c>
      <c r="CT18" s="56">
        <f>'PC LIST'!CC366</f>
        <v>-1676.29</v>
      </c>
      <c r="CU18" s="56" t="str">
        <f>'PC LIST'!B421</f>
        <v>PR14UUWSWW_S-B2</v>
      </c>
      <c r="CV18" s="57" t="str">
        <f>'PC LIST'!I421</f>
        <v>S-B2: Sewer flooding index</v>
      </c>
      <c r="CW18" s="57" t="str">
        <f>'PC LIST'!O421</f>
        <v>score</v>
      </c>
      <c r="CX18" s="57" t="str">
        <f>'PC LIST'!P421</f>
        <v>Sewer flooding index (UU bespoke)</v>
      </c>
      <c r="CY18" s="56">
        <f>'PC LIST'!Q421</f>
        <v>1</v>
      </c>
      <c r="CZ18" s="56" t="str">
        <f>'PC LIST'!J421</f>
        <v>Out &amp; under</v>
      </c>
      <c r="DA18" s="56">
        <f>'PC LIST'!CC421</f>
        <v>70</v>
      </c>
      <c r="DB18" s="56" t="str">
        <f>'PC LIST'!B448</f>
        <v>PR14WSHWSWW_C2</v>
      </c>
      <c r="DC18" s="57" t="str">
        <f>'PC LIST'!I448</f>
        <v>C2: Carbon footprint - gigawatt-hours (GWh) of renewable energy generated</v>
      </c>
      <c r="DD18" s="57" t="str">
        <f>'PC LIST'!O448</f>
        <v>nr</v>
      </c>
      <c r="DE18" s="57" t="str">
        <f>'PC LIST'!P448</f>
        <v>GWh (gigawatt-hours)</v>
      </c>
      <c r="DF18" s="56">
        <f>'PC LIST'!Q448</f>
        <v>2</v>
      </c>
      <c r="DG18" s="56" t="str">
        <f>'PC LIST'!J448</f>
        <v>NFI</v>
      </c>
      <c r="DH18" s="743">
        <f>'PC LIST'!CC448</f>
        <v>55.51</v>
      </c>
      <c r="DI18" s="56" t="str">
        <f>'PC LIST'!B479</f>
        <v>PR14WSXWSWW_B2</v>
      </c>
      <c r="DJ18" s="57" t="str">
        <f>'PC LIST'!I479</f>
        <v>B2: Monitoring CSOs</v>
      </c>
      <c r="DK18" s="57" t="str">
        <f>'PC LIST'!O479</f>
        <v>%</v>
      </c>
      <c r="DL18" s="57" t="str">
        <f>'PC LIST'!P479</f>
        <v>% CSOs presenting environmental risk with EDM installed</v>
      </c>
      <c r="DM18" s="56">
        <f>'PC LIST'!Q479</f>
        <v>0</v>
      </c>
      <c r="DN18" s="56" t="str">
        <f>'PC LIST'!J479</f>
        <v>Under</v>
      </c>
      <c r="DO18" s="56">
        <f>'PC LIST'!CC479</f>
        <v>60</v>
      </c>
      <c r="DP18" s="56" t="str">
        <f>'PC LIST'!B511</f>
        <v>PR14YKYWSWW_SA2</v>
      </c>
      <c r="DQ18" s="57" t="str">
        <f>'PC LIST'!I511</f>
        <v>SA2: External sewer flooding incidents</v>
      </c>
      <c r="DR18" s="57" t="str">
        <f>'PC LIST'!O511</f>
        <v>nr</v>
      </c>
      <c r="DS18" s="57" t="str">
        <f>'PC LIST'!P511</f>
        <v>No. of external sewer flooding incidents</v>
      </c>
      <c r="DT18" s="56">
        <f>'PC LIST'!Q511</f>
        <v>0</v>
      </c>
      <c r="DU18" s="56" t="str">
        <f>'PC LIST'!J511</f>
        <v>NFI</v>
      </c>
      <c r="DV18" s="56">
        <f>'PC LIST'!CC511</f>
        <v>9296</v>
      </c>
      <c r="DW18" s="56" t="str">
        <f>'PC LIST'!B545</f>
        <v>PR14HDDWSW_W-A3</v>
      </c>
      <c r="DX18" s="57" t="str">
        <f>'PC LIST'!I545</f>
        <v>W-A3: Asset stewardship - number of sites with coliform failures (WTWs)</v>
      </c>
      <c r="DY18" s="57" t="str">
        <f>'PC LIST'!O545</f>
        <v>nr</v>
      </c>
      <c r="DZ18" s="57" t="str">
        <f>'PC LIST'!P545</f>
        <v>No. of sites with coliform failures per year</v>
      </c>
      <c r="EA18" s="56">
        <f>'PC LIST'!Q545</f>
        <v>0</v>
      </c>
      <c r="EB18" s="56" t="str">
        <f>'PC LIST'!J545</f>
        <v>Under</v>
      </c>
      <c r="EC18" s="56" t="str">
        <f>'PC LIST'!CC545</f>
        <v>-</v>
      </c>
      <c r="ED18" s="56" t="str">
        <f>'PC LIST'!B591</f>
        <v>PR14SVEWSW_W-B12</v>
      </c>
      <c r="EE18" s="57" t="str">
        <f>'PC LIST'!I591</f>
        <v>W-B12: Non-delivery of the community risk schemes</v>
      </c>
      <c r="EF18" s="57" t="str">
        <f>'PC LIST'!O591</f>
        <v>text</v>
      </c>
      <c r="EG18" s="57" t="str">
        <f>'PC LIST'!P591</f>
        <v>Scheme delivery (3 components)</v>
      </c>
      <c r="EH18" s="56" t="str">
        <f>'PC LIST'!Q591</f>
        <v>na</v>
      </c>
      <c r="EI18" s="56" t="str">
        <f>'PC LIST'!J591</f>
        <v>Under</v>
      </c>
      <c r="EJ18" s="56" t="str">
        <f>'PC LIST'!CC591</f>
        <v>-</v>
      </c>
    </row>
    <row r="19" spans="8:140" ht="15.75" customHeight="1">
      <c r="H19" s="56" t="str">
        <f>'PC LIST'!B32</f>
        <v>PR14ANHWSW_W-H2</v>
      </c>
      <c r="I19" s="57" t="str">
        <f>'PC LIST'!I32</f>
        <v>W-H2: Water non-infrastructure</v>
      </c>
      <c r="J19" s="57" t="str">
        <f>'PC LIST'!O32</f>
        <v>category</v>
      </c>
      <c r="K19" s="57" t="str">
        <f>'PC LIST'!P32</f>
        <v>Asset health indicator (RAG)</v>
      </c>
      <c r="L19" s="56" t="str">
        <f>'PC LIST'!Q32</f>
        <v>na</v>
      </c>
      <c r="M19" s="56" t="str">
        <f>'PC LIST'!J32</f>
        <v>Under</v>
      </c>
      <c r="N19" s="743" t="str">
        <f>'PC LIST'!CC32</f>
        <v>Green</v>
      </c>
      <c r="O19" s="56" t="str">
        <f>'PC LIST'!B71</f>
        <v>PR14BRLHHR_J1</v>
      </c>
      <c r="P19" s="57" t="str">
        <f>'PC LIST'!I71</f>
        <v>J1: Service incentive mechanism (SIM)</v>
      </c>
      <c r="Q19" s="57" t="str">
        <f>'PC LIST'!O71</f>
        <v>rank</v>
      </c>
      <c r="R19" s="57" t="str">
        <f>'PC LIST'!P71</f>
        <v>Service incentive mechanism (SIM) score ranking</v>
      </c>
      <c r="S19" s="56" t="str">
        <f>'PC LIST'!Q71</f>
        <v>na</v>
      </c>
      <c r="T19" s="56" t="str">
        <f>'PC LIST'!J71</f>
        <v>Out &amp; under</v>
      </c>
      <c r="U19" s="743">
        <f>'PC LIST'!CC71</f>
        <v>83.38</v>
      </c>
      <c r="X19" s="54"/>
      <c r="Y19" s="54"/>
      <c r="Z19" s="54"/>
      <c r="AA19" s="54"/>
      <c r="AB19" s="54"/>
      <c r="AC19" s="56" t="str">
        <f>'PC LIST'!B105</f>
        <v>PR14NESWSWW_S-B1</v>
      </c>
      <c r="AD19" s="58" t="str">
        <f>'PC LIST'!I105</f>
        <v>S-B1: Properties flooded externally</v>
      </c>
      <c r="AE19" s="58" t="str">
        <f>'PC LIST'!O105</f>
        <v>nr</v>
      </c>
      <c r="AF19" s="58" t="str">
        <f>'PC LIST'!P105</f>
        <v>No. of properties per year</v>
      </c>
      <c r="AG19" s="56">
        <f>'PC LIST'!Q105</f>
        <v>0</v>
      </c>
      <c r="AH19" s="56" t="str">
        <f>'PC LIST'!J105</f>
        <v>Out &amp; under</v>
      </c>
      <c r="AI19" s="56">
        <f>'PC LIST'!CC105</f>
        <v>944</v>
      </c>
      <c r="AX19" s="56" t="str">
        <f>'PC LIST'!B177</f>
        <v>PR14SESHHR_B2</v>
      </c>
      <c r="AY19" s="57" t="str">
        <f>'PC LIST'!I177</f>
        <v>B2: Effectiveness of bad debt recovery (bad debt expressed as a percentage of turnover)</v>
      </c>
      <c r="AZ19" s="57" t="str">
        <f>'PC LIST'!O177</f>
        <v>%</v>
      </c>
      <c r="BA19" s="57" t="str">
        <f>'PC LIST'!P177</f>
        <v>Bad debt as % of total turnover</v>
      </c>
      <c r="BB19" s="56">
        <f>'PC LIST'!Q177</f>
        <v>2</v>
      </c>
      <c r="BC19" s="56" t="str">
        <f>'PC LIST'!J177</f>
        <v>NFI</v>
      </c>
      <c r="BD19" s="744">
        <f>'PC LIST'!CC177</f>
        <v>0.64</v>
      </c>
      <c r="BE19" s="56" t="str">
        <f>'PC LIST'!B198</f>
        <v>PR14SEWWSW_K1</v>
      </c>
      <c r="BF19" s="57" t="str">
        <f>'PC LIST'!I198</f>
        <v>K1: Number of breaches of health and safety regulations, as defined by the Health and Safety Executive</v>
      </c>
      <c r="BG19" s="57" t="str">
        <f>'PC LIST'!O198</f>
        <v>nr</v>
      </c>
      <c r="BH19" s="57" t="str">
        <f>'PC LIST'!P198</f>
        <v>No. of H&amp;S regulation breaches</v>
      </c>
      <c r="BI19" s="56">
        <f>'PC LIST'!Q198</f>
        <v>0</v>
      </c>
      <c r="BJ19" s="56" t="str">
        <f>'PC LIST'!J198</f>
        <v>NFI</v>
      </c>
      <c r="BK19" s="56">
        <f>'PC LIST'!CC198</f>
        <v>0</v>
      </c>
      <c r="BL19" s="56" t="str">
        <f>'PC LIST'!B232</f>
        <v>PR14SRNWSWW_7</v>
      </c>
      <c r="BM19" s="57" t="str">
        <f>'PC LIST'!I232</f>
        <v>7: Proportion of energy from renewable sources</v>
      </c>
      <c r="BN19" s="57" t="str">
        <f>'PC LIST'!O232</f>
        <v>%</v>
      </c>
      <c r="BO19" s="57" t="str">
        <f>'PC LIST'!P232</f>
        <v>% energy from renewable sources</v>
      </c>
      <c r="BP19" s="56">
        <f>'PC LIST'!Q232</f>
        <v>1</v>
      </c>
      <c r="BQ19" s="56" t="str">
        <f>'PC LIST'!J232</f>
        <v>NFI</v>
      </c>
      <c r="BR19" s="56">
        <f>'PC LIST'!CC232</f>
        <v>17.2</v>
      </c>
      <c r="BU19" s="54"/>
      <c r="BV19" s="54"/>
      <c r="BW19" s="54"/>
      <c r="BX19" s="54"/>
      <c r="BY19" s="54"/>
      <c r="BZ19" s="56" t="str">
        <f>'PC LIST'!B280</f>
        <v>PR14SVTWSW_W-B13</v>
      </c>
      <c r="CA19" s="57" t="str">
        <f>'PC LIST'!I280</f>
        <v xml:space="preserve">W-B13: Timing delays on Elan Valley Aqueduct (EVA) maintenance </v>
      </c>
      <c r="CB19" s="57" t="str">
        <f>'PC LIST'!O280</f>
        <v>text</v>
      </c>
      <c r="CC19" s="57" t="str">
        <f>'PC LIST'!P280</f>
        <v>Scheme delivery</v>
      </c>
      <c r="CD19" s="56" t="str">
        <f>'PC LIST'!Q280</f>
        <v>na</v>
      </c>
      <c r="CE19" s="56" t="str">
        <f>'PC LIST'!J280</f>
        <v>Under</v>
      </c>
      <c r="CF19" s="744" t="str">
        <f>'PC LIST'!CC280</f>
        <v>Milestone complete</v>
      </c>
      <c r="CG19" s="56" t="str">
        <f>'PC LIST'!B325</f>
        <v>PR14SWTWSW_W-E4</v>
      </c>
      <c r="CH19" s="59" t="str">
        <f>'PC LIST'!I325</f>
        <v>W-E4: Pollution incidents (category 1 and 2)</v>
      </c>
      <c r="CI19" s="59" t="str">
        <f>'PC LIST'!O325</f>
        <v>nr</v>
      </c>
      <c r="CJ19" s="59" t="str">
        <f>'PC LIST'!P325</f>
        <v>No. of pollution incidents (cats 1 and 2)</v>
      </c>
      <c r="CK19" s="56">
        <f>'PC LIST'!Q325</f>
        <v>0</v>
      </c>
      <c r="CL19" s="56" t="str">
        <f>'PC LIST'!J325</f>
        <v>Under</v>
      </c>
      <c r="CM19" s="743">
        <f>'PC LIST'!CC325</f>
        <v>0</v>
      </c>
      <c r="CN19" s="56" t="str">
        <f>'PC LIST'!B367</f>
        <v>PR14TMSWSW_WC4</v>
      </c>
      <c r="CO19" s="57" t="str">
        <f>'PC LIST'!I367</f>
        <v>WC4: We will educate our existing and future customers</v>
      </c>
      <c r="CP19" s="57" t="str">
        <f>'PC LIST'!O367</f>
        <v>nr</v>
      </c>
      <c r="CQ19" s="57" t="str">
        <f>'PC LIST'!P367</f>
        <v>No. of children directly engaged</v>
      </c>
      <c r="CR19" s="56">
        <f>'PC LIST'!Q367</f>
        <v>0</v>
      </c>
      <c r="CS19" s="56" t="str">
        <f>'PC LIST'!J367</f>
        <v>NFI</v>
      </c>
      <c r="CT19" s="56">
        <f>'PC LIST'!CC367</f>
        <v>21341</v>
      </c>
      <c r="CU19" s="56" t="str">
        <f>'PC LIST'!B422</f>
        <v>PR14UUWSWW_S-C1</v>
      </c>
      <c r="CV19" s="57" t="str">
        <f>'PC LIST'!I422</f>
        <v>S-C1: Contribution to bathing waters improved (includes NEP phase 3&amp;4 bathing water intermittent discharge projects)</v>
      </c>
      <c r="CW19" s="57" t="str">
        <f>'PC LIST'!O422</f>
        <v>nr</v>
      </c>
      <c r="CX19" s="57" t="str">
        <f>'PC LIST'!P422</f>
        <v>Bathing water equivalent (BWE)</v>
      </c>
      <c r="CY19" s="56">
        <f>'PC LIST'!Q422</f>
        <v>2</v>
      </c>
      <c r="CZ19" s="56" t="str">
        <f>'PC LIST'!J422</f>
        <v>Under</v>
      </c>
      <c r="DA19" s="56">
        <f>'PC LIST'!CC422</f>
        <v>1.49</v>
      </c>
      <c r="DB19" s="56" t="str">
        <f>'PC LIST'!B449</f>
        <v>PR14WSHWSWW_D1</v>
      </c>
      <c r="DC19" s="57" t="str">
        <f>'PC LIST'!I449</f>
        <v>D1: Service incentive mechanism (SIM)</v>
      </c>
      <c r="DD19" s="57" t="str">
        <f>'PC LIST'!O449</f>
        <v>text</v>
      </c>
      <c r="DE19" s="57" t="str">
        <f>'PC LIST'!P449</f>
        <v>Service incentive mechanism (SIM) score ranking</v>
      </c>
      <c r="DF19" s="56" t="str">
        <f>'PC LIST'!Q449</f>
        <v>na</v>
      </c>
      <c r="DG19" s="56" t="str">
        <f>'PC LIST'!J449</f>
        <v>Out &amp; under</v>
      </c>
      <c r="DH19" s="743">
        <f>'PC LIST'!CC449</f>
        <v>84.64</v>
      </c>
      <c r="DI19" s="56" t="str">
        <f>'PC LIST'!B480</f>
        <v>PR14WSXWSWW_B3</v>
      </c>
      <c r="DJ19" s="57" t="str">
        <f>'PC LIST'!I480</f>
        <v>B3: River water quality improved</v>
      </c>
      <c r="DK19" s="57" t="str">
        <f>'PC LIST'!O480</f>
        <v>nr</v>
      </c>
      <c r="DL19" s="57" t="str">
        <f>'PC LIST'!P480</f>
        <v>No. water bodies improved through WwTW investments</v>
      </c>
      <c r="DM19" s="56">
        <f>'PC LIST'!Q480</f>
        <v>0</v>
      </c>
      <c r="DN19" s="56" t="str">
        <f>'PC LIST'!J480</f>
        <v>Out &amp; under</v>
      </c>
      <c r="DO19" s="56">
        <f>'PC LIST'!CC480</f>
        <v>23</v>
      </c>
      <c r="DP19" s="56" t="str">
        <f>'PC LIST'!B512</f>
        <v>PR14YKYWSWW_SA3a</v>
      </c>
      <c r="DQ19" s="57" t="str">
        <f>'PC LIST'!I512</f>
        <v>SA3a: Pollution incidents - category 1 and 2</v>
      </c>
      <c r="DR19" s="57" t="str">
        <f>'PC LIST'!O512</f>
        <v>nr</v>
      </c>
      <c r="DS19" s="57" t="str">
        <f>'PC LIST'!P512</f>
        <v>No. of pollution incidents (cats 1 and 2)</v>
      </c>
      <c r="DT19" s="56">
        <f>'PC LIST'!Q512</f>
        <v>0</v>
      </c>
      <c r="DU19" s="56" t="str">
        <f>'PC LIST'!J512</f>
        <v>NFI</v>
      </c>
      <c r="DV19" s="56">
        <f>'PC LIST'!CC512</f>
        <v>3</v>
      </c>
      <c r="DW19" s="56" t="str">
        <f>'PC LIST'!B546</f>
        <v>PR14HDDWSW_W-B1</v>
      </c>
      <c r="DX19" s="57" t="str">
        <f>'PC LIST'!I546</f>
        <v>W-B1: Resource efficiency (distribution input per customer) - amount of water taken out of the environment</v>
      </c>
      <c r="DY19" s="57" t="str">
        <f>'PC LIST'!O546</f>
        <v>nr</v>
      </c>
      <c r="DZ19" s="57" t="str">
        <f>'PC LIST'!P546</f>
        <v>Litres per person per day (l/p/d)</v>
      </c>
      <c r="EA19" s="56">
        <f>'PC LIST'!Q546</f>
        <v>0</v>
      </c>
      <c r="EB19" s="56" t="str">
        <f>'PC LIST'!J546</f>
        <v>NFI</v>
      </c>
      <c r="EC19" s="56" t="str">
        <f>'PC LIST'!CC546</f>
        <v>-</v>
      </c>
      <c r="ED19" s="56" t="str">
        <f>'PC LIST'!B592</f>
        <v>PR14SVEWSW_W-B13</v>
      </c>
      <c r="EE19" s="57" t="str">
        <f>'PC LIST'!I592</f>
        <v xml:space="preserve">W-B13: Timing delays on Elan Valley Aqueduct (EVA) maintenance </v>
      </c>
      <c r="EF19" s="57" t="str">
        <f>'PC LIST'!O592</f>
        <v>text</v>
      </c>
      <c r="EG19" s="57" t="str">
        <f>'PC LIST'!P592</f>
        <v>Scheme delivery</v>
      </c>
      <c r="EH19" s="56" t="str">
        <f>'PC LIST'!Q592</f>
        <v>na</v>
      </c>
      <c r="EI19" s="56" t="str">
        <f>'PC LIST'!J592</f>
        <v>Under</v>
      </c>
      <c r="EJ19" s="56" t="str">
        <f>'PC LIST'!CC592</f>
        <v>-</v>
      </c>
    </row>
    <row r="20" spans="8:140" ht="15.75" customHeight="1">
      <c r="H20" s="56" t="str">
        <f>'PC LIST'!B33</f>
        <v>PR14ANHWSW_W-I1</v>
      </c>
      <c r="I20" s="57" t="str">
        <f>'PC LIST'!I33</f>
        <v>W-I1: Mean zonal compliance (MZC)</v>
      </c>
      <c r="J20" s="57" t="str">
        <f>'PC LIST'!O33</f>
        <v>%</v>
      </c>
      <c r="K20" s="57" t="str">
        <f>'PC LIST'!P33</f>
        <v>Mean zonal compliance (%)</v>
      </c>
      <c r="L20" s="56">
        <f>'PC LIST'!Q33</f>
        <v>2</v>
      </c>
      <c r="M20" s="56" t="str">
        <f>'PC LIST'!J33</f>
        <v>Under</v>
      </c>
      <c r="N20" s="743">
        <f>'PC LIST'!CC33</f>
        <v>99.96</v>
      </c>
      <c r="O20" s="56" t="str">
        <f>'PC LIST'!B72</f>
        <v>PR14BRLHHR_J2</v>
      </c>
      <c r="P20" s="57" t="str">
        <f>'PC LIST'!I72</f>
        <v>J2: General satisfaction from surveys</v>
      </c>
      <c r="Q20" s="57" t="str">
        <f>'PC LIST'!O72</f>
        <v>%</v>
      </c>
      <c r="R20" s="57" t="str">
        <f>'PC LIST'!P72</f>
        <v>% customer satisfaction</v>
      </c>
      <c r="S20" s="56">
        <f>'PC LIST'!Q72</f>
        <v>0</v>
      </c>
      <c r="T20" s="56" t="str">
        <f>'PC LIST'!J72</f>
        <v>NFI</v>
      </c>
      <c r="U20" s="743">
        <f>'PC LIST'!CC72</f>
        <v>87</v>
      </c>
      <c r="AC20" s="56" t="str">
        <f>'PC LIST'!B106</f>
        <v>PR14NESWSWW_S-B2</v>
      </c>
      <c r="AD20" s="58" t="str">
        <f>'PC LIST'!I106</f>
        <v>S-B2: Properties flooded internally</v>
      </c>
      <c r="AE20" s="58" t="str">
        <f>'PC LIST'!O106</f>
        <v>nr</v>
      </c>
      <c r="AF20" s="58" t="str">
        <f>'PC LIST'!P106</f>
        <v>No. of properties flooded internally per year</v>
      </c>
      <c r="AG20" s="56">
        <f>'PC LIST'!Q106</f>
        <v>0</v>
      </c>
      <c r="AH20" s="56" t="str">
        <f>'PC LIST'!J106</f>
        <v>Out &amp; under</v>
      </c>
      <c r="AI20" s="56">
        <f>'PC LIST'!CC106</f>
        <v>96</v>
      </c>
      <c r="AX20" s="56" t="str">
        <f>'PC LIST'!B178</f>
        <v>PR14SESHHR_B3</v>
      </c>
      <c r="AY20" s="57" t="str">
        <f>'PC LIST'!I178</f>
        <v>B3: Customer perception of value for money</v>
      </c>
      <c r="AZ20" s="57" t="str">
        <f>'PC LIST'!O178</f>
        <v>%</v>
      </c>
      <c r="BA20" s="57" t="str">
        <f>'PC LIST'!P178</f>
        <v>% customer satisfaction</v>
      </c>
      <c r="BB20" s="56">
        <f>'PC LIST'!Q178</f>
        <v>0</v>
      </c>
      <c r="BC20" s="56" t="str">
        <f>'PC LIST'!J178</f>
        <v>NFI</v>
      </c>
      <c r="BD20" s="744">
        <f>'PC LIST'!CC178</f>
        <v>9</v>
      </c>
      <c r="BE20" s="56" t="str">
        <f>'PC LIST'!B199</f>
        <v>PR14SEWWSW_L1</v>
      </c>
      <c r="BF20" s="57" t="str">
        <f>'PC LIST'!I199</f>
        <v>L1: Number of breaches of National Security obligations (Security and Emergency Measures Direction)</v>
      </c>
      <c r="BG20" s="57" t="str">
        <f>'PC LIST'!O199</f>
        <v>nr</v>
      </c>
      <c r="BH20" s="57" t="str">
        <f>'PC LIST'!P199</f>
        <v>No. of SEMD compliance breaches</v>
      </c>
      <c r="BI20" s="56">
        <f>'PC LIST'!Q199</f>
        <v>0</v>
      </c>
      <c r="BJ20" s="56" t="str">
        <f>'PC LIST'!J199</f>
        <v>NFI</v>
      </c>
      <c r="BK20" s="56">
        <f>'PC LIST'!CC199</f>
        <v>0</v>
      </c>
      <c r="BL20" s="56" t="str">
        <f>'PC LIST'!B233</f>
        <v>PR14SRNWSWW_8</v>
      </c>
      <c r="BM20" s="57" t="str">
        <f>'PC LIST'!I233</f>
        <v>8: Bathing waters with ‘excellent’ water quality (part 1)</v>
      </c>
      <c r="BN20" s="57" t="str">
        <f>'PC LIST'!O233</f>
        <v>nr</v>
      </c>
      <c r="BO20" s="57" t="str">
        <f>'PC LIST'!P233</f>
        <v>No. of bathing waters</v>
      </c>
      <c r="BP20" s="56">
        <f>'PC LIST'!Q233</f>
        <v>0</v>
      </c>
      <c r="BQ20" s="56" t="str">
        <f>'PC LIST'!J233</f>
        <v>Out &amp; under</v>
      </c>
      <c r="BR20" s="56">
        <f>'PC LIST'!CC233</f>
        <v>53</v>
      </c>
      <c r="BU20" s="54"/>
      <c r="BV20" s="54"/>
      <c r="BW20" s="54"/>
      <c r="BX20" s="54"/>
      <c r="BY20" s="54"/>
      <c r="BZ20" s="56" t="str">
        <f>'PC LIST'!B281</f>
        <v>PR14SVTWSW_W-B14</v>
      </c>
      <c r="CA20" s="57" t="str">
        <f>'PC LIST'!I281</f>
        <v>W-B14: Non-delivery of the Elan Valley Aqueduct (EVA) maintenance</v>
      </c>
      <c r="CB20" s="57" t="str">
        <f>'PC LIST'!O281</f>
        <v>text</v>
      </c>
      <c r="CC20" s="57" t="str">
        <f>'PC LIST'!P281</f>
        <v>Scheme delivery</v>
      </c>
      <c r="CD20" s="56" t="str">
        <f>'PC LIST'!Q281</f>
        <v>na</v>
      </c>
      <c r="CE20" s="56" t="str">
        <f>'PC LIST'!J281</f>
        <v>Under</v>
      </c>
      <c r="CF20" s="744" t="str">
        <f>'PC LIST'!CC281</f>
        <v>Milestone complete</v>
      </c>
      <c r="CG20" s="56" t="str">
        <f>'PC LIST'!B326</f>
        <v>PR14SWTWSW_W-E5</v>
      </c>
      <c r="CH20" s="59" t="str">
        <f>'PC LIST'!I326</f>
        <v>W-E5: Pollution incidents (category 3 and 4)</v>
      </c>
      <c r="CI20" s="59" t="str">
        <f>'PC LIST'!O326</f>
        <v>nr</v>
      </c>
      <c r="CJ20" s="59" t="str">
        <f>'PC LIST'!P326</f>
        <v>No. of pollution incidents (cats 3 and 4)</v>
      </c>
      <c r="CK20" s="56">
        <f>'PC LIST'!Q326</f>
        <v>0</v>
      </c>
      <c r="CL20" s="56" t="str">
        <f>'PC LIST'!J326</f>
        <v>Under</v>
      </c>
      <c r="CM20" s="743">
        <f>'PC LIST'!CC326</f>
        <v>18</v>
      </c>
      <c r="CN20" s="56" t="str">
        <f>'PC LIST'!B368</f>
        <v>PR14TMSWSW_WC5</v>
      </c>
      <c r="CO20" s="57" t="str">
        <f>'PC LIST'!I368</f>
        <v>WC5: Deliver 100% of agreed measures to meet new environmental regulations</v>
      </c>
      <c r="CP20" s="57" t="str">
        <f>'PC LIST'!O368</f>
        <v>%</v>
      </c>
      <c r="CQ20" s="57" t="str">
        <f>'PC LIST'!P368</f>
        <v>% of agreed schemes completed</v>
      </c>
      <c r="CR20" s="56">
        <f>'PC LIST'!Q368</f>
        <v>0</v>
      </c>
      <c r="CS20" s="56" t="str">
        <f>'PC LIST'!J368</f>
        <v>Under</v>
      </c>
      <c r="CT20" s="56" t="str">
        <f>'PC LIST'!CC368</f>
        <v>Not available</v>
      </c>
      <c r="CU20" s="56" t="str">
        <f>'PC LIST'!B423</f>
        <v>PR14UUWSWW_S-D1</v>
      </c>
      <c r="CV20" s="57" t="str">
        <f>'PC LIST'!I423</f>
        <v>S-D1: Protecting rivers from deterioration due to population growth (includes Davyhulme non-delivery penalty)</v>
      </c>
      <c r="CW20" s="57" t="str">
        <f>'PC LIST'!O423</f>
        <v>nr</v>
      </c>
      <c r="CX20" s="57" t="str">
        <f>'PC LIST'!P423</f>
        <v>Kilometers (km) rivers protected from deterioration</v>
      </c>
      <c r="CY20" s="56">
        <f>'PC LIST'!Q423</f>
        <v>1</v>
      </c>
      <c r="CZ20" s="56" t="str">
        <f>'PC LIST'!J423</f>
        <v>Under</v>
      </c>
      <c r="DA20" s="56">
        <f>'PC LIST'!CC423</f>
        <v>210.5</v>
      </c>
      <c r="DB20" s="56" t="str">
        <f>'PC LIST'!B450</f>
        <v>PR14WSHWSWW_D2</v>
      </c>
      <c r="DC20" s="57" t="str">
        <f>'PC LIST'!I450</f>
        <v>D2: ‘At risk’ customer services - number of customers who have experienced poor service</v>
      </c>
      <c r="DD20" s="57" t="str">
        <f>'PC LIST'!O450</f>
        <v>nr</v>
      </c>
      <c r="DE20" s="57" t="str">
        <f>'PC LIST'!P450</f>
        <v>No. of properties/ incidents on the internal 'at risk' register</v>
      </c>
      <c r="DF20" s="56">
        <f>'PC LIST'!Q450</f>
        <v>0</v>
      </c>
      <c r="DG20" s="56" t="str">
        <f>'PC LIST'!J450</f>
        <v>NFI</v>
      </c>
      <c r="DH20" s="743">
        <f>'PC LIST'!CC450</f>
        <v>613</v>
      </c>
      <c r="DI20" s="56" t="str">
        <f>'PC LIST'!B481</f>
        <v>PR14WSXWSWW_C1</v>
      </c>
      <c r="DJ20" s="57" t="str">
        <f>'PC LIST'!I481</f>
        <v>C1: Internal flooding incidents</v>
      </c>
      <c r="DK20" s="57" t="str">
        <f>'PC LIST'!O481</f>
        <v>nr</v>
      </c>
      <c r="DL20" s="57" t="str">
        <f>'PC LIST'!P481</f>
        <v>No. of internal sewer flooding incidents / 10,000 properties</v>
      </c>
      <c r="DM20" s="56">
        <f>'PC LIST'!Q481</f>
        <v>2</v>
      </c>
      <c r="DN20" s="56" t="str">
        <f>'PC LIST'!J481</f>
        <v>Out &amp; under</v>
      </c>
      <c r="DO20" s="56">
        <f>'PC LIST'!CC481</f>
        <v>1.21</v>
      </c>
      <c r="DP20" s="56" t="str">
        <f>'PC LIST'!B513</f>
        <v>PR14YKYWSWW_SA3b</v>
      </c>
      <c r="DQ20" s="57" t="str">
        <f>'PC LIST'!I513</f>
        <v>SA3b: Pollution incidents - category 3</v>
      </c>
      <c r="DR20" s="57" t="str">
        <f>'PC LIST'!O513</f>
        <v>nr</v>
      </c>
      <c r="DS20" s="57" t="str">
        <f>'PC LIST'!P513</f>
        <v>No. of pollution incidents (cat 3)</v>
      </c>
      <c r="DT20" s="56">
        <f>'PC LIST'!Q513</f>
        <v>0</v>
      </c>
      <c r="DU20" s="56" t="str">
        <f>'PC LIST'!J513</f>
        <v>Out &amp; under</v>
      </c>
      <c r="DV20" s="56">
        <f>'PC LIST'!CC513</f>
        <v>202</v>
      </c>
      <c r="DW20" s="56" t="str">
        <f>'PC LIST'!B547</f>
        <v>PR14HDDWSW_W-B2</v>
      </c>
      <c r="DX20" s="57" t="str">
        <f>'PC LIST'!I547</f>
        <v>W-B2: Leakage levels</v>
      </c>
      <c r="DY20" s="57" t="str">
        <f>'PC LIST'!O547</f>
        <v>nr</v>
      </c>
      <c r="DZ20" s="57" t="str">
        <f>'PC LIST'!P547</f>
        <v>Megalitres per day (Ml/d)</v>
      </c>
      <c r="EA20" s="56">
        <f>'PC LIST'!Q547</f>
        <v>0</v>
      </c>
      <c r="EB20" s="56" t="str">
        <f>'PC LIST'!J547</f>
        <v>Out &amp; under</v>
      </c>
      <c r="EC20" s="56" t="str">
        <f>'PC LIST'!CC547</f>
        <v>-</v>
      </c>
      <c r="ED20" s="56" t="str">
        <f>'PC LIST'!B593</f>
        <v>PR14SVEWSW_W-B14</v>
      </c>
      <c r="EE20" s="57" t="str">
        <f>'PC LIST'!I593</f>
        <v>W-B14: Non-delivery of the Elan Valley Aqueduct (EVA) maintenance</v>
      </c>
      <c r="EF20" s="57" t="str">
        <f>'PC LIST'!O593</f>
        <v>text</v>
      </c>
      <c r="EG20" s="57" t="str">
        <f>'PC LIST'!P593</f>
        <v>Scheme delivery</v>
      </c>
      <c r="EH20" s="56" t="str">
        <f>'PC LIST'!Q593</f>
        <v>na</v>
      </c>
      <c r="EI20" s="56" t="str">
        <f>'PC LIST'!J593</f>
        <v>Under</v>
      </c>
      <c r="EJ20" s="56" t="str">
        <f>'PC LIST'!CC593</f>
        <v>-</v>
      </c>
    </row>
    <row r="21" spans="8:140" ht="15.75" customHeight="1">
      <c r="H21" s="56" t="str">
        <f>'PC LIST'!B34</f>
        <v>PR14ANHWSWW_S-A2</v>
      </c>
      <c r="I21" s="57" t="str">
        <f>'PC LIST'!I34</f>
        <v>S-A2: Properties flooded internally from sewers - three-year average (reduction)</v>
      </c>
      <c r="J21" s="57" t="str">
        <f>'PC LIST'!O34</f>
        <v>nr</v>
      </c>
      <c r="K21" s="57" t="str">
        <f>'PC LIST'!P34</f>
        <v>No. of properties flooded internally (reduction)</v>
      </c>
      <c r="L21" s="56">
        <f>'PC LIST'!Q34</f>
        <v>0</v>
      </c>
      <c r="M21" s="56" t="str">
        <f>'PC LIST'!J34</f>
        <v>Out &amp; under</v>
      </c>
      <c r="N21" s="743">
        <f>'PC LIST'!CC34</f>
        <v>79</v>
      </c>
      <c r="O21" s="56" t="str">
        <f>'PC LIST'!B73</f>
        <v>PR14BRLHHR_J3</v>
      </c>
      <c r="P21" s="57" t="str">
        <f>'PC LIST'!I73</f>
        <v>J3: Value for money</v>
      </c>
      <c r="Q21" s="57" t="str">
        <f>'PC LIST'!O73</f>
        <v>%</v>
      </c>
      <c r="R21" s="57" t="str">
        <f>'PC LIST'!P73</f>
        <v>% customer satisfaction</v>
      </c>
      <c r="S21" s="56">
        <f>'PC LIST'!Q73</f>
        <v>0</v>
      </c>
      <c r="T21" s="56" t="str">
        <f>'PC LIST'!J73</f>
        <v>NFI</v>
      </c>
      <c r="U21" s="743">
        <f>'PC LIST'!CC73</f>
        <v>68.900000000000006</v>
      </c>
      <c r="AC21" s="56" t="str">
        <f>'PC LIST'!B107</f>
        <v>PR14NESWSWW_S-B3</v>
      </c>
      <c r="AD21" s="58" t="str">
        <f>'PC LIST'!I107</f>
        <v>S-B3: Repeat sewer flooding (3-year average)</v>
      </c>
      <c r="AE21" s="58" t="str">
        <f>'PC LIST'!O107</f>
        <v>nr</v>
      </c>
      <c r="AF21" s="58" t="str">
        <f>'PC LIST'!P107</f>
        <v>No. of properties per year</v>
      </c>
      <c r="AG21" s="56">
        <f>'PC LIST'!Q107</f>
        <v>0</v>
      </c>
      <c r="AH21" s="56" t="str">
        <f>'PC LIST'!J107</f>
        <v>Out &amp; under</v>
      </c>
      <c r="AI21" s="56">
        <f>'PC LIST'!CC107</f>
        <v>55</v>
      </c>
      <c r="AX21" s="56" t="str">
        <f>'PC LIST'!B179</f>
        <v>PR14SESHHR_D1</v>
      </c>
      <c r="AY21" s="57" t="str">
        <f>'PC LIST'!I179</f>
        <v>D1: Customer satisfaction (level of satisfaction in response to the tracker survey (overall quality score))</v>
      </c>
      <c r="AZ21" s="57" t="str">
        <f>'PC LIST'!O179</f>
        <v>%</v>
      </c>
      <c r="BA21" s="57" t="str">
        <f>'PC LIST'!P179</f>
        <v>% customer satisfaction</v>
      </c>
      <c r="BB21" s="56">
        <f>'PC LIST'!Q179</f>
        <v>1</v>
      </c>
      <c r="BC21" s="56" t="str">
        <f>'PC LIST'!J179</f>
        <v>NFI</v>
      </c>
      <c r="BD21" s="744">
        <f>'PC LIST'!CC179</f>
        <v>92</v>
      </c>
      <c r="BE21" s="56" t="str">
        <f>'PC LIST'!B200</f>
        <v>PR14SEWWSW_M1</v>
      </c>
      <c r="BF21" s="57" t="str">
        <f>'PC LIST'!I200</f>
        <v>M1: Number of compliance breaches with statutory obligations and licence conditions, not already reported in performance on outcomes I through to K</v>
      </c>
      <c r="BG21" s="57" t="str">
        <f>'PC LIST'!O200</f>
        <v>nr</v>
      </c>
      <c r="BH21" s="57" t="str">
        <f>'PC LIST'!P200</f>
        <v>No. of other compliance breaches</v>
      </c>
      <c r="BI21" s="56">
        <f>'PC LIST'!Q200</f>
        <v>0</v>
      </c>
      <c r="BJ21" s="56" t="str">
        <f>'PC LIST'!J200</f>
        <v>NFI</v>
      </c>
      <c r="BK21" s="56">
        <f>'PC LIST'!CC200</f>
        <v>0</v>
      </c>
      <c r="BL21" s="56" t="str">
        <f>'PC LIST'!B234</f>
        <v>PR14SRNWSWW_9</v>
      </c>
      <c r="BM21" s="57" t="str">
        <f>'PC LIST'!I234</f>
        <v>9: Bathing waters with ‘excellent’ water quality (part 2)</v>
      </c>
      <c r="BN21" s="57" t="str">
        <f>'PC LIST'!O234</f>
        <v>nr</v>
      </c>
      <c r="BO21" s="57" t="str">
        <f>'PC LIST'!P234</f>
        <v>No. of bathing waters</v>
      </c>
      <c r="BP21" s="56">
        <f>'PC LIST'!Q234</f>
        <v>0</v>
      </c>
      <c r="BQ21" s="56" t="str">
        <f>'PC LIST'!J234</f>
        <v>Out &amp; under</v>
      </c>
      <c r="BR21" s="56">
        <f>'PC LIST'!CC234</f>
        <v>0</v>
      </c>
      <c r="BU21" s="54"/>
      <c r="BV21" s="54"/>
      <c r="BW21" s="54"/>
      <c r="BX21" s="54"/>
      <c r="BY21" s="54"/>
      <c r="BZ21" s="56" t="str">
        <f>'PC LIST'!B282</f>
        <v>PR14SVTWSW_W-C1</v>
      </c>
      <c r="CA21" s="57" t="str">
        <f>'PC LIST'!I282</f>
        <v>W-C1: Customers rating our services as good value for money (based on tracker survey)</v>
      </c>
      <c r="CB21" s="57" t="str">
        <f>'PC LIST'!O282</f>
        <v>%</v>
      </c>
      <c r="CC21" s="57" t="str">
        <f>'PC LIST'!P282</f>
        <v>% customer satisfaction</v>
      </c>
      <c r="CD21" s="56">
        <f>'PC LIST'!Q282</f>
        <v>0</v>
      </c>
      <c r="CE21" s="56" t="str">
        <f>'PC LIST'!J282</f>
        <v>Out &amp; under</v>
      </c>
      <c r="CF21" s="744">
        <f>'PC LIST'!CC282</f>
        <v>59</v>
      </c>
      <c r="CG21" s="56" t="str">
        <f>'PC LIST'!B327</f>
        <v>PR14SWTWSW_W-E6</v>
      </c>
      <c r="CH21" s="59" t="str">
        <f>'PC LIST'!I327</f>
        <v>W-E6: Operational carbon emissions (ktCO2e)</v>
      </c>
      <c r="CI21" s="59" t="str">
        <f>'PC LIST'!O327</f>
        <v>nr</v>
      </c>
      <c r="CJ21" s="59" t="str">
        <f>'PC LIST'!P327</f>
        <v>ktCO2e</v>
      </c>
      <c r="CK21" s="56">
        <f>'PC LIST'!Q327</f>
        <v>1</v>
      </c>
      <c r="CL21" s="56" t="str">
        <f>'PC LIST'!J327</f>
        <v>NFI</v>
      </c>
      <c r="CM21" s="743">
        <f>'PC LIST'!CC327</f>
        <v>57</v>
      </c>
      <c r="CN21" s="56" t="str">
        <f>'PC LIST'!B369</f>
        <v>PR14TMSWSW_WD1</v>
      </c>
      <c r="CO21" s="57" t="str">
        <f>'PC LIST'!I369</f>
        <v>WD1: Energy imported less energy exported</v>
      </c>
      <c r="CP21" s="57" t="str">
        <f>'PC LIST'!O369</f>
        <v>nr</v>
      </c>
      <c r="CQ21" s="57" t="str">
        <f>'PC LIST'!P369</f>
        <v>GWh (gigawatt-hours)</v>
      </c>
      <c r="CR21" s="56">
        <f>'PC LIST'!Q369</f>
        <v>0</v>
      </c>
      <c r="CS21" s="56" t="str">
        <f>'PC LIST'!J369</f>
        <v>NFI</v>
      </c>
      <c r="CT21" s="56">
        <f>'PC LIST'!CC369</f>
        <v>510</v>
      </c>
      <c r="CU21" s="56" t="str">
        <f>'PC LIST'!B424</f>
        <v>PR14UUWSWW_S-D2</v>
      </c>
      <c r="CV21" s="57" t="str">
        <f>'PC LIST'!I424</f>
        <v>S-D2: Maintaining our wastewater treatment works (includes Oldham and Royton WwTWs special cost factor claims)</v>
      </c>
      <c r="CW21" s="57" t="str">
        <f>'PC LIST'!O424</f>
        <v>score</v>
      </c>
      <c r="CX21" s="57" t="str">
        <f>'PC LIST'!P424</f>
        <v>Maintaining WwTWs index (UU bespoke)</v>
      </c>
      <c r="CY21" s="56">
        <f>'PC LIST'!Q424</f>
        <v>4</v>
      </c>
      <c r="CZ21" s="56" t="str">
        <f>'PC LIST'!J424</f>
        <v>Under</v>
      </c>
      <c r="DA21" s="56">
        <f>'PC LIST'!CC424</f>
        <v>30.468</v>
      </c>
      <c r="DB21" s="56" t="str">
        <f>'PC LIST'!B451</f>
        <v>PR14WSHWSWW_D3</v>
      </c>
      <c r="DC21" s="57" t="str">
        <f>'PC LIST'!I451</f>
        <v>D3: Internal sewer flooding - properties flooded in the year</v>
      </c>
      <c r="DD21" s="57" t="str">
        <f>'PC LIST'!O451</f>
        <v>nr</v>
      </c>
      <c r="DE21" s="57" t="str">
        <f>'PC LIST'!P451</f>
        <v>No. of properties subjected to internal sewer flooding</v>
      </c>
      <c r="DF21" s="56">
        <f>'PC LIST'!Q451</f>
        <v>0</v>
      </c>
      <c r="DG21" s="56" t="str">
        <f>'PC LIST'!J451</f>
        <v>Out &amp; under</v>
      </c>
      <c r="DH21" s="743">
        <f>'PC LIST'!CC451</f>
        <v>221</v>
      </c>
      <c r="DI21" s="56" t="str">
        <f>'PC LIST'!B482</f>
        <v>PR14WSXWSWW_C2</v>
      </c>
      <c r="DJ21" s="57" t="str">
        <f>'PC LIST'!I482</f>
        <v>C2: Risk of flooding from public sewers due to hydraulic inadequacy</v>
      </c>
      <c r="DK21" s="57" t="str">
        <f>'PC LIST'!O482</f>
        <v>nr</v>
      </c>
      <c r="DL21" s="57" t="str">
        <f>'PC LIST'!P482</f>
        <v>Flooding risk as measured by sewer flooding risk grid</v>
      </c>
      <c r="DM21" s="56">
        <f>'PC LIST'!Q482</f>
        <v>0</v>
      </c>
      <c r="DN21" s="56" t="str">
        <f>'PC LIST'!J482</f>
        <v>Out &amp; under</v>
      </c>
      <c r="DO21" s="56">
        <f>'PC LIST'!CC482</f>
        <v>49796</v>
      </c>
      <c r="DP21" s="56" t="str">
        <f>'PC LIST'!B514</f>
        <v>PR14YKYWSWW_SA4</v>
      </c>
      <c r="DQ21" s="57" t="str">
        <f>'PC LIST'!I514</f>
        <v>SA4: Sewer network stability and reliability factor</v>
      </c>
      <c r="DR21" s="57" t="str">
        <f>'PC LIST'!O514</f>
        <v>category</v>
      </c>
      <c r="DS21" s="57" t="str">
        <f>'PC LIST'!P514</f>
        <v>Asset health indicator</v>
      </c>
      <c r="DT21" s="56" t="str">
        <f>'PC LIST'!Q514</f>
        <v>na</v>
      </c>
      <c r="DU21" s="56" t="str">
        <f>'PC LIST'!J514</f>
        <v>Under</v>
      </c>
      <c r="DV21" s="56" t="str">
        <f>'PC LIST'!CC514</f>
        <v>Stable</v>
      </c>
      <c r="DW21" s="56" t="str">
        <f>'PC LIST'!B548</f>
        <v>PR14HDDWSW_W-B3</v>
      </c>
      <c r="DX21" s="57" t="str">
        <f>'PC LIST'!I548</f>
        <v>W-B3: Speed of response in repairing leaks (% fixed within 24 hours)</v>
      </c>
      <c r="DY21" s="57" t="str">
        <f>'PC LIST'!O548</f>
        <v>%</v>
      </c>
      <c r="DZ21" s="57" t="str">
        <f>'PC LIST'!P548</f>
        <v>% visible leaks fixed within 24 hours</v>
      </c>
      <c r="EA21" s="56">
        <f>'PC LIST'!Q548</f>
        <v>0</v>
      </c>
      <c r="EB21" s="56" t="str">
        <f>'PC LIST'!J548</f>
        <v>Out &amp; under</v>
      </c>
      <c r="EC21" s="56" t="str">
        <f>'PC LIST'!CC548</f>
        <v>-</v>
      </c>
      <c r="ED21" s="56" t="str">
        <f>'PC LIST'!B594</f>
        <v>PR14SVEWSW_W-C1</v>
      </c>
      <c r="EE21" s="57" t="str">
        <f>'PC LIST'!I594</f>
        <v>W-C1: Customers rating our services as good value for money (based on tracker survey)</v>
      </c>
      <c r="EF21" s="57" t="str">
        <f>'PC LIST'!O594</f>
        <v>%</v>
      </c>
      <c r="EG21" s="57" t="str">
        <f>'PC LIST'!P594</f>
        <v>% customer satisfaction</v>
      </c>
      <c r="EH21" s="56">
        <f>'PC LIST'!Q594</f>
        <v>0</v>
      </c>
      <c r="EI21" s="56" t="str">
        <f>'PC LIST'!J594</f>
        <v>Out &amp; under</v>
      </c>
      <c r="EJ21" s="56" t="str">
        <f>'PC LIST'!CC594</f>
        <v>-</v>
      </c>
    </row>
    <row r="22" spans="8:140" ht="15.75" customHeight="1">
      <c r="H22" s="56" t="str">
        <f>'PC LIST'!B35</f>
        <v>PR14ANHWSWW_S-A3</v>
      </c>
      <c r="I22" s="57" t="str">
        <f>'PC LIST'!I35</f>
        <v>S-A3: Properties flooded externally from sewers - three-year average (reduction)</v>
      </c>
      <c r="J22" s="57" t="str">
        <f>'PC LIST'!O35</f>
        <v>nr</v>
      </c>
      <c r="K22" s="57" t="str">
        <f>'PC LIST'!P35</f>
        <v>No. of properties flooded externally (reduction)</v>
      </c>
      <c r="L22" s="56">
        <f>'PC LIST'!Q35</f>
        <v>0</v>
      </c>
      <c r="M22" s="56" t="str">
        <f>'PC LIST'!J35</f>
        <v>Under</v>
      </c>
      <c r="N22" s="743">
        <f>'PC LIST'!CC35</f>
        <v>1357</v>
      </c>
      <c r="O22" s="56" t="str">
        <f>'PC LIST'!B74</f>
        <v>PR14BRLHHR_K1</v>
      </c>
      <c r="P22" s="57" t="str">
        <f>'PC LIST'!I74</f>
        <v>K1: Ease of contact from surveys</v>
      </c>
      <c r="Q22" s="57" t="str">
        <f>'PC LIST'!O74</f>
        <v>%</v>
      </c>
      <c r="R22" s="57" t="str">
        <f>'PC LIST'!P74</f>
        <v>% customer satisfaction</v>
      </c>
      <c r="S22" s="56">
        <f>'PC LIST'!Q74</f>
        <v>1</v>
      </c>
      <c r="T22" s="56" t="str">
        <f>'PC LIST'!J74</f>
        <v>NFI</v>
      </c>
      <c r="U22" s="743">
        <f>'PC LIST'!CC74</f>
        <v>93.1</v>
      </c>
      <c r="AC22" s="56" t="str">
        <f>'PC LIST'!B108</f>
        <v>PR14NESWSWW_S-B4</v>
      </c>
      <c r="AD22" s="58" t="str">
        <f>'PC LIST'!I108</f>
        <v>S-B4: Sewer collapses (3-year average)</v>
      </c>
      <c r="AE22" s="58" t="str">
        <f>'PC LIST'!O108</f>
        <v>nr</v>
      </c>
      <c r="AF22" s="58" t="str">
        <f>'PC LIST'!P108</f>
        <v>No. of sewer collapses per year - excluding TDSs</v>
      </c>
      <c r="AG22" s="56">
        <f>'PC LIST'!Q108</f>
        <v>0</v>
      </c>
      <c r="AH22" s="56" t="str">
        <f>'PC LIST'!J108</f>
        <v>Under</v>
      </c>
      <c r="AI22" s="56">
        <f>'PC LIST'!CC108</f>
        <v>46</v>
      </c>
      <c r="AX22" s="56" t="str">
        <f>'PC LIST'!B180</f>
        <v>PR14SESHHR_D2</v>
      </c>
      <c r="AY22" s="57" t="str">
        <f>'PC LIST'!I180</f>
        <v>D2: Service incentive mechanism (SIM)</v>
      </c>
      <c r="AZ22" s="57" t="str">
        <f>'PC LIST'!O180</f>
        <v>score</v>
      </c>
      <c r="BA22" s="57" t="str">
        <f>'PC LIST'!P180</f>
        <v>Service incentive mechanism (SIM) score</v>
      </c>
      <c r="BB22" s="56">
        <f>'PC LIST'!Q180</f>
        <v>1</v>
      </c>
      <c r="BC22" s="56" t="str">
        <f>'PC LIST'!J180</f>
        <v>Out &amp; under</v>
      </c>
      <c r="BD22" s="744">
        <f>'PC LIST'!CC180</f>
        <v>78.7</v>
      </c>
      <c r="BE22" s="56" t="str">
        <f>'PC LIST'!B201</f>
        <v>PR14SEWWSW_N1</v>
      </c>
      <c r="BF22" s="57" t="str">
        <f>'PC LIST'!I201</f>
        <v>N1: Discolouration contacts</v>
      </c>
      <c r="BG22" s="57" t="str">
        <f>'PC LIST'!O201</f>
        <v>nr</v>
      </c>
      <c r="BH22" s="57" t="str">
        <f>'PC LIST'!P201</f>
        <v>No. per 1,000 population</v>
      </c>
      <c r="BI22" s="56">
        <f>'PC LIST'!Q201</f>
        <v>2</v>
      </c>
      <c r="BJ22" s="56" t="str">
        <f>'PC LIST'!J201</f>
        <v>Out &amp; under</v>
      </c>
      <c r="BK22" s="56">
        <f>'PC LIST'!CC201</f>
        <v>0.82</v>
      </c>
      <c r="BL22" s="56" t="str">
        <f>'PC LIST'!B235</f>
        <v>PR14SRNWSWW_10</v>
      </c>
      <c r="BM22" s="57" t="str">
        <f>'PC LIST'!I235</f>
        <v>10: Bathing waters with ‘excellent’ water quality (part 3)</v>
      </c>
      <c r="BN22" s="57" t="str">
        <f>'PC LIST'!O235</f>
        <v>£m</v>
      </c>
      <c r="BO22" s="57" t="str">
        <f>'PC LIST'!P235</f>
        <v>£ million estimated scheme costs</v>
      </c>
      <c r="BP22" s="56">
        <f>'PC LIST'!Q235</f>
        <v>1</v>
      </c>
      <c r="BQ22" s="56" t="str">
        <f>'PC LIST'!J235</f>
        <v>Under</v>
      </c>
      <c r="BR22" s="56" t="str">
        <f>'PC LIST'!CC235</f>
        <v>N/A</v>
      </c>
      <c r="BU22" s="54"/>
      <c r="BV22" s="54"/>
      <c r="BW22" s="54"/>
      <c r="BX22" s="54"/>
      <c r="BY22" s="54"/>
      <c r="BZ22" s="56" t="str">
        <f>'PC LIST'!B283</f>
        <v>PR14SVTWSW_W-D1</v>
      </c>
      <c r="CA22" s="57" t="str">
        <f>'PC LIST'!I283</f>
        <v>W-D1: Improvements in river water quality against WFD criteria</v>
      </c>
      <c r="CB22" s="57" t="str">
        <f>'PC LIST'!O283</f>
        <v>nr</v>
      </c>
      <c r="CC22" s="57" t="str">
        <f>'PC LIST'!P283</f>
        <v>No. WFD classification improvements</v>
      </c>
      <c r="CD22" s="56">
        <f>'PC LIST'!Q283</f>
        <v>0</v>
      </c>
      <c r="CE22" s="56" t="str">
        <f>'PC LIST'!J283</f>
        <v>Out &amp; under</v>
      </c>
      <c r="CF22" s="744">
        <f>'PC LIST'!CC283</f>
        <v>3</v>
      </c>
      <c r="CG22" s="56" t="str">
        <f>'PC LIST'!B328</f>
        <v>PR14SWTWSW_W-E7</v>
      </c>
      <c r="CH22" s="59" t="str">
        <f>'PC LIST'!I328</f>
        <v>W-E7: Energy from renewable sources (%)</v>
      </c>
      <c r="CI22" s="59" t="str">
        <f>'PC LIST'!O328</f>
        <v>%</v>
      </c>
      <c r="CJ22" s="59" t="str">
        <f>'PC LIST'!P328</f>
        <v>% energy from renewable sources</v>
      </c>
      <c r="CK22" s="56">
        <f>'PC LIST'!Q328</f>
        <v>2</v>
      </c>
      <c r="CL22" s="56" t="str">
        <f>'PC LIST'!J328</f>
        <v>NFI</v>
      </c>
      <c r="CM22" s="743">
        <f>'PC LIST'!CC328</f>
        <v>8.9700000000000006</v>
      </c>
      <c r="CN22" s="56" t="str">
        <f>'PC LIST'!B370</f>
        <v>PR14TMSWSWW_SA1</v>
      </c>
      <c r="CO22" s="57" t="str">
        <f>'PC LIST'!I370</f>
        <v>SA1: Improve handling of written complaints by increasing first time resolution</v>
      </c>
      <c r="CP22" s="57" t="str">
        <f>'PC LIST'!O370</f>
        <v>%</v>
      </c>
      <c r="CQ22" s="57" t="str">
        <f>'PC LIST'!P370</f>
        <v>% written complaints resolved 1st time</v>
      </c>
      <c r="CR22" s="56">
        <f>'PC LIST'!Q370</f>
        <v>0</v>
      </c>
      <c r="CS22" s="56" t="str">
        <f>'PC LIST'!J370</f>
        <v>NFI</v>
      </c>
      <c r="CT22" s="56">
        <f>'PC LIST'!CC370</f>
        <v>93.55</v>
      </c>
      <c r="CU22" s="56" t="str">
        <f>'PC LIST'!B425</f>
        <v>PR14UUWSWW_S-D3</v>
      </c>
      <c r="CV22" s="57" t="str">
        <f>'PC LIST'!I425</f>
        <v>S-D3: Contribution to rivers improved - wastewater programme (includes Oldham, Royton and Windermere)</v>
      </c>
      <c r="CW22" s="57" t="str">
        <f>'PC LIST'!O425</f>
        <v>nr</v>
      </c>
      <c r="CX22" s="57" t="str">
        <f>'PC LIST'!P425</f>
        <v>Kilometres (km) of river improved (cumulative)</v>
      </c>
      <c r="CY22" s="56">
        <f>'PC LIST'!Q425</f>
        <v>2</v>
      </c>
      <c r="CZ22" s="56" t="str">
        <f>'PC LIST'!J425</f>
        <v>Out &amp; under</v>
      </c>
      <c r="DA22" s="56">
        <f>'PC LIST'!CC425</f>
        <v>120.75</v>
      </c>
      <c r="DB22" s="56" t="str">
        <f>'PC LIST'!B452</f>
        <v>PR14WSHWSWW_D5</v>
      </c>
      <c r="DC22" s="57" t="str">
        <f>'PC LIST'!I452</f>
        <v>D5: Earning the trust of customers  - % of customers surveyed that say they trust the company</v>
      </c>
      <c r="DD22" s="57" t="str">
        <f>'PC LIST'!O452</f>
        <v>%</v>
      </c>
      <c r="DE22" s="57" t="str">
        <f>'PC LIST'!P452</f>
        <v>% customer satisfaction</v>
      </c>
      <c r="DF22" s="56">
        <f>'PC LIST'!Q452</f>
        <v>0</v>
      </c>
      <c r="DG22" s="56" t="str">
        <f>'PC LIST'!J452</f>
        <v>NFI</v>
      </c>
      <c r="DH22" s="743">
        <f>'PC LIST'!CC452</f>
        <v>84</v>
      </c>
      <c r="DI22" s="56" t="str">
        <f>'PC LIST'!B483</f>
        <v>PR14WSXWSWW_C3a</v>
      </c>
      <c r="DJ22" s="57" t="str">
        <f>'PC LIST'!I483</f>
        <v>C3a: North Bristol Sewer Scheme - Frome catchment</v>
      </c>
      <c r="DK22" s="57" t="str">
        <f>'PC LIST'!O483</f>
        <v>text</v>
      </c>
      <c r="DL22" s="57" t="str">
        <f>'PC LIST'!P483</f>
        <v>Scheme delivery - Frome catchment</v>
      </c>
      <c r="DM22" s="56" t="str">
        <f>'PC LIST'!Q483</f>
        <v>na</v>
      </c>
      <c r="DN22" s="56" t="str">
        <f>'PC LIST'!J483</f>
        <v>Under</v>
      </c>
      <c r="DO22" s="56" t="str">
        <f>'PC LIST'!CC483</f>
        <v>-</v>
      </c>
      <c r="DP22" s="56" t="str">
        <f>'PC LIST'!B515</f>
        <v>PR14YKYWSWW_SB1</v>
      </c>
      <c r="DQ22" s="57" t="str">
        <f>'PC LIST'!I515</f>
        <v>SB1: Number of Yorkshire's designated bathing waters that exceed the required quality standard</v>
      </c>
      <c r="DR22" s="57" t="str">
        <f>'PC LIST'!O515</f>
        <v>nr</v>
      </c>
      <c r="DS22" s="57" t="str">
        <f>'PC LIST'!P515</f>
        <v>No. of bathing waters exceeding required standard</v>
      </c>
      <c r="DT22" s="56">
        <f>'PC LIST'!Q515</f>
        <v>0</v>
      </c>
      <c r="DU22" s="56" t="str">
        <f>'PC LIST'!J515</f>
        <v>NFI</v>
      </c>
      <c r="DV22" s="56">
        <f>'PC LIST'!CC515</f>
        <v>18</v>
      </c>
      <c r="DW22" s="56" t="str">
        <f>'PC LIST'!B549</f>
        <v>PR14HDDWSW_W-B4</v>
      </c>
      <c r="DX22" s="57" t="str">
        <f>'PC LIST'!I549</f>
        <v>W-B4: Number of minutes customers go without supply each year (interruptions to supply &gt; 3 hours)</v>
      </c>
      <c r="DY22" s="57" t="str">
        <f>'PC LIST'!O549</f>
        <v>time</v>
      </c>
      <c r="DZ22" s="57" t="str">
        <f>'PC LIST'!P549</f>
        <v>Minutes / property / year</v>
      </c>
      <c r="EA22" s="56">
        <f>'PC LIST'!Q549</f>
        <v>2</v>
      </c>
      <c r="EB22" s="56" t="str">
        <f>'PC LIST'!J549</f>
        <v>Out &amp; under</v>
      </c>
      <c r="EC22" s="56" t="str">
        <f>'PC LIST'!CC549</f>
        <v>-</v>
      </c>
      <c r="ED22" s="56" t="str">
        <f>'PC LIST'!B595</f>
        <v>PR14SVEWSW_W-D1</v>
      </c>
      <c r="EE22" s="57" t="str">
        <f>'PC LIST'!I595</f>
        <v>W-D1: Improvements in river water quality against WFD criteria</v>
      </c>
      <c r="EF22" s="57" t="str">
        <f>'PC LIST'!O595</f>
        <v>nr</v>
      </c>
      <c r="EG22" s="57" t="str">
        <f>'PC LIST'!P595</f>
        <v>No. WFD classification improvements</v>
      </c>
      <c r="EH22" s="56">
        <f>'PC LIST'!Q595</f>
        <v>0</v>
      </c>
      <c r="EI22" s="56" t="str">
        <f>'PC LIST'!J595</f>
        <v>Out &amp; under</v>
      </c>
      <c r="EJ22" s="56" t="str">
        <f>'PC LIST'!CC595</f>
        <v>-</v>
      </c>
    </row>
    <row r="23" spans="8:140" ht="15.75" customHeight="1">
      <c r="H23" s="56" t="str">
        <f>'PC LIST'!B36</f>
        <v>PR14ANHWSWW_S-A4</v>
      </c>
      <c r="I23" s="57" t="str">
        <f>'PC LIST'!I36</f>
        <v>S-A4: Percentage of sewerage capacity schemes incorporating sustainable solutions</v>
      </c>
      <c r="J23" s="57" t="str">
        <f>'PC LIST'!O36</f>
        <v>%</v>
      </c>
      <c r="K23" s="57" t="str">
        <f>'PC LIST'!P36</f>
        <v>% sustainable sewerage capacity schemes</v>
      </c>
      <c r="L23" s="56">
        <f>'PC LIST'!Q36</f>
        <v>0</v>
      </c>
      <c r="M23" s="56" t="str">
        <f>'PC LIST'!J36</f>
        <v>NFI</v>
      </c>
      <c r="N23" s="743">
        <f>'PC LIST'!CC36</f>
        <v>46</v>
      </c>
      <c r="O23" s="56" t="str">
        <f>'PC LIST'!B75</f>
        <v>PR14BRLHHR_L1</v>
      </c>
      <c r="P23" s="57" t="str">
        <f>'PC LIST'!I75</f>
        <v>L1: Negative billing contacts</v>
      </c>
      <c r="Q23" s="57" t="str">
        <f>'PC LIST'!O75</f>
        <v>nr</v>
      </c>
      <c r="R23" s="57" t="str">
        <f>'PC LIST'!P75</f>
        <v>No. of contacts per year</v>
      </c>
      <c r="S23" s="56">
        <f>'PC LIST'!Q75</f>
        <v>0</v>
      </c>
      <c r="T23" s="56" t="str">
        <f>'PC LIST'!J75</f>
        <v>NFI</v>
      </c>
      <c r="U23" s="743">
        <f>'PC LIST'!CC75</f>
        <v>2300</v>
      </c>
      <c r="AC23" s="56" t="str">
        <f>'PC LIST'!B109</f>
        <v>PR14NESWSWW_S-B5</v>
      </c>
      <c r="AD23" s="58" t="str">
        <f>'PC LIST'!I109</f>
        <v>S-B5: Transferred drains and sewers - internal sewer flooding</v>
      </c>
      <c r="AE23" s="58" t="str">
        <f>'PC LIST'!O109</f>
        <v>nr</v>
      </c>
      <c r="AF23" s="58" t="str">
        <f>'PC LIST'!P109</f>
        <v>No. of properties per year</v>
      </c>
      <c r="AG23" s="56">
        <f>'PC LIST'!Q109</f>
        <v>0</v>
      </c>
      <c r="AH23" s="56" t="str">
        <f>'PC LIST'!J109</f>
        <v>Out &amp; under</v>
      </c>
      <c r="AI23" s="56">
        <f>'PC LIST'!CC109</f>
        <v>199</v>
      </c>
      <c r="AX23" s="56" t="str">
        <f>'PC LIST'!B181</f>
        <v>PR14SESHHR_D3</v>
      </c>
      <c r="AY23" s="57" t="str">
        <f>'PC LIST'!I181</f>
        <v>D3: Total number of complaints</v>
      </c>
      <c r="AZ23" s="57" t="str">
        <f>'PC LIST'!O181</f>
        <v>nr</v>
      </c>
      <c r="BA23" s="57" t="str">
        <f>'PC LIST'!P181</f>
        <v>No. per 1,000 billed properties</v>
      </c>
      <c r="BB23" s="56">
        <f>'PC LIST'!Q181</f>
        <v>1</v>
      </c>
      <c r="BC23" s="56" t="str">
        <f>'PC LIST'!J181</f>
        <v>NFI</v>
      </c>
      <c r="BD23" s="744">
        <f>'PC LIST'!CC181</f>
        <v>9.8000000000000007</v>
      </c>
      <c r="BE23" s="56" t="str">
        <f>'PC LIST'!B202</f>
        <v>PR14SEWWSW_N2</v>
      </c>
      <c r="BF23" s="57" t="str">
        <f>'PC LIST'!I202</f>
        <v>N2: Above ground asset performance assessment</v>
      </c>
      <c r="BG23" s="57" t="str">
        <f>'PC LIST'!O202</f>
        <v>category</v>
      </c>
      <c r="BH23" s="57" t="str">
        <f>'PC LIST'!P202</f>
        <v>Asset health indicator</v>
      </c>
      <c r="BI23" s="56" t="str">
        <f>'PC LIST'!Q202</f>
        <v>na</v>
      </c>
      <c r="BJ23" s="56" t="str">
        <f>'PC LIST'!J202</f>
        <v>Under</v>
      </c>
      <c r="BK23" s="56" t="str">
        <f>'PC LIST'!CC202</f>
        <v>Stable</v>
      </c>
      <c r="BL23" s="56" t="str">
        <f>'PC LIST'!B236</f>
        <v>PR14SRNWSWW_11</v>
      </c>
      <c r="BM23" s="57" t="str">
        <f>'PC LIST'!I236</f>
        <v>11: Serious pollution incidents (category 1 and 2 pollution incidents, as reported by the EA on MD109)</v>
      </c>
      <c r="BN23" s="57" t="str">
        <f>'PC LIST'!O236</f>
        <v>nr</v>
      </c>
      <c r="BO23" s="57" t="str">
        <f>'PC LIST'!P236</f>
        <v>No. of pollution incidents (cats 1 and 2)</v>
      </c>
      <c r="BP23" s="56">
        <f>'PC LIST'!Q236</f>
        <v>0</v>
      </c>
      <c r="BQ23" s="56" t="str">
        <f>'PC LIST'!J236</f>
        <v>NFI</v>
      </c>
      <c r="BR23" s="56">
        <f>'PC LIST'!CC236</f>
        <v>4</v>
      </c>
      <c r="BZ23" s="56" t="str">
        <f>'PC LIST'!B284</f>
        <v>PR14SVTWSW_W-D2</v>
      </c>
      <c r="CA23" s="57" t="str">
        <f>'PC LIST'!I284</f>
        <v>W-D2: Asset stewardship - environmental compliance</v>
      </c>
      <c r="CB23" s="57" t="str">
        <f>'PC LIST'!O284</f>
        <v>%</v>
      </c>
      <c r="CC23" s="57" t="str">
        <f>'PC LIST'!P284</f>
        <v>% environmental compliance</v>
      </c>
      <c r="CD23" s="56">
        <f>'PC LIST'!Q284</f>
        <v>0</v>
      </c>
      <c r="CE23" s="56" t="str">
        <f>'PC LIST'!J284</f>
        <v>NFI</v>
      </c>
      <c r="CF23" s="744">
        <f>'PC LIST'!CC284</f>
        <v>97.7</v>
      </c>
      <c r="CG23" s="56" t="str">
        <f>'PC LIST'!B329</f>
        <v>PR14SWTWSW_W-F1</v>
      </c>
      <c r="CH23" s="59" t="str">
        <f>'PC LIST'!I329</f>
        <v>W-F1: Customers paying a metered bill</v>
      </c>
      <c r="CI23" s="59" t="str">
        <f>'PC LIST'!O329</f>
        <v>%</v>
      </c>
      <c r="CJ23" s="59" t="str">
        <f>'PC LIST'!P329</f>
        <v>% domestic customers with metered bill</v>
      </c>
      <c r="CK23" s="56">
        <f>'PC LIST'!Q329</f>
        <v>1</v>
      </c>
      <c r="CL23" s="56" t="str">
        <f>'PC LIST'!J329</f>
        <v>Under</v>
      </c>
      <c r="CM23" s="743">
        <f>'PC LIST'!CC329</f>
        <v>81.8</v>
      </c>
      <c r="CN23" s="56" t="str">
        <f>'PC LIST'!B371</f>
        <v>PR14TMSWSWW_SA2</v>
      </c>
      <c r="CO23" s="57" t="str">
        <f>'PC LIST'!I371</f>
        <v>SA2: Number of written complaints per 10,000 connected properties</v>
      </c>
      <c r="CP23" s="57" t="str">
        <f>'PC LIST'!O371</f>
        <v>nr</v>
      </c>
      <c r="CQ23" s="57" t="str">
        <f>'PC LIST'!P371</f>
        <v>No. written complaints / 10,000 properties</v>
      </c>
      <c r="CR23" s="56">
        <f>'PC LIST'!Q371</f>
        <v>2</v>
      </c>
      <c r="CS23" s="56" t="str">
        <f>'PC LIST'!J371</f>
        <v>NFI</v>
      </c>
      <c r="CT23" s="56">
        <f>'PC LIST'!CC371</f>
        <v>4.39210083649479</v>
      </c>
      <c r="CU23" s="56" t="str">
        <f>'PC LIST'!B426</f>
        <v>PR14UUWSWW_S-D4a</v>
      </c>
      <c r="CV23" s="57" t="str">
        <f>'PC LIST'!I426</f>
        <v>S-D4a: Wastewater serious (category 1 and 2) pollution incidents</v>
      </c>
      <c r="CW23" s="57" t="str">
        <f>'PC LIST'!O426</f>
        <v>nr</v>
      </c>
      <c r="CX23" s="57" t="str">
        <f>'PC LIST'!P426</f>
        <v>No. of pollution incidents (cats 1 and 2)</v>
      </c>
      <c r="CY23" s="56">
        <f>'PC LIST'!Q426</f>
        <v>0</v>
      </c>
      <c r="CZ23" s="56" t="str">
        <f>'PC LIST'!J426</f>
        <v>Under</v>
      </c>
      <c r="DA23" s="56">
        <f>'PC LIST'!CC426</f>
        <v>0</v>
      </c>
      <c r="DB23" s="56" t="str">
        <f>'PC LIST'!B453</f>
        <v>PR14WSHWSWW_E1</v>
      </c>
      <c r="DC23" s="57" t="str">
        <f>'PC LIST'!I453</f>
        <v>E1: Affordable bills - annual increase</v>
      </c>
      <c r="DD23" s="57" t="str">
        <f>'PC LIST'!O453</f>
        <v>%</v>
      </c>
      <c r="DE23" s="57" t="str">
        <f>'PC LIST'!P453</f>
        <v>% above or below inflation (affordability of bills)</v>
      </c>
      <c r="DF23" s="56">
        <f>'PC LIST'!Q453</f>
        <v>0</v>
      </c>
      <c r="DG23" s="56" t="str">
        <f>'PC LIST'!J453</f>
        <v>NFI</v>
      </c>
      <c r="DH23" s="743">
        <f>'PC LIST'!CC453</f>
        <v>-2</v>
      </c>
      <c r="DI23" s="56" t="str">
        <f>'PC LIST'!B484</f>
        <v>PR14WSXWSWW_C3b</v>
      </c>
      <c r="DJ23" s="57" t="str">
        <f>'PC LIST'!I484</f>
        <v>C3b: North Bristol Sewer Scheme - Trym catchment</v>
      </c>
      <c r="DK23" s="57" t="str">
        <f>'PC LIST'!O484</f>
        <v>text</v>
      </c>
      <c r="DL23" s="57" t="str">
        <f>'PC LIST'!P484</f>
        <v>Scheme delivery - Trym catchment</v>
      </c>
      <c r="DM23" s="56" t="str">
        <f>'PC LIST'!Q484</f>
        <v>na</v>
      </c>
      <c r="DN23" s="56" t="str">
        <f>'PC LIST'!J484</f>
        <v>Under</v>
      </c>
      <c r="DO23" s="56" t="str">
        <f>'PC LIST'!CC484</f>
        <v>Interim milestone met</v>
      </c>
      <c r="DP23" s="56" t="str">
        <f>'PC LIST'!B516</f>
        <v>PR14YKYWSWW_SB2</v>
      </c>
      <c r="DQ23" s="57" t="str">
        <f>'PC LIST'!I516</f>
        <v>SB2: Wastewater quality stability and reliability factor</v>
      </c>
      <c r="DR23" s="57" t="str">
        <f>'PC LIST'!O516</f>
        <v>category</v>
      </c>
      <c r="DS23" s="57" t="str">
        <f>'PC LIST'!P516</f>
        <v>Asset health indicator</v>
      </c>
      <c r="DT23" s="56" t="str">
        <f>'PC LIST'!Q516</f>
        <v>na</v>
      </c>
      <c r="DU23" s="56" t="str">
        <f>'PC LIST'!J516</f>
        <v>Under</v>
      </c>
      <c r="DV23" s="56" t="str">
        <f>'PC LIST'!CC516</f>
        <v>Stable</v>
      </c>
      <c r="DW23" s="56" t="str">
        <f>'PC LIST'!B550</f>
        <v>PR14HDDWSW_W-B5</v>
      </c>
      <c r="DX23" s="57" t="str">
        <f>'PC LIST'!I550</f>
        <v>W-B5: % of customers with resilient supplies (those that benefit from a second source of supply)</v>
      </c>
      <c r="DY23" s="57" t="str">
        <f>'PC LIST'!O550</f>
        <v>%</v>
      </c>
      <c r="DZ23" s="57" t="str">
        <f>'PC LIST'!P550</f>
        <v>% customers with 2nd supply source</v>
      </c>
      <c r="EA23" s="56">
        <f>'PC LIST'!Q550</f>
        <v>1</v>
      </c>
      <c r="EB23" s="56" t="str">
        <f>'PC LIST'!J550</f>
        <v>Out &amp; under</v>
      </c>
      <c r="EC23" s="56" t="str">
        <f>'PC LIST'!CC550</f>
        <v>-</v>
      </c>
      <c r="ED23" s="56" t="str">
        <f>'PC LIST'!B596</f>
        <v>PR14SVEWSW_W-D2</v>
      </c>
      <c r="EE23" s="57" t="str">
        <f>'PC LIST'!I596</f>
        <v>W-D2: Asset stewardship - environmental compliance</v>
      </c>
      <c r="EF23" s="57" t="str">
        <f>'PC LIST'!O596</f>
        <v>%</v>
      </c>
      <c r="EG23" s="57" t="str">
        <f>'PC LIST'!P596</f>
        <v>% environmental compliance</v>
      </c>
      <c r="EH23" s="56">
        <f>'PC LIST'!Q596</f>
        <v>0</v>
      </c>
      <c r="EI23" s="56" t="str">
        <f>'PC LIST'!J596</f>
        <v>NFI</v>
      </c>
      <c r="EJ23" s="56" t="str">
        <f>'PC LIST'!CC596</f>
        <v>-</v>
      </c>
    </row>
    <row r="24" spans="8:140" ht="15.75" customHeight="1">
      <c r="H24" s="56" t="str">
        <f>'PC LIST'!B37</f>
        <v>PR14ANHWSWW_S-B1</v>
      </c>
      <c r="I24" s="57" t="str">
        <f>'PC LIST'!I37</f>
        <v>S-B1: Value for money perception variation from baseline against WaSCs (wastewater)</v>
      </c>
      <c r="J24" s="57" t="str">
        <f>'PC LIST'!O37</f>
        <v>%</v>
      </c>
      <c r="K24" s="57" t="str">
        <f>'PC LIST'!P37</f>
        <v>% variation from WaSC baseline</v>
      </c>
      <c r="L24" s="56">
        <f>'PC LIST'!Q37</f>
        <v>0</v>
      </c>
      <c r="M24" s="56" t="str">
        <f>'PC LIST'!J37</f>
        <v>Out &amp; under</v>
      </c>
      <c r="N24" s="743">
        <f>'PC LIST'!CC37</f>
        <v>5</v>
      </c>
      <c r="O24" s="56"/>
      <c r="P24" s="57"/>
      <c r="Q24" s="57"/>
      <c r="R24" s="57"/>
      <c r="T24" s="56"/>
      <c r="U24" s="56"/>
      <c r="AC24" s="56" t="str">
        <f>'PC LIST'!B110</f>
        <v>PR14NESWSWW_S-B6</v>
      </c>
      <c r="AD24" s="58" t="str">
        <f>'PC LIST'!I110</f>
        <v>S-B6: Transferred drains and sewers - external sewer flooding</v>
      </c>
      <c r="AE24" s="58" t="str">
        <f>'PC LIST'!O110</f>
        <v>nr</v>
      </c>
      <c r="AF24" s="58" t="str">
        <f>'PC LIST'!P110</f>
        <v>No. of properties per year</v>
      </c>
      <c r="AG24" s="56">
        <f>'PC LIST'!Q110</f>
        <v>0</v>
      </c>
      <c r="AH24" s="56" t="str">
        <f>'PC LIST'!J110</f>
        <v>Out &amp; under</v>
      </c>
      <c r="AI24" s="56">
        <f>'PC LIST'!CC110</f>
        <v>2726</v>
      </c>
      <c r="AX24" s="56"/>
      <c r="AY24" s="57"/>
      <c r="AZ24" s="57"/>
      <c r="BA24" s="57"/>
      <c r="BE24" s="56" t="str">
        <f>'PC LIST'!B203</f>
        <v>PR14SEWWSW_N3</v>
      </c>
      <c r="BF24" s="57" t="str">
        <f>'PC LIST'!I203</f>
        <v>N3: Number of company sites at risk of flooding</v>
      </c>
      <c r="BG24" s="57" t="str">
        <f>'PC LIST'!O203</f>
        <v>nr</v>
      </c>
      <c r="BH24" s="57" t="str">
        <f>'PC LIST'!P203</f>
        <v>No. of SEW sites at risk of flooding</v>
      </c>
      <c r="BI24" s="56">
        <f>'PC LIST'!Q203</f>
        <v>0</v>
      </c>
      <c r="BJ24" s="56" t="str">
        <f>'PC LIST'!J203</f>
        <v>NFI</v>
      </c>
      <c r="BK24" s="56">
        <f>'PC LIST'!CC203</f>
        <v>7</v>
      </c>
      <c r="BL24" s="56" t="str">
        <f>'PC LIST'!B237</f>
        <v>PR14SRNWSWW_12</v>
      </c>
      <c r="BM24" s="57" t="str">
        <f>'PC LIST'!I237</f>
        <v>12: Avoiding blocked drains</v>
      </c>
      <c r="BN24" s="57" t="str">
        <f>'PC LIST'!O237</f>
        <v>%</v>
      </c>
      <c r="BO24" s="57" t="str">
        <f>'PC LIST'!P237</f>
        <v>% customers aware of avoidance measures</v>
      </c>
      <c r="BP24" s="56">
        <f>'PC LIST'!Q237</f>
        <v>0</v>
      </c>
      <c r="BQ24" s="56" t="str">
        <f>'PC LIST'!J237</f>
        <v>NFI</v>
      </c>
      <c r="BR24" s="56">
        <f>'PC LIST'!CC237</f>
        <v>82</v>
      </c>
      <c r="BZ24" s="56" t="str">
        <f>'PC LIST'!B285</f>
        <v>PR14SVTWSW_W-D3</v>
      </c>
      <c r="CA24" s="57" t="str">
        <f>'PC LIST'!I285</f>
        <v>W-D3: Biodiversity</v>
      </c>
      <c r="CB24" s="57" t="str">
        <f>'PC LIST'!O285</f>
        <v>nr</v>
      </c>
      <c r="CC24" s="57" t="str">
        <f>'PC LIST'!P285</f>
        <v>No. of hectares improved</v>
      </c>
      <c r="CD24" s="56">
        <f>'PC LIST'!Q285</f>
        <v>0</v>
      </c>
      <c r="CE24" s="56" t="str">
        <f>'PC LIST'!J285</f>
        <v>NFI</v>
      </c>
      <c r="CF24" s="744">
        <f>'PC LIST'!CC285</f>
        <v>337</v>
      </c>
      <c r="CG24" s="56" t="str">
        <f>'PC LIST'!B330</f>
        <v>PR14SWTWSWW_S-A1</v>
      </c>
      <c r="CH24" s="59" t="str">
        <f>'PC LIST'!I330</f>
        <v>S-A1: Internal sewer flooding incidents</v>
      </c>
      <c r="CI24" s="59" t="str">
        <f>'PC LIST'!O330</f>
        <v>nr</v>
      </c>
      <c r="CJ24" s="59" t="str">
        <f>'PC LIST'!P330</f>
        <v>No. of internal sewer flooding incidents</v>
      </c>
      <c r="CK24" s="56">
        <f>'PC LIST'!Q330</f>
        <v>0</v>
      </c>
      <c r="CL24" s="56" t="str">
        <f>'PC LIST'!J330</f>
        <v>Out &amp; under</v>
      </c>
      <c r="CM24" s="743">
        <f>'PC LIST'!CC330</f>
        <v>141</v>
      </c>
      <c r="CN24" s="56" t="str">
        <f>'PC LIST'!B372</f>
        <v>PR14TMSWSWW_SA3</v>
      </c>
      <c r="CO24" s="57" t="str">
        <f>'PC LIST'!I372</f>
        <v>SA3: Customer satisfaction surveys (internal CSAT monitor)</v>
      </c>
      <c r="CP24" s="57" t="str">
        <f>'PC LIST'!O372</f>
        <v>score</v>
      </c>
      <c r="CQ24" s="57" t="str">
        <f>'PC LIST'!P372</f>
        <v>TW internal Customer satisfaction score (mean score out of 5)</v>
      </c>
      <c r="CR24" s="56">
        <f>'PC LIST'!Q372</f>
        <v>2</v>
      </c>
      <c r="CS24" s="56" t="str">
        <f>'PC LIST'!J372</f>
        <v>NFI</v>
      </c>
      <c r="CT24" s="56">
        <f>'PC LIST'!CC372</f>
        <v>4.5506045678459497</v>
      </c>
      <c r="CU24" s="56" t="str">
        <f>'PC LIST'!B427</f>
        <v>PR14UUWSWW_S-D4b</v>
      </c>
      <c r="CV24" s="57" t="str">
        <f>'PC LIST'!I427</f>
        <v>S-D4b: Wastewater category 3 pollution incidents</v>
      </c>
      <c r="CW24" s="57" t="str">
        <f>'PC LIST'!O427</f>
        <v>nr</v>
      </c>
      <c r="CX24" s="57" t="str">
        <f>'PC LIST'!P427</f>
        <v>No. of pollution incidents (cat 3)</v>
      </c>
      <c r="CY24" s="56">
        <f>'PC LIST'!Q427</f>
        <v>0</v>
      </c>
      <c r="CZ24" s="56" t="str">
        <f>'PC LIST'!J427</f>
        <v>Out &amp; under</v>
      </c>
      <c r="DA24" s="56">
        <f>'PC LIST'!CC427</f>
        <v>129</v>
      </c>
      <c r="DB24" s="56" t="str">
        <f>'PC LIST'!B454</f>
        <v>PR14WSHWSWW_F1</v>
      </c>
      <c r="DC24" s="57" t="str">
        <f>'PC LIST'!I454</f>
        <v>F1: Asset serviceability</v>
      </c>
      <c r="DD24" s="57" t="str">
        <f>'PC LIST'!O454</f>
        <v>category</v>
      </c>
      <c r="DE24" s="57" t="str">
        <f>'PC LIST'!P454</f>
        <v>Asset health indicator</v>
      </c>
      <c r="DF24" s="56" t="str">
        <f>'PC LIST'!Q454</f>
        <v>na</v>
      </c>
      <c r="DG24" s="56" t="str">
        <f>'PC LIST'!J454</f>
        <v>Under</v>
      </c>
      <c r="DH24" s="743" t="str">
        <f>'PC LIST'!CC454</f>
        <v>Stable</v>
      </c>
      <c r="DI24" s="56" t="str">
        <f>'PC LIST'!B485</f>
        <v>PR14WSXWSWW_D1</v>
      </c>
      <c r="DJ24" s="57" t="str">
        <f>'PC LIST'!I485</f>
        <v>D1: Collapses and bursts on sewer network</v>
      </c>
      <c r="DK24" s="57" t="str">
        <f>'PC LIST'!O485</f>
        <v>nr</v>
      </c>
      <c r="DL24" s="57" t="str">
        <f>'PC LIST'!P485</f>
        <v>No. of sewer collapses and rising main bursts</v>
      </c>
      <c r="DM24" s="56">
        <f>'PC LIST'!Q485</f>
        <v>0</v>
      </c>
      <c r="DN24" s="56" t="str">
        <f>'PC LIST'!J485</f>
        <v>Under</v>
      </c>
      <c r="DO24" s="56">
        <f>'PC LIST'!CC485</f>
        <v>223</v>
      </c>
      <c r="DP24" s="56" t="str">
        <f>'PC LIST'!B517</f>
        <v>PR14YKYWSWW_SB3</v>
      </c>
      <c r="DQ24" s="57" t="str">
        <f>'PC LIST'!I517</f>
        <v>SB3: Solutions delivered by working with others (note: PC is part of a total commitment at Appointee level - see also WC2)</v>
      </c>
      <c r="DR24" s="57" t="str">
        <f>'PC LIST'!O517</f>
        <v>nr</v>
      </c>
      <c r="DS24" s="57" t="str">
        <f>'PC LIST'!P517</f>
        <v>No. of solutions delivered by working with others</v>
      </c>
      <c r="DT24" s="56">
        <f>'PC LIST'!Q517</f>
        <v>0</v>
      </c>
      <c r="DU24" s="56" t="str">
        <f>'PC LIST'!J517</f>
        <v>Out</v>
      </c>
      <c r="DV24" s="56">
        <f>'PC LIST'!CC517</f>
        <v>12</v>
      </c>
      <c r="DW24" s="56" t="str">
        <f>'PC LIST'!B551</f>
        <v>PR14HDDWSW_W-B6</v>
      </c>
      <c r="DX24" s="57" t="str">
        <f>'PC LIST'!I551</f>
        <v>W-B6: Asset stewardship - mains bursts</v>
      </c>
      <c r="DY24" s="57" t="str">
        <f>'PC LIST'!O551</f>
        <v>nr</v>
      </c>
      <c r="DZ24" s="57" t="str">
        <f>'PC LIST'!P551</f>
        <v>No. of burst mains per year</v>
      </c>
      <c r="EA24" s="56">
        <f>'PC LIST'!Q551</f>
        <v>0</v>
      </c>
      <c r="EB24" s="56" t="str">
        <f>'PC LIST'!J551</f>
        <v>Under</v>
      </c>
      <c r="EC24" s="56" t="str">
        <f>'PC LIST'!CC551</f>
        <v>-</v>
      </c>
      <c r="ED24" s="56" t="str">
        <f>'PC LIST'!B597</f>
        <v>PR14SVEWSW_W-D3</v>
      </c>
      <c r="EE24" s="57" t="str">
        <f>'PC LIST'!I597</f>
        <v>W-D3: Biodiversity</v>
      </c>
      <c r="EF24" s="57" t="str">
        <f>'PC LIST'!O597</f>
        <v>nr</v>
      </c>
      <c r="EG24" s="57" t="str">
        <f>'PC LIST'!P597</f>
        <v>No. of hectares improved</v>
      </c>
      <c r="EH24" s="56">
        <f>'PC LIST'!Q597</f>
        <v>0</v>
      </c>
      <c r="EI24" s="56" t="str">
        <f>'PC LIST'!J597</f>
        <v>NFI</v>
      </c>
      <c r="EJ24" s="56" t="str">
        <f>'PC LIST'!CC597</f>
        <v>-</v>
      </c>
    </row>
    <row r="25" spans="8:140" ht="15.75" customHeight="1">
      <c r="H25" s="56" t="str">
        <f>'PC LIST'!B38</f>
        <v>PR14ANHWSWW_S-C1</v>
      </c>
      <c r="I25" s="57" t="str">
        <f>'PC LIST'!I38</f>
        <v>S-C1: Percentage of bathing waters attaining excellent status</v>
      </c>
      <c r="J25" s="57" t="str">
        <f>'PC LIST'!O38</f>
        <v>%</v>
      </c>
      <c r="K25" s="57" t="str">
        <f>'PC LIST'!P38</f>
        <v>% bathing waters - excellent status</v>
      </c>
      <c r="L25" s="56">
        <f>'PC LIST'!Q38</f>
        <v>0</v>
      </c>
      <c r="M25" s="56" t="str">
        <f>'PC LIST'!J38</f>
        <v>Out &amp; under</v>
      </c>
      <c r="N25" s="743">
        <f>'PC LIST'!CC38</f>
        <v>63.3</v>
      </c>
      <c r="Q25" s="54"/>
      <c r="R25" s="54"/>
      <c r="S25" s="54"/>
      <c r="T25" s="56"/>
      <c r="U25" s="56"/>
      <c r="AC25" s="56" t="str">
        <f>'PC LIST'!B111</f>
        <v>PR14NESWSWW_S-B7</v>
      </c>
      <c r="AD25" s="58" t="str">
        <f>'PC LIST'!I111</f>
        <v>S-B7: Transferred drains and sewers - sewer collapses</v>
      </c>
      <c r="AE25" s="58" t="str">
        <f>'PC LIST'!O111</f>
        <v>nr</v>
      </c>
      <c r="AF25" s="58" t="str">
        <f>'PC LIST'!P111</f>
        <v>No. of sewer collapses per year - TDSs</v>
      </c>
      <c r="AG25" s="56">
        <f>'PC LIST'!Q111</f>
        <v>0</v>
      </c>
      <c r="AH25" s="56" t="str">
        <f>'PC LIST'!J111</f>
        <v>NFI</v>
      </c>
      <c r="AI25" s="56">
        <f>'PC LIST'!CC111</f>
        <v>51</v>
      </c>
      <c r="AZ25" s="54"/>
      <c r="BA25" s="54"/>
      <c r="BB25" s="54"/>
      <c r="BC25" s="54"/>
      <c r="BD25" s="54"/>
      <c r="BE25" s="56" t="str">
        <f>'PC LIST'!B204</f>
        <v>PR14SEWWSW_N4</v>
      </c>
      <c r="BF25" s="57" t="str">
        <f>'PC LIST'!I204</f>
        <v>N4: Water mains bursts</v>
      </c>
      <c r="BG25" s="57" t="str">
        <f>'PC LIST'!O204</f>
        <v>nr</v>
      </c>
      <c r="BH25" s="57" t="str">
        <f>'PC LIST'!P204</f>
        <v>No. of burst mains per year</v>
      </c>
      <c r="BI25" s="56">
        <f>'PC LIST'!Q204</f>
        <v>0</v>
      </c>
      <c r="BJ25" s="56" t="str">
        <f>'PC LIST'!J204</f>
        <v>Under</v>
      </c>
      <c r="BK25" s="56">
        <f>'PC LIST'!CC204</f>
        <v>2747</v>
      </c>
      <c r="BL25" s="56" t="str">
        <f>'PC LIST'!B238</f>
        <v>PR14SRNWSWW_13</v>
      </c>
      <c r="BM25" s="57" t="str">
        <f>'PC LIST'!I238</f>
        <v>13: Thanet sewers</v>
      </c>
      <c r="BN25" s="57" t="str">
        <f>'PC LIST'!O238</f>
        <v>text</v>
      </c>
      <c r="BO25" s="57" t="str">
        <f>'PC LIST'!P238</f>
        <v>Scheme delivery</v>
      </c>
      <c r="BP25" s="56" t="str">
        <f>'PC LIST'!Q238</f>
        <v>na</v>
      </c>
      <c r="BQ25" s="56" t="str">
        <f>'PC LIST'!J238</f>
        <v>Under</v>
      </c>
      <c r="BR25" s="56" t="str">
        <f>'PC LIST'!CC238</f>
        <v>N/A</v>
      </c>
      <c r="BZ25" s="56" t="str">
        <f>'PC LIST'!B286</f>
        <v>PR14SVTWSW_W-D4</v>
      </c>
      <c r="CA25" s="57" t="str">
        <f>'PC LIST'!I286</f>
        <v>W-D4: Sites with eel protection at intakes</v>
      </c>
      <c r="CB25" s="57" t="str">
        <f>'PC LIST'!O286</f>
        <v>nr</v>
      </c>
      <c r="CC25" s="57" t="str">
        <f>'PC LIST'!P286</f>
        <v>No. sites with eel protection at intakes</v>
      </c>
      <c r="CD25" s="56">
        <f>'PC LIST'!Q286</f>
        <v>0</v>
      </c>
      <c r="CE25" s="56" t="str">
        <f>'PC LIST'!J286</f>
        <v>NFI</v>
      </c>
      <c r="CF25" s="744">
        <f>'PC LIST'!CC286</f>
        <v>0</v>
      </c>
      <c r="CG25" s="56" t="str">
        <f>'PC LIST'!B331</f>
        <v>PR14SWTWSWW_S-A2</v>
      </c>
      <c r="CH25" s="59" t="str">
        <f>'PC LIST'!I331</f>
        <v>S-A2: External sewer flooding incidents</v>
      </c>
      <c r="CI25" s="59" t="str">
        <f>'PC LIST'!O331</f>
        <v>nr</v>
      </c>
      <c r="CJ25" s="59" t="str">
        <f>'PC LIST'!P331</f>
        <v>No. of external sewer flooding incidents</v>
      </c>
      <c r="CK25" s="56">
        <f>'PC LIST'!Q331</f>
        <v>0</v>
      </c>
      <c r="CL25" s="56" t="str">
        <f>'PC LIST'!J331</f>
        <v>Out &amp; under</v>
      </c>
      <c r="CM25" s="743">
        <f>'PC LIST'!CC331</f>
        <v>2924</v>
      </c>
      <c r="CN25" s="56" t="str">
        <f>'PC LIST'!B373</f>
        <v>PR14TMSWSWW_SB1</v>
      </c>
      <c r="CO25" s="57" t="str">
        <f>'PC LIST'!I373</f>
        <v>SB1: Asset health wastewater non-infrastructure</v>
      </c>
      <c r="CP25" s="57" t="str">
        <f>'PC LIST'!O373</f>
        <v>category</v>
      </c>
      <c r="CQ25" s="57" t="str">
        <f>'PC LIST'!P373</f>
        <v>Asset health indicator</v>
      </c>
      <c r="CR25" s="56" t="str">
        <f>'PC LIST'!Q373</f>
        <v>na</v>
      </c>
      <c r="CS25" s="56" t="str">
        <f>'PC LIST'!J373</f>
        <v>Under</v>
      </c>
      <c r="CT25" s="56" t="str">
        <f>'PC LIST'!CC373</f>
        <v>Stable</v>
      </c>
      <c r="CU25" s="56" t="str">
        <f>'PC LIST'!B428</f>
        <v>PR14UUWSWW_S-D5</v>
      </c>
      <c r="CV25" s="57" t="str">
        <f>'PC LIST'!I428</f>
        <v>S-D5: Satisfactory sludge disposal</v>
      </c>
      <c r="CW25" s="57" t="str">
        <f>'PC LIST'!O428</f>
        <v>%</v>
      </c>
      <c r="CX25" s="57" t="str">
        <f>'PC LIST'!P428</f>
        <v>% satisfactory sludge disposal compliance</v>
      </c>
      <c r="CY25" s="56">
        <f>'PC LIST'!Q428</f>
        <v>2</v>
      </c>
      <c r="CZ25" s="56" t="str">
        <f>'PC LIST'!J428</f>
        <v>Under</v>
      </c>
      <c r="DA25" s="56">
        <f>'PC LIST'!CC428</f>
        <v>100</v>
      </c>
      <c r="DB25" s="56" t="str">
        <f>'PC LIST'!B455</f>
        <v>PR14WSHWSWW_F3</v>
      </c>
      <c r="DC25" s="57" t="str">
        <f>'PC LIST'!I455</f>
        <v>F3: Asset resilience - % of critical assets that are resilient against a set of criteria</v>
      </c>
      <c r="DD25" s="57" t="str">
        <f>'PC LIST'!O455</f>
        <v>%</v>
      </c>
      <c r="DE25" s="57" t="str">
        <f>'PC LIST'!P455</f>
        <v>% critical assets that are resilient against a set of criteria</v>
      </c>
      <c r="DF25" s="56">
        <f>'PC LIST'!Q455</f>
        <v>0</v>
      </c>
      <c r="DG25" s="56" t="str">
        <f>'PC LIST'!J455</f>
        <v>Under</v>
      </c>
      <c r="DH25" s="743">
        <f>'PC LIST'!CC455</f>
        <v>77.5</v>
      </c>
      <c r="DI25" s="56" t="str">
        <f>'PC LIST'!B486</f>
        <v>PR14WSXWSWW_E1</v>
      </c>
      <c r="DJ25" s="57" t="str">
        <f>'PC LIST'!I486</f>
        <v>E1: Greenhouse gas emissions (annual greenhouse gas emissions from operational services)</v>
      </c>
      <c r="DK25" s="57" t="str">
        <f>'PC LIST'!O486</f>
        <v>nr</v>
      </c>
      <c r="DL25" s="57" t="str">
        <f>'PC LIST'!P486</f>
        <v>ktCO2e</v>
      </c>
      <c r="DM25" s="56">
        <f>'PC LIST'!Q486</f>
        <v>0</v>
      </c>
      <c r="DN25" s="56" t="str">
        <f>'PC LIST'!J486</f>
        <v>NFI</v>
      </c>
      <c r="DO25" s="56">
        <f>'PC LIST'!CC486</f>
        <v>122</v>
      </c>
      <c r="DP25" s="56" t="str">
        <f>'PC LIST'!B518</f>
        <v>PR14YKYWSWW_SB4</v>
      </c>
      <c r="DQ25" s="57" t="str">
        <f>'PC LIST'!I518</f>
        <v>SB4: Length of river improved (against WFD component measures) (note: PC is part of a total commitment at Appointee level - see also WC1)</v>
      </c>
      <c r="DR25" s="57" t="str">
        <f>'PC LIST'!O518</f>
        <v>nr</v>
      </c>
      <c r="DS25" s="57" t="str">
        <f>'PC LIST'!P518</f>
        <v>Kilometres (km) of river improved (modelled length)</v>
      </c>
      <c r="DT25" s="56">
        <f>'PC LIST'!Q518</f>
        <v>0</v>
      </c>
      <c r="DU25" s="56" t="str">
        <f>'PC LIST'!J518</f>
        <v>Out &amp; under</v>
      </c>
      <c r="DV25" s="56">
        <f>'PC LIST'!CC518</f>
        <v>0</v>
      </c>
      <c r="DW25" s="56" t="str">
        <f>'PC LIST'!B552</f>
        <v>PR14HDDWSW_W-B7</v>
      </c>
      <c r="DX25" s="57" t="str">
        <f>'PC LIST'!I552</f>
        <v>W-B7: Customers at risk of low pressure</v>
      </c>
      <c r="DY25" s="57" t="str">
        <f>'PC LIST'!O552</f>
        <v>nr</v>
      </c>
      <c r="DZ25" s="57" t="str">
        <f>'PC LIST'!P552</f>
        <v>No. customers at risk of low pressure</v>
      </c>
      <c r="EA25" s="56">
        <f>'PC LIST'!Q552</f>
        <v>0</v>
      </c>
      <c r="EB25" s="56" t="str">
        <f>'PC LIST'!J552</f>
        <v>Out &amp; under</v>
      </c>
      <c r="EC25" s="56" t="str">
        <f>'PC LIST'!CC552</f>
        <v>-</v>
      </c>
      <c r="ED25" s="56" t="str">
        <f>'PC LIST'!B598</f>
        <v>PR14SVEWSW_W-D4</v>
      </c>
      <c r="EE25" s="57" t="str">
        <f>'PC LIST'!I598</f>
        <v>W-D4: Sites with eel protection at intakes</v>
      </c>
      <c r="EF25" s="57" t="str">
        <f>'PC LIST'!O598</f>
        <v>nr</v>
      </c>
      <c r="EG25" s="57" t="str">
        <f>'PC LIST'!P598</f>
        <v>No. sites with eel protection at intakes</v>
      </c>
      <c r="EH25" s="56">
        <f>'PC LIST'!Q598</f>
        <v>0</v>
      </c>
      <c r="EI25" s="56" t="str">
        <f>'PC LIST'!J598</f>
        <v>NFI</v>
      </c>
      <c r="EJ25" s="56" t="str">
        <f>'PC LIST'!CC598</f>
        <v>-</v>
      </c>
    </row>
    <row r="26" spans="8:140" ht="15.75" customHeight="1">
      <c r="H26" s="56" t="str">
        <f>'PC LIST'!B39</f>
        <v>PR14ANHWSWW_S-C2</v>
      </c>
      <c r="I26" s="57" t="str">
        <f>'PC LIST'!I39</f>
        <v>S-C2: Percentage of SSSIs (by area) with favourable status</v>
      </c>
      <c r="J26" s="57" t="str">
        <f>'PC LIST'!O39</f>
        <v>%</v>
      </c>
      <c r="K26" s="57" t="str">
        <f>'PC LIST'!P39</f>
        <v>% SSSIs with favourable status</v>
      </c>
      <c r="L26" s="56">
        <f>'PC LIST'!Q39</f>
        <v>0</v>
      </c>
      <c r="M26" s="56" t="str">
        <f>'PC LIST'!J39</f>
        <v>NFI</v>
      </c>
      <c r="N26" s="743">
        <f>'PC LIST'!CC39</f>
        <v>98.832999999999998</v>
      </c>
      <c r="T26" s="56"/>
      <c r="U26" s="56"/>
      <c r="AC26" s="56" t="str">
        <f>'PC LIST'!B112</f>
        <v>PR14NESWSWW_S-C1</v>
      </c>
      <c r="AD26" s="58" t="str">
        <f>'PC LIST'!I112</f>
        <v>S-C1: Sewage treatment works discharge compliance (3-year average)</v>
      </c>
      <c r="AE26" s="58" t="str">
        <f>'PC LIST'!O112</f>
        <v>nr</v>
      </c>
      <c r="AF26" s="58" t="str">
        <f>'PC LIST'!P112</f>
        <v>No. discharge permit condition failures per year</v>
      </c>
      <c r="AG26" s="56">
        <f>'PC LIST'!Q112</f>
        <v>2</v>
      </c>
      <c r="AH26" s="56" t="str">
        <f>'PC LIST'!J112</f>
        <v>Under</v>
      </c>
      <c r="AI26" s="56">
        <f>'PC LIST'!CC112</f>
        <v>1.33</v>
      </c>
      <c r="AZ26" s="54"/>
      <c r="BA26" s="54"/>
      <c r="BB26" s="54"/>
      <c r="BC26" s="54"/>
      <c r="BD26" s="54"/>
      <c r="BE26" s="56" t="str">
        <f>'PC LIST'!B205</f>
        <v>PR14SEWWSW_O1</v>
      </c>
      <c r="BF26" s="57" t="str">
        <f>'PC LIST'!I205</f>
        <v>O1: Kg of carbon emissions per customer per year</v>
      </c>
      <c r="BG26" s="57" t="str">
        <f>'PC LIST'!O205</f>
        <v>nr</v>
      </c>
      <c r="BH26" s="57" t="str">
        <f>'PC LIST'!P205</f>
        <v>Kg of carbon emissions per customer per year</v>
      </c>
      <c r="BI26" s="56">
        <f>'PC LIST'!Q205</f>
        <v>1</v>
      </c>
      <c r="BJ26" s="56" t="str">
        <f>'PC LIST'!J205</f>
        <v>NFI</v>
      </c>
      <c r="BK26" s="56">
        <f>'PC LIST'!CC205</f>
        <v>37.200000000000003</v>
      </c>
      <c r="BL26" s="56" t="str">
        <f>'PC LIST'!B239</f>
        <v>PR14SRNWSWW_14</v>
      </c>
      <c r="BM26" s="57" t="str">
        <f>'PC LIST'!I239</f>
        <v>14: Woolston STW</v>
      </c>
      <c r="BN26" s="57" t="str">
        <f>'PC LIST'!O239</f>
        <v>text</v>
      </c>
      <c r="BO26" s="57" t="str">
        <f>'PC LIST'!P239</f>
        <v>Scheme delivery</v>
      </c>
      <c r="BP26" s="56" t="str">
        <f>'PC LIST'!Q239</f>
        <v>na</v>
      </c>
      <c r="BQ26" s="56" t="str">
        <f>'PC LIST'!J239</f>
        <v>Under</v>
      </c>
      <c r="BR26" s="56" t="str">
        <f>'PC LIST'!CC239</f>
        <v>N/A</v>
      </c>
      <c r="BZ26" s="56" t="str">
        <f>'PC LIST'!B287</f>
        <v>PR14SVTWSW_W-E1</v>
      </c>
      <c r="CA26" s="57" t="str">
        <f>'PC LIST'!I287</f>
        <v>W-E1: Size of our carbon footprint</v>
      </c>
      <c r="CB26" s="57" t="str">
        <f>'PC LIST'!O287</f>
        <v>nr</v>
      </c>
      <c r="CC26" s="57" t="str">
        <f>'PC LIST'!P287</f>
        <v>ktCO2e</v>
      </c>
      <c r="CD26" s="56">
        <f>'PC LIST'!Q287</f>
        <v>3</v>
      </c>
      <c r="CE26" s="56" t="str">
        <f>'PC LIST'!J287</f>
        <v>Out &amp; under</v>
      </c>
      <c r="CF26" s="744">
        <f>'PC LIST'!CC287</f>
        <v>256</v>
      </c>
      <c r="CG26" s="56" t="str">
        <f>'PC LIST'!B332</f>
        <v>PR14SWTWSWW_S-A3</v>
      </c>
      <c r="CH26" s="59" t="str">
        <f>'PC LIST'!I332</f>
        <v>S-A3: Odour contacts (wastewater treatment works)</v>
      </c>
      <c r="CI26" s="59" t="str">
        <f>'PC LIST'!O332</f>
        <v>nr</v>
      </c>
      <c r="CJ26" s="59" t="str">
        <f>'PC LIST'!P332</f>
        <v>No. of odour contacts (WwTWs)</v>
      </c>
      <c r="CK26" s="56">
        <f>'PC LIST'!Q332</f>
        <v>0</v>
      </c>
      <c r="CL26" s="56" t="str">
        <f>'PC LIST'!J332</f>
        <v>Out &amp; under</v>
      </c>
      <c r="CM26" s="743">
        <f>'PC LIST'!CC332</f>
        <v>242</v>
      </c>
      <c r="CN26" s="56" t="str">
        <f>'PC LIST'!B374</f>
        <v>PR14TMSWSWW_SB2</v>
      </c>
      <c r="CO26" s="57" t="str">
        <f>'PC LIST'!I374</f>
        <v>SB2: Asset health wastewater infrastructure</v>
      </c>
      <c r="CP26" s="57" t="str">
        <f>'PC LIST'!O374</f>
        <v>category</v>
      </c>
      <c r="CQ26" s="57" t="str">
        <f>'PC LIST'!P374</f>
        <v>Asset health indicator</v>
      </c>
      <c r="CR26" s="56" t="str">
        <f>'PC LIST'!Q374</f>
        <v>na</v>
      </c>
      <c r="CS26" s="56" t="str">
        <f>'PC LIST'!J374</f>
        <v>Under</v>
      </c>
      <c r="CT26" s="56" t="str">
        <f>'PC LIST'!CC374</f>
        <v>Stable</v>
      </c>
      <c r="CU26" s="56" t="str">
        <f>'PC LIST'!B429</f>
        <v>PR14UUHHR_A-1</v>
      </c>
      <c r="CV26" s="57" t="str">
        <f>'PC LIST'!I429</f>
        <v>A-1: Service incentive mechanism (SIM)</v>
      </c>
      <c r="CW26" s="57" t="str">
        <f>'PC LIST'!O429</f>
        <v>text</v>
      </c>
      <c r="CX26" s="57" t="str">
        <f>'PC LIST'!P429</f>
        <v>Service incentive mechanism (SIM) score ranking</v>
      </c>
      <c r="CY26" s="56" t="str">
        <f>'PC LIST'!Q429</f>
        <v>na</v>
      </c>
      <c r="CZ26" s="56" t="str">
        <f>'PC LIST'!J429</f>
        <v>Out &amp; under</v>
      </c>
      <c r="DA26" s="56">
        <f>'PC LIST'!CC429</f>
        <v>86.873881667676727</v>
      </c>
      <c r="DB26" s="56" t="str">
        <f>'PC LIST'!B456</f>
        <v>PR14WSHNHHR_D1</v>
      </c>
      <c r="DC26" s="57" t="str">
        <f>'PC LIST'!I456</f>
        <v>D1: Service incentive mechanism (SIM)</v>
      </c>
      <c r="DD26" s="57" t="str">
        <f>'PC LIST'!O456</f>
        <v>text</v>
      </c>
      <c r="DE26" s="57" t="str">
        <f>'PC LIST'!P456</f>
        <v>Service incentive mechanism (SIM) score ranking</v>
      </c>
      <c r="DF26" s="56" t="str">
        <f>'PC LIST'!Q456</f>
        <v>na</v>
      </c>
      <c r="DG26" s="56" t="str">
        <f>'PC LIST'!J456</f>
        <v>Out &amp; under</v>
      </c>
      <c r="DH26" s="743">
        <f>'PC LIST'!CC456</f>
        <v>574</v>
      </c>
      <c r="DI26" s="56" t="str">
        <f>'PC LIST'!B487</f>
        <v>PR14WSXWSWW_E2</v>
      </c>
      <c r="DJ26" s="57" t="str">
        <f>'PC LIST'!I487</f>
        <v>E2: Proportion of energy self-generated</v>
      </c>
      <c r="DK26" s="57" t="str">
        <f>'PC LIST'!O487</f>
        <v>%</v>
      </c>
      <c r="DL26" s="57" t="str">
        <f>'PC LIST'!P487</f>
        <v>% of energy (electricity and gas) self-generated</v>
      </c>
      <c r="DM26" s="56">
        <f>'PC LIST'!Q487</f>
        <v>0</v>
      </c>
      <c r="DN26" s="56" t="str">
        <f>'PC LIST'!J487</f>
        <v>Under</v>
      </c>
      <c r="DO26" s="56">
        <f>'PC LIST'!CC487</f>
        <v>25.5</v>
      </c>
      <c r="DP26" s="56" t="str">
        <f>'PC LIST'!B519</f>
        <v>PR14YKYWSWW_SB5</v>
      </c>
      <c r="DQ26" s="57" t="str">
        <f>'PC LIST'!I519</f>
        <v>SB5: Amount of land conserved and enhanced (total cumulative area) (note: PC is part of a total commitment at Appointee level - see also WC3)</v>
      </c>
      <c r="DR26" s="57" t="str">
        <f>'PC LIST'!O519</f>
        <v>nr</v>
      </c>
      <c r="DS26" s="57" t="str">
        <f>'PC LIST'!P519</f>
        <v>No. of hectares of land conserved &amp; enhanced (cumulative)</v>
      </c>
      <c r="DT26" s="56">
        <f>'PC LIST'!Q519</f>
        <v>0</v>
      </c>
      <c r="DU26" s="56" t="str">
        <f>'PC LIST'!J519</f>
        <v>Out &amp; under</v>
      </c>
      <c r="DV26" s="56">
        <f>'PC LIST'!CC519</f>
        <v>11479</v>
      </c>
      <c r="DW26" s="56" t="str">
        <f>'PC LIST'!B553</f>
        <v>PR14HDDWSW_W-B8</v>
      </c>
      <c r="DX26" s="57" t="str">
        <f>'PC LIST'!I553</f>
        <v>W-B8: Restrictions on water use</v>
      </c>
      <c r="DY26" s="57" t="str">
        <f>'PC LIST'!O553</f>
        <v>nr</v>
      </c>
      <c r="DZ26" s="57" t="str">
        <f>'PC LIST'!P553</f>
        <v>No. water restrictions in five-year period</v>
      </c>
      <c r="EA26" s="56">
        <f>'PC LIST'!Q553</f>
        <v>0</v>
      </c>
      <c r="EB26" s="56" t="str">
        <f>'PC LIST'!J553</f>
        <v>Out &amp; under</v>
      </c>
      <c r="EC26" s="56" t="str">
        <f>'PC LIST'!CC553</f>
        <v>-</v>
      </c>
      <c r="ED26" s="56" t="str">
        <f>'PC LIST'!B599</f>
        <v>PR14SVEWSW_W-E1</v>
      </c>
      <c r="EE26" s="57" t="str">
        <f>'PC LIST'!I599</f>
        <v>W-E1: Size of our carbon footprint</v>
      </c>
      <c r="EF26" s="57" t="str">
        <f>'PC LIST'!O599</f>
        <v>nr</v>
      </c>
      <c r="EG26" s="57" t="str">
        <f>'PC LIST'!P599</f>
        <v>ktCO2e</v>
      </c>
      <c r="EH26" s="56">
        <f>'PC LIST'!Q599</f>
        <v>3</v>
      </c>
      <c r="EI26" s="56" t="str">
        <f>'PC LIST'!J599</f>
        <v>Out &amp; under</v>
      </c>
      <c r="EJ26" s="56" t="str">
        <f>'PC LIST'!CC599</f>
        <v>-</v>
      </c>
    </row>
    <row r="27" spans="8:140" ht="15.75" customHeight="1">
      <c r="H27" s="56" t="str">
        <f>'PC LIST'!B40</f>
        <v>PR14ANHWSWW_S-C3</v>
      </c>
      <c r="I27" s="57" t="str">
        <f>'PC LIST'!I40</f>
        <v>S-C3: Pollution incidents (category 3)</v>
      </c>
      <c r="J27" s="57" t="str">
        <f>'PC LIST'!O40</f>
        <v>nr</v>
      </c>
      <c r="K27" s="57" t="str">
        <f>'PC LIST'!P40</f>
        <v>No. of pollution incidents (cat 3)</v>
      </c>
      <c r="L27" s="56">
        <f>'PC LIST'!Q40</f>
        <v>0</v>
      </c>
      <c r="M27" s="56" t="str">
        <f>'PC LIST'!J40</f>
        <v>Out &amp; under</v>
      </c>
      <c r="N27" s="743">
        <f>'PC LIST'!CC40</f>
        <v>219</v>
      </c>
      <c r="T27" s="56"/>
      <c r="U27" s="56"/>
      <c r="AC27" s="56" t="str">
        <f>'PC LIST'!B113</f>
        <v>PR14NESWSWW_S-C2</v>
      </c>
      <c r="AD27" s="58" t="str">
        <f>'PC LIST'!I113</f>
        <v>S-C2: Pollution incidents - category 3 (3-year average)</v>
      </c>
      <c r="AE27" s="58" t="str">
        <f>'PC LIST'!O113</f>
        <v>nr</v>
      </c>
      <c r="AF27" s="58" t="str">
        <f>'PC LIST'!P113</f>
        <v>No. of pollution incidents (cat 3)</v>
      </c>
      <c r="AG27" s="56">
        <f>'PC LIST'!Q113</f>
        <v>0</v>
      </c>
      <c r="AH27" s="56" t="str">
        <f>'PC LIST'!J113</f>
        <v>Out &amp; under</v>
      </c>
      <c r="AI27" s="56">
        <f>'PC LIST'!CC113</f>
        <v>105</v>
      </c>
      <c r="AZ27" s="54"/>
      <c r="BA27" s="54"/>
      <c r="BB27" s="54"/>
      <c r="BC27" s="54"/>
      <c r="BD27" s="54"/>
      <c r="BE27" s="56" t="str">
        <f>'PC LIST'!B206</f>
        <v>PR14SEWWSW_O2</v>
      </c>
      <c r="BF27" s="57" t="str">
        <f>'PC LIST'!I206</f>
        <v>O2: We will monitor our abstractions at low flows at environmentally sensitive sites (in line with AIM)</v>
      </c>
      <c r="BG27" s="57" t="str">
        <f>'PC LIST'!O206</f>
        <v>TBC</v>
      </c>
      <c r="BH27" s="57" t="str">
        <f>'PC LIST'!P206</f>
        <v>TBC (in line with AIM)</v>
      </c>
      <c r="BI27" s="56" t="str">
        <f>'PC LIST'!Q206</f>
        <v>TBC</v>
      </c>
      <c r="BJ27" s="56" t="str">
        <f>'PC LIST'!J206</f>
        <v>NFI</v>
      </c>
      <c r="BK27" s="56">
        <f>'PC LIST'!CC206</f>
        <v>-0.24</v>
      </c>
      <c r="BL27" s="56" t="str">
        <f>'PC LIST'!B240</f>
        <v>PR14SRNWSWW_15</v>
      </c>
      <c r="BM27" s="57" t="str">
        <f>'PC LIST'!I240</f>
        <v>15: Millbrook sludge</v>
      </c>
      <c r="BN27" s="57" t="str">
        <f>'PC LIST'!O240</f>
        <v>nr</v>
      </c>
      <c r="BO27" s="57" t="str">
        <f>'PC LIST'!P240</f>
        <v>Tonnes of dry solids removed</v>
      </c>
      <c r="BP27" s="56">
        <f>'PC LIST'!Q240</f>
        <v>0</v>
      </c>
      <c r="BQ27" s="56" t="str">
        <f>'PC LIST'!J240</f>
        <v>Under</v>
      </c>
      <c r="BR27" s="56" t="str">
        <f>'PC LIST'!CC240</f>
        <v>N/A</v>
      </c>
      <c r="BZ27" s="56" t="str">
        <f>'PC LIST'!B288</f>
        <v>PR14SVTWSW_W-F1</v>
      </c>
      <c r="CA27" s="57" t="str">
        <f>'PC LIST'!I288</f>
        <v>W-F1: Improved understanding of our services through education</v>
      </c>
      <c r="CB27" s="57" t="str">
        <f>'PC LIST'!O288</f>
        <v>nr</v>
      </c>
      <c r="CC27" s="57" t="str">
        <f>'PC LIST'!P288</f>
        <v>No. of people - education programme</v>
      </c>
      <c r="CD27" s="56">
        <f>'PC LIST'!Q288</f>
        <v>0</v>
      </c>
      <c r="CE27" s="56" t="str">
        <f>'PC LIST'!J288</f>
        <v>NFI</v>
      </c>
      <c r="CF27" s="744">
        <f>'PC LIST'!CC288</f>
        <v>200536</v>
      </c>
      <c r="CG27" s="56" t="str">
        <f>'PC LIST'!B333</f>
        <v>PR14SWTWSWW_S-A4</v>
      </c>
      <c r="CH27" s="59" t="str">
        <f>'PC LIST'!I333</f>
        <v>S-A4: Asset reliability (pipes)</v>
      </c>
      <c r="CI27" s="59" t="str">
        <f>'PC LIST'!O333</f>
        <v>category</v>
      </c>
      <c r="CJ27" s="59" t="str">
        <f>'PC LIST'!P333</f>
        <v>Asset health indicator</v>
      </c>
      <c r="CK27" s="56" t="str">
        <f>'PC LIST'!Q333</f>
        <v>na</v>
      </c>
      <c r="CL27" s="56" t="str">
        <f>'PC LIST'!J333</f>
        <v>Under</v>
      </c>
      <c r="CM27" s="743" t="str">
        <f>'PC LIST'!CC333</f>
        <v>Stable</v>
      </c>
      <c r="CN27" s="56" t="str">
        <f>'PC LIST'!B375</f>
        <v>PR14TMSWSWW_SB3</v>
      </c>
      <c r="CO27" s="57" t="str">
        <f>'PC LIST'!I375</f>
        <v>SB3: Properties protected from flooding due to rainfall (including Counters Creek project)</v>
      </c>
      <c r="CP27" s="57" t="str">
        <f>'PC LIST'!O375</f>
        <v>nr</v>
      </c>
      <c r="CQ27" s="57" t="str">
        <f>'PC LIST'!P375</f>
        <v>No. properties protected from flooding due to rainfall</v>
      </c>
      <c r="CR27" s="56">
        <f>'PC LIST'!Q375</f>
        <v>0</v>
      </c>
      <c r="CS27" s="56" t="str">
        <f>'PC LIST'!J375</f>
        <v>Out &amp; under</v>
      </c>
      <c r="CT27" s="56">
        <f>'PC LIST'!CC375</f>
        <v>40</v>
      </c>
      <c r="CU27" s="56" t="str">
        <f>'PC LIST'!B430</f>
        <v>PR14UUHHR_R-A2</v>
      </c>
      <c r="CV27" s="57" t="str">
        <f>'PC LIST'!I430</f>
        <v>R-A2: Customer experience programme</v>
      </c>
      <c r="CW27" s="57" t="str">
        <f>'PC LIST'!O430</f>
        <v>£m</v>
      </c>
      <c r="CX27" s="57" t="str">
        <f>'PC LIST'!P430</f>
        <v>£ million cumulative depreciation</v>
      </c>
      <c r="CY27" s="56">
        <f>'PC LIST'!Q430</f>
        <v>3</v>
      </c>
      <c r="CZ27" s="56" t="str">
        <f>'PC LIST'!J430</f>
        <v>Under</v>
      </c>
      <c r="DA27" s="56">
        <f>'PC LIST'!CC430</f>
        <v>2.5760000000000001</v>
      </c>
      <c r="DB27" s="56" t="str">
        <f>'PC LIST'!B457</f>
        <v>PR14WSHNHHR_D4</v>
      </c>
      <c r="DC27" s="57" t="str">
        <f>'PC LIST'!I457</f>
        <v>D4: Business customer satisfaction</v>
      </c>
      <c r="DD27" s="57" t="str">
        <f>'PC LIST'!O457</f>
        <v>%</v>
      </c>
      <c r="DE27" s="57" t="str">
        <f>'PC LIST'!P457</f>
        <v>% customer satisfaction</v>
      </c>
      <c r="DF27" s="56">
        <f>'PC LIST'!Q457</f>
        <v>0</v>
      </c>
      <c r="DG27" s="56" t="str">
        <f>'PC LIST'!J457</f>
        <v>Under</v>
      </c>
      <c r="DH27" s="743">
        <f>'PC LIST'!CC457</f>
        <v>87</v>
      </c>
      <c r="DI27" s="56" t="str">
        <f>'PC LIST'!B488</f>
        <v>PR14WSXHHR_A1</v>
      </c>
      <c r="DJ27" s="57" t="str">
        <f>'PC LIST'!I488</f>
        <v>A1: SIM service score</v>
      </c>
      <c r="DK27" s="57" t="str">
        <f>'PC LIST'!O488</f>
        <v>score</v>
      </c>
      <c r="DL27" s="57" t="str">
        <f>'PC LIST'!P488</f>
        <v>Service incentive mechanism (SIM) score</v>
      </c>
      <c r="DM27" s="56">
        <f>'PC LIST'!Q488</f>
        <v>0</v>
      </c>
      <c r="DN27" s="56" t="str">
        <f>'PC LIST'!J488</f>
        <v>Out &amp; under</v>
      </c>
      <c r="DO27" s="56">
        <f>'PC LIST'!CC488</f>
        <v>87</v>
      </c>
      <c r="DP27" s="56" t="str">
        <f>'PC LIST'!B520</f>
        <v>PR14YKYWSWW_SC1</v>
      </c>
      <c r="DQ27" s="57" t="str">
        <f>'PC LIST'!I520</f>
        <v>SC1: Proportion of energy use generated by renewable technology (note: PC is part of a total commitment at Appointee level - see also WD1 and RC1)</v>
      </c>
      <c r="DR27" s="57" t="str">
        <f>'PC LIST'!O520</f>
        <v>%</v>
      </c>
      <c r="DS27" s="57" t="str">
        <f>'PC LIST'!P520</f>
        <v>% of energy use generated by renewable technology</v>
      </c>
      <c r="DT27" s="56">
        <f>'PC LIST'!Q520</f>
        <v>0</v>
      </c>
      <c r="DU27" s="56" t="str">
        <f>'PC LIST'!J520</f>
        <v>NFI</v>
      </c>
      <c r="DV27" s="56">
        <f>'PC LIST'!CC520</f>
        <v>11.44</v>
      </c>
      <c r="DW27" s="56" t="str">
        <f>'PC LIST'!B554</f>
        <v>PR14HDDWSW_W-C1</v>
      </c>
      <c r="DX27" s="57" t="str">
        <f>'PC LIST'!I554</f>
        <v>W-C1: Customers rating our services as good value for money (based on tracker survey)</v>
      </c>
      <c r="DY27" s="57" t="str">
        <f>'PC LIST'!O554</f>
        <v>%</v>
      </c>
      <c r="DZ27" s="57" t="str">
        <f>'PC LIST'!P554</f>
        <v>% customer satisfaction</v>
      </c>
      <c r="EA27" s="56">
        <f>'PC LIST'!Q554</f>
        <v>0</v>
      </c>
      <c r="EB27" s="56" t="str">
        <f>'PC LIST'!J554</f>
        <v>Out &amp; under</v>
      </c>
      <c r="EC27" s="56" t="str">
        <f>'PC LIST'!CC554</f>
        <v>-</v>
      </c>
      <c r="ED27" s="56" t="str">
        <f>'PC LIST'!B600</f>
        <v>PR14SVEWSW_W-F1</v>
      </c>
      <c r="EE27" s="57" t="str">
        <f>'PC LIST'!I600</f>
        <v>W-F1: Improved understanding of our services through education</v>
      </c>
      <c r="EF27" s="57" t="str">
        <f>'PC LIST'!O600</f>
        <v>nr</v>
      </c>
      <c r="EG27" s="57" t="str">
        <f>'PC LIST'!P600</f>
        <v>No. of people - education programme</v>
      </c>
      <c r="EH27" s="56">
        <f>'PC LIST'!Q600</f>
        <v>0</v>
      </c>
      <c r="EI27" s="56" t="str">
        <f>'PC LIST'!J600</f>
        <v>NFI</v>
      </c>
      <c r="EJ27" s="56" t="str">
        <f>'PC LIST'!CC600</f>
        <v>-</v>
      </c>
    </row>
    <row r="28" spans="8:140" ht="15.75" customHeight="1">
      <c r="H28" s="56" t="str">
        <f>'PC LIST'!B41</f>
        <v>PR14ANHWSWW_S-C4</v>
      </c>
      <c r="I28" s="57" t="str">
        <f>'PC LIST'!I41</f>
        <v>S-C4: Environmental compliance (wastewater)</v>
      </c>
      <c r="J28" s="57" t="str">
        <f>'PC LIST'!O41</f>
        <v>nr</v>
      </c>
      <c r="K28" s="57" t="str">
        <f>'PC LIST'!P41</f>
        <v>No. of obligations delivered</v>
      </c>
      <c r="L28" s="56">
        <f>'PC LIST'!Q41</f>
        <v>0</v>
      </c>
      <c r="M28" s="56" t="str">
        <f>'PC LIST'!J41</f>
        <v>Under</v>
      </c>
      <c r="N28" s="743">
        <f>'PC LIST'!CC41</f>
        <v>36</v>
      </c>
      <c r="T28" s="56"/>
      <c r="U28" s="56"/>
      <c r="AC28" s="56" t="str">
        <f>'PC LIST'!B114</f>
        <v>PR14NESWSWW_S-C3</v>
      </c>
      <c r="AD28" s="58" t="str">
        <f>'PC LIST'!I114</f>
        <v>S-C3: Bathing water compliance</v>
      </c>
      <c r="AE28" s="58" t="str">
        <f>'PC LIST'!O114</f>
        <v>nr</v>
      </c>
      <c r="AF28" s="58" t="str">
        <f>'PC LIST'!P114</f>
        <v>No. of bathing waters per year</v>
      </c>
      <c r="AG28" s="56">
        <f>'PC LIST'!Q114</f>
        <v>0</v>
      </c>
      <c r="AH28" s="56" t="str">
        <f>'PC LIST'!J114</f>
        <v>Under</v>
      </c>
      <c r="AI28" s="56">
        <f>'PC LIST'!CC114</f>
        <v>34</v>
      </c>
      <c r="AZ28" s="54"/>
      <c r="BA28" s="54"/>
      <c r="BB28" s="54"/>
      <c r="BC28" s="54"/>
      <c r="BD28" s="54"/>
      <c r="BE28" s="56" t="str">
        <f>'PC LIST'!B207</f>
        <v>PR14SEWHHR_A1</v>
      </c>
      <c r="BF28" s="57" t="str">
        <f>'PC LIST'!I207</f>
        <v>A1: Customer satisfaction - appearance of water</v>
      </c>
      <c r="BG28" s="57" t="str">
        <f>'PC LIST'!O207</f>
        <v>score</v>
      </c>
      <c r="BH28" s="57" t="str">
        <f>'PC LIST'!P207</f>
        <v>Customer satisfaction score out of 5</v>
      </c>
      <c r="BI28" s="56">
        <f>'PC LIST'!Q207</f>
        <v>1</v>
      </c>
      <c r="BJ28" s="56" t="str">
        <f>'PC LIST'!J207</f>
        <v>Out &amp; under</v>
      </c>
      <c r="BK28" s="56">
        <f>'PC LIST'!CC207</f>
        <v>4.5</v>
      </c>
      <c r="BL28" s="56" t="str">
        <f>'PC LIST'!B241</f>
        <v>PR14SRNHHR_1</v>
      </c>
      <c r="BM28" s="57" t="str">
        <f>'PC LIST'!I241</f>
        <v>1: First time resolution of customer contacts</v>
      </c>
      <c r="BN28" s="57" t="str">
        <f>'PC LIST'!O241</f>
        <v>%</v>
      </c>
      <c r="BO28" s="57" t="str">
        <f>'PC LIST'!P241</f>
        <v>% customer contacts resolved 1st time</v>
      </c>
      <c r="BP28" s="56">
        <f>'PC LIST'!Q241</f>
        <v>0</v>
      </c>
      <c r="BQ28" s="56" t="str">
        <f>'PC LIST'!J241</f>
        <v>NFI</v>
      </c>
      <c r="BR28" s="56">
        <f>'PC LIST'!CC241</f>
        <v>67</v>
      </c>
      <c r="BZ28" s="56" t="str">
        <f>'PC LIST'!B289</f>
        <v>PR14SVTWSWW_S-A1</v>
      </c>
      <c r="CA28" s="57" t="str">
        <f>'PC LIST'!I289</f>
        <v>S-A1: Number of internal sewer flooding incidents</v>
      </c>
      <c r="CB28" s="57" t="str">
        <f>'PC LIST'!O289</f>
        <v>nr</v>
      </c>
      <c r="CC28" s="57" t="str">
        <f>'PC LIST'!P289</f>
        <v>No. of internal sewer flooding incidents</v>
      </c>
      <c r="CD28" s="56">
        <f>'PC LIST'!Q289</f>
        <v>0</v>
      </c>
      <c r="CE28" s="56" t="str">
        <f>'PC LIST'!J289</f>
        <v>Out &amp; under</v>
      </c>
      <c r="CF28" s="744">
        <f>'PC LIST'!CC289</f>
        <v>662</v>
      </c>
      <c r="CG28" s="56" t="str">
        <f>'PC LIST'!B334</f>
        <v>PR14SWTWSWW_S-A5</v>
      </c>
      <c r="CH28" s="59" t="str">
        <f>'PC LIST'!I334</f>
        <v>S-A5: Asset reliability (process)</v>
      </c>
      <c r="CI28" s="59" t="str">
        <f>'PC LIST'!O334</f>
        <v>category</v>
      </c>
      <c r="CJ28" s="59" t="str">
        <f>'PC LIST'!P334</f>
        <v>Asset health indicator</v>
      </c>
      <c r="CK28" s="56" t="str">
        <f>'PC LIST'!Q334</f>
        <v>na</v>
      </c>
      <c r="CL28" s="56" t="str">
        <f>'PC LIST'!J334</f>
        <v>Under</v>
      </c>
      <c r="CM28" s="743" t="str">
        <f>'PC LIST'!CC334</f>
        <v>Stable</v>
      </c>
      <c r="CN28" s="56" t="str">
        <f>'PC LIST'!B376</f>
        <v>PR14TMSWSWW_SB4</v>
      </c>
      <c r="CO28" s="57" t="str">
        <f>'PC LIST'!I376</f>
        <v>SB4: Number of internal flooding incidents, excluding those due to overloaded sewers (SFOC)</v>
      </c>
      <c r="CP28" s="57" t="str">
        <f>'PC LIST'!O376</f>
        <v>nr</v>
      </c>
      <c r="CQ28" s="57" t="str">
        <f>'PC LIST'!P376</f>
        <v>No. of internal sewer flooding (other causes) incidents</v>
      </c>
      <c r="CR28" s="56">
        <f>'PC LIST'!Q376</f>
        <v>0</v>
      </c>
      <c r="CS28" s="56" t="str">
        <f>'PC LIST'!J376</f>
        <v>Out &amp; under</v>
      </c>
      <c r="CT28" s="56">
        <f>'PC LIST'!CC376</f>
        <v>1062</v>
      </c>
      <c r="CU28" s="56" t="str">
        <f>'PC LIST'!B431</f>
        <v>PR14UUHHR_B1</v>
      </c>
      <c r="CV28" s="57" t="str">
        <f>'PC LIST'!I431</f>
        <v>B1: Customers saying that we offer value for money</v>
      </c>
      <c r="CW28" s="57" t="str">
        <f>'PC LIST'!O431</f>
        <v>%</v>
      </c>
      <c r="CX28" s="57" t="str">
        <f>'PC LIST'!P431</f>
        <v>% customer satisfaction</v>
      </c>
      <c r="CY28" s="56">
        <f>'PC LIST'!Q431</f>
        <v>0</v>
      </c>
      <c r="CZ28" s="56" t="str">
        <f>'PC LIST'!J431</f>
        <v>NFI</v>
      </c>
      <c r="DA28" s="56">
        <f>'PC LIST'!CC431</f>
        <v>52</v>
      </c>
      <c r="DB28" s="56" t="str">
        <f>'PC LIST'!B458</f>
        <v>PR14WSHNHHR_D5</v>
      </c>
      <c r="DC28" s="57" t="str">
        <f>'PC LIST'!I458</f>
        <v>D5: Earning the trust of customers - % of customers surveyed that say they trust the company</v>
      </c>
      <c r="DD28" s="57" t="str">
        <f>'PC LIST'!O458</f>
        <v>%</v>
      </c>
      <c r="DE28" s="57" t="str">
        <f>'PC LIST'!P458</f>
        <v>% customer satisfaction</v>
      </c>
      <c r="DF28" s="56">
        <f>'PC LIST'!Q458</f>
        <v>0</v>
      </c>
      <c r="DG28" s="56" t="str">
        <f>'PC LIST'!J458</f>
        <v>NFI</v>
      </c>
      <c r="DH28" s="743">
        <f>'PC LIST'!CC458</f>
        <v>84</v>
      </c>
      <c r="DI28" s="56" t="str">
        <f>'PC LIST'!B489</f>
        <v>PR14WSXHHR_A2</v>
      </c>
      <c r="DJ28" s="57" t="str">
        <f>'PC LIST'!I489</f>
        <v>A2: Percentage rating service good/very good</v>
      </c>
      <c r="DK28" s="57" t="str">
        <f>'PC LIST'!O489</f>
        <v>%</v>
      </c>
      <c r="DL28" s="57" t="str">
        <f>'PC LIST'!P489</f>
        <v>% customer satisfaction</v>
      </c>
      <c r="DM28" s="56">
        <f>'PC LIST'!Q489</f>
        <v>0</v>
      </c>
      <c r="DN28" s="56" t="str">
        <f>'PC LIST'!J489</f>
        <v>NFI</v>
      </c>
      <c r="DO28" s="56">
        <f>'PC LIST'!CC489</f>
        <v>95.69</v>
      </c>
      <c r="DP28" s="56" t="str">
        <f>'PC LIST'!B521</f>
        <v>PR14YKYWSWW_SC2</v>
      </c>
      <c r="DQ28" s="57" t="str">
        <f>'PC LIST'!I521</f>
        <v>SC2: Proportion of waste diverted from landfill (re-used and recycled) (note: PC is part of a total commitment at Appointee level - see also WD2 and RC2)</v>
      </c>
      <c r="DR28" s="57" t="str">
        <f>'PC LIST'!O521</f>
        <v>%</v>
      </c>
      <c r="DS28" s="57" t="str">
        <f>'PC LIST'!P521</f>
        <v>% of waste diverted from landfill (re-used and recycled)</v>
      </c>
      <c r="DT28" s="56">
        <f>'PC LIST'!Q521</f>
        <v>0</v>
      </c>
      <c r="DU28" s="56" t="str">
        <f>'PC LIST'!J521</f>
        <v>NFI</v>
      </c>
      <c r="DV28" s="56">
        <f>'PC LIST'!CC521</f>
        <v>99</v>
      </c>
      <c r="DW28" s="56" t="str">
        <f>'PC LIST'!B555</f>
        <v>PR14HDDWSW_W-D2</v>
      </c>
      <c r="DX28" s="57" t="str">
        <f>'PC LIST'!I555</f>
        <v>W-D2: Asset stewardship - environmental compliance</v>
      </c>
      <c r="DY28" s="57" t="str">
        <f>'PC LIST'!O555</f>
        <v>%</v>
      </c>
      <c r="DZ28" s="57" t="str">
        <f>'PC LIST'!P555</f>
        <v>% environmental compliance</v>
      </c>
      <c r="EA28" s="56">
        <f>'PC LIST'!Q555</f>
        <v>0</v>
      </c>
      <c r="EB28" s="56" t="str">
        <f>'PC LIST'!J555</f>
        <v>NFI</v>
      </c>
      <c r="EC28" s="56" t="str">
        <f>'PC LIST'!CC555</f>
        <v>-</v>
      </c>
      <c r="ED28" s="56" t="str">
        <f>'PC LIST'!B601</f>
        <v>PR14SVEWSWW_S-A1</v>
      </c>
      <c r="EE28" s="57" t="str">
        <f>'PC LIST'!I601</f>
        <v>S-A1: Number of internal sewer flooding incidents</v>
      </c>
      <c r="EF28" s="57" t="str">
        <f>'PC LIST'!O601</f>
        <v>nr</v>
      </c>
      <c r="EG28" s="57" t="str">
        <f>'PC LIST'!P601</f>
        <v>No. of internal sewer flooding incidents</v>
      </c>
      <c r="EH28" s="56">
        <f>'PC LIST'!Q601</f>
        <v>0</v>
      </c>
      <c r="EI28" s="56" t="str">
        <f>'PC LIST'!J601</f>
        <v>Out &amp; under</v>
      </c>
      <c r="EJ28" s="56" t="str">
        <f>'PC LIST'!CC601</f>
        <v>-</v>
      </c>
    </row>
    <row r="29" spans="8:140" ht="15.75" customHeight="1">
      <c r="H29" s="56" t="str">
        <f>'PC LIST'!B42</f>
        <v>PR14ANHWSWW_S-D1</v>
      </c>
      <c r="I29" s="57" t="str">
        <f>'PC LIST'!I42</f>
        <v>S-D1: Operational carbon (% reduction from 2015 baseline)</v>
      </c>
      <c r="J29" s="57" t="str">
        <f>'PC LIST'!O42</f>
        <v>%</v>
      </c>
      <c r="K29" s="57" t="str">
        <f>'PC LIST'!P42</f>
        <v>% reduction from 2015 baseline</v>
      </c>
      <c r="L29" s="56">
        <f>'PC LIST'!Q42</f>
        <v>0</v>
      </c>
      <c r="M29" s="56" t="str">
        <f>'PC LIST'!J42</f>
        <v>NFI</v>
      </c>
      <c r="N29" s="743">
        <f>'PC LIST'!CC42</f>
        <v>19.600000000000001</v>
      </c>
      <c r="T29" s="56"/>
      <c r="U29" s="56"/>
      <c r="AC29" s="56" t="str">
        <f>'PC LIST'!B115</f>
        <v>PR14NESWSWW_S-C4</v>
      </c>
      <c r="AD29" s="58" t="str">
        <f>'PC LIST'!I115</f>
        <v>S-C4: Whitburn combined sewer overflow (CSO) scheme</v>
      </c>
      <c r="AE29" s="58" t="str">
        <f>'PC LIST'!O115</f>
        <v>text</v>
      </c>
      <c r="AF29" s="58" t="str">
        <f>'PC LIST'!P115</f>
        <v>Delivery / non-delivery</v>
      </c>
      <c r="AG29" s="56" t="str">
        <f>'PC LIST'!Q115</f>
        <v>na</v>
      </c>
      <c r="AH29" s="56" t="str">
        <f>'PC LIST'!J115</f>
        <v>Under</v>
      </c>
      <c r="AI29" s="56" t="str">
        <f>'PC LIST'!CC115</f>
        <v>Delivered</v>
      </c>
      <c r="AZ29" s="54"/>
      <c r="BA29" s="54"/>
      <c r="BB29" s="54"/>
      <c r="BC29" s="54"/>
      <c r="BD29" s="54"/>
      <c r="BE29" s="56" t="str">
        <f>'PC LIST'!B208</f>
        <v>PR14SEWHHR_B1</v>
      </c>
      <c r="BF29" s="57" t="str">
        <f>'PC LIST'!I208</f>
        <v>B1: Customer satisfaction - taste and odour of water</v>
      </c>
      <c r="BG29" s="57" t="str">
        <f>'PC LIST'!O208</f>
        <v>score</v>
      </c>
      <c r="BH29" s="57" t="str">
        <f>'PC LIST'!P208</f>
        <v>Customer satisfaction score out of 5</v>
      </c>
      <c r="BI29" s="56">
        <f>'PC LIST'!Q208</f>
        <v>1</v>
      </c>
      <c r="BJ29" s="56" t="str">
        <f>'PC LIST'!J208</f>
        <v>Out &amp; under</v>
      </c>
      <c r="BK29" s="56">
        <f>'PC LIST'!CC208</f>
        <v>4.2</v>
      </c>
      <c r="BL29" s="56" t="str">
        <f>'PC LIST'!B242</f>
        <v>PR14SRNHHR_2</v>
      </c>
      <c r="BM29" s="57" t="str">
        <f>'PC LIST'!I242</f>
        <v>2: Dealing with customers’ individual needs</v>
      </c>
      <c r="BN29" s="57" t="str">
        <f>'PC LIST'!O242</f>
        <v>%</v>
      </c>
      <c r="BO29" s="57" t="str">
        <f>'PC LIST'!P242</f>
        <v>% customers agreeing with survey statement</v>
      </c>
      <c r="BP29" s="56">
        <f>'PC LIST'!Q242</f>
        <v>0</v>
      </c>
      <c r="BQ29" s="56" t="str">
        <f>'PC LIST'!J242</f>
        <v>NFI</v>
      </c>
      <c r="BR29" s="56">
        <f>'PC LIST'!CC242</f>
        <v>64</v>
      </c>
      <c r="BZ29" s="56" t="str">
        <f>'PC LIST'!B290</f>
        <v>PR14SVTWSWW_S-A2</v>
      </c>
      <c r="CA29" s="57" t="str">
        <f>'PC LIST'!I290</f>
        <v>S-A2: Number of external sewer flooding incidents</v>
      </c>
      <c r="CB29" s="57" t="str">
        <f>'PC LIST'!O290</f>
        <v>nr</v>
      </c>
      <c r="CC29" s="57" t="str">
        <f>'PC LIST'!P290</f>
        <v>No. of external sewer flooding incidents</v>
      </c>
      <c r="CD29" s="56">
        <f>'PC LIST'!Q290</f>
        <v>0</v>
      </c>
      <c r="CE29" s="56" t="str">
        <f>'PC LIST'!J290</f>
        <v>Out &amp; under</v>
      </c>
      <c r="CF29" s="744">
        <f>'PC LIST'!CC290</f>
        <v>3763</v>
      </c>
      <c r="CG29" s="56" t="str">
        <f>'PC LIST'!B335</f>
        <v>PR14SWTWSWW_S-A6</v>
      </c>
      <c r="CH29" s="59" t="str">
        <f>'PC LIST'!I335</f>
        <v>S-A6: Compliance with sludge standard (%)</v>
      </c>
      <c r="CI29" s="59" t="str">
        <f>'PC LIST'!O335</f>
        <v>%</v>
      </c>
      <c r="CJ29" s="59" t="str">
        <f>'PC LIST'!P335</f>
        <v>% satisfactory sludge disposal compliance</v>
      </c>
      <c r="CK29" s="56">
        <f>'PC LIST'!Q335</f>
        <v>2</v>
      </c>
      <c r="CL29" s="56" t="str">
        <f>'PC LIST'!J335</f>
        <v>NFI</v>
      </c>
      <c r="CM29" s="743">
        <f>'PC LIST'!CC335</f>
        <v>100</v>
      </c>
      <c r="CN29" s="56" t="str">
        <f>'PC LIST'!B377</f>
        <v>PR14TMSWSWW_SB5</v>
      </c>
      <c r="CO29" s="57" t="str">
        <f>'PC LIST'!I377</f>
        <v>SB5: Contributing area disconnected from combined sewers by retrofitting sustainable drainage</v>
      </c>
      <c r="CP29" s="57" t="str">
        <f>'PC LIST'!O377</f>
        <v>nr</v>
      </c>
      <c r="CQ29" s="57" t="str">
        <f>'PC LIST'!P377</f>
        <v>No. of hectares (cumulative)</v>
      </c>
      <c r="CR29" s="56">
        <f>'PC LIST'!Q377</f>
        <v>0</v>
      </c>
      <c r="CS29" s="56" t="str">
        <f>'PC LIST'!J377</f>
        <v>Out &amp; under</v>
      </c>
      <c r="CT29" s="56">
        <f>'PC LIST'!CC377</f>
        <v>0</v>
      </c>
      <c r="CU29" s="56" t="str">
        <f>'PC LIST'!B432</f>
        <v>PR14UUHHR_B2</v>
      </c>
      <c r="CV29" s="57" t="str">
        <f>'PC LIST'!I432</f>
        <v>B2: Per household consumption</v>
      </c>
      <c r="CW29" s="57" t="str">
        <f>'PC LIST'!O432</f>
        <v>nr</v>
      </c>
      <c r="CX29" s="57" t="str">
        <f>'PC LIST'!P432</f>
        <v>Litres per household per day (l/hh/d)</v>
      </c>
      <c r="CY29" s="56">
        <f>'PC LIST'!Q432</f>
        <v>0</v>
      </c>
      <c r="CZ29" s="56" t="str">
        <f>'PC LIST'!J432</f>
        <v>NFI</v>
      </c>
      <c r="DA29" s="56">
        <f>'PC LIST'!CC432</f>
        <v>311</v>
      </c>
      <c r="DB29" s="56" t="str">
        <f>'PC LIST'!B459</f>
        <v>PR14WSHNHHR_E1</v>
      </c>
      <c r="DC29" s="57" t="str">
        <f>'PC LIST'!I459</f>
        <v>E1: Affordable bills - annual increase</v>
      </c>
      <c r="DD29" s="57" t="str">
        <f>'PC LIST'!O459</f>
        <v>%</v>
      </c>
      <c r="DE29" s="57" t="str">
        <f>'PC LIST'!P459</f>
        <v>% above or below inflation (affordability of bills)</v>
      </c>
      <c r="DF29" s="56">
        <f>'PC LIST'!Q459</f>
        <v>0</v>
      </c>
      <c r="DG29" s="56" t="str">
        <f>'PC LIST'!J459</f>
        <v>NFI</v>
      </c>
      <c r="DH29" s="743">
        <f>'PC LIST'!CC459</f>
        <v>-1</v>
      </c>
      <c r="DI29" s="56" t="str">
        <f>'PC LIST'!B490</f>
        <v>PR14WSXHHR_A3</v>
      </c>
      <c r="DJ29" s="57" t="str">
        <f>'PC LIST'!I490</f>
        <v>A3: Percentage rating good value for money</v>
      </c>
      <c r="DK29" s="57" t="str">
        <f>'PC LIST'!O490</f>
        <v>%</v>
      </c>
      <c r="DL29" s="57" t="str">
        <f>'PC LIST'!P490</f>
        <v>% customer satisfaction</v>
      </c>
      <c r="DM29" s="56">
        <f>'PC LIST'!Q490</f>
        <v>0</v>
      </c>
      <c r="DN29" s="56" t="str">
        <f>'PC LIST'!J490</f>
        <v>NFI</v>
      </c>
      <c r="DO29" s="56">
        <f>'PC LIST'!CC490</f>
        <v>70</v>
      </c>
      <c r="DP29" s="56" t="str">
        <f>'PC LIST'!B522</f>
        <v>PR14YKYHHR_RA1</v>
      </c>
      <c r="DQ29" s="57" t="str">
        <f>'PC LIST'!I522</f>
        <v>RA1: Service incentive mechanism (SIM)</v>
      </c>
      <c r="DR29" s="57" t="str">
        <f>'PC LIST'!O522</f>
        <v>score</v>
      </c>
      <c r="DS29" s="57" t="str">
        <f>'PC LIST'!P522</f>
        <v>Service incentive mechanism (SIM) score</v>
      </c>
      <c r="DT29" s="56">
        <f>'PC LIST'!Q522</f>
        <v>1</v>
      </c>
      <c r="DU29" s="56" t="str">
        <f>'PC LIST'!J522</f>
        <v>Out &amp; under</v>
      </c>
      <c r="DV29" s="56">
        <f>'PC LIST'!CC522</f>
        <v>84.27</v>
      </c>
      <c r="DW29" s="56" t="str">
        <f>'PC LIST'!B556</f>
        <v>PR14HDDWSW_W-E1</v>
      </c>
      <c r="DX29" s="57" t="str">
        <f>'PC LIST'!I556</f>
        <v>W-E1: Size of our carbon footprint</v>
      </c>
      <c r="DY29" s="57" t="str">
        <f>'PC LIST'!O556</f>
        <v>nr</v>
      </c>
      <c r="DZ29" s="57" t="str">
        <f>'PC LIST'!P556</f>
        <v>ktCO2e</v>
      </c>
      <c r="EA29" s="56">
        <f>'PC LIST'!Q556</f>
        <v>3</v>
      </c>
      <c r="EB29" s="56" t="str">
        <f>'PC LIST'!J556</f>
        <v>Out &amp; under</v>
      </c>
      <c r="EC29" s="56" t="str">
        <f>'PC LIST'!CC556</f>
        <v>-</v>
      </c>
      <c r="ED29" s="56" t="str">
        <f>'PC LIST'!B602</f>
        <v>PR14SVEWSWW_S-A2</v>
      </c>
      <c r="EE29" s="57" t="str">
        <f>'PC LIST'!I602</f>
        <v>S-A2: Number of external sewer flooding incidents</v>
      </c>
      <c r="EF29" s="57" t="str">
        <f>'PC LIST'!O602</f>
        <v>nr</v>
      </c>
      <c r="EG29" s="57" t="str">
        <f>'PC LIST'!P602</f>
        <v>No. of external sewer flooding incidents</v>
      </c>
      <c r="EH29" s="56">
        <f>'PC LIST'!Q602</f>
        <v>0</v>
      </c>
      <c r="EI29" s="56" t="str">
        <f>'PC LIST'!J602</f>
        <v>Out &amp; under</v>
      </c>
      <c r="EJ29" s="56" t="str">
        <f>'PC LIST'!CC602</f>
        <v>-</v>
      </c>
    </row>
    <row r="30" spans="8:140" ht="15.75" customHeight="1">
      <c r="H30" s="56" t="str">
        <f>'PC LIST'!B43</f>
        <v>PR14ANHWSWW_S-D2</v>
      </c>
      <c r="I30" s="57" t="str">
        <f>'PC LIST'!I43</f>
        <v>S-D2: Embodied carbon (% reduction from 2010 baseline)</v>
      </c>
      <c r="J30" s="57" t="str">
        <f>'PC LIST'!O43</f>
        <v>%</v>
      </c>
      <c r="K30" s="57" t="str">
        <f>'PC LIST'!P43</f>
        <v>% reduction from 2010 baseline</v>
      </c>
      <c r="L30" s="56">
        <f>'PC LIST'!Q43</f>
        <v>0</v>
      </c>
      <c r="M30" s="56" t="str">
        <f>'PC LIST'!J43</f>
        <v>NFI</v>
      </c>
      <c r="N30" s="743">
        <f>'PC LIST'!CC43</f>
        <v>57</v>
      </c>
      <c r="T30" s="56"/>
      <c r="U30" s="56"/>
      <c r="AC30" s="56" t="str">
        <f>'PC LIST'!B116</f>
        <v>PR14NESWSWW_S-D1</v>
      </c>
      <c r="AD30" s="58" t="str">
        <f>'PC LIST'!I116</f>
        <v>S-D1: NWL independent overall customer satisfaction score</v>
      </c>
      <c r="AE30" s="58" t="str">
        <f>'PC LIST'!O116</f>
        <v>score</v>
      </c>
      <c r="AF30" s="58" t="str">
        <f>'PC LIST'!P116</f>
        <v>Customer satisfaction score out of 10</v>
      </c>
      <c r="AG30" s="56">
        <f>'PC LIST'!Q116</f>
        <v>1</v>
      </c>
      <c r="AH30" s="56" t="str">
        <f>'PC LIST'!J116</f>
        <v>NFI</v>
      </c>
      <c r="AI30" s="56">
        <f>'PC LIST'!CC116</f>
        <v>8.6999999999999993</v>
      </c>
      <c r="AZ30" s="54"/>
      <c r="BA30" s="54"/>
      <c r="BB30" s="54"/>
      <c r="BC30" s="54"/>
      <c r="BD30" s="54"/>
      <c r="BE30" s="56" t="str">
        <f>'PC LIST'!B209</f>
        <v>PR14SEWHHR_C1</v>
      </c>
      <c r="BF30" s="57" t="str">
        <f>'PC LIST'!I209</f>
        <v>C1: Customer satisfaction - level of leakage</v>
      </c>
      <c r="BG30" s="57" t="str">
        <f>'PC LIST'!O209</f>
        <v>score</v>
      </c>
      <c r="BH30" s="57" t="str">
        <f>'PC LIST'!P209</f>
        <v>Customer satisfaction score out of 5</v>
      </c>
      <c r="BI30" s="56">
        <f>'PC LIST'!Q209</f>
        <v>1</v>
      </c>
      <c r="BJ30" s="56" t="str">
        <f>'PC LIST'!J209</f>
        <v>Out &amp; under</v>
      </c>
      <c r="BK30" s="56">
        <f>'PC LIST'!CC209</f>
        <v>3.8</v>
      </c>
      <c r="BL30" s="56" t="str">
        <f>'PC LIST'!B243</f>
        <v>PR14SRNHHR_3</v>
      </c>
      <c r="BM30" s="57" t="str">
        <f>'PC LIST'!I243</f>
        <v>3: Awareness of water hardness measures</v>
      </c>
      <c r="BN30" s="57" t="str">
        <f>'PC LIST'!O243</f>
        <v>%</v>
      </c>
      <c r="BO30" s="57" t="str">
        <f>'PC LIST'!P243</f>
        <v>% customers aware of water hardness measures</v>
      </c>
      <c r="BP30" s="56">
        <f>'PC LIST'!Q243</f>
        <v>0</v>
      </c>
      <c r="BQ30" s="56" t="str">
        <f>'PC LIST'!J243</f>
        <v>NFI</v>
      </c>
      <c r="BR30" s="56">
        <f>'PC LIST'!CC243</f>
        <v>55</v>
      </c>
      <c r="BZ30" s="56" t="str">
        <f>'PC LIST'!B291</f>
        <v>PR14SVTWSWW_S-A3</v>
      </c>
      <c r="CA30" s="57" t="str">
        <f>'PC LIST'!I291</f>
        <v>S-A3: Partnership working</v>
      </c>
      <c r="CB30" s="57" t="str">
        <f>'PC LIST'!O291</f>
        <v>nr</v>
      </c>
      <c r="CC30" s="57" t="str">
        <f>'PC LIST'!P291</f>
        <v>No. of partnership working projects</v>
      </c>
      <c r="CD30" s="56">
        <f>'PC LIST'!Q291</f>
        <v>0</v>
      </c>
      <c r="CE30" s="56" t="str">
        <f>'PC LIST'!J291</f>
        <v>Out &amp; under</v>
      </c>
      <c r="CF30" s="744">
        <f>'PC LIST'!CC291</f>
        <v>8</v>
      </c>
      <c r="CG30" s="56" t="str">
        <f>'PC LIST'!B336</f>
        <v>PR14SWTWSWW_S-B1</v>
      </c>
      <c r="CH30" s="59" t="str">
        <f>'PC LIST'!I336</f>
        <v>S-B1: Operational customer contacts resolved first time (%)</v>
      </c>
      <c r="CI30" s="59" t="str">
        <f>'PC LIST'!O336</f>
        <v>%</v>
      </c>
      <c r="CJ30" s="59" t="str">
        <f>'PC LIST'!P336</f>
        <v>% customer contacts resolved 1st time</v>
      </c>
      <c r="CK30" s="56">
        <f>'PC LIST'!Q336</f>
        <v>1</v>
      </c>
      <c r="CL30" s="56" t="str">
        <f>'PC LIST'!J336</f>
        <v>Out &amp; under</v>
      </c>
      <c r="CM30" s="743">
        <f>'PC LIST'!CC336</f>
        <v>91.6</v>
      </c>
      <c r="CN30" s="56" t="str">
        <f>'PC LIST'!B378</f>
        <v>PR14TMSWSWW_SB6</v>
      </c>
      <c r="CO30" s="57" t="str">
        <f>'PC LIST'!I378</f>
        <v>SB6: Compliance with SEMD advice notes (with or without derogation)</v>
      </c>
      <c r="CP30" s="57" t="str">
        <f>'PC LIST'!O378</f>
        <v>%</v>
      </c>
      <c r="CQ30" s="57" t="str">
        <f>'PC LIST'!P378</f>
        <v>% compliance with SEMD advice notes</v>
      </c>
      <c r="CR30" s="56">
        <f>'PC LIST'!Q378</f>
        <v>0</v>
      </c>
      <c r="CS30" s="56" t="str">
        <f>'PC LIST'!J378</f>
        <v>Under</v>
      </c>
      <c r="CT30" s="56">
        <f>'PC LIST'!CC378</f>
        <v>26</v>
      </c>
      <c r="CU30" s="56"/>
      <c r="CV30" s="57"/>
      <c r="CW30" s="57"/>
      <c r="CX30" s="57"/>
      <c r="DB30" s="56" t="str">
        <f>'PC LIST'!B460</f>
        <v>PR14WSHHHR_D1</v>
      </c>
      <c r="DC30" s="57" t="str">
        <f>'PC LIST'!I460</f>
        <v>D1: Service incentive mechanism (SIM)</v>
      </c>
      <c r="DD30" s="57" t="str">
        <f>'PC LIST'!O460</f>
        <v>text</v>
      </c>
      <c r="DE30" s="57" t="str">
        <f>'PC LIST'!P460</f>
        <v>Service incentive mechanism (SIM) score ranking</v>
      </c>
      <c r="DF30" s="56" t="str">
        <f>'PC LIST'!Q460</f>
        <v>na</v>
      </c>
      <c r="DG30" s="56" t="str">
        <f>'PC LIST'!J460</f>
        <v>Out &amp; under</v>
      </c>
      <c r="DH30" s="743">
        <f>'PC LIST'!CC460</f>
        <v>84.64</v>
      </c>
      <c r="DI30" s="56" t="str">
        <f>'PC LIST'!B491</f>
        <v>PR14WSXHHR_A4</v>
      </c>
      <c r="DJ30" s="57" t="str">
        <f>'PC LIST'!I491</f>
        <v>A4: Percentage rating ease of resolution</v>
      </c>
      <c r="DK30" s="57" t="str">
        <f>'PC LIST'!O491</f>
        <v>%</v>
      </c>
      <c r="DL30" s="57" t="str">
        <f>'PC LIST'!P491</f>
        <v>% customer satisfaction</v>
      </c>
      <c r="DM30" s="56">
        <f>'PC LIST'!Q491</f>
        <v>0</v>
      </c>
      <c r="DN30" s="56" t="str">
        <f>'PC LIST'!J491</f>
        <v>NFI</v>
      </c>
      <c r="DO30" s="56">
        <f>'PC LIST'!CC491</f>
        <v>93.1</v>
      </c>
      <c r="DP30" s="56" t="str">
        <f>'PC LIST'!B523</f>
        <v>PR14YKYHHR_RA2</v>
      </c>
      <c r="DQ30" s="57" t="str">
        <f>'PC LIST'!I523</f>
        <v>RA2: Service commitment failures</v>
      </c>
      <c r="DR30" s="57" t="str">
        <f>'PC LIST'!O523</f>
        <v>nr</v>
      </c>
      <c r="DS30" s="57" t="str">
        <f>'PC LIST'!P523</f>
        <v>No. of GSS (Guaranteed Standards of Service) events</v>
      </c>
      <c r="DT30" s="56">
        <f>'PC LIST'!Q523</f>
        <v>0</v>
      </c>
      <c r="DU30" s="56" t="str">
        <f>'PC LIST'!J523</f>
        <v>NFI</v>
      </c>
      <c r="DV30" s="56">
        <f>'PC LIST'!CC523</f>
        <v>12203</v>
      </c>
      <c r="DW30" s="56" t="str">
        <f>'PC LIST'!B557</f>
        <v>PR14HDDWSW_W-F1</v>
      </c>
      <c r="DX30" s="57" t="str">
        <f>'PC LIST'!I557</f>
        <v>W-F1: Improved understanding of our services through education</v>
      </c>
      <c r="DY30" s="57" t="str">
        <f>'PC LIST'!O557</f>
        <v>nr</v>
      </c>
      <c r="DZ30" s="57" t="str">
        <f>'PC LIST'!P557</f>
        <v>No. of people - education programme</v>
      </c>
      <c r="EA30" s="56">
        <f>'PC LIST'!Q557</f>
        <v>0</v>
      </c>
      <c r="EB30" s="56" t="str">
        <f>'PC LIST'!J557</f>
        <v>NFI</v>
      </c>
      <c r="EC30" s="56" t="str">
        <f>'PC LIST'!CC557</f>
        <v>-</v>
      </c>
      <c r="ED30" s="56" t="str">
        <f>'PC LIST'!B603</f>
        <v>PR14SVEWSWW_S-A3</v>
      </c>
      <c r="EE30" s="57" t="str">
        <f>'PC LIST'!I603</f>
        <v>S-A3: Partnership working</v>
      </c>
      <c r="EF30" s="57" t="str">
        <f>'PC LIST'!O603</f>
        <v>nr</v>
      </c>
      <c r="EG30" s="57" t="str">
        <f>'PC LIST'!P603</f>
        <v>No. of partnership working projects</v>
      </c>
      <c r="EH30" s="56">
        <f>'PC LIST'!Q603</f>
        <v>0</v>
      </c>
      <c r="EI30" s="56" t="str">
        <f>'PC LIST'!J603</f>
        <v>Out &amp; under</v>
      </c>
      <c r="EJ30" s="56" t="str">
        <f>'PC LIST'!CC603</f>
        <v>-</v>
      </c>
    </row>
    <row r="31" spans="8:140" ht="15.75" customHeight="1">
      <c r="H31" s="56" t="str">
        <f>'PC LIST'!B44</f>
        <v>PR14ANHWSWW_S-E1</v>
      </c>
      <c r="I31" s="57" t="str">
        <f>'PC LIST'!I44</f>
        <v>S-E1: Survey of community perception</v>
      </c>
      <c r="J31" s="57" t="str">
        <f>'PC LIST'!O44</f>
        <v>%</v>
      </c>
      <c r="K31" s="57" t="str">
        <f>'PC LIST'!P44</f>
        <v>% customer satisfaction</v>
      </c>
      <c r="L31" s="56" t="str">
        <f>'PC LIST'!Q44</f>
        <v>na</v>
      </c>
      <c r="M31" s="56" t="str">
        <f>'PC LIST'!J44</f>
        <v>NFI</v>
      </c>
      <c r="N31" s="743">
        <f>'PC LIST'!CC44</f>
        <v>55</v>
      </c>
      <c r="T31" s="56"/>
      <c r="U31" s="56"/>
      <c r="AC31" s="56" t="str">
        <f>'PC LIST'!B117</f>
        <v>PR14NESWSWW_S-D2</v>
      </c>
      <c r="AD31" s="58" t="str">
        <f>'PC LIST'!I117</f>
        <v>S-D2: Service incentive mechanism (SIM)</v>
      </c>
      <c r="AE31" s="58" t="str">
        <f>'PC LIST'!O117</f>
        <v>score</v>
      </c>
      <c r="AF31" s="58" t="str">
        <f>'PC LIST'!P117</f>
        <v>Service incentive mechanism (SIM) score</v>
      </c>
      <c r="AG31" s="56">
        <f>'PC LIST'!Q117</f>
        <v>1</v>
      </c>
      <c r="AH31" s="56" t="str">
        <f>'PC LIST'!J117</f>
        <v>Out &amp; under</v>
      </c>
      <c r="AI31" s="56">
        <f>'PC LIST'!CC117</f>
        <v>86.39</v>
      </c>
      <c r="BE31" s="56" t="str">
        <f>'PC LIST'!B210</f>
        <v>PR14SEWHHR_D1</v>
      </c>
      <c r="BF31" s="57" t="str">
        <f>'PC LIST'!I210</f>
        <v>D1: Customer satisfaction - direct interaction experience</v>
      </c>
      <c r="BG31" s="57" t="str">
        <f>'PC LIST'!O210</f>
        <v>score</v>
      </c>
      <c r="BH31" s="57" t="str">
        <f>'PC LIST'!P210</f>
        <v>Customer satisfaction score out of 5</v>
      </c>
      <c r="BI31" s="56">
        <f>'PC LIST'!Q210</f>
        <v>1</v>
      </c>
      <c r="BJ31" s="56" t="str">
        <f>'PC LIST'!J210</f>
        <v>Out &amp; under</v>
      </c>
      <c r="BK31" s="56">
        <f>'PC LIST'!CC210</f>
        <v>4.3</v>
      </c>
      <c r="BL31" s="56" t="str">
        <f>'PC LIST'!B244</f>
        <v>PR14SRNHHR_4</v>
      </c>
      <c r="BM31" s="57" t="str">
        <f>'PC LIST'!I244</f>
        <v>4: Where your money goes</v>
      </c>
      <c r="BN31" s="57" t="str">
        <f>'PC LIST'!O244</f>
        <v>%</v>
      </c>
      <c r="BO31" s="57" t="str">
        <f>'PC LIST'!P244</f>
        <v>% customers aware of where money goes</v>
      </c>
      <c r="BP31" s="56">
        <f>'PC LIST'!Q244</f>
        <v>0</v>
      </c>
      <c r="BQ31" s="56" t="str">
        <f>'PC LIST'!J244</f>
        <v>NFI</v>
      </c>
      <c r="BR31" s="56">
        <f>'PC LIST'!CC244</f>
        <v>55.6</v>
      </c>
      <c r="BZ31" s="56" t="str">
        <f>'PC LIST'!B292</f>
        <v>PR14SVTWSWW_S-A4</v>
      </c>
      <c r="CA31" s="57" t="str">
        <f>'PC LIST'!I292</f>
        <v>S-A4: Asset stewardship - blockages</v>
      </c>
      <c r="CB31" s="57" t="str">
        <f>'PC LIST'!O292</f>
        <v>nr</v>
      </c>
      <c r="CC31" s="57" t="str">
        <f>'PC LIST'!P292</f>
        <v>No. of sewer blockages per year</v>
      </c>
      <c r="CD31" s="56">
        <f>'PC LIST'!Q292</f>
        <v>0</v>
      </c>
      <c r="CE31" s="56" t="str">
        <f>'PC LIST'!J292</f>
        <v>Under</v>
      </c>
      <c r="CF31" s="744">
        <f>'PC LIST'!CC292</f>
        <v>45401</v>
      </c>
      <c r="CG31" s="56" t="str">
        <f>'PC LIST'!B337</f>
        <v>PR14SWTWSWW_S-C1</v>
      </c>
      <c r="CH31" s="59" t="str">
        <f>'PC LIST'!I337</f>
        <v>S-C1: Wastewater treatment numeric compliance (%)</v>
      </c>
      <c r="CI31" s="59" t="str">
        <f>'PC LIST'!O337</f>
        <v>%</v>
      </c>
      <c r="CJ31" s="59" t="str">
        <f>'PC LIST'!P337</f>
        <v>% wastewater treatment numeric compliance</v>
      </c>
      <c r="CK31" s="56">
        <f>'PC LIST'!Q337</f>
        <v>1</v>
      </c>
      <c r="CL31" s="56" t="str">
        <f>'PC LIST'!J337</f>
        <v>Under</v>
      </c>
      <c r="CM31" s="743">
        <f>'PC LIST'!CC337</f>
        <v>97.1</v>
      </c>
      <c r="CN31" s="56" t="str">
        <f>'PC LIST'!B379</f>
        <v>PR14TMSWSWW_SB7</v>
      </c>
      <c r="CO31" s="57" t="str">
        <f>'PC LIST'!I379</f>
        <v>SB7: Population equivalent of sites made resilient to future extreme rainfall events</v>
      </c>
      <c r="CP31" s="57" t="str">
        <f>'PC LIST'!O379</f>
        <v>nr</v>
      </c>
      <c r="CQ31" s="57" t="str">
        <f>'PC LIST'!P379</f>
        <v>Population equivalent (cumulative)</v>
      </c>
      <c r="CR31" s="56">
        <f>'PC LIST'!Q379</f>
        <v>0</v>
      </c>
      <c r="CS31" s="56" t="str">
        <f>'PC LIST'!J379</f>
        <v>Under</v>
      </c>
      <c r="CT31" s="56">
        <f>'PC LIST'!CC379</f>
        <v>537700</v>
      </c>
      <c r="CW31" s="54"/>
      <c r="CX31" s="54"/>
      <c r="CY31" s="54"/>
      <c r="CZ31" s="54"/>
      <c r="DA31" s="54"/>
      <c r="DB31" s="56" t="str">
        <f>'PC LIST'!B461</f>
        <v>PR14WSHHHR_D5</v>
      </c>
      <c r="DC31" s="57" t="str">
        <f>'PC LIST'!I461</f>
        <v>D5: Earning the trust of customers - % of customers surveyed that say they trust the company</v>
      </c>
      <c r="DD31" s="57" t="str">
        <f>'PC LIST'!O461</f>
        <v>%</v>
      </c>
      <c r="DE31" s="57" t="str">
        <f>'PC LIST'!P461</f>
        <v>% customer satisfaction</v>
      </c>
      <c r="DF31" s="56">
        <f>'PC LIST'!Q461</f>
        <v>0</v>
      </c>
      <c r="DG31" s="56" t="str">
        <f>'PC LIST'!J461</f>
        <v>NFI</v>
      </c>
      <c r="DH31" s="743">
        <f>'PC LIST'!CC461</f>
        <v>84</v>
      </c>
      <c r="DI31" s="56" t="str">
        <f>'PC LIST'!B492</f>
        <v>PR14WSXHHR_A5</v>
      </c>
      <c r="DJ31" s="57" t="str">
        <f>'PC LIST'!I492</f>
        <v>A5: Accessible communications</v>
      </c>
      <c r="DK31" s="57" t="str">
        <f>'PC LIST'!O492</f>
        <v>text</v>
      </c>
      <c r="DL31" s="57" t="str">
        <f>'PC LIST'!P492</f>
        <v>Meet best practice</v>
      </c>
      <c r="DM31" s="56" t="str">
        <f>'PC LIST'!Q492</f>
        <v>na</v>
      </c>
      <c r="DN31" s="56" t="str">
        <f>'PC LIST'!J492</f>
        <v>NFI</v>
      </c>
      <c r="DO31" s="56" t="str">
        <f>'PC LIST'!CC492</f>
        <v>Achieved</v>
      </c>
      <c r="DP31" s="56" t="str">
        <f>'PC LIST'!B524</f>
        <v>PR14YKYHHR_RA3</v>
      </c>
      <c r="DQ31" s="57" t="str">
        <f>'PC LIST'!I524</f>
        <v>RA3: Overall customer satisfaction (CCWater annual tracking survey)</v>
      </c>
      <c r="DR31" s="57" t="str">
        <f>'PC LIST'!O524</f>
        <v>%</v>
      </c>
      <c r="DS31" s="57" t="str">
        <f>'PC LIST'!P524</f>
        <v>% overall customer satisfaction (CCWater tracking survey)</v>
      </c>
      <c r="DT31" s="56">
        <f>'PC LIST'!Q524</f>
        <v>0</v>
      </c>
      <c r="DU31" s="56" t="str">
        <f>'PC LIST'!J524</f>
        <v>NFI</v>
      </c>
      <c r="DV31" s="56" t="str">
        <f>'PC LIST'!CC524</f>
        <v>94% (water), 89% (wastewater)</v>
      </c>
      <c r="DW31" s="56" t="str">
        <f>'PC LIST'!B558</f>
        <v>PR14HDDWSWW_S-A1</v>
      </c>
      <c r="DX31" s="57" t="str">
        <f>'PC LIST'!I558</f>
        <v>S-A1: Number of internal sewer flooding incidents</v>
      </c>
      <c r="DY31" s="57" t="str">
        <f>'PC LIST'!O558</f>
        <v>nr</v>
      </c>
      <c r="DZ31" s="57" t="str">
        <f>'PC LIST'!P558</f>
        <v>No. of internal sewer flooding incidents</v>
      </c>
      <c r="EA31" s="56">
        <f>'PC LIST'!Q558</f>
        <v>0</v>
      </c>
      <c r="EB31" s="56" t="str">
        <f>'PC LIST'!J558</f>
        <v>Out &amp; under</v>
      </c>
      <c r="EC31" s="56" t="str">
        <f>'PC LIST'!CC558</f>
        <v>-</v>
      </c>
      <c r="ED31" s="56" t="str">
        <f>'PC LIST'!B604</f>
        <v>PR14SVEWSWW_S-A4</v>
      </c>
      <c r="EE31" s="57" t="str">
        <f>'PC LIST'!I604</f>
        <v>S-A4: Asset stewardship - blockages</v>
      </c>
      <c r="EF31" s="57" t="str">
        <f>'PC LIST'!O604</f>
        <v>nr</v>
      </c>
      <c r="EG31" s="57" t="str">
        <f>'PC LIST'!P604</f>
        <v>No. of sewer blockages per year</v>
      </c>
      <c r="EH31" s="56">
        <f>'PC LIST'!Q604</f>
        <v>0</v>
      </c>
      <c r="EI31" s="56" t="str">
        <f>'PC LIST'!J604</f>
        <v>Under</v>
      </c>
      <c r="EJ31" s="56" t="str">
        <f>'PC LIST'!CC604</f>
        <v>-</v>
      </c>
    </row>
    <row r="32" spans="8:140" ht="15.75" customHeight="1">
      <c r="H32" s="56" t="str">
        <f>'PC LIST'!B45</f>
        <v>PR14ANHWSWW_S-F1</v>
      </c>
      <c r="I32" s="57" t="str">
        <f>'PC LIST'!I45</f>
        <v>S-F1: Sewerage infrastructure</v>
      </c>
      <c r="J32" s="57" t="str">
        <f>'PC LIST'!O45</f>
        <v>category</v>
      </c>
      <c r="K32" s="57" t="str">
        <f>'PC LIST'!P45</f>
        <v>Asset health indicator (RAG)</v>
      </c>
      <c r="L32" s="56" t="str">
        <f>'PC LIST'!Q45</f>
        <v>na</v>
      </c>
      <c r="M32" s="56" t="str">
        <f>'PC LIST'!J45</f>
        <v>Under</v>
      </c>
      <c r="N32" s="743" t="str">
        <f>'PC LIST'!CC45</f>
        <v>Green</v>
      </c>
      <c r="T32" s="56"/>
      <c r="U32" s="56"/>
      <c r="AC32" s="56" t="str">
        <f>'PC LIST'!B118</f>
        <v>PR14NESWSWW_S-D3</v>
      </c>
      <c r="AD32" s="58" t="str">
        <f>'PC LIST'!I118</f>
        <v>S-D3: Domestic customer satisfaction, net promoter score</v>
      </c>
      <c r="AE32" s="58" t="str">
        <f>'PC LIST'!O118</f>
        <v>%</v>
      </c>
      <c r="AF32" s="58" t="str">
        <f>'PC LIST'!P118</f>
        <v>% customer satisfaction</v>
      </c>
      <c r="AG32" s="56">
        <f>'PC LIST'!Q118</f>
        <v>0</v>
      </c>
      <c r="AH32" s="56" t="str">
        <f>'PC LIST'!J118</f>
        <v>NFI</v>
      </c>
      <c r="AI32" s="56">
        <f>'PC LIST'!CC118</f>
        <v>44</v>
      </c>
      <c r="BE32" s="56" t="str">
        <f>'PC LIST'!B211</f>
        <v>PR14SEWHHR_D2</v>
      </c>
      <c r="BF32" s="57" t="str">
        <f>'PC LIST'!I211</f>
        <v>D2: Service Incentive Mechanism (SIM)</v>
      </c>
      <c r="BG32" s="57" t="str">
        <f>'PC LIST'!O211</f>
        <v>score</v>
      </c>
      <c r="BH32" s="57" t="str">
        <f>'PC LIST'!P211</f>
        <v>Service incentive mechanism (SIM) score</v>
      </c>
      <c r="BI32" s="56">
        <f>'PC LIST'!Q211</f>
        <v>1</v>
      </c>
      <c r="BJ32" s="56" t="str">
        <f>'PC LIST'!J211</f>
        <v>Out &amp; under</v>
      </c>
      <c r="BK32" s="56">
        <f>'PC LIST'!CC211</f>
        <v>85.6</v>
      </c>
      <c r="BL32" s="56" t="str">
        <f>'PC LIST'!B245</f>
        <v>PR14SRNHHR_5</v>
      </c>
      <c r="BM32" s="57" t="str">
        <f>'PC LIST'!I245</f>
        <v>5: Billing queries</v>
      </c>
      <c r="BN32" s="57" t="str">
        <f>'PC LIST'!O245</f>
        <v>nr</v>
      </c>
      <c r="BO32" s="57" t="str">
        <f>'PC LIST'!P245</f>
        <v>No. of billing queries</v>
      </c>
      <c r="BP32" s="56">
        <f>'PC LIST'!Q245</f>
        <v>0</v>
      </c>
      <c r="BQ32" s="56" t="str">
        <f>'PC LIST'!J245</f>
        <v>NFI</v>
      </c>
      <c r="BR32" s="56">
        <f>'PC LIST'!CC245</f>
        <v>181361</v>
      </c>
      <c r="BZ32" s="56" t="str">
        <f>'PC LIST'!B293</f>
        <v>PR14SVTWSWW_S-A5</v>
      </c>
      <c r="CA32" s="57" t="str">
        <f>'PC LIST'!I293</f>
        <v>S-A5: Statutory obligations (Section 101A schemes)</v>
      </c>
      <c r="CB32" s="57" t="str">
        <f>'PC LIST'!O293</f>
        <v>nr</v>
      </c>
      <c r="CC32" s="57" t="str">
        <f>'PC LIST'!P293</f>
        <v>No. of connectable properties, identified as polluting or likely to pollute, associated with new Section 101A schemes</v>
      </c>
      <c r="CD32" s="56">
        <f>'PC LIST'!Q293</f>
        <v>0</v>
      </c>
      <c r="CE32" s="56" t="str">
        <f>'PC LIST'!J293</f>
        <v>NFI</v>
      </c>
      <c r="CF32" s="744">
        <f>'PC LIST'!CC293</f>
        <v>32</v>
      </c>
      <c r="CG32" s="56" t="str">
        <f>'PC LIST'!B338</f>
        <v>PR14SWTWSWW_S-C2</v>
      </c>
      <c r="CH32" s="59" t="str">
        <f>'PC LIST'!I338</f>
        <v>S-C2: Wastewater population equivalent sanitary compliance (%)</v>
      </c>
      <c r="CI32" s="59" t="str">
        <f>'PC LIST'!O338</f>
        <v>%</v>
      </c>
      <c r="CJ32" s="59" t="str">
        <f>'PC LIST'!P338</f>
        <v>% wastewater p.e. sanitary compliance</v>
      </c>
      <c r="CK32" s="56">
        <f>'PC LIST'!Q338</f>
        <v>1</v>
      </c>
      <c r="CL32" s="56" t="str">
        <f>'PC LIST'!J338</f>
        <v>NFI</v>
      </c>
      <c r="CM32" s="743">
        <f>'PC LIST'!CC338</f>
        <v>99.9</v>
      </c>
      <c r="CN32" s="56" t="str">
        <f>'PC LIST'!B380</f>
        <v>PR14TMSWSWW_SB8</v>
      </c>
      <c r="CO32" s="57" t="str">
        <f>'PC LIST'!I380</f>
        <v>SB8: Lee Tunnel including Shaft G</v>
      </c>
      <c r="CP32" s="57" t="str">
        <f>'PC LIST'!O380</f>
        <v>text</v>
      </c>
      <c r="CQ32" s="57" t="str">
        <f>'PC LIST'!P380</f>
        <v>Scheme delivery</v>
      </c>
      <c r="CR32" s="56" t="str">
        <f>'PC LIST'!Q380</f>
        <v>na</v>
      </c>
      <c r="CS32" s="56" t="str">
        <f>'PC LIST'!J380</f>
        <v>Under</v>
      </c>
      <c r="CT32" s="56" t="str">
        <f>'PC LIST'!CC380</f>
        <v>Scheme delivered 2015/16</v>
      </c>
      <c r="CW32" s="54"/>
      <c r="CX32" s="54"/>
      <c r="CY32" s="54"/>
      <c r="CZ32" s="54"/>
      <c r="DA32" s="54"/>
      <c r="DB32" s="56" t="str">
        <f>'PC LIST'!B462</f>
        <v>PR14WSHHHR_E1</v>
      </c>
      <c r="DC32" s="57" t="str">
        <f>'PC LIST'!I462</f>
        <v>E1: Affordable bills - annual increase</v>
      </c>
      <c r="DD32" s="57" t="str">
        <f>'PC LIST'!O462</f>
        <v>%</v>
      </c>
      <c r="DE32" s="57" t="str">
        <f>'PC LIST'!P462</f>
        <v>% above or below inflation (affordability of bills)</v>
      </c>
      <c r="DF32" s="56">
        <f>'PC LIST'!Q462</f>
        <v>0</v>
      </c>
      <c r="DG32" s="56" t="str">
        <f>'PC LIST'!J462</f>
        <v>NFI</v>
      </c>
      <c r="DH32" s="743">
        <f>'PC LIST'!CC462</f>
        <v>-2</v>
      </c>
      <c r="DI32" s="56" t="str">
        <f>'PC LIST'!B493</f>
        <v>PR14WSXHHR_B1a</v>
      </c>
      <c r="DJ32" s="57" t="str">
        <f>'PC LIST'!I493</f>
        <v>B1a: Volume of water used per person</v>
      </c>
      <c r="DK32" s="57" t="str">
        <f>'PC LIST'!O493</f>
        <v>nr</v>
      </c>
      <c r="DL32" s="57" t="str">
        <f>'PC LIST'!P493</f>
        <v>Litres per person per day (l/p/d)</v>
      </c>
      <c r="DM32" s="56">
        <f>'PC LIST'!Q493</f>
        <v>0</v>
      </c>
      <c r="DN32" s="56" t="str">
        <f>'PC LIST'!J493</f>
        <v>NFI</v>
      </c>
      <c r="DO32" s="56">
        <f>'PC LIST'!CC493</f>
        <v>143.19999999999999</v>
      </c>
      <c r="DP32" s="56" t="str">
        <f>'PC LIST'!B525</f>
        <v>PR14YKYHHR_RB1</v>
      </c>
      <c r="DQ32" s="57" t="str">
        <f>'PC LIST'!I525</f>
        <v>RB1: Cost of bad debt to customers (expressed as proportion of bill)</v>
      </c>
      <c r="DR32" s="57" t="str">
        <f>'PC LIST'!O525</f>
        <v>%</v>
      </c>
      <c r="DS32" s="57" t="str">
        <f>'PC LIST'!P525</f>
        <v>Cost of bad debt as % of average annual bill</v>
      </c>
      <c r="DT32" s="56">
        <f>'PC LIST'!Q525</f>
        <v>2</v>
      </c>
      <c r="DU32" s="56" t="str">
        <f>'PC LIST'!J525</f>
        <v>NFI</v>
      </c>
      <c r="DV32" s="56">
        <f>'PC LIST'!CC525</f>
        <v>3.1</v>
      </c>
      <c r="DW32" s="56" t="str">
        <f>'PC LIST'!B559</f>
        <v>PR14HDDWSWW_S-A2</v>
      </c>
      <c r="DX32" s="57" t="str">
        <f>'PC LIST'!I559</f>
        <v>S-A2: Number of external sewer flooding incidents</v>
      </c>
      <c r="DY32" s="57" t="str">
        <f>'PC LIST'!O559</f>
        <v>nr</v>
      </c>
      <c r="DZ32" s="57" t="str">
        <f>'PC LIST'!P559</f>
        <v>No. of external sewer flooding incidents</v>
      </c>
      <c r="EA32" s="56">
        <f>'PC LIST'!Q559</f>
        <v>0</v>
      </c>
      <c r="EB32" s="56" t="str">
        <f>'PC LIST'!J559</f>
        <v>Out &amp; under</v>
      </c>
      <c r="EC32" s="56" t="str">
        <f>'PC LIST'!CC559</f>
        <v>-</v>
      </c>
      <c r="ED32" s="56" t="str">
        <f>'PC LIST'!B605</f>
        <v>PR14SVEWSWW_S-A5</v>
      </c>
      <c r="EE32" s="57" t="str">
        <f>'PC LIST'!I605</f>
        <v>S-A5: Statutory obligations (Section 101A schemes)</v>
      </c>
      <c r="EF32" s="57" t="str">
        <f>'PC LIST'!O605</f>
        <v>nr</v>
      </c>
      <c r="EG32" s="57" t="str">
        <f>'PC LIST'!P605</f>
        <v>No. of connectable properties, identified as polluting or likely to pollute, associated with new Section 101A schemes</v>
      </c>
      <c r="EH32" s="56">
        <f>'PC LIST'!Q605</f>
        <v>0</v>
      </c>
      <c r="EI32" s="56" t="str">
        <f>'PC LIST'!J605</f>
        <v>NFI</v>
      </c>
      <c r="EJ32" s="56" t="str">
        <f>'PC LIST'!CC605</f>
        <v>-</v>
      </c>
    </row>
    <row r="33" spans="8:140" ht="15.75" customHeight="1">
      <c r="H33" s="56" t="str">
        <f>'PC LIST'!B46</f>
        <v>PR14ANHWSWW_S-F2</v>
      </c>
      <c r="I33" s="57" t="str">
        <f>'PC LIST'!I46</f>
        <v>S-F2: Sewerage non-infrastructure</v>
      </c>
      <c r="J33" s="57" t="str">
        <f>'PC LIST'!O46</f>
        <v>category</v>
      </c>
      <c r="K33" s="57" t="str">
        <f>'PC LIST'!P46</f>
        <v>Asset health indicator (RAG)</v>
      </c>
      <c r="L33" s="56" t="str">
        <f>'PC LIST'!Q46</f>
        <v>na</v>
      </c>
      <c r="M33" s="56" t="str">
        <f>'PC LIST'!J46</f>
        <v>Under</v>
      </c>
      <c r="N33" s="743" t="str">
        <f>'PC LIST'!CC46</f>
        <v>Green</v>
      </c>
      <c r="T33" s="56"/>
      <c r="U33" s="56"/>
      <c r="AC33" s="56" t="str">
        <f>'PC LIST'!B119</f>
        <v>PR14NESWSWW_S-E1</v>
      </c>
      <c r="AD33" s="58" t="str">
        <f>'PC LIST'!I119</f>
        <v>S-E1: NWL independent survey on keeping customers informed</v>
      </c>
      <c r="AE33" s="58" t="str">
        <f>'PC LIST'!O119</f>
        <v>%</v>
      </c>
      <c r="AF33" s="58" t="str">
        <f>'PC LIST'!P119</f>
        <v>% customer satisfaction</v>
      </c>
      <c r="AG33" s="56">
        <f>'PC LIST'!Q119</f>
        <v>0</v>
      </c>
      <c r="AH33" s="56" t="str">
        <f>'PC LIST'!J119</f>
        <v>NFI</v>
      </c>
      <c r="AI33" s="56">
        <f>'PC LIST'!CC119</f>
        <v>94</v>
      </c>
      <c r="BE33" s="56" t="str">
        <f>'PC LIST'!B212</f>
        <v>PR14SEWHHR_E1</v>
      </c>
      <c r="BF33" s="57" t="str">
        <f>'PC LIST'!I212</f>
        <v>E1: Customer satisfaction - bills are value for money and affordable</v>
      </c>
      <c r="BG33" s="57" t="str">
        <f>'PC LIST'!O212</f>
        <v>%</v>
      </c>
      <c r="BH33" s="57" t="str">
        <f>'PC LIST'!P212</f>
        <v>% customer satisfaction</v>
      </c>
      <c r="BI33" s="56">
        <f>'PC LIST'!Q212</f>
        <v>0</v>
      </c>
      <c r="BJ33" s="56" t="str">
        <f>'PC LIST'!J212</f>
        <v>NFI</v>
      </c>
      <c r="BK33" s="56">
        <f>'PC LIST'!CC212</f>
        <v>71</v>
      </c>
      <c r="BL33" s="56" t="str">
        <f>'PC LIST'!B246</f>
        <v>PR14SRNHHR_6</v>
      </c>
      <c r="BM33" s="57" t="str">
        <f>'PC LIST'!I246</f>
        <v>6: Take up of assistance schemes (number of customers who are receiving support through one of our financial assistance schemes)</v>
      </c>
      <c r="BN33" s="57" t="str">
        <f>'PC LIST'!O246</f>
        <v>nr</v>
      </c>
      <c r="BO33" s="57" t="str">
        <f>'PC LIST'!P246</f>
        <v>No. of assistance scheme customers</v>
      </c>
      <c r="BP33" s="56">
        <f>'PC LIST'!Q246</f>
        <v>0</v>
      </c>
      <c r="BQ33" s="56" t="str">
        <f>'PC LIST'!J246</f>
        <v>NFI</v>
      </c>
      <c r="BR33" s="56">
        <f>'PC LIST'!CC246</f>
        <v>229843</v>
      </c>
      <c r="BZ33" s="56" t="str">
        <f>'PC LIST'!B294</f>
        <v>PR14SVTWSWW_S-B1</v>
      </c>
      <c r="CA33" s="57" t="str">
        <f>'PC LIST'!I294</f>
        <v>S-B1: Customers rating our services as good value for money (based on tracker survey)</v>
      </c>
      <c r="CB33" s="57" t="str">
        <f>'PC LIST'!O294</f>
        <v>%</v>
      </c>
      <c r="CC33" s="57" t="str">
        <f>'PC LIST'!P294</f>
        <v>% customer satisfaction</v>
      </c>
      <c r="CD33" s="56">
        <f>'PC LIST'!Q294</f>
        <v>0</v>
      </c>
      <c r="CE33" s="56" t="str">
        <f>'PC LIST'!J294</f>
        <v>Out &amp; under</v>
      </c>
      <c r="CF33" s="744">
        <f>'PC LIST'!CC294</f>
        <v>59</v>
      </c>
      <c r="CG33" s="56" t="str">
        <f>'PC LIST'!B339</f>
        <v>PR14SWTWSWW_S-C3</v>
      </c>
      <c r="CH33" s="59" t="str">
        <f>'PC LIST'!I339</f>
        <v>S-C3: Wastewater descriptive works permit compliance (%)</v>
      </c>
      <c r="CI33" s="59" t="str">
        <f>'PC LIST'!O339</f>
        <v>%</v>
      </c>
      <c r="CJ33" s="59" t="str">
        <f>'PC LIST'!P339</f>
        <v>% wastewater desc works permit compliance</v>
      </c>
      <c r="CK33" s="56">
        <f>'PC LIST'!Q339</f>
        <v>1</v>
      </c>
      <c r="CL33" s="56" t="str">
        <f>'PC LIST'!J339</f>
        <v>Under</v>
      </c>
      <c r="CM33" s="743">
        <f>'PC LIST'!CC339</f>
        <v>100</v>
      </c>
      <c r="CN33" s="56" t="str">
        <f>'PC LIST'!B381</f>
        <v>PR14TMSWSWW_SB9</v>
      </c>
      <c r="CO33" s="57" t="str">
        <f>'PC LIST'!I381</f>
        <v>SB9: Deephams Wastewater Treatment Works</v>
      </c>
      <c r="CP33" s="57" t="str">
        <f>'PC LIST'!O381</f>
        <v>text</v>
      </c>
      <c r="CQ33" s="57" t="str">
        <f>'PC LIST'!P381</f>
        <v>Scheme delivery</v>
      </c>
      <c r="CR33" s="56" t="str">
        <f>'PC LIST'!Q381</f>
        <v>na</v>
      </c>
      <c r="CS33" s="56" t="str">
        <f>'PC LIST'!J381</f>
        <v>Under</v>
      </c>
      <c r="CT33" s="56" t="str">
        <f>'PC LIST'!CC381</f>
        <v>Scheme delivered 2016/17</v>
      </c>
      <c r="CW33" s="54"/>
      <c r="CX33" s="54"/>
      <c r="CY33" s="54"/>
      <c r="CZ33" s="54"/>
      <c r="DA33" s="54"/>
      <c r="DB33" s="56" t="str">
        <f>'PC LIST'!B463</f>
        <v>PR14WSHHHR_E2</v>
      </c>
      <c r="DC33" s="57" t="str">
        <f>'PC LIST'!I463</f>
        <v>E2: Help for disadvantaged customers (customers benefiting from social tariffs)</v>
      </c>
      <c r="DD33" s="57" t="str">
        <f>'PC LIST'!O463</f>
        <v>nr</v>
      </c>
      <c r="DE33" s="57" t="str">
        <f>'PC LIST'!P463</f>
        <v>No. of customers benefiting from social tariffs</v>
      </c>
      <c r="DF33" s="56">
        <f>'PC LIST'!Q463</f>
        <v>0</v>
      </c>
      <c r="DG33" s="56" t="str">
        <f>'PC LIST'!J463</f>
        <v>NFI</v>
      </c>
      <c r="DH33" s="743">
        <f>'PC LIST'!CC463</f>
        <v>100999</v>
      </c>
      <c r="DI33" s="56" t="str">
        <f>'PC LIST'!B494</f>
        <v>PR14WSXHHR_B1b</v>
      </c>
      <c r="DJ33" s="57" t="str">
        <f>'PC LIST'!I494</f>
        <v>B1b: Volume of water saved by water efficiency promotion</v>
      </c>
      <c r="DK33" s="57" t="str">
        <f>'PC LIST'!O494</f>
        <v>nr</v>
      </c>
      <c r="DL33" s="57" t="str">
        <f>'PC LIST'!P494</f>
        <v>Litres per person per day (l/p/d)</v>
      </c>
      <c r="DM33" s="56">
        <f>'PC LIST'!Q494</f>
        <v>2</v>
      </c>
      <c r="DN33" s="56" t="str">
        <f>'PC LIST'!J494</f>
        <v>Under</v>
      </c>
      <c r="DO33" s="56">
        <f>'PC LIST'!CC494</f>
        <v>2.48</v>
      </c>
      <c r="DP33" s="56" t="str">
        <f>'PC LIST'!B526</f>
        <v>PR14YKYHHR_RB2</v>
      </c>
      <c r="DQ33" s="57" t="str">
        <f>'PC LIST'!I526</f>
        <v>RB2: Number of people who we help to pay their bill</v>
      </c>
      <c r="DR33" s="57" t="str">
        <f>'PC LIST'!O526</f>
        <v>nr</v>
      </c>
      <c r="DS33" s="57" t="str">
        <f>'PC LIST'!P526</f>
        <v>No. of customers who are assisted to pay their bill</v>
      </c>
      <c r="DT33" s="56">
        <f>'PC LIST'!Q526</f>
        <v>0</v>
      </c>
      <c r="DU33" s="56" t="str">
        <f>'PC LIST'!J526</f>
        <v>NFI</v>
      </c>
      <c r="DV33" s="56">
        <f>'PC LIST'!CC526</f>
        <v>28853</v>
      </c>
      <c r="DW33" s="56" t="str">
        <f>'PC LIST'!B560</f>
        <v>PR14HDDWSWW_S-A3</v>
      </c>
      <c r="DX33" s="57" t="str">
        <f>'PC LIST'!I560</f>
        <v>S-A3: Partnership working</v>
      </c>
      <c r="DY33" s="57" t="str">
        <f>'PC LIST'!O560</f>
        <v>nr</v>
      </c>
      <c r="DZ33" s="57" t="str">
        <f>'PC LIST'!P560</f>
        <v>No. of partnership working projects</v>
      </c>
      <c r="EA33" s="56">
        <f>'PC LIST'!Q560</f>
        <v>0</v>
      </c>
      <c r="EB33" s="56" t="str">
        <f>'PC LIST'!J560</f>
        <v>Out &amp; under</v>
      </c>
      <c r="EC33" s="56" t="str">
        <f>'PC LIST'!CC560</f>
        <v>-</v>
      </c>
      <c r="ED33" s="56" t="str">
        <f>'PC LIST'!B606</f>
        <v>PR14SVEWSWW_S-B1</v>
      </c>
      <c r="EE33" s="57" t="str">
        <f>'PC LIST'!I606</f>
        <v>S-B1: Customers rating our services as good value for money (based on tracker survey)</v>
      </c>
      <c r="EF33" s="57" t="str">
        <f>'PC LIST'!O606</f>
        <v>%</v>
      </c>
      <c r="EG33" s="57" t="str">
        <f>'PC LIST'!P606</f>
        <v>% customer satisfaction</v>
      </c>
      <c r="EH33" s="56">
        <f>'PC LIST'!Q606</f>
        <v>0</v>
      </c>
      <c r="EI33" s="56" t="str">
        <f>'PC LIST'!J606</f>
        <v>Out &amp; under</v>
      </c>
      <c r="EJ33" s="56" t="str">
        <f>'PC LIST'!CC606</f>
        <v>-</v>
      </c>
    </row>
    <row r="34" spans="8:140" ht="15.75" customHeight="1">
      <c r="H34" s="56" t="str">
        <f>'PC LIST'!B47</f>
        <v>PR14ANHHHR_R-A1</v>
      </c>
      <c r="I34" s="57" t="str">
        <f>'PC LIST'!I47</f>
        <v>R-A1: Qualitative service incentive mechanism (SIM) score</v>
      </c>
      <c r="J34" s="57" t="str">
        <f>'PC LIST'!O47</f>
        <v>text</v>
      </c>
      <c r="K34" s="57" t="str">
        <f>'PC LIST'!P47</f>
        <v>Service incentive mechanism (SIM) score ranking (WaSCs)</v>
      </c>
      <c r="L34" s="56" t="str">
        <f>'PC LIST'!Q47</f>
        <v>na</v>
      </c>
      <c r="M34" s="56" t="str">
        <f>'PC LIST'!J47</f>
        <v>NFI</v>
      </c>
      <c r="N34" s="743" t="str">
        <f>'PC LIST'!CC47</f>
        <v>1st among the 10 WaSCs</v>
      </c>
      <c r="T34" s="56"/>
      <c r="U34" s="56"/>
      <c r="AC34" s="56" t="str">
        <f>'PC LIST'!B120</f>
        <v>PR14NESWSWW_S-F1</v>
      </c>
      <c r="AD34" s="58" t="str">
        <f>'PC LIST'!I120</f>
        <v>S-F1: Greenhouse gas emissions</v>
      </c>
      <c r="AE34" s="58" t="str">
        <f>'PC LIST'!O120</f>
        <v>nr</v>
      </c>
      <c r="AF34" s="58" t="str">
        <f>'PC LIST'!P120</f>
        <v>ktCO2e</v>
      </c>
      <c r="AG34" s="56">
        <f>'PC LIST'!Q120</f>
        <v>0</v>
      </c>
      <c r="AH34" s="56" t="str">
        <f>'PC LIST'!J120</f>
        <v>NFI</v>
      </c>
      <c r="AI34" s="56">
        <f>'PC LIST'!CC120</f>
        <v>164</v>
      </c>
      <c r="BE34" s="56" t="str">
        <f>'PC LIST'!B213</f>
        <v>PR14SEWHHR_F1</v>
      </c>
      <c r="BF34" s="57" t="str">
        <f>'PC LIST'!I213</f>
        <v>F1: Customer satisfaction - water supply is of sufficient pressure</v>
      </c>
      <c r="BG34" s="57" t="str">
        <f>'PC LIST'!O213</f>
        <v>score</v>
      </c>
      <c r="BH34" s="57" t="str">
        <f>'PC LIST'!P213</f>
        <v>Customer satisfaction score out of 5</v>
      </c>
      <c r="BI34" s="56">
        <f>'PC LIST'!Q213</f>
        <v>1</v>
      </c>
      <c r="BJ34" s="56" t="str">
        <f>'PC LIST'!J213</f>
        <v>Out &amp; under</v>
      </c>
      <c r="BK34" s="56">
        <f>'PC LIST'!CC213</f>
        <v>4.3</v>
      </c>
      <c r="BL34" s="56" t="str">
        <f>'PC LIST'!B247</f>
        <v>PR14SRNHHR_7</v>
      </c>
      <c r="BM34" s="57" t="str">
        <f>'PC LIST'!I247</f>
        <v>7: Value-for-money</v>
      </c>
      <c r="BN34" s="57" t="str">
        <f>'PC LIST'!O247</f>
        <v>%</v>
      </c>
      <c r="BO34" s="57" t="str">
        <f>'PC LIST'!P247</f>
        <v>% of customers who feel they get vfm</v>
      </c>
      <c r="BP34" s="56">
        <f>'PC LIST'!Q247</f>
        <v>0</v>
      </c>
      <c r="BQ34" s="56" t="str">
        <f>'PC LIST'!J247</f>
        <v>NFI</v>
      </c>
      <c r="BR34" s="56">
        <f>'PC LIST'!CC247</f>
        <v>55.1</v>
      </c>
      <c r="BZ34" s="56" t="str">
        <f>'PC LIST'!B295</f>
        <v>PR14SVTWSWW_S-C1</v>
      </c>
      <c r="CA34" s="57" t="str">
        <f>'PC LIST'!I295</f>
        <v>S-C1: Improvements in river water quality against WFD criteria</v>
      </c>
      <c r="CB34" s="57" t="str">
        <f>'PC LIST'!O295</f>
        <v>nr</v>
      </c>
      <c r="CC34" s="57" t="str">
        <f>'PC LIST'!P295</f>
        <v>No. of WFD classification improvements</v>
      </c>
      <c r="CD34" s="56">
        <f>'PC LIST'!Q295</f>
        <v>0</v>
      </c>
      <c r="CE34" s="56" t="str">
        <f>'PC LIST'!J295</f>
        <v>Out &amp; under</v>
      </c>
      <c r="CF34" s="744">
        <f>'PC LIST'!CC295</f>
        <v>16</v>
      </c>
      <c r="CG34" s="56" t="str">
        <f>'PC LIST'!B340</f>
        <v>PR14SWTWSWW_S-C4</v>
      </c>
      <c r="CH34" s="59" t="str">
        <f>'PC LIST'!I340</f>
        <v>S-C4: Pollution incidents (category 1 and 2)</v>
      </c>
      <c r="CI34" s="59" t="str">
        <f>'PC LIST'!O340</f>
        <v>nr</v>
      </c>
      <c r="CJ34" s="59" t="str">
        <f>'PC LIST'!P340</f>
        <v>No. of pollution incidents (cats 1 and 2)</v>
      </c>
      <c r="CK34" s="56">
        <f>'PC LIST'!Q340</f>
        <v>0</v>
      </c>
      <c r="CL34" s="56" t="str">
        <f>'PC LIST'!J340</f>
        <v>Under</v>
      </c>
      <c r="CM34" s="743">
        <f>'PC LIST'!CC340</f>
        <v>3</v>
      </c>
      <c r="CN34" s="56" t="str">
        <f>'PC LIST'!B382</f>
        <v>PR14TMSWSWW_SC1</v>
      </c>
      <c r="CO34" s="57" t="str">
        <f>'PC LIST'!I382</f>
        <v>SC1: Greenhouse gas emissions from wastewater operations</v>
      </c>
      <c r="CP34" s="57" t="str">
        <f>'PC LIST'!O382</f>
        <v>nr</v>
      </c>
      <c r="CQ34" s="57" t="str">
        <f>'PC LIST'!P382</f>
        <v>ktCO2e</v>
      </c>
      <c r="CR34" s="56">
        <f>'PC LIST'!Q382</f>
        <v>1</v>
      </c>
      <c r="CS34" s="56" t="str">
        <f>'PC LIST'!J382</f>
        <v>NFI</v>
      </c>
      <c r="CT34" s="56">
        <f>'PC LIST'!CC382</f>
        <v>231.7</v>
      </c>
      <c r="CW34" s="54"/>
      <c r="CX34" s="54"/>
      <c r="CY34" s="54"/>
      <c r="CZ34" s="54"/>
      <c r="DA34" s="54"/>
      <c r="DD34" s="54"/>
      <c r="DE34" s="54"/>
      <c r="DI34" s="56" t="str">
        <f>'PC LIST'!B495</f>
        <v>PR14WSXHHR_B2</v>
      </c>
      <c r="DJ34" s="57" t="str">
        <f>'PC LIST'!I495</f>
        <v>B2: Bill as a proportion of disposable income</v>
      </c>
      <c r="DK34" s="57" t="str">
        <f>'PC LIST'!O495</f>
        <v>%</v>
      </c>
      <c r="DL34" s="57" t="str">
        <f>'PC LIST'!P495</f>
        <v>Bill as a proportion (%) of disposable income</v>
      </c>
      <c r="DM34" s="56">
        <f>'PC LIST'!Q495</f>
        <v>1</v>
      </c>
      <c r="DN34" s="56" t="str">
        <f>'PC LIST'!J495</f>
        <v>NFI</v>
      </c>
      <c r="DO34" s="56">
        <f>'PC LIST'!CC495</f>
        <v>1.46</v>
      </c>
      <c r="DP34" s="56" t="str">
        <f>'PC LIST'!B527</f>
        <v>PR14YKYHHR_RB3</v>
      </c>
      <c r="DQ34" s="57" t="str">
        <f>'PC LIST'!I527</f>
        <v>RB3: Value for money (CCWater annual tracking survey)</v>
      </c>
      <c r="DR34" s="57" t="str">
        <f>'PC LIST'!O527</f>
        <v>%</v>
      </c>
      <c r="DS34" s="57" t="str">
        <f>'PC LIST'!P527</f>
        <v>% customer satisfaction (CCWater tracking survey)</v>
      </c>
      <c r="DT34" s="56">
        <f>'PC LIST'!Q527</f>
        <v>0</v>
      </c>
      <c r="DU34" s="56" t="str">
        <f>'PC LIST'!J527</f>
        <v>NFI</v>
      </c>
      <c r="DV34" s="56" t="str">
        <f>'PC LIST'!CC527</f>
        <v>76% (water), 79% (wastewater)</v>
      </c>
      <c r="DW34" s="56" t="str">
        <f>'PC LIST'!B561</f>
        <v>PR14HDDWSWW_S-A4</v>
      </c>
      <c r="DX34" s="57" t="str">
        <f>'PC LIST'!I561</f>
        <v>S-A4: Asset stewardship - blockages</v>
      </c>
      <c r="DY34" s="57" t="str">
        <f>'PC LIST'!O561</f>
        <v>nr</v>
      </c>
      <c r="DZ34" s="57" t="str">
        <f>'PC LIST'!P561</f>
        <v>No. of sewer blockages per year</v>
      </c>
      <c r="EA34" s="56">
        <f>'PC LIST'!Q561</f>
        <v>0</v>
      </c>
      <c r="EB34" s="56" t="str">
        <f>'PC LIST'!J561</f>
        <v>Under</v>
      </c>
      <c r="EC34" s="56" t="str">
        <f>'PC LIST'!CC561</f>
        <v>-</v>
      </c>
      <c r="ED34" s="56" t="str">
        <f>'PC LIST'!B607</f>
        <v>PR14SVEWSWW_S-C1</v>
      </c>
      <c r="EE34" s="57" t="str">
        <f>'PC LIST'!I607</f>
        <v>S-C1: Improvements in river water quality against WFD criteria</v>
      </c>
      <c r="EF34" s="57" t="str">
        <f>'PC LIST'!O607</f>
        <v>nr</v>
      </c>
      <c r="EG34" s="57" t="str">
        <f>'PC LIST'!P607</f>
        <v>No. of WFD classification improvements</v>
      </c>
      <c r="EH34" s="56">
        <f>'PC LIST'!Q607</f>
        <v>0</v>
      </c>
      <c r="EI34" s="56" t="str">
        <f>'PC LIST'!J607</f>
        <v>Out &amp; under</v>
      </c>
      <c r="EJ34" s="56" t="str">
        <f>'PC LIST'!CC607</f>
        <v>-</v>
      </c>
    </row>
    <row r="35" spans="8:140" ht="15.75" customHeight="1">
      <c r="H35" s="56" t="str">
        <f>'PC LIST'!B48</f>
        <v>PR14ANHHHR_R-A2</v>
      </c>
      <c r="I35" s="57" t="str">
        <f>'PC LIST'!I48</f>
        <v>R-A2: Service incentive mechanism (SIM)</v>
      </c>
      <c r="J35" s="57" t="str">
        <f>'PC LIST'!O48</f>
        <v>score</v>
      </c>
      <c r="K35" s="57" t="str">
        <f>'PC LIST'!P48</f>
        <v>Service incentive mechanism (SIM) score</v>
      </c>
      <c r="L35" s="56">
        <f>'PC LIST'!Q48</f>
        <v>0</v>
      </c>
      <c r="M35" s="56" t="str">
        <f>'PC LIST'!J48</f>
        <v>Out &amp; under</v>
      </c>
      <c r="N35" s="743">
        <f>'PC LIST'!CC48</f>
        <v>88</v>
      </c>
      <c r="T35" s="56"/>
      <c r="U35" s="56"/>
      <c r="AC35" s="56" t="str">
        <f>'PC LIST'!B121</f>
        <v>PR14NESWSWW_S-F2</v>
      </c>
      <c r="AD35" s="58" t="str">
        <f>'PC LIST'!I121</f>
        <v>S-F2: Annual environmental performance report</v>
      </c>
      <c r="AE35" s="58" t="str">
        <f>'PC LIST'!O121</f>
        <v>text</v>
      </c>
      <c r="AF35" s="58" t="str">
        <f>'PC LIST'!P121</f>
        <v>CRAG report publication</v>
      </c>
      <c r="AG35" s="56" t="str">
        <f>'PC LIST'!Q121</f>
        <v>na</v>
      </c>
      <c r="AH35" s="56" t="str">
        <f>'PC LIST'!J121</f>
        <v>NFI</v>
      </c>
      <c r="AI35" s="56" t="str">
        <f>'PC LIST'!CC121</f>
        <v>The Forums have prepared their statement and it will be published in the Our Contribution document.</v>
      </c>
      <c r="BE35" s="56" t="str">
        <f>'PC LIST'!B214</f>
        <v>PR14SEWHHR_G1</v>
      </c>
      <c r="BF35" s="57" t="str">
        <f>'PC LIST'!I214</f>
        <v>G1: Customer satisfaction - frequency and duration of supply interruptions</v>
      </c>
      <c r="BG35" s="57" t="str">
        <f>'PC LIST'!O214</f>
        <v>score</v>
      </c>
      <c r="BH35" s="57" t="str">
        <f>'PC LIST'!P214</f>
        <v>Customer satisfaction score out of 5</v>
      </c>
      <c r="BI35" s="56">
        <f>'PC LIST'!Q214</f>
        <v>1</v>
      </c>
      <c r="BJ35" s="56" t="str">
        <f>'PC LIST'!J214</f>
        <v>Out &amp; under</v>
      </c>
      <c r="BK35" s="56">
        <f>'PC LIST'!CC214</f>
        <v>4.5999999999999996</v>
      </c>
      <c r="BL35" s="56" t="str">
        <f>'PC LIST'!B248</f>
        <v>PR14SRNHHR_8</v>
      </c>
      <c r="BM35" s="57" t="str">
        <f>'PC LIST'!I248</f>
        <v>8: Service Incentive Mechanism (SIM)</v>
      </c>
      <c r="BN35" s="57" t="str">
        <f>'PC LIST'!O248</f>
        <v>score</v>
      </c>
      <c r="BO35" s="57" t="str">
        <f>'PC LIST'!P248</f>
        <v>Service incentive mechanism (SIM) score</v>
      </c>
      <c r="BP35" s="56">
        <f>'PC LIST'!Q248</f>
        <v>0</v>
      </c>
      <c r="BQ35" s="56" t="str">
        <f>'PC LIST'!J248</f>
        <v>Out &amp; under</v>
      </c>
      <c r="BR35" s="56">
        <f>'PC LIST'!CC248</f>
        <v>79.33</v>
      </c>
      <c r="BZ35" s="56" t="str">
        <f>'PC LIST'!B296</f>
        <v>PR14SVTWSWW_S-C2</v>
      </c>
      <c r="CA35" s="57" t="str">
        <f>'PC LIST'!I296</f>
        <v>S-C2: The number of category 3 pollution incidents</v>
      </c>
      <c r="CB35" s="57" t="str">
        <f>'PC LIST'!O296</f>
        <v>nr</v>
      </c>
      <c r="CC35" s="57" t="str">
        <f>'PC LIST'!P296</f>
        <v>No. of pollution incidents (cat 3)</v>
      </c>
      <c r="CD35" s="56">
        <f>'PC LIST'!Q296</f>
        <v>0</v>
      </c>
      <c r="CE35" s="56" t="str">
        <f>'PC LIST'!J296</f>
        <v>Out &amp; under</v>
      </c>
      <c r="CF35" s="744">
        <f>'PC LIST'!CC296</f>
        <v>327</v>
      </c>
      <c r="CG35" s="56" t="str">
        <f>'PC LIST'!B341</f>
        <v>PR14SWTWSWW_S-C5</v>
      </c>
      <c r="CH35" s="59" t="str">
        <f>'PC LIST'!I341</f>
        <v>S-C5: Pollution incidents (category 3 and 4)</v>
      </c>
      <c r="CI35" s="59" t="str">
        <f>'PC LIST'!O341</f>
        <v>nr</v>
      </c>
      <c r="CJ35" s="59" t="str">
        <f>'PC LIST'!P341</f>
        <v>No. of pollution incidents (cats 3 and 4)</v>
      </c>
      <c r="CK35" s="56">
        <f>'PC LIST'!Q341</f>
        <v>0</v>
      </c>
      <c r="CL35" s="56" t="str">
        <f>'PC LIST'!J341</f>
        <v>Under</v>
      </c>
      <c r="CM35" s="743">
        <f>'PC LIST'!CC341</f>
        <v>237</v>
      </c>
      <c r="CN35" s="56" t="str">
        <f>'PC LIST'!B383</f>
        <v>PR14TMSWSWW_SC2</v>
      </c>
      <c r="CO35" s="57" t="str">
        <f>'PC LIST'!I383</f>
        <v>SC2: Total category 1-3 pollution incidents from sewage related premises</v>
      </c>
      <c r="CP35" s="57" t="str">
        <f>'PC LIST'!O383</f>
        <v>nr</v>
      </c>
      <c r="CQ35" s="57" t="str">
        <f>'PC LIST'!P383</f>
        <v>No. of pollution incidents (cats 1, 2 and 3)</v>
      </c>
      <c r="CR35" s="56">
        <f>'PC LIST'!Q383</f>
        <v>0</v>
      </c>
      <c r="CS35" s="56" t="str">
        <f>'PC LIST'!J383</f>
        <v>Out &amp; under</v>
      </c>
      <c r="CT35" s="56">
        <f>'PC LIST'!CC383</f>
        <v>292</v>
      </c>
      <c r="DD35" s="54"/>
      <c r="DE35" s="54"/>
      <c r="DF35" s="54"/>
      <c r="DG35" s="54"/>
      <c r="DH35" s="54"/>
      <c r="DK35" s="54"/>
      <c r="DL35" s="54"/>
      <c r="DO35" s="56"/>
      <c r="DP35" s="56" t="str">
        <f>'PC LIST'!B528</f>
        <v>PR14YKYHHR_RC1</v>
      </c>
      <c r="DQ35" s="57" t="str">
        <f>'PC LIST'!I528</f>
        <v>RC1: Proportion of energy use generated by renewable technology (note: PC is part of a total commitment at Appointee level - see also WD1 and SC1)</v>
      </c>
      <c r="DR35" s="57" t="str">
        <f>'PC LIST'!O528</f>
        <v>%</v>
      </c>
      <c r="DS35" s="57" t="str">
        <f>'PC LIST'!P528</f>
        <v>% of energy use generated by renewable technology</v>
      </c>
      <c r="DT35" s="56">
        <f>'PC LIST'!Q528</f>
        <v>0</v>
      </c>
      <c r="DU35" s="56" t="str">
        <f>'PC LIST'!J528</f>
        <v>NFI</v>
      </c>
      <c r="DV35" s="56">
        <f>'PC LIST'!CC528</f>
        <v>11.44</v>
      </c>
      <c r="DW35" s="56" t="str">
        <f>'PC LIST'!B562</f>
        <v>PR14HDDWSWW_S-A5</v>
      </c>
      <c r="DX35" s="57" t="str">
        <f>'PC LIST'!I562</f>
        <v>S-A5: Statutory obligations (Section 101A schemes)</v>
      </c>
      <c r="DY35" s="57" t="str">
        <f>'PC LIST'!O562</f>
        <v>nr</v>
      </c>
      <c r="DZ35" s="57" t="str">
        <f>'PC LIST'!P562</f>
        <v>No. of connectable properties, identified as polluting or likely to pollute, associated with new Section 101A schemes</v>
      </c>
      <c r="EA35" s="56">
        <f>'PC LIST'!Q562</f>
        <v>0</v>
      </c>
      <c r="EB35" s="56" t="str">
        <f>'PC LIST'!J562</f>
        <v>NFI</v>
      </c>
      <c r="EC35" s="56" t="str">
        <f>'PC LIST'!CC562</f>
        <v>-</v>
      </c>
      <c r="ED35" s="56" t="str">
        <f>'PC LIST'!B608</f>
        <v>PR14SVEWSWW_S-C2</v>
      </c>
      <c r="EE35" s="57" t="str">
        <f>'PC LIST'!I608</f>
        <v>S-C2: The number of category 3 pollution incidents</v>
      </c>
      <c r="EF35" s="57" t="str">
        <f>'PC LIST'!O608</f>
        <v>nr</v>
      </c>
      <c r="EG35" s="57" t="str">
        <f>'PC LIST'!P608</f>
        <v>No. of pollution incidents (cat 3)</v>
      </c>
      <c r="EH35" s="56">
        <f>'PC LIST'!Q608</f>
        <v>0</v>
      </c>
      <c r="EI35" s="56" t="str">
        <f>'PC LIST'!J608</f>
        <v>Out &amp; under</v>
      </c>
      <c r="EJ35" s="56" t="str">
        <f>'PC LIST'!CC608</f>
        <v>-</v>
      </c>
    </row>
    <row r="36" spans="8:140" ht="15.75" customHeight="1">
      <c r="H36" s="56" t="str">
        <f>'PC LIST'!B49</f>
        <v>PR14ANHHHR_R-A3</v>
      </c>
      <c r="I36" s="57" t="str">
        <f>'PC LIST'!I49</f>
        <v>R-A3: Customer Satisfaction Index prepared by UK Institute of Customer Service</v>
      </c>
      <c r="J36" s="57" t="str">
        <f>'PC LIST'!O49</f>
        <v>rank</v>
      </c>
      <c r="K36" s="57" t="str">
        <f>'PC LIST'!P49</f>
        <v>UK ICS Customer Satisfaction Index score ranking among utility companies</v>
      </c>
      <c r="L36" s="56" t="str">
        <f>'PC LIST'!Q49</f>
        <v>na</v>
      </c>
      <c r="M36" s="56" t="str">
        <f>'PC LIST'!J49</f>
        <v>NFI</v>
      </c>
      <c r="N36" s="743" t="str">
        <f>'PC LIST'!CC49</f>
        <v>6/25</v>
      </c>
      <c r="T36" s="56"/>
      <c r="U36" s="56"/>
      <c r="AC36" s="56" t="str">
        <f>'PC LIST'!B122</f>
        <v>PR14NESHHR_R-B1</v>
      </c>
      <c r="AD36" s="58" t="str">
        <f>'PC LIST'!I122</f>
        <v>R-B1: NWL independent overall customer satisfaction score</v>
      </c>
      <c r="AE36" s="58" t="str">
        <f>'PC LIST'!O122</f>
        <v>score</v>
      </c>
      <c r="AF36" s="58" t="str">
        <f>'PC LIST'!P122</f>
        <v>Customer satisfaction score out of 10</v>
      </c>
      <c r="AG36" s="56">
        <f>'PC LIST'!Q122</f>
        <v>1</v>
      </c>
      <c r="AH36" s="56" t="str">
        <f>'PC LIST'!J122</f>
        <v>NFI</v>
      </c>
      <c r="AI36" s="56">
        <f>'PC LIST'!CC122</f>
        <v>8.6999999999999993</v>
      </c>
      <c r="BE36" s="56" t="str">
        <f>'PC LIST'!B215</f>
        <v>PR14SEWHHR_H1</v>
      </c>
      <c r="BF36" s="57" t="str">
        <f>'PC LIST'!I215</f>
        <v>H1: Customer satisfaction - frequency of water use restrictions</v>
      </c>
      <c r="BG36" s="57" t="str">
        <f>'PC LIST'!O215</f>
        <v>score</v>
      </c>
      <c r="BH36" s="57" t="str">
        <f>'PC LIST'!P215</f>
        <v>Customer satisfaction score out of 5</v>
      </c>
      <c r="BI36" s="56">
        <f>'PC LIST'!Q215</f>
        <v>1</v>
      </c>
      <c r="BJ36" s="56" t="str">
        <f>'PC LIST'!J215</f>
        <v>Out &amp; under</v>
      </c>
      <c r="BK36" s="56">
        <f>'PC LIST'!CC215</f>
        <v>4.4000000000000004</v>
      </c>
      <c r="BL36" s="56"/>
      <c r="BM36" s="57"/>
      <c r="BN36" s="57"/>
      <c r="BO36" s="57"/>
      <c r="BZ36" s="56" t="str">
        <f>'PC LIST'!B297</f>
        <v>PR14SVTWSWW_S-C3</v>
      </c>
      <c r="CA36" s="57" t="str">
        <f>'PC LIST'!I297</f>
        <v>S-C3: Asset stewardship - environmental compliance (basket of measures)</v>
      </c>
      <c r="CB36" s="57" t="str">
        <f>'PC LIST'!O297</f>
        <v>%</v>
      </c>
      <c r="CC36" s="57" t="str">
        <f>'PC LIST'!P297</f>
        <v>% compliance with WwTW regulations</v>
      </c>
      <c r="CD36" s="56">
        <f>'PC LIST'!Q297</f>
        <v>2</v>
      </c>
      <c r="CE36" s="56" t="str">
        <f>'PC LIST'!J297</f>
        <v>Under</v>
      </c>
      <c r="CF36" s="744">
        <f>'PC LIST'!CC297</f>
        <v>97.67</v>
      </c>
      <c r="CG36" s="56" t="str">
        <f>'PC LIST'!B342</f>
        <v>PR14SWTWSWW_S-C6</v>
      </c>
      <c r="CH36" s="59" t="str">
        <f>'PC LIST'!I342</f>
        <v>S-C6: Operational carbon emissions (ktCO2e)</v>
      </c>
      <c r="CI36" s="59" t="str">
        <f>'PC LIST'!O342</f>
        <v>nr</v>
      </c>
      <c r="CJ36" s="59" t="str">
        <f>'PC LIST'!P342</f>
        <v>ktCO2e</v>
      </c>
      <c r="CK36" s="56">
        <f>'PC LIST'!Q342</f>
        <v>1</v>
      </c>
      <c r="CL36" s="56" t="str">
        <f>'PC LIST'!J342</f>
        <v>NFI</v>
      </c>
      <c r="CM36" s="743">
        <f>'PC LIST'!CC342</f>
        <v>83.2</v>
      </c>
      <c r="CN36" s="56" t="str">
        <f>'PC LIST'!B384</f>
        <v>PR14TMSWSWW_SC3</v>
      </c>
      <c r="CO36" s="57" t="str">
        <f>'PC LIST'!I384</f>
        <v>SC3: Sewage treatment works discharge compliance</v>
      </c>
      <c r="CP36" s="57" t="str">
        <f>'PC LIST'!O384</f>
        <v>%</v>
      </c>
      <c r="CQ36" s="57" t="str">
        <f>'PC LIST'!P384</f>
        <v>% WwTW discharge compliance</v>
      </c>
      <c r="CR36" s="56">
        <f>'PC LIST'!Q384</f>
        <v>2</v>
      </c>
      <c r="CS36" s="56" t="str">
        <f>'PC LIST'!J384</f>
        <v>Under</v>
      </c>
      <c r="CT36" s="56">
        <f>'PC LIST'!CC384</f>
        <v>99.43</v>
      </c>
      <c r="DD36" s="54"/>
      <c r="DE36" s="54"/>
      <c r="DF36" s="54"/>
      <c r="DG36" s="54"/>
      <c r="DH36" s="54"/>
      <c r="DK36" s="54"/>
      <c r="DL36" s="54"/>
      <c r="DM36" s="54"/>
      <c r="DN36" s="54"/>
      <c r="DO36" s="56"/>
      <c r="DP36" s="56" t="str">
        <f>'PC LIST'!B529</f>
        <v>PR14YKYHHR_RC2</v>
      </c>
      <c r="DQ36" s="57" t="str">
        <f>'PC LIST'!I529</f>
        <v>RC2: Proportion of waste diverted from landfill (re-used and recycled) (note: PC is part of a total commitment at Appointee level - see also WD2 and SC2)</v>
      </c>
      <c r="DR36" s="57" t="str">
        <f>'PC LIST'!O529</f>
        <v>%</v>
      </c>
      <c r="DS36" s="57" t="str">
        <f>'PC LIST'!P529</f>
        <v>% of waste diverted from landfill (re-used and recycled)</v>
      </c>
      <c r="DT36" s="56">
        <f>'PC LIST'!Q529</f>
        <v>0</v>
      </c>
      <c r="DU36" s="56" t="str">
        <f>'PC LIST'!J529</f>
        <v>NFI</v>
      </c>
      <c r="DV36" s="56">
        <f>'PC LIST'!CC529</f>
        <v>99</v>
      </c>
      <c r="DW36" s="56" t="str">
        <f>'PC LIST'!B563</f>
        <v>PR14HDDWSWW_S-B1</v>
      </c>
      <c r="DX36" s="57" t="str">
        <f>'PC LIST'!I563</f>
        <v>S-B1: Customers rating our services as good value for money (based on tracker survey)</v>
      </c>
      <c r="DY36" s="57" t="str">
        <f>'PC LIST'!O563</f>
        <v>%</v>
      </c>
      <c r="DZ36" s="57" t="str">
        <f>'PC LIST'!P563</f>
        <v>% customer satisfaction</v>
      </c>
      <c r="EA36" s="56">
        <f>'PC LIST'!Q563</f>
        <v>0</v>
      </c>
      <c r="EB36" s="56" t="str">
        <f>'PC LIST'!J563</f>
        <v>Out &amp; under</v>
      </c>
      <c r="EC36" s="56" t="str">
        <f>'PC LIST'!CC563</f>
        <v>-</v>
      </c>
      <c r="ED36" s="56" t="str">
        <f>'PC LIST'!B609</f>
        <v>PR14SVEWSWW_S-C3</v>
      </c>
      <c r="EE36" s="57" t="str">
        <f>'PC LIST'!I609</f>
        <v>S-C3: Asset stewardship - environmental compliance (basket of measures)</v>
      </c>
      <c r="EF36" s="57" t="str">
        <f>'PC LIST'!O609</f>
        <v>%</v>
      </c>
      <c r="EG36" s="57" t="str">
        <f>'PC LIST'!P609</f>
        <v>% compliance with WwTW regulations</v>
      </c>
      <c r="EH36" s="56">
        <f>'PC LIST'!Q609</f>
        <v>2</v>
      </c>
      <c r="EI36" s="56" t="str">
        <f>'PC LIST'!J609</f>
        <v>Under</v>
      </c>
      <c r="EJ36" s="56" t="str">
        <f>'PC LIST'!CC609</f>
        <v>-</v>
      </c>
    </row>
    <row r="37" spans="8:140" ht="15.75" customHeight="1">
      <c r="H37" s="56" t="str">
        <f>'PC LIST'!B50</f>
        <v>PR14ANHHHR_R-B1</v>
      </c>
      <c r="I37" s="57" t="str">
        <f>'PC LIST'!I50</f>
        <v>R-B1: Fairness of bills perception - variation from baseline against WaSCs</v>
      </c>
      <c r="J37" s="57" t="str">
        <f>'PC LIST'!O50</f>
        <v>%</v>
      </c>
      <c r="K37" s="57" t="str">
        <f>'PC LIST'!P50</f>
        <v>% variation from WaSC baseline</v>
      </c>
      <c r="L37" s="56">
        <f>'PC LIST'!Q50</f>
        <v>0</v>
      </c>
      <c r="M37" s="56" t="str">
        <f>'PC LIST'!J50</f>
        <v>Out &amp; under</v>
      </c>
      <c r="N37" s="743">
        <f>'PC LIST'!CC50</f>
        <v>9</v>
      </c>
      <c r="T37" s="56"/>
      <c r="U37" s="56"/>
      <c r="AC37" s="56" t="str">
        <f>'PC LIST'!B123</f>
        <v>PR14NESHHR_R-B2</v>
      </c>
      <c r="AD37" s="58" t="str">
        <f>'PC LIST'!I123</f>
        <v>R-B2: Service incentive mechanism (SIM)</v>
      </c>
      <c r="AE37" s="58" t="str">
        <f>'PC LIST'!O123</f>
        <v>score</v>
      </c>
      <c r="AF37" s="58" t="str">
        <f>'PC LIST'!P123</f>
        <v>Service incentive mechanism (SIM) score</v>
      </c>
      <c r="AG37" s="56">
        <f>'PC LIST'!Q123</f>
        <v>1</v>
      </c>
      <c r="AH37" s="56" t="str">
        <f>'PC LIST'!J123</f>
        <v>Out &amp; under</v>
      </c>
      <c r="AI37" s="56">
        <f>'PC LIST'!CC123</f>
        <v>86.39</v>
      </c>
      <c r="BE37" s="56"/>
      <c r="BF37" s="57"/>
      <c r="BG37" s="57"/>
      <c r="BH37" s="57"/>
      <c r="BJ37" s="56"/>
      <c r="BK37" s="56"/>
      <c r="BN37" s="54"/>
      <c r="BO37" s="54"/>
      <c r="BP37" s="54"/>
      <c r="BQ37" s="54"/>
      <c r="BR37" s="54"/>
      <c r="BZ37" s="56" t="str">
        <f>'PC LIST'!B298</f>
        <v>PR14SVTWSWW_S-C4</v>
      </c>
      <c r="CA37" s="57" t="str">
        <f>'PC LIST'!I298</f>
        <v>S-C4: Biodiversity</v>
      </c>
      <c r="CB37" s="57" t="str">
        <f>'PC LIST'!O298</f>
        <v>nr</v>
      </c>
      <c r="CC37" s="57" t="str">
        <f>'PC LIST'!P298</f>
        <v>No. of hectares improved</v>
      </c>
      <c r="CD37" s="56">
        <f>'PC LIST'!Q298</f>
        <v>0</v>
      </c>
      <c r="CE37" s="56" t="str">
        <f>'PC LIST'!J298</f>
        <v>Out &amp; under</v>
      </c>
      <c r="CF37" s="744">
        <f>'PC LIST'!CC298</f>
        <v>337</v>
      </c>
      <c r="CG37" s="56" t="str">
        <f>'PC LIST'!B343</f>
        <v>PR14SWTWSWW_S-C7</v>
      </c>
      <c r="CH37" s="59" t="str">
        <f>'PC LIST'!I343</f>
        <v>S-C7: Energy from renewable sources (%)</v>
      </c>
      <c r="CI37" s="59" t="str">
        <f>'PC LIST'!O343</f>
        <v>%</v>
      </c>
      <c r="CJ37" s="59" t="str">
        <f>'PC LIST'!P343</f>
        <v>% energy from renewable sources</v>
      </c>
      <c r="CK37" s="56">
        <f>'PC LIST'!Q343</f>
        <v>2</v>
      </c>
      <c r="CL37" s="56" t="str">
        <f>'PC LIST'!J343</f>
        <v>NFI</v>
      </c>
      <c r="CM37" s="743">
        <f>'PC LIST'!CC343</f>
        <v>3.95</v>
      </c>
      <c r="CN37" s="56" t="str">
        <f>'PC LIST'!B385</f>
        <v>PR14TMSWSWW_SC4</v>
      </c>
      <c r="CO37" s="57" t="str">
        <f>'PC LIST'!I385</f>
        <v>SC4: Water bodies improved or protected from deterioration as a result of Thames Water's activities</v>
      </c>
      <c r="CP37" s="57" t="str">
        <f>'PC LIST'!O385</f>
        <v>nr</v>
      </c>
      <c r="CQ37" s="57" t="str">
        <f>'PC LIST'!P385</f>
        <v>No. of water bodies improved or protected by catchment management</v>
      </c>
      <c r="CR37" s="56">
        <f>'PC LIST'!Q385</f>
        <v>0</v>
      </c>
      <c r="CS37" s="56" t="str">
        <f>'PC LIST'!J385</f>
        <v>NFI</v>
      </c>
      <c r="CT37" s="56">
        <f>'PC LIST'!CC385</f>
        <v>0</v>
      </c>
      <c r="DD37" s="54"/>
      <c r="DE37" s="54"/>
      <c r="DF37" s="54"/>
      <c r="DG37" s="54"/>
      <c r="DH37" s="54"/>
      <c r="DI37" s="56"/>
      <c r="DJ37" s="57"/>
      <c r="DK37" s="57"/>
      <c r="DL37" s="57"/>
      <c r="DM37" s="57"/>
      <c r="DN37" s="57"/>
      <c r="DO37" s="56"/>
      <c r="DV37" s="56"/>
      <c r="DW37" s="56" t="str">
        <f>'PC LIST'!B564</f>
        <v>PR14HDDWSWW_S-C2</v>
      </c>
      <c r="DX37" s="57" t="str">
        <f>'PC LIST'!I564</f>
        <v>S-C2: The number of category 3 pollution incidents</v>
      </c>
      <c r="DY37" s="57" t="str">
        <f>'PC LIST'!O564</f>
        <v>nr</v>
      </c>
      <c r="DZ37" s="57" t="str">
        <f>'PC LIST'!P564</f>
        <v>No. of pollution incidents (cat 3)</v>
      </c>
      <c r="EA37" s="56">
        <f>'PC LIST'!Q564</f>
        <v>0</v>
      </c>
      <c r="EB37" s="56" t="str">
        <f>'PC LIST'!J564</f>
        <v>Out &amp; under</v>
      </c>
      <c r="EC37" s="56" t="str">
        <f>'PC LIST'!CC564</f>
        <v>-</v>
      </c>
      <c r="ED37" s="56" t="str">
        <f>'PC LIST'!B610</f>
        <v>PR14SVEWSWW_S-C4</v>
      </c>
      <c r="EE37" s="57" t="str">
        <f>'PC LIST'!I610</f>
        <v>S-C4: Biodiversity</v>
      </c>
      <c r="EF37" s="57" t="str">
        <f>'PC LIST'!O610</f>
        <v>nr</v>
      </c>
      <c r="EG37" s="57" t="str">
        <f>'PC LIST'!P610</f>
        <v>No. of hectares improved</v>
      </c>
      <c r="EH37" s="56">
        <f>'PC LIST'!Q610</f>
        <v>0</v>
      </c>
      <c r="EI37" s="56" t="str">
        <f>'PC LIST'!J610</f>
        <v>Out &amp; under</v>
      </c>
      <c r="EJ37" s="56" t="str">
        <f>'PC LIST'!CC610</f>
        <v>-</v>
      </c>
    </row>
    <row r="38" spans="8:140" ht="15.75" customHeight="1">
      <c r="H38" s="56" t="str">
        <f>'PC LIST'!B51</f>
        <v>PR14ANHHHR_R-B2</v>
      </c>
      <c r="I38" s="57" t="str">
        <f>'PC LIST'!I51</f>
        <v>R-B2: Affordability perception - variation from baseline against WaSCs</v>
      </c>
      <c r="J38" s="57" t="str">
        <f>'PC LIST'!O51</f>
        <v>%</v>
      </c>
      <c r="K38" s="57" t="str">
        <f>'PC LIST'!P51</f>
        <v>% variation from WaSC baseline</v>
      </c>
      <c r="L38" s="56">
        <f>'PC LIST'!Q51</f>
        <v>0</v>
      </c>
      <c r="M38" s="56" t="str">
        <f>'PC LIST'!J51</f>
        <v>Out &amp; under</v>
      </c>
      <c r="N38" s="743">
        <f>'PC LIST'!CC51</f>
        <v>10</v>
      </c>
      <c r="T38" s="56"/>
      <c r="U38" s="56"/>
      <c r="AC38" s="56" t="str">
        <f>'PC LIST'!B124</f>
        <v>PR14NESHHR_R-B3</v>
      </c>
      <c r="AD38" s="58" t="str">
        <f>'PC LIST'!I124</f>
        <v>R-B3: Domestic customer satisfaction, net promoter score</v>
      </c>
      <c r="AE38" s="58" t="str">
        <f>'PC LIST'!O124</f>
        <v>%</v>
      </c>
      <c r="AF38" s="58" t="str">
        <f>'PC LIST'!P124</f>
        <v>% customer satisfaction</v>
      </c>
      <c r="AG38" s="56">
        <f>'PC LIST'!Q124</f>
        <v>0</v>
      </c>
      <c r="AH38" s="56" t="str">
        <f>'PC LIST'!J124</f>
        <v>NFI</v>
      </c>
      <c r="AI38" s="56">
        <f>'PC LIST'!CC124</f>
        <v>44</v>
      </c>
      <c r="BG38" s="54"/>
      <c r="BH38" s="54"/>
      <c r="BI38" s="54"/>
      <c r="BJ38" s="56"/>
      <c r="BK38" s="56"/>
      <c r="BN38" s="54"/>
      <c r="BO38" s="54"/>
      <c r="BP38" s="54"/>
      <c r="BQ38" s="54"/>
      <c r="BR38" s="54"/>
      <c r="BZ38" s="56" t="str">
        <f>'PC LIST'!B299</f>
        <v>PR14SVTWSWW_S-C5</v>
      </c>
      <c r="CA38" s="57" t="str">
        <f>'PC LIST'!I299</f>
        <v>S-C5: Sustainable sewage treatment</v>
      </c>
      <c r="CB38" s="57" t="str">
        <f>'PC LIST'!O299</f>
        <v>nr</v>
      </c>
      <c r="CC38" s="57" t="str">
        <f>'PC LIST'!P299</f>
        <v>No. of WwTWs avoiding investment</v>
      </c>
      <c r="CD38" s="56">
        <f>'PC LIST'!Q299</f>
        <v>0</v>
      </c>
      <c r="CE38" s="56" t="str">
        <f>'PC LIST'!J299</f>
        <v>Out</v>
      </c>
      <c r="CF38" s="744">
        <f>'PC LIST'!CC299</f>
        <v>0</v>
      </c>
      <c r="CG38" s="56" t="str">
        <f>'PC LIST'!B344</f>
        <v>PR14SWTWSWW_S-D1</v>
      </c>
      <c r="CH38" s="59" t="str">
        <f>'PC LIST'!I344</f>
        <v>S-D1: Bathing water quality</v>
      </c>
      <c r="CI38" s="59" t="str">
        <f>'PC LIST'!O344</f>
        <v>nr</v>
      </c>
      <c r="CJ38" s="59" t="str">
        <f>'PC LIST'!P344</f>
        <v>No. of bathing waters meeting or exceeding agreed standard</v>
      </c>
      <c r="CK38" s="56">
        <f>'PC LIST'!Q344</f>
        <v>0</v>
      </c>
      <c r="CL38" s="56" t="str">
        <f>'PC LIST'!J344</f>
        <v>Out &amp; under</v>
      </c>
      <c r="CM38" s="743">
        <f>'PC LIST'!CC344</f>
        <v>0</v>
      </c>
      <c r="CN38" s="56" t="str">
        <f>'PC LIST'!B386</f>
        <v>PR14TMSWSWW_SC5</v>
      </c>
      <c r="CO38" s="57" t="str">
        <f>'PC LIST'!I386</f>
        <v>SC5: Satisfactory sludge disposal compliance</v>
      </c>
      <c r="CP38" s="57" t="str">
        <f>'PC LIST'!O386</f>
        <v>%</v>
      </c>
      <c r="CQ38" s="57" t="str">
        <f>'PC LIST'!P386</f>
        <v>% satisfactory sludge disposal compliance</v>
      </c>
      <c r="CR38" s="56">
        <f>'PC LIST'!Q386</f>
        <v>0</v>
      </c>
      <c r="CS38" s="56" t="str">
        <f>'PC LIST'!J386</f>
        <v>NFI</v>
      </c>
      <c r="CT38" s="56">
        <f>'PC LIST'!CC386</f>
        <v>100</v>
      </c>
      <c r="DD38" s="54"/>
      <c r="DE38" s="54"/>
      <c r="DF38" s="54"/>
      <c r="DG38" s="54"/>
      <c r="DH38" s="54"/>
      <c r="DI38" s="56"/>
      <c r="DJ38" s="57"/>
      <c r="DK38" s="57"/>
      <c r="DL38" s="57"/>
      <c r="DM38" s="57"/>
      <c r="DN38" s="57"/>
      <c r="DO38" s="56"/>
      <c r="DV38" s="56"/>
      <c r="DW38" s="56" t="str">
        <f>'PC LIST'!B565</f>
        <v>PR14HDDWSWW_S-C3</v>
      </c>
      <c r="DX38" s="57" t="str">
        <f>'PC LIST'!I565</f>
        <v>S-C3: Asset stewardship - environmental compliance (basket of measures)</v>
      </c>
      <c r="DY38" s="57" t="str">
        <f>'PC LIST'!O565</f>
        <v>%</v>
      </c>
      <c r="DZ38" s="57" t="str">
        <f>'PC LIST'!P565</f>
        <v>% compliance with WwTW regulations</v>
      </c>
      <c r="EA38" s="56">
        <f>'PC LIST'!Q565</f>
        <v>2</v>
      </c>
      <c r="EB38" s="56" t="str">
        <f>'PC LIST'!J565</f>
        <v>Under</v>
      </c>
      <c r="EC38" s="56" t="str">
        <f>'PC LIST'!CC565</f>
        <v>-</v>
      </c>
      <c r="ED38" s="56" t="str">
        <f>'PC LIST'!B611</f>
        <v>PR14SVEWSWW_S-C5</v>
      </c>
      <c r="EE38" s="57" t="str">
        <f>'PC LIST'!I611</f>
        <v>S-C5: Sustainable sewage treatment</v>
      </c>
      <c r="EF38" s="57" t="str">
        <f>'PC LIST'!O611</f>
        <v>nr</v>
      </c>
      <c r="EG38" s="57" t="str">
        <f>'PC LIST'!P611</f>
        <v>No. of WwTWs avoiding investment</v>
      </c>
      <c r="EH38" s="56">
        <f>'PC LIST'!Q611</f>
        <v>0</v>
      </c>
      <c r="EI38" s="56" t="str">
        <f>'PC LIST'!J611</f>
        <v>Out</v>
      </c>
      <c r="EJ38" s="56" t="str">
        <f>'PC LIST'!CC611</f>
        <v>-</v>
      </c>
    </row>
    <row r="39" spans="8:140" ht="15.75" customHeight="1">
      <c r="H39" s="56" t="str">
        <f>'PC LIST'!B52</f>
        <v>PR14ANHHHR_R-C1</v>
      </c>
      <c r="I39" s="57" t="str">
        <f>'PC LIST'!I52</f>
        <v>R-C1: Operational carbon (% reduction from 2015 baseline)</v>
      </c>
      <c r="J39" s="57" t="str">
        <f>'PC LIST'!O52</f>
        <v>%</v>
      </c>
      <c r="K39" s="57" t="str">
        <f>'PC LIST'!P52</f>
        <v>% reduction from 2015 baseline</v>
      </c>
      <c r="L39" s="56">
        <f>'PC LIST'!Q52</f>
        <v>0</v>
      </c>
      <c r="M39" s="56" t="str">
        <f>'PC LIST'!J52</f>
        <v>NFI</v>
      </c>
      <c r="N39" s="743">
        <f>'PC LIST'!CC52</f>
        <v>19.600000000000001</v>
      </c>
      <c r="T39" s="56"/>
      <c r="U39" s="56"/>
      <c r="AC39" s="56" t="str">
        <f>'PC LIST'!B125</f>
        <v>PR14NESHHR_R-C1</v>
      </c>
      <c r="AD39" s="58" t="str">
        <f>'PC LIST'!I125</f>
        <v>R-C1: NWL independent value for money survey</v>
      </c>
      <c r="AE39" s="58" t="str">
        <f>'PC LIST'!O125</f>
        <v>score</v>
      </c>
      <c r="AF39" s="58" t="str">
        <f>'PC LIST'!P125</f>
        <v>Customer satisfaction score out of 10</v>
      </c>
      <c r="AG39" s="56">
        <f>'PC LIST'!Q125</f>
        <v>1</v>
      </c>
      <c r="AH39" s="56" t="str">
        <f>'PC LIST'!J125</f>
        <v>NFI</v>
      </c>
      <c r="AI39" s="56">
        <f>'PC LIST'!CC125</f>
        <v>8.1999999999999993</v>
      </c>
      <c r="BG39" s="54"/>
      <c r="BH39" s="54"/>
      <c r="BI39" s="54"/>
      <c r="BJ39" s="56"/>
      <c r="BK39" s="56"/>
      <c r="BN39" s="54"/>
      <c r="BO39" s="54"/>
      <c r="BP39" s="54"/>
      <c r="BQ39" s="54"/>
      <c r="BR39" s="54"/>
      <c r="BZ39" s="56" t="str">
        <f>'PC LIST'!B300</f>
        <v>PR14SVTWSWW_S-C6</v>
      </c>
      <c r="CA39" s="57" t="str">
        <f>'PC LIST'!I300</f>
        <v>S-C6: Serious pollution incidents</v>
      </c>
      <c r="CB39" s="57" t="str">
        <f>'PC LIST'!O300</f>
        <v>nr</v>
      </c>
      <c r="CC39" s="57" t="str">
        <f>'PC LIST'!P300</f>
        <v>No. of pollution incidents (cats 1 and 2)</v>
      </c>
      <c r="CD39" s="56">
        <f>'PC LIST'!Q300</f>
        <v>0</v>
      </c>
      <c r="CE39" s="56" t="str">
        <f>'PC LIST'!J300</f>
        <v>NFI</v>
      </c>
      <c r="CF39" s="744">
        <f>'PC LIST'!CC300</f>
        <v>2</v>
      </c>
      <c r="CG39" s="56" t="str">
        <f>'PC LIST'!B345</f>
        <v>PR14SWTWSWW_S-D2</v>
      </c>
      <c r="CH39" s="59" t="str">
        <f>'PC LIST'!I345</f>
        <v>S-D2: Combined sewer overflow spills (number)</v>
      </c>
      <c r="CI39" s="59" t="str">
        <f>'PC LIST'!O345</f>
        <v>nr</v>
      </c>
      <c r="CJ39" s="59" t="str">
        <f>'PC LIST'!P345</f>
        <v>No. of combined sewer overflow (CSO) spills per year</v>
      </c>
      <c r="CK39" s="56">
        <f>'PC LIST'!Q345</f>
        <v>0</v>
      </c>
      <c r="CL39" s="56" t="str">
        <f>'PC LIST'!J345</f>
        <v>NFI</v>
      </c>
      <c r="CM39" s="743" t="str">
        <f>'PC LIST'!CC345</f>
        <v>N/A</v>
      </c>
      <c r="CN39" s="56" t="str">
        <f>'PC LIST'!B387</f>
        <v>PR14TMSWSWW_SC6</v>
      </c>
      <c r="CO39" s="57" t="str">
        <f>'PC LIST'!I387</f>
        <v>SC6: We will educate our existing and future customers</v>
      </c>
      <c r="CP39" s="57" t="str">
        <f>'PC LIST'!O387</f>
        <v>nr</v>
      </c>
      <c r="CQ39" s="57" t="str">
        <f>'PC LIST'!P387</f>
        <v>No. of children directly engaged</v>
      </c>
      <c r="CR39" s="56">
        <f>'PC LIST'!Q387</f>
        <v>0</v>
      </c>
      <c r="CS39" s="56" t="str">
        <f>'PC LIST'!J387</f>
        <v>NFI</v>
      </c>
      <c r="CT39" s="56">
        <f>'PC LIST'!CC387</f>
        <v>21341</v>
      </c>
      <c r="DD39" s="54"/>
      <c r="DE39" s="54"/>
      <c r="DF39" s="54"/>
      <c r="DG39" s="54"/>
      <c r="DH39" s="54"/>
      <c r="DK39" s="54"/>
      <c r="DL39" s="54"/>
      <c r="DM39" s="54"/>
      <c r="DN39" s="54"/>
      <c r="DO39" s="56"/>
      <c r="DV39" s="56"/>
      <c r="DW39" s="56" t="str">
        <f>'PC LIST'!B566</f>
        <v>PR14HDDWSWW_S-C5</v>
      </c>
      <c r="DX39" s="57" t="str">
        <f>'PC LIST'!I566</f>
        <v>S-C5: Sustainable sewage treatment</v>
      </c>
      <c r="DY39" s="57" t="str">
        <f>'PC LIST'!O566</f>
        <v>nr</v>
      </c>
      <c r="DZ39" s="57" t="str">
        <f>'PC LIST'!P566</f>
        <v>No. of WwTWs avoiding investment</v>
      </c>
      <c r="EA39" s="56">
        <f>'PC LIST'!Q566</f>
        <v>0</v>
      </c>
      <c r="EB39" s="56" t="str">
        <f>'PC LIST'!J566</f>
        <v>Out</v>
      </c>
      <c r="EC39" s="56" t="str">
        <f>'PC LIST'!CC566</f>
        <v>-</v>
      </c>
      <c r="ED39" s="56" t="str">
        <f>'PC LIST'!B612</f>
        <v>PR14SVEWSWW_S-C6</v>
      </c>
      <c r="EE39" s="57" t="str">
        <f>'PC LIST'!I612</f>
        <v>S-C6: Serious pollution incidents</v>
      </c>
      <c r="EF39" s="57" t="str">
        <f>'PC LIST'!O612</f>
        <v>nr</v>
      </c>
      <c r="EG39" s="57" t="str">
        <f>'PC LIST'!P612</f>
        <v>No. of pollution incidents (cats 1 and 2)</v>
      </c>
      <c r="EH39" s="56">
        <f>'PC LIST'!Q612</f>
        <v>0</v>
      </c>
      <c r="EI39" s="56" t="str">
        <f>'PC LIST'!J612</f>
        <v>NFI</v>
      </c>
      <c r="EJ39" s="56" t="str">
        <f>'PC LIST'!CC612</f>
        <v>-</v>
      </c>
    </row>
    <row r="40" spans="8:140" ht="15.75" customHeight="1">
      <c r="H40" s="56" t="str">
        <f>'PC LIST'!B53</f>
        <v>PR14ANHHHR_R-C2</v>
      </c>
      <c r="I40" s="57" t="str">
        <f>'PC LIST'!I53</f>
        <v>R-C2: Embodied carbon (% reduction from 2010 baseline)</v>
      </c>
      <c r="J40" s="57" t="str">
        <f>'PC LIST'!O53</f>
        <v>%</v>
      </c>
      <c r="K40" s="57" t="str">
        <f>'PC LIST'!P53</f>
        <v>% reduction from 2010 baseline</v>
      </c>
      <c r="L40" s="56">
        <f>'PC LIST'!Q53</f>
        <v>0</v>
      </c>
      <c r="M40" s="56" t="str">
        <f>'PC LIST'!J53</f>
        <v>NFI</v>
      </c>
      <c r="N40" s="743">
        <f>'PC LIST'!CC53</f>
        <v>57</v>
      </c>
      <c r="T40" s="56"/>
      <c r="U40" s="56"/>
      <c r="AC40" s="56" t="str">
        <f>'PC LIST'!B126</f>
        <v>PR14NESHHR_R-C2</v>
      </c>
      <c r="AD40" s="58" t="str">
        <f>'PC LIST'!I126</f>
        <v>R-C2: Satisfied with value for money of water services - Northumbrian region (CCWater research)</v>
      </c>
      <c r="AE40" s="58" t="str">
        <f>'PC LIST'!O126</f>
        <v>%</v>
      </c>
      <c r="AF40" s="58" t="str">
        <f>'PC LIST'!P126</f>
        <v>% customer satisfaction</v>
      </c>
      <c r="AG40" s="56">
        <f>'PC LIST'!Q126</f>
        <v>0</v>
      </c>
      <c r="AH40" s="56" t="str">
        <f>'PC LIST'!J126</f>
        <v>NFI</v>
      </c>
      <c r="AI40" s="56">
        <f>'PC LIST'!CC126</f>
        <v>78</v>
      </c>
      <c r="BG40" s="54"/>
      <c r="BH40" s="54"/>
      <c r="BI40" s="54"/>
      <c r="BJ40" s="56"/>
      <c r="BK40" s="56"/>
      <c r="BN40" s="54"/>
      <c r="BO40" s="54"/>
      <c r="BP40" s="54"/>
      <c r="BQ40" s="54"/>
      <c r="BR40" s="54"/>
      <c r="BZ40" s="56" t="str">
        <f>'PC LIST'!B301</f>
        <v>PR14SVTWSWW_S-C7</v>
      </c>
      <c r="CA40" s="57" t="str">
        <f>'PC LIST'!I301</f>
        <v>S-C7: Overall environmental performance (basket of environmental measures)</v>
      </c>
      <c r="CB40" s="57" t="str">
        <f>'PC LIST'!O301</f>
        <v>nr</v>
      </c>
      <c r="CC40" s="57" t="str">
        <f>'PC LIST'!P301</f>
        <v>No. of environmental targets met</v>
      </c>
      <c r="CD40" s="56">
        <f>'PC LIST'!Q301</f>
        <v>0</v>
      </c>
      <c r="CE40" s="56" t="str">
        <f>'PC LIST'!J301</f>
        <v>Out &amp; under</v>
      </c>
      <c r="CF40" s="744">
        <f>'PC LIST'!CC301</f>
        <v>0</v>
      </c>
      <c r="CG40" s="56" t="str">
        <f>'PC LIST'!B346</f>
        <v>PR14SWTWSWW_S-D3</v>
      </c>
      <c r="CH40" s="59" t="str">
        <f>'PC LIST'!I346</f>
        <v>S-D3: River water quality improved (km)</v>
      </c>
      <c r="CI40" s="59" t="str">
        <f>'PC LIST'!O346</f>
        <v>nr</v>
      </c>
      <c r="CJ40" s="59" t="str">
        <f>'PC LIST'!P346</f>
        <v>Kilometres (km) of river water quality improved</v>
      </c>
      <c r="CK40" s="56">
        <f>'PC LIST'!Q346</f>
        <v>0</v>
      </c>
      <c r="CL40" s="56" t="str">
        <f>'PC LIST'!J346</f>
        <v>NFI</v>
      </c>
      <c r="CM40" s="743">
        <f>'PC LIST'!CC346</f>
        <v>156</v>
      </c>
      <c r="CN40" s="56" t="str">
        <f>'PC LIST'!B388</f>
        <v>PR14TMSWSWW_SC7</v>
      </c>
      <c r="CO40" s="57" t="str">
        <f>'PC LIST'!I388</f>
        <v>SC7: Modelled reduction in properties affected by odour</v>
      </c>
      <c r="CP40" s="57" t="str">
        <f>'PC LIST'!O388</f>
        <v>nr</v>
      </c>
      <c r="CQ40" s="57" t="str">
        <f>'PC LIST'!P388</f>
        <v>No. of properties (modelled cumulative reduction)</v>
      </c>
      <c r="CR40" s="56">
        <f>'PC LIST'!Q388</f>
        <v>0</v>
      </c>
      <c r="CS40" s="56" t="str">
        <f>'PC LIST'!J388</f>
        <v>Out &amp; under</v>
      </c>
      <c r="CT40" s="56">
        <f>'PC LIST'!CC388</f>
        <v>1980</v>
      </c>
      <c r="DD40" s="54"/>
      <c r="DE40" s="54"/>
      <c r="DF40" s="54"/>
      <c r="DG40" s="54"/>
      <c r="DH40" s="54"/>
      <c r="DK40" s="54"/>
      <c r="DL40" s="54"/>
      <c r="DM40" s="54"/>
      <c r="DN40" s="54"/>
      <c r="DO40" s="56"/>
      <c r="DV40" s="56"/>
      <c r="DW40" s="56" t="str">
        <f>'PC LIST'!B567</f>
        <v>PR14HDDWSWW_S-C6</v>
      </c>
      <c r="DX40" s="57" t="str">
        <f>'PC LIST'!I567</f>
        <v>S-C6: Serious pollution incidents</v>
      </c>
      <c r="DY40" s="57" t="str">
        <f>'PC LIST'!O567</f>
        <v>nr</v>
      </c>
      <c r="DZ40" s="57" t="str">
        <f>'PC LIST'!P567</f>
        <v>No. of pollution incidents (cats 1 and 2)</v>
      </c>
      <c r="EA40" s="56">
        <f>'PC LIST'!Q567</f>
        <v>0</v>
      </c>
      <c r="EB40" s="56" t="str">
        <f>'PC LIST'!J567</f>
        <v>NFI</v>
      </c>
      <c r="EC40" s="56" t="str">
        <f>'PC LIST'!CC567</f>
        <v>-</v>
      </c>
      <c r="ED40" s="56" t="str">
        <f>'PC LIST'!B613</f>
        <v>PR14SVEWSWW_S-C7</v>
      </c>
      <c r="EE40" s="57" t="str">
        <f>'PC LIST'!I613</f>
        <v>S-C7: Overall environmental performance (basket of environmental measures)</v>
      </c>
      <c r="EF40" s="57" t="str">
        <f>'PC LIST'!O613</f>
        <v>nr</v>
      </c>
      <c r="EG40" s="57" t="str">
        <f>'PC LIST'!P613</f>
        <v>No. of environmental targets met</v>
      </c>
      <c r="EH40" s="56">
        <f>'PC LIST'!Q613</f>
        <v>0</v>
      </c>
      <c r="EI40" s="56" t="str">
        <f>'PC LIST'!J613</f>
        <v>Out &amp; under</v>
      </c>
      <c r="EJ40" s="56" t="str">
        <f>'PC LIST'!CC613</f>
        <v>-</v>
      </c>
    </row>
    <row r="41" spans="8:140" ht="15.75" customHeight="1">
      <c r="H41" s="56" t="str">
        <f>'PC LIST'!B54</f>
        <v>PR14ANHHHR_R-D1</v>
      </c>
      <c r="I41" s="57" t="str">
        <f>'PC LIST'!I54</f>
        <v>R-D1: Survey of community perception</v>
      </c>
      <c r="J41" s="57" t="str">
        <f>'PC LIST'!O54</f>
        <v>%</v>
      </c>
      <c r="K41" s="57" t="str">
        <f>'PC LIST'!P54</f>
        <v>% customer satisfaction</v>
      </c>
      <c r="L41" s="56" t="str">
        <f>'PC LIST'!Q54</f>
        <v>na</v>
      </c>
      <c r="M41" s="56" t="str">
        <f>'PC LIST'!J54</f>
        <v>NFI</v>
      </c>
      <c r="N41" s="743">
        <f>'PC LIST'!CC54</f>
        <v>55</v>
      </c>
      <c r="T41" s="56"/>
      <c r="U41" s="56"/>
      <c r="AC41" s="56" t="str">
        <f>'PC LIST'!B127</f>
        <v>PR14NESHHR_R-C3</v>
      </c>
      <c r="AD41" s="58" t="str">
        <f>'PC LIST'!I127</f>
        <v>R-C3: Satisfied with value for money of sewerage services - Northumbrian region (CCWater research)</v>
      </c>
      <c r="AE41" s="58" t="str">
        <f>'PC LIST'!O127</f>
        <v>%</v>
      </c>
      <c r="AF41" s="58" t="str">
        <f>'PC LIST'!P127</f>
        <v>% customer satisfaction</v>
      </c>
      <c r="AG41" s="56">
        <f>'PC LIST'!Q127</f>
        <v>0</v>
      </c>
      <c r="AH41" s="56" t="str">
        <f>'PC LIST'!J127</f>
        <v>NFI</v>
      </c>
      <c r="AI41" s="56">
        <f>'PC LIST'!CC127</f>
        <v>78</v>
      </c>
      <c r="BG41" s="54"/>
      <c r="BH41" s="54"/>
      <c r="BI41" s="54"/>
      <c r="BJ41" s="56"/>
      <c r="BK41" s="56"/>
      <c r="BN41" s="54"/>
      <c r="BO41" s="54"/>
      <c r="BP41" s="54"/>
      <c r="BQ41" s="54"/>
      <c r="BR41" s="54"/>
      <c r="BZ41" s="56" t="str">
        <f>'PC LIST'!B302</f>
        <v>PR14SVTWSWW_S-C8</v>
      </c>
      <c r="CA41" s="57" t="str">
        <f>'PC LIST'!I302</f>
        <v>S-C8: The number of category 4 pollution incidents</v>
      </c>
      <c r="CB41" s="57" t="str">
        <f>'PC LIST'!O302</f>
        <v>nr</v>
      </c>
      <c r="CC41" s="57" t="str">
        <f>'PC LIST'!P302</f>
        <v>No. of pollution incidents (cat 4)</v>
      </c>
      <c r="CD41" s="56">
        <f>'PC LIST'!Q302</f>
        <v>0</v>
      </c>
      <c r="CE41" s="56" t="str">
        <f>'PC LIST'!J302</f>
        <v>NFI</v>
      </c>
      <c r="CF41" s="744">
        <f>'PC LIST'!CC302</f>
        <v>157</v>
      </c>
      <c r="CG41" s="56" t="str">
        <f>'PC LIST'!B347</f>
        <v>PR14SWTHHR_R-A1</v>
      </c>
      <c r="CH41" s="59" t="str">
        <f>'PC LIST'!I347</f>
        <v>R-A1: Customer overall satisfaction (%)</v>
      </c>
      <c r="CI41" s="59" t="str">
        <f>'PC LIST'!O347</f>
        <v>%</v>
      </c>
      <c r="CJ41" s="59" t="str">
        <f>'PC LIST'!P347</f>
        <v>% customer satisfaction</v>
      </c>
      <c r="CK41" s="56">
        <f>'PC LIST'!Q347</f>
        <v>1</v>
      </c>
      <c r="CL41" s="56" t="str">
        <f>'PC LIST'!J347</f>
        <v>NFI</v>
      </c>
      <c r="CM41" s="743">
        <f>'PC LIST'!CC347</f>
        <v>91</v>
      </c>
      <c r="CN41" s="56" t="str">
        <f>'PC LIST'!B389</f>
        <v>PR14TMSWSWW_SC8</v>
      </c>
      <c r="CO41" s="57" t="str">
        <f>'PC LIST'!I389</f>
        <v>SC8: Deliver 100% of agreed measures to meet new environmental regulations</v>
      </c>
      <c r="CP41" s="57" t="str">
        <f>'PC LIST'!O389</f>
        <v>%</v>
      </c>
      <c r="CQ41" s="57" t="str">
        <f>'PC LIST'!P389</f>
        <v>% of agreed schemes completed</v>
      </c>
      <c r="CR41" s="56">
        <f>'PC LIST'!Q389</f>
        <v>0</v>
      </c>
      <c r="CS41" s="56" t="str">
        <f>'PC LIST'!J389</f>
        <v>Under</v>
      </c>
      <c r="CT41" s="56" t="str">
        <f>'PC LIST'!CC389</f>
        <v>Not available</v>
      </c>
      <c r="DD41" s="54"/>
      <c r="DE41" s="54"/>
      <c r="DF41" s="54"/>
      <c r="DG41" s="54"/>
      <c r="DH41" s="54"/>
      <c r="DK41" s="54"/>
      <c r="DL41" s="54"/>
      <c r="DM41" s="54"/>
      <c r="DN41" s="54"/>
      <c r="DO41" s="56"/>
      <c r="DV41" s="56"/>
      <c r="DW41" s="56" t="str">
        <f>'PC LIST'!B568</f>
        <v>PR14HDDWSWW_S-C7</v>
      </c>
      <c r="DX41" s="57" t="str">
        <f>'PC LIST'!I568</f>
        <v>S-C7: Overall environmental performance (basket of environmental measures)</v>
      </c>
      <c r="DY41" s="57" t="str">
        <f>'PC LIST'!O568</f>
        <v>nr</v>
      </c>
      <c r="DZ41" s="57" t="str">
        <f>'PC LIST'!P568</f>
        <v>No. of environmental targets met</v>
      </c>
      <c r="EA41" s="56">
        <f>'PC LIST'!Q568</f>
        <v>0</v>
      </c>
      <c r="EB41" s="56" t="str">
        <f>'PC LIST'!J568</f>
        <v>Out &amp; under</v>
      </c>
      <c r="EC41" s="56" t="str">
        <f>'PC LIST'!CC568</f>
        <v>-</v>
      </c>
      <c r="ED41" s="56" t="str">
        <f>'PC LIST'!B614</f>
        <v>PR14SVEWSWW_S-C8</v>
      </c>
      <c r="EE41" s="57" t="str">
        <f>'PC LIST'!I614</f>
        <v>S-C8: The number of category 4 pollution incidents</v>
      </c>
      <c r="EF41" s="57" t="str">
        <f>'PC LIST'!O614</f>
        <v>nr</v>
      </c>
      <c r="EG41" s="57" t="str">
        <f>'PC LIST'!P614</f>
        <v>No. of pollution incidents (cat 4)</v>
      </c>
      <c r="EH41" s="56">
        <f>'PC LIST'!Q614</f>
        <v>0</v>
      </c>
      <c r="EI41" s="56" t="str">
        <f>'PC LIST'!J614</f>
        <v>NFI</v>
      </c>
      <c r="EJ41" s="56" t="str">
        <f>'PC LIST'!CC614</f>
        <v>-</v>
      </c>
    </row>
    <row r="42" spans="8:140" ht="15.75" customHeight="1">
      <c r="H42" s="56"/>
      <c r="I42" s="57"/>
      <c r="J42" s="57"/>
      <c r="K42" s="57"/>
      <c r="M42" s="56"/>
      <c r="N42" s="56"/>
      <c r="T42" s="56"/>
      <c r="U42" s="56"/>
      <c r="AC42" s="56" t="str">
        <f>'PC LIST'!B128</f>
        <v>PR14NESHHR_R-C4</v>
      </c>
      <c r="AD42" s="58" t="str">
        <f>'PC LIST'!I128</f>
        <v>R-C4: Satisfied with value for money of water services - Essex &amp; Suffolk region (CCWater research)</v>
      </c>
      <c r="AE42" s="58" t="str">
        <f>'PC LIST'!O128</f>
        <v>%</v>
      </c>
      <c r="AF42" s="58" t="str">
        <f>'PC LIST'!P128</f>
        <v>% customer satisfaction</v>
      </c>
      <c r="AG42" s="56">
        <f>'PC LIST'!Q128</f>
        <v>0</v>
      </c>
      <c r="AH42" s="56" t="str">
        <f>'PC LIST'!J128</f>
        <v>NFI</v>
      </c>
      <c r="AI42" s="56">
        <f>'PC LIST'!CC128</f>
        <v>71</v>
      </c>
      <c r="BG42" s="54"/>
      <c r="BH42" s="54"/>
      <c r="BI42" s="54"/>
      <c r="BJ42" s="56"/>
      <c r="BK42" s="56"/>
      <c r="BN42" s="54"/>
      <c r="BO42" s="54"/>
      <c r="BP42" s="54"/>
      <c r="BQ42" s="54"/>
      <c r="BR42" s="54"/>
      <c r="BZ42" s="56" t="str">
        <f>'PC LIST'!B303</f>
        <v>PR14SVTWSWW_S-D1</v>
      </c>
      <c r="CA42" s="57" t="str">
        <f>'PC LIST'!I303</f>
        <v>S-D1: Size of our carbon footprint</v>
      </c>
      <c r="CB42" s="57" t="str">
        <f>'PC LIST'!O303</f>
        <v>nr</v>
      </c>
      <c r="CC42" s="57" t="str">
        <f>'PC LIST'!P303</f>
        <v>ktCO2e</v>
      </c>
      <c r="CD42" s="56">
        <f>'PC LIST'!Q303</f>
        <v>3</v>
      </c>
      <c r="CE42" s="56" t="str">
        <f>'PC LIST'!J303</f>
        <v>Out &amp; under</v>
      </c>
      <c r="CF42" s="744">
        <f>'PC LIST'!CC303</f>
        <v>206</v>
      </c>
      <c r="CG42" s="56" t="str">
        <f>'PC LIST'!B348</f>
        <v>PR14SWTHHR_R-A2</v>
      </c>
      <c r="CH42" s="59" t="str">
        <f>'PC LIST'!I348</f>
        <v>R-A2: Service incentive mechanism (SIM)</v>
      </c>
      <c r="CI42" s="59" t="str">
        <f>'PC LIST'!O348</f>
        <v>score</v>
      </c>
      <c r="CJ42" s="59" t="str">
        <f>'PC LIST'!P348</f>
        <v>Service incentive mechanism (SIM) score</v>
      </c>
      <c r="CK42" s="56">
        <f>'PC LIST'!Q348</f>
        <v>1</v>
      </c>
      <c r="CL42" s="56" t="str">
        <f>'PC LIST'!J348</f>
        <v>Out &amp; under</v>
      </c>
      <c r="CM42" s="743">
        <f>'PC LIST'!CC348</f>
        <v>84.5</v>
      </c>
      <c r="CN42" s="56" t="str">
        <f>'PC LIST'!B390</f>
        <v>PR14TMSWSWW_SC9</v>
      </c>
      <c r="CO42" s="57" t="str">
        <f>'PC LIST'!I390</f>
        <v>SC9: Reduce the amount of phosphorus entering rivers to help improve aquatic plant and wildlife</v>
      </c>
      <c r="CP42" s="57" t="str">
        <f>'PC LIST'!O390</f>
        <v>nr</v>
      </c>
      <c r="CQ42" s="57" t="str">
        <f>'PC LIST'!P390</f>
        <v>Kilograms of phosphorus removed per day</v>
      </c>
      <c r="CR42" s="56">
        <f>'PC LIST'!Q390</f>
        <v>1</v>
      </c>
      <c r="CS42" s="56" t="str">
        <f>'PC LIST'!J390</f>
        <v>Out &amp; under</v>
      </c>
      <c r="CT42" s="56">
        <f>'PC LIST'!CC390</f>
        <v>0</v>
      </c>
      <c r="DD42" s="54"/>
      <c r="DE42" s="54"/>
      <c r="DF42" s="54"/>
      <c r="DG42" s="54"/>
      <c r="DH42" s="54"/>
      <c r="DK42" s="54"/>
      <c r="DL42" s="54"/>
      <c r="DM42" s="54"/>
      <c r="DN42" s="54"/>
      <c r="DO42" s="56"/>
      <c r="DV42" s="56"/>
      <c r="DW42" s="56" t="str">
        <f>'PC LIST'!B569</f>
        <v>PR14HDDWSWW_S-C8</v>
      </c>
      <c r="DX42" s="57" t="str">
        <f>'PC LIST'!I569</f>
        <v>S-C8: The number of category 4 pollution incidents</v>
      </c>
      <c r="DY42" s="57" t="str">
        <f>'PC LIST'!O569</f>
        <v>nr</v>
      </c>
      <c r="DZ42" s="57" t="str">
        <f>'PC LIST'!P569</f>
        <v>No. of pollution incidents (cat 4)</v>
      </c>
      <c r="EA42" s="56">
        <f>'PC LIST'!Q569</f>
        <v>0</v>
      </c>
      <c r="EB42" s="56" t="str">
        <f>'PC LIST'!J569</f>
        <v>NFI</v>
      </c>
      <c r="EC42" s="56" t="str">
        <f>'PC LIST'!CC569</f>
        <v>-</v>
      </c>
      <c r="ED42" s="56" t="str">
        <f>'PC LIST'!B615</f>
        <v>PR14SVEWSWW_S-D1</v>
      </c>
      <c r="EE42" s="57" t="str">
        <f>'PC LIST'!I615</f>
        <v>S-D1: Size of our carbon footprint</v>
      </c>
      <c r="EF42" s="57" t="str">
        <f>'PC LIST'!O615</f>
        <v>nr</v>
      </c>
      <c r="EG42" s="57" t="str">
        <f>'PC LIST'!P615</f>
        <v>ktCO2e</v>
      </c>
      <c r="EH42" s="56">
        <f>'PC LIST'!Q615</f>
        <v>3</v>
      </c>
      <c r="EI42" s="56" t="str">
        <f>'PC LIST'!J615</f>
        <v>Out &amp; under</v>
      </c>
      <c r="EJ42" s="56" t="str">
        <f>'PC LIST'!CC615</f>
        <v>-</v>
      </c>
    </row>
    <row r="43" spans="8:140" ht="15.75" customHeight="1">
      <c r="J43" s="54"/>
      <c r="K43" s="54"/>
      <c r="L43" s="54"/>
      <c r="M43" s="56"/>
      <c r="N43" s="56"/>
      <c r="T43" s="56"/>
      <c r="U43" s="56"/>
      <c r="AC43" s="56" t="str">
        <f>'PC LIST'!B129</f>
        <v>PR14NESHHR_R-D1</v>
      </c>
      <c r="AD43" s="58" t="str">
        <f>'PC LIST'!I129</f>
        <v>R-D1: NWL independent survey on keeping customers informed</v>
      </c>
      <c r="AE43" s="58" t="str">
        <f>'PC LIST'!O129</f>
        <v>%</v>
      </c>
      <c r="AF43" s="58" t="str">
        <f>'PC LIST'!P129</f>
        <v>% customer satisfaction</v>
      </c>
      <c r="AG43" s="56">
        <f>'PC LIST'!Q129</f>
        <v>0</v>
      </c>
      <c r="AH43" s="56" t="str">
        <f>'PC LIST'!J129</f>
        <v>NFI</v>
      </c>
      <c r="AI43" s="56">
        <f>'PC LIST'!CC129</f>
        <v>94</v>
      </c>
      <c r="BG43" s="54"/>
      <c r="BH43" s="54"/>
      <c r="BI43" s="54"/>
      <c r="BJ43" s="56"/>
      <c r="BK43" s="56"/>
      <c r="BN43" s="54"/>
      <c r="BO43" s="54"/>
      <c r="BP43" s="54"/>
      <c r="BQ43" s="54"/>
      <c r="BR43" s="54"/>
      <c r="BZ43" s="56" t="str">
        <f>'PC LIST'!B304</f>
        <v>PR14SVTWSWW_S-E1</v>
      </c>
      <c r="CA43" s="57" t="str">
        <f>'PC LIST'!I304</f>
        <v>S-E1: Improved understanding of our services through education</v>
      </c>
      <c r="CB43" s="57" t="str">
        <f>'PC LIST'!O304</f>
        <v>nr</v>
      </c>
      <c r="CC43" s="57" t="str">
        <f>'PC LIST'!P304</f>
        <v>No. of people - education programme</v>
      </c>
      <c r="CD43" s="56">
        <f>'PC LIST'!Q304</f>
        <v>0</v>
      </c>
      <c r="CE43" s="56" t="str">
        <f>'PC LIST'!J304</f>
        <v>NFI</v>
      </c>
      <c r="CF43" s="744">
        <f>'PC LIST'!CC304</f>
        <v>200536</v>
      </c>
      <c r="CG43" s="56" t="str">
        <f>'PC LIST'!B349</f>
        <v>PR14SWTHHR_R-A3</v>
      </c>
      <c r="CH43" s="59" t="str">
        <f>'PC LIST'!I349</f>
        <v>R-A3: Customer satisfaction with value for money</v>
      </c>
      <c r="CI43" s="59" t="str">
        <f>'PC LIST'!O349</f>
        <v>%</v>
      </c>
      <c r="CJ43" s="59" t="str">
        <f>'PC LIST'!P349</f>
        <v>% customer satisfaction</v>
      </c>
      <c r="CK43" s="56">
        <f>'PC LIST'!Q349</f>
        <v>1</v>
      </c>
      <c r="CL43" s="56" t="str">
        <f>'PC LIST'!J349</f>
        <v>NFI</v>
      </c>
      <c r="CM43" s="743">
        <f>'PC LIST'!CC349</f>
        <v>62</v>
      </c>
      <c r="CN43" s="56" t="str">
        <f>'PC LIST'!B391</f>
        <v>PR14TMSWSWW_SD1</v>
      </c>
      <c r="CO43" s="57" t="str">
        <f>'PC LIST'!I391</f>
        <v>SD1: Energy imported less energy exported</v>
      </c>
      <c r="CP43" s="57" t="str">
        <f>'PC LIST'!O391</f>
        <v>nr</v>
      </c>
      <c r="CQ43" s="57" t="str">
        <f>'PC LIST'!P391</f>
        <v>GWh (gigawatt-hours)</v>
      </c>
      <c r="CR43" s="56">
        <f>'PC LIST'!Q391</f>
        <v>0</v>
      </c>
      <c r="CS43" s="56" t="str">
        <f>'PC LIST'!J391</f>
        <v>NFI</v>
      </c>
      <c r="CT43" s="56">
        <f>'PC LIST'!CC391</f>
        <v>431</v>
      </c>
      <c r="DD43" s="54"/>
      <c r="DE43" s="54"/>
      <c r="DF43" s="54"/>
      <c r="DG43" s="54"/>
      <c r="DH43" s="54"/>
      <c r="DK43" s="54"/>
      <c r="DL43" s="54"/>
      <c r="DM43" s="54"/>
      <c r="DN43" s="54"/>
      <c r="DO43" s="56"/>
      <c r="DV43" s="56"/>
      <c r="DW43" s="56" t="str">
        <f>'PC LIST'!B570</f>
        <v>PR14HDDWSWW_S-D1</v>
      </c>
      <c r="DX43" s="57" t="str">
        <f>'PC LIST'!I570</f>
        <v>S-D1: Size of our carbon footprint</v>
      </c>
      <c r="DY43" s="57" t="str">
        <f>'PC LIST'!O570</f>
        <v>nr</v>
      </c>
      <c r="DZ43" s="57" t="str">
        <f>'PC LIST'!P570</f>
        <v>ktCO2e</v>
      </c>
      <c r="EA43" s="56">
        <f>'PC LIST'!Q570</f>
        <v>3</v>
      </c>
      <c r="EB43" s="56" t="str">
        <f>'PC LIST'!J570</f>
        <v>Out &amp; under</v>
      </c>
      <c r="EC43" s="56" t="str">
        <f>'PC LIST'!CC570</f>
        <v>-</v>
      </c>
      <c r="ED43" s="56" t="str">
        <f>'PC LIST'!B616</f>
        <v>PR14SVEWSWW_S-E1</v>
      </c>
      <c r="EE43" s="57" t="str">
        <f>'PC LIST'!I616</f>
        <v>S-E1: Improved understanding of our services through education</v>
      </c>
      <c r="EF43" s="57" t="str">
        <f>'PC LIST'!O616</f>
        <v>nr</v>
      </c>
      <c r="EG43" s="57" t="str">
        <f>'PC LIST'!P616</f>
        <v>No. of people - education programme</v>
      </c>
      <c r="EH43" s="56">
        <f>'PC LIST'!Q616</f>
        <v>0</v>
      </c>
      <c r="EI43" s="56" t="str">
        <f>'PC LIST'!J616</f>
        <v>NFI</v>
      </c>
      <c r="EJ43" s="56" t="str">
        <f>'PC LIST'!CC616</f>
        <v>-</v>
      </c>
    </row>
    <row r="44" spans="8:140" ht="15.75" customHeight="1">
      <c r="J44" s="54"/>
      <c r="K44" s="54"/>
      <c r="L44" s="54"/>
      <c r="M44" s="56"/>
      <c r="N44" s="56"/>
      <c r="T44" s="56"/>
      <c r="U44" s="56"/>
      <c r="AC44" s="56" t="str">
        <f>'PC LIST'!B130</f>
        <v>PR14NESHHR_R-E1</v>
      </c>
      <c r="AD44" s="58" t="str">
        <f>'PC LIST'!I130</f>
        <v>R-E1: Greenhouse gas emissions</v>
      </c>
      <c r="AE44" s="58" t="str">
        <f>'PC LIST'!O130</f>
        <v>nr</v>
      </c>
      <c r="AF44" s="58" t="str">
        <f>'PC LIST'!P130</f>
        <v>ktCO2e</v>
      </c>
      <c r="AG44" s="56">
        <f>'PC LIST'!Q130</f>
        <v>0</v>
      </c>
      <c r="AH44" s="56" t="str">
        <f>'PC LIST'!J130</f>
        <v>NFI</v>
      </c>
      <c r="AI44" s="56">
        <f>'PC LIST'!CC130</f>
        <v>164</v>
      </c>
      <c r="BG44" s="54"/>
      <c r="BH44" s="54"/>
      <c r="BI44" s="54"/>
      <c r="BJ44" s="56"/>
      <c r="BK44" s="56"/>
      <c r="BN44" s="54"/>
      <c r="BO44" s="54"/>
      <c r="BP44" s="54"/>
      <c r="BQ44" s="54"/>
      <c r="BR44" s="54"/>
      <c r="BZ44" s="56" t="str">
        <f>'PC LIST'!B305</f>
        <v>PR14SVTHHR_R-A1</v>
      </c>
      <c r="CA44" s="57" t="str">
        <f>'PC LIST'!I305</f>
        <v>R-A1: Customer satisfaction with their service (based on a survey)</v>
      </c>
      <c r="CB44" s="57" t="str">
        <f>'PC LIST'!O305</f>
        <v>text</v>
      </c>
      <c r="CC44" s="57" t="str">
        <f>'PC LIST'!P305</f>
        <v>Customer satisfaction ranking</v>
      </c>
      <c r="CD44" s="56" t="str">
        <f>'PC LIST'!Q305</f>
        <v>na</v>
      </c>
      <c r="CE44" s="56" t="str">
        <f>'PC LIST'!J305</f>
        <v>NFI</v>
      </c>
      <c r="CF44" s="744" t="str">
        <f>'PC LIST'!CC305</f>
        <v>Upper quartile</v>
      </c>
      <c r="CG44" s="56" t="str">
        <f>'PC LIST'!B350</f>
        <v>PR14SWTHHR_R-B1</v>
      </c>
      <c r="CH44" s="59" t="str">
        <f>'PC LIST'!I350</f>
        <v>R-B1: Customers assisted by water poverty initiatives</v>
      </c>
      <c r="CI44" s="59" t="str">
        <f>'PC LIST'!O350</f>
        <v>nr</v>
      </c>
      <c r="CJ44" s="59" t="str">
        <f>'PC LIST'!P350</f>
        <v>No. of customers assisted by water poverty initiatives</v>
      </c>
      <c r="CK44" s="56">
        <f>'PC LIST'!Q350</f>
        <v>0</v>
      </c>
      <c r="CL44" s="56" t="str">
        <f>'PC LIST'!J350</f>
        <v>NFI</v>
      </c>
      <c r="CM44" s="743">
        <f>'PC LIST'!CC350</f>
        <v>29631</v>
      </c>
      <c r="CN44" s="56" t="str">
        <f>'PC LIST'!B392</f>
        <v>PR14TMSTTT_T1A</v>
      </c>
      <c r="CO44" s="57" t="str">
        <f>'PC LIST'!I392</f>
        <v>T1A: Successful procurement of the Infrastructure Provider (IP)</v>
      </c>
      <c r="CP44" s="57" t="str">
        <f>'PC LIST'!O392</f>
        <v>text</v>
      </c>
      <c r="CQ44" s="57" t="str">
        <f>'PC LIST'!P392</f>
        <v>Infrastructure Provider (IP) procurement</v>
      </c>
      <c r="CR44" s="56" t="str">
        <f>'PC LIST'!Q392</f>
        <v>na</v>
      </c>
      <c r="CS44" s="56" t="str">
        <f>'PC LIST'!J392</f>
        <v>NFI</v>
      </c>
      <c r="CT44" s="56" t="str">
        <f>'PC LIST'!CC392</f>
        <v>Scheme delivered 2015/16</v>
      </c>
      <c r="DD44" s="54"/>
      <c r="DE44" s="54"/>
      <c r="DF44" s="54"/>
      <c r="DG44" s="54"/>
      <c r="DH44" s="54"/>
      <c r="DK44" s="54"/>
      <c r="DL44" s="54"/>
      <c r="DM44" s="54"/>
      <c r="DN44" s="54"/>
      <c r="DO44" s="56"/>
      <c r="DV44" s="56"/>
      <c r="DW44" s="56" t="str">
        <f>'PC LIST'!B571</f>
        <v>PR14HDDWSWW_S-E1</v>
      </c>
      <c r="DX44" s="57" t="str">
        <f>'PC LIST'!I571</f>
        <v>S-E1: Improved understanding of our services through education</v>
      </c>
      <c r="DY44" s="57" t="str">
        <f>'PC LIST'!O571</f>
        <v>nr</v>
      </c>
      <c r="DZ44" s="57" t="str">
        <f>'PC LIST'!P571</f>
        <v>No. of people - education programme</v>
      </c>
      <c r="EA44" s="56">
        <f>'PC LIST'!Q571</f>
        <v>0</v>
      </c>
      <c r="EB44" s="56" t="str">
        <f>'PC LIST'!J571</f>
        <v>NFI</v>
      </c>
      <c r="EC44" s="56" t="str">
        <f>'PC LIST'!CC571</f>
        <v>-</v>
      </c>
      <c r="ED44" s="56" t="str">
        <f>'PC LIST'!B617</f>
        <v>PR14SVEHHR_R-A1</v>
      </c>
      <c r="EE44" s="57" t="str">
        <f>'PC LIST'!I617</f>
        <v>R-A1: Customer satisfaction with their service (based on a survey)</v>
      </c>
      <c r="EF44" s="57" t="str">
        <f>'PC LIST'!O617</f>
        <v>text</v>
      </c>
      <c r="EG44" s="57" t="str">
        <f>'PC LIST'!P617</f>
        <v>Customer satisfaction ranking</v>
      </c>
      <c r="EH44" s="56" t="str">
        <f>'PC LIST'!Q617</f>
        <v>na</v>
      </c>
      <c r="EI44" s="56" t="str">
        <f>'PC LIST'!J617</f>
        <v>NFI</v>
      </c>
      <c r="EJ44" s="56" t="str">
        <f>'PC LIST'!CC617</f>
        <v>-</v>
      </c>
    </row>
    <row r="45" spans="8:140" ht="15.75" customHeight="1">
      <c r="J45" s="54"/>
      <c r="K45" s="54"/>
      <c r="L45" s="54"/>
      <c r="M45" s="56"/>
      <c r="N45" s="56"/>
      <c r="T45" s="56"/>
      <c r="U45" s="56"/>
      <c r="AC45" s="56" t="str">
        <f>'PC LIST'!B131</f>
        <v>PR14NESHHR_R-E2</v>
      </c>
      <c r="AD45" s="58" t="str">
        <f>'PC LIST'!I131</f>
        <v>R-E2: Annual environmental performance report</v>
      </c>
      <c r="AE45" s="58" t="str">
        <f>'PC LIST'!O131</f>
        <v>text</v>
      </c>
      <c r="AF45" s="58" t="str">
        <f>'PC LIST'!P131</f>
        <v>CRAG report publication</v>
      </c>
      <c r="AG45" s="56" t="str">
        <f>'PC LIST'!Q131</f>
        <v>na</v>
      </c>
      <c r="AH45" s="56" t="str">
        <f>'PC LIST'!J131</f>
        <v>NFI</v>
      </c>
      <c r="AI45" s="56" t="str">
        <f>'PC LIST'!CC131</f>
        <v>The Forums have prepared their statement and it will be published in the Our Contribution document.</v>
      </c>
      <c r="BG45" s="54"/>
      <c r="BH45" s="54"/>
      <c r="BI45" s="54"/>
      <c r="BJ45" s="56"/>
      <c r="BK45" s="56"/>
      <c r="BN45" s="54"/>
      <c r="BO45" s="54"/>
      <c r="BP45" s="54"/>
      <c r="BQ45" s="54"/>
      <c r="BR45" s="54"/>
      <c r="BZ45" s="56" t="str">
        <f>'PC LIST'!B306</f>
        <v>PR14SVTHHR_R-A2</v>
      </c>
      <c r="CA45" s="57" t="str">
        <f>'PC LIST'!I306</f>
        <v>R-A2: Customers' experience of dealing with us (based on Ofwat's SIM)</v>
      </c>
      <c r="CB45" s="57" t="str">
        <f>'PC LIST'!O306</f>
        <v>text</v>
      </c>
      <c r="CC45" s="57" t="str">
        <f>'PC LIST'!P306</f>
        <v>Service incentive mechanism (SIM) score ranking</v>
      </c>
      <c r="CD45" s="56" t="str">
        <f>'PC LIST'!Q306</f>
        <v>na</v>
      </c>
      <c r="CE45" s="56" t="str">
        <f>'PC LIST'!J306</f>
        <v>Out &amp; under</v>
      </c>
      <c r="CF45" s="744">
        <f>'PC LIST'!CC306</f>
        <v>83.2</v>
      </c>
      <c r="CG45" s="56"/>
      <c r="CH45" s="59"/>
      <c r="CI45" s="59"/>
      <c r="CJ45" s="59"/>
      <c r="CN45" s="56" t="str">
        <f>'PC LIST'!B393</f>
        <v>PR14TMSTTT_T1B</v>
      </c>
      <c r="CO45" s="57" t="str">
        <f>'PC LIST'!I393</f>
        <v>T1B: Thames Water will fulfil its land related commitments in line with the TTT programme requirements</v>
      </c>
      <c r="CP45" s="57" t="str">
        <f>'PC LIST'!O393</f>
        <v>text</v>
      </c>
      <c r="CQ45" s="57" t="str">
        <f>'PC LIST'!P393</f>
        <v>Land related commitments</v>
      </c>
      <c r="CR45" s="56" t="str">
        <f>'PC LIST'!Q393</f>
        <v>na</v>
      </c>
      <c r="CS45" s="56" t="str">
        <f>'PC LIST'!J393</f>
        <v>NFI</v>
      </c>
      <c r="CT45" s="56">
        <f>'PC LIST'!CC393</f>
        <v>13</v>
      </c>
      <c r="DD45" s="54"/>
      <c r="DE45" s="54"/>
      <c r="DF45" s="54"/>
      <c r="DG45" s="54"/>
      <c r="DH45" s="54"/>
      <c r="DK45" s="54"/>
      <c r="DL45" s="54"/>
      <c r="DM45" s="54"/>
      <c r="DN45" s="54"/>
      <c r="DO45" s="56"/>
      <c r="DV45" s="56"/>
      <c r="DW45" s="56" t="str">
        <f>'PC LIST'!B572</f>
        <v>PR14HDDHHR_R-A1</v>
      </c>
      <c r="DX45" s="57" t="str">
        <f>'PC LIST'!I572</f>
        <v>R-A1: Customer satisfaction with their service (based on a survey)</v>
      </c>
      <c r="DY45" s="57" t="str">
        <f>'PC LIST'!O572</f>
        <v>text</v>
      </c>
      <c r="DZ45" s="57" t="str">
        <f>'PC LIST'!P572</f>
        <v>Customer satisfaction ranking</v>
      </c>
      <c r="EA45" s="56" t="str">
        <f>'PC LIST'!Q572</f>
        <v>na</v>
      </c>
      <c r="EB45" s="56" t="str">
        <f>'PC LIST'!J572</f>
        <v>NFI</v>
      </c>
      <c r="EC45" s="56" t="str">
        <f>'PC LIST'!CC572</f>
        <v>-</v>
      </c>
      <c r="ED45" s="56" t="str">
        <f>'PC LIST'!B618</f>
        <v>PR14SVEHHR_R-A2</v>
      </c>
      <c r="EE45" s="57" t="str">
        <f>'PC LIST'!I618</f>
        <v>R-A2: Customers' experience of dealing with us (based on Ofwat's SIM)</v>
      </c>
      <c r="EF45" s="57" t="str">
        <f>'PC LIST'!O618</f>
        <v>text</v>
      </c>
      <c r="EG45" s="57" t="str">
        <f>'PC LIST'!P618</f>
        <v>Service incentive mechanism (SIM) score ranking</v>
      </c>
      <c r="EH45" s="56" t="str">
        <f>'PC LIST'!Q618</f>
        <v>na</v>
      </c>
      <c r="EI45" s="56" t="str">
        <f>'PC LIST'!J618</f>
        <v>Out &amp; under</v>
      </c>
      <c r="EJ45" s="56" t="str">
        <f>'PC LIST'!CC618</f>
        <v>-</v>
      </c>
    </row>
    <row r="46" spans="8:140" ht="15.75" customHeight="1">
      <c r="J46" s="54"/>
      <c r="K46" s="54"/>
      <c r="L46" s="54"/>
      <c r="M46" s="56"/>
      <c r="N46" s="56"/>
      <c r="T46" s="56"/>
      <c r="U46" s="56"/>
      <c r="AC46" s="56" t="str">
        <f>'PC LIST'!B132</f>
        <v>PR14NESHHR_R-F1</v>
      </c>
      <c r="AD46" s="58" t="str">
        <f>'PC LIST'!I132</f>
        <v>R-F1: Delivering a consolidated Customer Information and Billing (CIB) system</v>
      </c>
      <c r="AE46" s="58" t="str">
        <f>'PC LIST'!O132</f>
        <v>£m</v>
      </c>
      <c r="AF46" s="58" t="str">
        <f>'PC LIST'!P132</f>
        <v>£ million cumulative depreciation</v>
      </c>
      <c r="AG46" s="56">
        <f>'PC LIST'!Q132</f>
        <v>3</v>
      </c>
      <c r="AH46" s="56" t="str">
        <f>'PC LIST'!J132</f>
        <v>Under</v>
      </c>
      <c r="AI46" s="56" t="str">
        <f>'PC LIST'!CC132</f>
        <v>Delivered late</v>
      </c>
      <c r="BG46" s="54"/>
      <c r="BH46" s="54"/>
      <c r="BI46" s="54"/>
      <c r="BJ46" s="56"/>
      <c r="BK46" s="56"/>
      <c r="BN46" s="54"/>
      <c r="BO46" s="54"/>
      <c r="BP46" s="54"/>
      <c r="BQ46" s="54"/>
      <c r="BR46" s="54"/>
      <c r="BZ46" s="56" t="str">
        <f>'PC LIST'!B307</f>
        <v>PR14SVTHHR_R-B1</v>
      </c>
      <c r="CA46" s="57" t="str">
        <f>'PC LIST'!I307</f>
        <v>R-B1: Customers helped by a review of their tariff &amp; water usage &amp;/or supported by SVT social fund</v>
      </c>
      <c r="CB46" s="57" t="str">
        <f>'PC LIST'!O307</f>
        <v>nr</v>
      </c>
      <c r="CC46" s="57" t="str">
        <f>'PC LIST'!P307</f>
        <v>No. of customers engaged with on debt</v>
      </c>
      <c r="CD46" s="56">
        <f>'PC LIST'!Q307</f>
        <v>0</v>
      </c>
      <c r="CE46" s="56" t="str">
        <f>'PC LIST'!J307</f>
        <v>NFI</v>
      </c>
      <c r="CF46" s="744">
        <f>'PC LIST'!CC307</f>
        <v>51652</v>
      </c>
      <c r="CI46" s="54"/>
      <c r="CJ46" s="54"/>
      <c r="CK46" s="54"/>
      <c r="CL46" s="54"/>
      <c r="CM46" s="54"/>
      <c r="CN46" s="56" t="str">
        <f>'PC LIST'!B394</f>
        <v>PR14TMSTTT_T1C</v>
      </c>
      <c r="CO46" s="57" t="str">
        <f>'PC LIST'!I394</f>
        <v>T1C: Completion of category 2 and 3 construction works and timely availability of sites to the IP</v>
      </c>
      <c r="CP46" s="57" t="str">
        <f>'PC LIST'!O394</f>
        <v>nr</v>
      </c>
      <c r="CQ46" s="57" t="str">
        <f>'PC LIST'!P394</f>
        <v>No. of sites (cumulative)</v>
      </c>
      <c r="CR46" s="56">
        <f>'PC LIST'!Q394</f>
        <v>0</v>
      </c>
      <c r="CS46" s="56" t="str">
        <f>'PC LIST'!J394</f>
        <v>Under</v>
      </c>
      <c r="CT46" s="56">
        <f>'PC LIST'!CC394</f>
        <v>21</v>
      </c>
      <c r="DD46" s="54"/>
      <c r="DE46" s="54"/>
      <c r="DF46" s="54"/>
      <c r="DG46" s="54"/>
      <c r="DH46" s="54"/>
      <c r="DK46" s="54"/>
      <c r="DL46" s="54"/>
      <c r="DM46" s="54"/>
      <c r="DN46" s="54"/>
      <c r="DO46" s="56"/>
      <c r="DV46" s="56"/>
      <c r="DW46" s="56" t="str">
        <f>'PC LIST'!B573</f>
        <v>PR14HDDHHR_R-A2</v>
      </c>
      <c r="DX46" s="57" t="str">
        <f>'PC LIST'!I573</f>
        <v>R-A2: Customers' experience of dealing with us (based on Ofwat's SIM)</v>
      </c>
      <c r="DY46" s="57" t="str">
        <f>'PC LIST'!O573</f>
        <v>text</v>
      </c>
      <c r="DZ46" s="57" t="str">
        <f>'PC LIST'!P573</f>
        <v>Service incentive mechanism (SIM) score ranking</v>
      </c>
      <c r="EA46" s="56" t="str">
        <f>'PC LIST'!Q573</f>
        <v>na</v>
      </c>
      <c r="EB46" s="56" t="str">
        <f>'PC LIST'!J573</f>
        <v>Out &amp; under</v>
      </c>
      <c r="EC46" s="56" t="str">
        <f>'PC LIST'!CC573</f>
        <v>-</v>
      </c>
      <c r="ED46" s="56" t="str">
        <f>'PC LIST'!B619</f>
        <v>PR14SVEHHR_R-B1</v>
      </c>
      <c r="EE46" s="57" t="str">
        <f>'PC LIST'!I619</f>
        <v>R-B1: Customers helped by a review of their tariff &amp; water usage &amp;/or supported by SVT social fund</v>
      </c>
      <c r="EF46" s="57" t="str">
        <f>'PC LIST'!O619</f>
        <v>nr</v>
      </c>
      <c r="EG46" s="57" t="str">
        <f>'PC LIST'!P619</f>
        <v>No. of customers engaged with on debt</v>
      </c>
      <c r="EH46" s="56">
        <f>'PC LIST'!Q619</f>
        <v>0</v>
      </c>
      <c r="EI46" s="56" t="str">
        <f>'PC LIST'!J619</f>
        <v>NFI</v>
      </c>
      <c r="EJ46" s="56" t="str">
        <f>'PC LIST'!CC619</f>
        <v>-</v>
      </c>
    </row>
    <row r="47" spans="8:140" ht="15.75" customHeight="1">
      <c r="J47" s="54"/>
      <c r="K47" s="54"/>
      <c r="L47" s="54"/>
      <c r="M47" s="56"/>
      <c r="N47" s="56"/>
      <c r="T47" s="56"/>
      <c r="U47" s="56"/>
      <c r="AC47" s="56"/>
      <c r="AD47" s="58"/>
      <c r="AE47" s="58"/>
      <c r="AF47" s="58"/>
      <c r="BG47" s="54"/>
      <c r="BH47" s="54"/>
      <c r="BI47" s="54"/>
      <c r="BJ47" s="56"/>
      <c r="BK47" s="56"/>
      <c r="BZ47" s="56" t="str">
        <f>'PC LIST'!B308</f>
        <v>PR14SVTHHR_R-B2</v>
      </c>
      <c r="CA47" s="57" t="str">
        <f>'PC LIST'!I308</f>
        <v>R-B2: Percentage of customers who do not pay (household bad debt divided by total household revenue)</v>
      </c>
      <c r="CB47" s="57" t="str">
        <f>'PC LIST'!O308</f>
        <v>%</v>
      </c>
      <c r="CC47" s="57" t="str">
        <f>'PC LIST'!P308</f>
        <v>% of customers who do not pay</v>
      </c>
      <c r="CD47" s="56">
        <f>'PC LIST'!Q308</f>
        <v>2</v>
      </c>
      <c r="CE47" s="56" t="str">
        <f>'PC LIST'!J308</f>
        <v>NFI</v>
      </c>
      <c r="CF47" s="744">
        <f>'PC LIST'!CC308</f>
        <v>2.2000000000000002</v>
      </c>
      <c r="CI47" s="54"/>
      <c r="CJ47" s="54"/>
      <c r="CK47" s="54"/>
      <c r="CL47" s="54"/>
      <c r="CM47" s="54"/>
      <c r="CN47" s="56" t="str">
        <f>'PC LIST'!B395</f>
        <v>PR14TMSTTT_T2</v>
      </c>
      <c r="CO47" s="57" t="str">
        <f>'PC LIST'!I395</f>
        <v>T2: Thames Water will engage effectively with the IP, and other stakeholders, both in terms of integration and assurance</v>
      </c>
      <c r="CP47" s="57" t="str">
        <f>'PC LIST'!O395</f>
        <v>text</v>
      </c>
      <c r="CQ47" s="57" t="str">
        <f>'PC LIST'!P395</f>
        <v>Effective engagement with IP and stakeholders</v>
      </c>
      <c r="CR47" s="56" t="str">
        <f>'PC LIST'!Q395</f>
        <v>na</v>
      </c>
      <c r="CS47" s="56" t="str">
        <f>'PC LIST'!J395</f>
        <v>NFI</v>
      </c>
      <c r="CT47" s="56" t="str">
        <f>'PC LIST'!CC395</f>
        <v>Yes</v>
      </c>
      <c r="DK47" s="54"/>
      <c r="DL47" s="54"/>
      <c r="DM47" s="54"/>
      <c r="DN47" s="54"/>
      <c r="DO47" s="56"/>
      <c r="DV47" s="56"/>
      <c r="DW47" s="56" t="str">
        <f>'PC LIST'!B574</f>
        <v>PR14HDDHHR_R-B1</v>
      </c>
      <c r="DX47" s="57" t="str">
        <f>'PC LIST'!I574</f>
        <v>R-B1: Customers helped by a review of their tariff &amp; water usage &amp;/or supported by SVT social fund</v>
      </c>
      <c r="DY47" s="57" t="str">
        <f>'PC LIST'!O574</f>
        <v>nr</v>
      </c>
      <c r="DZ47" s="57" t="str">
        <f>'PC LIST'!P574</f>
        <v>No. of customers engaged with on debt</v>
      </c>
      <c r="EA47" s="56">
        <f>'PC LIST'!Q574</f>
        <v>0</v>
      </c>
      <c r="EB47" s="56" t="str">
        <f>'PC LIST'!J574</f>
        <v>NFI</v>
      </c>
      <c r="EC47" s="56" t="str">
        <f>'PC LIST'!CC574</f>
        <v>-</v>
      </c>
      <c r="ED47" s="56" t="str">
        <f>'PC LIST'!B620</f>
        <v>PR14SVEHHR_R-B2</v>
      </c>
      <c r="EE47" s="57" t="str">
        <f>'PC LIST'!I620</f>
        <v>R-B2: Percentage of customers who do not pay (household bad debt divided by total household revenue)</v>
      </c>
      <c r="EF47" s="57" t="str">
        <f>'PC LIST'!O620</f>
        <v>%</v>
      </c>
      <c r="EG47" s="57" t="str">
        <f>'PC LIST'!P620</f>
        <v>% of customers who do not pay</v>
      </c>
      <c r="EH47" s="56">
        <f>'PC LIST'!Q620</f>
        <v>2</v>
      </c>
      <c r="EI47" s="56" t="str">
        <f>'PC LIST'!J620</f>
        <v>NFI</v>
      </c>
      <c r="EJ47" s="56" t="str">
        <f>'PC LIST'!CC620</f>
        <v>-</v>
      </c>
    </row>
    <row r="48" spans="8:140" ht="15.75" customHeight="1">
      <c r="J48" s="54"/>
      <c r="K48" s="54"/>
      <c r="L48" s="54"/>
      <c r="M48" s="56"/>
      <c r="N48" s="56"/>
      <c r="T48" s="56"/>
      <c r="U48" s="56"/>
      <c r="BG48" s="54"/>
      <c r="BH48" s="54"/>
      <c r="BI48" s="54"/>
      <c r="BJ48" s="56"/>
      <c r="BK48" s="56"/>
      <c r="BZ48" s="56"/>
      <c r="CA48" s="57"/>
      <c r="CB48" s="57"/>
      <c r="CC48" s="57"/>
      <c r="CI48" s="54"/>
      <c r="CJ48" s="54"/>
      <c r="CK48" s="54"/>
      <c r="CL48" s="54"/>
      <c r="CM48" s="54"/>
      <c r="CN48" s="56" t="str">
        <f>'PC LIST'!B396</f>
        <v>PR14TMSTTT_T3</v>
      </c>
      <c r="CO48" s="57" t="str">
        <f>'PC LIST'!I396</f>
        <v>T3: Thames Water will engage with its customers to build understanding of the TTT project. Thames Water will liaise with the IP on its surveys of local communities impacted by construction</v>
      </c>
      <c r="CP48" s="57" t="str">
        <f>'PC LIST'!O396</f>
        <v>text</v>
      </c>
      <c r="CQ48" s="57" t="str">
        <f>'PC LIST'!P396</f>
        <v>Engagement to build TTT understanding</v>
      </c>
      <c r="CR48" s="56" t="str">
        <f>'PC LIST'!Q396</f>
        <v>na</v>
      </c>
      <c r="CS48" s="56" t="str">
        <f>'PC LIST'!J396</f>
        <v>NFI</v>
      </c>
      <c r="CT48" s="56" t="str">
        <f>'PC LIST'!CC396</f>
        <v xml:space="preserve">No </v>
      </c>
      <c r="DK48" s="54"/>
      <c r="DL48" s="54"/>
      <c r="DM48" s="54"/>
      <c r="DN48" s="54"/>
      <c r="DO48" s="56"/>
      <c r="DV48" s="56"/>
      <c r="DW48" s="56" t="str">
        <f>'PC LIST'!B575</f>
        <v>PR14HDDHHR_R-B2</v>
      </c>
      <c r="DX48" s="57" t="str">
        <f>'PC LIST'!I575</f>
        <v>R-B2: Percentage of customers who do not pay (household bad debt divided by total household revenue)</v>
      </c>
      <c r="DY48" s="57" t="str">
        <f>'PC LIST'!O575</f>
        <v>%</v>
      </c>
      <c r="DZ48" s="57" t="str">
        <f>'PC LIST'!P575</f>
        <v>% of customers who do not pay</v>
      </c>
      <c r="EA48" s="56">
        <f>'PC LIST'!Q575</f>
        <v>2</v>
      </c>
      <c r="EB48" s="56" t="str">
        <f>'PC LIST'!J575</f>
        <v>NFI</v>
      </c>
      <c r="EC48" s="56" t="str">
        <f>'PC LIST'!CC575</f>
        <v>-</v>
      </c>
      <c r="ED48" s="56" t="str">
        <f>'PC LIST'!B621</f>
        <v>PR14SVEWSW_A1</v>
      </c>
      <c r="EE48" s="57" t="str">
        <f>'PC LIST'!I621</f>
        <v>A1: Discoloured water contacts</v>
      </c>
      <c r="EF48" s="57" t="str">
        <f>'PC LIST'!O621</f>
        <v>nr</v>
      </c>
      <c r="EG48" s="57" t="str">
        <f>'PC LIST'!P621</f>
        <v>No. per 1,000 population</v>
      </c>
      <c r="EH48" s="56">
        <f>'PC LIST'!Q621</f>
        <v>2</v>
      </c>
      <c r="EI48" s="56" t="str">
        <f>'PC LIST'!J621</f>
        <v>Out &amp; under</v>
      </c>
      <c r="EJ48" s="56" t="str">
        <f>'PC LIST'!CC621</f>
        <v>-</v>
      </c>
    </row>
    <row r="49" spans="10:140" ht="15.75" customHeight="1">
      <c r="J49" s="54"/>
      <c r="K49" s="54"/>
      <c r="L49" s="54"/>
      <c r="M49" s="56"/>
      <c r="N49" s="56"/>
      <c r="T49" s="56"/>
      <c r="U49" s="56"/>
      <c r="BG49" s="54"/>
      <c r="BH49" s="54"/>
      <c r="BI49" s="54"/>
      <c r="BJ49" s="56"/>
      <c r="BK49" s="56"/>
      <c r="CB49" s="54"/>
      <c r="CC49" s="54"/>
      <c r="CD49" s="54"/>
      <c r="CE49" s="54"/>
      <c r="CF49" s="54"/>
      <c r="CI49" s="54"/>
      <c r="CJ49" s="54"/>
      <c r="CK49" s="54"/>
      <c r="CL49" s="54"/>
      <c r="CM49" s="54"/>
      <c r="CN49" s="56" t="str">
        <f>'PC LIST'!B397</f>
        <v>PR14TMSHHR_RA1</v>
      </c>
      <c r="CO49" s="57" t="str">
        <f>'PC LIST'!I397</f>
        <v>RA1: Minimise the number of written complaints received from customers (relating to charging and billing)</v>
      </c>
      <c r="CP49" s="57" t="str">
        <f>'PC LIST'!O397</f>
        <v>nr</v>
      </c>
      <c r="CQ49" s="57" t="str">
        <f>'PC LIST'!P397</f>
        <v>No. written complaints / 10,000 properties</v>
      </c>
      <c r="CR49" s="56">
        <f>'PC LIST'!Q397</f>
        <v>0</v>
      </c>
      <c r="CS49" s="56" t="str">
        <f>'PC LIST'!J397</f>
        <v>NFI</v>
      </c>
      <c r="CT49" s="56">
        <f>'PC LIST'!CC397</f>
        <v>16.887708842084599</v>
      </c>
      <c r="DK49" s="54"/>
      <c r="DL49" s="54"/>
      <c r="DM49" s="54"/>
      <c r="DN49" s="54"/>
      <c r="DO49" s="56"/>
      <c r="DV49" s="56"/>
      <c r="DW49" s="56"/>
      <c r="DX49" s="57"/>
      <c r="DY49" s="57"/>
      <c r="DZ49" s="57"/>
      <c r="EA49" s="56"/>
      <c r="EB49" s="56"/>
      <c r="EC49" s="56"/>
      <c r="ED49" s="56" t="str">
        <f>'PC LIST'!B622</f>
        <v>PR14SVEWSW_A2</v>
      </c>
      <c r="EE49" s="57" t="str">
        <f>'PC LIST'!I622</f>
        <v>A2: Mean zonal compliance (MZC)</v>
      </c>
      <c r="EF49" s="57" t="str">
        <f>'PC LIST'!O622</f>
        <v>%</v>
      </c>
      <c r="EG49" s="57" t="str">
        <f>'PC LIST'!P622</f>
        <v>Mean zonal compliance (%)</v>
      </c>
      <c r="EH49" s="56">
        <f>'PC LIST'!Q622</f>
        <v>2</v>
      </c>
      <c r="EI49" s="56" t="str">
        <f>'PC LIST'!J622</f>
        <v>Under</v>
      </c>
      <c r="EJ49" s="56" t="str">
        <f>'PC LIST'!CC622</f>
        <v>-</v>
      </c>
    </row>
    <row r="50" spans="10:140" ht="15.75" customHeight="1">
      <c r="J50" s="54"/>
      <c r="K50" s="54"/>
      <c r="L50" s="54"/>
      <c r="M50" s="56"/>
      <c r="N50" s="56"/>
      <c r="T50" s="56"/>
      <c r="U50" s="56"/>
      <c r="BG50" s="54"/>
      <c r="BH50" s="54"/>
      <c r="BI50" s="54"/>
      <c r="BJ50" s="56"/>
      <c r="BK50" s="56"/>
      <c r="CB50" s="54"/>
      <c r="CC50" s="54"/>
      <c r="CD50" s="54"/>
      <c r="CE50" s="54"/>
      <c r="CF50" s="54"/>
      <c r="CI50" s="54"/>
      <c r="CJ50" s="54"/>
      <c r="CK50" s="54"/>
      <c r="CL50" s="54"/>
      <c r="CM50" s="54"/>
      <c r="CN50" s="56" t="str">
        <f>'PC LIST'!B398</f>
        <v>PR14TMSHHR_RA2</v>
      </c>
      <c r="CO50" s="57" t="str">
        <f>'PC LIST'!I398</f>
        <v>RA2: Improve handling of written complaints by increasing first time resolution - charging and billing</v>
      </c>
      <c r="CP50" s="57" t="str">
        <f>'PC LIST'!O398</f>
        <v>%</v>
      </c>
      <c r="CQ50" s="57" t="str">
        <f>'PC LIST'!P398</f>
        <v>% written complaints resolved 1st time</v>
      </c>
      <c r="CR50" s="56">
        <f>'PC LIST'!Q398</f>
        <v>0</v>
      </c>
      <c r="CS50" s="56" t="str">
        <f>'PC LIST'!J398</f>
        <v>NFI</v>
      </c>
      <c r="CT50" s="56">
        <f>'PC LIST'!CC398</f>
        <v>95.09</v>
      </c>
      <c r="DK50" s="54"/>
      <c r="DL50" s="54"/>
      <c r="DM50" s="54"/>
      <c r="DN50" s="54"/>
      <c r="DO50" s="56"/>
      <c r="DV50" s="56"/>
      <c r="DW50" s="2380"/>
      <c r="EC50" s="56"/>
      <c r="ED50" s="56" t="str">
        <f>'PC LIST'!B623</f>
        <v>PR14SVEWSW_B1</v>
      </c>
      <c r="EE50" s="57" t="str">
        <f>'PC LIST'!I623</f>
        <v>B1: Average duration of interruptions - 3 hours or longer (planned and unplanned interruptions)</v>
      </c>
      <c r="EF50" s="57" t="str">
        <f>'PC LIST'!O623</f>
        <v>time</v>
      </c>
      <c r="EG50" s="57" t="str">
        <f>'PC LIST'!P623</f>
        <v>Hours / property / year</v>
      </c>
      <c r="EH50" s="56">
        <f>'PC LIST'!Q623</f>
        <v>2</v>
      </c>
      <c r="EI50" s="56" t="str">
        <f>'PC LIST'!J623</f>
        <v>Out &amp; under</v>
      </c>
      <c r="EJ50" s="56" t="str">
        <f>'PC LIST'!CC623</f>
        <v>-</v>
      </c>
    </row>
    <row r="51" spans="10:140" ht="15.75" customHeight="1">
      <c r="J51" s="54"/>
      <c r="K51" s="54"/>
      <c r="L51" s="54"/>
      <c r="M51" s="56"/>
      <c r="N51" s="56"/>
      <c r="T51" s="56"/>
      <c r="U51" s="56"/>
      <c r="BJ51" s="56"/>
      <c r="BK51" s="56"/>
      <c r="CB51" s="54"/>
      <c r="CC51" s="54"/>
      <c r="CD51" s="54"/>
      <c r="CE51" s="54"/>
      <c r="CF51" s="54"/>
      <c r="CI51" s="54"/>
      <c r="CJ51" s="54"/>
      <c r="CK51" s="54"/>
      <c r="CL51" s="54"/>
      <c r="CM51" s="54"/>
      <c r="CN51" s="56" t="str">
        <f>'PC LIST'!B399</f>
        <v>PR14TMSHHR_RA3</v>
      </c>
      <c r="CO51" s="57" t="str">
        <f>'PC LIST'!I399</f>
        <v>RA3: Improve customer satisfaction of retail customers - charging and billing service</v>
      </c>
      <c r="CP51" s="57" t="str">
        <f>'PC LIST'!O399</f>
        <v>score</v>
      </c>
      <c r="CQ51" s="57" t="str">
        <f>'PC LIST'!P399</f>
        <v>TW internal Customer satisfaction score (mean score out of 5)</v>
      </c>
      <c r="CR51" s="56">
        <f>'PC LIST'!Q399</f>
        <v>2</v>
      </c>
      <c r="CS51" s="56" t="str">
        <f>'PC LIST'!J399</f>
        <v>NFI</v>
      </c>
      <c r="CT51" s="56">
        <f>'PC LIST'!CC399</f>
        <v>4.6550240445456801</v>
      </c>
      <c r="DK51" s="54"/>
      <c r="DL51" s="54"/>
      <c r="DM51" s="54"/>
      <c r="DN51" s="54"/>
      <c r="DO51" s="56"/>
      <c r="DV51" s="56"/>
      <c r="EC51" s="56"/>
      <c r="ED51" s="56" t="str">
        <f>'PC LIST'!B624</f>
        <v>PR14SVEWSW_B2</v>
      </c>
      <c r="EE51" s="57" t="str">
        <f>'PC LIST'!I624</f>
        <v>B2: Sustainable economic level of leakage</v>
      </c>
      <c r="EF51" s="57" t="str">
        <f>'PC LIST'!O624</f>
        <v>nr</v>
      </c>
      <c r="EG51" s="57" t="str">
        <f>'PC LIST'!P624</f>
        <v>Litres per property per day (l/prop/day)</v>
      </c>
      <c r="EH51" s="56">
        <f>'PC LIST'!Q624</f>
        <v>1</v>
      </c>
      <c r="EI51" s="56" t="str">
        <f>'PC LIST'!J624</f>
        <v>Out &amp; under</v>
      </c>
      <c r="EJ51" s="56" t="str">
        <f>'PC LIST'!CC624</f>
        <v>-</v>
      </c>
    </row>
    <row r="52" spans="10:140" ht="15.75" customHeight="1">
      <c r="J52" s="54"/>
      <c r="K52" s="54"/>
      <c r="L52" s="54"/>
      <c r="M52" s="56"/>
      <c r="N52" s="56"/>
      <c r="T52" s="56"/>
      <c r="U52" s="56"/>
      <c r="BJ52" s="56"/>
      <c r="BK52" s="56"/>
      <c r="CB52" s="54"/>
      <c r="CC52" s="54"/>
      <c r="CD52" s="54"/>
      <c r="CE52" s="54"/>
      <c r="CF52" s="54"/>
      <c r="CI52" s="54"/>
      <c r="CJ52" s="54"/>
      <c r="CK52" s="54"/>
      <c r="CL52" s="54"/>
      <c r="CM52" s="54"/>
      <c r="CN52" s="56" t="str">
        <f>'PC LIST'!B400</f>
        <v>PR14TMSHHR_RA4</v>
      </c>
      <c r="CO52" s="57" t="str">
        <f>'PC LIST'!I400</f>
        <v>RA4: Improve customer satisfaction of retail customers - operations contact centre</v>
      </c>
      <c r="CP52" s="57" t="str">
        <f>'PC LIST'!O400</f>
        <v>score</v>
      </c>
      <c r="CQ52" s="57" t="str">
        <f>'PC LIST'!P400</f>
        <v>TW internal Customer satisfaction score (mean score out of 5)</v>
      </c>
      <c r="CR52" s="56">
        <f>'PC LIST'!Q400</f>
        <v>2</v>
      </c>
      <c r="CS52" s="56" t="str">
        <f>'PC LIST'!J400</f>
        <v>NFI</v>
      </c>
      <c r="CT52" s="56">
        <f>'PC LIST'!CC400</f>
        <v>4.4321125537096497</v>
      </c>
      <c r="DK52" s="54"/>
      <c r="DL52" s="54"/>
      <c r="DM52" s="54"/>
      <c r="DN52" s="54"/>
      <c r="DO52" s="56"/>
      <c r="DV52" s="56"/>
      <c r="EC52" s="56"/>
      <c r="ED52" s="56" t="str">
        <f>'PC LIST'!B625</f>
        <v>PR14SVEWSW_B3</v>
      </c>
      <c r="EE52" s="57" t="str">
        <f>'PC LIST'!I625</f>
        <v>B3: Security of supply index (SOSI)</v>
      </c>
      <c r="EF52" s="57" t="str">
        <f>'PC LIST'!O625</f>
        <v>score</v>
      </c>
      <c r="EG52" s="57" t="str">
        <f>'PC LIST'!P625</f>
        <v>Security of Supply Index (SOSI)</v>
      </c>
      <c r="EH52" s="56">
        <f>'PC LIST'!Q625</f>
        <v>0</v>
      </c>
      <c r="EI52" s="56" t="str">
        <f>'PC LIST'!J625</f>
        <v>NFI</v>
      </c>
      <c r="EJ52" s="56" t="str">
        <f>'PC LIST'!CC625</f>
        <v>-</v>
      </c>
    </row>
    <row r="53" spans="10:140" ht="15.75" customHeight="1">
      <c r="J53" s="54"/>
      <c r="K53" s="54"/>
      <c r="L53" s="54"/>
      <c r="M53" s="56"/>
      <c r="N53" s="56"/>
      <c r="T53" s="56"/>
      <c r="U53" s="56"/>
      <c r="BJ53" s="56"/>
      <c r="BK53" s="56"/>
      <c r="CB53" s="54"/>
      <c r="CC53" s="54"/>
      <c r="CD53" s="54"/>
      <c r="CE53" s="54"/>
      <c r="CF53" s="54"/>
      <c r="CI53" s="54"/>
      <c r="CJ53" s="54"/>
      <c r="CK53" s="54"/>
      <c r="CL53" s="54"/>
      <c r="CM53" s="54"/>
      <c r="CN53" s="56" t="str">
        <f>'PC LIST'!B401</f>
        <v>PR14TMSHHR_RA5</v>
      </c>
      <c r="CO53" s="57" t="str">
        <f>'PC LIST'!I401</f>
        <v>RA5: Increase the number of bills based on actual meter reads (in cycle)</v>
      </c>
      <c r="CP53" s="57" t="str">
        <f>'PC LIST'!O401</f>
        <v>%</v>
      </c>
      <c r="CQ53" s="57" t="str">
        <f>'PC LIST'!P401</f>
        <v>% bills based on actual meter reads</v>
      </c>
      <c r="CR53" s="56">
        <f>'PC LIST'!Q401</f>
        <v>0</v>
      </c>
      <c r="CS53" s="56" t="str">
        <f>'PC LIST'!J401</f>
        <v>NFI</v>
      </c>
      <c r="CT53" s="56">
        <f>'PC LIST'!CC401</f>
        <v>96.64</v>
      </c>
      <c r="DK53" s="54"/>
      <c r="DL53" s="54"/>
      <c r="DM53" s="54"/>
      <c r="DN53" s="54"/>
      <c r="DO53" s="56"/>
      <c r="DV53" s="56"/>
      <c r="EC53" s="56"/>
      <c r="ED53" s="56" t="str">
        <f>'PC LIST'!B626</f>
        <v>PR14SVEWSW_B4</v>
      </c>
      <c r="EE53" s="57" t="str">
        <f>'PC LIST'!I626</f>
        <v>B4: Number of bursts</v>
      </c>
      <c r="EF53" s="57" t="str">
        <f>'PC LIST'!O626</f>
        <v>nr</v>
      </c>
      <c r="EG53" s="57" t="str">
        <f>'PC LIST'!P626</f>
        <v>No. of burst mains per year</v>
      </c>
      <c r="EH53" s="56">
        <f>'PC LIST'!Q626</f>
        <v>0</v>
      </c>
      <c r="EI53" s="56" t="str">
        <f>'PC LIST'!J626</f>
        <v>Out &amp; under</v>
      </c>
      <c r="EJ53" s="56" t="str">
        <f>'PC LIST'!CC626</f>
        <v>-</v>
      </c>
    </row>
    <row r="54" spans="10:140" ht="15.75" customHeight="1">
      <c r="J54" s="54"/>
      <c r="K54" s="54"/>
      <c r="L54" s="54"/>
      <c r="M54" s="56"/>
      <c r="N54" s="56"/>
      <c r="T54" s="56"/>
      <c r="U54" s="56"/>
      <c r="BJ54" s="56"/>
      <c r="BK54" s="56"/>
      <c r="CB54" s="54"/>
      <c r="CC54" s="54"/>
      <c r="CD54" s="54"/>
      <c r="CE54" s="54"/>
      <c r="CF54" s="54"/>
      <c r="CI54" s="54"/>
      <c r="CJ54" s="54"/>
      <c r="CK54" s="54"/>
      <c r="CL54" s="54"/>
      <c r="CM54" s="54"/>
      <c r="CN54" s="56" t="str">
        <f>'PC LIST'!B402</f>
        <v>PR14TMSHHR_RA6</v>
      </c>
      <c r="CO54" s="57" t="str">
        <f>'PC LIST'!I402</f>
        <v>RA6: Service incentive mechanism (SIM)</v>
      </c>
      <c r="CP54" s="57" t="str">
        <f>'PC LIST'!O402</f>
        <v>score</v>
      </c>
      <c r="CQ54" s="57" t="str">
        <f>'PC LIST'!P402</f>
        <v>Service incentive mechanism (SIM) score</v>
      </c>
      <c r="CR54" s="56">
        <f>'PC LIST'!Q402</f>
        <v>1</v>
      </c>
      <c r="CS54" s="56" t="str">
        <f>'PC LIST'!J402</f>
        <v>Out &amp; under</v>
      </c>
      <c r="CT54" s="56">
        <f>'PC LIST'!CC402</f>
        <v>78.428740527351835</v>
      </c>
      <c r="DK54" s="54"/>
      <c r="DL54" s="54"/>
      <c r="DM54" s="54"/>
      <c r="DN54" s="54"/>
      <c r="DO54" s="56"/>
      <c r="DV54" s="56"/>
      <c r="EC54" s="56"/>
      <c r="ED54" s="56" t="str">
        <f>'PC LIST'!B627</f>
        <v>PR14SVEWSW_C1</v>
      </c>
      <c r="EE54" s="57" t="str">
        <f>'PC LIST'!I627</f>
        <v>C1: Gross operational greenhouse gas emissions</v>
      </c>
      <c r="EF54" s="57" t="str">
        <f>'PC LIST'!O627</f>
        <v>nr</v>
      </c>
      <c r="EG54" s="57" t="str">
        <f>'PC LIST'!P627</f>
        <v>tCO2e</v>
      </c>
      <c r="EH54" s="56">
        <f>'PC LIST'!Q627</f>
        <v>0</v>
      </c>
      <c r="EI54" s="56" t="str">
        <f>'PC LIST'!J627</f>
        <v>NFI</v>
      </c>
      <c r="EJ54" s="56" t="str">
        <f>'PC LIST'!CC627</f>
        <v>-</v>
      </c>
    </row>
    <row r="55" spans="10:140" ht="15.75" customHeight="1">
      <c r="M55" s="56"/>
      <c r="N55" s="56"/>
      <c r="T55" s="56"/>
      <c r="U55" s="56"/>
      <c r="BJ55" s="56"/>
      <c r="BK55" s="56"/>
      <c r="CB55" s="54"/>
      <c r="CC55" s="54"/>
      <c r="CD55" s="54"/>
      <c r="CE55" s="54"/>
      <c r="CF55" s="54"/>
      <c r="CI55" s="54"/>
      <c r="CJ55" s="54"/>
      <c r="CK55" s="54"/>
      <c r="CL55" s="54"/>
      <c r="CM55" s="54"/>
      <c r="CN55" s="56" t="str">
        <f>'PC LIST'!B403</f>
        <v>PR14TMSHHR_RB1</v>
      </c>
      <c r="CO55" s="57" t="str">
        <f>'PC LIST'!I403</f>
        <v>RB1: Implement new online account management for customers supported by web-chat</v>
      </c>
      <c r="CP55" s="57" t="str">
        <f>'PC LIST'!O403</f>
        <v>text</v>
      </c>
      <c r="CQ55" s="57" t="str">
        <f>'PC LIST'!P403</f>
        <v>Delivery status</v>
      </c>
      <c r="CR55" s="56" t="str">
        <f>'PC LIST'!Q403</f>
        <v>na</v>
      </c>
      <c r="CS55" s="56" t="str">
        <f>'PC LIST'!J403</f>
        <v>Under</v>
      </c>
      <c r="CT55" s="56" t="str">
        <f>'PC LIST'!CC403</f>
        <v xml:space="preserve">New online self serve channel       </v>
      </c>
      <c r="DK55" s="54"/>
      <c r="DL55" s="54"/>
      <c r="DM55" s="54"/>
      <c r="DN55" s="54"/>
      <c r="DO55" s="56"/>
      <c r="DV55" s="56"/>
      <c r="EC55" s="56"/>
      <c r="ED55" s="56" t="str">
        <f>'PC LIST'!B628</f>
        <v>PR14SVEWSW_D1</v>
      </c>
      <c r="EE55" s="57" t="str">
        <f>'PC LIST'!I628</f>
        <v>D1: Customers’ perception based on market research</v>
      </c>
      <c r="EF55" s="57" t="str">
        <f>'PC LIST'!O628</f>
        <v>%</v>
      </c>
      <c r="EG55" s="57" t="str">
        <f>'PC LIST'!P628</f>
        <v>% customer satisfaction</v>
      </c>
      <c r="EH55" s="56" t="str">
        <f>'PC LIST'!Q628</f>
        <v>na</v>
      </c>
      <c r="EI55" s="56" t="str">
        <f>'PC LIST'!J628</f>
        <v>NFI</v>
      </c>
      <c r="EJ55" s="56" t="str">
        <f>'PC LIST'!CC628</f>
        <v>-</v>
      </c>
    </row>
    <row r="56" spans="10:140" ht="15.75" customHeight="1">
      <c r="M56" s="56"/>
      <c r="N56" s="56"/>
      <c r="T56" s="56"/>
      <c r="U56" s="56"/>
      <c r="BJ56" s="56"/>
      <c r="BK56" s="56"/>
      <c r="CB56" s="54"/>
      <c r="CC56" s="54"/>
      <c r="CD56" s="54"/>
      <c r="CE56" s="54"/>
      <c r="CF56" s="54"/>
      <c r="CI56" s="54"/>
      <c r="CJ56" s="54"/>
      <c r="CK56" s="54"/>
      <c r="CL56" s="54"/>
      <c r="CM56" s="54"/>
      <c r="CN56" s="56" t="str">
        <f>'PC LIST'!B404</f>
        <v>PR14TMSHHR_RC1</v>
      </c>
      <c r="CO56" s="57" t="str">
        <f>'PC LIST'!I404</f>
        <v>RC1: Increase the number of customers on payment plans (excluding Thames Tideway Tunnel)</v>
      </c>
      <c r="CP56" s="57" t="str">
        <f>'PC LIST'!O404</f>
        <v>%</v>
      </c>
      <c r="CQ56" s="57" t="str">
        <f>'PC LIST'!P404</f>
        <v>% of customers on DD payment plans</v>
      </c>
      <c r="CR56" s="56">
        <f>'PC LIST'!Q404</f>
        <v>0</v>
      </c>
      <c r="CS56" s="56" t="str">
        <f>'PC LIST'!J404</f>
        <v>NFI</v>
      </c>
      <c r="CT56" s="56">
        <f>'PC LIST'!CC404</f>
        <v>58.08</v>
      </c>
      <c r="DK56" s="54"/>
      <c r="DL56" s="54"/>
      <c r="DM56" s="54"/>
      <c r="DN56" s="54"/>
      <c r="DO56" s="56"/>
      <c r="DV56" s="56"/>
      <c r="EC56" s="56"/>
      <c r="ED56" s="56" t="str">
        <f>'PC LIST'!B629</f>
        <v>PR14SVENHHR_F1</v>
      </c>
      <c r="EE56" s="57" t="str">
        <f>'PC LIST'!I629</f>
        <v>F1: Non-household Service incentive mechanism (SIM)</v>
      </c>
      <c r="EF56" s="57" t="str">
        <f>'PC LIST'!O629</f>
        <v>score</v>
      </c>
      <c r="EG56" s="57" t="str">
        <f>'PC LIST'!P629</f>
        <v>Service incentive mechanism (SIM) score</v>
      </c>
      <c r="EH56" s="56">
        <f>'PC LIST'!Q629</f>
        <v>1</v>
      </c>
      <c r="EI56" s="56" t="str">
        <f>'PC LIST'!J629</f>
        <v>Out &amp; under</v>
      </c>
      <c r="EJ56" s="56" t="str">
        <f>'PC LIST'!CC629</f>
        <v>-</v>
      </c>
    </row>
    <row r="57" spans="10:140" ht="15.75" customHeight="1">
      <c r="M57" s="56"/>
      <c r="N57" s="56"/>
      <c r="T57" s="56"/>
      <c r="U57" s="56"/>
      <c r="BJ57" s="56"/>
      <c r="BK57" s="56"/>
      <c r="CB57" s="54"/>
      <c r="CC57" s="54"/>
      <c r="CD57" s="54"/>
      <c r="CE57" s="54"/>
      <c r="CF57" s="54"/>
      <c r="CI57" s="54"/>
      <c r="CJ57" s="54"/>
      <c r="CK57" s="54"/>
      <c r="CL57" s="54"/>
      <c r="CM57" s="54"/>
      <c r="CN57" s="56" t="str">
        <f>'PC LIST'!B405</f>
        <v>PR14TMSHHR_RC2</v>
      </c>
      <c r="CO57" s="57" t="str">
        <f>'PC LIST'!I405</f>
        <v>RC2: Increase cash collection rates (excluding Thames Tideway Tunnel)</v>
      </c>
      <c r="CP57" s="57" t="str">
        <f>'PC LIST'!O405</f>
        <v>%</v>
      </c>
      <c r="CQ57" s="57" t="str">
        <f>'PC LIST'!P405</f>
        <v>% of cash collected from billing in the year</v>
      </c>
      <c r="CR57" s="56">
        <f>'PC LIST'!Q405</f>
        <v>1</v>
      </c>
      <c r="CS57" s="56" t="str">
        <f>'PC LIST'!J405</f>
        <v>NFI</v>
      </c>
      <c r="CT57" s="56">
        <f>'PC LIST'!CC405</f>
        <v>89.2</v>
      </c>
      <c r="DK57" s="54"/>
      <c r="DL57" s="54"/>
      <c r="DM57" s="54"/>
      <c r="DN57" s="54"/>
      <c r="DO57" s="56"/>
      <c r="DV57" s="56"/>
      <c r="EC57" s="56"/>
      <c r="ED57" s="56" t="str">
        <f>'PC LIST'!B630</f>
        <v>PR14SVEHHR_E1</v>
      </c>
      <c r="EE57" s="57" t="str">
        <f>'PC LIST'!I630</f>
        <v>E1: Per capita consumption and water efficiency</v>
      </c>
      <c r="EF57" s="57" t="str">
        <f>'PC LIST'!O630</f>
        <v>nr</v>
      </c>
      <c r="EG57" s="57" t="str">
        <f>'PC LIST'!P630</f>
        <v>Litres per capita per day</v>
      </c>
      <c r="EH57" s="56">
        <f>'PC LIST'!Q630</f>
        <v>2</v>
      </c>
      <c r="EI57" s="56" t="str">
        <f>'PC LIST'!J630</f>
        <v>NFI</v>
      </c>
      <c r="EJ57" s="56" t="str">
        <f>'PC LIST'!CC630</f>
        <v>-</v>
      </c>
    </row>
    <row r="58" spans="10:140" ht="15.75" customHeight="1">
      <c r="CB58" s="54"/>
      <c r="CC58" s="54"/>
      <c r="CD58" s="54"/>
      <c r="CE58" s="54"/>
      <c r="CF58" s="54"/>
      <c r="CI58" s="54"/>
      <c r="CJ58" s="54"/>
      <c r="CK58" s="54"/>
      <c r="CL58" s="54"/>
      <c r="CM58" s="54"/>
      <c r="CN58" s="56"/>
      <c r="CO58" s="57"/>
      <c r="CP58" s="57"/>
      <c r="CQ58" s="57"/>
      <c r="DK58" s="54"/>
      <c r="DL58" s="54"/>
      <c r="DM58" s="54"/>
      <c r="DN58" s="54"/>
      <c r="DO58" s="746"/>
      <c r="ED58" s="56" t="str">
        <f>'PC LIST'!B631</f>
        <v>PR14SVEHHR_E2</v>
      </c>
      <c r="EE58" s="57" t="str">
        <f>'PC LIST'!I631</f>
        <v>E2: Service incentive mechanism (SIM)</v>
      </c>
      <c r="EF58" s="57" t="str">
        <f>'PC LIST'!O631</f>
        <v>score</v>
      </c>
      <c r="EG58" s="57" t="str">
        <f>'PC LIST'!P631</f>
        <v>Service incentive mechanism (SIM) score</v>
      </c>
      <c r="EH58" s="56">
        <f>'PC LIST'!Q631</f>
        <v>1</v>
      </c>
      <c r="EI58" s="56" t="str">
        <f>'PC LIST'!J631</f>
        <v>Out &amp; under</v>
      </c>
      <c r="EJ58" s="56" t="str">
        <f>'PC LIST'!CC631</f>
        <v>-</v>
      </c>
    </row>
    <row r="59" spans="10:140" ht="15.75" customHeight="1">
      <c r="CB59" s="54"/>
      <c r="CC59" s="54"/>
      <c r="CD59" s="54"/>
      <c r="CE59" s="54"/>
      <c r="CF59" s="54"/>
      <c r="CI59" s="54"/>
      <c r="CJ59" s="54"/>
      <c r="CK59" s="54"/>
      <c r="CL59" s="54"/>
      <c r="CM59" s="54"/>
      <c r="CP59" s="54"/>
      <c r="CQ59" s="54"/>
      <c r="CR59" s="54"/>
      <c r="CS59" s="54"/>
      <c r="CT59" s="746"/>
      <c r="DK59" s="54"/>
      <c r="DL59" s="54"/>
      <c r="DM59" s="54"/>
      <c r="DN59" s="54"/>
      <c r="DO59" s="746"/>
    </row>
    <row r="60" spans="10:140" ht="15.75" customHeight="1">
      <c r="CP60" s="54"/>
      <c r="CQ60" s="54"/>
      <c r="CR60" s="54"/>
      <c r="CS60" s="54"/>
      <c r="CT60" s="746"/>
      <c r="DK60" s="54"/>
      <c r="DL60" s="54"/>
      <c r="DM60" s="54"/>
      <c r="DN60" s="54"/>
      <c r="DO60" s="746"/>
    </row>
    <row r="61" spans="10:140" ht="15.75" customHeight="1">
      <c r="CP61" s="54"/>
      <c r="CQ61" s="54"/>
      <c r="CR61" s="54"/>
      <c r="CS61" s="54"/>
      <c r="CT61" s="746"/>
    </row>
    <row r="62" spans="10:140" ht="15.75" customHeight="1">
      <c r="CP62" s="54"/>
      <c r="CQ62" s="54"/>
      <c r="CR62" s="54"/>
      <c r="CS62" s="54"/>
      <c r="CT62" s="746"/>
    </row>
    <row r="63" spans="10:140" ht="15.75" customHeight="1">
      <c r="CP63" s="54"/>
      <c r="CQ63" s="54"/>
      <c r="CR63" s="54"/>
      <c r="CS63" s="54"/>
      <c r="CT63" s="746"/>
    </row>
    <row r="64" spans="10:140" ht="15.75" customHeight="1">
      <c r="CP64" s="54"/>
      <c r="CQ64" s="54"/>
      <c r="CR64" s="54"/>
      <c r="CS64" s="54"/>
      <c r="CT64" s="746"/>
    </row>
    <row r="65" spans="94:107" ht="15.75" customHeight="1">
      <c r="CP65" s="54"/>
      <c r="CQ65" s="54"/>
      <c r="CR65" s="54"/>
      <c r="CS65" s="54"/>
      <c r="CT65" s="746"/>
    </row>
    <row r="66" spans="94:107" ht="15.75" customHeight="1">
      <c r="CP66" s="54"/>
      <c r="CQ66" s="54"/>
      <c r="CR66" s="54"/>
      <c r="CS66" s="54"/>
      <c r="CT66" s="746"/>
      <c r="DB66" s="56"/>
      <c r="DC66" s="57"/>
    </row>
    <row r="67" spans="94:107" ht="15.75" customHeight="1">
      <c r="CP67" s="54"/>
      <c r="CQ67" s="54"/>
      <c r="CR67" s="54"/>
      <c r="CS67" s="54"/>
      <c r="CT67" s="746"/>
    </row>
    <row r="68" spans="94:107" ht="15.75" customHeight="1">
      <c r="CP68" s="54"/>
      <c r="CQ68" s="54"/>
      <c r="CR68" s="54"/>
      <c r="CS68" s="54"/>
      <c r="CT68" s="746"/>
    </row>
    <row r="69" spans="94:107" ht="15.75" customHeight="1">
      <c r="CP69" s="54"/>
      <c r="CQ69" s="54"/>
      <c r="CR69" s="54"/>
      <c r="CS69" s="54"/>
      <c r="CT69" s="746"/>
    </row>
    <row r="70" spans="94:107" ht="15.75" customHeight="1">
      <c r="CP70" s="54"/>
      <c r="CQ70" s="54"/>
      <c r="CR70" s="54"/>
      <c r="CS70" s="54"/>
      <c r="CT70" s="746"/>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6"/>
      <c r="CV129" s="57"/>
    </row>
    <row r="130" spans="99:100" ht="15.75" customHeight="1">
      <c r="CU130" s="56"/>
      <c r="CV130" s="57"/>
    </row>
    <row r="131" spans="99:100" ht="15.75" customHeight="1">
      <c r="CU131" s="56"/>
      <c r="CV131" s="57"/>
    </row>
    <row r="132" spans="99:100" ht="15.75" customHeight="1">
      <c r="CU132" s="56"/>
      <c r="CV132" s="57"/>
    </row>
    <row r="133" spans="99:100" ht="15.75" customHeight="1">
      <c r="CU133" s="56"/>
      <c r="CV133" s="57"/>
    </row>
    <row r="134" spans="99:100" ht="15.75" customHeight="1">
      <c r="CU134" s="56"/>
      <c r="CV134" s="57"/>
    </row>
    <row r="135" spans="99:100" ht="15.75" customHeight="1">
      <c r="CU135" s="56"/>
      <c r="CV135" s="57"/>
    </row>
    <row r="136" spans="99:100" ht="15.75" customHeight="1">
      <c r="CU136" s="56"/>
      <c r="CV136" s="57"/>
    </row>
    <row r="137" spans="99:100" ht="15.75" customHeight="1">
      <c r="CU137" s="56"/>
      <c r="CV137" s="57"/>
    </row>
    <row r="138" spans="99:100" ht="15.75" customHeight="1">
      <c r="CU138" s="56"/>
      <c r="CV138" s="57"/>
    </row>
    <row r="139" spans="99:100" ht="15.75" customHeight="1">
      <c r="CU139" s="56"/>
      <c r="CV139" s="57"/>
    </row>
    <row r="140" spans="99:100" ht="15.75" customHeight="1">
      <c r="CU140" s="56"/>
      <c r="CV140" s="57"/>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61.xml><?xml version="1.0" encoding="utf-8"?>
<worksheet xmlns="http://schemas.openxmlformats.org/spreadsheetml/2006/main" xmlns:r="http://schemas.openxmlformats.org/officeDocument/2006/relationships">
  <sheetPr codeName="Sheet53"/>
  <dimension ref="A1:AZ223"/>
  <sheetViews>
    <sheetView workbookViewId="0"/>
  </sheetViews>
  <sheetFormatPr defaultRowHeight="14.25"/>
  <cols>
    <col min="49" max="50" width="9" style="2146"/>
    <col min="51" max="51" width="3.125" customWidth="1"/>
  </cols>
  <sheetData>
    <row r="1" spans="1:52" ht="90">
      <c r="A1" s="2389"/>
      <c r="B1" s="2389"/>
      <c r="C1" s="2389"/>
      <c r="D1" s="2389"/>
      <c r="E1" s="2389"/>
      <c r="F1" s="2389"/>
      <c r="G1" s="2389"/>
      <c r="H1" s="2389"/>
      <c r="I1" s="2389"/>
      <c r="J1" s="2389"/>
      <c r="K1" s="2389" t="s">
        <v>5963</v>
      </c>
      <c r="L1" s="2389"/>
      <c r="M1" s="2389"/>
      <c r="N1" s="2389"/>
      <c r="O1" s="2389"/>
      <c r="P1" s="2389"/>
      <c r="Q1" s="2389"/>
      <c r="R1" s="2389"/>
      <c r="S1" s="2389"/>
      <c r="T1" s="2389"/>
      <c r="U1" s="2389"/>
      <c r="V1" s="2389" t="s">
        <v>3347</v>
      </c>
      <c r="W1" s="2389"/>
      <c r="X1" s="2389"/>
      <c r="Y1" s="2389"/>
      <c r="Z1" s="2389"/>
      <c r="AA1" s="2389"/>
      <c r="AB1" s="2389"/>
      <c r="AC1" s="2389" t="s">
        <v>3348</v>
      </c>
      <c r="AD1" s="2389"/>
      <c r="AE1" s="2389"/>
      <c r="AF1" s="2389"/>
      <c r="AG1" s="2389"/>
      <c r="AH1" s="2389"/>
      <c r="AI1" s="2389"/>
      <c r="AJ1" s="2389" t="s">
        <v>3349</v>
      </c>
      <c r="AK1" s="2389"/>
      <c r="AL1" s="2389"/>
      <c r="AM1" s="2389"/>
      <c r="AN1" s="2389"/>
      <c r="AO1" s="2389"/>
      <c r="AP1" s="2389"/>
      <c r="AQ1" s="2389"/>
      <c r="AR1" s="2390" t="s">
        <v>5964</v>
      </c>
      <c r="AS1" s="2390"/>
      <c r="AT1" s="2390"/>
      <c r="AU1" s="2391" t="s">
        <v>5965</v>
      </c>
      <c r="AV1" s="2391"/>
      <c r="AW1" s="2392" t="s">
        <v>13462</v>
      </c>
      <c r="AX1" s="2392"/>
      <c r="AY1" s="2389"/>
      <c r="AZ1" s="2389"/>
    </row>
    <row r="2" spans="1:52" ht="56.25">
      <c r="A2" s="2389" t="s">
        <v>2</v>
      </c>
      <c r="B2" s="2389" t="s">
        <v>3</v>
      </c>
      <c r="C2" s="2389" t="s">
        <v>1</v>
      </c>
      <c r="D2" s="2389" t="s">
        <v>5</v>
      </c>
      <c r="E2" s="2389" t="s">
        <v>7</v>
      </c>
      <c r="F2" s="2389" t="s">
        <v>9</v>
      </c>
      <c r="G2" s="2389" t="s">
        <v>3350</v>
      </c>
      <c r="H2" s="2389" t="s">
        <v>3351</v>
      </c>
      <c r="I2" s="2389" t="s">
        <v>15</v>
      </c>
      <c r="J2" s="2389" t="s">
        <v>17</v>
      </c>
      <c r="K2" s="2389" t="s">
        <v>18</v>
      </c>
      <c r="L2" s="2389" t="s">
        <v>19</v>
      </c>
      <c r="M2" s="2389" t="s">
        <v>20</v>
      </c>
      <c r="N2" s="2389" t="s">
        <v>21</v>
      </c>
      <c r="O2" s="2389" t="s">
        <v>22</v>
      </c>
      <c r="P2" s="2389" t="s">
        <v>3352</v>
      </c>
      <c r="Q2" s="2389" t="s">
        <v>3345</v>
      </c>
      <c r="R2" s="2389" t="s">
        <v>3353</v>
      </c>
      <c r="S2" s="2389" t="s">
        <v>3354</v>
      </c>
      <c r="T2" s="2389" t="s">
        <v>3346</v>
      </c>
      <c r="U2" s="2389" t="s">
        <v>16</v>
      </c>
      <c r="V2" s="2389" t="s">
        <v>3355</v>
      </c>
      <c r="W2" s="2389" t="s">
        <v>3356</v>
      </c>
      <c r="X2" s="2389" t="s">
        <v>29</v>
      </c>
      <c r="Y2" s="2389" t="s">
        <v>30</v>
      </c>
      <c r="Z2" s="2389" t="s">
        <v>31</v>
      </c>
      <c r="AA2" s="2389" t="s">
        <v>32</v>
      </c>
      <c r="AB2" s="2389" t="s">
        <v>33</v>
      </c>
      <c r="AC2" s="2389" t="s">
        <v>3355</v>
      </c>
      <c r="AD2" s="2389" t="s">
        <v>3356</v>
      </c>
      <c r="AE2" s="2389" t="s">
        <v>29</v>
      </c>
      <c r="AF2" s="2389" t="s">
        <v>30</v>
      </c>
      <c r="AG2" s="2389" t="s">
        <v>31</v>
      </c>
      <c r="AH2" s="2389" t="s">
        <v>32</v>
      </c>
      <c r="AI2" s="2389" t="s">
        <v>33</v>
      </c>
      <c r="AJ2" s="2389" t="s">
        <v>3355</v>
      </c>
      <c r="AK2" s="2389" t="s">
        <v>3356</v>
      </c>
      <c r="AL2" s="2389" t="s">
        <v>29</v>
      </c>
      <c r="AM2" s="2389" t="s">
        <v>30</v>
      </c>
      <c r="AN2" s="2389" t="s">
        <v>31</v>
      </c>
      <c r="AO2" s="2389" t="s">
        <v>32</v>
      </c>
      <c r="AP2" s="2389" t="s">
        <v>33</v>
      </c>
      <c r="AQ2" s="2389" t="s">
        <v>3357</v>
      </c>
      <c r="AR2" s="2390" t="s">
        <v>3358</v>
      </c>
      <c r="AS2" s="2390" t="s">
        <v>3359</v>
      </c>
      <c r="AT2" s="2390" t="s">
        <v>3360</v>
      </c>
      <c r="AU2" s="2391" t="s">
        <v>5966</v>
      </c>
      <c r="AV2" s="2391" t="s">
        <v>5967</v>
      </c>
      <c r="AW2" s="2392" t="s">
        <v>13463</v>
      </c>
      <c r="AX2" s="2392" t="s">
        <v>13464</v>
      </c>
      <c r="AY2" s="2389"/>
      <c r="AZ2" s="2389" t="s">
        <v>9</v>
      </c>
    </row>
    <row r="3" spans="1:52">
      <c r="A3" t="s">
        <v>195</v>
      </c>
      <c r="B3" t="s">
        <v>116</v>
      </c>
      <c r="C3" t="s">
        <v>114</v>
      </c>
      <c r="D3" t="s">
        <v>41</v>
      </c>
      <c r="E3" t="s">
        <v>197</v>
      </c>
      <c r="F3" t="s">
        <v>199</v>
      </c>
      <c r="G3" t="s">
        <v>5408</v>
      </c>
      <c r="H3" t="s">
        <v>91</v>
      </c>
      <c r="I3" t="s">
        <v>201</v>
      </c>
      <c r="J3" t="s">
        <v>202</v>
      </c>
      <c r="K3" t="s">
        <v>203</v>
      </c>
      <c r="L3" t="s">
        <v>203</v>
      </c>
      <c r="M3" t="s">
        <v>203</v>
      </c>
      <c r="N3" t="s">
        <v>203</v>
      </c>
      <c r="O3" t="s">
        <v>203</v>
      </c>
      <c r="P3" t="s">
        <v>3361</v>
      </c>
      <c r="Q3" t="s">
        <v>199</v>
      </c>
      <c r="T3" t="s">
        <v>200</v>
      </c>
      <c r="U3" t="s">
        <v>51</v>
      </c>
      <c r="AR3" t="s">
        <v>202</v>
      </c>
      <c r="AS3" t="s">
        <v>203</v>
      </c>
      <c r="AT3" t="s">
        <v>50</v>
      </c>
      <c r="AU3" t="s">
        <v>3950</v>
      </c>
      <c r="AV3" t="s">
        <v>46</v>
      </c>
      <c r="AW3" s="2146" t="s">
        <v>203</v>
      </c>
      <c r="AX3" s="2146" t="s">
        <v>50</v>
      </c>
      <c r="AZ3" t="s">
        <v>3275</v>
      </c>
    </row>
    <row r="4" spans="1:52">
      <c r="A4" t="s">
        <v>195</v>
      </c>
      <c r="B4" t="s">
        <v>116</v>
      </c>
      <c r="C4" t="s">
        <v>114</v>
      </c>
      <c r="D4" t="s">
        <v>41</v>
      </c>
      <c r="E4" t="s">
        <v>197</v>
      </c>
      <c r="F4" t="s">
        <v>199</v>
      </c>
      <c r="P4" t="s">
        <v>3362</v>
      </c>
      <c r="Q4" t="s">
        <v>3363</v>
      </c>
      <c r="R4" t="s">
        <v>3364</v>
      </c>
      <c r="T4" t="s">
        <v>48</v>
      </c>
      <c r="U4" s="534" t="s">
        <v>4940</v>
      </c>
      <c r="V4">
        <v>750</v>
      </c>
      <c r="X4">
        <v>750</v>
      </c>
      <c r="Y4">
        <v>750</v>
      </c>
      <c r="Z4">
        <v>750</v>
      </c>
      <c r="AA4">
        <v>750</v>
      </c>
      <c r="AB4">
        <v>750</v>
      </c>
      <c r="AC4">
        <v>1500</v>
      </c>
      <c r="AE4">
        <v>1500</v>
      </c>
      <c r="AF4">
        <v>1500</v>
      </c>
      <c r="AG4">
        <v>1500</v>
      </c>
      <c r="AH4">
        <v>1500</v>
      </c>
      <c r="AI4">
        <v>1500</v>
      </c>
      <c r="AQ4">
        <v>1500</v>
      </c>
      <c r="AR4">
        <v>6529</v>
      </c>
      <c r="AS4">
        <v>1256</v>
      </c>
      <c r="AT4" t="s">
        <v>50</v>
      </c>
      <c r="AU4">
        <v>2459</v>
      </c>
      <c r="AV4" t="s">
        <v>46</v>
      </c>
      <c r="AW4" s="2146">
        <v>1263</v>
      </c>
      <c r="AX4" s="2146" t="s">
        <v>50</v>
      </c>
      <c r="AZ4" t="s">
        <v>5968</v>
      </c>
    </row>
    <row r="5" spans="1:52">
      <c r="A5" t="s">
        <v>195</v>
      </c>
      <c r="B5" t="s">
        <v>116</v>
      </c>
      <c r="C5" t="s">
        <v>114</v>
      </c>
      <c r="D5" t="s">
        <v>41</v>
      </c>
      <c r="E5" t="s">
        <v>197</v>
      </c>
      <c r="F5" t="s">
        <v>199</v>
      </c>
      <c r="P5" t="s">
        <v>3365</v>
      </c>
      <c r="Q5" t="s">
        <v>3366</v>
      </c>
      <c r="R5" t="s">
        <v>3367</v>
      </c>
      <c r="U5">
        <v>1</v>
      </c>
      <c r="X5">
        <v>-5.3</v>
      </c>
      <c r="Y5">
        <v>-5.3</v>
      </c>
      <c r="Z5">
        <v>-5.3</v>
      </c>
      <c r="AA5">
        <v>-5.3</v>
      </c>
      <c r="AB5">
        <v>-5.3</v>
      </c>
      <c r="AE5">
        <v>1.8</v>
      </c>
      <c r="AF5">
        <v>1.8</v>
      </c>
      <c r="AG5">
        <v>1.8</v>
      </c>
      <c r="AH5">
        <v>1.8</v>
      </c>
      <c r="AI5">
        <v>1.8</v>
      </c>
      <c r="AQ5" t="s">
        <v>3368</v>
      </c>
      <c r="AR5" t="s">
        <v>2797</v>
      </c>
      <c r="AS5" t="s">
        <v>3369</v>
      </c>
      <c r="AT5" t="s">
        <v>50</v>
      </c>
      <c r="AU5" t="s">
        <v>5969</v>
      </c>
      <c r="AV5" t="s">
        <v>46</v>
      </c>
      <c r="AW5" s="2146">
        <v>-11</v>
      </c>
      <c r="AX5" s="2146" t="s">
        <v>50</v>
      </c>
      <c r="AZ5" t="s">
        <v>5970</v>
      </c>
    </row>
    <row r="6" spans="1:52">
      <c r="A6" t="s">
        <v>195</v>
      </c>
      <c r="B6" t="s">
        <v>116</v>
      </c>
      <c r="C6" t="s">
        <v>114</v>
      </c>
      <c r="D6" t="s">
        <v>41</v>
      </c>
      <c r="E6" t="s">
        <v>197</v>
      </c>
      <c r="F6" t="s">
        <v>199</v>
      </c>
      <c r="P6" t="s">
        <v>3370</v>
      </c>
      <c r="Q6" t="s">
        <v>3371</v>
      </c>
      <c r="R6" t="s">
        <v>3372</v>
      </c>
      <c r="U6">
        <v>2</v>
      </c>
      <c r="V6">
        <v>0.56000000000000005</v>
      </c>
      <c r="X6">
        <v>0.47</v>
      </c>
      <c r="Y6">
        <v>0.47</v>
      </c>
      <c r="Z6">
        <v>0.47</v>
      </c>
      <c r="AA6">
        <v>0.47</v>
      </c>
      <c r="AB6">
        <v>0.47</v>
      </c>
      <c r="AC6">
        <v>0.66</v>
      </c>
      <c r="AE6">
        <v>0.52</v>
      </c>
      <c r="AF6">
        <v>0.52</v>
      </c>
      <c r="AG6">
        <v>0.52</v>
      </c>
      <c r="AH6">
        <v>0.52</v>
      </c>
      <c r="AI6">
        <v>0.52</v>
      </c>
      <c r="AQ6">
        <v>0.52</v>
      </c>
      <c r="AR6">
        <v>0.47</v>
      </c>
      <c r="AS6">
        <v>0.39</v>
      </c>
      <c r="AT6" t="s">
        <v>50</v>
      </c>
      <c r="AU6">
        <v>0.41</v>
      </c>
      <c r="AV6" t="s">
        <v>50</v>
      </c>
      <c r="AW6" s="2146">
        <v>0.36</v>
      </c>
      <c r="AX6" s="2146" t="s">
        <v>50</v>
      </c>
      <c r="AZ6" t="s">
        <v>5971</v>
      </c>
    </row>
    <row r="7" spans="1:52">
      <c r="A7" t="s">
        <v>195</v>
      </c>
      <c r="B7" t="s">
        <v>116</v>
      </c>
      <c r="C7" t="s">
        <v>114</v>
      </c>
      <c r="D7" t="s">
        <v>41</v>
      </c>
      <c r="E7" t="s">
        <v>197</v>
      </c>
      <c r="F7" t="s">
        <v>199</v>
      </c>
      <c r="P7" t="s">
        <v>3373</v>
      </c>
      <c r="Q7" t="s">
        <v>3374</v>
      </c>
      <c r="R7" t="s">
        <v>3375</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50</v>
      </c>
      <c r="AU7">
        <v>0.04</v>
      </c>
      <c r="AV7" t="s">
        <v>50</v>
      </c>
      <c r="AW7" s="2146">
        <v>0.05</v>
      </c>
      <c r="AX7" s="2146" t="s">
        <v>50</v>
      </c>
      <c r="AZ7" t="s">
        <v>5972</v>
      </c>
    </row>
    <row r="8" spans="1:52">
      <c r="A8" t="s">
        <v>204</v>
      </c>
      <c r="B8" t="s">
        <v>116</v>
      </c>
      <c r="C8" t="s">
        <v>114</v>
      </c>
      <c r="D8" t="s">
        <v>41</v>
      </c>
      <c r="E8" t="s">
        <v>205</v>
      </c>
      <c r="F8" t="s">
        <v>207</v>
      </c>
      <c r="G8" t="s">
        <v>5408</v>
      </c>
      <c r="H8" t="s">
        <v>91</v>
      </c>
      <c r="I8" t="s">
        <v>201</v>
      </c>
      <c r="J8" t="s">
        <v>202</v>
      </c>
      <c r="K8" t="s">
        <v>203</v>
      </c>
      <c r="L8" t="s">
        <v>203</v>
      </c>
      <c r="M8" t="s">
        <v>203</v>
      </c>
      <c r="N8" t="s">
        <v>203</v>
      </c>
      <c r="O8" t="s">
        <v>203</v>
      </c>
      <c r="P8" t="s">
        <v>3361</v>
      </c>
      <c r="Q8" t="s">
        <v>207</v>
      </c>
      <c r="T8" t="s">
        <v>200</v>
      </c>
      <c r="U8" t="s">
        <v>51</v>
      </c>
      <c r="AR8" t="s">
        <v>202</v>
      </c>
      <c r="AS8" t="s">
        <v>203</v>
      </c>
      <c r="AT8" t="s">
        <v>50</v>
      </c>
      <c r="AU8" t="s">
        <v>203</v>
      </c>
      <c r="AV8" t="s">
        <v>50</v>
      </c>
      <c r="AW8" s="2146" t="s">
        <v>203</v>
      </c>
      <c r="AX8" s="2146" t="s">
        <v>50</v>
      </c>
      <c r="AZ8" t="s">
        <v>3276</v>
      </c>
    </row>
    <row r="9" spans="1:52">
      <c r="A9" t="s">
        <v>204</v>
      </c>
      <c r="B9" t="s">
        <v>116</v>
      </c>
      <c r="C9" t="s">
        <v>114</v>
      </c>
      <c r="D9" t="s">
        <v>41</v>
      </c>
      <c r="E9" t="s">
        <v>205</v>
      </c>
      <c r="F9" t="s">
        <v>207</v>
      </c>
      <c r="P9" t="s">
        <v>3362</v>
      </c>
      <c r="Q9" t="s">
        <v>3376</v>
      </c>
      <c r="R9" t="s">
        <v>3377</v>
      </c>
      <c r="U9" s="534" t="s">
        <v>4940</v>
      </c>
      <c r="X9">
        <v>4</v>
      </c>
      <c r="Y9">
        <v>4</v>
      </c>
      <c r="Z9">
        <v>4</v>
      </c>
      <c r="AA9">
        <v>4</v>
      </c>
      <c r="AB9">
        <v>4</v>
      </c>
      <c r="AE9">
        <v>6</v>
      </c>
      <c r="AF9">
        <v>6</v>
      </c>
      <c r="AG9">
        <v>6</v>
      </c>
      <c r="AH9">
        <v>6</v>
      </c>
      <c r="AI9">
        <v>6</v>
      </c>
      <c r="AQ9">
        <v>6</v>
      </c>
      <c r="AR9">
        <v>6</v>
      </c>
      <c r="AS9">
        <v>8</v>
      </c>
      <c r="AT9" t="s">
        <v>46</v>
      </c>
      <c r="AU9">
        <v>3</v>
      </c>
      <c r="AV9" t="s">
        <v>50</v>
      </c>
      <c r="AW9" s="2146">
        <v>4</v>
      </c>
      <c r="AX9" s="2146" t="s">
        <v>50</v>
      </c>
      <c r="AZ9" t="s">
        <v>5973</v>
      </c>
    </row>
    <row r="10" spans="1:52">
      <c r="A10" t="s">
        <v>204</v>
      </c>
      <c r="B10" t="s">
        <v>116</v>
      </c>
      <c r="C10" t="s">
        <v>114</v>
      </c>
      <c r="D10" t="s">
        <v>41</v>
      </c>
      <c r="E10" t="s">
        <v>205</v>
      </c>
      <c r="F10" t="s">
        <v>207</v>
      </c>
      <c r="P10" t="s">
        <v>3365</v>
      </c>
      <c r="Q10" t="s">
        <v>3378</v>
      </c>
      <c r="R10" t="s">
        <v>3379</v>
      </c>
      <c r="T10" t="s">
        <v>76</v>
      </c>
      <c r="U10">
        <v>2</v>
      </c>
      <c r="V10">
        <v>0.1</v>
      </c>
      <c r="X10">
        <v>0</v>
      </c>
      <c r="Y10">
        <v>0</v>
      </c>
      <c r="Z10">
        <v>0</v>
      </c>
      <c r="AA10">
        <v>0</v>
      </c>
      <c r="AB10">
        <v>0</v>
      </c>
      <c r="AC10">
        <v>0.52</v>
      </c>
      <c r="AE10">
        <v>0.26</v>
      </c>
      <c r="AF10">
        <v>0.26</v>
      </c>
      <c r="AG10">
        <v>0.26</v>
      </c>
      <c r="AH10">
        <v>0.26</v>
      </c>
      <c r="AI10">
        <v>0.26</v>
      </c>
      <c r="AQ10">
        <v>0.26</v>
      </c>
      <c r="AR10">
        <v>0</v>
      </c>
      <c r="AS10">
        <v>0</v>
      </c>
      <c r="AT10" t="s">
        <v>50</v>
      </c>
      <c r="AU10">
        <v>0</v>
      </c>
      <c r="AV10" t="s">
        <v>50</v>
      </c>
      <c r="AW10" s="2146">
        <v>0</v>
      </c>
      <c r="AX10" s="2146" t="s">
        <v>50</v>
      </c>
      <c r="AZ10" t="s">
        <v>5974</v>
      </c>
    </row>
    <row r="11" spans="1:52">
      <c r="A11" t="s">
        <v>204</v>
      </c>
      <c r="B11" t="s">
        <v>116</v>
      </c>
      <c r="C11" t="s">
        <v>114</v>
      </c>
      <c r="D11" t="s">
        <v>41</v>
      </c>
      <c r="E11" t="s">
        <v>205</v>
      </c>
      <c r="F11" t="s">
        <v>207</v>
      </c>
      <c r="P11" t="s">
        <v>3370</v>
      </c>
      <c r="Q11" t="s">
        <v>3380</v>
      </c>
      <c r="R11" t="s">
        <v>3380</v>
      </c>
      <c r="U11" s="534" t="s">
        <v>4940</v>
      </c>
      <c r="V11">
        <v>0</v>
      </c>
      <c r="X11">
        <v>0</v>
      </c>
      <c r="Y11">
        <v>0</v>
      </c>
      <c r="Z11">
        <v>0</v>
      </c>
      <c r="AA11">
        <v>0</v>
      </c>
      <c r="AB11">
        <v>0</v>
      </c>
      <c r="AC11">
        <v>1</v>
      </c>
      <c r="AE11">
        <v>1</v>
      </c>
      <c r="AF11">
        <v>1</v>
      </c>
      <c r="AG11">
        <v>1</v>
      </c>
      <c r="AH11">
        <v>1</v>
      </c>
      <c r="AI11">
        <v>1</v>
      </c>
      <c r="AQ11">
        <v>1</v>
      </c>
      <c r="AR11">
        <v>0</v>
      </c>
      <c r="AS11">
        <v>0</v>
      </c>
      <c r="AT11" t="s">
        <v>50</v>
      </c>
      <c r="AU11">
        <v>0</v>
      </c>
      <c r="AV11" t="s">
        <v>50</v>
      </c>
      <c r="AW11" s="2146">
        <v>0</v>
      </c>
      <c r="AX11" s="2146" t="s">
        <v>50</v>
      </c>
      <c r="AZ11" t="s">
        <v>5975</v>
      </c>
    </row>
    <row r="12" spans="1:52">
      <c r="A12" t="s">
        <v>269</v>
      </c>
      <c r="B12" t="s">
        <v>116</v>
      </c>
      <c r="C12" t="s">
        <v>114</v>
      </c>
      <c r="D12" t="s">
        <v>215</v>
      </c>
      <c r="E12" t="s">
        <v>270</v>
      </c>
      <c r="F12" t="s">
        <v>272</v>
      </c>
      <c r="G12" t="s">
        <v>5408</v>
      </c>
      <c r="H12" t="s">
        <v>273</v>
      </c>
      <c r="I12" t="s">
        <v>201</v>
      </c>
      <c r="J12" t="s">
        <v>202</v>
      </c>
      <c r="K12" t="s">
        <v>203</v>
      </c>
      <c r="L12" t="s">
        <v>203</v>
      </c>
      <c r="M12" t="s">
        <v>203</v>
      </c>
      <c r="N12" t="s">
        <v>203</v>
      </c>
      <c r="O12" t="s">
        <v>203</v>
      </c>
      <c r="P12" t="s">
        <v>3361</v>
      </c>
      <c r="Q12" t="s">
        <v>272</v>
      </c>
      <c r="T12" t="s">
        <v>200</v>
      </c>
      <c r="U12" t="s">
        <v>51</v>
      </c>
      <c r="AR12" t="s">
        <v>202</v>
      </c>
      <c r="AS12" t="s">
        <v>203</v>
      </c>
      <c r="AT12" t="s">
        <v>50</v>
      </c>
      <c r="AU12" t="s">
        <v>203</v>
      </c>
      <c r="AV12" t="s">
        <v>50</v>
      </c>
      <c r="AW12" s="2146" t="s">
        <v>203</v>
      </c>
      <c r="AX12" s="2146" t="s">
        <v>50</v>
      </c>
      <c r="AZ12" t="s">
        <v>3277</v>
      </c>
    </row>
    <row r="13" spans="1:52">
      <c r="A13" t="s">
        <v>269</v>
      </c>
      <c r="B13" t="s">
        <v>116</v>
      </c>
      <c r="C13" t="s">
        <v>114</v>
      </c>
      <c r="D13" t="s">
        <v>215</v>
      </c>
      <c r="E13" t="s">
        <v>270</v>
      </c>
      <c r="F13" t="s">
        <v>272</v>
      </c>
      <c r="P13" t="s">
        <v>3362</v>
      </c>
      <c r="Q13" t="s">
        <v>249</v>
      </c>
      <c r="R13" t="s">
        <v>3381</v>
      </c>
      <c r="T13" t="s">
        <v>48</v>
      </c>
      <c r="U13" s="534" t="s">
        <v>4940</v>
      </c>
      <c r="V13">
        <v>140</v>
      </c>
      <c r="X13">
        <v>117</v>
      </c>
      <c r="Y13">
        <v>117</v>
      </c>
      <c r="Z13">
        <v>117</v>
      </c>
      <c r="AA13">
        <v>117</v>
      </c>
      <c r="AB13">
        <v>117</v>
      </c>
      <c r="AC13">
        <v>165</v>
      </c>
      <c r="AE13">
        <v>160</v>
      </c>
      <c r="AF13">
        <v>160</v>
      </c>
      <c r="AG13">
        <v>160</v>
      </c>
      <c r="AH13">
        <v>160</v>
      </c>
      <c r="AI13">
        <v>160</v>
      </c>
      <c r="AQ13">
        <v>160</v>
      </c>
      <c r="AR13">
        <v>142</v>
      </c>
      <c r="AS13">
        <v>81</v>
      </c>
      <c r="AT13" t="s">
        <v>50</v>
      </c>
      <c r="AU13">
        <v>105</v>
      </c>
      <c r="AV13" t="s">
        <v>50</v>
      </c>
      <c r="AW13" s="2146">
        <v>113</v>
      </c>
      <c r="AX13" s="2146" t="s">
        <v>50</v>
      </c>
      <c r="AZ13" t="s">
        <v>5976</v>
      </c>
    </row>
    <row r="14" spans="1:52">
      <c r="A14" t="s">
        <v>269</v>
      </c>
      <c r="B14" t="s">
        <v>116</v>
      </c>
      <c r="C14" t="s">
        <v>114</v>
      </c>
      <c r="D14" t="s">
        <v>215</v>
      </c>
      <c r="E14" t="s">
        <v>270</v>
      </c>
      <c r="F14" t="s">
        <v>272</v>
      </c>
      <c r="P14" t="s">
        <v>3365</v>
      </c>
      <c r="Q14" t="s">
        <v>3382</v>
      </c>
      <c r="R14" t="s">
        <v>3383</v>
      </c>
      <c r="T14" t="s">
        <v>48</v>
      </c>
      <c r="U14" s="534" t="s">
        <v>4940</v>
      </c>
      <c r="V14">
        <v>420</v>
      </c>
      <c r="X14">
        <v>420</v>
      </c>
      <c r="Y14">
        <v>420</v>
      </c>
      <c r="Z14">
        <v>420</v>
      </c>
      <c r="AA14">
        <v>420</v>
      </c>
      <c r="AB14">
        <v>420</v>
      </c>
      <c r="AC14">
        <v>520</v>
      </c>
      <c r="AE14">
        <v>520</v>
      </c>
      <c r="AF14">
        <v>520</v>
      </c>
      <c r="AG14">
        <v>520</v>
      </c>
      <c r="AH14">
        <v>520</v>
      </c>
      <c r="AI14">
        <v>520</v>
      </c>
      <c r="AQ14">
        <v>520</v>
      </c>
      <c r="AR14">
        <v>250</v>
      </c>
      <c r="AS14">
        <v>247</v>
      </c>
      <c r="AT14" t="s">
        <v>50</v>
      </c>
      <c r="AU14">
        <v>228</v>
      </c>
      <c r="AV14" t="s">
        <v>50</v>
      </c>
      <c r="AW14" s="2146">
        <v>246</v>
      </c>
      <c r="AX14" s="2146" t="s">
        <v>50</v>
      </c>
      <c r="AZ14" t="s">
        <v>5977</v>
      </c>
    </row>
    <row r="15" spans="1:52">
      <c r="A15" t="s">
        <v>269</v>
      </c>
      <c r="B15" t="s">
        <v>116</v>
      </c>
      <c r="C15" t="s">
        <v>114</v>
      </c>
      <c r="D15" t="s">
        <v>215</v>
      </c>
      <c r="E15" t="s">
        <v>270</v>
      </c>
      <c r="F15" t="s">
        <v>272</v>
      </c>
      <c r="P15" t="s">
        <v>3370</v>
      </c>
      <c r="Q15" t="s">
        <v>3384</v>
      </c>
      <c r="R15" t="s">
        <v>3385</v>
      </c>
      <c r="T15" t="s">
        <v>48</v>
      </c>
      <c r="U15" s="534" t="s">
        <v>4940</v>
      </c>
      <c r="X15">
        <v>203</v>
      </c>
      <c r="Y15">
        <v>203</v>
      </c>
      <c r="Z15">
        <v>203</v>
      </c>
      <c r="AA15">
        <v>203</v>
      </c>
      <c r="AB15">
        <v>203</v>
      </c>
      <c r="AE15">
        <v>340</v>
      </c>
      <c r="AF15">
        <v>340</v>
      </c>
      <c r="AG15">
        <v>340</v>
      </c>
      <c r="AH15">
        <v>340</v>
      </c>
      <c r="AI15">
        <v>340</v>
      </c>
      <c r="AQ15">
        <v>340</v>
      </c>
      <c r="AR15">
        <v>263</v>
      </c>
      <c r="AS15">
        <v>220</v>
      </c>
      <c r="AT15" t="s">
        <v>50</v>
      </c>
      <c r="AU15">
        <v>264</v>
      </c>
      <c r="AV15" t="s">
        <v>50</v>
      </c>
      <c r="AW15" s="2146">
        <v>161</v>
      </c>
      <c r="AX15" s="2146" t="s">
        <v>50</v>
      </c>
      <c r="AZ15" t="s">
        <v>5978</v>
      </c>
    </row>
    <row r="16" spans="1:52">
      <c r="A16" t="s">
        <v>269</v>
      </c>
      <c r="B16" t="s">
        <v>116</v>
      </c>
      <c r="C16" t="s">
        <v>114</v>
      </c>
      <c r="D16" t="s">
        <v>215</v>
      </c>
      <c r="E16" t="s">
        <v>270</v>
      </c>
      <c r="F16" t="s">
        <v>272</v>
      </c>
      <c r="P16" t="s">
        <v>3373</v>
      </c>
      <c r="Q16" t="s">
        <v>3386</v>
      </c>
      <c r="R16" t="s">
        <v>3386</v>
      </c>
      <c r="T16" t="s">
        <v>48</v>
      </c>
      <c r="U16" s="534" t="s">
        <v>4940</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50</v>
      </c>
      <c r="AU16">
        <v>10522</v>
      </c>
      <c r="AV16" t="s">
        <v>50</v>
      </c>
      <c r="AW16" s="2146">
        <v>11936</v>
      </c>
      <c r="AX16" s="2146" t="s">
        <v>50</v>
      </c>
      <c r="AZ16" t="s">
        <v>5979</v>
      </c>
    </row>
    <row r="17" spans="1:52">
      <c r="A17" t="s">
        <v>274</v>
      </c>
      <c r="B17" t="s">
        <v>116</v>
      </c>
      <c r="C17" t="s">
        <v>114</v>
      </c>
      <c r="D17" t="s">
        <v>215</v>
      </c>
      <c r="E17" t="s">
        <v>275</v>
      </c>
      <c r="F17" t="s">
        <v>277</v>
      </c>
      <c r="G17" t="s">
        <v>5408</v>
      </c>
      <c r="H17" t="s">
        <v>273</v>
      </c>
      <c r="I17" t="s">
        <v>201</v>
      </c>
      <c r="J17" t="s">
        <v>202</v>
      </c>
      <c r="K17" t="s">
        <v>203</v>
      </c>
      <c r="L17" t="s">
        <v>203</v>
      </c>
      <c r="M17" t="s">
        <v>203</v>
      </c>
      <c r="N17" t="s">
        <v>203</v>
      </c>
      <c r="O17" t="s">
        <v>203</v>
      </c>
      <c r="P17" t="s">
        <v>3361</v>
      </c>
      <c r="Q17" t="s">
        <v>277</v>
      </c>
      <c r="T17" t="s">
        <v>200</v>
      </c>
      <c r="U17" t="s">
        <v>51</v>
      </c>
      <c r="AR17" t="s">
        <v>202</v>
      </c>
      <c r="AS17" t="s">
        <v>203</v>
      </c>
      <c r="AT17" t="s">
        <v>50</v>
      </c>
      <c r="AU17" t="s">
        <v>203</v>
      </c>
      <c r="AV17" t="s">
        <v>50</v>
      </c>
      <c r="AW17" s="2146" t="s">
        <v>203</v>
      </c>
      <c r="AX17" s="2146" t="s">
        <v>50</v>
      </c>
      <c r="AZ17" t="s">
        <v>3278</v>
      </c>
    </row>
    <row r="18" spans="1:52">
      <c r="A18" t="s">
        <v>274</v>
      </c>
      <c r="B18" t="s">
        <v>116</v>
      </c>
      <c r="C18" t="s">
        <v>114</v>
      </c>
      <c r="D18" t="s">
        <v>215</v>
      </c>
      <c r="E18" t="s">
        <v>275</v>
      </c>
      <c r="F18" t="s">
        <v>277</v>
      </c>
      <c r="P18" t="s">
        <v>3362</v>
      </c>
      <c r="Q18" t="s">
        <v>3387</v>
      </c>
      <c r="R18" t="s">
        <v>3388</v>
      </c>
      <c r="T18" t="s">
        <v>76</v>
      </c>
      <c r="U18">
        <v>2</v>
      </c>
      <c r="V18">
        <v>0.5</v>
      </c>
      <c r="X18">
        <v>0.5</v>
      </c>
      <c r="Y18">
        <v>0.5</v>
      </c>
      <c r="Z18">
        <v>0.5</v>
      </c>
      <c r="AA18">
        <v>0.5</v>
      </c>
      <c r="AB18">
        <v>0.5</v>
      </c>
      <c r="AC18">
        <v>1.7</v>
      </c>
      <c r="AE18">
        <v>1.7</v>
      </c>
      <c r="AF18">
        <v>1.7</v>
      </c>
      <c r="AG18">
        <v>1.7</v>
      </c>
      <c r="AH18">
        <v>1.7</v>
      </c>
      <c r="AI18">
        <v>1.7</v>
      </c>
      <c r="AQ18">
        <v>1.7</v>
      </c>
      <c r="AR18">
        <v>0</v>
      </c>
      <c r="AS18">
        <v>0</v>
      </c>
      <c r="AT18" t="s">
        <v>50</v>
      </c>
      <c r="AU18">
        <v>0.18</v>
      </c>
      <c r="AV18" t="s">
        <v>50</v>
      </c>
      <c r="AW18" s="2146">
        <v>0.48</v>
      </c>
      <c r="AX18" s="2146" t="s">
        <v>50</v>
      </c>
      <c r="AZ18" t="s">
        <v>5980</v>
      </c>
    </row>
    <row r="19" spans="1:52">
      <c r="A19" t="s">
        <v>274</v>
      </c>
      <c r="B19" t="s">
        <v>116</v>
      </c>
      <c r="C19" t="s">
        <v>114</v>
      </c>
      <c r="D19" t="s">
        <v>215</v>
      </c>
      <c r="E19" t="s">
        <v>275</v>
      </c>
      <c r="F19" t="s">
        <v>277</v>
      </c>
      <c r="P19" t="s">
        <v>3365</v>
      </c>
      <c r="Q19" t="s">
        <v>3389</v>
      </c>
      <c r="R19" t="s">
        <v>3390</v>
      </c>
      <c r="U19">
        <v>2</v>
      </c>
      <c r="V19">
        <v>2.1</v>
      </c>
      <c r="X19">
        <v>0</v>
      </c>
      <c r="Y19">
        <v>0</v>
      </c>
      <c r="Z19">
        <v>0</v>
      </c>
      <c r="AA19">
        <v>0</v>
      </c>
      <c r="AB19">
        <v>0</v>
      </c>
      <c r="AC19">
        <v>2.8</v>
      </c>
      <c r="AE19">
        <v>2.8</v>
      </c>
      <c r="AF19">
        <v>2.8</v>
      </c>
      <c r="AG19">
        <v>2.8</v>
      </c>
      <c r="AH19">
        <v>2.8</v>
      </c>
      <c r="AI19">
        <v>2.8</v>
      </c>
      <c r="AQ19">
        <v>2.8</v>
      </c>
      <c r="AR19">
        <v>1.25</v>
      </c>
      <c r="AS19">
        <v>0.82</v>
      </c>
      <c r="AT19" t="s">
        <v>50</v>
      </c>
      <c r="AU19">
        <v>0.42</v>
      </c>
      <c r="AV19" t="s">
        <v>50</v>
      </c>
      <c r="AW19" s="2146">
        <v>1.1100000000000001</v>
      </c>
      <c r="AX19" s="2146" t="s">
        <v>50</v>
      </c>
      <c r="AZ19" t="s">
        <v>5981</v>
      </c>
    </row>
    <row r="20" spans="1:52">
      <c r="A20" t="s">
        <v>318</v>
      </c>
      <c r="B20" t="s">
        <v>39</v>
      </c>
      <c r="C20" t="s">
        <v>312</v>
      </c>
      <c r="D20" t="s">
        <v>41</v>
      </c>
      <c r="E20" t="s">
        <v>319</v>
      </c>
      <c r="F20" t="s">
        <v>321</v>
      </c>
      <c r="G20" t="s">
        <v>5408</v>
      </c>
      <c r="H20" t="s">
        <v>91</v>
      </c>
      <c r="I20" t="s">
        <v>323</v>
      </c>
      <c r="J20" t="s">
        <v>202</v>
      </c>
      <c r="K20" t="s">
        <v>202</v>
      </c>
      <c r="L20" t="s">
        <v>202</v>
      </c>
      <c r="M20" t="s">
        <v>202</v>
      </c>
      <c r="N20" t="s">
        <v>202</v>
      </c>
      <c r="O20" t="s">
        <v>202</v>
      </c>
      <c r="P20" t="s">
        <v>3361</v>
      </c>
      <c r="Q20" t="s">
        <v>321</v>
      </c>
      <c r="T20" t="s">
        <v>200</v>
      </c>
      <c r="U20" t="s">
        <v>51</v>
      </c>
      <c r="AR20" t="s">
        <v>202</v>
      </c>
      <c r="AS20" t="s">
        <v>202</v>
      </c>
      <c r="AT20" t="s">
        <v>50</v>
      </c>
      <c r="AU20" t="s">
        <v>202</v>
      </c>
      <c r="AV20" t="s">
        <v>50</v>
      </c>
      <c r="AW20" s="2146" t="s">
        <v>325</v>
      </c>
      <c r="AX20" s="2146" t="s">
        <v>46</v>
      </c>
      <c r="AZ20" t="s">
        <v>3282</v>
      </c>
    </row>
    <row r="21" spans="1:52">
      <c r="A21" t="s">
        <v>318</v>
      </c>
      <c r="B21" t="s">
        <v>39</v>
      </c>
      <c r="C21" t="s">
        <v>312</v>
      </c>
      <c r="D21" t="s">
        <v>41</v>
      </c>
      <c r="E21" t="s">
        <v>319</v>
      </c>
      <c r="F21" t="s">
        <v>321</v>
      </c>
      <c r="P21" t="s">
        <v>3362</v>
      </c>
      <c r="Q21" t="s">
        <v>3391</v>
      </c>
      <c r="R21" t="s">
        <v>3367</v>
      </c>
      <c r="T21" t="s">
        <v>48</v>
      </c>
      <c r="U21" s="534" t="s">
        <v>4940</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50</v>
      </c>
      <c r="AU21">
        <v>1034</v>
      </c>
      <c r="AV21" t="s">
        <v>46</v>
      </c>
      <c r="AW21" s="2146">
        <v>1222</v>
      </c>
      <c r="AX21" s="2146" t="s">
        <v>46</v>
      </c>
      <c r="AZ21" t="s">
        <v>5982</v>
      </c>
    </row>
    <row r="22" spans="1:52">
      <c r="A22" t="s">
        <v>318</v>
      </c>
      <c r="B22" t="s">
        <v>39</v>
      </c>
      <c r="C22" t="s">
        <v>312</v>
      </c>
      <c r="D22" t="s">
        <v>41</v>
      </c>
      <c r="E22" t="s">
        <v>319</v>
      </c>
      <c r="F22" t="s">
        <v>321</v>
      </c>
      <c r="P22" t="s">
        <v>3365</v>
      </c>
      <c r="Q22" t="s">
        <v>3392</v>
      </c>
      <c r="R22" t="s">
        <v>3393</v>
      </c>
      <c r="T22" t="s">
        <v>48</v>
      </c>
      <c r="U22" s="534" t="s">
        <v>4940</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50</v>
      </c>
      <c r="AU22">
        <v>94</v>
      </c>
      <c r="AV22" t="s">
        <v>46</v>
      </c>
      <c r="AW22" s="2146">
        <v>65</v>
      </c>
      <c r="AX22" s="2146" t="s">
        <v>50</v>
      </c>
      <c r="AZ22" t="s">
        <v>5983</v>
      </c>
    </row>
    <row r="23" spans="1:52">
      <c r="A23" t="s">
        <v>326</v>
      </c>
      <c r="B23" t="s">
        <v>39</v>
      </c>
      <c r="C23" t="s">
        <v>312</v>
      </c>
      <c r="D23" t="s">
        <v>41</v>
      </c>
      <c r="E23" t="s">
        <v>327</v>
      </c>
      <c r="F23" t="s">
        <v>329</v>
      </c>
      <c r="G23" t="s">
        <v>5408</v>
      </c>
      <c r="H23" t="s">
        <v>91</v>
      </c>
      <c r="I23" t="s">
        <v>323</v>
      </c>
      <c r="J23" t="s">
        <v>202</v>
      </c>
      <c r="K23" t="s">
        <v>202</v>
      </c>
      <c r="L23" t="s">
        <v>202</v>
      </c>
      <c r="M23" t="s">
        <v>202</v>
      </c>
      <c r="N23" t="s">
        <v>202</v>
      </c>
      <c r="O23" t="s">
        <v>202</v>
      </c>
      <c r="P23" t="s">
        <v>3361</v>
      </c>
      <c r="Q23" t="s">
        <v>329</v>
      </c>
      <c r="T23" t="s">
        <v>200</v>
      </c>
      <c r="U23" t="s">
        <v>51</v>
      </c>
      <c r="AR23" t="s">
        <v>202</v>
      </c>
      <c r="AS23" t="s">
        <v>202</v>
      </c>
      <c r="AT23" t="s">
        <v>50</v>
      </c>
      <c r="AU23" t="s">
        <v>202</v>
      </c>
      <c r="AV23" t="s">
        <v>50</v>
      </c>
      <c r="AW23" s="2146" t="s">
        <v>202</v>
      </c>
      <c r="AX23" s="2146" t="s">
        <v>50</v>
      </c>
      <c r="AZ23" t="s">
        <v>3283</v>
      </c>
    </row>
    <row r="24" spans="1:52">
      <c r="A24" t="s">
        <v>326</v>
      </c>
      <c r="B24" t="s">
        <v>39</v>
      </c>
      <c r="C24" t="s">
        <v>312</v>
      </c>
      <c r="D24" t="s">
        <v>41</v>
      </c>
      <c r="E24" t="s">
        <v>327</v>
      </c>
      <c r="F24" t="s">
        <v>329</v>
      </c>
      <c r="P24" t="s">
        <v>3362</v>
      </c>
      <c r="Q24" t="s">
        <v>3394</v>
      </c>
      <c r="R24" t="s">
        <v>3380</v>
      </c>
      <c r="T24" t="s">
        <v>48</v>
      </c>
      <c r="U24" s="534" t="s">
        <v>4940</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50</v>
      </c>
      <c r="AU24">
        <v>0</v>
      </c>
      <c r="AV24" t="s">
        <v>50</v>
      </c>
      <c r="AW24" s="2146">
        <v>0</v>
      </c>
      <c r="AX24" s="2146" t="s">
        <v>50</v>
      </c>
      <c r="AZ24" t="s">
        <v>5984</v>
      </c>
    </row>
    <row r="25" spans="1:52">
      <c r="A25" t="s">
        <v>326</v>
      </c>
      <c r="B25" t="s">
        <v>39</v>
      </c>
      <c r="C25" t="s">
        <v>312</v>
      </c>
      <c r="D25" t="s">
        <v>41</v>
      </c>
      <c r="E25" t="s">
        <v>327</v>
      </c>
      <c r="F25" t="s">
        <v>329</v>
      </c>
      <c r="P25" t="s">
        <v>3365</v>
      </c>
      <c r="Q25" t="s">
        <v>3395</v>
      </c>
      <c r="R25" t="s">
        <v>3396</v>
      </c>
      <c r="T25" t="s">
        <v>48</v>
      </c>
      <c r="U25" s="534" t="s">
        <v>4940</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50</v>
      </c>
      <c r="AU25">
        <v>2870</v>
      </c>
      <c r="AV25" t="s">
        <v>50</v>
      </c>
      <c r="AW25" s="2146">
        <v>3279</v>
      </c>
      <c r="AX25" s="2146" t="s">
        <v>50</v>
      </c>
      <c r="AZ25" t="s">
        <v>5985</v>
      </c>
    </row>
    <row r="26" spans="1:52">
      <c r="A26" t="s">
        <v>830</v>
      </c>
      <c r="B26" t="s">
        <v>39</v>
      </c>
      <c r="C26" t="s">
        <v>810</v>
      </c>
      <c r="D26" t="s">
        <v>41</v>
      </c>
      <c r="E26" t="s">
        <v>465</v>
      </c>
      <c r="F26" t="s">
        <v>832</v>
      </c>
      <c r="G26" t="s">
        <v>5408</v>
      </c>
      <c r="H26" t="s">
        <v>91</v>
      </c>
      <c r="I26" t="s">
        <v>323</v>
      </c>
      <c r="J26" t="s">
        <v>202</v>
      </c>
      <c r="K26" t="s">
        <v>202</v>
      </c>
      <c r="L26" t="s">
        <v>202</v>
      </c>
      <c r="M26" t="s">
        <v>202</v>
      </c>
      <c r="N26" t="s">
        <v>202</v>
      </c>
      <c r="O26" t="s">
        <v>202</v>
      </c>
      <c r="P26" t="s">
        <v>3361</v>
      </c>
      <c r="Q26" t="s">
        <v>832</v>
      </c>
      <c r="T26" t="s">
        <v>200</v>
      </c>
      <c r="U26" t="s">
        <v>51</v>
      </c>
      <c r="AR26" t="s">
        <v>202</v>
      </c>
      <c r="AS26" t="s">
        <v>202</v>
      </c>
      <c r="AT26" t="s">
        <v>50</v>
      </c>
      <c r="AU26" t="s">
        <v>202</v>
      </c>
      <c r="AV26" t="s">
        <v>50</v>
      </c>
      <c r="AW26" s="2146" t="s">
        <v>202</v>
      </c>
      <c r="AX26" s="2146" t="s">
        <v>50</v>
      </c>
      <c r="AZ26" t="s">
        <v>3291</v>
      </c>
    </row>
    <row r="27" spans="1:52">
      <c r="A27" t="s">
        <v>830</v>
      </c>
      <c r="B27" t="s">
        <v>39</v>
      </c>
      <c r="C27" t="s">
        <v>810</v>
      </c>
      <c r="D27" t="s">
        <v>41</v>
      </c>
      <c r="E27" t="s">
        <v>465</v>
      </c>
      <c r="F27" t="s">
        <v>832</v>
      </c>
      <c r="P27" t="s">
        <v>3362</v>
      </c>
      <c r="Q27" t="s">
        <v>3397</v>
      </c>
      <c r="R27" t="s">
        <v>3367</v>
      </c>
      <c r="T27" t="s">
        <v>48</v>
      </c>
      <c r="U27" s="534" t="s">
        <v>4940</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50</v>
      </c>
      <c r="AU27">
        <v>280</v>
      </c>
      <c r="AV27" t="s">
        <v>50</v>
      </c>
      <c r="AW27" s="2146">
        <v>283</v>
      </c>
      <c r="AX27" s="2146" t="s">
        <v>50</v>
      </c>
      <c r="AZ27" t="s">
        <v>5986</v>
      </c>
    </row>
    <row r="28" spans="1:52">
      <c r="A28" t="s">
        <v>830</v>
      </c>
      <c r="B28" t="s">
        <v>39</v>
      </c>
      <c r="C28" t="s">
        <v>810</v>
      </c>
      <c r="D28" t="s">
        <v>41</v>
      </c>
      <c r="E28" t="s">
        <v>465</v>
      </c>
      <c r="F28" t="s">
        <v>832</v>
      </c>
      <c r="P28" t="s">
        <v>3365</v>
      </c>
      <c r="Q28" t="s">
        <v>3398</v>
      </c>
      <c r="R28" t="s">
        <v>3364</v>
      </c>
      <c r="T28" t="s">
        <v>48</v>
      </c>
      <c r="U28" s="534" t="s">
        <v>4940</v>
      </c>
      <c r="X28">
        <v>6</v>
      </c>
      <c r="Y28">
        <v>6</v>
      </c>
      <c r="Z28">
        <v>6</v>
      </c>
      <c r="AA28">
        <v>6</v>
      </c>
      <c r="AB28">
        <v>6</v>
      </c>
      <c r="AE28">
        <v>15</v>
      </c>
      <c r="AF28">
        <v>15</v>
      </c>
      <c r="AG28">
        <v>15</v>
      </c>
      <c r="AH28">
        <v>15</v>
      </c>
      <c r="AI28">
        <v>15</v>
      </c>
      <c r="AL28">
        <v>0</v>
      </c>
      <c r="AM28">
        <v>0</v>
      </c>
      <c r="AN28">
        <v>0</v>
      </c>
      <c r="AO28">
        <v>0</v>
      </c>
      <c r="AP28">
        <v>0</v>
      </c>
      <c r="AR28">
        <v>0</v>
      </c>
      <c r="AS28">
        <v>0</v>
      </c>
      <c r="AT28" t="s">
        <v>50</v>
      </c>
      <c r="AU28">
        <v>0</v>
      </c>
      <c r="AV28" t="s">
        <v>50</v>
      </c>
      <c r="AW28" s="2146">
        <v>5</v>
      </c>
      <c r="AX28" s="2146" t="s">
        <v>50</v>
      </c>
      <c r="AZ28" t="s">
        <v>5987</v>
      </c>
    </row>
    <row r="29" spans="1:52">
      <c r="A29" t="s">
        <v>830</v>
      </c>
      <c r="B29" t="s">
        <v>39</v>
      </c>
      <c r="C29" t="s">
        <v>810</v>
      </c>
      <c r="D29" t="s">
        <v>41</v>
      </c>
      <c r="E29" t="s">
        <v>465</v>
      </c>
      <c r="F29" t="s">
        <v>832</v>
      </c>
      <c r="P29" t="s">
        <v>3370</v>
      </c>
      <c r="Q29" t="s">
        <v>3399</v>
      </c>
      <c r="R29" t="s">
        <v>3400</v>
      </c>
      <c r="T29" t="s">
        <v>76</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50</v>
      </c>
      <c r="AU29">
        <v>0</v>
      </c>
      <c r="AV29" t="s">
        <v>50</v>
      </c>
      <c r="AW29" s="2146">
        <v>0</v>
      </c>
      <c r="AX29" s="2146" t="s">
        <v>50</v>
      </c>
      <c r="AZ29" t="s">
        <v>5988</v>
      </c>
    </row>
    <row r="30" spans="1:52">
      <c r="A30" t="s">
        <v>830</v>
      </c>
      <c r="B30" t="s">
        <v>39</v>
      </c>
      <c r="C30" t="s">
        <v>810</v>
      </c>
      <c r="D30" t="s">
        <v>41</v>
      </c>
      <c r="E30" t="s">
        <v>465</v>
      </c>
      <c r="F30" t="s">
        <v>832</v>
      </c>
      <c r="P30" t="s">
        <v>3373</v>
      </c>
      <c r="Q30" t="s">
        <v>3401</v>
      </c>
      <c r="R30" t="s">
        <v>3393</v>
      </c>
      <c r="T30" t="s">
        <v>48</v>
      </c>
      <c r="U30" s="534" t="s">
        <v>4940</v>
      </c>
      <c r="X30">
        <v>0</v>
      </c>
      <c r="Y30">
        <v>0</v>
      </c>
      <c r="Z30">
        <v>0</v>
      </c>
      <c r="AA30">
        <v>0</v>
      </c>
      <c r="AB30">
        <v>0</v>
      </c>
      <c r="AE30">
        <v>19</v>
      </c>
      <c r="AF30">
        <v>19</v>
      </c>
      <c r="AG30">
        <v>19</v>
      </c>
      <c r="AH30">
        <v>19</v>
      </c>
      <c r="AI30">
        <v>19</v>
      </c>
      <c r="AL30">
        <v>0</v>
      </c>
      <c r="AM30">
        <v>0</v>
      </c>
      <c r="AN30">
        <v>0</v>
      </c>
      <c r="AO30">
        <v>0</v>
      </c>
      <c r="AP30">
        <v>0</v>
      </c>
      <c r="AR30">
        <v>0</v>
      </c>
      <c r="AS30">
        <v>0</v>
      </c>
      <c r="AT30" t="s">
        <v>50</v>
      </c>
      <c r="AU30">
        <v>0</v>
      </c>
      <c r="AV30" t="s">
        <v>50</v>
      </c>
      <c r="AW30" s="2146">
        <v>0</v>
      </c>
      <c r="AX30" s="2146" t="s">
        <v>50</v>
      </c>
      <c r="AZ30" t="s">
        <v>5989</v>
      </c>
    </row>
    <row r="31" spans="1:52">
      <c r="A31" t="s">
        <v>830</v>
      </c>
      <c r="B31" t="s">
        <v>39</v>
      </c>
      <c r="C31" t="s">
        <v>810</v>
      </c>
      <c r="D31" t="s">
        <v>41</v>
      </c>
      <c r="E31" t="s">
        <v>465</v>
      </c>
      <c r="F31" t="s">
        <v>832</v>
      </c>
      <c r="P31" t="s">
        <v>3402</v>
      </c>
      <c r="Q31" t="s">
        <v>3403</v>
      </c>
      <c r="R31" t="s">
        <v>3372</v>
      </c>
      <c r="T31" t="s">
        <v>48</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50</v>
      </c>
      <c r="AU31">
        <v>0.31</v>
      </c>
      <c r="AV31" t="s">
        <v>50</v>
      </c>
      <c r="AW31" s="2146">
        <v>0.22</v>
      </c>
      <c r="AX31" s="2146" t="s">
        <v>50</v>
      </c>
      <c r="AZ31" t="s">
        <v>5990</v>
      </c>
    </row>
    <row r="32" spans="1:52">
      <c r="A32" t="s">
        <v>830</v>
      </c>
      <c r="B32" t="s">
        <v>39</v>
      </c>
      <c r="C32" t="s">
        <v>810</v>
      </c>
      <c r="D32" t="s">
        <v>41</v>
      </c>
      <c r="E32" t="s">
        <v>465</v>
      </c>
      <c r="F32" t="s">
        <v>832</v>
      </c>
      <c r="P32" t="s">
        <v>3404</v>
      </c>
      <c r="Q32" t="s">
        <v>3405</v>
      </c>
      <c r="R32" t="s">
        <v>3377</v>
      </c>
      <c r="T32" t="s">
        <v>76</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50</v>
      </c>
      <c r="AU32">
        <v>0</v>
      </c>
      <c r="AV32" t="s">
        <v>50</v>
      </c>
      <c r="AW32" s="2146">
        <v>0.05</v>
      </c>
      <c r="AX32" s="2146" t="s">
        <v>50</v>
      </c>
      <c r="AZ32" t="s">
        <v>5991</v>
      </c>
    </row>
    <row r="33" spans="1:52">
      <c r="A33" t="s">
        <v>830</v>
      </c>
      <c r="B33" t="s">
        <v>39</v>
      </c>
      <c r="C33" t="s">
        <v>810</v>
      </c>
      <c r="D33" t="s">
        <v>41</v>
      </c>
      <c r="E33" t="s">
        <v>465</v>
      </c>
      <c r="F33" t="s">
        <v>832</v>
      </c>
      <c r="P33" t="s">
        <v>3406</v>
      </c>
      <c r="Q33" t="s">
        <v>3407</v>
      </c>
      <c r="R33" t="s">
        <v>3379</v>
      </c>
      <c r="T33" t="s">
        <v>76</v>
      </c>
      <c r="U33">
        <v>2</v>
      </c>
      <c r="X33">
        <v>0</v>
      </c>
      <c r="Y33">
        <v>0</v>
      </c>
      <c r="Z33">
        <v>0</v>
      </c>
      <c r="AA33">
        <v>0</v>
      </c>
      <c r="AB33">
        <v>0</v>
      </c>
      <c r="AE33">
        <v>5</v>
      </c>
      <c r="AF33">
        <v>5</v>
      </c>
      <c r="AG33">
        <v>5</v>
      </c>
      <c r="AH33">
        <v>5</v>
      </c>
      <c r="AI33">
        <v>5</v>
      </c>
      <c r="AL33">
        <v>0</v>
      </c>
      <c r="AM33">
        <v>0</v>
      </c>
      <c r="AN33">
        <v>0</v>
      </c>
      <c r="AO33">
        <v>0</v>
      </c>
      <c r="AP33">
        <v>0</v>
      </c>
      <c r="AR33">
        <v>0</v>
      </c>
      <c r="AS33">
        <v>0</v>
      </c>
      <c r="AT33" t="s">
        <v>50</v>
      </c>
      <c r="AU33">
        <v>0</v>
      </c>
      <c r="AV33" t="s">
        <v>50</v>
      </c>
      <c r="AW33" s="2146">
        <v>0</v>
      </c>
      <c r="AX33" s="2146" t="s">
        <v>50</v>
      </c>
      <c r="AZ33" t="s">
        <v>5992</v>
      </c>
    </row>
    <row r="34" spans="1:52">
      <c r="A34" t="s">
        <v>830</v>
      </c>
      <c r="B34" t="s">
        <v>39</v>
      </c>
      <c r="C34" t="s">
        <v>810</v>
      </c>
      <c r="D34" t="s">
        <v>41</v>
      </c>
      <c r="E34" t="s">
        <v>465</v>
      </c>
      <c r="F34" t="s">
        <v>832</v>
      </c>
      <c r="P34" t="s">
        <v>3408</v>
      </c>
      <c r="Q34" t="s">
        <v>3409</v>
      </c>
      <c r="R34" t="s">
        <v>3380</v>
      </c>
      <c r="T34" t="s">
        <v>48</v>
      </c>
      <c r="U34" s="534" t="s">
        <v>4940</v>
      </c>
      <c r="X34">
        <v>1</v>
      </c>
      <c r="Y34">
        <v>1</v>
      </c>
      <c r="Z34">
        <v>1</v>
      </c>
      <c r="AA34">
        <v>1</v>
      </c>
      <c r="AB34">
        <v>1</v>
      </c>
      <c r="AE34">
        <v>2</v>
      </c>
      <c r="AF34">
        <v>2</v>
      </c>
      <c r="AG34">
        <v>2</v>
      </c>
      <c r="AH34">
        <v>2</v>
      </c>
      <c r="AI34">
        <v>2</v>
      </c>
      <c r="AL34">
        <v>0</v>
      </c>
      <c r="AM34">
        <v>0</v>
      </c>
      <c r="AN34">
        <v>0</v>
      </c>
      <c r="AO34">
        <v>0</v>
      </c>
      <c r="AP34">
        <v>0</v>
      </c>
      <c r="AR34">
        <v>0</v>
      </c>
      <c r="AS34">
        <v>0</v>
      </c>
      <c r="AT34" t="s">
        <v>50</v>
      </c>
      <c r="AU34">
        <v>0</v>
      </c>
      <c r="AV34" t="s">
        <v>50</v>
      </c>
      <c r="AW34" s="2146">
        <v>0</v>
      </c>
      <c r="AX34" s="2146" t="s">
        <v>50</v>
      </c>
      <c r="AZ34" t="s">
        <v>5993</v>
      </c>
    </row>
    <row r="35" spans="1:52">
      <c r="A35" t="s">
        <v>830</v>
      </c>
      <c r="B35" t="s">
        <v>39</v>
      </c>
      <c r="C35" t="s">
        <v>810</v>
      </c>
      <c r="D35" t="s">
        <v>41</v>
      </c>
      <c r="E35" t="s">
        <v>465</v>
      </c>
      <c r="F35" t="s">
        <v>832</v>
      </c>
      <c r="P35" t="s">
        <v>3410</v>
      </c>
      <c r="Q35" t="s">
        <v>3411</v>
      </c>
      <c r="R35" t="s">
        <v>3412</v>
      </c>
      <c r="T35" t="s">
        <v>48</v>
      </c>
      <c r="U35" s="534" t="s">
        <v>4940</v>
      </c>
      <c r="X35">
        <v>0</v>
      </c>
      <c r="Y35">
        <v>0</v>
      </c>
      <c r="Z35">
        <v>0</v>
      </c>
      <c r="AA35">
        <v>0</v>
      </c>
      <c r="AB35">
        <v>0</v>
      </c>
      <c r="AE35">
        <v>1</v>
      </c>
      <c r="AF35">
        <v>1</v>
      </c>
      <c r="AG35">
        <v>1</v>
      </c>
      <c r="AH35">
        <v>1</v>
      </c>
      <c r="AI35">
        <v>1</v>
      </c>
      <c r="AL35">
        <v>0</v>
      </c>
      <c r="AM35">
        <v>0</v>
      </c>
      <c r="AN35">
        <v>0</v>
      </c>
      <c r="AO35">
        <v>0</v>
      </c>
      <c r="AP35">
        <v>0</v>
      </c>
      <c r="AR35">
        <v>0</v>
      </c>
      <c r="AS35">
        <v>0</v>
      </c>
      <c r="AT35" t="s">
        <v>50</v>
      </c>
      <c r="AU35">
        <v>0</v>
      </c>
      <c r="AV35" t="s">
        <v>50</v>
      </c>
      <c r="AW35" s="2146">
        <v>0</v>
      </c>
      <c r="AX35" s="2146" t="s">
        <v>50</v>
      </c>
      <c r="AZ35" t="s">
        <v>5994</v>
      </c>
    </row>
    <row r="36" spans="1:52">
      <c r="A36" t="s">
        <v>830</v>
      </c>
      <c r="B36" t="s">
        <v>39</v>
      </c>
      <c r="C36" t="s">
        <v>810</v>
      </c>
      <c r="D36" t="s">
        <v>41</v>
      </c>
      <c r="E36" t="s">
        <v>465</v>
      </c>
      <c r="F36" t="s">
        <v>832</v>
      </c>
      <c r="P36" t="s">
        <v>3413</v>
      </c>
      <c r="Q36" t="s">
        <v>3414</v>
      </c>
      <c r="R36" t="s">
        <v>3396</v>
      </c>
      <c r="T36" t="s">
        <v>48</v>
      </c>
      <c r="U36" s="534" t="s">
        <v>4940</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50</v>
      </c>
      <c r="AU36">
        <v>212</v>
      </c>
      <c r="AV36" t="s">
        <v>50</v>
      </c>
      <c r="AW36" s="2146">
        <v>221</v>
      </c>
      <c r="AX36" s="2146" t="s">
        <v>50</v>
      </c>
      <c r="AZ36" t="s">
        <v>5995</v>
      </c>
    </row>
    <row r="37" spans="1:52">
      <c r="A37" t="s">
        <v>1054</v>
      </c>
      <c r="B37" t="s">
        <v>39</v>
      </c>
      <c r="C37" t="s">
        <v>966</v>
      </c>
      <c r="D37" t="s">
        <v>41</v>
      </c>
      <c r="E37" t="s">
        <v>1055</v>
      </c>
      <c r="F37" t="s">
        <v>1057</v>
      </c>
      <c r="G37" t="s">
        <v>5408</v>
      </c>
      <c r="H37" t="s">
        <v>91</v>
      </c>
      <c r="I37" t="s">
        <v>323</v>
      </c>
      <c r="J37" t="s">
        <v>202</v>
      </c>
      <c r="K37" t="s">
        <v>202</v>
      </c>
      <c r="L37" t="s">
        <v>202</v>
      </c>
      <c r="M37" t="s">
        <v>202</v>
      </c>
      <c r="N37" t="s">
        <v>202</v>
      </c>
      <c r="O37" t="s">
        <v>202</v>
      </c>
      <c r="P37" t="s">
        <v>3361</v>
      </c>
      <c r="Q37" t="s">
        <v>1057</v>
      </c>
      <c r="T37" t="s">
        <v>200</v>
      </c>
      <c r="U37" t="s">
        <v>51</v>
      </c>
      <c r="AR37" t="s">
        <v>202</v>
      </c>
      <c r="AS37" t="s">
        <v>202</v>
      </c>
      <c r="AT37" t="s">
        <v>50</v>
      </c>
      <c r="AU37" t="s">
        <v>202</v>
      </c>
      <c r="AV37" t="s">
        <v>50</v>
      </c>
      <c r="AW37" s="2146" t="s">
        <v>202</v>
      </c>
      <c r="AX37" s="2146" t="s">
        <v>50</v>
      </c>
      <c r="AZ37" t="s">
        <v>3293</v>
      </c>
    </row>
    <row r="38" spans="1:52">
      <c r="A38" t="s">
        <v>1054</v>
      </c>
      <c r="B38" t="s">
        <v>39</v>
      </c>
      <c r="C38" t="s">
        <v>966</v>
      </c>
      <c r="D38" t="s">
        <v>41</v>
      </c>
      <c r="E38" t="s">
        <v>1055</v>
      </c>
      <c r="F38" t="s">
        <v>1057</v>
      </c>
      <c r="P38" t="s">
        <v>3362</v>
      </c>
      <c r="Q38" t="s">
        <v>3415</v>
      </c>
      <c r="R38" t="s">
        <v>3377</v>
      </c>
      <c r="T38" t="s">
        <v>76</v>
      </c>
      <c r="U38">
        <v>2</v>
      </c>
      <c r="W38">
        <v>0.05</v>
      </c>
      <c r="X38">
        <v>0.05</v>
      </c>
      <c r="Y38">
        <v>0.05</v>
      </c>
      <c r="Z38">
        <v>0.05</v>
      </c>
      <c r="AA38">
        <v>0.05</v>
      </c>
      <c r="AB38">
        <v>0.05</v>
      </c>
      <c r="AE38">
        <v>0.08</v>
      </c>
      <c r="AF38">
        <v>0.08</v>
      </c>
      <c r="AG38">
        <v>0.08</v>
      </c>
      <c r="AH38">
        <v>0.08</v>
      </c>
      <c r="AI38">
        <v>0.08</v>
      </c>
      <c r="AR38">
        <v>0.02</v>
      </c>
      <c r="AS38">
        <v>0.03</v>
      </c>
      <c r="AT38" t="s">
        <v>50</v>
      </c>
      <c r="AU38">
        <v>0.08</v>
      </c>
      <c r="AV38" t="s">
        <v>50</v>
      </c>
      <c r="AW38" s="2146">
        <v>0.05</v>
      </c>
      <c r="AX38" s="2146" t="s">
        <v>50</v>
      </c>
      <c r="AZ38" t="s">
        <v>5996</v>
      </c>
    </row>
    <row r="39" spans="1:52">
      <c r="A39" t="s">
        <v>1054</v>
      </c>
      <c r="B39" t="s">
        <v>39</v>
      </c>
      <c r="C39" t="s">
        <v>966</v>
      </c>
      <c r="D39" t="s">
        <v>41</v>
      </c>
      <c r="E39" t="s">
        <v>1055</v>
      </c>
      <c r="F39" t="s">
        <v>1057</v>
      </c>
      <c r="P39" t="s">
        <v>3365</v>
      </c>
      <c r="Q39" t="s">
        <v>3416</v>
      </c>
      <c r="R39" t="s">
        <v>3379</v>
      </c>
      <c r="T39" t="s">
        <v>76</v>
      </c>
      <c r="U39">
        <v>2</v>
      </c>
      <c r="X39">
        <v>0.21</v>
      </c>
      <c r="Y39">
        <v>0.21</v>
      </c>
      <c r="Z39">
        <v>0.21</v>
      </c>
      <c r="AA39">
        <v>0.21</v>
      </c>
      <c r="AB39">
        <v>0.21</v>
      </c>
      <c r="AE39">
        <v>0.84</v>
      </c>
      <c r="AF39">
        <v>0.84</v>
      </c>
      <c r="AG39">
        <v>0.84</v>
      </c>
      <c r="AH39">
        <v>0.84</v>
      </c>
      <c r="AI39">
        <v>0.84</v>
      </c>
      <c r="AR39">
        <v>0.43</v>
      </c>
      <c r="AS39">
        <v>0</v>
      </c>
      <c r="AT39" t="s">
        <v>50</v>
      </c>
      <c r="AU39">
        <v>0</v>
      </c>
      <c r="AV39" t="s">
        <v>50</v>
      </c>
      <c r="AW39" s="2146">
        <v>0</v>
      </c>
      <c r="AX39" s="2146" t="s">
        <v>50</v>
      </c>
      <c r="AZ39" t="s">
        <v>5997</v>
      </c>
    </row>
    <row r="40" spans="1:52">
      <c r="A40" t="s">
        <v>1054</v>
      </c>
      <c r="B40" t="s">
        <v>39</v>
      </c>
      <c r="C40" t="s">
        <v>966</v>
      </c>
      <c r="D40" t="s">
        <v>41</v>
      </c>
      <c r="E40" t="s">
        <v>1055</v>
      </c>
      <c r="F40" t="s">
        <v>1057</v>
      </c>
      <c r="P40" t="s">
        <v>3370</v>
      </c>
      <c r="Q40" t="s">
        <v>3417</v>
      </c>
      <c r="R40" t="s">
        <v>3380</v>
      </c>
      <c r="T40" t="s">
        <v>48</v>
      </c>
      <c r="U40" s="534" t="s">
        <v>4940</v>
      </c>
      <c r="X40">
        <v>4</v>
      </c>
      <c r="Y40">
        <v>4</v>
      </c>
      <c r="Z40">
        <v>4</v>
      </c>
      <c r="AA40">
        <v>4</v>
      </c>
      <c r="AB40">
        <v>4</v>
      </c>
      <c r="AE40">
        <v>11</v>
      </c>
      <c r="AF40">
        <v>11</v>
      </c>
      <c r="AG40">
        <v>11</v>
      </c>
      <c r="AH40">
        <v>11</v>
      </c>
      <c r="AI40">
        <v>11</v>
      </c>
      <c r="AR40">
        <v>3</v>
      </c>
      <c r="AS40">
        <v>0</v>
      </c>
      <c r="AT40" t="s">
        <v>50</v>
      </c>
      <c r="AU40">
        <v>0</v>
      </c>
      <c r="AV40" t="s">
        <v>50</v>
      </c>
      <c r="AW40" s="2146">
        <v>0</v>
      </c>
      <c r="AX40" s="2146" t="s">
        <v>50</v>
      </c>
      <c r="AZ40" t="s">
        <v>5998</v>
      </c>
    </row>
    <row r="41" spans="1:52">
      <c r="A41" t="s">
        <v>1054</v>
      </c>
      <c r="B41" t="s">
        <v>39</v>
      </c>
      <c r="C41" t="s">
        <v>966</v>
      </c>
      <c r="D41" t="s">
        <v>41</v>
      </c>
      <c r="E41" t="s">
        <v>1055</v>
      </c>
      <c r="F41" t="s">
        <v>1057</v>
      </c>
      <c r="P41" t="s">
        <v>3373</v>
      </c>
      <c r="Q41" t="s">
        <v>3418</v>
      </c>
      <c r="R41" t="s">
        <v>3412</v>
      </c>
      <c r="T41" t="s">
        <v>48</v>
      </c>
      <c r="U41" s="534" t="s">
        <v>4940</v>
      </c>
      <c r="X41">
        <v>0</v>
      </c>
      <c r="Y41">
        <v>0</v>
      </c>
      <c r="Z41">
        <v>0</v>
      </c>
      <c r="AA41">
        <v>0</v>
      </c>
      <c r="AB41">
        <v>0</v>
      </c>
      <c r="AE41">
        <v>1</v>
      </c>
      <c r="AF41">
        <v>1</v>
      </c>
      <c r="AG41">
        <v>1</v>
      </c>
      <c r="AH41">
        <v>1</v>
      </c>
      <c r="AI41">
        <v>1</v>
      </c>
      <c r="AR41">
        <v>0</v>
      </c>
      <c r="AS41">
        <v>0</v>
      </c>
      <c r="AT41" t="s">
        <v>50</v>
      </c>
      <c r="AU41">
        <v>0</v>
      </c>
      <c r="AV41" t="s">
        <v>50</v>
      </c>
      <c r="AW41" s="2146">
        <v>0</v>
      </c>
      <c r="AX41" s="2146" t="s">
        <v>50</v>
      </c>
      <c r="AZ41" t="s">
        <v>5999</v>
      </c>
    </row>
    <row r="42" spans="1:52">
      <c r="A42" t="s">
        <v>1098</v>
      </c>
      <c r="B42" t="s">
        <v>116</v>
      </c>
      <c r="C42" t="s">
        <v>1097</v>
      </c>
      <c r="D42" t="s">
        <v>41</v>
      </c>
      <c r="E42">
        <v>1</v>
      </c>
      <c r="F42" t="s">
        <v>3419</v>
      </c>
      <c r="G42" t="s">
        <v>5408</v>
      </c>
      <c r="H42" t="s">
        <v>91</v>
      </c>
      <c r="I42" t="s">
        <v>323</v>
      </c>
      <c r="J42" t="s">
        <v>497</v>
      </c>
      <c r="K42" t="s">
        <v>202</v>
      </c>
      <c r="L42" t="s">
        <v>202</v>
      </c>
      <c r="M42" t="s">
        <v>202</v>
      </c>
      <c r="N42" t="s">
        <v>202</v>
      </c>
      <c r="O42" t="s">
        <v>202</v>
      </c>
      <c r="P42" t="s">
        <v>3361</v>
      </c>
      <c r="Q42" t="s">
        <v>3419</v>
      </c>
      <c r="T42" t="s">
        <v>200</v>
      </c>
      <c r="U42" t="s">
        <v>51</v>
      </c>
      <c r="AR42" t="s">
        <v>497</v>
      </c>
      <c r="AS42" t="s">
        <v>202</v>
      </c>
      <c r="AT42" t="s">
        <v>50</v>
      </c>
      <c r="AU42" t="s">
        <v>202</v>
      </c>
      <c r="AV42" t="s">
        <v>50</v>
      </c>
      <c r="AW42" s="2146" t="s">
        <v>202</v>
      </c>
      <c r="AX42" s="2146" t="s">
        <v>50</v>
      </c>
      <c r="AZ42" t="s">
        <v>6000</v>
      </c>
    </row>
    <row r="43" spans="1:52">
      <c r="A43" t="s">
        <v>1098</v>
      </c>
      <c r="B43" t="s">
        <v>116</v>
      </c>
      <c r="C43" t="s">
        <v>1097</v>
      </c>
      <c r="D43" t="s">
        <v>41</v>
      </c>
      <c r="E43">
        <v>1</v>
      </c>
      <c r="F43" t="s">
        <v>3419</v>
      </c>
      <c r="P43" t="s">
        <v>3362</v>
      </c>
      <c r="Q43" t="s">
        <v>3420</v>
      </c>
      <c r="R43" t="s">
        <v>3367</v>
      </c>
      <c r="T43" t="s">
        <v>48</v>
      </c>
      <c r="U43" s="534" t="s">
        <v>4940</v>
      </c>
      <c r="AE43">
        <v>2865</v>
      </c>
      <c r="AF43">
        <v>2865</v>
      </c>
      <c r="AG43">
        <v>2865</v>
      </c>
      <c r="AH43">
        <v>2865</v>
      </c>
      <c r="AI43">
        <v>2865</v>
      </c>
      <c r="AL43">
        <v>2383</v>
      </c>
      <c r="AM43">
        <v>2383</v>
      </c>
      <c r="AN43">
        <v>2383</v>
      </c>
      <c r="AO43">
        <v>2383</v>
      </c>
      <c r="AP43">
        <v>2383</v>
      </c>
      <c r="AR43">
        <v>1770</v>
      </c>
      <c r="AS43">
        <v>1322</v>
      </c>
      <c r="AT43" t="s">
        <v>50</v>
      </c>
      <c r="AU43">
        <v>1996</v>
      </c>
      <c r="AV43" t="s">
        <v>50</v>
      </c>
      <c r="AW43" s="2146">
        <v>1844</v>
      </c>
      <c r="AX43" s="2146" t="s">
        <v>50</v>
      </c>
      <c r="AZ43" t="s">
        <v>6001</v>
      </c>
    </row>
    <row r="44" spans="1:52">
      <c r="A44" t="s">
        <v>1098</v>
      </c>
      <c r="B44" t="s">
        <v>116</v>
      </c>
      <c r="C44" t="s">
        <v>1097</v>
      </c>
      <c r="D44" t="s">
        <v>41</v>
      </c>
      <c r="E44">
        <v>1</v>
      </c>
      <c r="F44" t="s">
        <v>3419</v>
      </c>
      <c r="P44" t="s">
        <v>3365</v>
      </c>
      <c r="Q44" t="s">
        <v>3421</v>
      </c>
      <c r="R44" t="s">
        <v>3375</v>
      </c>
      <c r="T44" t="s">
        <v>76</v>
      </c>
      <c r="U44">
        <v>2</v>
      </c>
      <c r="AE44">
        <v>99.82</v>
      </c>
      <c r="AF44">
        <v>99.82</v>
      </c>
      <c r="AG44">
        <v>99.82</v>
      </c>
      <c r="AH44">
        <v>99.82</v>
      </c>
      <c r="AI44">
        <v>99.82</v>
      </c>
      <c r="AL44">
        <v>99.74</v>
      </c>
      <c r="AM44">
        <v>99.74</v>
      </c>
      <c r="AN44">
        <v>99.74</v>
      </c>
      <c r="AO44">
        <v>99.74</v>
      </c>
      <c r="AP44">
        <v>99.74</v>
      </c>
      <c r="AR44">
        <v>99.96</v>
      </c>
      <c r="AS44">
        <v>99.96</v>
      </c>
      <c r="AT44" t="s">
        <v>50</v>
      </c>
      <c r="AU44">
        <v>99.91</v>
      </c>
      <c r="AV44" t="s">
        <v>50</v>
      </c>
      <c r="AW44" s="2146">
        <v>99.93</v>
      </c>
      <c r="AX44" s="2146" t="s">
        <v>50</v>
      </c>
      <c r="AZ44" t="s">
        <v>6002</v>
      </c>
    </row>
    <row r="45" spans="1:52">
      <c r="A45" t="s">
        <v>1098</v>
      </c>
      <c r="B45" t="s">
        <v>116</v>
      </c>
      <c r="C45" t="s">
        <v>1097</v>
      </c>
      <c r="D45" t="s">
        <v>41</v>
      </c>
      <c r="E45">
        <v>1</v>
      </c>
      <c r="F45" t="s">
        <v>3419</v>
      </c>
      <c r="P45" t="s">
        <v>3370</v>
      </c>
      <c r="Q45" t="s">
        <v>3422</v>
      </c>
      <c r="R45" t="s">
        <v>3377</v>
      </c>
      <c r="T45" t="s">
        <v>76</v>
      </c>
      <c r="U45">
        <v>2</v>
      </c>
      <c r="AE45">
        <v>99.92</v>
      </c>
      <c r="AF45">
        <v>99.92</v>
      </c>
      <c r="AG45">
        <v>99.92</v>
      </c>
      <c r="AH45">
        <v>99.92</v>
      </c>
      <c r="AI45">
        <v>99.92</v>
      </c>
      <c r="AL45">
        <v>99.88</v>
      </c>
      <c r="AM45">
        <v>99.88</v>
      </c>
      <c r="AN45">
        <v>99.88</v>
      </c>
      <c r="AO45">
        <v>99.88</v>
      </c>
      <c r="AP45">
        <v>99.88</v>
      </c>
      <c r="AR45">
        <v>100</v>
      </c>
      <c r="AS45">
        <v>100</v>
      </c>
      <c r="AT45" t="s">
        <v>50</v>
      </c>
      <c r="AU45">
        <v>99.98</v>
      </c>
      <c r="AV45" t="s">
        <v>50</v>
      </c>
      <c r="AW45" s="2146">
        <v>99.98</v>
      </c>
      <c r="AX45" s="2146" t="s">
        <v>50</v>
      </c>
      <c r="AZ45" t="s">
        <v>6003</v>
      </c>
    </row>
    <row r="46" spans="1:52">
      <c r="A46" t="s">
        <v>1098</v>
      </c>
      <c r="B46" t="s">
        <v>116</v>
      </c>
      <c r="C46" t="s">
        <v>1097</v>
      </c>
      <c r="D46" t="s">
        <v>41</v>
      </c>
      <c r="E46">
        <v>1</v>
      </c>
      <c r="F46" t="s">
        <v>3419</v>
      </c>
      <c r="P46" t="s">
        <v>3373</v>
      </c>
      <c r="Q46" t="s">
        <v>3423</v>
      </c>
      <c r="R46" t="s">
        <v>3379</v>
      </c>
      <c r="T46" t="s">
        <v>76</v>
      </c>
      <c r="U46" s="534" t="s">
        <v>4940</v>
      </c>
      <c r="AE46">
        <v>99</v>
      </c>
      <c r="AF46">
        <v>99</v>
      </c>
      <c r="AG46">
        <v>99</v>
      </c>
      <c r="AH46">
        <v>99</v>
      </c>
      <c r="AI46">
        <v>99</v>
      </c>
      <c r="AL46">
        <v>98</v>
      </c>
      <c r="AM46">
        <v>98</v>
      </c>
      <c r="AN46">
        <v>98</v>
      </c>
      <c r="AO46">
        <v>98</v>
      </c>
      <c r="AP46">
        <v>98</v>
      </c>
      <c r="AR46">
        <v>99.96</v>
      </c>
      <c r="AS46">
        <v>100</v>
      </c>
      <c r="AT46" t="s">
        <v>50</v>
      </c>
      <c r="AU46">
        <v>100</v>
      </c>
      <c r="AV46" t="s">
        <v>50</v>
      </c>
      <c r="AW46" s="2146">
        <v>99.94</v>
      </c>
      <c r="AX46" s="2146" t="s">
        <v>50</v>
      </c>
      <c r="AZ46" t="s">
        <v>6004</v>
      </c>
    </row>
    <row r="47" spans="1:52">
      <c r="A47" t="s">
        <v>1098</v>
      </c>
      <c r="B47" t="s">
        <v>116</v>
      </c>
      <c r="C47" t="s">
        <v>1097</v>
      </c>
      <c r="D47" t="s">
        <v>41</v>
      </c>
      <c r="E47">
        <v>1</v>
      </c>
      <c r="F47" t="s">
        <v>3419</v>
      </c>
      <c r="P47" t="s">
        <v>3402</v>
      </c>
      <c r="Q47" t="s">
        <v>3424</v>
      </c>
      <c r="R47" t="s">
        <v>3380</v>
      </c>
      <c r="T47" t="s">
        <v>48</v>
      </c>
      <c r="U47" s="534" t="s">
        <v>4940</v>
      </c>
      <c r="AE47">
        <v>10</v>
      </c>
      <c r="AF47">
        <v>10</v>
      </c>
      <c r="AG47">
        <v>10</v>
      </c>
      <c r="AH47">
        <v>10</v>
      </c>
      <c r="AI47">
        <v>10</v>
      </c>
      <c r="AL47">
        <v>6</v>
      </c>
      <c r="AM47">
        <v>6</v>
      </c>
      <c r="AN47">
        <v>6</v>
      </c>
      <c r="AO47">
        <v>6</v>
      </c>
      <c r="AP47">
        <v>6</v>
      </c>
      <c r="AR47">
        <v>0</v>
      </c>
      <c r="AS47">
        <v>0</v>
      </c>
      <c r="AT47" t="s">
        <v>50</v>
      </c>
      <c r="AU47">
        <v>0</v>
      </c>
      <c r="AV47" t="s">
        <v>50</v>
      </c>
      <c r="AW47" s="2146">
        <v>1</v>
      </c>
      <c r="AX47" s="2146" t="s">
        <v>50</v>
      </c>
      <c r="AZ47" t="s">
        <v>6005</v>
      </c>
    </row>
    <row r="48" spans="1:52">
      <c r="A48" t="s">
        <v>1130</v>
      </c>
      <c r="B48" t="s">
        <v>116</v>
      </c>
      <c r="C48" t="s">
        <v>1097</v>
      </c>
      <c r="D48" t="s">
        <v>215</v>
      </c>
      <c r="E48">
        <v>1</v>
      </c>
      <c r="F48" t="s">
        <v>3425</v>
      </c>
      <c r="G48" t="s">
        <v>5408</v>
      </c>
      <c r="H48" t="s">
        <v>273</v>
      </c>
      <c r="I48" t="s">
        <v>323</v>
      </c>
      <c r="J48" t="s">
        <v>497</v>
      </c>
      <c r="K48" t="s">
        <v>202</v>
      </c>
      <c r="L48" t="s">
        <v>202</v>
      </c>
      <c r="M48" t="s">
        <v>202</v>
      </c>
      <c r="N48" t="s">
        <v>202</v>
      </c>
      <c r="O48" t="s">
        <v>202</v>
      </c>
      <c r="P48" t="s">
        <v>3361</v>
      </c>
      <c r="Q48" t="s">
        <v>3425</v>
      </c>
      <c r="T48" t="s">
        <v>200</v>
      </c>
      <c r="U48" t="s">
        <v>51</v>
      </c>
      <c r="AR48" t="s">
        <v>497</v>
      </c>
      <c r="AS48" t="s">
        <v>202</v>
      </c>
      <c r="AT48" t="s">
        <v>50</v>
      </c>
      <c r="AU48" t="s">
        <v>202</v>
      </c>
      <c r="AV48" t="s">
        <v>50</v>
      </c>
      <c r="AW48" s="2146" t="s">
        <v>202</v>
      </c>
      <c r="AX48" s="2146" t="s">
        <v>50</v>
      </c>
      <c r="AZ48" t="s">
        <v>6006</v>
      </c>
    </row>
    <row r="49" spans="1:52">
      <c r="A49" t="s">
        <v>1130</v>
      </c>
      <c r="B49" t="s">
        <v>116</v>
      </c>
      <c r="C49" t="s">
        <v>1097</v>
      </c>
      <c r="D49" t="s">
        <v>215</v>
      </c>
      <c r="E49">
        <v>1</v>
      </c>
      <c r="F49" t="s">
        <v>3425</v>
      </c>
      <c r="P49" t="s">
        <v>3362</v>
      </c>
      <c r="Q49" t="s">
        <v>3382</v>
      </c>
      <c r="R49" t="s">
        <v>3383</v>
      </c>
      <c r="T49" t="s">
        <v>48</v>
      </c>
      <c r="U49" s="534" t="s">
        <v>4940</v>
      </c>
      <c r="AE49">
        <v>392</v>
      </c>
      <c r="AF49">
        <v>392</v>
      </c>
      <c r="AG49">
        <v>392</v>
      </c>
      <c r="AH49">
        <v>392</v>
      </c>
      <c r="AI49">
        <v>392</v>
      </c>
      <c r="AL49">
        <v>368</v>
      </c>
      <c r="AM49">
        <v>368</v>
      </c>
      <c r="AN49">
        <v>368</v>
      </c>
      <c r="AO49">
        <v>368</v>
      </c>
      <c r="AP49">
        <v>368</v>
      </c>
      <c r="AR49">
        <v>268</v>
      </c>
      <c r="AS49">
        <v>242</v>
      </c>
      <c r="AT49" t="s">
        <v>50</v>
      </c>
      <c r="AU49">
        <v>233</v>
      </c>
      <c r="AV49" t="s">
        <v>50</v>
      </c>
      <c r="AW49" s="2146">
        <v>234</v>
      </c>
      <c r="AX49" s="2146" t="s">
        <v>50</v>
      </c>
      <c r="AZ49" t="s">
        <v>6007</v>
      </c>
    </row>
    <row r="50" spans="1:52">
      <c r="A50" t="s">
        <v>1130</v>
      </c>
      <c r="B50" t="s">
        <v>116</v>
      </c>
      <c r="C50" t="s">
        <v>1097</v>
      </c>
      <c r="D50" t="s">
        <v>215</v>
      </c>
      <c r="E50">
        <v>1</v>
      </c>
      <c r="F50" t="s">
        <v>3425</v>
      </c>
      <c r="P50" t="s">
        <v>3365</v>
      </c>
      <c r="Q50" t="s">
        <v>3426</v>
      </c>
      <c r="R50" t="s">
        <v>3388</v>
      </c>
      <c r="T50" t="s">
        <v>76</v>
      </c>
      <c r="U50">
        <v>1</v>
      </c>
      <c r="AE50">
        <v>99.9</v>
      </c>
      <c r="AF50">
        <v>99.9</v>
      </c>
      <c r="AG50">
        <v>99.9</v>
      </c>
      <c r="AH50">
        <v>99.9</v>
      </c>
      <c r="AI50">
        <v>99.9</v>
      </c>
      <c r="AL50">
        <v>99.8</v>
      </c>
      <c r="AM50">
        <v>99.8</v>
      </c>
      <c r="AN50">
        <v>99.8</v>
      </c>
      <c r="AO50">
        <v>99.8</v>
      </c>
      <c r="AP50">
        <v>99.8</v>
      </c>
      <c r="AR50">
        <v>100</v>
      </c>
      <c r="AS50">
        <v>100</v>
      </c>
      <c r="AT50" t="s">
        <v>50</v>
      </c>
      <c r="AU50">
        <v>100</v>
      </c>
      <c r="AV50" t="s">
        <v>50</v>
      </c>
      <c r="AW50" s="2146">
        <v>99.93</v>
      </c>
      <c r="AX50" s="2146" t="s">
        <v>50</v>
      </c>
      <c r="AZ50" t="s">
        <v>6008</v>
      </c>
    </row>
    <row r="51" spans="1:52">
      <c r="A51" t="s">
        <v>1130</v>
      </c>
      <c r="B51" t="s">
        <v>116</v>
      </c>
      <c r="C51" t="s">
        <v>1097</v>
      </c>
      <c r="D51" t="s">
        <v>215</v>
      </c>
      <c r="E51">
        <v>1</v>
      </c>
      <c r="F51" t="s">
        <v>3425</v>
      </c>
      <c r="P51" t="s">
        <v>3370</v>
      </c>
      <c r="Q51" t="s">
        <v>3427</v>
      </c>
      <c r="R51" t="s">
        <v>3428</v>
      </c>
      <c r="T51" t="s">
        <v>48</v>
      </c>
      <c r="U51" s="534" t="s">
        <v>4940</v>
      </c>
      <c r="AE51">
        <v>13004</v>
      </c>
      <c r="AF51">
        <v>13004</v>
      </c>
      <c r="AG51">
        <v>13004</v>
      </c>
      <c r="AH51">
        <v>13004</v>
      </c>
      <c r="AI51">
        <v>13004</v>
      </c>
      <c r="AL51">
        <v>10974</v>
      </c>
      <c r="AM51">
        <v>10974</v>
      </c>
      <c r="AN51">
        <v>10974</v>
      </c>
      <c r="AO51">
        <v>10974</v>
      </c>
      <c r="AP51">
        <v>10974</v>
      </c>
      <c r="AR51">
        <v>8810</v>
      </c>
      <c r="AS51">
        <v>7428</v>
      </c>
      <c r="AT51" t="s">
        <v>50</v>
      </c>
      <c r="AU51">
        <v>7614</v>
      </c>
      <c r="AV51" t="s">
        <v>50</v>
      </c>
      <c r="AW51" s="2146">
        <v>6734</v>
      </c>
      <c r="AX51" s="2146" t="s">
        <v>50</v>
      </c>
      <c r="AZ51" t="s">
        <v>6009</v>
      </c>
    </row>
    <row r="52" spans="1:52">
      <c r="A52" t="s">
        <v>1244</v>
      </c>
      <c r="B52" t="s">
        <v>39</v>
      </c>
      <c r="C52" t="s">
        <v>1231</v>
      </c>
      <c r="D52" t="s">
        <v>41</v>
      </c>
      <c r="E52">
        <v>2.2000000000000002</v>
      </c>
      <c r="F52" t="s">
        <v>1246</v>
      </c>
      <c r="G52" t="s">
        <v>5408</v>
      </c>
      <c r="H52" t="s">
        <v>91</v>
      </c>
      <c r="I52" t="s">
        <v>323</v>
      </c>
      <c r="J52" t="s">
        <v>202</v>
      </c>
      <c r="K52" t="s">
        <v>202</v>
      </c>
      <c r="L52" t="s">
        <v>202</v>
      </c>
      <c r="M52" t="s">
        <v>202</v>
      </c>
      <c r="N52" t="s">
        <v>202</v>
      </c>
      <c r="O52" t="s">
        <v>202</v>
      </c>
      <c r="P52" t="s">
        <v>3361</v>
      </c>
      <c r="Q52" t="s">
        <v>1246</v>
      </c>
      <c r="T52" t="s">
        <v>200</v>
      </c>
      <c r="U52" t="s">
        <v>51</v>
      </c>
      <c r="AR52" t="s">
        <v>202</v>
      </c>
      <c r="AS52" t="s">
        <v>202</v>
      </c>
      <c r="AT52" t="s">
        <v>50</v>
      </c>
      <c r="AU52" t="s">
        <v>202</v>
      </c>
      <c r="AV52" t="s">
        <v>50</v>
      </c>
      <c r="AW52" s="2146" t="s">
        <v>202</v>
      </c>
      <c r="AX52" s="2146" t="s">
        <v>50</v>
      </c>
      <c r="AZ52" t="s">
        <v>3294</v>
      </c>
    </row>
    <row r="53" spans="1:52">
      <c r="A53" t="s">
        <v>1244</v>
      </c>
      <c r="B53" t="s">
        <v>39</v>
      </c>
      <c r="C53" t="s">
        <v>1231</v>
      </c>
      <c r="D53" t="s">
        <v>41</v>
      </c>
      <c r="E53">
        <v>2.2000000000000002</v>
      </c>
      <c r="F53" t="s">
        <v>1246</v>
      </c>
      <c r="P53" t="s">
        <v>3362</v>
      </c>
      <c r="Q53" t="s">
        <v>3429</v>
      </c>
      <c r="R53" t="s">
        <v>3367</v>
      </c>
      <c r="S53">
        <v>0.5</v>
      </c>
      <c r="T53" t="s">
        <v>48</v>
      </c>
      <c r="U53" s="534" t="s">
        <v>4940</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50</v>
      </c>
      <c r="AU53">
        <v>1013</v>
      </c>
      <c r="AV53" t="s">
        <v>50</v>
      </c>
      <c r="AW53" s="2146">
        <v>1300</v>
      </c>
      <c r="AX53" s="2146" t="s">
        <v>50</v>
      </c>
      <c r="AZ53" t="s">
        <v>6010</v>
      </c>
    </row>
    <row r="54" spans="1:52">
      <c r="A54" t="s">
        <v>1244</v>
      </c>
      <c r="B54" t="s">
        <v>39</v>
      </c>
      <c r="C54" t="s">
        <v>1231</v>
      </c>
      <c r="D54" t="s">
        <v>41</v>
      </c>
      <c r="E54">
        <v>2.2000000000000002</v>
      </c>
      <c r="F54" t="s">
        <v>1246</v>
      </c>
      <c r="P54" t="s">
        <v>3365</v>
      </c>
      <c r="Q54" t="s">
        <v>3364</v>
      </c>
      <c r="R54" t="s">
        <v>3364</v>
      </c>
      <c r="S54">
        <v>0.125</v>
      </c>
      <c r="T54" t="s">
        <v>48</v>
      </c>
      <c r="U54" s="534" t="s">
        <v>4940</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50</v>
      </c>
      <c r="AU54">
        <v>102</v>
      </c>
      <c r="AV54" t="s">
        <v>46</v>
      </c>
      <c r="AW54" s="2146">
        <v>637</v>
      </c>
      <c r="AX54" s="2146" t="s">
        <v>46</v>
      </c>
      <c r="AZ54" t="s">
        <v>6011</v>
      </c>
    </row>
    <row r="55" spans="1:52">
      <c r="A55" t="s">
        <v>1244</v>
      </c>
      <c r="B55" t="s">
        <v>39</v>
      </c>
      <c r="C55" t="s">
        <v>1231</v>
      </c>
      <c r="D55" t="s">
        <v>41</v>
      </c>
      <c r="E55">
        <v>2.2000000000000002</v>
      </c>
      <c r="F55" t="s">
        <v>1246</v>
      </c>
      <c r="P55" t="s">
        <v>3370</v>
      </c>
      <c r="Q55" t="s">
        <v>3430</v>
      </c>
      <c r="R55" t="s">
        <v>3393</v>
      </c>
      <c r="S55">
        <v>0.125</v>
      </c>
      <c r="T55" t="s">
        <v>48</v>
      </c>
      <c r="U55" s="534" t="s">
        <v>4940</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46</v>
      </c>
      <c r="AU55">
        <v>1</v>
      </c>
      <c r="AV55" t="s">
        <v>46</v>
      </c>
      <c r="AW55" s="2146">
        <v>1</v>
      </c>
      <c r="AX55" s="2146" t="s">
        <v>46</v>
      </c>
      <c r="AZ55" t="s">
        <v>6012</v>
      </c>
    </row>
    <row r="56" spans="1:52">
      <c r="A56" t="s">
        <v>1244</v>
      </c>
      <c r="B56" t="s">
        <v>39</v>
      </c>
      <c r="C56" t="s">
        <v>1231</v>
      </c>
      <c r="D56" t="s">
        <v>41</v>
      </c>
      <c r="E56">
        <v>2.2000000000000002</v>
      </c>
      <c r="F56" t="s">
        <v>1246</v>
      </c>
      <c r="P56" t="s">
        <v>3373</v>
      </c>
      <c r="Q56" t="s">
        <v>3431</v>
      </c>
      <c r="R56" t="s">
        <v>3372</v>
      </c>
      <c r="S56">
        <v>0.125</v>
      </c>
      <c r="T56" t="s">
        <v>48</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50</v>
      </c>
      <c r="AU56">
        <v>0.83499999999999996</v>
      </c>
      <c r="AV56" t="s">
        <v>50</v>
      </c>
      <c r="AW56" s="2146">
        <v>0.69699999999999995</v>
      </c>
      <c r="AX56" s="2146" t="s">
        <v>50</v>
      </c>
      <c r="AZ56" t="s">
        <v>6013</v>
      </c>
    </row>
    <row r="57" spans="1:52">
      <c r="A57" t="s">
        <v>1244</v>
      </c>
      <c r="B57" t="s">
        <v>39</v>
      </c>
      <c r="C57" t="s">
        <v>1231</v>
      </c>
      <c r="D57" t="s">
        <v>41</v>
      </c>
      <c r="E57">
        <v>2.2000000000000002</v>
      </c>
      <c r="F57" t="s">
        <v>1246</v>
      </c>
      <c r="P57" t="s">
        <v>3402</v>
      </c>
      <c r="Q57" t="s">
        <v>3432</v>
      </c>
      <c r="R57" t="s">
        <v>3375</v>
      </c>
      <c r="S57">
        <v>0.125</v>
      </c>
      <c r="T57" t="s">
        <v>107</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46</v>
      </c>
      <c r="AU57">
        <v>0</v>
      </c>
      <c r="AV57" t="s">
        <v>50</v>
      </c>
      <c r="AW57" s="2146">
        <v>0.13</v>
      </c>
      <c r="AX57" s="2146" t="s">
        <v>46</v>
      </c>
      <c r="AZ57" t="s">
        <v>6014</v>
      </c>
    </row>
    <row r="58" spans="1:52">
      <c r="A58" t="s">
        <v>1247</v>
      </c>
      <c r="B58" t="s">
        <v>39</v>
      </c>
      <c r="C58" t="s">
        <v>1231</v>
      </c>
      <c r="D58" t="s">
        <v>41</v>
      </c>
      <c r="E58">
        <v>2.2999999999999998</v>
      </c>
      <c r="F58" t="s">
        <v>1249</v>
      </c>
      <c r="G58" t="s">
        <v>5408</v>
      </c>
      <c r="H58" t="s">
        <v>91</v>
      </c>
      <c r="I58" t="s">
        <v>323</v>
      </c>
      <c r="J58" t="s">
        <v>202</v>
      </c>
      <c r="K58" t="s">
        <v>202</v>
      </c>
      <c r="L58" t="s">
        <v>202</v>
      </c>
      <c r="M58" t="s">
        <v>202</v>
      </c>
      <c r="N58" t="s">
        <v>202</v>
      </c>
      <c r="O58" t="s">
        <v>202</v>
      </c>
      <c r="P58" t="s">
        <v>3361</v>
      </c>
      <c r="Q58" t="s">
        <v>1249</v>
      </c>
      <c r="T58" t="s">
        <v>200</v>
      </c>
      <c r="U58" t="s">
        <v>51</v>
      </c>
      <c r="AR58" t="s">
        <v>202</v>
      </c>
      <c r="AS58" t="s">
        <v>202</v>
      </c>
      <c r="AT58" t="s">
        <v>50</v>
      </c>
      <c r="AU58" t="s">
        <v>202</v>
      </c>
      <c r="AV58" t="s">
        <v>50</v>
      </c>
      <c r="AW58" s="2146" t="s">
        <v>202</v>
      </c>
      <c r="AX58" s="2146" t="s">
        <v>50</v>
      </c>
      <c r="AZ58" t="s">
        <v>3295</v>
      </c>
    </row>
    <row r="59" spans="1:52">
      <c r="A59" t="s">
        <v>1247</v>
      </c>
      <c r="B59" t="s">
        <v>39</v>
      </c>
      <c r="C59" t="s">
        <v>1231</v>
      </c>
      <c r="D59" t="s">
        <v>41</v>
      </c>
      <c r="E59">
        <v>2.2999999999999998</v>
      </c>
      <c r="F59" t="s">
        <v>1249</v>
      </c>
      <c r="P59" t="s">
        <v>3362</v>
      </c>
      <c r="Q59" t="s">
        <v>3433</v>
      </c>
      <c r="R59" t="s">
        <v>3377</v>
      </c>
      <c r="S59">
        <v>0.3</v>
      </c>
      <c r="T59" t="s">
        <v>76</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50</v>
      </c>
      <c r="AU59">
        <v>0</v>
      </c>
      <c r="AV59" t="s">
        <v>50</v>
      </c>
      <c r="AW59" s="2146">
        <v>5.2999999999999999E-2</v>
      </c>
      <c r="AX59" s="2146" t="s">
        <v>46</v>
      </c>
      <c r="AZ59" t="s">
        <v>6015</v>
      </c>
    </row>
    <row r="60" spans="1:52">
      <c r="A60" t="s">
        <v>1247</v>
      </c>
      <c r="B60" t="s">
        <v>39</v>
      </c>
      <c r="C60" t="s">
        <v>1231</v>
      </c>
      <c r="D60" t="s">
        <v>41</v>
      </c>
      <c r="E60">
        <v>2.2999999999999998</v>
      </c>
      <c r="F60" t="s">
        <v>1249</v>
      </c>
      <c r="P60" t="s">
        <v>3365</v>
      </c>
      <c r="Q60" t="s">
        <v>3434</v>
      </c>
      <c r="R60" t="s">
        <v>3379</v>
      </c>
      <c r="S60">
        <v>0.3</v>
      </c>
      <c r="T60" t="s">
        <v>76</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50</v>
      </c>
      <c r="AU60">
        <v>0</v>
      </c>
      <c r="AV60" t="s">
        <v>50</v>
      </c>
      <c r="AW60" s="2146">
        <v>0</v>
      </c>
      <c r="AX60" s="2146" t="s">
        <v>50</v>
      </c>
      <c r="AZ60" t="s">
        <v>6016</v>
      </c>
    </row>
    <row r="61" spans="1:52">
      <c r="A61" t="s">
        <v>1247</v>
      </c>
      <c r="B61" t="s">
        <v>39</v>
      </c>
      <c r="C61" t="s">
        <v>1231</v>
      </c>
      <c r="D61" t="s">
        <v>41</v>
      </c>
      <c r="E61">
        <v>2.2999999999999998</v>
      </c>
      <c r="F61" t="s">
        <v>1249</v>
      </c>
      <c r="P61" t="s">
        <v>3370</v>
      </c>
      <c r="Q61" t="s">
        <v>3435</v>
      </c>
      <c r="R61" t="s">
        <v>3380</v>
      </c>
      <c r="S61">
        <v>0.2</v>
      </c>
      <c r="T61" t="s">
        <v>48</v>
      </c>
      <c r="U61" s="534" t="s">
        <v>4940</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50</v>
      </c>
      <c r="AU61">
        <v>0</v>
      </c>
      <c r="AV61" t="s">
        <v>50</v>
      </c>
      <c r="AW61" s="2146">
        <v>0</v>
      </c>
      <c r="AX61" s="2146" t="s">
        <v>50</v>
      </c>
      <c r="AZ61" t="s">
        <v>6017</v>
      </c>
    </row>
    <row r="62" spans="1:52">
      <c r="A62" t="s">
        <v>1247</v>
      </c>
      <c r="B62" t="s">
        <v>39</v>
      </c>
      <c r="C62" t="s">
        <v>1231</v>
      </c>
      <c r="D62" t="s">
        <v>41</v>
      </c>
      <c r="E62">
        <v>2.2999999999999998</v>
      </c>
      <c r="F62" t="s">
        <v>1249</v>
      </c>
      <c r="P62" t="s">
        <v>3373</v>
      </c>
      <c r="Q62" t="s">
        <v>3436</v>
      </c>
      <c r="R62" t="s">
        <v>3412</v>
      </c>
      <c r="S62">
        <v>0.15</v>
      </c>
      <c r="T62" t="s">
        <v>48</v>
      </c>
      <c r="U62" s="534" t="s">
        <v>4940</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46</v>
      </c>
      <c r="AU62">
        <v>0</v>
      </c>
      <c r="AV62" t="s">
        <v>50</v>
      </c>
      <c r="AW62" s="2146">
        <v>0</v>
      </c>
      <c r="AX62" s="2146" t="s">
        <v>50</v>
      </c>
      <c r="AZ62" t="s">
        <v>6018</v>
      </c>
    </row>
    <row r="63" spans="1:52">
      <c r="A63" t="s">
        <v>1247</v>
      </c>
      <c r="B63" t="s">
        <v>39</v>
      </c>
      <c r="C63" t="s">
        <v>1231</v>
      </c>
      <c r="D63" t="s">
        <v>41</v>
      </c>
      <c r="E63">
        <v>2.2999999999999998</v>
      </c>
      <c r="F63" t="s">
        <v>1249</v>
      </c>
      <c r="P63" t="s">
        <v>3402</v>
      </c>
      <c r="Q63" t="s">
        <v>3437</v>
      </c>
      <c r="R63" t="s">
        <v>3396</v>
      </c>
      <c r="S63">
        <v>0.05</v>
      </c>
      <c r="T63" t="s">
        <v>48</v>
      </c>
      <c r="U63" s="534" t="s">
        <v>4940</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46</v>
      </c>
      <c r="AU63">
        <v>3058</v>
      </c>
      <c r="AV63" t="s">
        <v>50</v>
      </c>
      <c r="AW63" s="2146">
        <v>2662</v>
      </c>
      <c r="AX63" s="2146" t="s">
        <v>50</v>
      </c>
      <c r="AZ63" t="s">
        <v>6019</v>
      </c>
    </row>
    <row r="64" spans="1:52">
      <c r="A64" t="s">
        <v>1429</v>
      </c>
      <c r="B64" t="s">
        <v>116</v>
      </c>
      <c r="C64" t="s">
        <v>1288</v>
      </c>
      <c r="D64" t="s">
        <v>215</v>
      </c>
      <c r="E64" t="s">
        <v>246</v>
      </c>
      <c r="F64" t="s">
        <v>3215</v>
      </c>
      <c r="G64" t="s">
        <v>5408</v>
      </c>
      <c r="H64" t="s">
        <v>175</v>
      </c>
      <c r="I64" t="s">
        <v>1158</v>
      </c>
      <c r="J64" t="s">
        <v>202</v>
      </c>
      <c r="K64">
        <v>100</v>
      </c>
      <c r="L64">
        <v>100</v>
      </c>
      <c r="M64">
        <v>100</v>
      </c>
      <c r="N64">
        <v>100</v>
      </c>
      <c r="O64">
        <v>100</v>
      </c>
      <c r="P64" t="s">
        <v>3361</v>
      </c>
      <c r="Q64" t="s">
        <v>3215</v>
      </c>
      <c r="T64" t="s">
        <v>76</v>
      </c>
      <c r="U64">
        <v>2</v>
      </c>
      <c r="AR64">
        <v>95.74</v>
      </c>
      <c r="AS64">
        <v>97.51</v>
      </c>
      <c r="AT64" t="s">
        <v>46</v>
      </c>
      <c r="AU64">
        <v>97.988160870777804</v>
      </c>
      <c r="AV64" t="s">
        <v>46</v>
      </c>
      <c r="AW64" s="2146">
        <v>97.67</v>
      </c>
      <c r="AX64" s="2146" t="s">
        <v>46</v>
      </c>
      <c r="AZ64" t="s">
        <v>3299</v>
      </c>
    </row>
    <row r="65" spans="1:52">
      <c r="A65" t="s">
        <v>1429</v>
      </c>
      <c r="B65" t="s">
        <v>116</v>
      </c>
      <c r="C65" t="s">
        <v>1288</v>
      </c>
      <c r="D65" t="s">
        <v>215</v>
      </c>
      <c r="E65" t="s">
        <v>246</v>
      </c>
      <c r="F65" t="s">
        <v>3215</v>
      </c>
      <c r="P65" t="s">
        <v>3362</v>
      </c>
      <c r="Q65" t="s">
        <v>3438</v>
      </c>
      <c r="R65" t="s">
        <v>3390</v>
      </c>
      <c r="S65">
        <v>0.25</v>
      </c>
      <c r="T65" t="s">
        <v>76</v>
      </c>
      <c r="U65">
        <v>2</v>
      </c>
      <c r="AR65">
        <v>99.86</v>
      </c>
      <c r="AS65">
        <v>99.01</v>
      </c>
      <c r="AU65">
        <v>99.857954545454504</v>
      </c>
      <c r="AV65" t="s">
        <v>50</v>
      </c>
      <c r="AW65" s="2146">
        <v>99.86</v>
      </c>
      <c r="AX65" s="2146" t="s">
        <v>46</v>
      </c>
      <c r="AZ65" t="s">
        <v>6020</v>
      </c>
    </row>
    <row r="66" spans="1:52">
      <c r="A66" t="s">
        <v>1429</v>
      </c>
      <c r="B66" t="s">
        <v>116</v>
      </c>
      <c r="C66" t="s">
        <v>1288</v>
      </c>
      <c r="D66" t="s">
        <v>215</v>
      </c>
      <c r="E66" t="s">
        <v>246</v>
      </c>
      <c r="F66" t="s">
        <v>3215</v>
      </c>
      <c r="P66" t="s">
        <v>3365</v>
      </c>
      <c r="Q66" t="s">
        <v>3439</v>
      </c>
      <c r="R66" t="s">
        <v>3440</v>
      </c>
      <c r="S66">
        <v>0.25</v>
      </c>
      <c r="T66" t="s">
        <v>76</v>
      </c>
      <c r="U66">
        <v>2</v>
      </c>
      <c r="AR66">
        <v>94.77</v>
      </c>
      <c r="AS66">
        <v>97.88</v>
      </c>
      <c r="AU66">
        <v>97.869318181818201</v>
      </c>
      <c r="AV66" t="s">
        <v>50</v>
      </c>
      <c r="AW66" s="2146">
        <v>97</v>
      </c>
      <c r="AX66" s="2146" t="s">
        <v>46</v>
      </c>
      <c r="AZ66" t="s">
        <v>6021</v>
      </c>
    </row>
    <row r="67" spans="1:52">
      <c r="A67" t="s">
        <v>1429</v>
      </c>
      <c r="B67" t="s">
        <v>116</v>
      </c>
      <c r="C67" t="s">
        <v>1288</v>
      </c>
      <c r="D67" t="s">
        <v>215</v>
      </c>
      <c r="E67" t="s">
        <v>246</v>
      </c>
      <c r="F67" t="s">
        <v>3215</v>
      </c>
      <c r="P67" t="s">
        <v>3370</v>
      </c>
      <c r="Q67" t="s">
        <v>3441</v>
      </c>
      <c r="R67" t="s">
        <v>3442</v>
      </c>
      <c r="S67">
        <v>0.25</v>
      </c>
      <c r="T67" t="s">
        <v>76</v>
      </c>
      <c r="U67">
        <v>2</v>
      </c>
      <c r="AR67">
        <v>88.72</v>
      </c>
      <c r="AS67">
        <v>93.18</v>
      </c>
      <c r="AU67">
        <v>94.230769230769198</v>
      </c>
      <c r="AV67" t="s">
        <v>50</v>
      </c>
      <c r="AW67" s="2146">
        <v>93.85</v>
      </c>
      <c r="AX67" s="2146" t="s">
        <v>46</v>
      </c>
      <c r="AZ67" t="s">
        <v>6022</v>
      </c>
    </row>
    <row r="68" spans="1:52">
      <c r="A68" t="s">
        <v>1429</v>
      </c>
      <c r="B68" t="s">
        <v>116</v>
      </c>
      <c r="C68" t="s">
        <v>1288</v>
      </c>
      <c r="D68" t="s">
        <v>215</v>
      </c>
      <c r="E68" t="s">
        <v>246</v>
      </c>
      <c r="F68" t="s">
        <v>3215</v>
      </c>
      <c r="P68" t="s">
        <v>3373</v>
      </c>
      <c r="Q68" t="s">
        <v>3443</v>
      </c>
      <c r="R68" t="s">
        <v>3444</v>
      </c>
      <c r="S68">
        <v>0.25</v>
      </c>
      <c r="T68" t="s">
        <v>76</v>
      </c>
      <c r="U68">
        <v>2</v>
      </c>
      <c r="AR68">
        <v>99.61</v>
      </c>
      <c r="AS68">
        <v>99.96</v>
      </c>
      <c r="AU68">
        <v>99.9946015250692</v>
      </c>
      <c r="AV68" t="s">
        <v>50</v>
      </c>
      <c r="AW68" s="2146">
        <v>99.995999999999995</v>
      </c>
      <c r="AX68" s="2146" t="s">
        <v>50</v>
      </c>
      <c r="AZ68" t="s">
        <v>6023</v>
      </c>
    </row>
    <row r="69" spans="1:52">
      <c r="A69" t="s">
        <v>1443</v>
      </c>
      <c r="B69" t="s">
        <v>116</v>
      </c>
      <c r="C69" t="s">
        <v>1288</v>
      </c>
      <c r="D69" t="s">
        <v>215</v>
      </c>
      <c r="E69" t="s">
        <v>1444</v>
      </c>
      <c r="F69" t="s">
        <v>1446</v>
      </c>
      <c r="G69" t="s">
        <v>5406</v>
      </c>
      <c r="H69" t="s">
        <v>175</v>
      </c>
      <c r="I69" t="s">
        <v>1447</v>
      </c>
      <c r="O69">
        <v>3</v>
      </c>
      <c r="P69" t="s">
        <v>3361</v>
      </c>
      <c r="Q69" t="s">
        <v>1446</v>
      </c>
      <c r="T69" t="s">
        <v>48</v>
      </c>
      <c r="U69" s="534" t="s">
        <v>4940</v>
      </c>
      <c r="AS69" t="s">
        <v>3445</v>
      </c>
      <c r="AU69" t="s">
        <v>5720</v>
      </c>
      <c r="AV69" t="s">
        <v>2148</v>
      </c>
      <c r="AW69" s="2146">
        <v>0</v>
      </c>
      <c r="AX69" s="2146" t="s">
        <v>2148</v>
      </c>
      <c r="AZ69" t="s">
        <v>3301</v>
      </c>
    </row>
    <row r="70" spans="1:52">
      <c r="A70" t="s">
        <v>1443</v>
      </c>
      <c r="B70" t="s">
        <v>116</v>
      </c>
      <c r="C70" t="s">
        <v>1288</v>
      </c>
      <c r="D70" t="s">
        <v>215</v>
      </c>
      <c r="E70" t="s">
        <v>1444</v>
      </c>
      <c r="F70" t="s">
        <v>1446</v>
      </c>
      <c r="P70" t="s">
        <v>3362</v>
      </c>
      <c r="Q70" t="s">
        <v>3446</v>
      </c>
      <c r="R70" t="s">
        <v>3447</v>
      </c>
      <c r="T70" t="s">
        <v>48</v>
      </c>
      <c r="U70" s="534" t="s">
        <v>4940</v>
      </c>
      <c r="AR70" t="s">
        <v>497</v>
      </c>
      <c r="AS70" t="s">
        <v>497</v>
      </c>
      <c r="AU70" t="s">
        <v>5720</v>
      </c>
      <c r="AV70" t="s">
        <v>2148</v>
      </c>
      <c r="AW70" s="2146">
        <v>0</v>
      </c>
      <c r="AX70" s="2146" t="s">
        <v>2148</v>
      </c>
      <c r="AZ70" t="s">
        <v>6024</v>
      </c>
    </row>
    <row r="71" spans="1:52">
      <c r="A71" t="s">
        <v>1443</v>
      </c>
      <c r="B71" t="s">
        <v>116</v>
      </c>
      <c r="C71" t="s">
        <v>1288</v>
      </c>
      <c r="D71" t="s">
        <v>215</v>
      </c>
      <c r="E71" t="s">
        <v>1444</v>
      </c>
      <c r="F71" t="s">
        <v>1446</v>
      </c>
      <c r="P71" t="s">
        <v>3365</v>
      </c>
      <c r="Q71" t="s">
        <v>3448</v>
      </c>
      <c r="R71" t="s">
        <v>3449</v>
      </c>
      <c r="T71" t="s">
        <v>48</v>
      </c>
      <c r="U71" s="534" t="s">
        <v>4940</v>
      </c>
      <c r="AR71" t="s">
        <v>497</v>
      </c>
      <c r="AS71" t="s">
        <v>497</v>
      </c>
      <c r="AU71" t="s">
        <v>5720</v>
      </c>
      <c r="AV71" t="s">
        <v>2148</v>
      </c>
      <c r="AW71" s="2146">
        <v>0</v>
      </c>
      <c r="AX71" s="2146" t="s">
        <v>2148</v>
      </c>
      <c r="AZ71" t="s">
        <v>6025</v>
      </c>
    </row>
    <row r="72" spans="1:52">
      <c r="A72" t="s">
        <v>1443</v>
      </c>
      <c r="B72" t="s">
        <v>116</v>
      </c>
      <c r="C72" t="s">
        <v>1288</v>
      </c>
      <c r="D72" t="s">
        <v>215</v>
      </c>
      <c r="E72" t="s">
        <v>1444</v>
      </c>
      <c r="F72" t="s">
        <v>1446</v>
      </c>
      <c r="P72" t="s">
        <v>3370</v>
      </c>
      <c r="Q72" t="s">
        <v>3450</v>
      </c>
      <c r="R72" t="s">
        <v>3381</v>
      </c>
      <c r="T72" t="s">
        <v>48</v>
      </c>
      <c r="U72" s="534" t="s">
        <v>4940</v>
      </c>
      <c r="AR72" t="s">
        <v>497</v>
      </c>
      <c r="AS72" t="s">
        <v>497</v>
      </c>
      <c r="AU72" t="s">
        <v>5720</v>
      </c>
      <c r="AV72" t="s">
        <v>2148</v>
      </c>
      <c r="AW72" s="2146">
        <v>0</v>
      </c>
      <c r="AX72" s="2146" t="s">
        <v>2148</v>
      </c>
      <c r="AZ72" t="s">
        <v>6026</v>
      </c>
    </row>
    <row r="73" spans="1:52">
      <c r="A73" t="s">
        <v>1443</v>
      </c>
      <c r="B73" t="s">
        <v>116</v>
      </c>
      <c r="C73" t="s">
        <v>1288</v>
      </c>
      <c r="D73" t="s">
        <v>215</v>
      </c>
      <c r="E73" t="s">
        <v>1444</v>
      </c>
      <c r="F73" t="s">
        <v>1446</v>
      </c>
      <c r="P73" t="s">
        <v>3373</v>
      </c>
      <c r="Q73" t="s">
        <v>3451</v>
      </c>
      <c r="R73" t="s">
        <v>3452</v>
      </c>
      <c r="T73" t="s">
        <v>48</v>
      </c>
      <c r="U73" s="534" t="s">
        <v>4940</v>
      </c>
      <c r="AR73" t="s">
        <v>497</v>
      </c>
      <c r="AS73" t="s">
        <v>497</v>
      </c>
      <c r="AU73" t="s">
        <v>5720</v>
      </c>
      <c r="AV73" t="s">
        <v>2148</v>
      </c>
      <c r="AW73" s="2146">
        <v>0</v>
      </c>
      <c r="AX73" s="2146" t="s">
        <v>2148</v>
      </c>
      <c r="AZ73" t="s">
        <v>6027</v>
      </c>
    </row>
    <row r="74" spans="1:52">
      <c r="A74" t="s">
        <v>1483</v>
      </c>
      <c r="B74" t="s">
        <v>116</v>
      </c>
      <c r="C74" t="s">
        <v>1476</v>
      </c>
      <c r="D74" t="s">
        <v>41</v>
      </c>
      <c r="E74" t="s">
        <v>59</v>
      </c>
      <c r="F74" t="s">
        <v>1485</v>
      </c>
      <c r="G74" t="s">
        <v>5408</v>
      </c>
      <c r="H74" t="s">
        <v>91</v>
      </c>
      <c r="I74" t="s">
        <v>323</v>
      </c>
      <c r="J74" t="s">
        <v>202</v>
      </c>
      <c r="K74" t="s">
        <v>202</v>
      </c>
      <c r="L74" t="s">
        <v>202</v>
      </c>
      <c r="M74" t="s">
        <v>202</v>
      </c>
      <c r="N74" t="s">
        <v>202</v>
      </c>
      <c r="O74" t="s">
        <v>202</v>
      </c>
      <c r="P74" t="s">
        <v>3361</v>
      </c>
      <c r="Q74" t="s">
        <v>1485</v>
      </c>
      <c r="T74" t="s">
        <v>200</v>
      </c>
      <c r="U74" t="s">
        <v>51</v>
      </c>
      <c r="AR74" t="s">
        <v>202</v>
      </c>
      <c r="AS74" t="s">
        <v>202</v>
      </c>
      <c r="AT74" t="s">
        <v>50</v>
      </c>
      <c r="AU74" t="s">
        <v>202</v>
      </c>
      <c r="AV74" t="s">
        <v>50</v>
      </c>
      <c r="AW74" s="2146" t="s">
        <v>202</v>
      </c>
      <c r="AX74" s="2146" t="s">
        <v>50</v>
      </c>
      <c r="AZ74" t="s">
        <v>6028</v>
      </c>
    </row>
    <row r="75" spans="1:52">
      <c r="A75" t="s">
        <v>1483</v>
      </c>
      <c r="B75" t="s">
        <v>116</v>
      </c>
      <c r="C75" t="s">
        <v>1476</v>
      </c>
      <c r="D75" t="s">
        <v>41</v>
      </c>
      <c r="E75" t="s">
        <v>59</v>
      </c>
      <c r="F75" t="s">
        <v>1485</v>
      </c>
      <c r="P75" t="s">
        <v>3362</v>
      </c>
      <c r="Q75" t="s">
        <v>3397</v>
      </c>
      <c r="R75" t="s">
        <v>3367</v>
      </c>
      <c r="T75" t="s">
        <v>48</v>
      </c>
      <c r="U75" s="534" t="s">
        <v>4940</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50</v>
      </c>
      <c r="AU75">
        <v>2478</v>
      </c>
      <c r="AV75" t="s">
        <v>50</v>
      </c>
      <c r="AW75" s="2146">
        <v>2496</v>
      </c>
      <c r="AX75" s="2146" t="s">
        <v>50</v>
      </c>
      <c r="AZ75" t="s">
        <v>6029</v>
      </c>
    </row>
    <row r="76" spans="1:52">
      <c r="A76" t="s">
        <v>1483</v>
      </c>
      <c r="B76" t="s">
        <v>116</v>
      </c>
      <c r="C76" t="s">
        <v>1476</v>
      </c>
      <c r="D76" t="s">
        <v>41</v>
      </c>
      <c r="E76" t="s">
        <v>59</v>
      </c>
      <c r="F76" t="s">
        <v>1485</v>
      </c>
      <c r="P76" t="s">
        <v>3365</v>
      </c>
      <c r="Q76" t="s">
        <v>3398</v>
      </c>
      <c r="R76" t="s">
        <v>3364</v>
      </c>
      <c r="T76" t="s">
        <v>48</v>
      </c>
      <c r="U76" s="534" t="s">
        <v>4940</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46</v>
      </c>
      <c r="AU76">
        <v>1689</v>
      </c>
      <c r="AV76" t="s">
        <v>50</v>
      </c>
      <c r="AW76" s="2146">
        <v>716</v>
      </c>
      <c r="AX76" s="2146" t="s">
        <v>50</v>
      </c>
      <c r="AZ76" t="s">
        <v>6030</v>
      </c>
    </row>
    <row r="77" spans="1:52">
      <c r="A77" t="s">
        <v>1483</v>
      </c>
      <c r="B77" t="s">
        <v>116</v>
      </c>
      <c r="C77" t="s">
        <v>1476</v>
      </c>
      <c r="D77" t="s">
        <v>41</v>
      </c>
      <c r="E77" t="s">
        <v>59</v>
      </c>
      <c r="F77" t="s">
        <v>1485</v>
      </c>
      <c r="P77" t="s">
        <v>3370</v>
      </c>
      <c r="Q77" t="s">
        <v>3399</v>
      </c>
      <c r="R77" t="s">
        <v>3400</v>
      </c>
      <c r="T77" t="s">
        <v>76</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50</v>
      </c>
      <c r="AU77">
        <v>0.14000000000000001</v>
      </c>
      <c r="AV77" t="s">
        <v>50</v>
      </c>
      <c r="AW77" s="2146">
        <v>0.11</v>
      </c>
      <c r="AX77" s="2146" t="s">
        <v>50</v>
      </c>
      <c r="AZ77" t="s">
        <v>6031</v>
      </c>
    </row>
    <row r="78" spans="1:52">
      <c r="A78" t="s">
        <v>1483</v>
      </c>
      <c r="B78" t="s">
        <v>116</v>
      </c>
      <c r="C78" t="s">
        <v>1476</v>
      </c>
      <c r="D78" t="s">
        <v>41</v>
      </c>
      <c r="E78" t="s">
        <v>59</v>
      </c>
      <c r="F78" t="s">
        <v>1485</v>
      </c>
      <c r="P78" t="s">
        <v>3373</v>
      </c>
      <c r="Q78" t="s">
        <v>3401</v>
      </c>
      <c r="R78" t="s">
        <v>3393</v>
      </c>
      <c r="T78" t="s">
        <v>48</v>
      </c>
      <c r="U78" s="534" t="s">
        <v>4940</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50</v>
      </c>
      <c r="AU78">
        <v>164</v>
      </c>
      <c r="AV78" t="s">
        <v>50</v>
      </c>
      <c r="AW78" s="2146">
        <v>161</v>
      </c>
      <c r="AX78" s="2146" t="s">
        <v>50</v>
      </c>
      <c r="AZ78" t="s">
        <v>6032</v>
      </c>
    </row>
    <row r="79" spans="1:52">
      <c r="A79" t="s">
        <v>1483</v>
      </c>
      <c r="B79" t="s">
        <v>116</v>
      </c>
      <c r="C79" t="s">
        <v>1476</v>
      </c>
      <c r="D79" t="s">
        <v>41</v>
      </c>
      <c r="E79" t="s">
        <v>59</v>
      </c>
      <c r="F79" t="s">
        <v>1485</v>
      </c>
      <c r="P79" t="s">
        <v>3402</v>
      </c>
      <c r="Q79" t="s">
        <v>3371</v>
      </c>
      <c r="R79" t="s">
        <v>3372</v>
      </c>
      <c r="T79" t="s">
        <v>48</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50</v>
      </c>
      <c r="AU79">
        <v>2.2400000000000002</v>
      </c>
      <c r="AV79" t="s">
        <v>50</v>
      </c>
      <c r="AW79" s="2146">
        <v>1.7</v>
      </c>
      <c r="AX79" s="2146" t="s">
        <v>50</v>
      </c>
      <c r="AZ79" t="s">
        <v>6033</v>
      </c>
    </row>
    <row r="80" spans="1:52">
      <c r="A80" t="s">
        <v>1483</v>
      </c>
      <c r="B80" t="s">
        <v>116</v>
      </c>
      <c r="C80" t="s">
        <v>1476</v>
      </c>
      <c r="D80" t="s">
        <v>41</v>
      </c>
      <c r="E80" t="s">
        <v>59</v>
      </c>
      <c r="F80" t="s">
        <v>1485</v>
      </c>
      <c r="P80" t="s">
        <v>3404</v>
      </c>
      <c r="Q80" t="s">
        <v>3453</v>
      </c>
      <c r="R80" t="s">
        <v>3375</v>
      </c>
      <c r="T80" t="s">
        <v>76</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50</v>
      </c>
      <c r="AU80">
        <v>0.08</v>
      </c>
      <c r="AV80" t="s">
        <v>50</v>
      </c>
      <c r="AW80" s="2146">
        <v>0.04</v>
      </c>
      <c r="AX80" s="2146" t="s">
        <v>50</v>
      </c>
      <c r="AZ80" t="s">
        <v>6034</v>
      </c>
    </row>
    <row r="81" spans="1:52">
      <c r="A81" t="s">
        <v>1486</v>
      </c>
      <c r="B81" t="s">
        <v>116</v>
      </c>
      <c r="C81" t="s">
        <v>1476</v>
      </c>
      <c r="D81" t="s">
        <v>41</v>
      </c>
      <c r="E81" t="s">
        <v>63</v>
      </c>
      <c r="F81" t="s">
        <v>1488</v>
      </c>
      <c r="G81" t="s">
        <v>5408</v>
      </c>
      <c r="H81" t="s">
        <v>91</v>
      </c>
      <c r="I81" t="s">
        <v>323</v>
      </c>
      <c r="J81" t="s">
        <v>202</v>
      </c>
      <c r="K81" t="s">
        <v>202</v>
      </c>
      <c r="L81" t="s">
        <v>202</v>
      </c>
      <c r="M81" t="s">
        <v>202</v>
      </c>
      <c r="N81" t="s">
        <v>202</v>
      </c>
      <c r="O81" t="s">
        <v>202</v>
      </c>
      <c r="P81" t="s">
        <v>3361</v>
      </c>
      <c r="Q81" t="s">
        <v>1488</v>
      </c>
      <c r="T81" t="s">
        <v>200</v>
      </c>
      <c r="U81" t="s">
        <v>51</v>
      </c>
      <c r="AR81" t="s">
        <v>202</v>
      </c>
      <c r="AS81" t="s">
        <v>202</v>
      </c>
      <c r="AT81" t="s">
        <v>50</v>
      </c>
      <c r="AU81" t="s">
        <v>202</v>
      </c>
      <c r="AV81" t="s">
        <v>50</v>
      </c>
      <c r="AW81" s="2146" t="s">
        <v>202</v>
      </c>
      <c r="AX81" s="2146" t="s">
        <v>50</v>
      </c>
      <c r="AZ81" t="s">
        <v>6035</v>
      </c>
    </row>
    <row r="82" spans="1:52">
      <c r="A82" t="s">
        <v>1486</v>
      </c>
      <c r="B82" t="s">
        <v>116</v>
      </c>
      <c r="C82" t="s">
        <v>1476</v>
      </c>
      <c r="D82" t="s">
        <v>41</v>
      </c>
      <c r="E82" t="s">
        <v>63</v>
      </c>
      <c r="F82" t="s">
        <v>1488</v>
      </c>
      <c r="P82" t="s">
        <v>3362</v>
      </c>
      <c r="Q82" t="s">
        <v>3415</v>
      </c>
      <c r="R82" t="s">
        <v>3377</v>
      </c>
      <c r="T82" t="s">
        <v>76</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50</v>
      </c>
      <c r="AU82">
        <v>0.01</v>
      </c>
      <c r="AV82" t="s">
        <v>50</v>
      </c>
      <c r="AW82" s="2146">
        <v>0.01</v>
      </c>
      <c r="AX82" s="2146" t="s">
        <v>50</v>
      </c>
      <c r="AZ82" t="s">
        <v>6036</v>
      </c>
    </row>
    <row r="83" spans="1:52">
      <c r="A83" t="s">
        <v>1486</v>
      </c>
      <c r="B83" t="s">
        <v>116</v>
      </c>
      <c r="C83" t="s">
        <v>1476</v>
      </c>
      <c r="D83" t="s">
        <v>41</v>
      </c>
      <c r="E83" t="s">
        <v>63</v>
      </c>
      <c r="F83" t="s">
        <v>1488</v>
      </c>
      <c r="P83" t="s">
        <v>3365</v>
      </c>
      <c r="Q83" t="s">
        <v>3416</v>
      </c>
      <c r="R83" t="s">
        <v>3379</v>
      </c>
      <c r="T83" t="s">
        <v>76</v>
      </c>
      <c r="U83">
        <v>2</v>
      </c>
      <c r="X83">
        <v>0</v>
      </c>
      <c r="Y83">
        <v>0</v>
      </c>
      <c r="Z83">
        <v>0</v>
      </c>
      <c r="AA83">
        <v>0</v>
      </c>
      <c r="AB83">
        <v>0</v>
      </c>
      <c r="AE83">
        <v>0.6</v>
      </c>
      <c r="AF83">
        <v>0.6</v>
      </c>
      <c r="AG83">
        <v>0.6</v>
      </c>
      <c r="AH83">
        <v>0.6</v>
      </c>
      <c r="AI83">
        <v>0.6</v>
      </c>
      <c r="AL83">
        <v>0</v>
      </c>
      <c r="AM83">
        <v>0</v>
      </c>
      <c r="AN83">
        <v>0</v>
      </c>
      <c r="AO83">
        <v>0</v>
      </c>
      <c r="AP83">
        <v>0</v>
      </c>
      <c r="AR83">
        <v>0</v>
      </c>
      <c r="AS83">
        <v>0</v>
      </c>
      <c r="AT83" t="s">
        <v>50</v>
      </c>
      <c r="AU83">
        <v>0</v>
      </c>
      <c r="AV83" t="s">
        <v>50</v>
      </c>
      <c r="AW83" s="2146">
        <v>0</v>
      </c>
      <c r="AX83" s="2146" t="s">
        <v>50</v>
      </c>
      <c r="AZ83" t="s">
        <v>6037</v>
      </c>
    </row>
    <row r="84" spans="1:52">
      <c r="A84" t="s">
        <v>1486</v>
      </c>
      <c r="B84" t="s">
        <v>116</v>
      </c>
      <c r="C84" t="s">
        <v>1476</v>
      </c>
      <c r="D84" t="s">
        <v>41</v>
      </c>
      <c r="E84" t="s">
        <v>63</v>
      </c>
      <c r="F84" t="s">
        <v>1488</v>
      </c>
      <c r="P84" t="s">
        <v>3370</v>
      </c>
      <c r="Q84" t="s">
        <v>3417</v>
      </c>
      <c r="R84" t="s">
        <v>3380</v>
      </c>
      <c r="T84" t="s">
        <v>48</v>
      </c>
      <c r="U84" s="534" t="s">
        <v>4940</v>
      </c>
      <c r="X84">
        <v>2</v>
      </c>
      <c r="Y84">
        <v>2</v>
      </c>
      <c r="Z84">
        <v>2</v>
      </c>
      <c r="AA84">
        <v>2</v>
      </c>
      <c r="AB84">
        <v>2</v>
      </c>
      <c r="AE84">
        <v>4</v>
      </c>
      <c r="AF84">
        <v>4</v>
      </c>
      <c r="AG84">
        <v>4</v>
      </c>
      <c r="AH84">
        <v>4</v>
      </c>
      <c r="AI84">
        <v>4</v>
      </c>
      <c r="AL84">
        <v>0</v>
      </c>
      <c r="AM84">
        <v>0</v>
      </c>
      <c r="AN84">
        <v>0</v>
      </c>
      <c r="AO84">
        <v>0</v>
      </c>
      <c r="AP84">
        <v>0</v>
      </c>
      <c r="AR84">
        <v>0</v>
      </c>
      <c r="AS84">
        <v>0</v>
      </c>
      <c r="AT84" t="s">
        <v>50</v>
      </c>
      <c r="AU84">
        <v>0</v>
      </c>
      <c r="AV84" t="s">
        <v>50</v>
      </c>
      <c r="AW84" s="2146">
        <v>0</v>
      </c>
      <c r="AX84" s="2146" t="s">
        <v>50</v>
      </c>
      <c r="AZ84" t="s">
        <v>6038</v>
      </c>
    </row>
    <row r="85" spans="1:52">
      <c r="A85" t="s">
        <v>1486</v>
      </c>
      <c r="B85" t="s">
        <v>116</v>
      </c>
      <c r="C85" t="s">
        <v>1476</v>
      </c>
      <c r="D85" t="s">
        <v>41</v>
      </c>
      <c r="E85" t="s">
        <v>63</v>
      </c>
      <c r="F85" t="s">
        <v>1488</v>
      </c>
      <c r="P85" t="s">
        <v>3373</v>
      </c>
      <c r="Q85" t="s">
        <v>3418</v>
      </c>
      <c r="R85" t="s">
        <v>3412</v>
      </c>
      <c r="T85" t="s">
        <v>48</v>
      </c>
      <c r="U85" s="534" t="s">
        <v>4940</v>
      </c>
      <c r="X85">
        <v>0</v>
      </c>
      <c r="Y85">
        <v>0</v>
      </c>
      <c r="Z85">
        <v>0</v>
      </c>
      <c r="AA85">
        <v>0</v>
      </c>
      <c r="AB85">
        <v>0</v>
      </c>
      <c r="AE85">
        <v>1</v>
      </c>
      <c r="AF85">
        <v>1</v>
      </c>
      <c r="AG85">
        <v>1</v>
      </c>
      <c r="AH85">
        <v>1</v>
      </c>
      <c r="AI85">
        <v>1</v>
      </c>
      <c r="AL85">
        <v>0</v>
      </c>
      <c r="AM85">
        <v>0</v>
      </c>
      <c r="AN85">
        <v>0</v>
      </c>
      <c r="AO85">
        <v>0</v>
      </c>
      <c r="AP85">
        <v>0</v>
      </c>
      <c r="AR85">
        <v>0</v>
      </c>
      <c r="AS85">
        <v>0</v>
      </c>
      <c r="AT85" t="s">
        <v>50</v>
      </c>
      <c r="AU85">
        <v>0</v>
      </c>
      <c r="AV85" t="s">
        <v>50</v>
      </c>
      <c r="AW85" s="2146">
        <v>0</v>
      </c>
      <c r="AX85" s="2146" t="s">
        <v>50</v>
      </c>
      <c r="AZ85" t="s">
        <v>6039</v>
      </c>
    </row>
    <row r="86" spans="1:52">
      <c r="A86" t="s">
        <v>1486</v>
      </c>
      <c r="B86" t="s">
        <v>116</v>
      </c>
      <c r="C86" t="s">
        <v>1476</v>
      </c>
      <c r="D86" t="s">
        <v>41</v>
      </c>
      <c r="E86" t="s">
        <v>63</v>
      </c>
      <c r="F86" t="s">
        <v>1488</v>
      </c>
      <c r="P86" t="s">
        <v>3402</v>
      </c>
      <c r="Q86" t="s">
        <v>3454</v>
      </c>
      <c r="R86" t="s">
        <v>3396</v>
      </c>
      <c r="T86" t="s">
        <v>48</v>
      </c>
      <c r="U86" s="534" t="s">
        <v>4940</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46</v>
      </c>
      <c r="AU86">
        <v>2154</v>
      </c>
      <c r="AV86" t="s">
        <v>50</v>
      </c>
      <c r="AW86" s="2146">
        <v>2606</v>
      </c>
      <c r="AX86" s="2146" t="s">
        <v>50</v>
      </c>
      <c r="AZ86" t="s">
        <v>6040</v>
      </c>
    </row>
    <row r="87" spans="1:52">
      <c r="A87" t="s">
        <v>1558</v>
      </c>
      <c r="B87" t="s">
        <v>116</v>
      </c>
      <c r="C87" t="s">
        <v>1476</v>
      </c>
      <c r="D87" t="s">
        <v>215</v>
      </c>
      <c r="E87" t="s">
        <v>227</v>
      </c>
      <c r="F87" t="s">
        <v>1560</v>
      </c>
      <c r="G87" t="s">
        <v>5408</v>
      </c>
      <c r="H87" t="s">
        <v>273</v>
      </c>
      <c r="I87" t="s">
        <v>323</v>
      </c>
      <c r="J87" t="s">
        <v>202</v>
      </c>
      <c r="K87" t="s">
        <v>202</v>
      </c>
      <c r="L87" t="s">
        <v>202</v>
      </c>
      <c r="M87" t="s">
        <v>202</v>
      </c>
      <c r="N87" t="s">
        <v>202</v>
      </c>
      <c r="O87" t="s">
        <v>202</v>
      </c>
      <c r="P87" t="s">
        <v>3361</v>
      </c>
      <c r="Q87" t="s">
        <v>1560</v>
      </c>
      <c r="T87" t="s">
        <v>200</v>
      </c>
      <c r="U87" t="s">
        <v>51</v>
      </c>
      <c r="AR87" t="s">
        <v>202</v>
      </c>
      <c r="AS87" t="s">
        <v>202</v>
      </c>
      <c r="AT87" t="s">
        <v>50</v>
      </c>
      <c r="AU87" t="s">
        <v>202</v>
      </c>
      <c r="AV87" t="s">
        <v>50</v>
      </c>
      <c r="AW87" s="2146" t="s">
        <v>202</v>
      </c>
      <c r="AX87" s="2146" t="s">
        <v>50</v>
      </c>
      <c r="AZ87" t="s">
        <v>6041</v>
      </c>
    </row>
    <row r="88" spans="1:52">
      <c r="A88" t="s">
        <v>1558</v>
      </c>
      <c r="B88" t="s">
        <v>116</v>
      </c>
      <c r="C88" t="s">
        <v>1476</v>
      </c>
      <c r="D88" t="s">
        <v>215</v>
      </c>
      <c r="E88" t="s">
        <v>227</v>
      </c>
      <c r="F88" t="s">
        <v>1560</v>
      </c>
      <c r="P88" t="s">
        <v>3362</v>
      </c>
      <c r="Q88" t="s">
        <v>3382</v>
      </c>
      <c r="R88" t="s">
        <v>3383</v>
      </c>
      <c r="T88" t="s">
        <v>48</v>
      </c>
      <c r="U88" s="534" t="s">
        <v>4940</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50</v>
      </c>
      <c r="AU88">
        <v>114</v>
      </c>
      <c r="AV88" t="s">
        <v>50</v>
      </c>
      <c r="AW88" s="2146">
        <v>89</v>
      </c>
      <c r="AX88" s="2146" t="s">
        <v>50</v>
      </c>
      <c r="AZ88" t="s">
        <v>6042</v>
      </c>
    </row>
    <row r="89" spans="1:52">
      <c r="A89" t="s">
        <v>1558</v>
      </c>
      <c r="B89" t="s">
        <v>116</v>
      </c>
      <c r="C89" t="s">
        <v>1476</v>
      </c>
      <c r="D89" t="s">
        <v>215</v>
      </c>
      <c r="E89" t="s">
        <v>227</v>
      </c>
      <c r="F89" t="s">
        <v>1560</v>
      </c>
      <c r="P89" t="s">
        <v>3365</v>
      </c>
      <c r="Q89" t="s">
        <v>3455</v>
      </c>
      <c r="R89" t="s">
        <v>3381</v>
      </c>
      <c r="T89" t="s">
        <v>48</v>
      </c>
      <c r="U89" s="534" t="s">
        <v>4940</v>
      </c>
      <c r="X89">
        <v>70</v>
      </c>
      <c r="Y89">
        <v>70</v>
      </c>
      <c r="Z89">
        <v>70</v>
      </c>
      <c r="AA89">
        <v>70</v>
      </c>
      <c r="AB89">
        <v>70</v>
      </c>
      <c r="AE89">
        <v>100</v>
      </c>
      <c r="AF89">
        <v>100</v>
      </c>
      <c r="AG89">
        <v>100</v>
      </c>
      <c r="AH89">
        <v>100</v>
      </c>
      <c r="AI89">
        <v>100</v>
      </c>
      <c r="AL89">
        <v>40</v>
      </c>
      <c r="AM89">
        <v>40</v>
      </c>
      <c r="AN89">
        <v>40</v>
      </c>
      <c r="AO89">
        <v>40</v>
      </c>
      <c r="AP89">
        <v>40</v>
      </c>
      <c r="AR89">
        <v>87</v>
      </c>
      <c r="AS89">
        <v>97</v>
      </c>
      <c r="AT89" t="s">
        <v>50</v>
      </c>
      <c r="AU89">
        <v>97</v>
      </c>
      <c r="AV89" t="s">
        <v>50</v>
      </c>
      <c r="AW89" s="2146">
        <v>96</v>
      </c>
      <c r="AX89" s="2146" t="s">
        <v>50</v>
      </c>
      <c r="AZ89" t="s">
        <v>6043</v>
      </c>
    </row>
    <row r="90" spans="1:52">
      <c r="A90" t="s">
        <v>1558</v>
      </c>
      <c r="B90" t="s">
        <v>116</v>
      </c>
      <c r="C90" t="s">
        <v>1476</v>
      </c>
      <c r="D90" t="s">
        <v>215</v>
      </c>
      <c r="E90" t="s">
        <v>227</v>
      </c>
      <c r="F90" t="s">
        <v>1560</v>
      </c>
      <c r="P90" t="s">
        <v>3370</v>
      </c>
      <c r="Q90" t="s">
        <v>3456</v>
      </c>
      <c r="R90" t="s">
        <v>3385</v>
      </c>
      <c r="T90" t="s">
        <v>48</v>
      </c>
      <c r="U90" s="534" t="s">
        <v>4940</v>
      </c>
      <c r="X90">
        <v>80</v>
      </c>
      <c r="Y90">
        <v>80</v>
      </c>
      <c r="Z90">
        <v>80</v>
      </c>
      <c r="AA90">
        <v>80</v>
      </c>
      <c r="AB90">
        <v>80</v>
      </c>
      <c r="AE90">
        <v>110</v>
      </c>
      <c r="AF90">
        <v>110</v>
      </c>
      <c r="AG90">
        <v>110</v>
      </c>
      <c r="AH90">
        <v>110</v>
      </c>
      <c r="AI90">
        <v>110</v>
      </c>
      <c r="AL90">
        <v>50</v>
      </c>
      <c r="AM90">
        <v>50</v>
      </c>
      <c r="AN90">
        <v>50</v>
      </c>
      <c r="AO90">
        <v>50</v>
      </c>
      <c r="AP90">
        <v>50</v>
      </c>
      <c r="AR90">
        <v>96</v>
      </c>
      <c r="AS90">
        <v>96</v>
      </c>
      <c r="AT90" t="s">
        <v>50</v>
      </c>
      <c r="AU90">
        <v>71</v>
      </c>
      <c r="AV90" t="s">
        <v>50</v>
      </c>
      <c r="AW90" s="2146">
        <v>68</v>
      </c>
      <c r="AX90" s="2146" t="s">
        <v>50</v>
      </c>
      <c r="AZ90" t="s">
        <v>6044</v>
      </c>
    </row>
    <row r="91" spans="1:52">
      <c r="A91" t="s">
        <v>1558</v>
      </c>
      <c r="B91" t="s">
        <v>116</v>
      </c>
      <c r="C91" t="s">
        <v>1476</v>
      </c>
      <c r="D91" t="s">
        <v>215</v>
      </c>
      <c r="E91" t="s">
        <v>227</v>
      </c>
      <c r="F91" t="s">
        <v>1560</v>
      </c>
      <c r="P91" t="s">
        <v>3373</v>
      </c>
      <c r="Q91" t="s">
        <v>3457</v>
      </c>
      <c r="R91" t="s">
        <v>3385</v>
      </c>
      <c r="T91" t="s">
        <v>48</v>
      </c>
      <c r="U91" s="534" t="s">
        <v>4940</v>
      </c>
      <c r="X91">
        <v>30</v>
      </c>
      <c r="Y91">
        <v>30</v>
      </c>
      <c r="Z91">
        <v>30</v>
      </c>
      <c r="AA91">
        <v>30</v>
      </c>
      <c r="AB91">
        <v>30</v>
      </c>
      <c r="AE91">
        <v>45</v>
      </c>
      <c r="AF91">
        <v>45</v>
      </c>
      <c r="AG91">
        <v>45</v>
      </c>
      <c r="AH91">
        <v>45</v>
      </c>
      <c r="AI91">
        <v>45</v>
      </c>
      <c r="AL91">
        <v>15</v>
      </c>
      <c r="AM91">
        <v>15</v>
      </c>
      <c r="AN91">
        <v>15</v>
      </c>
      <c r="AO91">
        <v>15</v>
      </c>
      <c r="AP91">
        <v>15</v>
      </c>
      <c r="AR91">
        <v>21</v>
      </c>
      <c r="AS91">
        <v>16</v>
      </c>
      <c r="AT91" t="s">
        <v>50</v>
      </c>
      <c r="AU91">
        <v>16</v>
      </c>
      <c r="AV91" t="s">
        <v>50</v>
      </c>
      <c r="AW91" s="2146">
        <v>12</v>
      </c>
      <c r="AX91" s="2146" t="s">
        <v>50</v>
      </c>
      <c r="AZ91" t="s">
        <v>6045</v>
      </c>
    </row>
    <row r="92" spans="1:52">
      <c r="A92" t="s">
        <v>1558</v>
      </c>
      <c r="B92" t="s">
        <v>116</v>
      </c>
      <c r="C92" t="s">
        <v>1476</v>
      </c>
      <c r="D92" t="s">
        <v>215</v>
      </c>
      <c r="E92" t="s">
        <v>227</v>
      </c>
      <c r="F92" t="s">
        <v>1560</v>
      </c>
      <c r="P92" t="s">
        <v>3402</v>
      </c>
      <c r="Q92" t="s">
        <v>3386</v>
      </c>
      <c r="R92" t="s">
        <v>3386</v>
      </c>
      <c r="T92" t="s">
        <v>48</v>
      </c>
      <c r="U92" s="534" t="s">
        <v>4940</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50</v>
      </c>
      <c r="AU92">
        <v>3533</v>
      </c>
      <c r="AV92" t="s">
        <v>50</v>
      </c>
      <c r="AW92" s="2146">
        <v>3285</v>
      </c>
      <c r="AX92" s="2146" t="s">
        <v>50</v>
      </c>
      <c r="AZ92" t="s">
        <v>6046</v>
      </c>
    </row>
    <row r="93" spans="1:52">
      <c r="A93" t="s">
        <v>1558</v>
      </c>
      <c r="B93" t="s">
        <v>116</v>
      </c>
      <c r="C93" t="s">
        <v>1476</v>
      </c>
      <c r="D93" t="s">
        <v>215</v>
      </c>
      <c r="E93" t="s">
        <v>227</v>
      </c>
      <c r="F93" t="s">
        <v>1560</v>
      </c>
      <c r="P93" t="s">
        <v>3404</v>
      </c>
      <c r="Q93" t="s">
        <v>3458</v>
      </c>
      <c r="R93" t="s">
        <v>3459</v>
      </c>
      <c r="T93" t="s">
        <v>48</v>
      </c>
      <c r="U93" s="534" t="s">
        <v>4940</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50</v>
      </c>
      <c r="AU93">
        <v>262</v>
      </c>
      <c r="AV93" t="s">
        <v>50</v>
      </c>
      <c r="AW93" s="2146">
        <v>244</v>
      </c>
      <c r="AX93" s="2146" t="s">
        <v>50</v>
      </c>
      <c r="AZ93" t="s">
        <v>6047</v>
      </c>
    </row>
    <row r="94" spans="1:52">
      <c r="A94" t="s">
        <v>1561</v>
      </c>
      <c r="B94" t="s">
        <v>116</v>
      </c>
      <c r="C94" t="s">
        <v>1476</v>
      </c>
      <c r="D94" t="s">
        <v>215</v>
      </c>
      <c r="E94" t="s">
        <v>1416</v>
      </c>
      <c r="F94" t="s">
        <v>1563</v>
      </c>
      <c r="G94" t="s">
        <v>5408</v>
      </c>
      <c r="H94" t="s">
        <v>273</v>
      </c>
      <c r="I94" t="s">
        <v>323</v>
      </c>
      <c r="J94" t="s">
        <v>202</v>
      </c>
      <c r="K94" t="s">
        <v>202</v>
      </c>
      <c r="L94" t="s">
        <v>202</v>
      </c>
      <c r="M94" t="s">
        <v>202</v>
      </c>
      <c r="N94" t="s">
        <v>202</v>
      </c>
      <c r="O94" t="s">
        <v>202</v>
      </c>
      <c r="P94" t="s">
        <v>3361</v>
      </c>
      <c r="Q94" t="s">
        <v>1563</v>
      </c>
      <c r="T94" t="s">
        <v>200</v>
      </c>
      <c r="U94" t="s">
        <v>51</v>
      </c>
      <c r="AR94" t="s">
        <v>202</v>
      </c>
      <c r="AS94" t="s">
        <v>202</v>
      </c>
      <c r="AT94" t="s">
        <v>50</v>
      </c>
      <c r="AU94" t="s">
        <v>202</v>
      </c>
      <c r="AV94" t="s">
        <v>50</v>
      </c>
      <c r="AW94" s="2146" t="s">
        <v>202</v>
      </c>
      <c r="AX94" s="2146" t="s">
        <v>50</v>
      </c>
      <c r="AZ94" t="s">
        <v>6048</v>
      </c>
    </row>
    <row r="95" spans="1:52">
      <c r="A95" t="s">
        <v>1561</v>
      </c>
      <c r="B95" t="s">
        <v>116</v>
      </c>
      <c r="C95" t="s">
        <v>1476</v>
      </c>
      <c r="D95" t="s">
        <v>215</v>
      </c>
      <c r="E95" t="s">
        <v>1416</v>
      </c>
      <c r="F95" t="s">
        <v>1563</v>
      </c>
      <c r="P95" t="s">
        <v>3362</v>
      </c>
      <c r="Q95" t="s">
        <v>3460</v>
      </c>
      <c r="R95" t="s">
        <v>3390</v>
      </c>
      <c r="T95" t="s">
        <v>76</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50</v>
      </c>
      <c r="AU95">
        <v>1.6</v>
      </c>
      <c r="AV95" t="s">
        <v>50</v>
      </c>
      <c r="AW95" s="2146">
        <v>2.9</v>
      </c>
      <c r="AX95" s="2146" t="s">
        <v>50</v>
      </c>
      <c r="AZ95" t="s">
        <v>6049</v>
      </c>
    </row>
    <row r="96" spans="1:52">
      <c r="A96" t="s">
        <v>1561</v>
      </c>
      <c r="B96" t="s">
        <v>116</v>
      </c>
      <c r="C96" t="s">
        <v>1476</v>
      </c>
      <c r="D96" t="s">
        <v>215</v>
      </c>
      <c r="E96" t="s">
        <v>1416</v>
      </c>
      <c r="F96" t="s">
        <v>1563</v>
      </c>
      <c r="P96" t="s">
        <v>3365</v>
      </c>
      <c r="Q96" t="s">
        <v>3461</v>
      </c>
      <c r="R96" t="s">
        <v>3388</v>
      </c>
      <c r="T96" t="s">
        <v>76</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50</v>
      </c>
      <c r="AU96">
        <v>0.08</v>
      </c>
      <c r="AV96" t="s">
        <v>50</v>
      </c>
      <c r="AW96" s="2146">
        <v>0.06</v>
      </c>
      <c r="AX96" s="2146" t="s">
        <v>50</v>
      </c>
      <c r="AZ96" t="s">
        <v>6050</v>
      </c>
    </row>
    <row r="97" spans="1:52">
      <c r="A97" t="s">
        <v>1561</v>
      </c>
      <c r="B97" t="s">
        <v>116</v>
      </c>
      <c r="C97" t="s">
        <v>1476</v>
      </c>
      <c r="D97" t="s">
        <v>215</v>
      </c>
      <c r="E97" t="s">
        <v>1416</v>
      </c>
      <c r="F97" t="s">
        <v>1563</v>
      </c>
      <c r="P97" t="s">
        <v>3370</v>
      </c>
      <c r="Q97" t="s">
        <v>3454</v>
      </c>
      <c r="R97" t="s">
        <v>3462</v>
      </c>
      <c r="T97" t="s">
        <v>48</v>
      </c>
      <c r="U97" s="534" t="s">
        <v>4940</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50</v>
      </c>
      <c r="AU97">
        <v>8428</v>
      </c>
      <c r="AV97" t="s">
        <v>50</v>
      </c>
      <c r="AW97" s="2146">
        <v>6109</v>
      </c>
      <c r="AX97" s="2146" t="s">
        <v>50</v>
      </c>
      <c r="AZ97" t="s">
        <v>6040</v>
      </c>
    </row>
    <row r="98" spans="1:52">
      <c r="A98" t="s">
        <v>1635</v>
      </c>
      <c r="B98" t="s">
        <v>116</v>
      </c>
      <c r="C98" t="s">
        <v>1608</v>
      </c>
      <c r="D98" t="s">
        <v>41</v>
      </c>
      <c r="E98" t="s">
        <v>1637</v>
      </c>
      <c r="F98" t="s">
        <v>1639</v>
      </c>
      <c r="G98" t="s">
        <v>5408</v>
      </c>
      <c r="H98" t="s">
        <v>91</v>
      </c>
      <c r="I98" t="s">
        <v>323</v>
      </c>
      <c r="J98" t="s">
        <v>202</v>
      </c>
      <c r="K98" t="s">
        <v>202</v>
      </c>
      <c r="L98" t="s">
        <v>202</v>
      </c>
      <c r="M98" t="s">
        <v>202</v>
      </c>
      <c r="N98" t="s">
        <v>202</v>
      </c>
      <c r="O98" t="s">
        <v>202</v>
      </c>
      <c r="P98" t="s">
        <v>3361</v>
      </c>
      <c r="Q98" t="s">
        <v>1639</v>
      </c>
      <c r="T98" t="s">
        <v>200</v>
      </c>
      <c r="U98" t="s">
        <v>51</v>
      </c>
      <c r="AR98" t="s">
        <v>202</v>
      </c>
      <c r="AS98" t="s">
        <v>325</v>
      </c>
      <c r="AT98" t="s">
        <v>46</v>
      </c>
      <c r="AU98" t="s">
        <v>325</v>
      </c>
      <c r="AV98" t="s">
        <v>46</v>
      </c>
      <c r="AW98" s="2146" t="s">
        <v>325</v>
      </c>
      <c r="AX98" s="2146" t="s">
        <v>46</v>
      </c>
      <c r="AZ98" t="s">
        <v>3303</v>
      </c>
    </row>
    <row r="99" spans="1:52">
      <c r="A99" t="s">
        <v>1635</v>
      </c>
      <c r="B99" t="s">
        <v>116</v>
      </c>
      <c r="C99" t="s">
        <v>1608</v>
      </c>
      <c r="D99" t="s">
        <v>41</v>
      </c>
      <c r="E99" t="s">
        <v>1637</v>
      </c>
      <c r="F99" t="s">
        <v>1639</v>
      </c>
      <c r="P99" t="s">
        <v>3362</v>
      </c>
      <c r="Q99" t="s">
        <v>3397</v>
      </c>
      <c r="R99" t="s">
        <v>3367</v>
      </c>
      <c r="T99" t="s">
        <v>48</v>
      </c>
      <c r="U99" s="534" t="s">
        <v>4940</v>
      </c>
      <c r="V99">
        <v>11000</v>
      </c>
      <c r="W99">
        <v>8840</v>
      </c>
      <c r="X99">
        <v>8840</v>
      </c>
      <c r="Y99">
        <v>8840</v>
      </c>
      <c r="Z99">
        <v>8840</v>
      </c>
      <c r="AA99">
        <v>8840</v>
      </c>
      <c r="AB99">
        <v>8840</v>
      </c>
      <c r="AE99">
        <v>11206</v>
      </c>
      <c r="AF99">
        <v>11206</v>
      </c>
      <c r="AG99">
        <v>11206</v>
      </c>
      <c r="AH99">
        <v>11206</v>
      </c>
      <c r="AI99">
        <v>11206</v>
      </c>
      <c r="AJ99" t="s">
        <v>497</v>
      </c>
      <c r="AK99" t="s">
        <v>497</v>
      </c>
      <c r="AL99" t="s">
        <v>497</v>
      </c>
      <c r="AM99" t="s">
        <v>497</v>
      </c>
      <c r="AN99" t="s">
        <v>497</v>
      </c>
      <c r="AO99" t="s">
        <v>497</v>
      </c>
      <c r="AP99" t="s">
        <v>497</v>
      </c>
      <c r="AQ99">
        <v>13572</v>
      </c>
      <c r="AR99">
        <v>8822</v>
      </c>
      <c r="AS99">
        <v>6926</v>
      </c>
      <c r="AT99" t="s">
        <v>50</v>
      </c>
      <c r="AU99">
        <v>8326</v>
      </c>
      <c r="AV99" t="s">
        <v>50</v>
      </c>
      <c r="AW99" s="2146">
        <v>8546</v>
      </c>
      <c r="AX99" s="2146" t="s">
        <v>50</v>
      </c>
      <c r="AZ99" t="s">
        <v>6051</v>
      </c>
    </row>
    <row r="100" spans="1:52">
      <c r="A100" t="s">
        <v>1635</v>
      </c>
      <c r="B100" t="s">
        <v>116</v>
      </c>
      <c r="C100" t="s">
        <v>1608</v>
      </c>
      <c r="D100" t="s">
        <v>41</v>
      </c>
      <c r="E100" t="s">
        <v>1637</v>
      </c>
      <c r="F100" t="s">
        <v>1639</v>
      </c>
      <c r="P100" t="s">
        <v>3365</v>
      </c>
      <c r="Q100" t="s">
        <v>3463</v>
      </c>
      <c r="R100" t="s">
        <v>3364</v>
      </c>
      <c r="T100" t="s">
        <v>48</v>
      </c>
      <c r="U100" s="534" t="s">
        <v>4940</v>
      </c>
      <c r="V100">
        <v>1568</v>
      </c>
      <c r="W100">
        <v>1354</v>
      </c>
      <c r="X100">
        <v>1354</v>
      </c>
      <c r="Y100">
        <v>1354</v>
      </c>
      <c r="Z100">
        <v>1354</v>
      </c>
      <c r="AA100">
        <v>1354</v>
      </c>
      <c r="AB100">
        <v>1354</v>
      </c>
      <c r="AE100">
        <v>3055</v>
      </c>
      <c r="AF100">
        <v>3055</v>
      </c>
      <c r="AG100">
        <v>3055</v>
      </c>
      <c r="AH100">
        <v>3055</v>
      </c>
      <c r="AI100">
        <v>3055</v>
      </c>
      <c r="AJ100" t="s">
        <v>497</v>
      </c>
      <c r="AK100" t="s">
        <v>497</v>
      </c>
      <c r="AL100" t="s">
        <v>497</v>
      </c>
      <c r="AM100" t="s">
        <v>497</v>
      </c>
      <c r="AN100" t="s">
        <v>497</v>
      </c>
      <c r="AO100" t="s">
        <v>497</v>
      </c>
      <c r="AP100" t="s">
        <v>497</v>
      </c>
      <c r="AQ100">
        <v>4756</v>
      </c>
      <c r="AR100">
        <v>3124</v>
      </c>
      <c r="AS100">
        <v>15151</v>
      </c>
      <c r="AT100" t="s">
        <v>46</v>
      </c>
      <c r="AU100">
        <v>6051</v>
      </c>
      <c r="AV100" t="s">
        <v>46</v>
      </c>
      <c r="AW100" s="2146">
        <v>23457</v>
      </c>
      <c r="AX100" s="2146" t="s">
        <v>46</v>
      </c>
      <c r="AZ100" t="s">
        <v>6052</v>
      </c>
    </row>
    <row r="101" spans="1:52">
      <c r="A101" t="s">
        <v>1635</v>
      </c>
      <c r="B101" t="s">
        <v>116</v>
      </c>
      <c r="C101" t="s">
        <v>1608</v>
      </c>
      <c r="D101" t="s">
        <v>41</v>
      </c>
      <c r="E101" t="s">
        <v>1637</v>
      </c>
      <c r="F101" t="s">
        <v>1639</v>
      </c>
      <c r="P101" t="s">
        <v>3370</v>
      </c>
      <c r="Q101" t="s">
        <v>3464</v>
      </c>
      <c r="R101" t="s">
        <v>3400</v>
      </c>
      <c r="T101" t="s">
        <v>76</v>
      </c>
      <c r="U101">
        <v>2</v>
      </c>
      <c r="W101">
        <v>0.16</v>
      </c>
      <c r="X101">
        <v>0.16</v>
      </c>
      <c r="Y101">
        <v>0.16</v>
      </c>
      <c r="Z101">
        <v>0.16</v>
      </c>
      <c r="AA101">
        <v>0.16</v>
      </c>
      <c r="AB101">
        <v>0.16</v>
      </c>
      <c r="AE101">
        <v>0.23</v>
      </c>
      <c r="AF101">
        <v>0.23</v>
      </c>
      <c r="AG101">
        <v>0.23</v>
      </c>
      <c r="AH101">
        <v>0.23</v>
      </c>
      <c r="AI101">
        <v>0.23</v>
      </c>
      <c r="AJ101" t="s">
        <v>497</v>
      </c>
      <c r="AK101" t="s">
        <v>497</v>
      </c>
      <c r="AL101" t="s">
        <v>497</v>
      </c>
      <c r="AM101" t="s">
        <v>497</v>
      </c>
      <c r="AN101" t="s">
        <v>497</v>
      </c>
      <c r="AO101" t="s">
        <v>497</v>
      </c>
      <c r="AP101" t="s">
        <v>497</v>
      </c>
      <c r="AQ101">
        <v>0.3</v>
      </c>
      <c r="AR101">
        <v>0.05</v>
      </c>
      <c r="AS101">
        <v>0.18</v>
      </c>
      <c r="AT101" t="s">
        <v>46</v>
      </c>
      <c r="AU101">
        <v>0.09</v>
      </c>
      <c r="AV101" t="s">
        <v>50</v>
      </c>
      <c r="AW101" s="2146">
        <v>7.0000000000000007E-2</v>
      </c>
      <c r="AX101" s="2146" t="s">
        <v>50</v>
      </c>
      <c r="AZ101" t="s">
        <v>6053</v>
      </c>
    </row>
    <row r="102" spans="1:52">
      <c r="A102" t="s">
        <v>1635</v>
      </c>
      <c r="B102" t="s">
        <v>116</v>
      </c>
      <c r="C102" t="s">
        <v>1608</v>
      </c>
      <c r="D102" t="s">
        <v>41</v>
      </c>
      <c r="E102" t="s">
        <v>1637</v>
      </c>
      <c r="F102" t="s">
        <v>1639</v>
      </c>
      <c r="P102" t="s">
        <v>3373</v>
      </c>
      <c r="Q102" t="s">
        <v>3465</v>
      </c>
      <c r="R102" t="s">
        <v>3393</v>
      </c>
      <c r="T102" t="s">
        <v>48</v>
      </c>
      <c r="U102" s="534" t="s">
        <v>4940</v>
      </c>
      <c r="W102">
        <v>34</v>
      </c>
      <c r="X102">
        <v>34</v>
      </c>
      <c r="Y102">
        <v>34</v>
      </c>
      <c r="Z102">
        <v>34</v>
      </c>
      <c r="AA102">
        <v>34</v>
      </c>
      <c r="AB102">
        <v>34</v>
      </c>
      <c r="AE102">
        <v>46</v>
      </c>
      <c r="AF102">
        <v>46</v>
      </c>
      <c r="AG102">
        <v>46</v>
      </c>
      <c r="AH102">
        <v>46</v>
      </c>
      <c r="AI102">
        <v>46</v>
      </c>
      <c r="AJ102" t="s">
        <v>497</v>
      </c>
      <c r="AK102" t="s">
        <v>497</v>
      </c>
      <c r="AL102" t="s">
        <v>497</v>
      </c>
      <c r="AM102" t="s">
        <v>497</v>
      </c>
      <c r="AN102" t="s">
        <v>497</v>
      </c>
      <c r="AO102" t="s">
        <v>497</v>
      </c>
      <c r="AP102" t="s">
        <v>497</v>
      </c>
      <c r="AQ102">
        <v>52</v>
      </c>
      <c r="AR102">
        <v>0</v>
      </c>
      <c r="AS102">
        <v>0</v>
      </c>
      <c r="AT102" t="s">
        <v>50</v>
      </c>
      <c r="AU102">
        <v>5</v>
      </c>
      <c r="AV102" t="s">
        <v>50</v>
      </c>
      <c r="AW102" s="2146">
        <v>206</v>
      </c>
      <c r="AX102" s="2146" t="s">
        <v>46</v>
      </c>
      <c r="AZ102" t="s">
        <v>6054</v>
      </c>
    </row>
    <row r="103" spans="1:52">
      <c r="A103" t="s">
        <v>1635</v>
      </c>
      <c r="B103" t="s">
        <v>116</v>
      </c>
      <c r="C103" t="s">
        <v>1608</v>
      </c>
      <c r="D103" t="s">
        <v>41</v>
      </c>
      <c r="E103" t="s">
        <v>1637</v>
      </c>
      <c r="F103" t="s">
        <v>1639</v>
      </c>
      <c r="P103" t="s">
        <v>3402</v>
      </c>
      <c r="Q103" t="s">
        <v>3466</v>
      </c>
      <c r="R103" t="s">
        <v>3467</v>
      </c>
      <c r="T103" t="s">
        <v>48</v>
      </c>
      <c r="U103">
        <v>2</v>
      </c>
      <c r="AB103">
        <v>650</v>
      </c>
      <c r="AI103">
        <v>650</v>
      </c>
      <c r="AJ103" t="s">
        <v>497</v>
      </c>
      <c r="AK103" t="s">
        <v>497</v>
      </c>
      <c r="AL103" t="s">
        <v>497</v>
      </c>
      <c r="AM103" t="s">
        <v>497</v>
      </c>
      <c r="AN103" t="s">
        <v>497</v>
      </c>
      <c r="AO103" t="s">
        <v>497</v>
      </c>
      <c r="AP103" t="s">
        <v>497</v>
      </c>
      <c r="AQ103">
        <v>650</v>
      </c>
      <c r="AR103">
        <v>15.47</v>
      </c>
      <c r="AS103">
        <v>66.454999999999998</v>
      </c>
      <c r="AU103">
        <v>103.28</v>
      </c>
      <c r="AV103" t="s">
        <v>2148</v>
      </c>
      <c r="AW103" s="2146">
        <v>142.75</v>
      </c>
      <c r="AX103" s="2146" t="s">
        <v>2148</v>
      </c>
      <c r="AZ103" t="s">
        <v>6055</v>
      </c>
    </row>
    <row r="104" spans="1:52">
      <c r="A104" t="s">
        <v>1635</v>
      </c>
      <c r="B104" t="s">
        <v>116</v>
      </c>
      <c r="C104" t="s">
        <v>1608</v>
      </c>
      <c r="D104" t="s">
        <v>41</v>
      </c>
      <c r="E104" t="s">
        <v>1637</v>
      </c>
      <c r="F104" t="s">
        <v>1639</v>
      </c>
      <c r="P104" t="s">
        <v>3404</v>
      </c>
      <c r="Q104" t="s">
        <v>3468</v>
      </c>
      <c r="R104" t="s">
        <v>3372</v>
      </c>
      <c r="T104" t="s">
        <v>48</v>
      </c>
      <c r="U104">
        <v>2</v>
      </c>
      <c r="W104">
        <v>0.38</v>
      </c>
      <c r="X104">
        <v>0.38</v>
      </c>
      <c r="Y104">
        <v>0.38</v>
      </c>
      <c r="Z104">
        <v>0.38</v>
      </c>
      <c r="AA104">
        <v>0.38</v>
      </c>
      <c r="AB104">
        <v>0.38</v>
      </c>
      <c r="AE104">
        <v>0.49</v>
      </c>
      <c r="AF104">
        <v>0.49</v>
      </c>
      <c r="AG104">
        <v>0.49</v>
      </c>
      <c r="AH104">
        <v>0.49</v>
      </c>
      <c r="AI104">
        <v>0.49</v>
      </c>
      <c r="AJ104" t="s">
        <v>497</v>
      </c>
      <c r="AK104" t="s">
        <v>497</v>
      </c>
      <c r="AL104" t="s">
        <v>497</v>
      </c>
      <c r="AM104" t="s">
        <v>497</v>
      </c>
      <c r="AN104" t="s">
        <v>497</v>
      </c>
      <c r="AO104" t="s">
        <v>497</v>
      </c>
      <c r="AP104" t="s">
        <v>497</v>
      </c>
      <c r="AQ104">
        <v>0.55000000000000004</v>
      </c>
      <c r="AR104">
        <v>0.189</v>
      </c>
      <c r="AS104">
        <v>0.20499999999999999</v>
      </c>
      <c r="AT104" t="s">
        <v>50</v>
      </c>
      <c r="AU104">
        <v>0.17</v>
      </c>
      <c r="AV104" t="s">
        <v>50</v>
      </c>
      <c r="AW104" s="2146">
        <v>0.17</v>
      </c>
      <c r="AX104" s="2146" t="s">
        <v>50</v>
      </c>
      <c r="AZ104" t="s">
        <v>6056</v>
      </c>
    </row>
    <row r="105" spans="1:52">
      <c r="A105" t="s">
        <v>1640</v>
      </c>
      <c r="B105" t="s">
        <v>116</v>
      </c>
      <c r="C105" t="s">
        <v>1608</v>
      </c>
      <c r="D105" t="s">
        <v>41</v>
      </c>
      <c r="E105" t="s">
        <v>1641</v>
      </c>
      <c r="F105" t="s">
        <v>1643</v>
      </c>
      <c r="G105" t="s">
        <v>5408</v>
      </c>
      <c r="H105" t="s">
        <v>91</v>
      </c>
      <c r="I105" t="s">
        <v>323</v>
      </c>
      <c r="J105" t="s">
        <v>202</v>
      </c>
      <c r="K105" t="s">
        <v>202</v>
      </c>
      <c r="L105" t="s">
        <v>202</v>
      </c>
      <c r="M105" t="s">
        <v>202</v>
      </c>
      <c r="N105" t="s">
        <v>202</v>
      </c>
      <c r="O105" t="s">
        <v>202</v>
      </c>
      <c r="P105" t="s">
        <v>3361</v>
      </c>
      <c r="Q105" t="s">
        <v>1643</v>
      </c>
      <c r="T105" t="s">
        <v>200</v>
      </c>
      <c r="U105" t="s">
        <v>51</v>
      </c>
      <c r="AR105" t="s">
        <v>202</v>
      </c>
      <c r="AS105" t="s">
        <v>202</v>
      </c>
      <c r="AT105" t="s">
        <v>50</v>
      </c>
      <c r="AU105" t="s">
        <v>202</v>
      </c>
      <c r="AV105" t="s">
        <v>50</v>
      </c>
      <c r="AW105" s="2146" t="s">
        <v>202</v>
      </c>
      <c r="AX105" s="2146" t="s">
        <v>50</v>
      </c>
      <c r="AZ105" t="s">
        <v>3304</v>
      </c>
    </row>
    <row r="106" spans="1:52">
      <c r="A106" t="s">
        <v>1640</v>
      </c>
      <c r="B106" t="s">
        <v>116</v>
      </c>
      <c r="C106" t="s">
        <v>1608</v>
      </c>
      <c r="D106" t="s">
        <v>41</v>
      </c>
      <c r="E106" t="s">
        <v>1641</v>
      </c>
      <c r="F106" t="s">
        <v>1643</v>
      </c>
      <c r="P106" t="s">
        <v>3362</v>
      </c>
      <c r="Q106" t="s">
        <v>3469</v>
      </c>
      <c r="R106" t="s">
        <v>3377</v>
      </c>
      <c r="T106" t="s">
        <v>76</v>
      </c>
      <c r="U106">
        <v>2</v>
      </c>
      <c r="X106">
        <v>99.97</v>
      </c>
      <c r="Y106">
        <v>99.97</v>
      </c>
      <c r="Z106">
        <v>99.97</v>
      </c>
      <c r="AA106">
        <v>99.97</v>
      </c>
      <c r="AB106">
        <v>99.97</v>
      </c>
      <c r="AE106">
        <v>99.96</v>
      </c>
      <c r="AF106">
        <v>99.96</v>
      </c>
      <c r="AG106">
        <v>99.96</v>
      </c>
      <c r="AH106">
        <v>99.96</v>
      </c>
      <c r="AI106">
        <v>99.96</v>
      </c>
      <c r="AJ106" t="s">
        <v>497</v>
      </c>
      <c r="AK106" t="s">
        <v>497</v>
      </c>
      <c r="AL106" t="s">
        <v>497</v>
      </c>
      <c r="AM106" t="s">
        <v>497</v>
      </c>
      <c r="AN106" t="s">
        <v>497</v>
      </c>
      <c r="AO106" t="s">
        <v>497</v>
      </c>
      <c r="AP106" t="s">
        <v>497</v>
      </c>
      <c r="AQ106">
        <v>99.95</v>
      </c>
      <c r="AR106">
        <v>99.984399999999994</v>
      </c>
      <c r="AS106">
        <v>99.976799999999997</v>
      </c>
      <c r="AT106" t="s">
        <v>50</v>
      </c>
      <c r="AU106">
        <v>99.99</v>
      </c>
      <c r="AV106" t="s">
        <v>50</v>
      </c>
      <c r="AW106" s="2146">
        <v>99.96</v>
      </c>
      <c r="AX106" s="2146" t="s">
        <v>46</v>
      </c>
      <c r="AZ106" t="s">
        <v>6057</v>
      </c>
    </row>
    <row r="107" spans="1:52">
      <c r="A107" t="s">
        <v>1640</v>
      </c>
      <c r="B107" t="s">
        <v>116</v>
      </c>
      <c r="C107" t="s">
        <v>1608</v>
      </c>
      <c r="D107" t="s">
        <v>41</v>
      </c>
      <c r="E107" t="s">
        <v>1641</v>
      </c>
      <c r="F107" t="s">
        <v>1643</v>
      </c>
      <c r="P107" t="s">
        <v>3365</v>
      </c>
      <c r="Q107" t="s">
        <v>3470</v>
      </c>
      <c r="R107" t="s">
        <v>3379</v>
      </c>
      <c r="T107" t="s">
        <v>76</v>
      </c>
      <c r="U107">
        <v>2</v>
      </c>
      <c r="X107">
        <v>0.27</v>
      </c>
      <c r="Y107">
        <v>0.27</v>
      </c>
      <c r="Z107">
        <v>0.27</v>
      </c>
      <c r="AA107">
        <v>0.27</v>
      </c>
      <c r="AB107">
        <v>0.27</v>
      </c>
      <c r="AE107">
        <v>0.54</v>
      </c>
      <c r="AF107">
        <v>0.54</v>
      </c>
      <c r="AG107">
        <v>0.54</v>
      </c>
      <c r="AH107">
        <v>0.54</v>
      </c>
      <c r="AI107">
        <v>0.54</v>
      </c>
      <c r="AJ107" t="s">
        <v>497</v>
      </c>
      <c r="AK107" t="s">
        <v>497</v>
      </c>
      <c r="AL107" t="s">
        <v>497</v>
      </c>
      <c r="AM107" t="s">
        <v>497</v>
      </c>
      <c r="AN107" t="s">
        <v>497</v>
      </c>
      <c r="AO107" t="s">
        <v>497</v>
      </c>
      <c r="AP107" t="s">
        <v>497</v>
      </c>
      <c r="AQ107">
        <v>0.81</v>
      </c>
      <c r="AR107">
        <v>0.26</v>
      </c>
      <c r="AS107">
        <v>0</v>
      </c>
      <c r="AT107" t="s">
        <v>50</v>
      </c>
      <c r="AU107">
        <v>0</v>
      </c>
      <c r="AV107" t="s">
        <v>50</v>
      </c>
      <c r="AW107" s="2146">
        <v>0</v>
      </c>
      <c r="AX107" s="2146" t="s">
        <v>50</v>
      </c>
      <c r="AZ107" t="s">
        <v>6058</v>
      </c>
    </row>
    <row r="108" spans="1:52">
      <c r="A108" t="s">
        <v>1640</v>
      </c>
      <c r="B108" t="s">
        <v>116</v>
      </c>
      <c r="C108" t="s">
        <v>1608</v>
      </c>
      <c r="D108" t="s">
        <v>41</v>
      </c>
      <c r="E108" t="s">
        <v>1641</v>
      </c>
      <c r="F108" t="s">
        <v>1643</v>
      </c>
      <c r="P108" t="s">
        <v>3370</v>
      </c>
      <c r="Q108" t="s">
        <v>3471</v>
      </c>
      <c r="R108" t="s">
        <v>3380</v>
      </c>
      <c r="T108" t="s">
        <v>48</v>
      </c>
      <c r="U108" s="534" t="s">
        <v>4940</v>
      </c>
      <c r="W108">
        <v>1</v>
      </c>
      <c r="X108">
        <v>1</v>
      </c>
      <c r="Y108">
        <v>1</v>
      </c>
      <c r="Z108">
        <v>1</v>
      </c>
      <c r="AA108">
        <v>1</v>
      </c>
      <c r="AB108">
        <v>1</v>
      </c>
      <c r="AE108">
        <v>2</v>
      </c>
      <c r="AF108">
        <v>2</v>
      </c>
      <c r="AG108">
        <v>2</v>
      </c>
      <c r="AH108">
        <v>2</v>
      </c>
      <c r="AI108">
        <v>2</v>
      </c>
      <c r="AJ108" t="s">
        <v>497</v>
      </c>
      <c r="AK108" t="s">
        <v>497</v>
      </c>
      <c r="AL108" t="s">
        <v>497</v>
      </c>
      <c r="AM108" t="s">
        <v>497</v>
      </c>
      <c r="AN108" t="s">
        <v>497</v>
      </c>
      <c r="AO108" t="s">
        <v>497</v>
      </c>
      <c r="AP108" t="s">
        <v>497</v>
      </c>
      <c r="AQ108">
        <v>3</v>
      </c>
      <c r="AR108">
        <v>0</v>
      </c>
      <c r="AS108">
        <v>0</v>
      </c>
      <c r="AT108" t="s">
        <v>50</v>
      </c>
      <c r="AU108">
        <v>0</v>
      </c>
      <c r="AV108" t="s">
        <v>50</v>
      </c>
      <c r="AW108" s="2146">
        <v>1</v>
      </c>
      <c r="AX108" s="2146" t="s">
        <v>50</v>
      </c>
      <c r="AZ108" t="s">
        <v>6059</v>
      </c>
    </row>
    <row r="109" spans="1:52">
      <c r="A109" t="s">
        <v>1640</v>
      </c>
      <c r="B109" t="s">
        <v>116</v>
      </c>
      <c r="C109" t="s">
        <v>1608</v>
      </c>
      <c r="D109" t="s">
        <v>41</v>
      </c>
      <c r="E109" t="s">
        <v>1641</v>
      </c>
      <c r="F109" t="s">
        <v>1643</v>
      </c>
      <c r="P109" t="s">
        <v>3373</v>
      </c>
      <c r="Q109" t="s">
        <v>3472</v>
      </c>
      <c r="R109" t="s">
        <v>3473</v>
      </c>
      <c r="T109" t="s">
        <v>76</v>
      </c>
      <c r="U109">
        <v>2</v>
      </c>
      <c r="X109">
        <v>99.99</v>
      </c>
      <c r="Y109">
        <v>99.99</v>
      </c>
      <c r="Z109">
        <v>99.99</v>
      </c>
      <c r="AA109">
        <v>99.99</v>
      </c>
      <c r="AB109">
        <v>99.99</v>
      </c>
      <c r="AE109">
        <v>99.98</v>
      </c>
      <c r="AF109">
        <v>99.98</v>
      </c>
      <c r="AG109">
        <v>99.98</v>
      </c>
      <c r="AH109">
        <v>99.98</v>
      </c>
      <c r="AI109">
        <v>99.98</v>
      </c>
      <c r="AJ109" t="s">
        <v>497</v>
      </c>
      <c r="AK109" t="s">
        <v>497</v>
      </c>
      <c r="AL109" t="s">
        <v>497</v>
      </c>
      <c r="AM109" t="s">
        <v>497</v>
      </c>
      <c r="AN109" t="s">
        <v>497</v>
      </c>
      <c r="AO109" t="s">
        <v>497</v>
      </c>
      <c r="AP109" t="s">
        <v>497</v>
      </c>
      <c r="AQ109">
        <v>99.97</v>
      </c>
      <c r="AR109">
        <v>99.986199999999997</v>
      </c>
      <c r="AS109">
        <v>99.995699999999999</v>
      </c>
      <c r="AT109" t="s">
        <v>50</v>
      </c>
      <c r="AU109">
        <v>100</v>
      </c>
      <c r="AV109" t="s">
        <v>50</v>
      </c>
      <c r="AW109" s="2146">
        <v>100</v>
      </c>
      <c r="AX109" s="2146" t="s">
        <v>50</v>
      </c>
      <c r="AZ109" t="s">
        <v>6060</v>
      </c>
    </row>
    <row r="110" spans="1:52">
      <c r="A110" t="s">
        <v>1640</v>
      </c>
      <c r="B110" t="s">
        <v>116</v>
      </c>
      <c r="C110" t="s">
        <v>1608</v>
      </c>
      <c r="D110" t="s">
        <v>41</v>
      </c>
      <c r="E110" t="s">
        <v>1641</v>
      </c>
      <c r="F110" t="s">
        <v>1643</v>
      </c>
      <c r="P110" t="s">
        <v>3402</v>
      </c>
      <c r="Q110" t="s">
        <v>3474</v>
      </c>
      <c r="R110" t="s">
        <v>3412</v>
      </c>
      <c r="T110" t="s">
        <v>48</v>
      </c>
      <c r="U110" s="534" t="s">
        <v>4940</v>
      </c>
      <c r="W110">
        <v>0</v>
      </c>
      <c r="X110">
        <v>0</v>
      </c>
      <c r="Y110">
        <v>0</v>
      </c>
      <c r="Z110">
        <v>0</v>
      </c>
      <c r="AA110">
        <v>0</v>
      </c>
      <c r="AB110">
        <v>0</v>
      </c>
      <c r="AE110">
        <v>1</v>
      </c>
      <c r="AF110">
        <v>1</v>
      </c>
      <c r="AG110">
        <v>1</v>
      </c>
      <c r="AH110">
        <v>1</v>
      </c>
      <c r="AI110">
        <v>1</v>
      </c>
      <c r="AJ110" t="s">
        <v>497</v>
      </c>
      <c r="AK110" t="s">
        <v>497</v>
      </c>
      <c r="AL110" t="s">
        <v>497</v>
      </c>
      <c r="AM110" t="s">
        <v>497</v>
      </c>
      <c r="AN110" t="s">
        <v>497</v>
      </c>
      <c r="AO110" t="s">
        <v>497</v>
      </c>
      <c r="AP110" t="s">
        <v>497</v>
      </c>
      <c r="AQ110">
        <v>2</v>
      </c>
      <c r="AR110">
        <v>0</v>
      </c>
      <c r="AS110">
        <v>0</v>
      </c>
      <c r="AT110" t="s">
        <v>50</v>
      </c>
      <c r="AU110">
        <v>0</v>
      </c>
      <c r="AV110" t="s">
        <v>50</v>
      </c>
      <c r="AW110" s="2146">
        <v>0</v>
      </c>
      <c r="AX110" s="2146" t="s">
        <v>50</v>
      </c>
      <c r="AZ110" t="s">
        <v>6061</v>
      </c>
    </row>
    <row r="111" spans="1:52">
      <c r="A111" t="s">
        <v>1640</v>
      </c>
      <c r="B111" t="s">
        <v>116</v>
      </c>
      <c r="C111" t="s">
        <v>1608</v>
      </c>
      <c r="D111" t="s">
        <v>41</v>
      </c>
      <c r="E111" t="s">
        <v>1641</v>
      </c>
      <c r="F111" t="s">
        <v>1643</v>
      </c>
      <c r="P111" t="s">
        <v>3404</v>
      </c>
      <c r="Q111" t="s">
        <v>3475</v>
      </c>
      <c r="R111" t="s">
        <v>3476</v>
      </c>
      <c r="T111" t="s">
        <v>48</v>
      </c>
      <c r="U111">
        <v>2</v>
      </c>
      <c r="X111">
        <v>7.0000000000000007E-2</v>
      </c>
      <c r="Y111">
        <v>7.0000000000000007E-2</v>
      </c>
      <c r="Z111">
        <v>7.0000000000000007E-2</v>
      </c>
      <c r="AA111">
        <v>7.0000000000000007E-2</v>
      </c>
      <c r="AB111">
        <v>7.0000000000000007E-2</v>
      </c>
      <c r="AE111">
        <v>0.124</v>
      </c>
      <c r="AF111">
        <v>0.124</v>
      </c>
      <c r="AG111">
        <v>0.124</v>
      </c>
      <c r="AH111">
        <v>0.124</v>
      </c>
      <c r="AI111">
        <v>0.124</v>
      </c>
      <c r="AJ111" t="s">
        <v>497</v>
      </c>
      <c r="AK111" t="s">
        <v>497</v>
      </c>
      <c r="AL111" t="s">
        <v>497</v>
      </c>
      <c r="AM111" t="s">
        <v>497</v>
      </c>
      <c r="AN111" t="s">
        <v>497</v>
      </c>
      <c r="AO111" t="s">
        <v>497</v>
      </c>
      <c r="AP111" t="s">
        <v>497</v>
      </c>
      <c r="AQ111">
        <v>0.151</v>
      </c>
      <c r="AR111">
        <v>9.7000000000000003E-2</v>
      </c>
      <c r="AS111">
        <v>8.2000000000000003E-2</v>
      </c>
      <c r="AT111" t="s">
        <v>46</v>
      </c>
      <c r="AU111">
        <v>0.06</v>
      </c>
      <c r="AV111" t="s">
        <v>50</v>
      </c>
      <c r="AW111" s="2146">
        <v>0.05</v>
      </c>
      <c r="AX111" s="2146" t="s">
        <v>50</v>
      </c>
      <c r="AZ111" t="s">
        <v>6062</v>
      </c>
    </row>
    <row r="112" spans="1:52">
      <c r="A112" t="s">
        <v>1640</v>
      </c>
      <c r="B112" t="s">
        <v>116</v>
      </c>
      <c r="C112" t="s">
        <v>1608</v>
      </c>
      <c r="D112" t="s">
        <v>41</v>
      </c>
      <c r="E112" t="s">
        <v>1641</v>
      </c>
      <c r="F112" t="s">
        <v>1643</v>
      </c>
      <c r="P112" t="s">
        <v>3406</v>
      </c>
      <c r="Q112" t="s">
        <v>3477</v>
      </c>
      <c r="R112" t="s">
        <v>3476</v>
      </c>
      <c r="T112" t="s">
        <v>48</v>
      </c>
      <c r="U112">
        <v>3</v>
      </c>
      <c r="X112" t="s">
        <v>3478</v>
      </c>
      <c r="Y112" t="s">
        <v>3478</v>
      </c>
      <c r="Z112" t="s">
        <v>3478</v>
      </c>
      <c r="AA112" t="s">
        <v>3478</v>
      </c>
      <c r="AB112" t="s">
        <v>3478</v>
      </c>
      <c r="AJ112" t="s">
        <v>497</v>
      </c>
      <c r="AK112" t="s">
        <v>497</v>
      </c>
      <c r="AL112" t="s">
        <v>497</v>
      </c>
      <c r="AM112" t="s">
        <v>497</v>
      </c>
      <c r="AN112" t="s">
        <v>497</v>
      </c>
      <c r="AO112" t="s">
        <v>497</v>
      </c>
      <c r="AP112" t="s">
        <v>497</v>
      </c>
      <c r="AR112">
        <v>6.0000000000000001E-3</v>
      </c>
      <c r="AS112">
        <v>4.0000000000000001E-3</v>
      </c>
      <c r="AU112">
        <v>0.01</v>
      </c>
      <c r="AV112" t="s">
        <v>2148</v>
      </c>
      <c r="AW112" s="2146">
        <v>0.01</v>
      </c>
      <c r="AX112" s="2146" t="s">
        <v>50</v>
      </c>
      <c r="AZ112" t="s">
        <v>6063</v>
      </c>
    </row>
    <row r="113" spans="1:52">
      <c r="A113" t="s">
        <v>1711</v>
      </c>
      <c r="B113" t="s">
        <v>116</v>
      </c>
      <c r="C113" t="s">
        <v>1608</v>
      </c>
      <c r="D113" t="s">
        <v>215</v>
      </c>
      <c r="E113" t="s">
        <v>1713</v>
      </c>
      <c r="F113" t="s">
        <v>1715</v>
      </c>
      <c r="G113" t="s">
        <v>5408</v>
      </c>
      <c r="H113" t="s">
        <v>273</v>
      </c>
      <c r="I113" t="s">
        <v>323</v>
      </c>
      <c r="J113" t="s">
        <v>202</v>
      </c>
      <c r="K113" t="s">
        <v>202</v>
      </c>
      <c r="L113" t="s">
        <v>202</v>
      </c>
      <c r="M113" t="s">
        <v>202</v>
      </c>
      <c r="N113" t="s">
        <v>202</v>
      </c>
      <c r="O113" t="s">
        <v>202</v>
      </c>
      <c r="P113" t="s">
        <v>3361</v>
      </c>
      <c r="Q113" t="s">
        <v>1715</v>
      </c>
      <c r="T113" t="s">
        <v>200</v>
      </c>
      <c r="U113" t="s">
        <v>51</v>
      </c>
      <c r="AR113" t="s">
        <v>202</v>
      </c>
      <c r="AS113" t="s">
        <v>202</v>
      </c>
      <c r="AT113" t="s">
        <v>50</v>
      </c>
      <c r="AU113" t="s">
        <v>202</v>
      </c>
      <c r="AV113" t="s">
        <v>50</v>
      </c>
      <c r="AW113" s="2146" t="s">
        <v>202</v>
      </c>
      <c r="AX113" s="2146" t="s">
        <v>50</v>
      </c>
      <c r="AZ113" t="s">
        <v>3305</v>
      </c>
    </row>
    <row r="114" spans="1:52">
      <c r="A114" t="s">
        <v>1711</v>
      </c>
      <c r="B114" t="s">
        <v>116</v>
      </c>
      <c r="C114" t="s">
        <v>1608</v>
      </c>
      <c r="D114" t="s">
        <v>215</v>
      </c>
      <c r="E114" t="s">
        <v>1713</v>
      </c>
      <c r="F114" t="s">
        <v>1715</v>
      </c>
      <c r="P114" t="s">
        <v>3362</v>
      </c>
      <c r="Q114" t="s">
        <v>3479</v>
      </c>
      <c r="R114" t="s">
        <v>3480</v>
      </c>
      <c r="T114" t="s">
        <v>48</v>
      </c>
      <c r="U114" s="534" t="s">
        <v>4940</v>
      </c>
      <c r="X114">
        <v>27</v>
      </c>
      <c r="Y114">
        <v>27</v>
      </c>
      <c r="Z114">
        <v>27</v>
      </c>
      <c r="AA114">
        <v>27</v>
      </c>
      <c r="AB114">
        <v>27</v>
      </c>
      <c r="AE114">
        <v>69</v>
      </c>
      <c r="AF114">
        <v>69</v>
      </c>
      <c r="AG114">
        <v>69</v>
      </c>
      <c r="AH114">
        <v>69</v>
      </c>
      <c r="AI114">
        <v>69</v>
      </c>
      <c r="AJ114" t="s">
        <v>497</v>
      </c>
      <c r="AK114" t="s">
        <v>497</v>
      </c>
      <c r="AL114" t="s">
        <v>497</v>
      </c>
      <c r="AM114" t="s">
        <v>497</v>
      </c>
      <c r="AN114" t="s">
        <v>497</v>
      </c>
      <c r="AO114" t="s">
        <v>497</v>
      </c>
      <c r="AP114" t="s">
        <v>497</v>
      </c>
      <c r="AQ114">
        <v>90</v>
      </c>
      <c r="AR114" t="s">
        <v>497</v>
      </c>
      <c r="AS114">
        <v>25</v>
      </c>
      <c r="AT114" t="s">
        <v>50</v>
      </c>
      <c r="AU114">
        <v>34</v>
      </c>
      <c r="AV114" t="s">
        <v>50</v>
      </c>
      <c r="AW114" s="2146">
        <v>22</v>
      </c>
      <c r="AX114" s="2146" t="s">
        <v>50</v>
      </c>
      <c r="AZ114" t="s">
        <v>6064</v>
      </c>
    </row>
    <row r="115" spans="1:52">
      <c r="A115" t="s">
        <v>1711</v>
      </c>
      <c r="B115" t="s">
        <v>116</v>
      </c>
      <c r="C115" t="s">
        <v>1608</v>
      </c>
      <c r="D115" t="s">
        <v>215</v>
      </c>
      <c r="E115" t="s">
        <v>1713</v>
      </c>
      <c r="F115" t="s">
        <v>1715</v>
      </c>
      <c r="P115" t="s">
        <v>3365</v>
      </c>
      <c r="Q115" t="s">
        <v>3481</v>
      </c>
      <c r="R115" t="s">
        <v>3390</v>
      </c>
      <c r="T115" t="s">
        <v>76</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497</v>
      </c>
      <c r="AK115" t="s">
        <v>497</v>
      </c>
      <c r="AL115" t="s">
        <v>497</v>
      </c>
      <c r="AM115" t="s">
        <v>497</v>
      </c>
      <c r="AN115" t="s">
        <v>497</v>
      </c>
      <c r="AO115" t="s">
        <v>497</v>
      </c>
      <c r="AP115" t="s">
        <v>497</v>
      </c>
      <c r="AQ115">
        <v>2.61</v>
      </c>
      <c r="AR115">
        <v>1.1494252873563227</v>
      </c>
      <c r="AS115">
        <v>0.86699999999999999</v>
      </c>
      <c r="AT115" t="s">
        <v>46</v>
      </c>
      <c r="AU115">
        <v>1.72</v>
      </c>
      <c r="AV115" t="s">
        <v>46</v>
      </c>
      <c r="AW115" s="2146">
        <v>0.56999999999999995</v>
      </c>
      <c r="AX115" s="2146" t="s">
        <v>46</v>
      </c>
      <c r="AZ115" t="s">
        <v>6065</v>
      </c>
    </row>
    <row r="116" spans="1:52">
      <c r="A116" t="s">
        <v>1711</v>
      </c>
      <c r="B116" t="s">
        <v>116</v>
      </c>
      <c r="C116" t="s">
        <v>1608</v>
      </c>
      <c r="D116" t="s">
        <v>215</v>
      </c>
      <c r="E116" t="s">
        <v>1713</v>
      </c>
      <c r="F116" t="s">
        <v>1715</v>
      </c>
      <c r="P116" t="s">
        <v>3370</v>
      </c>
      <c r="Q116" t="s">
        <v>3482</v>
      </c>
      <c r="R116" t="s">
        <v>3388</v>
      </c>
      <c r="T116" t="s">
        <v>76</v>
      </c>
      <c r="U116">
        <v>2</v>
      </c>
      <c r="W116">
        <v>0.17</v>
      </c>
      <c r="X116">
        <v>0</v>
      </c>
      <c r="Y116">
        <v>0</v>
      </c>
      <c r="Z116">
        <v>0</v>
      </c>
      <c r="AA116">
        <v>0</v>
      </c>
      <c r="AB116">
        <v>0</v>
      </c>
      <c r="AE116">
        <v>0.68</v>
      </c>
      <c r="AF116">
        <v>0.68</v>
      </c>
      <c r="AG116">
        <v>0.68</v>
      </c>
      <c r="AH116">
        <v>0.68</v>
      </c>
      <c r="AI116">
        <v>0.68</v>
      </c>
      <c r="AJ116" t="s">
        <v>497</v>
      </c>
      <c r="AK116" t="s">
        <v>497</v>
      </c>
      <c r="AL116" t="s">
        <v>497</v>
      </c>
      <c r="AM116" t="s">
        <v>497</v>
      </c>
      <c r="AN116" t="s">
        <v>497</v>
      </c>
      <c r="AO116" t="s">
        <v>497</v>
      </c>
      <c r="AP116" t="s">
        <v>497</v>
      </c>
      <c r="AQ116">
        <v>0.94</v>
      </c>
      <c r="AR116">
        <v>0</v>
      </c>
      <c r="AS116">
        <v>0</v>
      </c>
      <c r="AT116" t="s">
        <v>50</v>
      </c>
      <c r="AU116">
        <v>0</v>
      </c>
      <c r="AV116" t="s">
        <v>50</v>
      </c>
      <c r="AW116" s="2146">
        <v>0</v>
      </c>
      <c r="AX116" s="2146" t="s">
        <v>50</v>
      </c>
      <c r="AZ116" t="s">
        <v>6066</v>
      </c>
    </row>
    <row r="117" spans="1:52">
      <c r="A117" t="s">
        <v>1716</v>
      </c>
      <c r="B117" t="s">
        <v>116</v>
      </c>
      <c r="C117" t="s">
        <v>1608</v>
      </c>
      <c r="D117" t="s">
        <v>215</v>
      </c>
      <c r="E117" t="s">
        <v>1717</v>
      </c>
      <c r="F117" t="s">
        <v>1719</v>
      </c>
      <c r="G117" t="s">
        <v>5408</v>
      </c>
      <c r="H117" t="s">
        <v>273</v>
      </c>
      <c r="I117" t="s">
        <v>323</v>
      </c>
      <c r="J117" t="s">
        <v>202</v>
      </c>
      <c r="K117" t="s">
        <v>202</v>
      </c>
      <c r="L117" t="s">
        <v>202</v>
      </c>
      <c r="M117" t="s">
        <v>202</v>
      </c>
      <c r="N117" t="s">
        <v>202</v>
      </c>
      <c r="O117" t="s">
        <v>202</v>
      </c>
      <c r="P117" t="s">
        <v>3361</v>
      </c>
      <c r="Q117" t="s">
        <v>1719</v>
      </c>
      <c r="T117" t="s">
        <v>200</v>
      </c>
      <c r="U117" t="s">
        <v>51</v>
      </c>
      <c r="AR117" t="s">
        <v>324</v>
      </c>
      <c r="AS117" t="s">
        <v>202</v>
      </c>
      <c r="AT117" t="s">
        <v>50</v>
      </c>
      <c r="AU117" t="s">
        <v>202</v>
      </c>
      <c r="AV117" t="s">
        <v>50</v>
      </c>
      <c r="AW117" s="2146" t="s">
        <v>202</v>
      </c>
      <c r="AX117" s="2146" t="s">
        <v>50</v>
      </c>
      <c r="AZ117" t="s">
        <v>3306</v>
      </c>
    </row>
    <row r="118" spans="1:52">
      <c r="A118" t="s">
        <v>1716</v>
      </c>
      <c r="B118" t="s">
        <v>116</v>
      </c>
      <c r="C118" t="s">
        <v>1608</v>
      </c>
      <c r="D118" t="s">
        <v>215</v>
      </c>
      <c r="E118" t="s">
        <v>1717</v>
      </c>
      <c r="F118" t="s">
        <v>1719</v>
      </c>
      <c r="P118" t="s">
        <v>3362</v>
      </c>
      <c r="Q118" t="s">
        <v>3483</v>
      </c>
      <c r="R118" t="s">
        <v>3383</v>
      </c>
      <c r="T118" t="s">
        <v>48</v>
      </c>
      <c r="U118" s="534" t="s">
        <v>4940</v>
      </c>
      <c r="W118" t="s">
        <v>3484</v>
      </c>
      <c r="X118">
        <v>736</v>
      </c>
      <c r="Y118">
        <v>736</v>
      </c>
      <c r="Z118">
        <v>736</v>
      </c>
      <c r="AA118">
        <v>736</v>
      </c>
      <c r="AB118">
        <v>736</v>
      </c>
      <c r="AE118">
        <v>881</v>
      </c>
      <c r="AF118">
        <v>881</v>
      </c>
      <c r="AG118">
        <v>881</v>
      </c>
      <c r="AH118">
        <v>881</v>
      </c>
      <c r="AI118">
        <v>881</v>
      </c>
      <c r="AJ118" t="s">
        <v>497</v>
      </c>
      <c r="AK118" t="s">
        <v>497</v>
      </c>
      <c r="AL118" t="s">
        <v>497</v>
      </c>
      <c r="AM118" t="s">
        <v>497</v>
      </c>
      <c r="AN118" t="s">
        <v>497</v>
      </c>
      <c r="AO118" t="s">
        <v>497</v>
      </c>
      <c r="AP118" t="s">
        <v>497</v>
      </c>
      <c r="AQ118">
        <v>1004</v>
      </c>
      <c r="AR118">
        <v>530</v>
      </c>
      <c r="AS118">
        <v>471</v>
      </c>
      <c r="AT118" t="s">
        <v>50</v>
      </c>
      <c r="AU118">
        <v>632</v>
      </c>
      <c r="AV118" t="s">
        <v>50</v>
      </c>
      <c r="AW118" s="2146">
        <v>321</v>
      </c>
      <c r="AX118" s="2146" t="s">
        <v>50</v>
      </c>
      <c r="AZ118" t="s">
        <v>6067</v>
      </c>
    </row>
    <row r="119" spans="1:52">
      <c r="A119" t="s">
        <v>1716</v>
      </c>
      <c r="B119" t="s">
        <v>116</v>
      </c>
      <c r="C119" t="s">
        <v>1608</v>
      </c>
      <c r="D119" t="s">
        <v>215</v>
      </c>
      <c r="E119" t="s">
        <v>1717</v>
      </c>
      <c r="F119" t="s">
        <v>1719</v>
      </c>
      <c r="P119" t="s">
        <v>3365</v>
      </c>
      <c r="Q119" t="s">
        <v>3485</v>
      </c>
      <c r="R119" t="s">
        <v>3386</v>
      </c>
      <c r="T119" t="s">
        <v>48</v>
      </c>
      <c r="U119" s="534" t="s">
        <v>4940</v>
      </c>
      <c r="W119" t="s">
        <v>3484</v>
      </c>
      <c r="X119">
        <v>84438</v>
      </c>
      <c r="Y119">
        <v>84438</v>
      </c>
      <c r="Z119">
        <v>84438</v>
      </c>
      <c r="AA119">
        <v>84438</v>
      </c>
      <c r="AB119">
        <v>84438</v>
      </c>
      <c r="AE119">
        <v>89698</v>
      </c>
      <c r="AF119">
        <v>89698</v>
      </c>
      <c r="AG119">
        <v>89698</v>
      </c>
      <c r="AH119">
        <v>89698</v>
      </c>
      <c r="AI119">
        <v>89698</v>
      </c>
      <c r="AJ119" t="s">
        <v>497</v>
      </c>
      <c r="AK119" t="s">
        <v>497</v>
      </c>
      <c r="AL119" t="s">
        <v>497</v>
      </c>
      <c r="AM119" t="s">
        <v>497</v>
      </c>
      <c r="AN119" t="s">
        <v>497</v>
      </c>
      <c r="AO119" t="s">
        <v>497</v>
      </c>
      <c r="AP119" t="s">
        <v>497</v>
      </c>
      <c r="AQ119">
        <v>93251</v>
      </c>
      <c r="AR119">
        <v>86582</v>
      </c>
      <c r="AS119">
        <v>84677</v>
      </c>
      <c r="AT119" t="s">
        <v>46</v>
      </c>
      <c r="AU119">
        <v>80747</v>
      </c>
      <c r="AV119" t="s">
        <v>50</v>
      </c>
      <c r="AW119" s="2146">
        <v>77402</v>
      </c>
      <c r="AX119" s="2146" t="s">
        <v>50</v>
      </c>
      <c r="AZ119" t="s">
        <v>6068</v>
      </c>
    </row>
    <row r="120" spans="1:52">
      <c r="A120" t="s">
        <v>1716</v>
      </c>
      <c r="B120" t="s">
        <v>116</v>
      </c>
      <c r="C120" t="s">
        <v>1608</v>
      </c>
      <c r="D120" t="s">
        <v>215</v>
      </c>
      <c r="E120" t="s">
        <v>1717</v>
      </c>
      <c r="F120" t="s">
        <v>1719</v>
      </c>
      <c r="P120" t="s">
        <v>3370</v>
      </c>
      <c r="Q120" t="s">
        <v>3486</v>
      </c>
      <c r="R120" t="s">
        <v>3381</v>
      </c>
      <c r="T120" t="s">
        <v>48</v>
      </c>
      <c r="U120" s="534" t="s">
        <v>4940</v>
      </c>
      <c r="W120" t="s">
        <v>3484</v>
      </c>
      <c r="X120">
        <v>206</v>
      </c>
      <c r="Y120">
        <v>206</v>
      </c>
      <c r="Z120">
        <v>206</v>
      </c>
      <c r="AA120">
        <v>206</v>
      </c>
      <c r="AB120">
        <v>206</v>
      </c>
      <c r="AE120">
        <v>332</v>
      </c>
      <c r="AF120">
        <v>332</v>
      </c>
      <c r="AG120">
        <v>332</v>
      </c>
      <c r="AH120">
        <v>332</v>
      </c>
      <c r="AI120">
        <v>332</v>
      </c>
      <c r="AJ120" t="s">
        <v>497</v>
      </c>
      <c r="AK120" t="s">
        <v>497</v>
      </c>
      <c r="AL120" t="s">
        <v>497</v>
      </c>
      <c r="AM120" t="s">
        <v>497</v>
      </c>
      <c r="AN120" t="s">
        <v>497</v>
      </c>
      <c r="AO120" t="s">
        <v>497</v>
      </c>
      <c r="AP120" t="s">
        <v>497</v>
      </c>
      <c r="AQ120">
        <v>393</v>
      </c>
      <c r="AS120">
        <v>178</v>
      </c>
      <c r="AT120" t="s">
        <v>50</v>
      </c>
      <c r="AU120">
        <v>243</v>
      </c>
      <c r="AV120" t="s">
        <v>46</v>
      </c>
      <c r="AW120" s="2146">
        <v>241</v>
      </c>
      <c r="AX120" s="2146" t="s">
        <v>46</v>
      </c>
      <c r="AZ120" t="s">
        <v>6069</v>
      </c>
    </row>
    <row r="121" spans="1:52">
      <c r="A121" t="s">
        <v>1716</v>
      </c>
      <c r="B121" t="s">
        <v>116</v>
      </c>
      <c r="C121" t="s">
        <v>1608</v>
      </c>
      <c r="D121" t="s">
        <v>215</v>
      </c>
      <c r="E121" t="s">
        <v>1717</v>
      </c>
      <c r="F121" t="s">
        <v>1719</v>
      </c>
      <c r="P121" t="s">
        <v>3373</v>
      </c>
      <c r="Q121" t="s">
        <v>3487</v>
      </c>
      <c r="R121" t="s">
        <v>3385</v>
      </c>
      <c r="T121" t="s">
        <v>48</v>
      </c>
      <c r="U121" s="534" t="s">
        <v>4940</v>
      </c>
      <c r="W121" t="s">
        <v>3484</v>
      </c>
      <c r="X121">
        <v>1077</v>
      </c>
      <c r="Y121">
        <v>1077</v>
      </c>
      <c r="Z121">
        <v>1077</v>
      </c>
      <c r="AA121">
        <v>1077</v>
      </c>
      <c r="AB121">
        <v>1077</v>
      </c>
      <c r="AE121">
        <v>1274</v>
      </c>
      <c r="AF121">
        <v>1274</v>
      </c>
      <c r="AG121">
        <v>1274</v>
      </c>
      <c r="AH121">
        <v>1274</v>
      </c>
      <c r="AI121">
        <v>1274</v>
      </c>
      <c r="AJ121" t="s">
        <v>497</v>
      </c>
      <c r="AK121" t="s">
        <v>497</v>
      </c>
      <c r="AL121" t="s">
        <v>497</v>
      </c>
      <c r="AM121" t="s">
        <v>497</v>
      </c>
      <c r="AN121" t="s">
        <v>497</v>
      </c>
      <c r="AO121" t="s">
        <v>497</v>
      </c>
      <c r="AP121" t="s">
        <v>497</v>
      </c>
      <c r="AQ121">
        <v>1358</v>
      </c>
      <c r="AR121">
        <v>1017</v>
      </c>
      <c r="AS121">
        <v>1227</v>
      </c>
      <c r="AT121" t="s">
        <v>46</v>
      </c>
      <c r="AU121">
        <v>1106</v>
      </c>
      <c r="AV121" t="s">
        <v>46</v>
      </c>
      <c r="AW121" s="2146">
        <v>969</v>
      </c>
      <c r="AX121" s="2146" t="s">
        <v>50</v>
      </c>
      <c r="AZ121" t="s">
        <v>6070</v>
      </c>
    </row>
    <row r="122" spans="1:52">
      <c r="A122" t="s">
        <v>1885</v>
      </c>
      <c r="B122" t="s">
        <v>116</v>
      </c>
      <c r="C122" t="s">
        <v>1874</v>
      </c>
      <c r="D122" t="s">
        <v>41</v>
      </c>
      <c r="E122" t="s">
        <v>327</v>
      </c>
      <c r="F122" t="s">
        <v>1887</v>
      </c>
      <c r="G122" t="s">
        <v>5406</v>
      </c>
      <c r="H122" t="s">
        <v>75</v>
      </c>
      <c r="I122" t="s">
        <v>1888</v>
      </c>
      <c r="J122">
        <v>107.2</v>
      </c>
      <c r="K122">
        <v>119.3</v>
      </c>
      <c r="L122">
        <v>130.30000000000001</v>
      </c>
      <c r="M122">
        <v>145.9</v>
      </c>
      <c r="N122">
        <v>145.9</v>
      </c>
      <c r="O122">
        <v>145.9</v>
      </c>
      <c r="P122" t="s">
        <v>3361</v>
      </c>
      <c r="Q122" t="s">
        <v>1887</v>
      </c>
      <c r="S122">
        <v>-15628.223599999999</v>
      </c>
      <c r="T122" t="s">
        <v>107</v>
      </c>
      <c r="U122">
        <v>3</v>
      </c>
      <c r="AR122">
        <v>108.364</v>
      </c>
      <c r="AS122">
        <v>120.465</v>
      </c>
      <c r="AT122" t="s">
        <v>50</v>
      </c>
      <c r="AU122">
        <v>116.923</v>
      </c>
      <c r="AV122" t="s">
        <v>46</v>
      </c>
      <c r="AW122" s="2146">
        <v>98.645494378014845</v>
      </c>
      <c r="AX122" s="2146" t="s">
        <v>46</v>
      </c>
      <c r="AZ122" t="s">
        <v>3310</v>
      </c>
    </row>
    <row r="123" spans="1:52">
      <c r="A123" t="s">
        <v>1885</v>
      </c>
      <c r="B123" t="s">
        <v>116</v>
      </c>
      <c r="C123" t="s">
        <v>1874</v>
      </c>
      <c r="D123" t="s">
        <v>41</v>
      </c>
      <c r="E123" t="s">
        <v>327</v>
      </c>
      <c r="F123" t="s">
        <v>1887</v>
      </c>
      <c r="P123" t="s">
        <v>3362</v>
      </c>
      <c r="Q123" t="s">
        <v>3488</v>
      </c>
      <c r="R123" t="s">
        <v>3377</v>
      </c>
      <c r="S123">
        <v>-16.217128118668306</v>
      </c>
      <c r="T123" t="s">
        <v>76</v>
      </c>
      <c r="U123">
        <v>2</v>
      </c>
      <c r="W123">
        <v>0.04</v>
      </c>
      <c r="X123">
        <v>0.04</v>
      </c>
      <c r="Y123">
        <v>0.04</v>
      </c>
      <c r="Z123">
        <v>0.04</v>
      </c>
      <c r="AA123">
        <v>0.04</v>
      </c>
      <c r="AB123">
        <v>0.04</v>
      </c>
      <c r="AR123">
        <v>0.03</v>
      </c>
      <c r="AS123">
        <v>0.06</v>
      </c>
      <c r="AT123" t="s">
        <v>46</v>
      </c>
      <c r="AU123">
        <v>0.01</v>
      </c>
      <c r="AV123" t="s">
        <v>50</v>
      </c>
      <c r="AW123" s="2146">
        <v>0.01</v>
      </c>
      <c r="AX123" s="2146" t="s">
        <v>50</v>
      </c>
      <c r="AZ123" t="s">
        <v>6071</v>
      </c>
    </row>
    <row r="124" spans="1:52">
      <c r="A124" t="s">
        <v>1885</v>
      </c>
      <c r="B124" t="s">
        <v>116</v>
      </c>
      <c r="C124" t="s">
        <v>1874</v>
      </c>
      <c r="D124" t="s">
        <v>41</v>
      </c>
      <c r="E124" t="s">
        <v>327</v>
      </c>
      <c r="F124" t="s">
        <v>1887</v>
      </c>
      <c r="P124" t="s">
        <v>3365</v>
      </c>
      <c r="Q124" t="s">
        <v>3489</v>
      </c>
      <c r="R124" t="s">
        <v>3379</v>
      </c>
      <c r="S124">
        <v>37.39055984289103</v>
      </c>
      <c r="T124" t="s">
        <v>76</v>
      </c>
      <c r="U124">
        <v>2</v>
      </c>
      <c r="W124">
        <v>99.96</v>
      </c>
      <c r="X124">
        <v>99.96</v>
      </c>
      <c r="Y124">
        <v>99.96</v>
      </c>
      <c r="Z124">
        <v>99.96</v>
      </c>
      <c r="AA124">
        <v>99.96</v>
      </c>
      <c r="AB124">
        <v>99.96</v>
      </c>
      <c r="AR124">
        <v>99.98</v>
      </c>
      <c r="AS124">
        <v>99.98</v>
      </c>
      <c r="AT124" t="s">
        <v>50</v>
      </c>
      <c r="AU124">
        <v>99.98</v>
      </c>
      <c r="AV124" t="s">
        <v>50</v>
      </c>
      <c r="AW124" s="2146">
        <v>99.97</v>
      </c>
      <c r="AX124" s="2146" t="s">
        <v>50</v>
      </c>
      <c r="AZ124" t="s">
        <v>6072</v>
      </c>
    </row>
    <row r="125" spans="1:52">
      <c r="A125" t="s">
        <v>1885</v>
      </c>
      <c r="B125" t="s">
        <v>116</v>
      </c>
      <c r="C125" t="s">
        <v>1874</v>
      </c>
      <c r="D125" t="s">
        <v>41</v>
      </c>
      <c r="E125" t="s">
        <v>327</v>
      </c>
      <c r="F125" t="s">
        <v>1887</v>
      </c>
      <c r="P125" t="s">
        <v>3370</v>
      </c>
      <c r="Q125" t="s">
        <v>3490</v>
      </c>
      <c r="R125" t="s">
        <v>3380</v>
      </c>
      <c r="S125">
        <v>-7.6539796562042461E-2</v>
      </c>
      <c r="T125" t="s">
        <v>48</v>
      </c>
      <c r="U125" s="534" t="s">
        <v>4940</v>
      </c>
      <c r="W125">
        <v>3</v>
      </c>
      <c r="X125">
        <v>3</v>
      </c>
      <c r="Y125">
        <v>3</v>
      </c>
      <c r="Z125">
        <v>3</v>
      </c>
      <c r="AA125">
        <v>3</v>
      </c>
      <c r="AB125">
        <v>3</v>
      </c>
      <c r="AR125">
        <v>2</v>
      </c>
      <c r="AS125">
        <v>1</v>
      </c>
      <c r="AT125" t="s">
        <v>50</v>
      </c>
      <c r="AU125">
        <v>2</v>
      </c>
      <c r="AV125" t="s">
        <v>50</v>
      </c>
      <c r="AW125" s="2146">
        <v>1</v>
      </c>
      <c r="AX125" s="2146" t="s">
        <v>50</v>
      </c>
      <c r="AZ125" t="s">
        <v>6073</v>
      </c>
    </row>
    <row r="126" spans="1:52">
      <c r="A126" t="s">
        <v>1885</v>
      </c>
      <c r="B126" t="s">
        <v>116</v>
      </c>
      <c r="C126" t="s">
        <v>1874</v>
      </c>
      <c r="D126" t="s">
        <v>41</v>
      </c>
      <c r="E126" t="s">
        <v>327</v>
      </c>
      <c r="F126" t="s">
        <v>1887</v>
      </c>
      <c r="P126" t="s">
        <v>3373</v>
      </c>
      <c r="Q126" t="s">
        <v>3491</v>
      </c>
      <c r="R126" t="s">
        <v>3491</v>
      </c>
      <c r="S126">
        <v>116.54918801406053</v>
      </c>
      <c r="T126" t="s">
        <v>76</v>
      </c>
      <c r="U126">
        <v>2</v>
      </c>
      <c r="W126">
        <v>99.95</v>
      </c>
      <c r="X126">
        <v>99.96</v>
      </c>
      <c r="Y126">
        <v>99.96</v>
      </c>
      <c r="Z126">
        <v>100</v>
      </c>
      <c r="AA126">
        <v>100</v>
      </c>
      <c r="AB126">
        <v>100</v>
      </c>
      <c r="AR126">
        <v>99.96</v>
      </c>
      <c r="AS126">
        <v>99.96</v>
      </c>
      <c r="AT126" t="s">
        <v>50</v>
      </c>
      <c r="AU126">
        <v>99.96</v>
      </c>
      <c r="AV126" t="s">
        <v>50</v>
      </c>
      <c r="AW126" s="2146">
        <v>99.97</v>
      </c>
      <c r="AX126" s="2146" t="s">
        <v>46</v>
      </c>
      <c r="AZ126" t="s">
        <v>6074</v>
      </c>
    </row>
    <row r="127" spans="1:52">
      <c r="A127" t="s">
        <v>1885</v>
      </c>
      <c r="B127" t="s">
        <v>116</v>
      </c>
      <c r="C127" t="s">
        <v>1874</v>
      </c>
      <c r="D127" t="s">
        <v>41</v>
      </c>
      <c r="E127" t="s">
        <v>327</v>
      </c>
      <c r="F127" t="s">
        <v>1887</v>
      </c>
      <c r="P127" t="s">
        <v>3402</v>
      </c>
      <c r="Q127" t="s">
        <v>3492</v>
      </c>
      <c r="R127" t="s">
        <v>3375</v>
      </c>
      <c r="S127">
        <v>4.482469859843901</v>
      </c>
      <c r="T127" t="s">
        <v>76</v>
      </c>
      <c r="U127">
        <v>2</v>
      </c>
      <c r="W127">
        <v>99.88</v>
      </c>
      <c r="X127">
        <v>99.88</v>
      </c>
      <c r="Y127">
        <v>99.88</v>
      </c>
      <c r="Z127">
        <v>99.88</v>
      </c>
      <c r="AA127">
        <v>99.88</v>
      </c>
      <c r="AB127">
        <v>99.88</v>
      </c>
      <c r="AR127">
        <v>99.93</v>
      </c>
      <c r="AS127">
        <v>99.89</v>
      </c>
      <c r="AT127" t="s">
        <v>50</v>
      </c>
      <c r="AU127">
        <v>99.85</v>
      </c>
      <c r="AV127" t="s">
        <v>46</v>
      </c>
      <c r="AW127" s="2146">
        <v>99.89</v>
      </c>
      <c r="AX127" s="2146" t="s">
        <v>50</v>
      </c>
      <c r="AZ127" t="s">
        <v>6075</v>
      </c>
    </row>
    <row r="128" spans="1:52">
      <c r="A128" t="s">
        <v>1885</v>
      </c>
      <c r="B128" t="s">
        <v>116</v>
      </c>
      <c r="C128" t="s">
        <v>1874</v>
      </c>
      <c r="D128" t="s">
        <v>41</v>
      </c>
      <c r="E128" t="s">
        <v>327</v>
      </c>
      <c r="F128" t="s">
        <v>1887</v>
      </c>
      <c r="P128" t="s">
        <v>3404</v>
      </c>
      <c r="Q128" t="s">
        <v>6076</v>
      </c>
      <c r="R128" t="s">
        <v>3493</v>
      </c>
      <c r="S128">
        <v>-9.4406713099461359E-3</v>
      </c>
      <c r="T128" t="s">
        <v>48</v>
      </c>
      <c r="U128" s="534" t="s">
        <v>4940</v>
      </c>
      <c r="W128">
        <v>10387</v>
      </c>
      <c r="X128">
        <v>9226</v>
      </c>
      <c r="Y128">
        <v>8065</v>
      </c>
      <c r="Z128">
        <v>6904</v>
      </c>
      <c r="AA128">
        <v>6904</v>
      </c>
      <c r="AB128">
        <v>6904</v>
      </c>
      <c r="AR128">
        <v>10436</v>
      </c>
      <c r="AS128">
        <v>9171</v>
      </c>
      <c r="AT128" t="s">
        <v>50</v>
      </c>
      <c r="AU128">
        <v>9605</v>
      </c>
      <c r="AV128" t="s">
        <v>46</v>
      </c>
      <c r="AW128" s="2146">
        <v>11652</v>
      </c>
      <c r="AX128" s="2146" t="s">
        <v>46</v>
      </c>
      <c r="AZ128" t="s">
        <v>6077</v>
      </c>
    </row>
    <row r="129" spans="1:52">
      <c r="A129" t="s">
        <v>1894</v>
      </c>
      <c r="B129" t="s">
        <v>116</v>
      </c>
      <c r="C129" t="s">
        <v>1874</v>
      </c>
      <c r="D129" t="s">
        <v>41</v>
      </c>
      <c r="E129" t="s">
        <v>457</v>
      </c>
      <c r="F129" t="s">
        <v>1896</v>
      </c>
      <c r="G129" t="s">
        <v>5406</v>
      </c>
      <c r="H129" t="s">
        <v>91</v>
      </c>
      <c r="I129" t="s">
        <v>1897</v>
      </c>
      <c r="J129">
        <v>100</v>
      </c>
      <c r="K129">
        <v>100</v>
      </c>
      <c r="L129">
        <v>100</v>
      </c>
      <c r="M129">
        <v>100</v>
      </c>
      <c r="N129">
        <v>100</v>
      </c>
      <c r="O129">
        <v>100</v>
      </c>
      <c r="P129" t="s">
        <v>3361</v>
      </c>
      <c r="Q129" t="s">
        <v>1896</v>
      </c>
      <c r="S129">
        <v>134.14671860385499</v>
      </c>
      <c r="T129" t="s">
        <v>107</v>
      </c>
      <c r="U129">
        <v>3</v>
      </c>
      <c r="AR129">
        <v>100.321</v>
      </c>
      <c r="AS129">
        <v>16.446999999999999</v>
      </c>
      <c r="AT129" t="s">
        <v>46</v>
      </c>
      <c r="AU129">
        <v>77.84</v>
      </c>
      <c r="AV129" t="s">
        <v>46</v>
      </c>
      <c r="AW129" s="2146">
        <v>70.826999999999998</v>
      </c>
      <c r="AX129" s="2146" t="s">
        <v>46</v>
      </c>
      <c r="AZ129" t="s">
        <v>3313</v>
      </c>
    </row>
    <row r="130" spans="1:52">
      <c r="A130" t="s">
        <v>1894</v>
      </c>
      <c r="B130" t="s">
        <v>116</v>
      </c>
      <c r="C130" t="s">
        <v>1874</v>
      </c>
      <c r="D130" t="s">
        <v>41</v>
      </c>
      <c r="E130" t="s">
        <v>457</v>
      </c>
      <c r="F130" t="s">
        <v>1896</v>
      </c>
      <c r="P130" t="s">
        <v>3362</v>
      </c>
      <c r="Q130" t="s">
        <v>3732</v>
      </c>
      <c r="R130" t="s">
        <v>3367</v>
      </c>
      <c r="S130">
        <v>-2.0218155830946799E-3</v>
      </c>
      <c r="T130" t="s">
        <v>48</v>
      </c>
      <c r="U130" s="534" t="s">
        <v>4940</v>
      </c>
      <c r="W130">
        <v>5080</v>
      </c>
      <c r="X130">
        <v>5080</v>
      </c>
      <c r="Y130">
        <v>5080</v>
      </c>
      <c r="Z130">
        <v>5080</v>
      </c>
      <c r="AA130">
        <v>5080</v>
      </c>
      <c r="AB130">
        <v>5080</v>
      </c>
      <c r="AR130">
        <v>5072</v>
      </c>
      <c r="AS130">
        <v>4785</v>
      </c>
      <c r="AT130" t="s">
        <v>50</v>
      </c>
      <c r="AU130">
        <v>4590</v>
      </c>
      <c r="AV130" t="s">
        <v>50</v>
      </c>
      <c r="AW130" s="2146">
        <v>4484</v>
      </c>
      <c r="AX130" s="2146" t="s">
        <v>50</v>
      </c>
      <c r="AZ130" t="s">
        <v>6078</v>
      </c>
    </row>
    <row r="131" spans="1:52">
      <c r="A131" t="s">
        <v>1894</v>
      </c>
      <c r="B131" t="s">
        <v>116</v>
      </c>
      <c r="C131" t="s">
        <v>1874</v>
      </c>
      <c r="D131" t="s">
        <v>41</v>
      </c>
      <c r="E131" t="s">
        <v>457</v>
      </c>
      <c r="F131" t="s">
        <v>1896</v>
      </c>
      <c r="P131" t="s">
        <v>3365</v>
      </c>
      <c r="Q131" t="s">
        <v>3494</v>
      </c>
      <c r="R131" t="s">
        <v>3364</v>
      </c>
      <c r="S131">
        <v>-7.9020174491108795E-3</v>
      </c>
      <c r="T131" t="s">
        <v>48</v>
      </c>
      <c r="U131" s="534" t="s">
        <v>4940</v>
      </c>
      <c r="W131">
        <v>730</v>
      </c>
      <c r="X131">
        <v>730</v>
      </c>
      <c r="Y131">
        <v>730</v>
      </c>
      <c r="Z131">
        <v>730</v>
      </c>
      <c r="AA131">
        <v>730</v>
      </c>
      <c r="AB131">
        <v>730</v>
      </c>
      <c r="AR131">
        <v>723</v>
      </c>
      <c r="AS131">
        <v>11431</v>
      </c>
      <c r="AT131" t="s">
        <v>46</v>
      </c>
      <c r="AU131">
        <v>3759</v>
      </c>
      <c r="AV131" t="s">
        <v>46</v>
      </c>
      <c r="AW131" s="2146">
        <v>4631</v>
      </c>
      <c r="AX131" s="2146" t="s">
        <v>46</v>
      </c>
      <c r="AZ131" t="s">
        <v>6079</v>
      </c>
    </row>
    <row r="132" spans="1:52">
      <c r="A132" t="s">
        <v>1894</v>
      </c>
      <c r="B132" t="s">
        <v>116</v>
      </c>
      <c r="C132" t="s">
        <v>1874</v>
      </c>
      <c r="D132" t="s">
        <v>41</v>
      </c>
      <c r="E132" t="s">
        <v>457</v>
      </c>
      <c r="F132" t="s">
        <v>1896</v>
      </c>
      <c r="P132" t="s">
        <v>3370</v>
      </c>
      <c r="Q132" t="s">
        <v>3495</v>
      </c>
      <c r="R132" t="s">
        <v>3393</v>
      </c>
      <c r="S132">
        <v>-8.4683375208154093E-3</v>
      </c>
      <c r="T132" t="s">
        <v>48</v>
      </c>
      <c r="U132" s="534" t="s">
        <v>4940</v>
      </c>
      <c r="W132">
        <v>272</v>
      </c>
      <c r="X132">
        <v>272</v>
      </c>
      <c r="Y132">
        <v>272</v>
      </c>
      <c r="Z132">
        <v>272</v>
      </c>
      <c r="AA132">
        <v>272</v>
      </c>
      <c r="AB132">
        <v>272</v>
      </c>
      <c r="AR132">
        <v>225</v>
      </c>
      <c r="AS132">
        <v>262</v>
      </c>
      <c r="AT132" t="s">
        <v>50</v>
      </c>
      <c r="AU132">
        <v>345</v>
      </c>
      <c r="AV132" t="s">
        <v>46</v>
      </c>
      <c r="AW132" s="2146">
        <v>278</v>
      </c>
      <c r="AX132" s="2146" t="s">
        <v>46</v>
      </c>
      <c r="AZ132" t="s">
        <v>6080</v>
      </c>
    </row>
    <row r="133" spans="1:52">
      <c r="A133" t="s">
        <v>1894</v>
      </c>
      <c r="B133" t="s">
        <v>116</v>
      </c>
      <c r="C133" t="s">
        <v>1874</v>
      </c>
      <c r="D133" t="s">
        <v>41</v>
      </c>
      <c r="E133" t="s">
        <v>457</v>
      </c>
      <c r="F133" t="s">
        <v>1896</v>
      </c>
      <c r="P133" t="s">
        <v>3373</v>
      </c>
      <c r="Q133" t="s">
        <v>3496</v>
      </c>
      <c r="R133" t="s">
        <v>3493</v>
      </c>
      <c r="S133">
        <v>-3.2925072704628701E-4</v>
      </c>
      <c r="T133" t="s">
        <v>48</v>
      </c>
      <c r="U133" s="534" t="s">
        <v>4940</v>
      </c>
      <c r="W133">
        <v>48000</v>
      </c>
      <c r="X133">
        <v>48000</v>
      </c>
      <c r="Y133">
        <v>48000</v>
      </c>
      <c r="Z133">
        <v>48000</v>
      </c>
      <c r="AA133">
        <v>48000</v>
      </c>
      <c r="AB133">
        <v>48000</v>
      </c>
      <c r="AR133">
        <v>48452</v>
      </c>
      <c r="AS133">
        <v>47011</v>
      </c>
      <c r="AT133" t="s">
        <v>50</v>
      </c>
      <c r="AU133">
        <v>43740</v>
      </c>
      <c r="AV133" t="s">
        <v>50</v>
      </c>
      <c r="AW133" s="2146">
        <v>46487</v>
      </c>
      <c r="AX133" s="2146" t="s">
        <v>50</v>
      </c>
      <c r="AZ133" t="s">
        <v>6081</v>
      </c>
    </row>
    <row r="134" spans="1:52">
      <c r="A134" t="s">
        <v>1928</v>
      </c>
      <c r="B134" t="s">
        <v>116</v>
      </c>
      <c r="C134" t="s">
        <v>1874</v>
      </c>
      <c r="D134" t="s">
        <v>215</v>
      </c>
      <c r="E134" t="s">
        <v>608</v>
      </c>
      <c r="F134" t="s">
        <v>1931</v>
      </c>
      <c r="G134" t="s">
        <v>5406</v>
      </c>
      <c r="H134" t="s">
        <v>219</v>
      </c>
      <c r="I134" t="s">
        <v>1932</v>
      </c>
      <c r="J134">
        <v>105.8</v>
      </c>
      <c r="K134">
        <v>100</v>
      </c>
      <c r="L134">
        <v>100</v>
      </c>
      <c r="M134">
        <v>100</v>
      </c>
      <c r="N134">
        <v>100</v>
      </c>
      <c r="O134">
        <v>100</v>
      </c>
      <c r="P134" t="s">
        <v>3361</v>
      </c>
      <c r="Q134" t="s">
        <v>1931</v>
      </c>
      <c r="S134" t="s">
        <v>3497</v>
      </c>
      <c r="T134" t="s">
        <v>107</v>
      </c>
      <c r="U134">
        <v>2</v>
      </c>
      <c r="AR134">
        <v>95.2</v>
      </c>
      <c r="AS134">
        <v>91.69</v>
      </c>
      <c r="AT134" t="s">
        <v>50</v>
      </c>
      <c r="AU134">
        <v>91.9</v>
      </c>
      <c r="AV134" t="s">
        <v>50</v>
      </c>
      <c r="AW134" s="2146">
        <v>85</v>
      </c>
      <c r="AX134" s="2146" t="s">
        <v>50</v>
      </c>
      <c r="AZ134" t="s">
        <v>3314</v>
      </c>
    </row>
    <row r="135" spans="1:52">
      <c r="A135" t="s">
        <v>1928</v>
      </c>
      <c r="B135" t="s">
        <v>116</v>
      </c>
      <c r="C135" t="s">
        <v>1874</v>
      </c>
      <c r="D135" t="s">
        <v>215</v>
      </c>
      <c r="E135" t="s">
        <v>608</v>
      </c>
      <c r="F135" t="s">
        <v>1931</v>
      </c>
      <c r="P135" t="s">
        <v>3362</v>
      </c>
      <c r="Q135" t="s">
        <v>3498</v>
      </c>
      <c r="R135" t="s">
        <v>3386</v>
      </c>
      <c r="S135">
        <v>59.3</v>
      </c>
      <c r="T135" t="s">
        <v>48</v>
      </c>
      <c r="U135" s="534" t="s">
        <v>4940</v>
      </c>
      <c r="W135">
        <v>15734</v>
      </c>
      <c r="X135">
        <v>15734</v>
      </c>
      <c r="Y135">
        <v>15734</v>
      </c>
      <c r="Z135">
        <v>15734</v>
      </c>
      <c r="AA135">
        <v>15734</v>
      </c>
      <c r="AB135">
        <v>15734</v>
      </c>
      <c r="AR135">
        <v>14543</v>
      </c>
      <c r="AS135">
        <v>13906</v>
      </c>
      <c r="AT135" t="s">
        <v>50</v>
      </c>
      <c r="AU135">
        <v>14031</v>
      </c>
      <c r="AV135" t="s">
        <v>50</v>
      </c>
      <c r="AW135" s="2146">
        <v>13809</v>
      </c>
      <c r="AX135" s="2146" t="s">
        <v>50</v>
      </c>
      <c r="AZ135" t="s">
        <v>6082</v>
      </c>
    </row>
    <row r="136" spans="1:52">
      <c r="A136" t="s">
        <v>1928</v>
      </c>
      <c r="B136" t="s">
        <v>116</v>
      </c>
      <c r="C136" t="s">
        <v>1874</v>
      </c>
      <c r="D136" t="s">
        <v>215</v>
      </c>
      <c r="E136" t="s">
        <v>608</v>
      </c>
      <c r="F136" t="s">
        <v>1931</v>
      </c>
      <c r="P136" t="s">
        <v>3365</v>
      </c>
      <c r="Q136" t="s">
        <v>3499</v>
      </c>
      <c r="R136" t="s">
        <v>3383</v>
      </c>
      <c r="S136">
        <v>97.1</v>
      </c>
      <c r="T136" t="s">
        <v>48</v>
      </c>
      <c r="U136" s="534" t="s">
        <v>4940</v>
      </c>
      <c r="W136">
        <v>553</v>
      </c>
      <c r="X136">
        <v>553</v>
      </c>
      <c r="Y136">
        <v>553</v>
      </c>
      <c r="Z136">
        <v>553</v>
      </c>
      <c r="AA136">
        <v>553</v>
      </c>
      <c r="AB136">
        <v>553</v>
      </c>
      <c r="AR136">
        <v>491</v>
      </c>
      <c r="AS136">
        <v>361</v>
      </c>
      <c r="AT136" t="s">
        <v>50</v>
      </c>
      <c r="AU136">
        <v>391</v>
      </c>
      <c r="AV136" t="s">
        <v>50</v>
      </c>
      <c r="AW136" s="2146">
        <v>302</v>
      </c>
      <c r="AX136" s="2146" t="s">
        <v>50</v>
      </c>
      <c r="AZ136" t="s">
        <v>6083</v>
      </c>
    </row>
    <row r="137" spans="1:52">
      <c r="A137" t="s">
        <v>1928</v>
      </c>
      <c r="B137" t="s">
        <v>116</v>
      </c>
      <c r="C137" t="s">
        <v>1874</v>
      </c>
      <c r="D137" t="s">
        <v>215</v>
      </c>
      <c r="E137" t="s">
        <v>608</v>
      </c>
      <c r="F137" t="s">
        <v>1931</v>
      </c>
      <c r="P137" t="s">
        <v>3370</v>
      </c>
      <c r="Q137" t="s">
        <v>249</v>
      </c>
      <c r="R137" t="s">
        <v>3381</v>
      </c>
      <c r="S137">
        <v>1516.3</v>
      </c>
      <c r="T137" t="s">
        <v>48</v>
      </c>
      <c r="U137" s="534" t="s">
        <v>4940</v>
      </c>
      <c r="W137">
        <v>4</v>
      </c>
      <c r="X137">
        <v>4</v>
      </c>
      <c r="Y137">
        <v>4</v>
      </c>
      <c r="Z137">
        <v>4</v>
      </c>
      <c r="AA137">
        <v>4</v>
      </c>
      <c r="AB137">
        <v>4</v>
      </c>
      <c r="AR137">
        <v>3</v>
      </c>
      <c r="AS137">
        <v>5</v>
      </c>
      <c r="AT137" t="s">
        <v>46</v>
      </c>
      <c r="AU137">
        <v>1</v>
      </c>
      <c r="AV137" t="s">
        <v>50</v>
      </c>
      <c r="AW137" s="2146">
        <v>4</v>
      </c>
      <c r="AX137" s="2146" t="s">
        <v>50</v>
      </c>
      <c r="AZ137" t="s">
        <v>6084</v>
      </c>
    </row>
    <row r="138" spans="1:52">
      <c r="A138" t="s">
        <v>1928</v>
      </c>
      <c r="B138" t="s">
        <v>116</v>
      </c>
      <c r="C138" t="s">
        <v>1874</v>
      </c>
      <c r="D138" t="s">
        <v>215</v>
      </c>
      <c r="E138" t="s">
        <v>608</v>
      </c>
      <c r="F138" t="s">
        <v>1931</v>
      </c>
      <c r="P138" t="s">
        <v>3373</v>
      </c>
      <c r="Q138" t="s">
        <v>3500</v>
      </c>
      <c r="R138" t="s">
        <v>3385</v>
      </c>
      <c r="S138">
        <v>297.5</v>
      </c>
      <c r="T138" t="s">
        <v>48</v>
      </c>
      <c r="U138" s="534" t="s">
        <v>4940</v>
      </c>
      <c r="W138">
        <v>473</v>
      </c>
      <c r="X138">
        <v>473</v>
      </c>
      <c r="Y138">
        <v>473</v>
      </c>
      <c r="Z138">
        <v>473</v>
      </c>
      <c r="AA138">
        <v>473</v>
      </c>
      <c r="AB138">
        <v>473</v>
      </c>
      <c r="AR138">
        <v>387</v>
      </c>
      <c r="AS138">
        <v>418</v>
      </c>
      <c r="AT138" t="s">
        <v>50</v>
      </c>
      <c r="AU138">
        <v>415</v>
      </c>
      <c r="AV138" t="s">
        <v>46</v>
      </c>
      <c r="AW138" s="2146">
        <v>276</v>
      </c>
      <c r="AX138" s="2146" t="s">
        <v>50</v>
      </c>
      <c r="AZ138" t="s">
        <v>6085</v>
      </c>
    </row>
    <row r="139" spans="1:52">
      <c r="A139" t="s">
        <v>1928</v>
      </c>
      <c r="B139" t="s">
        <v>116</v>
      </c>
      <c r="C139" t="s">
        <v>1874</v>
      </c>
      <c r="D139" t="s">
        <v>215</v>
      </c>
      <c r="E139" t="s">
        <v>608</v>
      </c>
      <c r="F139" t="s">
        <v>1931</v>
      </c>
      <c r="P139" t="s">
        <v>3402</v>
      </c>
      <c r="Q139" t="s">
        <v>6086</v>
      </c>
      <c r="R139" t="s">
        <v>3428</v>
      </c>
      <c r="S139">
        <v>46.6</v>
      </c>
      <c r="T139" t="s">
        <v>48</v>
      </c>
      <c r="U139" s="534" t="s">
        <v>4940</v>
      </c>
      <c r="W139">
        <v>5550</v>
      </c>
      <c r="X139">
        <v>5550</v>
      </c>
      <c r="Y139">
        <v>5550</v>
      </c>
      <c r="Z139">
        <v>5550</v>
      </c>
      <c r="AA139">
        <v>5550</v>
      </c>
      <c r="AB139">
        <v>5550</v>
      </c>
      <c r="AR139">
        <v>4777</v>
      </c>
      <c r="AS139">
        <v>4605</v>
      </c>
      <c r="AT139" t="s">
        <v>50</v>
      </c>
      <c r="AU139">
        <v>4599</v>
      </c>
      <c r="AV139" t="s">
        <v>46</v>
      </c>
      <c r="AW139" s="2146">
        <v>3901</v>
      </c>
      <c r="AX139" s="2146" t="s">
        <v>50</v>
      </c>
      <c r="AZ139" t="s">
        <v>6087</v>
      </c>
    </row>
    <row r="140" spans="1:52">
      <c r="A140" t="s">
        <v>1933</v>
      </c>
      <c r="B140" t="s">
        <v>116</v>
      </c>
      <c r="C140" t="s">
        <v>1874</v>
      </c>
      <c r="D140" t="s">
        <v>215</v>
      </c>
      <c r="E140" t="s">
        <v>216</v>
      </c>
      <c r="F140" t="s">
        <v>1935</v>
      </c>
      <c r="G140" t="s">
        <v>5408</v>
      </c>
      <c r="H140" t="s">
        <v>273</v>
      </c>
      <c r="I140" t="s">
        <v>1936</v>
      </c>
      <c r="J140">
        <v>108.4</v>
      </c>
      <c r="K140">
        <v>106.2</v>
      </c>
      <c r="L140">
        <v>103.2</v>
      </c>
      <c r="M140">
        <v>99.4</v>
      </c>
      <c r="N140">
        <v>95.6</v>
      </c>
      <c r="O140">
        <v>93.4</v>
      </c>
      <c r="P140" t="s">
        <v>3361</v>
      </c>
      <c r="Q140" t="s">
        <v>1935</v>
      </c>
      <c r="S140" t="s">
        <v>3501</v>
      </c>
      <c r="T140" t="s">
        <v>107</v>
      </c>
      <c r="U140">
        <v>2</v>
      </c>
      <c r="AR140">
        <v>94.3</v>
      </c>
      <c r="AS140">
        <v>90.95</v>
      </c>
      <c r="AT140" t="s">
        <v>50</v>
      </c>
      <c r="AU140">
        <v>89.47</v>
      </c>
      <c r="AV140" t="s">
        <v>50</v>
      </c>
      <c r="AW140" s="2146">
        <v>86.17</v>
      </c>
      <c r="AX140" s="2146" t="s">
        <v>50</v>
      </c>
      <c r="AZ140" t="s">
        <v>3315</v>
      </c>
    </row>
    <row r="141" spans="1:52">
      <c r="A141" t="s">
        <v>1933</v>
      </c>
      <c r="B141" t="s">
        <v>116</v>
      </c>
      <c r="C141" t="s">
        <v>1874</v>
      </c>
      <c r="D141" t="s">
        <v>215</v>
      </c>
      <c r="E141" t="s">
        <v>216</v>
      </c>
      <c r="F141" t="s">
        <v>1935</v>
      </c>
      <c r="P141" t="s">
        <v>3362</v>
      </c>
      <c r="Q141" t="s">
        <v>3498</v>
      </c>
      <c r="R141" t="s">
        <v>3386</v>
      </c>
      <c r="S141">
        <v>26.1</v>
      </c>
      <c r="T141" t="s">
        <v>48</v>
      </c>
      <c r="U141" s="534" t="s">
        <v>4940</v>
      </c>
      <c r="W141">
        <v>9000</v>
      </c>
      <c r="X141">
        <v>8754</v>
      </c>
      <c r="Y141">
        <v>8425</v>
      </c>
      <c r="Z141">
        <v>8015</v>
      </c>
      <c r="AA141">
        <v>7604</v>
      </c>
      <c r="AB141">
        <v>7358</v>
      </c>
      <c r="AR141">
        <v>7877</v>
      </c>
      <c r="AS141">
        <v>7473</v>
      </c>
      <c r="AT141" t="s">
        <v>50</v>
      </c>
      <c r="AU141">
        <v>7469</v>
      </c>
      <c r="AV141" t="s">
        <v>50</v>
      </c>
      <c r="AW141" s="2146">
        <v>7047</v>
      </c>
      <c r="AX141" s="2146" t="s">
        <v>50</v>
      </c>
      <c r="AZ141" t="s">
        <v>6082</v>
      </c>
    </row>
    <row r="142" spans="1:52">
      <c r="A142" t="s">
        <v>1933</v>
      </c>
      <c r="B142" t="s">
        <v>116</v>
      </c>
      <c r="C142" t="s">
        <v>1874</v>
      </c>
      <c r="D142" t="s">
        <v>215</v>
      </c>
      <c r="E142" t="s">
        <v>216</v>
      </c>
      <c r="F142" t="s">
        <v>1935</v>
      </c>
      <c r="P142" t="s">
        <v>3365</v>
      </c>
      <c r="Q142" t="s">
        <v>3499</v>
      </c>
      <c r="R142" t="s">
        <v>3383</v>
      </c>
      <c r="S142">
        <v>97.1</v>
      </c>
      <c r="T142" t="s">
        <v>48</v>
      </c>
      <c r="U142" s="534" t="s">
        <v>4940</v>
      </c>
      <c r="W142">
        <v>444</v>
      </c>
      <c r="X142">
        <v>444</v>
      </c>
      <c r="Y142">
        <v>444</v>
      </c>
      <c r="Z142">
        <v>444</v>
      </c>
      <c r="AA142">
        <v>444</v>
      </c>
      <c r="AB142">
        <v>444</v>
      </c>
      <c r="AR142">
        <v>314</v>
      </c>
      <c r="AS142">
        <v>261</v>
      </c>
      <c r="AT142" t="s">
        <v>50</v>
      </c>
      <c r="AU142">
        <v>268</v>
      </c>
      <c r="AV142" t="s">
        <v>50</v>
      </c>
      <c r="AW142" s="2146">
        <v>232</v>
      </c>
      <c r="AX142" s="2146" t="s">
        <v>50</v>
      </c>
      <c r="AZ142" t="s">
        <v>6083</v>
      </c>
    </row>
    <row r="143" spans="1:52">
      <c r="A143" t="s">
        <v>1933</v>
      </c>
      <c r="B143" t="s">
        <v>116</v>
      </c>
      <c r="C143" t="s">
        <v>1874</v>
      </c>
      <c r="D143" t="s">
        <v>215</v>
      </c>
      <c r="E143" t="s">
        <v>216</v>
      </c>
      <c r="F143" t="s">
        <v>1935</v>
      </c>
      <c r="P143" t="s">
        <v>3370</v>
      </c>
      <c r="Q143" t="s">
        <v>3502</v>
      </c>
      <c r="R143" t="s">
        <v>3383</v>
      </c>
      <c r="S143">
        <v>485.2</v>
      </c>
      <c r="T143" t="s">
        <v>48</v>
      </c>
      <c r="U143" s="534" t="s">
        <v>4940</v>
      </c>
      <c r="W143">
        <v>40</v>
      </c>
      <c r="X143">
        <v>40</v>
      </c>
      <c r="Y143">
        <v>40</v>
      </c>
      <c r="Z143">
        <v>40</v>
      </c>
      <c r="AA143">
        <v>40</v>
      </c>
      <c r="AB143">
        <v>40</v>
      </c>
      <c r="AR143">
        <v>48</v>
      </c>
      <c r="AS143">
        <v>51</v>
      </c>
      <c r="AT143" t="s">
        <v>46</v>
      </c>
      <c r="AU143">
        <v>46</v>
      </c>
      <c r="AV143" t="s">
        <v>50</v>
      </c>
      <c r="AW143" s="2146">
        <v>47</v>
      </c>
      <c r="AX143" s="2146" t="s">
        <v>46</v>
      </c>
      <c r="AZ143" t="s">
        <v>6088</v>
      </c>
    </row>
    <row r="144" spans="1:52">
      <c r="A144" t="s">
        <v>1933</v>
      </c>
      <c r="B144" t="s">
        <v>116</v>
      </c>
      <c r="C144" t="s">
        <v>1874</v>
      </c>
      <c r="D144" t="s">
        <v>215</v>
      </c>
      <c r="E144" t="s">
        <v>216</v>
      </c>
      <c r="F144" t="s">
        <v>1935</v>
      </c>
      <c r="P144" t="s">
        <v>3373</v>
      </c>
      <c r="Q144" t="s">
        <v>3458</v>
      </c>
      <c r="R144" t="s">
        <v>3459</v>
      </c>
      <c r="S144">
        <v>6.3</v>
      </c>
      <c r="T144" t="s">
        <v>48</v>
      </c>
      <c r="U144" s="534" t="s">
        <v>4940</v>
      </c>
      <c r="W144">
        <v>2418</v>
      </c>
      <c r="X144">
        <v>2403</v>
      </c>
      <c r="Y144">
        <v>2383</v>
      </c>
      <c r="Z144">
        <v>2358</v>
      </c>
      <c r="AA144">
        <v>2333</v>
      </c>
      <c r="AB144">
        <v>2318</v>
      </c>
      <c r="AR144">
        <v>2041</v>
      </c>
      <c r="AS144">
        <v>2704</v>
      </c>
      <c r="AT144" t="s">
        <v>46</v>
      </c>
      <c r="AU144">
        <v>2322</v>
      </c>
      <c r="AV144" t="s">
        <v>50</v>
      </c>
      <c r="AW144" s="2146">
        <v>3038</v>
      </c>
      <c r="AX144" s="2146" t="s">
        <v>46</v>
      </c>
      <c r="AZ144" t="s">
        <v>6089</v>
      </c>
    </row>
    <row r="145" spans="1:52">
      <c r="A145" t="s">
        <v>1942</v>
      </c>
      <c r="B145" t="s">
        <v>116</v>
      </c>
      <c r="C145" t="s">
        <v>1874</v>
      </c>
      <c r="D145" t="s">
        <v>215</v>
      </c>
      <c r="E145" t="s">
        <v>621</v>
      </c>
      <c r="F145" t="s">
        <v>1944</v>
      </c>
      <c r="G145" t="s">
        <v>5406</v>
      </c>
      <c r="H145" t="s">
        <v>219</v>
      </c>
      <c r="I145" t="s">
        <v>1945</v>
      </c>
      <c r="J145">
        <v>101.6</v>
      </c>
      <c r="K145">
        <v>93.1</v>
      </c>
      <c r="L145">
        <v>83.9</v>
      </c>
      <c r="M145">
        <v>73.900000000000006</v>
      </c>
      <c r="N145">
        <v>70.3</v>
      </c>
      <c r="O145">
        <v>68.099999999999994</v>
      </c>
      <c r="P145" t="s">
        <v>3361</v>
      </c>
      <c r="Q145" t="s">
        <v>1944</v>
      </c>
      <c r="S145" t="s">
        <v>3503</v>
      </c>
      <c r="T145" t="s">
        <v>107</v>
      </c>
      <c r="U145">
        <v>1</v>
      </c>
      <c r="AR145">
        <v>81.5</v>
      </c>
      <c r="AS145">
        <v>100.8</v>
      </c>
      <c r="AT145" t="s">
        <v>46</v>
      </c>
      <c r="AU145">
        <v>94.4</v>
      </c>
      <c r="AV145" t="s">
        <v>46</v>
      </c>
      <c r="AW145" s="2146">
        <v>70</v>
      </c>
      <c r="AX145" s="2146" t="s">
        <v>50</v>
      </c>
      <c r="AZ145" t="s">
        <v>3316</v>
      </c>
    </row>
    <row r="146" spans="1:52">
      <c r="A146" t="s">
        <v>1942</v>
      </c>
      <c r="B146" t="s">
        <v>116</v>
      </c>
      <c r="C146" t="s">
        <v>1874</v>
      </c>
      <c r="D146" t="s">
        <v>215</v>
      </c>
      <c r="E146" t="s">
        <v>621</v>
      </c>
      <c r="F146" t="s">
        <v>1944</v>
      </c>
      <c r="P146" t="s">
        <v>3362</v>
      </c>
      <c r="Q146" t="s">
        <v>3456</v>
      </c>
      <c r="R146" t="s">
        <v>3385</v>
      </c>
      <c r="S146">
        <v>117.1</v>
      </c>
      <c r="T146" t="s">
        <v>48</v>
      </c>
      <c r="U146" s="534" t="s">
        <v>4940</v>
      </c>
      <c r="W146">
        <v>723</v>
      </c>
      <c r="X146">
        <v>607</v>
      </c>
      <c r="Y146">
        <v>491</v>
      </c>
      <c r="Z146">
        <v>375</v>
      </c>
      <c r="AA146">
        <v>375</v>
      </c>
      <c r="AB146">
        <v>375</v>
      </c>
      <c r="AR146">
        <v>761</v>
      </c>
      <c r="AS146">
        <v>839</v>
      </c>
      <c r="AT146" t="s">
        <v>46</v>
      </c>
      <c r="AU146">
        <v>794</v>
      </c>
      <c r="AV146" t="s">
        <v>46</v>
      </c>
      <c r="AW146" s="2146">
        <v>559</v>
      </c>
      <c r="AX146" s="2146" t="s">
        <v>46</v>
      </c>
      <c r="AZ146" t="s">
        <v>6090</v>
      </c>
    </row>
    <row r="147" spans="1:52">
      <c r="A147" t="s">
        <v>1942</v>
      </c>
      <c r="B147" t="s">
        <v>116</v>
      </c>
      <c r="C147" t="s">
        <v>1874</v>
      </c>
      <c r="D147" t="s">
        <v>215</v>
      </c>
      <c r="E147" t="s">
        <v>621</v>
      </c>
      <c r="F147" t="s">
        <v>1944</v>
      </c>
      <c r="P147" t="s">
        <v>3365</v>
      </c>
      <c r="Q147" t="s">
        <v>3504</v>
      </c>
      <c r="R147" t="s">
        <v>3385</v>
      </c>
      <c r="S147">
        <v>117.1</v>
      </c>
      <c r="T147" t="s">
        <v>48</v>
      </c>
      <c r="U147" s="534" t="s">
        <v>4940</v>
      </c>
      <c r="W147">
        <v>123</v>
      </c>
      <c r="X147">
        <v>100</v>
      </c>
      <c r="Y147">
        <v>78</v>
      </c>
      <c r="Z147">
        <v>55</v>
      </c>
      <c r="AA147">
        <v>55</v>
      </c>
      <c r="AB147">
        <v>55</v>
      </c>
      <c r="AR147">
        <v>47</v>
      </c>
      <c r="AS147">
        <v>147</v>
      </c>
      <c r="AT147" t="s">
        <v>46</v>
      </c>
      <c r="AU147">
        <v>147</v>
      </c>
      <c r="AV147" t="s">
        <v>46</v>
      </c>
      <c r="AW147" s="2146">
        <v>91</v>
      </c>
      <c r="AX147" s="2146" t="s">
        <v>46</v>
      </c>
      <c r="AZ147" t="s">
        <v>6091</v>
      </c>
    </row>
    <row r="148" spans="1:52">
      <c r="A148" t="s">
        <v>1942</v>
      </c>
      <c r="B148" t="s">
        <v>116</v>
      </c>
      <c r="C148" t="s">
        <v>1874</v>
      </c>
      <c r="D148" t="s">
        <v>215</v>
      </c>
      <c r="E148" t="s">
        <v>621</v>
      </c>
      <c r="F148" t="s">
        <v>1944</v>
      </c>
      <c r="P148" t="s">
        <v>3370</v>
      </c>
      <c r="Q148" t="s">
        <v>3505</v>
      </c>
      <c r="R148" t="s">
        <v>3428</v>
      </c>
      <c r="S148">
        <v>26.3</v>
      </c>
      <c r="T148" t="s">
        <v>48</v>
      </c>
      <c r="U148" s="534" t="s">
        <v>4940</v>
      </c>
      <c r="W148">
        <v>4000</v>
      </c>
      <c r="X148">
        <v>3878</v>
      </c>
      <c r="Y148">
        <v>3715</v>
      </c>
      <c r="Z148">
        <v>3512</v>
      </c>
      <c r="AA148">
        <v>3309</v>
      </c>
      <c r="AB148">
        <v>3187</v>
      </c>
      <c r="AR148">
        <v>3571</v>
      </c>
      <c r="AS148">
        <v>3391</v>
      </c>
      <c r="AT148" t="s">
        <v>50</v>
      </c>
      <c r="AU148">
        <v>3274</v>
      </c>
      <c r="AV148" t="s">
        <v>50</v>
      </c>
      <c r="AW148" s="2146">
        <v>2863</v>
      </c>
      <c r="AX148" s="2146" t="s">
        <v>50</v>
      </c>
      <c r="AZ148" t="s">
        <v>6092</v>
      </c>
    </row>
    <row r="149" spans="1:52">
      <c r="A149" t="s">
        <v>1942</v>
      </c>
      <c r="B149" t="s">
        <v>116</v>
      </c>
      <c r="C149" t="s">
        <v>1874</v>
      </c>
      <c r="D149" t="s">
        <v>215</v>
      </c>
      <c r="E149" t="s">
        <v>621</v>
      </c>
      <c r="F149" t="s">
        <v>1944</v>
      </c>
      <c r="P149" t="s">
        <v>3373</v>
      </c>
      <c r="Q149" t="s">
        <v>3506</v>
      </c>
      <c r="R149" t="s">
        <v>3428</v>
      </c>
      <c r="S149">
        <v>26.3</v>
      </c>
      <c r="T149" t="s">
        <v>48</v>
      </c>
      <c r="U149" s="534" t="s">
        <v>4940</v>
      </c>
      <c r="W149">
        <v>499</v>
      </c>
      <c r="X149">
        <v>499</v>
      </c>
      <c r="Y149">
        <v>499</v>
      </c>
      <c r="Z149">
        <v>499</v>
      </c>
      <c r="AA149">
        <v>499</v>
      </c>
      <c r="AB149">
        <v>499</v>
      </c>
      <c r="AR149">
        <v>179</v>
      </c>
      <c r="AS149">
        <v>455</v>
      </c>
      <c r="AT149" t="s">
        <v>50</v>
      </c>
      <c r="AU149">
        <v>215</v>
      </c>
      <c r="AV149" t="s">
        <v>50</v>
      </c>
      <c r="AW149" s="2146">
        <v>212</v>
      </c>
      <c r="AX149" s="2146" t="s">
        <v>50</v>
      </c>
      <c r="AZ149" t="s">
        <v>6093</v>
      </c>
    </row>
    <row r="150" spans="1:52">
      <c r="A150" t="s">
        <v>1942</v>
      </c>
      <c r="B150" t="s">
        <v>116</v>
      </c>
      <c r="C150" t="s">
        <v>1874</v>
      </c>
      <c r="D150" t="s">
        <v>215</v>
      </c>
      <c r="E150" t="s">
        <v>621</v>
      </c>
      <c r="F150" t="s">
        <v>1944</v>
      </c>
      <c r="P150" t="s">
        <v>3402</v>
      </c>
      <c r="Q150" t="s">
        <v>3507</v>
      </c>
      <c r="R150" t="s">
        <v>3508</v>
      </c>
      <c r="S150">
        <v>117.1</v>
      </c>
      <c r="T150" t="s">
        <v>48</v>
      </c>
      <c r="U150" s="534" t="s">
        <v>4940</v>
      </c>
      <c r="W150">
        <v>388</v>
      </c>
      <c r="X150">
        <v>367</v>
      </c>
      <c r="Y150">
        <v>338</v>
      </c>
      <c r="Z150">
        <v>303</v>
      </c>
      <c r="AA150">
        <v>267</v>
      </c>
      <c r="AB150">
        <v>246</v>
      </c>
      <c r="AR150">
        <v>247</v>
      </c>
      <c r="AS150">
        <v>377</v>
      </c>
      <c r="AT150" t="s">
        <v>46</v>
      </c>
      <c r="AU150">
        <v>362</v>
      </c>
      <c r="AV150" t="s">
        <v>46</v>
      </c>
      <c r="AW150" s="2146">
        <v>206</v>
      </c>
      <c r="AX150" s="2146" t="s">
        <v>50</v>
      </c>
      <c r="AZ150" t="s">
        <v>6094</v>
      </c>
    </row>
    <row r="151" spans="1:52">
      <c r="A151" t="s">
        <v>1955</v>
      </c>
      <c r="B151" t="s">
        <v>116</v>
      </c>
      <c r="C151" t="s">
        <v>1874</v>
      </c>
      <c r="D151" t="s">
        <v>215</v>
      </c>
      <c r="E151" t="s">
        <v>261</v>
      </c>
      <c r="F151" t="s">
        <v>3509</v>
      </c>
      <c r="G151" t="s">
        <v>5408</v>
      </c>
      <c r="H151" t="s">
        <v>175</v>
      </c>
      <c r="I151" t="s">
        <v>1958</v>
      </c>
      <c r="J151">
        <v>113.97</v>
      </c>
      <c r="K151">
        <v>83</v>
      </c>
      <c r="L151">
        <v>83</v>
      </c>
      <c r="M151">
        <v>83</v>
      </c>
      <c r="N151">
        <v>54.32</v>
      </c>
      <c r="O151">
        <v>46.13</v>
      </c>
      <c r="P151" t="s">
        <v>3361</v>
      </c>
      <c r="Q151" t="s">
        <v>3509</v>
      </c>
      <c r="T151" t="s">
        <v>107</v>
      </c>
      <c r="U151">
        <v>4</v>
      </c>
      <c r="AR151">
        <v>94.99</v>
      </c>
      <c r="AS151">
        <v>91.484999999999999</v>
      </c>
      <c r="AT151" t="s">
        <v>46</v>
      </c>
      <c r="AU151">
        <v>58.708199999999998</v>
      </c>
      <c r="AV151" t="s">
        <v>50</v>
      </c>
      <c r="AW151" s="2146">
        <v>30.468</v>
      </c>
      <c r="AX151" s="2146" t="s">
        <v>50</v>
      </c>
      <c r="AZ151" t="s">
        <v>6095</v>
      </c>
    </row>
    <row r="152" spans="1:52">
      <c r="A152" t="s">
        <v>1955</v>
      </c>
      <c r="B152" t="s">
        <v>116</v>
      </c>
      <c r="C152" t="s">
        <v>1874</v>
      </c>
      <c r="D152" t="s">
        <v>215</v>
      </c>
      <c r="E152" t="s">
        <v>261</v>
      </c>
      <c r="F152" t="s">
        <v>3509</v>
      </c>
      <c r="P152" t="s">
        <v>3362</v>
      </c>
      <c r="Q152" t="s">
        <v>3510</v>
      </c>
      <c r="R152" t="s">
        <v>3511</v>
      </c>
      <c r="S152">
        <v>4.0967000000000002</v>
      </c>
      <c r="T152" t="s">
        <v>107</v>
      </c>
      <c r="U152">
        <v>4</v>
      </c>
      <c r="W152">
        <v>0</v>
      </c>
      <c r="X152">
        <v>1</v>
      </c>
      <c r="Y152">
        <v>1</v>
      </c>
      <c r="Z152">
        <v>1</v>
      </c>
      <c r="AA152">
        <v>0</v>
      </c>
      <c r="AB152">
        <v>0</v>
      </c>
      <c r="AS152">
        <v>0</v>
      </c>
      <c r="AT152" t="s">
        <v>50</v>
      </c>
      <c r="AU152">
        <v>2</v>
      </c>
      <c r="AV152" t="s">
        <v>46</v>
      </c>
      <c r="AW152" s="2146">
        <v>12.290100000000001</v>
      </c>
      <c r="AX152" s="2146" t="s">
        <v>50</v>
      </c>
      <c r="AZ152" t="s">
        <v>6096</v>
      </c>
    </row>
    <row r="153" spans="1:52">
      <c r="A153" t="s">
        <v>1955</v>
      </c>
      <c r="B153" t="s">
        <v>116</v>
      </c>
      <c r="C153" t="s">
        <v>1874</v>
      </c>
      <c r="D153" t="s">
        <v>215</v>
      </c>
      <c r="E153" t="s">
        <v>261</v>
      </c>
      <c r="F153" t="s">
        <v>3509</v>
      </c>
      <c r="P153" t="s">
        <v>3365</v>
      </c>
      <c r="Q153" t="s">
        <v>3512</v>
      </c>
      <c r="R153" t="s">
        <v>3511</v>
      </c>
      <c r="S153">
        <v>8.1934000000000005</v>
      </c>
      <c r="T153" t="s">
        <v>107</v>
      </c>
      <c r="U153">
        <v>4</v>
      </c>
      <c r="W153">
        <v>0</v>
      </c>
      <c r="X153">
        <v>1</v>
      </c>
      <c r="Y153">
        <v>1</v>
      </c>
      <c r="Z153">
        <v>1</v>
      </c>
      <c r="AA153">
        <v>1</v>
      </c>
      <c r="AB153">
        <v>0</v>
      </c>
      <c r="AS153">
        <v>2</v>
      </c>
      <c r="AT153" t="s">
        <v>46</v>
      </c>
      <c r="AU153">
        <v>0</v>
      </c>
      <c r="AV153" t="s">
        <v>50</v>
      </c>
      <c r="AW153" s="2146">
        <v>0</v>
      </c>
      <c r="AX153" s="2146" t="s">
        <v>50</v>
      </c>
      <c r="AZ153" t="s">
        <v>6097</v>
      </c>
    </row>
    <row r="154" spans="1:52">
      <c r="A154" t="s">
        <v>1955</v>
      </c>
      <c r="B154" t="s">
        <v>116</v>
      </c>
      <c r="C154" t="s">
        <v>1874</v>
      </c>
      <c r="D154" t="s">
        <v>215</v>
      </c>
      <c r="E154" t="s">
        <v>261</v>
      </c>
      <c r="F154" t="s">
        <v>3509</v>
      </c>
      <c r="P154" t="s">
        <v>3370</v>
      </c>
      <c r="Q154" t="s">
        <v>3513</v>
      </c>
      <c r="R154" t="s">
        <v>3511</v>
      </c>
      <c r="S154">
        <v>16.386700000000001</v>
      </c>
      <c r="T154" t="s">
        <v>107</v>
      </c>
      <c r="U154">
        <v>4</v>
      </c>
      <c r="W154">
        <v>6</v>
      </c>
      <c r="X154">
        <v>1</v>
      </c>
      <c r="Y154">
        <v>1</v>
      </c>
      <c r="Z154">
        <v>1</v>
      </c>
      <c r="AA154">
        <v>2</v>
      </c>
      <c r="AB154">
        <v>2</v>
      </c>
      <c r="AS154">
        <v>2</v>
      </c>
      <c r="AT154" t="s">
        <v>46</v>
      </c>
      <c r="AU154">
        <v>3</v>
      </c>
      <c r="AV154" t="s">
        <v>50</v>
      </c>
      <c r="AW154" s="2146">
        <v>16.386700000000001</v>
      </c>
      <c r="AX154" s="2146" t="s">
        <v>50</v>
      </c>
      <c r="AZ154" t="s">
        <v>6098</v>
      </c>
    </row>
    <row r="155" spans="1:52">
      <c r="A155" t="s">
        <v>1955</v>
      </c>
      <c r="B155" t="s">
        <v>116</v>
      </c>
      <c r="C155" t="s">
        <v>1874</v>
      </c>
      <c r="D155" t="s">
        <v>215</v>
      </c>
      <c r="E155" t="s">
        <v>261</v>
      </c>
      <c r="F155" t="s">
        <v>3509</v>
      </c>
      <c r="P155" t="s">
        <v>3373</v>
      </c>
      <c r="Q155" t="s">
        <v>3514</v>
      </c>
      <c r="R155" t="s">
        <v>3511</v>
      </c>
      <c r="S155">
        <v>40.966799999999999</v>
      </c>
      <c r="T155" t="s">
        <v>107</v>
      </c>
      <c r="U155">
        <v>4</v>
      </c>
      <c r="W155">
        <v>0</v>
      </c>
      <c r="X155">
        <v>1</v>
      </c>
      <c r="Y155">
        <v>1</v>
      </c>
      <c r="Z155">
        <v>1</v>
      </c>
      <c r="AA155">
        <v>0</v>
      </c>
      <c r="AB155">
        <v>0</v>
      </c>
      <c r="AS155">
        <v>1</v>
      </c>
      <c r="AT155" t="s">
        <v>50</v>
      </c>
      <c r="AU155">
        <v>0</v>
      </c>
      <c r="AV155" t="s">
        <v>50</v>
      </c>
      <c r="AW155" s="2146">
        <v>0</v>
      </c>
      <c r="AX155" s="2146" t="s">
        <v>50</v>
      </c>
      <c r="AZ155" t="s">
        <v>6099</v>
      </c>
    </row>
    <row r="156" spans="1:52">
      <c r="A156" t="s">
        <v>1955</v>
      </c>
      <c r="B156" t="s">
        <v>116</v>
      </c>
      <c r="C156" t="s">
        <v>1874</v>
      </c>
      <c r="D156" t="s">
        <v>215</v>
      </c>
      <c r="E156" t="s">
        <v>261</v>
      </c>
      <c r="F156" t="s">
        <v>3509</v>
      </c>
      <c r="P156" t="s">
        <v>3402</v>
      </c>
      <c r="Q156" t="s">
        <v>3515</v>
      </c>
      <c r="R156" t="s">
        <v>3511</v>
      </c>
      <c r="S156">
        <v>8.1900000000000001E-2</v>
      </c>
      <c r="T156" t="s">
        <v>107</v>
      </c>
      <c r="U156">
        <v>4</v>
      </c>
      <c r="W156">
        <v>10</v>
      </c>
      <c r="X156">
        <v>12</v>
      </c>
      <c r="Y156">
        <v>12</v>
      </c>
      <c r="Z156">
        <v>12</v>
      </c>
      <c r="AA156">
        <v>12</v>
      </c>
      <c r="AB156">
        <v>12</v>
      </c>
      <c r="AS156">
        <v>0.66666666666666696</v>
      </c>
      <c r="AT156" t="s">
        <v>50</v>
      </c>
      <c r="AU156">
        <v>0.1159</v>
      </c>
      <c r="AV156" t="s">
        <v>50</v>
      </c>
      <c r="AW156" s="2146">
        <v>0.1603</v>
      </c>
      <c r="AX156" s="2146" t="s">
        <v>50</v>
      </c>
      <c r="AZ156" t="s">
        <v>6100</v>
      </c>
    </row>
    <row r="157" spans="1:52">
      <c r="A157" t="s">
        <v>1955</v>
      </c>
      <c r="B157" t="s">
        <v>116</v>
      </c>
      <c r="C157" t="s">
        <v>1874</v>
      </c>
      <c r="D157" t="s">
        <v>215</v>
      </c>
      <c r="E157" t="s">
        <v>261</v>
      </c>
      <c r="F157" t="s">
        <v>3509</v>
      </c>
      <c r="P157" t="s">
        <v>3404</v>
      </c>
      <c r="Q157" t="s">
        <v>3516</v>
      </c>
      <c r="R157" t="s">
        <v>3511</v>
      </c>
      <c r="S157">
        <v>0.16389999999999999</v>
      </c>
      <c r="T157" t="s">
        <v>107</v>
      </c>
      <c r="U157">
        <v>4</v>
      </c>
      <c r="W157">
        <v>1</v>
      </c>
      <c r="X157">
        <v>1</v>
      </c>
      <c r="Y157">
        <v>1</v>
      </c>
      <c r="Z157">
        <v>1</v>
      </c>
      <c r="AA157">
        <v>1</v>
      </c>
      <c r="AB157">
        <v>1</v>
      </c>
      <c r="AS157">
        <v>0</v>
      </c>
      <c r="AT157" t="s">
        <v>50</v>
      </c>
      <c r="AU157">
        <v>3.4099999999999998E-2</v>
      </c>
      <c r="AV157" t="s">
        <v>50</v>
      </c>
      <c r="AW157" s="2146">
        <v>9.5600000000000004E-2</v>
      </c>
      <c r="AX157" s="2146" t="s">
        <v>50</v>
      </c>
      <c r="AZ157" t="s">
        <v>6101</v>
      </c>
    </row>
    <row r="158" spans="1:52">
      <c r="A158" t="s">
        <v>1955</v>
      </c>
      <c r="B158" t="s">
        <v>116</v>
      </c>
      <c r="C158" t="s">
        <v>1874</v>
      </c>
      <c r="D158" t="s">
        <v>215</v>
      </c>
      <c r="E158" t="s">
        <v>261</v>
      </c>
      <c r="F158" t="s">
        <v>3509</v>
      </c>
      <c r="P158" t="s">
        <v>3406</v>
      </c>
      <c r="Q158" t="s">
        <v>3517</v>
      </c>
      <c r="R158" t="s">
        <v>3511</v>
      </c>
      <c r="S158">
        <v>0.81930000000000003</v>
      </c>
      <c r="T158" t="s">
        <v>107</v>
      </c>
      <c r="U158">
        <v>4</v>
      </c>
      <c r="W158">
        <v>3</v>
      </c>
      <c r="X158">
        <v>4</v>
      </c>
      <c r="Y158">
        <v>4</v>
      </c>
      <c r="Z158">
        <v>4</v>
      </c>
      <c r="AA158">
        <v>4</v>
      </c>
      <c r="AB158">
        <v>4</v>
      </c>
      <c r="AS158">
        <v>0</v>
      </c>
      <c r="AT158" t="s">
        <v>50</v>
      </c>
      <c r="AU158">
        <v>0</v>
      </c>
      <c r="AV158" t="s">
        <v>50</v>
      </c>
      <c r="AW158" s="2146">
        <v>0.40960000000000002</v>
      </c>
      <c r="AX158" s="2146" t="s">
        <v>50</v>
      </c>
      <c r="AZ158" t="s">
        <v>6102</v>
      </c>
    </row>
    <row r="159" spans="1:52">
      <c r="A159" t="s">
        <v>1955</v>
      </c>
      <c r="B159" t="s">
        <v>116</v>
      </c>
      <c r="C159" t="s">
        <v>1874</v>
      </c>
      <c r="D159" t="s">
        <v>215</v>
      </c>
      <c r="E159" t="s">
        <v>261</v>
      </c>
      <c r="F159" t="s">
        <v>3509</v>
      </c>
      <c r="P159" t="s">
        <v>3408</v>
      </c>
      <c r="Q159" t="s">
        <v>3518</v>
      </c>
      <c r="R159" t="s">
        <v>3511</v>
      </c>
      <c r="S159">
        <v>4.1000000000000002E-2</v>
      </c>
      <c r="T159" t="s">
        <v>107</v>
      </c>
      <c r="U159">
        <v>4</v>
      </c>
      <c r="W159">
        <v>52</v>
      </c>
      <c r="X159">
        <v>44</v>
      </c>
      <c r="Y159">
        <v>44</v>
      </c>
      <c r="Z159">
        <v>44</v>
      </c>
      <c r="AA159">
        <v>44</v>
      </c>
      <c r="AB159">
        <v>44</v>
      </c>
      <c r="AS159">
        <v>8.5</v>
      </c>
      <c r="AT159" t="s">
        <v>46</v>
      </c>
      <c r="AU159">
        <v>0.31040000000000001</v>
      </c>
      <c r="AV159" t="s">
        <v>50</v>
      </c>
      <c r="AW159" s="2146">
        <v>0.32040000000000002</v>
      </c>
      <c r="AX159" s="2146" t="s">
        <v>50</v>
      </c>
      <c r="AZ159" t="s">
        <v>6103</v>
      </c>
    </row>
    <row r="160" spans="1:52">
      <c r="A160" t="s">
        <v>1955</v>
      </c>
      <c r="B160" t="s">
        <v>116</v>
      </c>
      <c r="C160" t="s">
        <v>1874</v>
      </c>
      <c r="D160" t="s">
        <v>215</v>
      </c>
      <c r="E160" t="s">
        <v>261</v>
      </c>
      <c r="F160" t="s">
        <v>3509</v>
      </c>
      <c r="P160" t="s">
        <v>3410</v>
      </c>
      <c r="Q160" t="s">
        <v>3519</v>
      </c>
      <c r="R160" t="s">
        <v>3511</v>
      </c>
      <c r="S160">
        <v>8.1900000000000001E-2</v>
      </c>
      <c r="T160" t="s">
        <v>107</v>
      </c>
      <c r="U160">
        <v>4</v>
      </c>
      <c r="W160">
        <v>8</v>
      </c>
      <c r="X160">
        <v>7</v>
      </c>
      <c r="Y160">
        <v>7</v>
      </c>
      <c r="Z160">
        <v>7</v>
      </c>
      <c r="AA160">
        <v>7</v>
      </c>
      <c r="AB160">
        <v>7</v>
      </c>
      <c r="AS160">
        <v>0.33333333333333298</v>
      </c>
      <c r="AT160" t="s">
        <v>50</v>
      </c>
      <c r="AU160">
        <v>4.1000000000000002E-2</v>
      </c>
      <c r="AV160" t="s">
        <v>50</v>
      </c>
      <c r="AW160" s="2146">
        <v>5.4600000000000003E-2</v>
      </c>
      <c r="AX160" s="2146" t="s">
        <v>50</v>
      </c>
      <c r="AZ160" t="s">
        <v>6104</v>
      </c>
    </row>
    <row r="161" spans="1:52">
      <c r="A161" t="s">
        <v>1955</v>
      </c>
      <c r="B161" t="s">
        <v>116</v>
      </c>
      <c r="C161" t="s">
        <v>1874</v>
      </c>
      <c r="D161" t="s">
        <v>215</v>
      </c>
      <c r="E161" t="s">
        <v>261</v>
      </c>
      <c r="F161" t="s">
        <v>3509</v>
      </c>
      <c r="P161" t="s">
        <v>3413</v>
      </c>
      <c r="Q161" t="s">
        <v>3520</v>
      </c>
      <c r="R161" t="s">
        <v>3511</v>
      </c>
      <c r="S161">
        <v>0.40970000000000001</v>
      </c>
      <c r="T161" t="s">
        <v>107</v>
      </c>
      <c r="U161">
        <v>4</v>
      </c>
      <c r="W161">
        <v>23</v>
      </c>
      <c r="X161">
        <v>16</v>
      </c>
      <c r="Y161">
        <v>16</v>
      </c>
      <c r="Z161">
        <v>16</v>
      </c>
      <c r="AA161">
        <v>16</v>
      </c>
      <c r="AB161">
        <v>16</v>
      </c>
      <c r="AS161">
        <v>2.25</v>
      </c>
      <c r="AT161" t="s">
        <v>50</v>
      </c>
      <c r="AU161">
        <v>0.88739999999999997</v>
      </c>
      <c r="AV161" t="s">
        <v>50</v>
      </c>
      <c r="AW161" s="2146">
        <v>0.75070000000000003</v>
      </c>
      <c r="AX161" s="2146" t="s">
        <v>50</v>
      </c>
      <c r="AZ161" t="s">
        <v>6105</v>
      </c>
    </row>
    <row r="162" spans="1:52">
      <c r="A162" t="s">
        <v>2028</v>
      </c>
      <c r="B162" t="s">
        <v>116</v>
      </c>
      <c r="C162" t="s">
        <v>1989</v>
      </c>
      <c r="D162" t="s">
        <v>41</v>
      </c>
      <c r="E162" t="s">
        <v>360</v>
      </c>
      <c r="F162" t="s">
        <v>2031</v>
      </c>
      <c r="G162" t="s">
        <v>5408</v>
      </c>
      <c r="H162" t="s">
        <v>91</v>
      </c>
      <c r="I162" t="s">
        <v>323</v>
      </c>
      <c r="J162" t="s">
        <v>202</v>
      </c>
      <c r="K162" t="s">
        <v>202</v>
      </c>
      <c r="L162" t="s">
        <v>202</v>
      </c>
      <c r="M162" t="s">
        <v>202</v>
      </c>
      <c r="N162" t="s">
        <v>202</v>
      </c>
      <c r="O162" t="s">
        <v>202</v>
      </c>
      <c r="P162" t="s">
        <v>3361</v>
      </c>
      <c r="Q162" t="s">
        <v>2031</v>
      </c>
      <c r="T162" t="s">
        <v>200</v>
      </c>
      <c r="U162" t="s">
        <v>51</v>
      </c>
      <c r="AR162" t="s">
        <v>202</v>
      </c>
      <c r="AS162" t="s">
        <v>202</v>
      </c>
      <c r="AT162" t="s">
        <v>50</v>
      </c>
      <c r="AU162" t="s">
        <v>202</v>
      </c>
      <c r="AV162" t="s">
        <v>50</v>
      </c>
      <c r="AW162" s="2146" t="s">
        <v>202</v>
      </c>
      <c r="AX162" s="2146" t="s">
        <v>50</v>
      </c>
      <c r="AZ162" t="s">
        <v>3317</v>
      </c>
    </row>
    <row r="163" spans="1:52">
      <c r="A163" t="s">
        <v>2028</v>
      </c>
      <c r="B163" t="s">
        <v>116</v>
      </c>
      <c r="C163" t="s">
        <v>1989</v>
      </c>
      <c r="D163" t="s">
        <v>41</v>
      </c>
      <c r="E163" t="s">
        <v>360</v>
      </c>
      <c r="F163" t="s">
        <v>2031</v>
      </c>
      <c r="P163" t="s">
        <v>3362</v>
      </c>
      <c r="Q163" t="s">
        <v>3521</v>
      </c>
      <c r="R163" t="s">
        <v>3367</v>
      </c>
      <c r="T163" t="s">
        <v>48</v>
      </c>
      <c r="U163" s="534" t="s">
        <v>4940</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50</v>
      </c>
      <c r="AU163">
        <v>3679</v>
      </c>
      <c r="AV163" t="s">
        <v>50</v>
      </c>
      <c r="AW163" s="2146">
        <v>4181</v>
      </c>
      <c r="AX163" s="2146" t="s">
        <v>50</v>
      </c>
      <c r="AZ163" t="s">
        <v>6106</v>
      </c>
    </row>
    <row r="164" spans="1:52">
      <c r="A164" t="s">
        <v>2028</v>
      </c>
      <c r="B164" t="s">
        <v>116</v>
      </c>
      <c r="C164" t="s">
        <v>1989</v>
      </c>
      <c r="D164" t="s">
        <v>41</v>
      </c>
      <c r="E164" t="s">
        <v>360</v>
      </c>
      <c r="F164" t="s">
        <v>2031</v>
      </c>
      <c r="P164" t="s">
        <v>3365</v>
      </c>
      <c r="Q164" t="s">
        <v>3522</v>
      </c>
      <c r="R164" t="s">
        <v>3364</v>
      </c>
      <c r="T164" t="s">
        <v>48</v>
      </c>
      <c r="U164" s="534" t="s">
        <v>4940</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46</v>
      </c>
      <c r="AU164">
        <v>986</v>
      </c>
      <c r="AV164" t="s">
        <v>46</v>
      </c>
      <c r="AW164" s="2146">
        <v>19699</v>
      </c>
      <c r="AX164" s="2146" t="s">
        <v>46</v>
      </c>
      <c r="AZ164" t="s">
        <v>6107</v>
      </c>
    </row>
    <row r="165" spans="1:52">
      <c r="A165" t="s">
        <v>2028</v>
      </c>
      <c r="B165" t="s">
        <v>116</v>
      </c>
      <c r="C165" t="s">
        <v>1989</v>
      </c>
      <c r="D165" t="s">
        <v>41</v>
      </c>
      <c r="E165" t="s">
        <v>360</v>
      </c>
      <c r="F165" t="s">
        <v>2031</v>
      </c>
      <c r="P165" t="s">
        <v>3370</v>
      </c>
      <c r="Q165" t="s">
        <v>3523</v>
      </c>
      <c r="R165" t="s">
        <v>3400</v>
      </c>
      <c r="T165" t="s">
        <v>76</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46</v>
      </c>
      <c r="AU165">
        <v>0.19</v>
      </c>
      <c r="AV165" t="s">
        <v>50</v>
      </c>
      <c r="AW165" s="2146">
        <v>0.34</v>
      </c>
      <c r="AX165" s="2146" t="s">
        <v>50</v>
      </c>
      <c r="AZ165" t="s">
        <v>6108</v>
      </c>
    </row>
    <row r="166" spans="1:52">
      <c r="A166" t="s">
        <v>2028</v>
      </c>
      <c r="B166" t="s">
        <v>116</v>
      </c>
      <c r="C166" t="s">
        <v>1989</v>
      </c>
      <c r="D166" t="s">
        <v>41</v>
      </c>
      <c r="E166" t="s">
        <v>360</v>
      </c>
      <c r="F166" t="s">
        <v>2031</v>
      </c>
      <c r="P166" t="s">
        <v>3373</v>
      </c>
      <c r="Q166" t="s">
        <v>3733</v>
      </c>
      <c r="R166" t="s">
        <v>3393</v>
      </c>
      <c r="T166" t="s">
        <v>48</v>
      </c>
      <c r="U166" s="534" t="s">
        <v>4940</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50</v>
      </c>
      <c r="AU166">
        <v>92</v>
      </c>
      <c r="AV166" t="s">
        <v>50</v>
      </c>
      <c r="AW166" s="2146">
        <v>99</v>
      </c>
      <c r="AX166" s="2146" t="s">
        <v>50</v>
      </c>
      <c r="AZ166" t="s">
        <v>6109</v>
      </c>
    </row>
    <row r="167" spans="1:52">
      <c r="A167" t="s">
        <v>2028</v>
      </c>
      <c r="B167" t="s">
        <v>116</v>
      </c>
      <c r="C167" t="s">
        <v>1989</v>
      </c>
      <c r="D167" t="s">
        <v>41</v>
      </c>
      <c r="E167" t="s">
        <v>360</v>
      </c>
      <c r="F167" t="s">
        <v>2031</v>
      </c>
      <c r="P167" t="s">
        <v>3402</v>
      </c>
      <c r="Q167" t="s">
        <v>3524</v>
      </c>
      <c r="R167" t="s">
        <v>3372</v>
      </c>
      <c r="T167" t="s">
        <v>48</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50</v>
      </c>
      <c r="AU167">
        <v>2.35</v>
      </c>
      <c r="AV167" t="s">
        <v>50</v>
      </c>
      <c r="AW167" s="2146">
        <v>2.21</v>
      </c>
      <c r="AX167" s="2146" t="s">
        <v>50</v>
      </c>
      <c r="AZ167" t="s">
        <v>6110</v>
      </c>
    </row>
    <row r="168" spans="1:52">
      <c r="A168" t="s">
        <v>2028</v>
      </c>
      <c r="B168" t="s">
        <v>116</v>
      </c>
      <c r="C168" t="s">
        <v>1989</v>
      </c>
      <c r="D168" t="s">
        <v>41</v>
      </c>
      <c r="E168" t="s">
        <v>360</v>
      </c>
      <c r="F168" t="s">
        <v>2031</v>
      </c>
      <c r="P168" t="s">
        <v>3404</v>
      </c>
      <c r="Q168" t="s">
        <v>3525</v>
      </c>
      <c r="R168" t="s">
        <v>3375</v>
      </c>
      <c r="T168" t="s">
        <v>76</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50</v>
      </c>
      <c r="AU168">
        <v>99.93</v>
      </c>
      <c r="AV168" t="s">
        <v>50</v>
      </c>
      <c r="AW168" s="2146">
        <v>99.84</v>
      </c>
      <c r="AX168" s="2146" t="s">
        <v>50</v>
      </c>
      <c r="AZ168" t="s">
        <v>6111</v>
      </c>
    </row>
    <row r="169" spans="1:52">
      <c r="A169" t="s">
        <v>2028</v>
      </c>
      <c r="B169" t="s">
        <v>116</v>
      </c>
      <c r="C169" t="s">
        <v>1989</v>
      </c>
      <c r="D169" t="s">
        <v>41</v>
      </c>
      <c r="E169" t="s">
        <v>360</v>
      </c>
      <c r="F169" t="s">
        <v>2031</v>
      </c>
      <c r="P169" t="s">
        <v>3406</v>
      </c>
      <c r="Q169" t="s">
        <v>3526</v>
      </c>
      <c r="R169" t="s">
        <v>3377</v>
      </c>
      <c r="T169" t="s">
        <v>76</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50</v>
      </c>
      <c r="AU169">
        <v>0.02</v>
      </c>
      <c r="AV169" t="s">
        <v>50</v>
      </c>
      <c r="AW169" s="2146">
        <v>0.02</v>
      </c>
      <c r="AX169" s="2146" t="s">
        <v>50</v>
      </c>
      <c r="AZ169" t="s">
        <v>6112</v>
      </c>
    </row>
    <row r="170" spans="1:52">
      <c r="A170" t="s">
        <v>2028</v>
      </c>
      <c r="B170" t="s">
        <v>116</v>
      </c>
      <c r="C170" t="s">
        <v>1989</v>
      </c>
      <c r="D170" t="s">
        <v>41</v>
      </c>
      <c r="E170" t="s">
        <v>360</v>
      </c>
      <c r="F170" t="s">
        <v>2031</v>
      </c>
      <c r="P170" t="s">
        <v>3408</v>
      </c>
      <c r="Q170" t="s">
        <v>3527</v>
      </c>
      <c r="R170" t="s">
        <v>3379</v>
      </c>
      <c r="T170" t="s">
        <v>76</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50</v>
      </c>
      <c r="AU170">
        <v>0</v>
      </c>
      <c r="AV170" t="s">
        <v>50</v>
      </c>
      <c r="AW170" s="2146">
        <v>0</v>
      </c>
      <c r="AX170" s="2146" t="s">
        <v>50</v>
      </c>
      <c r="AZ170" t="s">
        <v>6113</v>
      </c>
    </row>
    <row r="171" spans="1:52">
      <c r="A171" t="s">
        <v>2028</v>
      </c>
      <c r="B171" t="s">
        <v>116</v>
      </c>
      <c r="C171" t="s">
        <v>1989</v>
      </c>
      <c r="D171" t="s">
        <v>41</v>
      </c>
      <c r="E171" t="s">
        <v>360</v>
      </c>
      <c r="F171" t="s">
        <v>2031</v>
      </c>
      <c r="P171" t="s">
        <v>3410</v>
      </c>
      <c r="Q171" t="s">
        <v>3528</v>
      </c>
      <c r="R171" t="s">
        <v>3380</v>
      </c>
      <c r="T171" t="s">
        <v>48</v>
      </c>
      <c r="U171" s="534" t="s">
        <v>4940</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50</v>
      </c>
      <c r="AU171">
        <v>0</v>
      </c>
      <c r="AV171" t="s">
        <v>50</v>
      </c>
      <c r="AW171" s="2146">
        <v>0</v>
      </c>
      <c r="AX171" s="2146" t="s">
        <v>50</v>
      </c>
      <c r="AZ171" t="s">
        <v>6114</v>
      </c>
    </row>
    <row r="172" spans="1:52">
      <c r="A172" t="s">
        <v>2028</v>
      </c>
      <c r="B172" t="s">
        <v>116</v>
      </c>
      <c r="C172" t="s">
        <v>1989</v>
      </c>
      <c r="D172" t="s">
        <v>41</v>
      </c>
      <c r="E172" t="s">
        <v>360</v>
      </c>
      <c r="F172" t="s">
        <v>2031</v>
      </c>
      <c r="P172" t="s">
        <v>3413</v>
      </c>
      <c r="Q172" t="s">
        <v>3529</v>
      </c>
      <c r="R172" t="s">
        <v>3412</v>
      </c>
      <c r="T172" t="s">
        <v>48</v>
      </c>
      <c r="U172" s="534" t="s">
        <v>4940</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50</v>
      </c>
      <c r="AU172">
        <v>0</v>
      </c>
      <c r="AV172" t="s">
        <v>50</v>
      </c>
      <c r="AW172" s="2146">
        <v>0</v>
      </c>
      <c r="AX172" s="2146" t="s">
        <v>50</v>
      </c>
      <c r="AZ172" t="s">
        <v>6115</v>
      </c>
    </row>
    <row r="173" spans="1:52">
      <c r="A173" t="s">
        <v>2028</v>
      </c>
      <c r="B173" t="s">
        <v>116</v>
      </c>
      <c r="C173" t="s">
        <v>1989</v>
      </c>
      <c r="D173" t="s">
        <v>41</v>
      </c>
      <c r="E173" t="s">
        <v>360</v>
      </c>
      <c r="F173" t="s">
        <v>2031</v>
      </c>
      <c r="P173" t="s">
        <v>3530</v>
      </c>
      <c r="Q173" t="s">
        <v>3531</v>
      </c>
      <c r="R173" t="s">
        <v>3396</v>
      </c>
      <c r="T173" t="s">
        <v>48</v>
      </c>
      <c r="U173" s="534" t="s">
        <v>4940</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50</v>
      </c>
      <c r="AU173">
        <v>6378</v>
      </c>
      <c r="AV173" t="s">
        <v>50</v>
      </c>
      <c r="AW173" s="2146">
        <v>11129</v>
      </c>
      <c r="AX173" s="2146" t="s">
        <v>50</v>
      </c>
      <c r="AZ173" t="s">
        <v>6116</v>
      </c>
    </row>
    <row r="174" spans="1:52">
      <c r="A174" t="s">
        <v>2065</v>
      </c>
      <c r="B174" t="s">
        <v>116</v>
      </c>
      <c r="C174" t="s">
        <v>1989</v>
      </c>
      <c r="D174" t="s">
        <v>215</v>
      </c>
      <c r="E174" t="s">
        <v>360</v>
      </c>
      <c r="F174" t="s">
        <v>2031</v>
      </c>
      <c r="G174" t="s">
        <v>5408</v>
      </c>
      <c r="H174" t="s">
        <v>273</v>
      </c>
      <c r="I174" t="s">
        <v>323</v>
      </c>
      <c r="J174" t="s">
        <v>202</v>
      </c>
      <c r="K174" t="s">
        <v>202</v>
      </c>
      <c r="L174" t="s">
        <v>202</v>
      </c>
      <c r="M174" t="s">
        <v>202</v>
      </c>
      <c r="N174" t="s">
        <v>202</v>
      </c>
      <c r="O174" t="s">
        <v>202</v>
      </c>
      <c r="P174" t="s">
        <v>3361</v>
      </c>
      <c r="Q174" t="s">
        <v>2031</v>
      </c>
      <c r="T174" t="s">
        <v>200</v>
      </c>
      <c r="U174" t="s">
        <v>51</v>
      </c>
      <c r="AR174" t="s">
        <v>202</v>
      </c>
      <c r="AS174" t="s">
        <v>202</v>
      </c>
      <c r="AT174" t="s">
        <v>50</v>
      </c>
      <c r="AU174" t="s">
        <v>202</v>
      </c>
      <c r="AV174" t="s">
        <v>50</v>
      </c>
      <c r="AW174" s="2146" t="s">
        <v>202</v>
      </c>
      <c r="AX174" s="2146" t="s">
        <v>50</v>
      </c>
      <c r="AZ174" t="s">
        <v>3317</v>
      </c>
    </row>
    <row r="175" spans="1:52">
      <c r="A175" t="s">
        <v>2065</v>
      </c>
      <c r="B175" t="s">
        <v>116</v>
      </c>
      <c r="C175" t="s">
        <v>1989</v>
      </c>
      <c r="D175" t="s">
        <v>215</v>
      </c>
      <c r="E175" t="s">
        <v>360</v>
      </c>
      <c r="F175" t="s">
        <v>2031</v>
      </c>
      <c r="P175" t="s">
        <v>3362</v>
      </c>
      <c r="Q175" t="s">
        <v>3532</v>
      </c>
      <c r="R175" t="s">
        <v>3383</v>
      </c>
      <c r="T175" t="s">
        <v>48</v>
      </c>
      <c r="U175" s="534" t="s">
        <v>4940</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46</v>
      </c>
      <c r="AU175">
        <v>836</v>
      </c>
      <c r="AV175" t="s">
        <v>46</v>
      </c>
      <c r="AW175" s="2146">
        <v>712</v>
      </c>
      <c r="AX175" s="2146" t="s">
        <v>50</v>
      </c>
      <c r="AZ175" t="s">
        <v>6117</v>
      </c>
    </row>
    <row r="176" spans="1:52">
      <c r="A176" t="s">
        <v>2065</v>
      </c>
      <c r="B176" t="s">
        <v>116</v>
      </c>
      <c r="C176" t="s">
        <v>1989</v>
      </c>
      <c r="D176" t="s">
        <v>215</v>
      </c>
      <c r="E176" t="s">
        <v>360</v>
      </c>
      <c r="F176" t="s">
        <v>2031</v>
      </c>
      <c r="P176" t="s">
        <v>3365</v>
      </c>
      <c r="Q176" t="s">
        <v>3533</v>
      </c>
      <c r="R176" t="s">
        <v>3381</v>
      </c>
      <c r="T176" t="s">
        <v>48</v>
      </c>
      <c r="U176" s="534" t="s">
        <v>4940</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50</v>
      </c>
      <c r="AU176">
        <v>89</v>
      </c>
      <c r="AV176" t="s">
        <v>50</v>
      </c>
      <c r="AW176" s="2146">
        <v>82</v>
      </c>
      <c r="AX176" s="2146" t="s">
        <v>50</v>
      </c>
      <c r="AZ176" t="s">
        <v>6118</v>
      </c>
    </row>
    <row r="177" spans="1:52">
      <c r="A177" t="s">
        <v>2065</v>
      </c>
      <c r="B177" t="s">
        <v>116</v>
      </c>
      <c r="C177" t="s">
        <v>1989</v>
      </c>
      <c r="D177" t="s">
        <v>215</v>
      </c>
      <c r="E177" t="s">
        <v>360</v>
      </c>
      <c r="F177" t="s">
        <v>2031</v>
      </c>
      <c r="P177" t="s">
        <v>3370</v>
      </c>
      <c r="Q177" t="s">
        <v>3534</v>
      </c>
      <c r="R177" t="s">
        <v>3385</v>
      </c>
      <c r="T177" t="s">
        <v>48</v>
      </c>
      <c r="U177" s="534" t="s">
        <v>4940</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50</v>
      </c>
      <c r="AU177">
        <v>224</v>
      </c>
      <c r="AV177" t="s">
        <v>50</v>
      </c>
      <c r="AW177" s="2146">
        <v>198</v>
      </c>
      <c r="AX177" s="2146" t="s">
        <v>50</v>
      </c>
      <c r="AZ177" t="s">
        <v>6119</v>
      </c>
    </row>
    <row r="178" spans="1:52">
      <c r="A178" t="s">
        <v>2065</v>
      </c>
      <c r="B178" t="s">
        <v>116</v>
      </c>
      <c r="C178" t="s">
        <v>1989</v>
      </c>
      <c r="D178" t="s">
        <v>215</v>
      </c>
      <c r="E178" t="s">
        <v>360</v>
      </c>
      <c r="F178" t="s">
        <v>2031</v>
      </c>
      <c r="P178" t="s">
        <v>3373</v>
      </c>
      <c r="Q178" t="s">
        <v>3535</v>
      </c>
      <c r="R178" t="s">
        <v>3385</v>
      </c>
      <c r="T178" t="s">
        <v>48</v>
      </c>
      <c r="U178" s="534" t="s">
        <v>4940</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50</v>
      </c>
      <c r="AU178">
        <v>18</v>
      </c>
      <c r="AV178" t="s">
        <v>50</v>
      </c>
      <c r="AW178" s="2146">
        <v>23</v>
      </c>
      <c r="AX178" s="2146" t="s">
        <v>50</v>
      </c>
      <c r="AZ178" t="s">
        <v>6120</v>
      </c>
    </row>
    <row r="179" spans="1:52">
      <c r="A179" t="s">
        <v>2065</v>
      </c>
      <c r="B179" t="s">
        <v>116</v>
      </c>
      <c r="C179" t="s">
        <v>1989</v>
      </c>
      <c r="D179" t="s">
        <v>215</v>
      </c>
      <c r="E179" t="s">
        <v>360</v>
      </c>
      <c r="F179" t="s">
        <v>2031</v>
      </c>
      <c r="P179" t="s">
        <v>3402</v>
      </c>
      <c r="Q179" t="s">
        <v>3536</v>
      </c>
      <c r="R179" t="s">
        <v>3386</v>
      </c>
      <c r="T179" t="s">
        <v>48</v>
      </c>
      <c r="U179" s="534" t="s">
        <v>4940</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50</v>
      </c>
      <c r="AU179">
        <v>24203</v>
      </c>
      <c r="AV179" t="s">
        <v>50</v>
      </c>
      <c r="AW179" s="2146">
        <v>22612</v>
      </c>
      <c r="AX179" s="2146" t="s">
        <v>50</v>
      </c>
      <c r="AZ179" t="s">
        <v>6121</v>
      </c>
    </row>
    <row r="180" spans="1:52">
      <c r="A180" t="s">
        <v>2065</v>
      </c>
      <c r="B180" t="s">
        <v>116</v>
      </c>
      <c r="C180" t="s">
        <v>1989</v>
      </c>
      <c r="D180" t="s">
        <v>215</v>
      </c>
      <c r="E180" t="s">
        <v>360</v>
      </c>
      <c r="F180" t="s">
        <v>2031</v>
      </c>
      <c r="P180" t="s">
        <v>3404</v>
      </c>
      <c r="Q180" t="s">
        <v>3537</v>
      </c>
      <c r="R180" t="s">
        <v>3459</v>
      </c>
      <c r="T180" t="s">
        <v>48</v>
      </c>
      <c r="U180" s="534" t="s">
        <v>4940</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50</v>
      </c>
      <c r="AU180">
        <v>16</v>
      </c>
      <c r="AV180" t="s">
        <v>50</v>
      </c>
      <c r="AW180" s="2146">
        <v>37</v>
      </c>
      <c r="AX180" s="2146" t="s">
        <v>50</v>
      </c>
      <c r="AZ180" t="s">
        <v>6122</v>
      </c>
    </row>
    <row r="181" spans="1:52">
      <c r="A181" t="s">
        <v>2065</v>
      </c>
      <c r="B181" t="s">
        <v>116</v>
      </c>
      <c r="C181" t="s">
        <v>1989</v>
      </c>
      <c r="D181" t="s">
        <v>215</v>
      </c>
      <c r="E181" t="s">
        <v>360</v>
      </c>
      <c r="F181" t="s">
        <v>2031</v>
      </c>
      <c r="P181" t="s">
        <v>3406</v>
      </c>
      <c r="Q181" t="s">
        <v>3538</v>
      </c>
      <c r="R181" t="s">
        <v>3390</v>
      </c>
      <c r="T181" t="s">
        <v>76</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50</v>
      </c>
      <c r="AU181">
        <v>0.53</v>
      </c>
      <c r="AV181" t="s">
        <v>50</v>
      </c>
      <c r="AW181" s="2146">
        <v>1.79</v>
      </c>
      <c r="AX181" s="2146" t="s">
        <v>50</v>
      </c>
      <c r="AZ181" t="s">
        <v>6123</v>
      </c>
    </row>
    <row r="182" spans="1:52">
      <c r="A182" t="s">
        <v>2065</v>
      </c>
      <c r="B182" t="s">
        <v>116</v>
      </c>
      <c r="C182" t="s">
        <v>1989</v>
      </c>
      <c r="D182" t="s">
        <v>215</v>
      </c>
      <c r="E182" t="s">
        <v>360</v>
      </c>
      <c r="F182" t="s">
        <v>2031</v>
      </c>
      <c r="P182" t="s">
        <v>3408</v>
      </c>
      <c r="Q182" t="s">
        <v>3539</v>
      </c>
      <c r="R182" t="s">
        <v>3388</v>
      </c>
      <c r="T182" t="s">
        <v>76</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50</v>
      </c>
      <c r="AU182">
        <v>0.02</v>
      </c>
      <c r="AV182" t="s">
        <v>50</v>
      </c>
      <c r="AW182" s="2146">
        <v>4.45</v>
      </c>
      <c r="AX182" s="2146" t="s">
        <v>46</v>
      </c>
      <c r="AZ182" t="s">
        <v>6124</v>
      </c>
    </row>
    <row r="183" spans="1:52">
      <c r="A183" t="s">
        <v>2065</v>
      </c>
      <c r="B183" t="s">
        <v>116</v>
      </c>
      <c r="C183" t="s">
        <v>1989</v>
      </c>
      <c r="D183" t="s">
        <v>215</v>
      </c>
      <c r="E183" t="s">
        <v>360</v>
      </c>
      <c r="F183" t="s">
        <v>2031</v>
      </c>
      <c r="P183" t="s">
        <v>3410</v>
      </c>
      <c r="Q183" t="s">
        <v>3531</v>
      </c>
      <c r="R183" t="s">
        <v>3462</v>
      </c>
      <c r="T183" t="s">
        <v>48</v>
      </c>
      <c r="U183" s="534" t="s">
        <v>4940</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46</v>
      </c>
      <c r="AU183">
        <v>33664</v>
      </c>
      <c r="AV183" t="s">
        <v>46</v>
      </c>
      <c r="AW183" s="2146">
        <v>32887</v>
      </c>
      <c r="AX183" s="2146" t="s">
        <v>46</v>
      </c>
      <c r="AZ183" t="s">
        <v>6116</v>
      </c>
    </row>
    <row r="184" spans="1:52">
      <c r="A184" t="s">
        <v>2252</v>
      </c>
      <c r="B184" t="s">
        <v>116</v>
      </c>
      <c r="C184" t="s">
        <v>2237</v>
      </c>
      <c r="D184" t="s">
        <v>41</v>
      </c>
      <c r="E184" t="s">
        <v>1626</v>
      </c>
      <c r="F184" t="s">
        <v>2254</v>
      </c>
      <c r="G184" t="s">
        <v>5408</v>
      </c>
      <c r="H184" t="s">
        <v>91</v>
      </c>
      <c r="I184" t="s">
        <v>323</v>
      </c>
      <c r="J184" t="s">
        <v>202</v>
      </c>
      <c r="O184" t="s">
        <v>202</v>
      </c>
      <c r="P184" t="s">
        <v>3361</v>
      </c>
      <c r="Q184" t="s">
        <v>2254</v>
      </c>
      <c r="T184" t="s">
        <v>200</v>
      </c>
      <c r="U184" t="s">
        <v>51</v>
      </c>
      <c r="AR184" t="s">
        <v>202</v>
      </c>
      <c r="AS184" t="s">
        <v>202</v>
      </c>
      <c r="AU184" t="s">
        <v>3320</v>
      </c>
      <c r="AV184" t="s">
        <v>2148</v>
      </c>
      <c r="AW184" s="2146" t="s">
        <v>202</v>
      </c>
      <c r="AX184" s="2146" t="s">
        <v>2148</v>
      </c>
      <c r="AZ184" t="s">
        <v>3321</v>
      </c>
    </row>
    <row r="185" spans="1:52">
      <c r="A185" t="s">
        <v>2252</v>
      </c>
      <c r="B185" t="s">
        <v>116</v>
      </c>
      <c r="C185" t="s">
        <v>2237</v>
      </c>
      <c r="D185" t="s">
        <v>41</v>
      </c>
      <c r="E185" t="s">
        <v>1626</v>
      </c>
      <c r="F185" t="s">
        <v>2254</v>
      </c>
      <c r="P185" t="s">
        <v>3362</v>
      </c>
      <c r="Q185" t="s">
        <v>3433</v>
      </c>
      <c r="R185" t="s">
        <v>3377</v>
      </c>
      <c r="T185" t="s">
        <v>76</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50</v>
      </c>
      <c r="AW185" s="2146">
        <v>1.4E-2</v>
      </c>
      <c r="AX185" s="2146" t="s">
        <v>50</v>
      </c>
      <c r="AZ185" t="s">
        <v>6125</v>
      </c>
    </row>
    <row r="186" spans="1:52">
      <c r="A186" t="s">
        <v>2252</v>
      </c>
      <c r="B186" t="s">
        <v>116</v>
      </c>
      <c r="C186" t="s">
        <v>2237</v>
      </c>
      <c r="D186" t="s">
        <v>41</v>
      </c>
      <c r="E186" t="s">
        <v>1626</v>
      </c>
      <c r="F186" t="s">
        <v>2254</v>
      </c>
      <c r="P186" t="s">
        <v>3365</v>
      </c>
      <c r="Q186" t="s">
        <v>3540</v>
      </c>
      <c r="R186" t="s">
        <v>3379</v>
      </c>
      <c r="T186" t="s">
        <v>76</v>
      </c>
      <c r="U186">
        <v>2</v>
      </c>
      <c r="X186">
        <v>0</v>
      </c>
      <c r="Y186">
        <v>0</v>
      </c>
      <c r="Z186">
        <v>0</v>
      </c>
      <c r="AA186">
        <v>0</v>
      </c>
      <c r="AB186">
        <v>0</v>
      </c>
      <c r="AE186">
        <v>0.24</v>
      </c>
      <c r="AF186">
        <v>0.24</v>
      </c>
      <c r="AG186">
        <v>0.24</v>
      </c>
      <c r="AH186">
        <v>0.24</v>
      </c>
      <c r="AI186">
        <v>0.24</v>
      </c>
      <c r="AR186">
        <v>0</v>
      </c>
      <c r="AS186">
        <v>0</v>
      </c>
      <c r="AU186">
        <v>0</v>
      </c>
      <c r="AV186" t="s">
        <v>50</v>
      </c>
      <c r="AW186" s="2146">
        <v>0</v>
      </c>
      <c r="AX186" s="2146" t="s">
        <v>50</v>
      </c>
      <c r="AZ186" t="s">
        <v>6126</v>
      </c>
    </row>
    <row r="187" spans="1:52">
      <c r="A187" t="s">
        <v>2252</v>
      </c>
      <c r="B187" t="s">
        <v>116</v>
      </c>
      <c r="C187" t="s">
        <v>2237</v>
      </c>
      <c r="D187" t="s">
        <v>41</v>
      </c>
      <c r="E187" t="s">
        <v>1626</v>
      </c>
      <c r="F187" t="s">
        <v>2254</v>
      </c>
      <c r="P187" t="s">
        <v>3370</v>
      </c>
      <c r="Q187" t="s">
        <v>3541</v>
      </c>
      <c r="R187" t="s">
        <v>3380</v>
      </c>
      <c r="T187" t="s">
        <v>48</v>
      </c>
      <c r="U187" s="534" t="s">
        <v>4940</v>
      </c>
      <c r="X187">
        <v>0</v>
      </c>
      <c r="Y187">
        <v>0</v>
      </c>
      <c r="Z187">
        <v>0</v>
      </c>
      <c r="AA187">
        <v>0</v>
      </c>
      <c r="AB187">
        <v>0</v>
      </c>
      <c r="AE187">
        <v>4</v>
      </c>
      <c r="AF187">
        <v>4</v>
      </c>
      <c r="AG187">
        <v>4</v>
      </c>
      <c r="AH187">
        <v>4</v>
      </c>
      <c r="AI187">
        <v>4</v>
      </c>
      <c r="AR187">
        <v>0</v>
      </c>
      <c r="AS187">
        <v>0</v>
      </c>
      <c r="AU187">
        <v>1</v>
      </c>
      <c r="AV187" t="s">
        <v>46</v>
      </c>
      <c r="AW187" s="2146">
        <v>0</v>
      </c>
      <c r="AX187" s="2146" t="s">
        <v>50</v>
      </c>
      <c r="AZ187" t="s">
        <v>6127</v>
      </c>
    </row>
    <row r="188" spans="1:52">
      <c r="A188" t="s">
        <v>2252</v>
      </c>
      <c r="B188" t="s">
        <v>116</v>
      </c>
      <c r="C188" t="s">
        <v>2237</v>
      </c>
      <c r="D188" t="s">
        <v>41</v>
      </c>
      <c r="E188" t="s">
        <v>1626</v>
      </c>
      <c r="F188" t="s">
        <v>2254</v>
      </c>
      <c r="P188" t="s">
        <v>3373</v>
      </c>
      <c r="Q188" t="s">
        <v>3542</v>
      </c>
      <c r="R188" t="s">
        <v>3412</v>
      </c>
      <c r="T188" t="s">
        <v>48</v>
      </c>
      <c r="U188" s="534" t="s">
        <v>4940</v>
      </c>
      <c r="X188">
        <v>0</v>
      </c>
      <c r="Y188">
        <v>0</v>
      </c>
      <c r="Z188">
        <v>0</v>
      </c>
      <c r="AA188">
        <v>0</v>
      </c>
      <c r="AB188">
        <v>0</v>
      </c>
      <c r="AE188">
        <v>1</v>
      </c>
      <c r="AF188">
        <v>1</v>
      </c>
      <c r="AG188">
        <v>1</v>
      </c>
      <c r="AH188">
        <v>1</v>
      </c>
      <c r="AI188">
        <v>1</v>
      </c>
      <c r="AR188">
        <v>0</v>
      </c>
      <c r="AS188">
        <v>0</v>
      </c>
      <c r="AU188">
        <v>0</v>
      </c>
      <c r="AV188" t="s">
        <v>50</v>
      </c>
      <c r="AW188" s="2146">
        <v>1</v>
      </c>
      <c r="AX188" s="2146" t="s">
        <v>46</v>
      </c>
      <c r="AZ188" t="s">
        <v>6128</v>
      </c>
    </row>
    <row r="189" spans="1:52">
      <c r="A189" t="s">
        <v>2252</v>
      </c>
      <c r="B189" t="s">
        <v>116</v>
      </c>
      <c r="C189" t="s">
        <v>2237</v>
      </c>
      <c r="D189" t="s">
        <v>41</v>
      </c>
      <c r="E189" t="s">
        <v>1626</v>
      </c>
      <c r="F189" t="s">
        <v>2254</v>
      </c>
      <c r="P189" t="s">
        <v>3402</v>
      </c>
      <c r="Q189" t="s">
        <v>3543</v>
      </c>
      <c r="R189" t="s">
        <v>3544</v>
      </c>
      <c r="T189" t="s">
        <v>48</v>
      </c>
      <c r="U189" s="534" t="s">
        <v>4940</v>
      </c>
      <c r="X189">
        <v>6771</v>
      </c>
      <c r="Y189">
        <v>6771</v>
      </c>
      <c r="Z189">
        <v>6771</v>
      </c>
      <c r="AA189">
        <v>6771</v>
      </c>
      <c r="AB189">
        <v>6771</v>
      </c>
      <c r="AE189">
        <v>8380</v>
      </c>
      <c r="AF189">
        <v>8380</v>
      </c>
      <c r="AG189">
        <v>8380</v>
      </c>
      <c r="AH189">
        <v>8380</v>
      </c>
      <c r="AI189">
        <v>8380</v>
      </c>
      <c r="AR189">
        <v>4381</v>
      </c>
      <c r="AS189">
        <v>3955</v>
      </c>
      <c r="AU189">
        <v>4386</v>
      </c>
      <c r="AV189" t="s">
        <v>50</v>
      </c>
      <c r="AW189" s="2146">
        <v>3744</v>
      </c>
      <c r="AX189" s="2146" t="s">
        <v>50</v>
      </c>
      <c r="AZ189" t="s">
        <v>6129</v>
      </c>
    </row>
    <row r="190" spans="1:52">
      <c r="A190" t="s">
        <v>2267</v>
      </c>
      <c r="B190" t="s">
        <v>116</v>
      </c>
      <c r="C190" t="s">
        <v>2237</v>
      </c>
      <c r="D190" t="s">
        <v>41</v>
      </c>
      <c r="E190" t="s">
        <v>1649</v>
      </c>
      <c r="F190" t="s">
        <v>2269</v>
      </c>
      <c r="G190" t="s">
        <v>5408</v>
      </c>
      <c r="H190" t="s">
        <v>91</v>
      </c>
      <c r="I190" t="s">
        <v>323</v>
      </c>
      <c r="J190" t="s">
        <v>202</v>
      </c>
      <c r="O190" t="s">
        <v>202</v>
      </c>
      <c r="P190" t="s">
        <v>3361</v>
      </c>
      <c r="Q190" t="s">
        <v>2269</v>
      </c>
      <c r="T190" t="s">
        <v>200</v>
      </c>
      <c r="U190" t="s">
        <v>51</v>
      </c>
      <c r="AR190" t="s">
        <v>202</v>
      </c>
      <c r="AS190" t="s">
        <v>202</v>
      </c>
      <c r="AU190" t="s">
        <v>202</v>
      </c>
      <c r="AV190" t="s">
        <v>2148</v>
      </c>
      <c r="AW190" s="2146" t="s">
        <v>202</v>
      </c>
      <c r="AX190" s="2146" t="s">
        <v>2148</v>
      </c>
      <c r="AZ190" t="s">
        <v>3322</v>
      </c>
    </row>
    <row r="191" spans="1:52">
      <c r="A191" t="s">
        <v>2267</v>
      </c>
      <c r="B191" t="s">
        <v>116</v>
      </c>
      <c r="C191" t="s">
        <v>2237</v>
      </c>
      <c r="D191" t="s">
        <v>41</v>
      </c>
      <c r="E191" t="s">
        <v>1649</v>
      </c>
      <c r="F191" t="s">
        <v>2269</v>
      </c>
      <c r="P191" t="s">
        <v>3362</v>
      </c>
      <c r="Q191" t="s">
        <v>3397</v>
      </c>
      <c r="R191" t="s">
        <v>3367</v>
      </c>
      <c r="T191" t="s">
        <v>48</v>
      </c>
      <c r="U191" s="534" t="s">
        <v>4940</v>
      </c>
      <c r="X191">
        <v>6000</v>
      </c>
      <c r="Y191">
        <v>6000</v>
      </c>
      <c r="Z191">
        <v>6000</v>
      </c>
      <c r="AA191">
        <v>6000</v>
      </c>
      <c r="AB191">
        <v>6000</v>
      </c>
      <c r="AE191">
        <v>7710</v>
      </c>
      <c r="AF191">
        <v>7710</v>
      </c>
      <c r="AG191">
        <v>7710</v>
      </c>
      <c r="AH191">
        <v>7710</v>
      </c>
      <c r="AI191">
        <v>7710</v>
      </c>
      <c r="AR191">
        <v>5917</v>
      </c>
      <c r="AS191">
        <v>5027</v>
      </c>
      <c r="AU191">
        <v>5724</v>
      </c>
      <c r="AV191" t="s">
        <v>50</v>
      </c>
      <c r="AW191" s="2146">
        <v>6858</v>
      </c>
      <c r="AX191" s="2146" t="s">
        <v>46</v>
      </c>
      <c r="AZ191" t="s">
        <v>6130</v>
      </c>
    </row>
    <row r="192" spans="1:52">
      <c r="A192" t="s">
        <v>2267</v>
      </c>
      <c r="B192" t="s">
        <v>116</v>
      </c>
      <c r="C192" t="s">
        <v>2237</v>
      </c>
      <c r="D192" t="s">
        <v>41</v>
      </c>
      <c r="E192" t="s">
        <v>1649</v>
      </c>
      <c r="F192" t="s">
        <v>2269</v>
      </c>
      <c r="P192" t="s">
        <v>3365</v>
      </c>
      <c r="Q192" t="s">
        <v>3545</v>
      </c>
      <c r="R192" t="s">
        <v>3364</v>
      </c>
      <c r="T192" t="s">
        <v>48</v>
      </c>
      <c r="U192" s="534" t="s">
        <v>4940</v>
      </c>
      <c r="X192">
        <v>220</v>
      </c>
      <c r="Y192">
        <v>220</v>
      </c>
      <c r="Z192">
        <v>220</v>
      </c>
      <c r="AA192">
        <v>220</v>
      </c>
      <c r="AB192">
        <v>220</v>
      </c>
      <c r="AE192">
        <v>659</v>
      </c>
      <c r="AF192">
        <v>659</v>
      </c>
      <c r="AG192">
        <v>659</v>
      </c>
      <c r="AH192">
        <v>659</v>
      </c>
      <c r="AI192">
        <v>659</v>
      </c>
      <c r="AR192">
        <v>271</v>
      </c>
      <c r="AS192">
        <v>3414</v>
      </c>
      <c r="AU192">
        <v>114</v>
      </c>
      <c r="AV192" t="s">
        <v>50</v>
      </c>
      <c r="AW192" s="2146">
        <v>320</v>
      </c>
      <c r="AX192" s="2146" t="s">
        <v>46</v>
      </c>
      <c r="AZ192" t="s">
        <v>6131</v>
      </c>
    </row>
    <row r="193" spans="1:52">
      <c r="A193" t="s">
        <v>2267</v>
      </c>
      <c r="B193" t="s">
        <v>116</v>
      </c>
      <c r="C193" t="s">
        <v>2237</v>
      </c>
      <c r="D193" t="s">
        <v>41</v>
      </c>
      <c r="E193" t="s">
        <v>1649</v>
      </c>
      <c r="F193" t="s">
        <v>2269</v>
      </c>
      <c r="P193" t="s">
        <v>3370</v>
      </c>
      <c r="Q193" t="s">
        <v>3546</v>
      </c>
      <c r="R193" t="s">
        <v>3393</v>
      </c>
      <c r="T193" t="s">
        <v>48</v>
      </c>
      <c r="U193" s="534" t="s">
        <v>4940</v>
      </c>
      <c r="X193">
        <v>15</v>
      </c>
      <c r="Y193">
        <v>15</v>
      </c>
      <c r="Z193">
        <v>15</v>
      </c>
      <c r="AA193">
        <v>15</v>
      </c>
      <c r="AB193">
        <v>15</v>
      </c>
      <c r="AE193">
        <v>67</v>
      </c>
      <c r="AF193">
        <v>67</v>
      </c>
      <c r="AG193">
        <v>67</v>
      </c>
      <c r="AH193">
        <v>67</v>
      </c>
      <c r="AI193">
        <v>67</v>
      </c>
      <c r="AR193">
        <v>9</v>
      </c>
      <c r="AS193">
        <v>11</v>
      </c>
      <c r="AU193">
        <v>8</v>
      </c>
      <c r="AV193" t="s">
        <v>50</v>
      </c>
      <c r="AW193" s="2146">
        <v>11</v>
      </c>
      <c r="AX193" s="2146" t="s">
        <v>50</v>
      </c>
      <c r="AZ193" t="s">
        <v>6132</v>
      </c>
    </row>
    <row r="194" spans="1:52">
      <c r="A194" t="s">
        <v>2267</v>
      </c>
      <c r="B194" t="s">
        <v>116</v>
      </c>
      <c r="C194" t="s">
        <v>2237</v>
      </c>
      <c r="D194" t="s">
        <v>41</v>
      </c>
      <c r="E194" t="s">
        <v>1649</v>
      </c>
      <c r="F194" t="s">
        <v>2269</v>
      </c>
      <c r="P194" t="s">
        <v>3373</v>
      </c>
      <c r="Q194" t="s">
        <v>3547</v>
      </c>
      <c r="R194" t="s">
        <v>3372</v>
      </c>
      <c r="T194" t="s">
        <v>48</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50</v>
      </c>
      <c r="AW194" s="2146">
        <v>0.67400000000000004</v>
      </c>
      <c r="AX194" s="2146" t="s">
        <v>50</v>
      </c>
      <c r="AZ194" t="s">
        <v>6133</v>
      </c>
    </row>
    <row r="195" spans="1:52">
      <c r="A195" t="s">
        <v>2267</v>
      </c>
      <c r="B195" t="s">
        <v>116</v>
      </c>
      <c r="C195" t="s">
        <v>2237</v>
      </c>
      <c r="D195" t="s">
        <v>41</v>
      </c>
      <c r="E195" t="s">
        <v>1649</v>
      </c>
      <c r="F195" t="s">
        <v>2269</v>
      </c>
      <c r="P195" t="s">
        <v>3402</v>
      </c>
      <c r="Q195" t="s">
        <v>3548</v>
      </c>
      <c r="R195" t="s">
        <v>3375</v>
      </c>
      <c r="T195" t="s">
        <v>76</v>
      </c>
      <c r="U195">
        <v>3</v>
      </c>
      <c r="X195">
        <v>0.2</v>
      </c>
      <c r="Y195">
        <v>0.2</v>
      </c>
      <c r="Z195">
        <v>0.2</v>
      </c>
      <c r="AA195">
        <v>0.2</v>
      </c>
      <c r="AB195">
        <v>0.2</v>
      </c>
      <c r="AE195">
        <v>0.34</v>
      </c>
      <c r="AF195">
        <v>0.34</v>
      </c>
      <c r="AG195">
        <v>0.34</v>
      </c>
      <c r="AH195">
        <v>0.34</v>
      </c>
      <c r="AI195">
        <v>0.34</v>
      </c>
      <c r="AR195">
        <v>0.186</v>
      </c>
      <c r="AS195">
        <v>0.14199999999999999</v>
      </c>
      <c r="AU195">
        <v>6.8000000000000005E-2</v>
      </c>
      <c r="AV195" t="s">
        <v>50</v>
      </c>
      <c r="AW195" s="2146">
        <v>0.08</v>
      </c>
      <c r="AX195" s="2146" t="s">
        <v>50</v>
      </c>
      <c r="AZ195" t="s">
        <v>6134</v>
      </c>
    </row>
    <row r="196" spans="1:52">
      <c r="A196" t="s">
        <v>2267</v>
      </c>
      <c r="B196" t="s">
        <v>116</v>
      </c>
      <c r="C196" t="s">
        <v>2237</v>
      </c>
      <c r="D196" t="s">
        <v>41</v>
      </c>
      <c r="E196" t="s">
        <v>1649</v>
      </c>
      <c r="F196" t="s">
        <v>2269</v>
      </c>
      <c r="P196" t="s">
        <v>3404</v>
      </c>
      <c r="Q196" t="s">
        <v>3543</v>
      </c>
      <c r="R196" t="s">
        <v>3549</v>
      </c>
      <c r="T196" t="s">
        <v>48</v>
      </c>
      <c r="U196" s="534" t="s">
        <v>4940</v>
      </c>
      <c r="X196">
        <v>1825</v>
      </c>
      <c r="Y196">
        <v>1825</v>
      </c>
      <c r="Z196">
        <v>1825</v>
      </c>
      <c r="AA196">
        <v>1825</v>
      </c>
      <c r="AB196">
        <v>1825</v>
      </c>
      <c r="AE196">
        <v>2261</v>
      </c>
      <c r="AF196">
        <v>2261</v>
      </c>
      <c r="AG196">
        <v>2261</v>
      </c>
      <c r="AH196">
        <v>2261</v>
      </c>
      <c r="AI196">
        <v>2261</v>
      </c>
      <c r="AR196">
        <v>1378</v>
      </c>
      <c r="AS196">
        <v>1339</v>
      </c>
      <c r="AU196">
        <v>1228</v>
      </c>
      <c r="AV196" t="s">
        <v>50</v>
      </c>
      <c r="AW196" s="2146">
        <v>942</v>
      </c>
      <c r="AX196" s="2146" t="s">
        <v>50</v>
      </c>
      <c r="AZ196" t="s">
        <v>6129</v>
      </c>
    </row>
    <row r="197" spans="1:52">
      <c r="A197" t="s">
        <v>2311</v>
      </c>
      <c r="B197" t="s">
        <v>116</v>
      </c>
      <c r="C197" t="s">
        <v>2237</v>
      </c>
      <c r="D197" t="s">
        <v>215</v>
      </c>
      <c r="E197" t="s">
        <v>2312</v>
      </c>
      <c r="F197" t="s">
        <v>2314</v>
      </c>
      <c r="G197" t="s">
        <v>5408</v>
      </c>
      <c r="H197" t="s">
        <v>273</v>
      </c>
      <c r="I197" t="s">
        <v>323</v>
      </c>
      <c r="J197" t="s">
        <v>202</v>
      </c>
      <c r="O197" t="s">
        <v>202</v>
      </c>
      <c r="P197" t="s">
        <v>3361</v>
      </c>
      <c r="Q197" t="s">
        <v>2314</v>
      </c>
      <c r="T197" t="s">
        <v>200</v>
      </c>
      <c r="U197" t="s">
        <v>51</v>
      </c>
      <c r="AR197" t="s">
        <v>202</v>
      </c>
      <c r="AS197" t="s">
        <v>202</v>
      </c>
      <c r="AU197" t="s">
        <v>3320</v>
      </c>
      <c r="AV197" t="s">
        <v>2148</v>
      </c>
      <c r="AW197" s="2146" t="s">
        <v>202</v>
      </c>
      <c r="AX197" s="2146" t="s">
        <v>2148</v>
      </c>
      <c r="AZ197" t="s">
        <v>3324</v>
      </c>
    </row>
    <row r="198" spans="1:52">
      <c r="A198" t="s">
        <v>2311</v>
      </c>
      <c r="B198" t="s">
        <v>116</v>
      </c>
      <c r="C198" t="s">
        <v>2237</v>
      </c>
      <c r="D198" t="s">
        <v>215</v>
      </c>
      <c r="E198" t="s">
        <v>2312</v>
      </c>
      <c r="F198" t="s">
        <v>2314</v>
      </c>
      <c r="P198" t="s">
        <v>3362</v>
      </c>
      <c r="Q198" t="s">
        <v>3382</v>
      </c>
      <c r="R198" t="s">
        <v>3383</v>
      </c>
      <c r="T198" t="s">
        <v>48</v>
      </c>
      <c r="U198" s="534" t="s">
        <v>4940</v>
      </c>
      <c r="X198">
        <v>255</v>
      </c>
      <c r="Y198">
        <v>255</v>
      </c>
      <c r="Z198">
        <v>255</v>
      </c>
      <c r="AA198">
        <v>255</v>
      </c>
      <c r="AB198">
        <v>255</v>
      </c>
      <c r="AE198">
        <v>369</v>
      </c>
      <c r="AF198">
        <v>369</v>
      </c>
      <c r="AG198">
        <v>369</v>
      </c>
      <c r="AH198">
        <v>369</v>
      </c>
      <c r="AI198">
        <v>369</v>
      </c>
      <c r="AR198">
        <v>294</v>
      </c>
      <c r="AS198">
        <v>261</v>
      </c>
      <c r="AU198">
        <v>243</v>
      </c>
      <c r="AV198" t="s">
        <v>50</v>
      </c>
      <c r="AW198" s="2146">
        <v>218</v>
      </c>
      <c r="AX198" s="2146" t="s">
        <v>50</v>
      </c>
      <c r="AZ198" t="s">
        <v>6135</v>
      </c>
    </row>
    <row r="199" spans="1:52">
      <c r="A199" t="s">
        <v>2311</v>
      </c>
      <c r="B199" t="s">
        <v>116</v>
      </c>
      <c r="C199" t="s">
        <v>2237</v>
      </c>
      <c r="D199" t="s">
        <v>215</v>
      </c>
      <c r="E199" t="s">
        <v>2312</v>
      </c>
      <c r="F199" t="s">
        <v>2314</v>
      </c>
      <c r="P199" t="s">
        <v>3365</v>
      </c>
      <c r="Q199" t="s">
        <v>3550</v>
      </c>
      <c r="R199" t="s">
        <v>3381</v>
      </c>
      <c r="T199" t="s">
        <v>48</v>
      </c>
      <c r="U199" s="534" t="s">
        <v>4940</v>
      </c>
      <c r="X199">
        <v>203</v>
      </c>
      <c r="Y199">
        <v>203</v>
      </c>
      <c r="Z199">
        <v>203</v>
      </c>
      <c r="AA199">
        <v>203</v>
      </c>
      <c r="AB199">
        <v>203</v>
      </c>
      <c r="AE199">
        <v>251</v>
      </c>
      <c r="AF199">
        <v>251</v>
      </c>
      <c r="AG199">
        <v>251</v>
      </c>
      <c r="AH199">
        <v>251</v>
      </c>
      <c r="AI199">
        <v>251</v>
      </c>
      <c r="AR199">
        <v>133</v>
      </c>
      <c r="AS199">
        <v>140</v>
      </c>
      <c r="AU199">
        <v>167</v>
      </c>
      <c r="AV199" t="s">
        <v>50</v>
      </c>
      <c r="AW199" s="2146">
        <v>172</v>
      </c>
      <c r="AX199" s="2146" t="s">
        <v>50</v>
      </c>
      <c r="AZ199" t="s">
        <v>6136</v>
      </c>
    </row>
    <row r="200" spans="1:52">
      <c r="A200" t="s">
        <v>2311</v>
      </c>
      <c r="B200" t="s">
        <v>116</v>
      </c>
      <c r="C200" t="s">
        <v>2237</v>
      </c>
      <c r="D200" t="s">
        <v>215</v>
      </c>
      <c r="E200" t="s">
        <v>2312</v>
      </c>
      <c r="F200" t="s">
        <v>2314</v>
      </c>
      <c r="P200" t="s">
        <v>3370</v>
      </c>
      <c r="Q200" t="s">
        <v>3456</v>
      </c>
      <c r="R200" t="s">
        <v>3385</v>
      </c>
      <c r="T200" t="s">
        <v>48</v>
      </c>
      <c r="U200" s="534" t="s">
        <v>4940</v>
      </c>
      <c r="X200">
        <v>302</v>
      </c>
      <c r="Y200">
        <v>302</v>
      </c>
      <c r="Z200">
        <v>302</v>
      </c>
      <c r="AA200">
        <v>302</v>
      </c>
      <c r="AB200">
        <v>302</v>
      </c>
      <c r="AE200">
        <v>379</v>
      </c>
      <c r="AF200">
        <v>379</v>
      </c>
      <c r="AG200">
        <v>379</v>
      </c>
      <c r="AH200">
        <v>379</v>
      </c>
      <c r="AI200">
        <v>379</v>
      </c>
      <c r="AR200">
        <v>292</v>
      </c>
      <c r="AS200">
        <v>346</v>
      </c>
      <c r="AU200">
        <v>372</v>
      </c>
      <c r="AV200" t="s">
        <v>46</v>
      </c>
      <c r="AW200" s="2146">
        <v>387</v>
      </c>
      <c r="AX200" s="2146" t="s">
        <v>46</v>
      </c>
      <c r="AZ200" t="s">
        <v>6137</v>
      </c>
    </row>
    <row r="201" spans="1:52">
      <c r="A201" t="s">
        <v>2311</v>
      </c>
      <c r="B201" t="s">
        <v>116</v>
      </c>
      <c r="C201" t="s">
        <v>2237</v>
      </c>
      <c r="D201" t="s">
        <v>215</v>
      </c>
      <c r="E201" t="s">
        <v>2312</v>
      </c>
      <c r="F201" t="s">
        <v>2314</v>
      </c>
      <c r="P201" t="s">
        <v>3373</v>
      </c>
      <c r="Q201" t="s">
        <v>3551</v>
      </c>
      <c r="R201" t="s">
        <v>3385</v>
      </c>
      <c r="T201" t="s">
        <v>48</v>
      </c>
      <c r="U201" s="534" t="s">
        <v>4940</v>
      </c>
      <c r="X201">
        <v>72</v>
      </c>
      <c r="Y201">
        <v>72</v>
      </c>
      <c r="Z201">
        <v>72</v>
      </c>
      <c r="AA201">
        <v>72</v>
      </c>
      <c r="AB201">
        <v>72</v>
      </c>
      <c r="AE201">
        <v>110</v>
      </c>
      <c r="AF201">
        <v>110</v>
      </c>
      <c r="AG201">
        <v>110</v>
      </c>
      <c r="AH201">
        <v>110</v>
      </c>
      <c r="AI201">
        <v>110</v>
      </c>
      <c r="AR201">
        <v>113</v>
      </c>
      <c r="AS201">
        <v>50</v>
      </c>
      <c r="AU201">
        <v>33</v>
      </c>
      <c r="AV201" t="s">
        <v>50</v>
      </c>
      <c r="AW201" s="2146">
        <v>12</v>
      </c>
      <c r="AX201" s="2146" t="s">
        <v>50</v>
      </c>
      <c r="AZ201" t="s">
        <v>6138</v>
      </c>
    </row>
    <row r="202" spans="1:52">
      <c r="A202" t="s">
        <v>2311</v>
      </c>
      <c r="B202" t="s">
        <v>116</v>
      </c>
      <c r="C202" t="s">
        <v>2237</v>
      </c>
      <c r="D202" t="s">
        <v>215</v>
      </c>
      <c r="E202" t="s">
        <v>2312</v>
      </c>
      <c r="F202" t="s">
        <v>2314</v>
      </c>
      <c r="P202" t="s">
        <v>3402</v>
      </c>
      <c r="Q202" t="s">
        <v>3386</v>
      </c>
      <c r="R202" t="s">
        <v>3386</v>
      </c>
      <c r="T202" t="s">
        <v>48</v>
      </c>
      <c r="U202" s="534" t="s">
        <v>4940</v>
      </c>
      <c r="X202">
        <v>20695</v>
      </c>
      <c r="Y202">
        <v>20695</v>
      </c>
      <c r="Z202">
        <v>20695</v>
      </c>
      <c r="AA202">
        <v>20695</v>
      </c>
      <c r="AB202">
        <v>20695</v>
      </c>
      <c r="AE202">
        <v>22936</v>
      </c>
      <c r="AF202">
        <v>22936</v>
      </c>
      <c r="AG202">
        <v>22936</v>
      </c>
      <c r="AH202">
        <v>22936</v>
      </c>
      <c r="AI202">
        <v>22936</v>
      </c>
      <c r="AR202">
        <v>18337</v>
      </c>
      <c r="AS202">
        <v>19423</v>
      </c>
      <c r="AU202">
        <v>17398</v>
      </c>
      <c r="AV202" t="s">
        <v>50</v>
      </c>
      <c r="AW202" s="2146">
        <v>14917</v>
      </c>
      <c r="AX202" s="2146" t="s">
        <v>50</v>
      </c>
      <c r="AZ202" t="s">
        <v>6139</v>
      </c>
    </row>
    <row r="203" spans="1:52">
      <c r="A203" t="s">
        <v>2311</v>
      </c>
      <c r="B203" t="s">
        <v>116</v>
      </c>
      <c r="C203" t="s">
        <v>2237</v>
      </c>
      <c r="D203" t="s">
        <v>215</v>
      </c>
      <c r="E203" t="s">
        <v>2312</v>
      </c>
      <c r="F203" t="s">
        <v>2314</v>
      </c>
      <c r="P203" t="s">
        <v>3404</v>
      </c>
      <c r="Q203" t="s">
        <v>3543</v>
      </c>
      <c r="R203" t="s">
        <v>3459</v>
      </c>
      <c r="T203" t="s">
        <v>48</v>
      </c>
      <c r="U203" s="534" t="s">
        <v>4940</v>
      </c>
      <c r="X203">
        <v>5869</v>
      </c>
      <c r="Y203">
        <v>5869</v>
      </c>
      <c r="Z203">
        <v>5869</v>
      </c>
      <c r="AA203">
        <v>5869</v>
      </c>
      <c r="AB203">
        <v>5869</v>
      </c>
      <c r="AE203">
        <v>7282</v>
      </c>
      <c r="AF203">
        <v>7282</v>
      </c>
      <c r="AG203">
        <v>7282</v>
      </c>
      <c r="AH203">
        <v>7282</v>
      </c>
      <c r="AI203">
        <v>7282</v>
      </c>
      <c r="AR203">
        <v>3591</v>
      </c>
      <c r="AS203">
        <v>3364</v>
      </c>
      <c r="AU203">
        <v>3695</v>
      </c>
      <c r="AV203" t="s">
        <v>50</v>
      </c>
      <c r="AW203" s="2146">
        <v>3400</v>
      </c>
      <c r="AX203" s="2146" t="s">
        <v>50</v>
      </c>
      <c r="AZ203" t="s">
        <v>6129</v>
      </c>
    </row>
    <row r="204" spans="1:52">
      <c r="A204" t="s">
        <v>2319</v>
      </c>
      <c r="B204" t="s">
        <v>116</v>
      </c>
      <c r="C204" t="s">
        <v>2237</v>
      </c>
      <c r="D204" t="s">
        <v>215</v>
      </c>
      <c r="E204" t="s">
        <v>1717</v>
      </c>
      <c r="F204" t="s">
        <v>2321</v>
      </c>
      <c r="G204" t="s">
        <v>5408</v>
      </c>
      <c r="H204" t="s">
        <v>273</v>
      </c>
      <c r="I204" t="s">
        <v>323</v>
      </c>
      <c r="J204" t="s">
        <v>202</v>
      </c>
      <c r="O204" t="s">
        <v>202</v>
      </c>
      <c r="P204" t="s">
        <v>3361</v>
      </c>
      <c r="Q204" t="s">
        <v>2321</v>
      </c>
      <c r="T204" t="s">
        <v>200</v>
      </c>
      <c r="U204" t="s">
        <v>51</v>
      </c>
      <c r="AR204" t="s">
        <v>202</v>
      </c>
      <c r="AS204" t="s">
        <v>202</v>
      </c>
      <c r="AU204" t="s">
        <v>3320</v>
      </c>
      <c r="AV204" t="s">
        <v>2148</v>
      </c>
      <c r="AW204" s="2146" t="s">
        <v>202</v>
      </c>
      <c r="AX204" s="2146" t="s">
        <v>2148</v>
      </c>
      <c r="AZ204" t="s">
        <v>3325</v>
      </c>
    </row>
    <row r="205" spans="1:52">
      <c r="A205" t="s">
        <v>2319</v>
      </c>
      <c r="B205" t="s">
        <v>116</v>
      </c>
      <c r="C205" t="s">
        <v>2237</v>
      </c>
      <c r="D205" t="s">
        <v>215</v>
      </c>
      <c r="E205" t="s">
        <v>1717</v>
      </c>
      <c r="F205" t="s">
        <v>2321</v>
      </c>
      <c r="P205" t="s">
        <v>3362</v>
      </c>
      <c r="Q205" t="s">
        <v>3552</v>
      </c>
      <c r="R205" t="s">
        <v>3390</v>
      </c>
      <c r="T205" t="s">
        <v>48</v>
      </c>
      <c r="U205" s="534" t="s">
        <v>4940</v>
      </c>
      <c r="X205">
        <v>0</v>
      </c>
      <c r="Y205">
        <v>0</v>
      </c>
      <c r="Z205">
        <v>0</v>
      </c>
      <c r="AA205">
        <v>0</v>
      </c>
      <c r="AB205">
        <v>0</v>
      </c>
      <c r="AE205">
        <v>8</v>
      </c>
      <c r="AF205">
        <v>8</v>
      </c>
      <c r="AG205">
        <v>8</v>
      </c>
      <c r="AH205">
        <v>8</v>
      </c>
      <c r="AI205">
        <v>8</v>
      </c>
      <c r="AR205">
        <v>2</v>
      </c>
      <c r="AS205">
        <v>2</v>
      </c>
      <c r="AU205">
        <v>7</v>
      </c>
      <c r="AV205" t="s">
        <v>46</v>
      </c>
      <c r="AW205" s="2146">
        <v>5</v>
      </c>
      <c r="AX205" s="2146" t="s">
        <v>46</v>
      </c>
      <c r="AZ205" t="s">
        <v>6140</v>
      </c>
    </row>
    <row r="206" spans="1:52">
      <c r="A206" t="s">
        <v>2319</v>
      </c>
      <c r="B206" t="s">
        <v>116</v>
      </c>
      <c r="C206" t="s">
        <v>2237</v>
      </c>
      <c r="D206" t="s">
        <v>215</v>
      </c>
      <c r="E206" t="s">
        <v>1717</v>
      </c>
      <c r="F206" t="s">
        <v>2321</v>
      </c>
      <c r="P206" t="s">
        <v>3365</v>
      </c>
      <c r="Q206" t="s">
        <v>3553</v>
      </c>
      <c r="R206" t="s">
        <v>3388</v>
      </c>
      <c r="T206" t="s">
        <v>76</v>
      </c>
      <c r="U206">
        <v>1</v>
      </c>
      <c r="X206">
        <v>0</v>
      </c>
      <c r="Y206">
        <v>0</v>
      </c>
      <c r="Z206">
        <v>0</v>
      </c>
      <c r="AA206">
        <v>0</v>
      </c>
      <c r="AB206">
        <v>0</v>
      </c>
      <c r="AE206">
        <v>0.6</v>
      </c>
      <c r="AF206">
        <v>0.6</v>
      </c>
      <c r="AG206">
        <v>0.6</v>
      </c>
      <c r="AH206">
        <v>0.6</v>
      </c>
      <c r="AI206">
        <v>0.6</v>
      </c>
      <c r="AR206">
        <v>0</v>
      </c>
      <c r="AS206">
        <v>0</v>
      </c>
      <c r="AU206">
        <v>0.7</v>
      </c>
      <c r="AV206" t="s">
        <v>46</v>
      </c>
      <c r="AW206" s="2146">
        <v>0.01</v>
      </c>
      <c r="AX206" s="2146" t="s">
        <v>50</v>
      </c>
      <c r="AZ206" t="s">
        <v>6141</v>
      </c>
    </row>
    <row r="207" spans="1:52">
      <c r="A207" t="s">
        <v>2319</v>
      </c>
      <c r="B207" t="s">
        <v>116</v>
      </c>
      <c r="C207" t="s">
        <v>2237</v>
      </c>
      <c r="D207" t="s">
        <v>215</v>
      </c>
      <c r="E207" t="s">
        <v>1717</v>
      </c>
      <c r="F207" t="s">
        <v>2321</v>
      </c>
      <c r="P207" t="s">
        <v>3370</v>
      </c>
      <c r="Q207" t="s">
        <v>3543</v>
      </c>
      <c r="R207" t="s">
        <v>3554</v>
      </c>
      <c r="T207" t="s">
        <v>48</v>
      </c>
      <c r="U207" s="534" t="s">
        <v>4940</v>
      </c>
      <c r="X207">
        <v>15651</v>
      </c>
      <c r="Y207">
        <v>15651</v>
      </c>
      <c r="Z207">
        <v>15651</v>
      </c>
      <c r="AA207">
        <v>15651</v>
      </c>
      <c r="AB207">
        <v>15651</v>
      </c>
      <c r="AE207">
        <v>20848</v>
      </c>
      <c r="AF207">
        <v>20848</v>
      </c>
      <c r="AG207">
        <v>20848</v>
      </c>
      <c r="AH207">
        <v>20848</v>
      </c>
      <c r="AI207">
        <v>20848</v>
      </c>
      <c r="AR207">
        <v>11183</v>
      </c>
      <c r="AS207">
        <v>12115</v>
      </c>
      <c r="AU207">
        <v>11564</v>
      </c>
      <c r="AV207" t="s">
        <v>50</v>
      </c>
      <c r="AW207" s="2146">
        <v>10884</v>
      </c>
      <c r="AX207" s="2146" t="s">
        <v>50</v>
      </c>
      <c r="AZ207" t="s">
        <v>6129</v>
      </c>
    </row>
    <row r="208" spans="1:52">
      <c r="A208" t="s">
        <v>13264</v>
      </c>
      <c r="B208" t="s">
        <v>116</v>
      </c>
      <c r="C208" t="s">
        <v>13224</v>
      </c>
      <c r="D208" t="s">
        <v>215</v>
      </c>
      <c r="E208" t="s">
        <v>246</v>
      </c>
      <c r="F208" t="s">
        <v>3215</v>
      </c>
      <c r="G208" t="s">
        <v>5408</v>
      </c>
      <c r="H208" t="s">
        <v>175</v>
      </c>
      <c r="I208" t="s">
        <v>1158</v>
      </c>
      <c r="J208" t="s">
        <v>202</v>
      </c>
      <c r="K208">
        <v>100</v>
      </c>
      <c r="L208">
        <v>100</v>
      </c>
      <c r="M208">
        <v>100</v>
      </c>
      <c r="N208">
        <v>100</v>
      </c>
      <c r="O208">
        <v>100</v>
      </c>
      <c r="P208" t="s">
        <v>3361</v>
      </c>
      <c r="Q208" t="s">
        <v>3215</v>
      </c>
      <c r="T208" t="s">
        <v>76</v>
      </c>
      <c r="U208">
        <v>2</v>
      </c>
      <c r="AU208" t="s">
        <v>2148</v>
      </c>
      <c r="AW208" s="2146" t="s">
        <v>2148</v>
      </c>
    </row>
    <row r="209" spans="1:52">
      <c r="A209" t="s">
        <v>13264</v>
      </c>
      <c r="B209" t="s">
        <v>116</v>
      </c>
      <c r="C209" t="s">
        <v>13224</v>
      </c>
      <c r="D209" t="s">
        <v>215</v>
      </c>
      <c r="E209" t="s">
        <v>246</v>
      </c>
      <c r="F209" t="s">
        <v>3215</v>
      </c>
      <c r="P209" t="s">
        <v>3362</v>
      </c>
      <c r="Q209" t="s">
        <v>3438</v>
      </c>
      <c r="R209" t="s">
        <v>3390</v>
      </c>
      <c r="S209">
        <v>0.25</v>
      </c>
      <c r="T209" t="s">
        <v>76</v>
      </c>
      <c r="U209">
        <v>2</v>
      </c>
      <c r="AU209" s="2146" t="s">
        <v>2148</v>
      </c>
      <c r="AW209" s="2146" t="s">
        <v>2148</v>
      </c>
    </row>
    <row r="210" spans="1:52">
      <c r="A210" t="s">
        <v>13264</v>
      </c>
      <c r="B210" t="s">
        <v>116</v>
      </c>
      <c r="C210" t="s">
        <v>13224</v>
      </c>
      <c r="D210" t="s">
        <v>215</v>
      </c>
      <c r="E210" t="s">
        <v>246</v>
      </c>
      <c r="F210" t="s">
        <v>3215</v>
      </c>
      <c r="P210" t="s">
        <v>3365</v>
      </c>
      <c r="Q210" t="s">
        <v>3439</v>
      </c>
      <c r="R210" t="s">
        <v>3440</v>
      </c>
      <c r="S210">
        <v>0.25</v>
      </c>
      <c r="T210" t="s">
        <v>76</v>
      </c>
      <c r="U210">
        <v>2</v>
      </c>
      <c r="AU210" s="2146" t="s">
        <v>2148</v>
      </c>
      <c r="AW210" s="2146" t="s">
        <v>2148</v>
      </c>
    </row>
    <row r="211" spans="1:52">
      <c r="A211" t="s">
        <v>13264</v>
      </c>
      <c r="B211" t="s">
        <v>116</v>
      </c>
      <c r="C211" t="s">
        <v>13224</v>
      </c>
      <c r="D211" t="s">
        <v>215</v>
      </c>
      <c r="E211" t="s">
        <v>246</v>
      </c>
      <c r="F211" t="s">
        <v>3215</v>
      </c>
      <c r="P211" t="s">
        <v>3370</v>
      </c>
      <c r="Q211" t="s">
        <v>3441</v>
      </c>
      <c r="R211" t="s">
        <v>3442</v>
      </c>
      <c r="S211">
        <v>0.25</v>
      </c>
      <c r="T211" t="s">
        <v>76</v>
      </c>
      <c r="U211">
        <v>2</v>
      </c>
      <c r="AU211" s="2146" t="s">
        <v>2148</v>
      </c>
      <c r="AW211" s="2146" t="s">
        <v>2148</v>
      </c>
    </row>
    <row r="212" spans="1:52">
      <c r="A212" t="s">
        <v>13264</v>
      </c>
      <c r="B212" t="s">
        <v>116</v>
      </c>
      <c r="C212" t="s">
        <v>13224</v>
      </c>
      <c r="D212" t="s">
        <v>215</v>
      </c>
      <c r="E212" t="s">
        <v>246</v>
      </c>
      <c r="F212" t="s">
        <v>3215</v>
      </c>
      <c r="P212" t="s">
        <v>3373</v>
      </c>
      <c r="Q212" t="s">
        <v>3443</v>
      </c>
      <c r="R212" t="s">
        <v>3444</v>
      </c>
      <c r="S212">
        <v>0.25</v>
      </c>
      <c r="T212" t="s">
        <v>76</v>
      </c>
      <c r="U212">
        <v>2</v>
      </c>
      <c r="AU212" s="2146" t="s">
        <v>2148</v>
      </c>
      <c r="AW212" s="2146" t="s">
        <v>2148</v>
      </c>
    </row>
    <row r="213" spans="1:52">
      <c r="A213" t="s">
        <v>13308</v>
      </c>
      <c r="B213" t="s">
        <v>116</v>
      </c>
      <c r="C213" t="s">
        <v>13225</v>
      </c>
      <c r="D213" t="s">
        <v>215</v>
      </c>
      <c r="E213" t="s">
        <v>246</v>
      </c>
      <c r="F213" t="s">
        <v>3215</v>
      </c>
      <c r="G213" t="s">
        <v>5408</v>
      </c>
      <c r="H213" t="s">
        <v>175</v>
      </c>
      <c r="I213" t="s">
        <v>1158</v>
      </c>
      <c r="J213" t="s">
        <v>202</v>
      </c>
      <c r="K213">
        <v>100</v>
      </c>
      <c r="L213">
        <v>100</v>
      </c>
      <c r="M213">
        <v>100</v>
      </c>
      <c r="N213">
        <v>100</v>
      </c>
      <c r="O213">
        <v>100</v>
      </c>
      <c r="P213" t="s">
        <v>3361</v>
      </c>
      <c r="Q213" t="s">
        <v>3215</v>
      </c>
      <c r="T213" t="s">
        <v>76</v>
      </c>
      <c r="U213">
        <v>2</v>
      </c>
      <c r="AU213" s="2146" t="s">
        <v>2148</v>
      </c>
      <c r="AW213" s="2146" t="s">
        <v>2148</v>
      </c>
    </row>
    <row r="214" spans="1:52">
      <c r="A214" t="s">
        <v>13308</v>
      </c>
      <c r="B214" t="s">
        <v>116</v>
      </c>
      <c r="C214" t="s">
        <v>13225</v>
      </c>
      <c r="D214" t="s">
        <v>215</v>
      </c>
      <c r="E214" t="s">
        <v>246</v>
      </c>
      <c r="F214" t="s">
        <v>3215</v>
      </c>
      <c r="P214" t="s">
        <v>3362</v>
      </c>
      <c r="Q214" t="s">
        <v>3438</v>
      </c>
      <c r="R214" t="s">
        <v>3390</v>
      </c>
      <c r="S214">
        <v>0.25</v>
      </c>
      <c r="T214" t="s">
        <v>76</v>
      </c>
      <c r="U214">
        <v>2</v>
      </c>
      <c r="AU214" s="2146" t="s">
        <v>2148</v>
      </c>
      <c r="AW214" s="2146" t="s">
        <v>2148</v>
      </c>
    </row>
    <row r="215" spans="1:52">
      <c r="A215" t="s">
        <v>13308</v>
      </c>
      <c r="B215" t="s">
        <v>116</v>
      </c>
      <c r="C215" t="s">
        <v>13225</v>
      </c>
      <c r="D215" t="s">
        <v>215</v>
      </c>
      <c r="E215" t="s">
        <v>246</v>
      </c>
      <c r="F215" t="s">
        <v>3215</v>
      </c>
      <c r="P215" t="s">
        <v>3365</v>
      </c>
      <c r="Q215" t="s">
        <v>3439</v>
      </c>
      <c r="R215" t="s">
        <v>3440</v>
      </c>
      <c r="S215">
        <v>0.25</v>
      </c>
      <c r="T215" t="s">
        <v>76</v>
      </c>
      <c r="U215">
        <v>2</v>
      </c>
      <c r="AU215" s="2146" t="s">
        <v>2148</v>
      </c>
      <c r="AW215" s="2146" t="s">
        <v>2148</v>
      </c>
    </row>
    <row r="216" spans="1:52">
      <c r="A216" t="s">
        <v>13308</v>
      </c>
      <c r="B216" t="s">
        <v>116</v>
      </c>
      <c r="C216" t="s">
        <v>13225</v>
      </c>
      <c r="D216" t="s">
        <v>215</v>
      </c>
      <c r="E216" t="s">
        <v>246</v>
      </c>
      <c r="F216" t="s">
        <v>3215</v>
      </c>
      <c r="P216" t="s">
        <v>3370</v>
      </c>
      <c r="Q216" t="s">
        <v>3441</v>
      </c>
      <c r="R216" t="s">
        <v>3442</v>
      </c>
      <c r="S216">
        <v>0.25</v>
      </c>
      <c r="T216" t="s">
        <v>76</v>
      </c>
      <c r="U216">
        <v>2</v>
      </c>
      <c r="AU216" s="2146" t="s">
        <v>2148</v>
      </c>
      <c r="AW216" s="2146" t="s">
        <v>2148</v>
      </c>
    </row>
    <row r="217" spans="1:52">
      <c r="A217" t="s">
        <v>13308</v>
      </c>
      <c r="B217" t="s">
        <v>116</v>
      </c>
      <c r="C217" t="s">
        <v>13225</v>
      </c>
      <c r="D217" t="s">
        <v>215</v>
      </c>
      <c r="E217" t="s">
        <v>246</v>
      </c>
      <c r="F217" t="s">
        <v>3215</v>
      </c>
      <c r="P217" t="s">
        <v>3373</v>
      </c>
      <c r="Q217" t="s">
        <v>3443</v>
      </c>
      <c r="R217" t="s">
        <v>3444</v>
      </c>
      <c r="S217">
        <v>0.25</v>
      </c>
      <c r="T217" t="s">
        <v>76</v>
      </c>
      <c r="U217">
        <v>2</v>
      </c>
      <c r="AU217" s="2146" t="s">
        <v>2148</v>
      </c>
      <c r="AW217" s="2146" t="s">
        <v>2148</v>
      </c>
    </row>
    <row r="218" spans="1:52">
      <c r="A218" t="s">
        <v>13312</v>
      </c>
      <c r="B218" t="s">
        <v>116</v>
      </c>
      <c r="C218" t="s">
        <v>13225</v>
      </c>
      <c r="D218" t="s">
        <v>215</v>
      </c>
      <c r="E218" t="s">
        <v>1444</v>
      </c>
      <c r="F218" t="s">
        <v>1446</v>
      </c>
      <c r="G218" t="s">
        <v>5406</v>
      </c>
      <c r="H218" t="s">
        <v>175</v>
      </c>
      <c r="I218" t="s">
        <v>1447</v>
      </c>
      <c r="O218">
        <v>3</v>
      </c>
      <c r="P218" t="s">
        <v>3361</v>
      </c>
      <c r="Q218" t="s">
        <v>1446</v>
      </c>
      <c r="T218" t="s">
        <v>48</v>
      </c>
      <c r="U218" t="s">
        <v>4940</v>
      </c>
      <c r="AU218" s="2146" t="s">
        <v>2148</v>
      </c>
      <c r="AW218" s="2146" t="s">
        <v>2148</v>
      </c>
    </row>
    <row r="219" spans="1:52">
      <c r="A219" t="s">
        <v>13312</v>
      </c>
      <c r="B219" t="s">
        <v>116</v>
      </c>
      <c r="C219" t="s">
        <v>13225</v>
      </c>
      <c r="D219" t="s">
        <v>215</v>
      </c>
      <c r="E219" t="s">
        <v>1444</v>
      </c>
      <c r="F219" t="s">
        <v>1446</v>
      </c>
      <c r="P219" t="s">
        <v>3362</v>
      </c>
      <c r="Q219" t="s">
        <v>3446</v>
      </c>
      <c r="R219" t="s">
        <v>3447</v>
      </c>
      <c r="T219" t="s">
        <v>48</v>
      </c>
      <c r="U219" t="s">
        <v>4940</v>
      </c>
      <c r="AU219" s="2146" t="s">
        <v>2148</v>
      </c>
      <c r="AW219" s="2146" t="s">
        <v>2148</v>
      </c>
    </row>
    <row r="220" spans="1:52">
      <c r="A220" t="s">
        <v>13312</v>
      </c>
      <c r="B220" t="s">
        <v>116</v>
      </c>
      <c r="C220" t="s">
        <v>13225</v>
      </c>
      <c r="D220" t="s">
        <v>215</v>
      </c>
      <c r="E220" t="s">
        <v>1444</v>
      </c>
      <c r="F220" t="s">
        <v>1446</v>
      </c>
      <c r="P220" t="s">
        <v>3365</v>
      </c>
      <c r="Q220" t="s">
        <v>3448</v>
      </c>
      <c r="R220" t="s">
        <v>3449</v>
      </c>
      <c r="T220" t="s">
        <v>48</v>
      </c>
      <c r="U220" t="s">
        <v>4940</v>
      </c>
      <c r="AU220" s="2146" t="s">
        <v>2148</v>
      </c>
      <c r="AW220" s="2146" t="s">
        <v>2148</v>
      </c>
    </row>
    <row r="221" spans="1:52">
      <c r="A221" t="s">
        <v>13312</v>
      </c>
      <c r="B221" t="s">
        <v>116</v>
      </c>
      <c r="C221" t="s">
        <v>13225</v>
      </c>
      <c r="D221" t="s">
        <v>215</v>
      </c>
      <c r="E221" t="s">
        <v>1444</v>
      </c>
      <c r="F221" t="s">
        <v>1446</v>
      </c>
      <c r="P221" t="s">
        <v>3370</v>
      </c>
      <c r="Q221" t="s">
        <v>3450</v>
      </c>
      <c r="R221" t="s">
        <v>3381</v>
      </c>
      <c r="T221" t="s">
        <v>48</v>
      </c>
      <c r="U221" t="s">
        <v>4940</v>
      </c>
      <c r="AU221" s="2146" t="s">
        <v>2148</v>
      </c>
      <c r="AW221" s="2146" t="s">
        <v>2148</v>
      </c>
    </row>
    <row r="222" spans="1:52">
      <c r="A222" t="s">
        <v>13312</v>
      </c>
      <c r="B222" t="s">
        <v>116</v>
      </c>
      <c r="C222" t="s">
        <v>13225</v>
      </c>
      <c r="D222" t="s">
        <v>215</v>
      </c>
      <c r="E222" t="s">
        <v>1444</v>
      </c>
      <c r="F222" t="s">
        <v>1446</v>
      </c>
      <c r="P222" t="s">
        <v>3373</v>
      </c>
      <c r="Q222" t="s">
        <v>3451</v>
      </c>
      <c r="R222" t="s">
        <v>3452</v>
      </c>
      <c r="T222" t="s">
        <v>48</v>
      </c>
      <c r="U222" t="s">
        <v>4940</v>
      </c>
      <c r="AU222" s="2146" t="s">
        <v>2148</v>
      </c>
      <c r="AW222" s="2146" t="s">
        <v>2148</v>
      </c>
    </row>
    <row r="223" spans="1:52" ht="6" customHeight="1">
      <c r="A223" s="586"/>
      <c r="B223" s="586"/>
      <c r="C223" s="586"/>
      <c r="D223" s="586"/>
      <c r="E223" s="586"/>
      <c r="F223" s="586"/>
      <c r="G223" s="586"/>
      <c r="H223" s="586"/>
      <c r="I223" s="586"/>
      <c r="J223" s="586"/>
      <c r="K223" s="586"/>
      <c r="L223" s="586"/>
      <c r="M223" s="586"/>
      <c r="N223" s="586"/>
      <c r="O223" s="586"/>
      <c r="P223" s="586"/>
      <c r="Q223" s="586"/>
      <c r="R223" s="586"/>
      <c r="S223" s="586"/>
      <c r="T223" s="586"/>
      <c r="U223" s="586"/>
      <c r="V223" s="586"/>
      <c r="W223" s="586"/>
      <c r="X223" s="586"/>
      <c r="Y223" s="586"/>
      <c r="Z223" s="586"/>
      <c r="AA223" s="586"/>
      <c r="AB223" s="586"/>
      <c r="AC223" s="586"/>
      <c r="AD223" s="586"/>
      <c r="AE223" s="586"/>
      <c r="AF223" s="586"/>
      <c r="AG223" s="586"/>
      <c r="AH223" s="586"/>
      <c r="AI223" s="586"/>
      <c r="AJ223" s="586"/>
      <c r="AK223" s="586"/>
      <c r="AL223" s="586"/>
      <c r="AM223" s="586"/>
      <c r="AN223" s="586"/>
      <c r="AO223" s="586"/>
      <c r="AP223" s="586"/>
      <c r="AQ223" s="586"/>
      <c r="AR223" s="586"/>
      <c r="AS223" s="586"/>
      <c r="AT223" s="586"/>
      <c r="AU223" s="586"/>
      <c r="AV223" s="586"/>
      <c r="AW223" s="586"/>
      <c r="AX223" s="586"/>
      <c r="AY223" s="586"/>
      <c r="AZ223" s="586"/>
    </row>
  </sheetData>
  <autoFilter ref="A2:AT207"/>
  <pageMargins left="0.7" right="0.7" top="0.75" bottom="0.75" header="0.3" footer="0.3"/>
  <pageSetup paperSize="9" orientation="portrait" r:id="rId1"/>
  <legacyDrawing r:id="rId2"/>
</worksheet>
</file>

<file path=xl/worksheets/sheet62.xml><?xml version="1.0" encoding="utf-8"?>
<worksheet xmlns="http://schemas.openxmlformats.org/spreadsheetml/2006/main" xmlns:r="http://schemas.openxmlformats.org/officeDocument/2006/relationships">
  <sheetPr codeName="Sheet54"/>
  <dimension ref="A1:DP42"/>
  <sheetViews>
    <sheetView workbookViewId="0"/>
  </sheetViews>
  <sheetFormatPr defaultRowHeight="14.25"/>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62.875"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58.75"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 min="109" max="109" width="20.625" style="2146" bestFit="1" customWidth="1"/>
    <col min="110" max="110" width="5.625" style="2146" bestFit="1" customWidth="1"/>
    <col min="111" max="111" width="60.125" style="2146" bestFit="1" customWidth="1"/>
    <col min="112" max="112" width="7.625" style="2146" bestFit="1" customWidth="1"/>
    <col min="113" max="113" width="6.125" style="2146" bestFit="1" customWidth="1"/>
    <col min="114" max="114" width="9" style="2146"/>
    <col min="115" max="115" width="20.625" style="2146" bestFit="1" customWidth="1"/>
    <col min="116" max="116" width="5.625" style="2146" bestFit="1" customWidth="1"/>
    <col min="117" max="117" width="60.125" style="2146" bestFit="1" customWidth="1"/>
    <col min="118" max="118" width="7.625" style="2146" bestFit="1" customWidth="1"/>
    <col min="119" max="119" width="6.125" style="2146" bestFit="1" customWidth="1"/>
    <col min="120" max="120" width="9" style="2146"/>
  </cols>
  <sheetData>
    <row r="1" spans="1:120" ht="25.5">
      <c r="A1" s="52" t="s">
        <v>2</v>
      </c>
      <c r="B1" s="52"/>
      <c r="C1" s="53" t="s">
        <v>9</v>
      </c>
    </row>
    <row r="2" spans="1:120" s="55" customFormat="1" ht="12.75">
      <c r="A2" s="2393" t="s">
        <v>37</v>
      </c>
      <c r="B2" s="2393" t="s">
        <v>3556</v>
      </c>
      <c r="C2" s="2393" t="str">
        <f xml:space="preserve"> A2 &amp; "PC"</f>
        <v>AFWPC</v>
      </c>
      <c r="D2" s="2393" t="str">
        <f xml:space="preserve"> A2 &amp; "Unit"</f>
        <v>AFWUnit</v>
      </c>
      <c r="E2" s="2393" t="s">
        <v>3326</v>
      </c>
      <c r="F2" s="2393" t="str">
        <f xml:space="preserve"> A2 &amp; "201718ActPerf"</f>
        <v>AFW201718ActPerf</v>
      </c>
      <c r="G2" s="2394" t="s">
        <v>114</v>
      </c>
      <c r="H2" s="2394" t="s">
        <v>3557</v>
      </c>
      <c r="I2" s="2394" t="str">
        <f>G2&amp;"PC"</f>
        <v>ANHPC</v>
      </c>
      <c r="J2" s="2394" t="str">
        <f xml:space="preserve"> G2 &amp; "Unit"</f>
        <v>ANHUnit</v>
      </c>
      <c r="K2" s="2394" t="s">
        <v>3327</v>
      </c>
      <c r="L2" s="2394" t="str">
        <f xml:space="preserve"> G2 &amp; "201718ActPerf"</f>
        <v>ANH201718ActPerf</v>
      </c>
      <c r="M2" s="2395" t="s">
        <v>312</v>
      </c>
      <c r="N2" s="2395" t="s">
        <v>3558</v>
      </c>
      <c r="O2" s="2395" t="str">
        <f>M2&amp;"PC"</f>
        <v>BRLPC</v>
      </c>
      <c r="P2" s="2395" t="str">
        <f xml:space="preserve"> M2 &amp; "Unit"</f>
        <v>BRLUnit</v>
      </c>
      <c r="Q2" s="2395" t="s">
        <v>3328</v>
      </c>
      <c r="R2" s="2395" t="str">
        <f xml:space="preserve"> M2 &amp; "201718ActPerf"</f>
        <v>BRL201718ActPerf</v>
      </c>
      <c r="S2" s="2393" t="s">
        <v>430</v>
      </c>
      <c r="T2" s="2393" t="s">
        <v>3559</v>
      </c>
      <c r="U2" s="2393" t="str">
        <f>S2&amp;"PC"</f>
        <v>DVWPC</v>
      </c>
      <c r="V2" s="2393" t="str">
        <f xml:space="preserve"> S2 &amp; "Unit"</f>
        <v>DVWUnit</v>
      </c>
      <c r="W2" s="2393" t="s">
        <v>3329</v>
      </c>
      <c r="X2" s="2393" t="str">
        <f xml:space="preserve"> S2 &amp; "201718ActPerf"</f>
        <v>DVW201718ActPerf</v>
      </c>
      <c r="Y2" s="2394" t="s">
        <v>492</v>
      </c>
      <c r="Z2" s="2394" t="s">
        <v>3560</v>
      </c>
      <c r="AA2" s="2394" t="str">
        <f>Y2&amp;"PC"</f>
        <v>NESPC</v>
      </c>
      <c r="AB2" s="2394" t="str">
        <f xml:space="preserve"> Y2 &amp; "Unit"</f>
        <v>NESUnit</v>
      </c>
      <c r="AC2" s="2394" t="s">
        <v>3330</v>
      </c>
      <c r="AD2" s="2394" t="str">
        <f xml:space="preserve"> Y2 &amp; "201718ActPerf"</f>
        <v>NES201718ActPerf</v>
      </c>
      <c r="AE2" s="2395" t="s">
        <v>753</v>
      </c>
      <c r="AF2" s="2395" t="s">
        <v>3561</v>
      </c>
      <c r="AG2" s="2395" t="str">
        <f>AE2&amp;"PC"</f>
        <v>PRTPC</v>
      </c>
      <c r="AH2" s="2395" t="str">
        <f xml:space="preserve"> AE2 &amp; "Unit"</f>
        <v>PRTUnit</v>
      </c>
      <c r="AI2" s="2395" t="s">
        <v>3331</v>
      </c>
      <c r="AJ2" s="2395" t="str">
        <f xml:space="preserve"> AE2 &amp; "201718ActPerf"</f>
        <v>PRT201718ActPerf</v>
      </c>
      <c r="AK2" s="2393" t="s">
        <v>810</v>
      </c>
      <c r="AL2" s="2393" t="s">
        <v>3562</v>
      </c>
      <c r="AM2" s="2393" t="str">
        <f>AK2&amp;"PC"</f>
        <v>SBWPC</v>
      </c>
      <c r="AN2" s="2393" t="str">
        <f xml:space="preserve"> AK2 &amp; "Unit"</f>
        <v>SBWUnit</v>
      </c>
      <c r="AO2" s="2393" t="s">
        <v>3332</v>
      </c>
      <c r="AP2" s="2393" t="str">
        <f xml:space="preserve"> AK2 &amp; "201718ActPerf"</f>
        <v>SBW201718ActPerf</v>
      </c>
      <c r="AQ2" s="2394" t="s">
        <v>875</v>
      </c>
      <c r="AR2" s="2394" t="s">
        <v>3563</v>
      </c>
      <c r="AS2" s="2394" t="str">
        <f>AQ2&amp;"PC"</f>
        <v>SESPC</v>
      </c>
      <c r="AT2" s="2394" t="str">
        <f xml:space="preserve"> AQ2 &amp; "Unit"</f>
        <v>SESUnit</v>
      </c>
      <c r="AU2" s="2394" t="s">
        <v>3333</v>
      </c>
      <c r="AV2" s="2394" t="str">
        <f xml:space="preserve"> AQ2 &amp; "201718ActPerf"</f>
        <v>SES201718ActPerf</v>
      </c>
      <c r="AW2" s="2395" t="s">
        <v>966</v>
      </c>
      <c r="AX2" s="2395" t="s">
        <v>3564</v>
      </c>
      <c r="AY2" s="2395" t="str">
        <f>AW2&amp;"PC"</f>
        <v>SEWPC</v>
      </c>
      <c r="AZ2" s="2395" t="str">
        <f xml:space="preserve"> AW2 &amp; "Unit"</f>
        <v>SEWUnit</v>
      </c>
      <c r="BA2" s="2395" t="s">
        <v>3334</v>
      </c>
      <c r="BB2" s="2395" t="str">
        <f xml:space="preserve"> AW2 &amp; "201718ActPerf"</f>
        <v>SEW201718ActPerf</v>
      </c>
      <c r="BC2" s="2393" t="s">
        <v>1097</v>
      </c>
      <c r="BD2" s="2393" t="s">
        <v>3565</v>
      </c>
      <c r="BE2" s="2393" t="str">
        <f>BC2&amp;"PC"</f>
        <v>SRNPC</v>
      </c>
      <c r="BF2" s="2393" t="str">
        <f xml:space="preserve"> BC2 &amp; "Unit"</f>
        <v>SRNUnit</v>
      </c>
      <c r="BG2" s="2393" t="s">
        <v>3335</v>
      </c>
      <c r="BH2" s="2393" t="str">
        <f xml:space="preserve"> BC2 &amp; "201718ActPerf"</f>
        <v>SRN201718ActPerf</v>
      </c>
      <c r="BI2" s="2394" t="s">
        <v>1231</v>
      </c>
      <c r="BJ2" s="2394" t="s">
        <v>3566</v>
      </c>
      <c r="BK2" s="2394" t="str">
        <f>BI2&amp;"PC"</f>
        <v>SSCPC</v>
      </c>
      <c r="BL2" s="2394" t="str">
        <f xml:space="preserve"> BI2 &amp; "Unit"</f>
        <v>SSCUnit</v>
      </c>
      <c r="BM2" s="2394" t="s">
        <v>3336</v>
      </c>
      <c r="BN2" s="2394" t="str">
        <f xml:space="preserve"> BI2 &amp; "201718ActPerf"</f>
        <v>SSC201718ActPerf</v>
      </c>
      <c r="BO2" s="2395" t="s">
        <v>1288</v>
      </c>
      <c r="BP2" s="2395" t="s">
        <v>3567</v>
      </c>
      <c r="BQ2" s="2395" t="str">
        <f>BO2&amp;"PC"</f>
        <v>SVTPC</v>
      </c>
      <c r="BR2" s="2395" t="str">
        <f xml:space="preserve"> BO2 &amp; "Unit"</f>
        <v>SVTUnit</v>
      </c>
      <c r="BS2" s="2395" t="s">
        <v>3337</v>
      </c>
      <c r="BT2" s="2395" t="str">
        <f xml:space="preserve"> BO2 &amp; "201718ActPerf"</f>
        <v>SVT201718ActPerf</v>
      </c>
      <c r="BU2" s="2393" t="s">
        <v>1476</v>
      </c>
      <c r="BV2" s="2393" t="s">
        <v>3568</v>
      </c>
      <c r="BW2" s="2393" t="str">
        <f>BU2&amp;"PC"</f>
        <v>SWTPC</v>
      </c>
      <c r="BX2" s="2393" t="str">
        <f xml:space="preserve"> BU2 &amp; "Unit"</f>
        <v>SWTUnit</v>
      </c>
      <c r="BY2" s="2393" t="s">
        <v>3338</v>
      </c>
      <c r="BZ2" s="2393" t="str">
        <f xml:space="preserve"> BU2 &amp; "201718ActPerf"</f>
        <v>SWT201718ActPerf</v>
      </c>
      <c r="CA2" s="2394" t="s">
        <v>1608</v>
      </c>
      <c r="CB2" s="2394" t="s">
        <v>3569</v>
      </c>
      <c r="CC2" s="2394" t="str">
        <f>CA2&amp;"PC"</f>
        <v>TMSPC</v>
      </c>
      <c r="CD2" s="2394" t="str">
        <f xml:space="preserve"> CA2 &amp; "Unit"</f>
        <v>TMSUnit</v>
      </c>
      <c r="CE2" s="2394" t="s">
        <v>3339</v>
      </c>
      <c r="CF2" s="2394" t="str">
        <f xml:space="preserve"> CA2 &amp; "201718ActPerf"</f>
        <v>TMS201718ActPerf</v>
      </c>
      <c r="CG2" s="2395" t="s">
        <v>2883</v>
      </c>
      <c r="CH2" s="2395" t="s">
        <v>3570</v>
      </c>
      <c r="CI2" s="2395" t="str">
        <f>CG2&amp;"PC"</f>
        <v>NWTPC</v>
      </c>
      <c r="CJ2" s="2395" t="str">
        <f xml:space="preserve"> CG2 &amp; "Unit"</f>
        <v>NWTUnit</v>
      </c>
      <c r="CK2" s="2395" t="s">
        <v>3340</v>
      </c>
      <c r="CL2" s="2395" t="str">
        <f xml:space="preserve"> CG2 &amp; "201718ActPerf"</f>
        <v>NWT201718ActPerf</v>
      </c>
      <c r="CM2" s="2393" t="s">
        <v>1989</v>
      </c>
      <c r="CN2" s="2393" t="s">
        <v>3571</v>
      </c>
      <c r="CO2" s="2393" t="str">
        <f>CM2&amp;"PC"</f>
        <v>WSHPC</v>
      </c>
      <c r="CP2" s="2393" t="str">
        <f xml:space="preserve"> CM2 &amp; "Unit"</f>
        <v>WSHUnit</v>
      </c>
      <c r="CQ2" s="2393" t="s">
        <v>3341</v>
      </c>
      <c r="CR2" s="2393" t="str">
        <f xml:space="preserve"> CM2 &amp; "201718ActPerf"</f>
        <v>WSH201718ActPerf</v>
      </c>
      <c r="CS2" s="2394" t="s">
        <v>2090</v>
      </c>
      <c r="CT2" s="2394" t="s">
        <v>3572</v>
      </c>
      <c r="CU2" s="2394" t="s">
        <v>2911</v>
      </c>
      <c r="CV2" s="2394" t="str">
        <f xml:space="preserve"> CS2 &amp; "Unit"</f>
        <v>WSXUnit</v>
      </c>
      <c r="CW2" s="2394" t="s">
        <v>3342</v>
      </c>
      <c r="CX2" s="2394" t="str">
        <f xml:space="preserve"> CS2 &amp; "201516ActPerf"</f>
        <v>WSX201516ActPerf</v>
      </c>
      <c r="CY2" s="2394" t="s">
        <v>2237</v>
      </c>
      <c r="CZ2" s="2394" t="s">
        <v>3573</v>
      </c>
      <c r="DA2" s="2394" t="str">
        <f>CY2&amp;"PC"</f>
        <v>YKYPC</v>
      </c>
      <c r="DB2" s="2394" t="str">
        <f xml:space="preserve"> CY2 &amp; "Unit"</f>
        <v>YKYUnit</v>
      </c>
      <c r="DC2" s="2394" t="s">
        <v>3343</v>
      </c>
      <c r="DD2" s="2394" t="str">
        <f xml:space="preserve"> CY2 &amp; "201718ActPerf"</f>
        <v>YKY201718ActPerf</v>
      </c>
      <c r="DE2" s="2395" t="s">
        <v>13224</v>
      </c>
      <c r="DF2" s="2395" t="s">
        <v>13465</v>
      </c>
      <c r="DG2" s="2395" t="str">
        <f>DE2&amp;"PC"</f>
        <v>HDDPC</v>
      </c>
      <c r="DH2" s="2395" t="str">
        <f xml:space="preserve"> DE2 &amp; "Unit"</f>
        <v>HDDUnit</v>
      </c>
      <c r="DI2" s="2395" t="s">
        <v>13459</v>
      </c>
      <c r="DJ2" s="2395" t="str">
        <f xml:space="preserve"> DE2 &amp; "201718ActPerf"</f>
        <v>HDD201718ActPerf</v>
      </c>
      <c r="DK2" s="2393" t="s">
        <v>13225</v>
      </c>
      <c r="DL2" s="2393" t="s">
        <v>13466</v>
      </c>
      <c r="DM2" s="2393" t="str">
        <f>DK2&amp;"PC"</f>
        <v>SVEPC</v>
      </c>
      <c r="DN2" s="2393" t="str">
        <f xml:space="preserve"> DK2 &amp; "Unit"</f>
        <v>SVEUnit</v>
      </c>
      <c r="DO2" s="2393" t="s">
        <v>13460</v>
      </c>
      <c r="DP2" s="2393" t="str">
        <f xml:space="preserve"> DK2 &amp; "201718ActPerf"</f>
        <v>SVE201718ActPerf</v>
      </c>
    </row>
    <row r="3" spans="1:120">
      <c r="G3" t="str">
        <f>'SUB LIST'!A3</f>
        <v>PR14ANHWSW_W-H1</v>
      </c>
      <c r="H3" t="str">
        <f>'SUB LIST'!P3</f>
        <v>00</v>
      </c>
      <c r="I3" t="str">
        <f>'SUB LIST'!Q3</f>
        <v>W-H1: Water infrastructure</v>
      </c>
      <c r="J3" t="str">
        <f>'SUB LIST'!T3</f>
        <v>category</v>
      </c>
      <c r="K3" t="str">
        <f>'SUB LIST'!U3</f>
        <v>na</v>
      </c>
      <c r="L3" t="str">
        <f>'SUB LIST'!AW3</f>
        <v>Green</v>
      </c>
      <c r="M3" t="str">
        <f>'SUB LIST'!A20</f>
        <v>PR14BRLWSW_A2</v>
      </c>
      <c r="N3" t="str">
        <f>'SUB LIST'!P20</f>
        <v>00</v>
      </c>
      <c r="O3" t="str">
        <f>'SUB LIST'!Q20</f>
        <v>A2: Asset reliability - infrastructure</v>
      </c>
      <c r="P3" t="str">
        <f>'SUB LIST'!T20</f>
        <v>category</v>
      </c>
      <c r="Q3" t="str">
        <f>'SUB LIST'!U20</f>
        <v>na</v>
      </c>
      <c r="R3" t="str">
        <f>'SUB LIST'!AW20</f>
        <v>Marginal</v>
      </c>
      <c r="AK3" t="str">
        <f>'SUB LIST'!A26</f>
        <v>PR14SBWWSW_B4</v>
      </c>
      <c r="AL3" t="str">
        <f>'SUB LIST'!P26</f>
        <v>00</v>
      </c>
      <c r="AM3" t="str">
        <f>'SUB LIST'!Q26</f>
        <v>B4: Maintain serviceable assets</v>
      </c>
      <c r="AN3" t="str">
        <f>'SUB LIST'!T26</f>
        <v>category</v>
      </c>
      <c r="AO3" t="str">
        <f>'SUB LIST'!U26</f>
        <v>na</v>
      </c>
      <c r="AP3" t="str">
        <f>'SUB LIST'!AW26</f>
        <v>Stable</v>
      </c>
      <c r="AW3" t="str">
        <f>'SUB LIST'!A37</f>
        <v>PR14SEWWSW_N2</v>
      </c>
      <c r="AX3" t="str">
        <f>'SUB LIST'!P37</f>
        <v>00</v>
      </c>
      <c r="AY3" t="str">
        <f>'SUB LIST'!Q37</f>
        <v>N2: Above ground asset performance assessment</v>
      </c>
      <c r="AZ3" t="str">
        <f>'SUB LIST'!T37</f>
        <v>category</v>
      </c>
      <c r="BA3" t="str">
        <f>'SUB LIST'!U37</f>
        <v>na</v>
      </c>
      <c r="BB3" t="str">
        <f>'SUB LIST'!AW37</f>
        <v>Stable</v>
      </c>
      <c r="BC3" t="str">
        <f>'SUB LIST'!A42</f>
        <v>PR14SRNWSW_1</v>
      </c>
      <c r="BD3" t="str">
        <f>'SUB LIST'!P42</f>
        <v>00</v>
      </c>
      <c r="BE3" t="str">
        <f>'SUB LIST'!Q42</f>
        <v>1: Water asset health</v>
      </c>
      <c r="BF3" t="str">
        <f>'SUB LIST'!T42</f>
        <v>category</v>
      </c>
      <c r="BG3" t="str">
        <f>'SUB LIST'!U42</f>
        <v>na</v>
      </c>
      <c r="BH3" t="str">
        <f>'SUB LIST'!AW42</f>
        <v>Stable</v>
      </c>
      <c r="BI3" t="str">
        <f>'SUB LIST'!A52</f>
        <v>PR14SSCWSW_2.2</v>
      </c>
      <c r="BJ3" t="str">
        <f>'SUB LIST'!P52</f>
        <v>00</v>
      </c>
      <c r="BK3" t="str">
        <f>'SUB LIST'!Q52</f>
        <v>2.2: Serviceability infrastructure (combined company)</v>
      </c>
      <c r="BL3" t="str">
        <f>'SUB LIST'!T52</f>
        <v>category</v>
      </c>
      <c r="BM3" t="str">
        <f>'SUB LIST'!U52</f>
        <v>na</v>
      </c>
      <c r="BN3" t="str">
        <f>'SUB LIST'!AW52</f>
        <v>Stable</v>
      </c>
      <c r="BO3" t="str">
        <f>'SUB LIST'!A64</f>
        <v>PR14SVTWSWW_S-C3</v>
      </c>
      <c r="BP3" t="str">
        <f>'SUB LIST'!P64</f>
        <v>00</v>
      </c>
      <c r="BQ3" t="str">
        <f>'SUB LIST'!Q64</f>
        <v>S-C3: Asset stewardship - environmental compliance (basket of measures)</v>
      </c>
      <c r="BR3" t="str">
        <f>'SUB LIST'!T64</f>
        <v>%</v>
      </c>
      <c r="BS3">
        <f>'SUB LIST'!U64</f>
        <v>2</v>
      </c>
      <c r="BT3">
        <f>'SUB LIST'!AW64</f>
        <v>97.67</v>
      </c>
      <c r="BU3" t="str">
        <f>'SUB LIST'!A74</f>
        <v>PR14SWTWSW_W-A3</v>
      </c>
      <c r="BV3" t="str">
        <f>'SUB LIST'!P74</f>
        <v>00</v>
      </c>
      <c r="BW3" t="str">
        <f>'SUB LIST'!Q74</f>
        <v>W-A3 Asset reliability (pipes)</v>
      </c>
      <c r="BX3" t="str">
        <f>'SUB LIST'!T74</f>
        <v>category</v>
      </c>
      <c r="BY3" t="str">
        <f>'SUB LIST'!U74</f>
        <v>na</v>
      </c>
      <c r="BZ3" t="str">
        <f>'SUB LIST'!AW74</f>
        <v>Stable</v>
      </c>
      <c r="CA3" t="str">
        <f>'SUB LIST'!A98</f>
        <v>PR14TMSWSW_WB1</v>
      </c>
      <c r="CB3" t="str">
        <f>'SUB LIST'!P98</f>
        <v>00</v>
      </c>
      <c r="CC3" t="str">
        <f>'SUB LIST'!Q98</f>
        <v>WB1: Asset health water infrastructure</v>
      </c>
      <c r="CD3" t="str">
        <f>'SUB LIST'!T98</f>
        <v>category</v>
      </c>
      <c r="CE3" t="str">
        <f>'SUB LIST'!U98</f>
        <v>na</v>
      </c>
      <c r="CF3" t="str">
        <f>'SUB LIST'!AW98</f>
        <v>Marginal</v>
      </c>
      <c r="CG3" t="str">
        <f>'SUB LIST'!A122</f>
        <v>PR14UUWSW_A3</v>
      </c>
      <c r="CH3" t="str">
        <f>'SUB LIST'!P122</f>
        <v>00</v>
      </c>
      <c r="CI3" t="str">
        <f>'SUB LIST'!Q122</f>
        <v>A3: Water Quality Service Index</v>
      </c>
      <c r="CJ3" t="str">
        <f>'SUB LIST'!T122</f>
        <v>score</v>
      </c>
      <c r="CK3">
        <f>'SUB LIST'!U122</f>
        <v>3</v>
      </c>
      <c r="CL3">
        <f>'SUB LIST'!AW122</f>
        <v>98.645494378014845</v>
      </c>
      <c r="CM3" t="str">
        <f>'SUB LIST'!A162</f>
        <v>PR14WSHWSW_F1</v>
      </c>
      <c r="CN3" t="str">
        <f>'SUB LIST'!P162</f>
        <v>00</v>
      </c>
      <c r="CO3" t="str">
        <f>'SUB LIST'!Q162</f>
        <v>F1: Asset serviceability</v>
      </c>
      <c r="CP3" t="str">
        <f>'SUB LIST'!T162</f>
        <v>category</v>
      </c>
      <c r="CQ3" t="str">
        <f>'SUB LIST'!U162</f>
        <v>na</v>
      </c>
      <c r="CR3" t="str">
        <f>'SUB LIST'!AW162</f>
        <v>Stable</v>
      </c>
      <c r="CY3" t="str">
        <f>'SUB LIST'!A184</f>
        <v>PR14YKYWSW_WA4</v>
      </c>
      <c r="CZ3" t="str">
        <f>'SUB LIST'!P184</f>
        <v>00</v>
      </c>
      <c r="DA3" t="str">
        <f>'SUB LIST'!Q184</f>
        <v>WA4: Water quality stability and reliability factor</v>
      </c>
      <c r="DB3" t="str">
        <f>'SUB LIST'!T184</f>
        <v>category</v>
      </c>
      <c r="DC3" t="str">
        <f>'SUB LIST'!U184</f>
        <v>na</v>
      </c>
      <c r="DD3" t="str">
        <f>'SUB LIST'!AW184</f>
        <v>Stable</v>
      </c>
      <c r="DE3" s="2146" t="str">
        <f>'SUB LIST'!A208</f>
        <v>PR14HDDWSWW_S-C3</v>
      </c>
      <c r="DF3" s="2146" t="str">
        <f>'SUB LIST'!P208</f>
        <v>00</v>
      </c>
      <c r="DG3" s="2146" t="str">
        <f>'SUB LIST'!Q208</f>
        <v>S-C3: Asset stewardship - environmental compliance (basket of measures)</v>
      </c>
      <c r="DH3" s="2414" t="str">
        <f>'SUB LIST'!T208</f>
        <v>%</v>
      </c>
      <c r="DI3" s="2414">
        <f>'SUB LIST'!U208</f>
        <v>2</v>
      </c>
      <c r="DJ3" s="2414" t="str">
        <f>'SUB LIST'!AW208</f>
        <v>-</v>
      </c>
      <c r="DK3" s="2146" t="str">
        <f>'SUB LIST'!A213</f>
        <v>PR14SVEWSWW_S-C3</v>
      </c>
      <c r="DL3" s="2146" t="str">
        <f>'SUB LIST'!P213</f>
        <v>00</v>
      </c>
      <c r="DM3" s="2146" t="str">
        <f>'SUB LIST'!Q213</f>
        <v>S-C3: Asset stewardship - environmental compliance (basket of measures)</v>
      </c>
      <c r="DN3" s="2414" t="str">
        <f>'SUB LIST'!T213</f>
        <v>%</v>
      </c>
      <c r="DO3" s="2414">
        <f>'SUB LIST'!U213</f>
        <v>2</v>
      </c>
      <c r="DP3" s="2414" t="str">
        <f>'SUB LIST'!AW213</f>
        <v>-</v>
      </c>
    </row>
    <row r="4" spans="1:120">
      <c r="G4" t="str">
        <f>'SUB LIST'!A4</f>
        <v>PR14ANHWSW_W-H1</v>
      </c>
      <c r="H4" t="str">
        <f>'SUB LIST'!P4</f>
        <v>01</v>
      </c>
      <c r="I4" t="str">
        <f>'SUB LIST'!Q4</f>
        <v>Unplanned interruptions &gt;12 hours</v>
      </c>
      <c r="J4" t="str">
        <f>'SUB LIST'!T4</f>
        <v>nr</v>
      </c>
      <c r="K4" t="str">
        <f>'SUB LIST'!U4</f>
        <v>0</v>
      </c>
      <c r="L4">
        <f>'SUB LIST'!AW4</f>
        <v>1263</v>
      </c>
      <c r="M4" t="str">
        <f>'SUB LIST'!A21</f>
        <v>PR14BRLWSW_A2</v>
      </c>
      <c r="N4" t="str">
        <f>'SUB LIST'!P21</f>
        <v>01</v>
      </c>
      <c r="O4" t="str">
        <f>'SUB LIST'!Q21</f>
        <v>Total bursts (number)</v>
      </c>
      <c r="P4" t="str">
        <f>'SUB LIST'!T21</f>
        <v>nr</v>
      </c>
      <c r="Q4" t="str">
        <f>'SUB LIST'!U21</f>
        <v>0</v>
      </c>
      <c r="R4">
        <f>'SUB LIST'!AW21</f>
        <v>1222</v>
      </c>
      <c r="AK4" t="str">
        <f>'SUB LIST'!A27</f>
        <v>PR14SBWWSW_B4</v>
      </c>
      <c r="AL4" t="str">
        <f>'SUB LIST'!P27</f>
        <v>01</v>
      </c>
      <c r="AM4" t="str">
        <f>'SUB LIST'!Q27</f>
        <v>Total bursts</v>
      </c>
      <c r="AN4" t="str">
        <f>'SUB LIST'!T27</f>
        <v>nr</v>
      </c>
      <c r="AO4" t="str">
        <f>'SUB LIST'!U27</f>
        <v>0</v>
      </c>
      <c r="AP4">
        <f>'SUB LIST'!AW27</f>
        <v>283</v>
      </c>
      <c r="AW4" t="str">
        <f>'SUB LIST'!A38</f>
        <v>PR14SEWWSW_N2</v>
      </c>
      <c r="AX4" t="str">
        <f>'SUB LIST'!P38</f>
        <v>01</v>
      </c>
      <c r="AY4" t="str">
        <f>'SUB LIST'!Q38</f>
        <v>WTW coliforms non-compliance</v>
      </c>
      <c r="AZ4" t="str">
        <f>'SUB LIST'!T38</f>
        <v>%</v>
      </c>
      <c r="BA4">
        <f>'SUB LIST'!U38</f>
        <v>2</v>
      </c>
      <c r="BB4">
        <f>'SUB LIST'!AW38</f>
        <v>0.05</v>
      </c>
      <c r="BC4" t="str">
        <f>'SUB LIST'!A43</f>
        <v>PR14SRNWSW_1</v>
      </c>
      <c r="BD4" t="str">
        <f>'SUB LIST'!P43</f>
        <v>01</v>
      </c>
      <c r="BE4" t="str">
        <f>'SUB LIST'!Q43</f>
        <v>Number of mains bursts per year</v>
      </c>
      <c r="BF4" t="str">
        <f>'SUB LIST'!T43</f>
        <v>nr</v>
      </c>
      <c r="BG4" t="str">
        <f>'SUB LIST'!U43</f>
        <v>0</v>
      </c>
      <c r="BH4">
        <f>'SUB LIST'!AW43</f>
        <v>1844</v>
      </c>
      <c r="BI4" t="str">
        <f>'SUB LIST'!A53</f>
        <v>PR14SSCWSW_2.2</v>
      </c>
      <c r="BJ4" t="str">
        <f>'SUB LIST'!P53</f>
        <v>01</v>
      </c>
      <c r="BK4" t="str">
        <f>'SUB LIST'!Q53</f>
        <v>Mains bursts</v>
      </c>
      <c r="BL4" t="str">
        <f>'SUB LIST'!T53</f>
        <v>nr</v>
      </c>
      <c r="BM4" t="str">
        <f>'SUB LIST'!U53</f>
        <v>0</v>
      </c>
      <c r="BN4">
        <f>'SUB LIST'!AW53</f>
        <v>1300</v>
      </c>
      <c r="BO4" t="str">
        <f>'SUB LIST'!A65</f>
        <v>PR14SVTWSWW_S-C3</v>
      </c>
      <c r="BP4" t="str">
        <f>'SUB LIST'!P65</f>
        <v>01</v>
      </c>
      <c r="BQ4" t="str">
        <f>'SUB LIST'!Q65</f>
        <v>% of sewage treatment works passing their numeric consents</v>
      </c>
      <c r="BR4" t="str">
        <f>'SUB LIST'!T65</f>
        <v>%</v>
      </c>
      <c r="BS4">
        <f>'SUB LIST'!U65</f>
        <v>2</v>
      </c>
      <c r="BT4">
        <f>'SUB LIST'!AW65</f>
        <v>99.86</v>
      </c>
      <c r="BU4" t="str">
        <f>'SUB LIST'!A75</f>
        <v>PR14SWTWSW_W-A3</v>
      </c>
      <c r="BV4" t="str">
        <f>'SUB LIST'!P75</f>
        <v>01</v>
      </c>
      <c r="BW4" t="str">
        <f>'SUB LIST'!Q75</f>
        <v>Total bursts</v>
      </c>
      <c r="BX4" t="str">
        <f>'SUB LIST'!T75</f>
        <v>nr</v>
      </c>
      <c r="BY4" t="str">
        <f>'SUB LIST'!U75</f>
        <v>0</v>
      </c>
      <c r="BZ4">
        <f>'SUB LIST'!AW75</f>
        <v>2496</v>
      </c>
      <c r="CA4" t="str">
        <f>'SUB LIST'!A99</f>
        <v>PR14TMSWSW_WB1</v>
      </c>
      <c r="CB4" t="str">
        <f>'SUB LIST'!P99</f>
        <v>01</v>
      </c>
      <c r="CC4" t="str">
        <f>'SUB LIST'!Q99</f>
        <v>Total bursts</v>
      </c>
      <c r="CD4" t="str">
        <f>'SUB LIST'!T99</f>
        <v>nr</v>
      </c>
      <c r="CE4" t="str">
        <f>'SUB LIST'!U99</f>
        <v>0</v>
      </c>
      <c r="CF4">
        <f>'SUB LIST'!AW99</f>
        <v>8546</v>
      </c>
      <c r="CG4" t="str">
        <f>'SUB LIST'!A123</f>
        <v>PR14UUWSW_A3</v>
      </c>
      <c r="CH4" t="str">
        <f>'SUB LIST'!P123</f>
        <v>01</v>
      </c>
      <c r="CI4" t="str">
        <f>'SUB LIST'!Q123</f>
        <v>WTW coliform non-compliance (%)</v>
      </c>
      <c r="CJ4" t="str">
        <f>'SUB LIST'!T123</f>
        <v>%</v>
      </c>
      <c r="CK4">
        <f>'SUB LIST'!U123</f>
        <v>2</v>
      </c>
      <c r="CL4">
        <f>'SUB LIST'!AW123</f>
        <v>0.01</v>
      </c>
      <c r="CM4" t="str">
        <f>'SUB LIST'!A163</f>
        <v>PR14WSHWSW_F1</v>
      </c>
      <c r="CN4" t="str">
        <f>'SUB LIST'!P163</f>
        <v>01</v>
      </c>
      <c r="CO4" t="str">
        <f>'SUB LIST'!Q163</f>
        <v>Total bursts (nr)</v>
      </c>
      <c r="CP4" t="str">
        <f>'SUB LIST'!T163</f>
        <v>nr</v>
      </c>
      <c r="CQ4" t="str">
        <f>'SUB LIST'!U163</f>
        <v>0</v>
      </c>
      <c r="CR4">
        <f>'SUB LIST'!AW163</f>
        <v>4181</v>
      </c>
      <c r="CY4" t="str">
        <f>'SUB LIST'!A185</f>
        <v>PR14YKYWSW_WA4</v>
      </c>
      <c r="CZ4" t="str">
        <f>'SUB LIST'!P185</f>
        <v>01</v>
      </c>
      <c r="DA4" t="str">
        <f>'SUB LIST'!Q185</f>
        <v>WTW coliform non-compliance</v>
      </c>
      <c r="DB4" t="str">
        <f>'SUB LIST'!T185</f>
        <v>%</v>
      </c>
      <c r="DC4">
        <f>'SUB LIST'!U185</f>
        <v>3</v>
      </c>
      <c r="DD4">
        <f>'SUB LIST'!AW185</f>
        <v>1.4E-2</v>
      </c>
      <c r="DE4" s="2146" t="str">
        <f>'SUB LIST'!A209</f>
        <v>PR14HDDWSWW_S-C3</v>
      </c>
      <c r="DF4" s="2146" t="str">
        <f>'SUB LIST'!P209</f>
        <v>01</v>
      </c>
      <c r="DG4" s="2146" t="str">
        <f>'SUB LIST'!Q209</f>
        <v>% of sewage treatment works passing their numeric consents</v>
      </c>
      <c r="DH4" s="2414" t="str">
        <f>'SUB LIST'!T209</f>
        <v>%</v>
      </c>
      <c r="DI4" s="2414">
        <f>'SUB LIST'!U209</f>
        <v>2</v>
      </c>
      <c r="DJ4" s="2414" t="str">
        <f>'SUB LIST'!AW209</f>
        <v>-</v>
      </c>
      <c r="DK4" s="2146" t="str">
        <f>'SUB LIST'!A214</f>
        <v>PR14SVEWSWW_S-C3</v>
      </c>
      <c r="DL4" s="2146" t="str">
        <f>'SUB LIST'!P214</f>
        <v>01</v>
      </c>
      <c r="DM4" s="2146" t="str">
        <f>'SUB LIST'!Q214</f>
        <v>% of sewage treatment works passing their numeric consents</v>
      </c>
      <c r="DN4" s="2414" t="str">
        <f>'SUB LIST'!T214</f>
        <v>%</v>
      </c>
      <c r="DO4" s="2414">
        <f>'SUB LIST'!U214</f>
        <v>2</v>
      </c>
      <c r="DP4" s="2414" t="str">
        <f>'SUB LIST'!AW214</f>
        <v>-</v>
      </c>
    </row>
    <row r="5" spans="1:120">
      <c r="G5" t="str">
        <f>'SUB LIST'!A5</f>
        <v>PR14ANHWSW_W-H1</v>
      </c>
      <c r="H5" t="str">
        <f>'SUB LIST'!P5</f>
        <v>02</v>
      </c>
      <c r="I5" t="str">
        <f>'SUB LIST'!Q5</f>
        <v>Reactive mains bursts</v>
      </c>
      <c r="J5">
        <f>'SUB LIST'!T5</f>
        <v>0</v>
      </c>
      <c r="K5">
        <f>'SUB LIST'!U5</f>
        <v>1</v>
      </c>
      <c r="L5">
        <f>'SUB LIST'!AW5</f>
        <v>-11</v>
      </c>
      <c r="M5" t="str">
        <f>'SUB LIST'!A22</f>
        <v>PR14BRLWSW_A2</v>
      </c>
      <c r="N5" t="str">
        <f>'SUB LIST'!P22</f>
        <v>02</v>
      </c>
      <c r="O5" t="str">
        <f>'SUB LIST'!Q22</f>
        <v>DG2: low pressure (number of properties)</v>
      </c>
      <c r="P5" t="str">
        <f>'SUB LIST'!T22</f>
        <v>nr</v>
      </c>
      <c r="Q5" t="str">
        <f>'SUB LIST'!U22</f>
        <v>0</v>
      </c>
      <c r="R5">
        <f>'SUB LIST'!AW22</f>
        <v>65</v>
      </c>
      <c r="AK5" t="str">
        <f>'SUB LIST'!A28</f>
        <v>PR14SBWWSW_B4</v>
      </c>
      <c r="AL5" t="str">
        <f>'SUB LIST'!P28</f>
        <v>02</v>
      </c>
      <c r="AM5" t="str">
        <f>'SUB LIST'!Q28</f>
        <v>Interruptions &gt; 12 hours</v>
      </c>
      <c r="AN5" t="str">
        <f>'SUB LIST'!T28</f>
        <v>nr</v>
      </c>
      <c r="AO5" t="str">
        <f>'SUB LIST'!U28</f>
        <v>0</v>
      </c>
      <c r="AP5">
        <f>'SUB LIST'!AW28</f>
        <v>5</v>
      </c>
      <c r="AW5" t="str">
        <f>'SUB LIST'!A39</f>
        <v>PR14SEWWSW_N2</v>
      </c>
      <c r="AX5" t="str">
        <f>'SUB LIST'!P39</f>
        <v>02</v>
      </c>
      <c r="AY5" t="str">
        <f>'SUB LIST'!Q39</f>
        <v>Service reservoir coliforms non-compliance</v>
      </c>
      <c r="AZ5" t="str">
        <f>'SUB LIST'!T39</f>
        <v>%</v>
      </c>
      <c r="BA5">
        <f>'SUB LIST'!U39</f>
        <v>2</v>
      </c>
      <c r="BB5">
        <f>'SUB LIST'!AW39</f>
        <v>0</v>
      </c>
      <c r="BC5" t="str">
        <f>'SUB LIST'!A44</f>
        <v>PR14SRNWSW_1</v>
      </c>
      <c r="BD5" t="str">
        <f>'SUB LIST'!P44</f>
        <v>02</v>
      </c>
      <c r="BE5" t="str">
        <f>'SUB LIST'!Q44</f>
        <v>TIM distribution index</v>
      </c>
      <c r="BF5" t="str">
        <f>'SUB LIST'!T44</f>
        <v>%</v>
      </c>
      <c r="BG5">
        <f>'SUB LIST'!U44</f>
        <v>2</v>
      </c>
      <c r="BH5">
        <f>'SUB LIST'!AW44</f>
        <v>99.93</v>
      </c>
      <c r="BI5" t="str">
        <f>'SUB LIST'!A54</f>
        <v>PR14SSCWSW_2.2</v>
      </c>
      <c r="BJ5" t="str">
        <f>'SUB LIST'!P54</f>
        <v>02</v>
      </c>
      <c r="BK5" t="str">
        <f>'SUB LIST'!Q54</f>
        <v>Supply interruptions &gt; 12 hours</v>
      </c>
      <c r="BL5" t="str">
        <f>'SUB LIST'!T54</f>
        <v>nr</v>
      </c>
      <c r="BM5" t="str">
        <f>'SUB LIST'!U54</f>
        <v>0</v>
      </c>
      <c r="BN5">
        <f>'SUB LIST'!AW54</f>
        <v>637</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LIST'!AW66</f>
        <v>97</v>
      </c>
      <c r="BU5" t="str">
        <f>'SUB LIST'!A76</f>
        <v>PR14SWTWSW_W-A3</v>
      </c>
      <c r="BV5" t="str">
        <f>'SUB LIST'!P76</f>
        <v>02</v>
      </c>
      <c r="BW5" t="str">
        <f>'SUB LIST'!Q76</f>
        <v>Interruptions &gt; 12 hours</v>
      </c>
      <c r="BX5" t="str">
        <f>'SUB LIST'!T76</f>
        <v>nr</v>
      </c>
      <c r="BY5" t="str">
        <f>'SUB LIST'!U76</f>
        <v>0</v>
      </c>
      <c r="BZ5">
        <f>'SUB LIST'!AW76</f>
        <v>716</v>
      </c>
      <c r="CA5" t="str">
        <f>'SUB LIST'!A100</f>
        <v>PR14TMSWSW_WB1</v>
      </c>
      <c r="CB5" t="str">
        <f>'SUB LIST'!P100</f>
        <v>02</v>
      </c>
      <c r="CC5" t="str">
        <f>'SUB LIST'!Q100</f>
        <v>Unplanned interruptions to customer &gt;12 hours (DG3)</v>
      </c>
      <c r="CD5" t="str">
        <f>'SUB LIST'!T100</f>
        <v>nr</v>
      </c>
      <c r="CE5" t="str">
        <f>'SUB LIST'!U100</f>
        <v>0</v>
      </c>
      <c r="CF5">
        <f>'SUB LIST'!AW100</f>
        <v>23457</v>
      </c>
      <c r="CG5" t="str">
        <f>'SUB LIST'!A124</f>
        <v>PR14UUWSW_A3</v>
      </c>
      <c r="CH5" t="str">
        <f>'SUB LIST'!P124</f>
        <v>02</v>
      </c>
      <c r="CI5" t="str">
        <f>'SUB LIST'!Q124</f>
        <v>SR integrity index</v>
      </c>
      <c r="CJ5" t="str">
        <f>'SUB LIST'!T124</f>
        <v>%</v>
      </c>
      <c r="CK5">
        <f>'SUB LIST'!U124</f>
        <v>2</v>
      </c>
      <c r="CL5">
        <f>'SUB LIST'!AW124</f>
        <v>99.97</v>
      </c>
      <c r="CM5" t="str">
        <f>'SUB LIST'!A164</f>
        <v>PR14WSHWSW_F1</v>
      </c>
      <c r="CN5" t="str">
        <f>'SUB LIST'!P164</f>
        <v>02</v>
      </c>
      <c r="CO5" t="str">
        <f>'SUB LIST'!Q164</f>
        <v>Interruptions &gt;12h (nr)</v>
      </c>
      <c r="CP5" t="str">
        <f>'SUB LIST'!T164</f>
        <v>nr</v>
      </c>
      <c r="CQ5" t="str">
        <f>'SUB LIST'!U164</f>
        <v>0</v>
      </c>
      <c r="CR5">
        <f>'SUB LIST'!AW164</f>
        <v>19699</v>
      </c>
      <c r="CY5" t="str">
        <f>'SUB LIST'!A186</f>
        <v>PR14YKYWSW_WA4</v>
      </c>
      <c r="CZ5" t="str">
        <f>'SUB LIST'!P186</f>
        <v>02</v>
      </c>
      <c r="DA5" t="str">
        <f>'SUB LIST'!Q186</f>
        <v>SR coliform non-compliance</v>
      </c>
      <c r="DB5" t="str">
        <f>'SUB LIST'!T186</f>
        <v>%</v>
      </c>
      <c r="DC5">
        <f>'SUB LIST'!U186</f>
        <v>2</v>
      </c>
      <c r="DD5">
        <f>'SUB LIST'!AW186</f>
        <v>0</v>
      </c>
      <c r="DE5" s="2146" t="str">
        <f>'SUB LIST'!A210</f>
        <v>PR14HDDWSWW_S-C3</v>
      </c>
      <c r="DF5" s="2146" t="str">
        <f>'SUB LIST'!P210</f>
        <v>02</v>
      </c>
      <c r="DG5" s="2146" t="str">
        <f>'SUB LIST'!Q210</f>
        <v>% of actions raised from EA regulatory site audits (actions raised as a % of total site visits)</v>
      </c>
      <c r="DH5" s="2414" t="str">
        <f>'SUB LIST'!T210</f>
        <v>%</v>
      </c>
      <c r="DI5" s="2414">
        <f>'SUB LIST'!U210</f>
        <v>2</v>
      </c>
      <c r="DJ5" s="2414" t="str">
        <f>'SUB LIST'!AW210</f>
        <v>-</v>
      </c>
      <c r="DK5" s="2146" t="str">
        <f>'SUB LIST'!A215</f>
        <v>PR14SVEWSWW_S-C3</v>
      </c>
      <c r="DL5" s="2146" t="str">
        <f>'SUB LIST'!P215</f>
        <v>02</v>
      </c>
      <c r="DM5" s="2146" t="str">
        <f>'SUB LIST'!Q215</f>
        <v>% of actions raised from EA regulatory site audits (actions raised as a % of total site visits)</v>
      </c>
      <c r="DN5" s="2414" t="str">
        <f>'SUB LIST'!T215</f>
        <v>%</v>
      </c>
      <c r="DO5" s="2414">
        <f>'SUB LIST'!U215</f>
        <v>2</v>
      </c>
      <c r="DP5" s="2414" t="str">
        <f>'SUB LIST'!AW215</f>
        <v>-</v>
      </c>
    </row>
    <row r="6" spans="1:120">
      <c r="G6" t="str">
        <f>'SUB LIST'!A6</f>
        <v>PR14ANHWSW_W-H1</v>
      </c>
      <c r="H6" t="str">
        <f>'SUB LIST'!P6</f>
        <v>03</v>
      </c>
      <c r="I6" t="str">
        <f>'SUB LIST'!Q6</f>
        <v>Customer contacts - discolouration</v>
      </c>
      <c r="J6">
        <f>'SUB LIST'!T6</f>
        <v>0</v>
      </c>
      <c r="K6">
        <f>'SUB LIST'!U6</f>
        <v>2</v>
      </c>
      <c r="L6">
        <f>'SUB LIST'!AW6</f>
        <v>0.36</v>
      </c>
      <c r="M6" t="str">
        <f>'SUB LIST'!A23</f>
        <v>PR14BRLWSW_A3</v>
      </c>
      <c r="N6" t="str">
        <f>'SUB LIST'!P23</f>
        <v>00</v>
      </c>
      <c r="O6" t="str">
        <f>'SUB LIST'!Q23</f>
        <v>A3: Asset reliability - non-infrastructure</v>
      </c>
      <c r="P6" t="str">
        <f>'SUB LIST'!T23</f>
        <v>category</v>
      </c>
      <c r="Q6" t="str">
        <f>'SUB LIST'!U23</f>
        <v>na</v>
      </c>
      <c r="R6" t="str">
        <f>'SUB LIST'!AW23</f>
        <v>Stable</v>
      </c>
      <c r="AK6" t="str">
        <f>'SUB LIST'!A29</f>
        <v>PR14SBWWSW_B4</v>
      </c>
      <c r="AL6" t="str">
        <f>'SUB LIST'!P29</f>
        <v>03</v>
      </c>
      <c r="AM6" t="str">
        <f>'SUB LIST'!Q29</f>
        <v>Iron non-compliance (as 100-Mean Zonal Compliance)</v>
      </c>
      <c r="AN6" t="str">
        <f>'SUB LIST'!T29</f>
        <v>%</v>
      </c>
      <c r="AO6">
        <f>'SUB LIST'!U29</f>
        <v>2</v>
      </c>
      <c r="AP6">
        <f>'SUB LIST'!AW29</f>
        <v>0</v>
      </c>
      <c r="AW6" t="str">
        <f>'SUB LIST'!A40</f>
        <v>PR14SEWWSW_N2</v>
      </c>
      <c r="AX6" t="str">
        <f>'SUB LIST'!P40</f>
        <v>03</v>
      </c>
      <c r="AY6" t="str">
        <f>'SUB LIST'!Q40</f>
        <v>Turbidity non-compliance</v>
      </c>
      <c r="AZ6" t="str">
        <f>'SUB LIST'!T40</f>
        <v>nr</v>
      </c>
      <c r="BA6" t="str">
        <f>'SUB LIST'!U40</f>
        <v>0</v>
      </c>
      <c r="BB6">
        <f>'SUB LIST'!AW40</f>
        <v>0</v>
      </c>
      <c r="BC6" t="str">
        <f>'SUB LIST'!A45</f>
        <v>PR14SRNWSW_1</v>
      </c>
      <c r="BD6" t="str">
        <f>'SUB LIST'!P45</f>
        <v>03</v>
      </c>
      <c r="BE6" t="str">
        <f>'SUB LIST'!Q45</f>
        <v>Coliform compliance at WSW</v>
      </c>
      <c r="BF6" t="str">
        <f>'SUB LIST'!T45</f>
        <v>%</v>
      </c>
      <c r="BG6">
        <f>'SUB LIST'!U45</f>
        <v>2</v>
      </c>
      <c r="BH6">
        <f>'SUB LIST'!AW45</f>
        <v>99.98</v>
      </c>
      <c r="BI6" t="str">
        <f>'SUB LIST'!A55</f>
        <v>PR14SSCWSW_2.2</v>
      </c>
      <c r="BJ6" t="str">
        <f>'SUB LIST'!P55</f>
        <v>03</v>
      </c>
      <c r="BK6" t="str">
        <f>'SUB LIST'!Q55</f>
        <v>Properties with persistent low pressure</v>
      </c>
      <c r="BL6" t="str">
        <f>'SUB LIST'!T55</f>
        <v>nr</v>
      </c>
      <c r="BM6" t="str">
        <f>'SUB LIST'!U55</f>
        <v>0</v>
      </c>
      <c r="BN6">
        <f>'SUB LIST'!AW55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LIST'!AW67</f>
        <v>93.85</v>
      </c>
      <c r="BU6" t="str">
        <f>'SUB LIST'!A77</f>
        <v>PR14SWTWSW_W-A3</v>
      </c>
      <c r="BV6" t="str">
        <f>'SUB LIST'!P77</f>
        <v>03</v>
      </c>
      <c r="BW6" t="str">
        <f>'SUB LIST'!Q77</f>
        <v>Iron non-compliance (as 100-Mean Zonal Compliance)</v>
      </c>
      <c r="BX6" t="str">
        <f>'SUB LIST'!T77</f>
        <v>%</v>
      </c>
      <c r="BY6">
        <f>'SUB LIST'!U77</f>
        <v>2</v>
      </c>
      <c r="BZ6">
        <f>'SUB LIST'!AW77</f>
        <v>0.11</v>
      </c>
      <c r="CA6" t="str">
        <f>'SUB LIST'!A101</f>
        <v>PR14TMSWSW_WB1</v>
      </c>
      <c r="CB6" t="str">
        <f>'SUB LIST'!P101</f>
        <v>03</v>
      </c>
      <c r="CC6" t="str">
        <f>'SUB LIST'!Q101</f>
        <v>Iron mean zonal non-compliance</v>
      </c>
      <c r="CD6" t="str">
        <f>'SUB LIST'!T101</f>
        <v>%</v>
      </c>
      <c r="CE6">
        <f>'SUB LIST'!U101</f>
        <v>2</v>
      </c>
      <c r="CF6">
        <f>'SUB LIST'!AW101</f>
        <v>7.0000000000000007E-2</v>
      </c>
      <c r="CG6" t="str">
        <f>'SUB LIST'!A125</f>
        <v>PR14UUWSW_A3</v>
      </c>
      <c r="CH6" t="str">
        <f>'SUB LIST'!P125</f>
        <v>03</v>
      </c>
      <c r="CI6" t="str">
        <f>'SUB LIST'!Q125</f>
        <v>No. of WTW turbidity fails</v>
      </c>
      <c r="CJ6" t="str">
        <f>'SUB LIST'!T125</f>
        <v>nr</v>
      </c>
      <c r="CK6" t="str">
        <f>'SUB LIST'!U125</f>
        <v>0</v>
      </c>
      <c r="CL6">
        <f>'SUB LIST'!AW125</f>
        <v>1</v>
      </c>
      <c r="CM6" t="str">
        <f>'SUB LIST'!A165</f>
        <v>PR14WSHWSW_F1</v>
      </c>
      <c r="CN6" t="str">
        <f>'SUB LIST'!P165</f>
        <v>03</v>
      </c>
      <c r="CO6" t="str">
        <f>'SUB LIST'!Q165</f>
        <v>Iron non-compliance (as 100-Mean Zonal Compliance) (%)</v>
      </c>
      <c r="CP6" t="str">
        <f>'SUB LIST'!T165</f>
        <v>%</v>
      </c>
      <c r="CQ6">
        <f>'SUB LIST'!U165</f>
        <v>2</v>
      </c>
      <c r="CR6">
        <f>'SUB LIST'!AW165</f>
        <v>0.34</v>
      </c>
      <c r="CY6" t="str">
        <f>'SUB LIST'!A187</f>
        <v>PR14YKYWSW_WA4</v>
      </c>
      <c r="CZ6" t="str">
        <f>'SUB LIST'!P187</f>
        <v>03</v>
      </c>
      <c r="DA6" t="str">
        <f>'SUB LIST'!Q187</f>
        <v>Turbidity</v>
      </c>
      <c r="DB6" t="str">
        <f>'SUB LIST'!T187</f>
        <v>nr</v>
      </c>
      <c r="DC6" t="str">
        <f>'SUB LIST'!U187</f>
        <v>0</v>
      </c>
      <c r="DD6">
        <f>'SUB LIST'!AW187</f>
        <v>0</v>
      </c>
      <c r="DE6" s="2146" t="str">
        <f>'SUB LIST'!A211</f>
        <v>PR14HDDWSWW_S-C3</v>
      </c>
      <c r="DF6" s="2146" t="str">
        <f>'SUB LIST'!P211</f>
        <v>03</v>
      </c>
      <c r="DG6" s="2146" t="str">
        <f>'SUB LIST'!Q211</f>
        <v>% of sites that do not exceed their 90%ile flow on sewage treatment works or maximum daily flow on water treatment works</v>
      </c>
      <c r="DH6" s="2414" t="str">
        <f>'SUB LIST'!T211</f>
        <v>%</v>
      </c>
      <c r="DI6" s="2414">
        <f>'SUB LIST'!U211</f>
        <v>2</v>
      </c>
      <c r="DJ6" s="2414" t="str">
        <f>'SUB LIST'!AW211</f>
        <v>-</v>
      </c>
      <c r="DK6" s="2146" t="str">
        <f>'SUB LIST'!A216</f>
        <v>PR14SVEWSWW_S-C3</v>
      </c>
      <c r="DL6" s="2146" t="str">
        <f>'SUB LIST'!P216</f>
        <v>03</v>
      </c>
      <c r="DM6" s="2146" t="str">
        <f>'SUB LIST'!Q216</f>
        <v>% of sites that do not exceed their 90%ile flow on sewage treatment works or maximum daily flow on water treatment works</v>
      </c>
      <c r="DN6" s="2414" t="str">
        <f>'SUB LIST'!T216</f>
        <v>%</v>
      </c>
      <c r="DO6" s="2414">
        <f>'SUB LIST'!U216</f>
        <v>2</v>
      </c>
      <c r="DP6" s="2414" t="str">
        <f>'SUB LIST'!AW216</f>
        <v>-</v>
      </c>
    </row>
    <row r="7" spans="1:120">
      <c r="G7" t="str">
        <f>'SUB LIST'!A7</f>
        <v>PR14ANHWSW_W-H1</v>
      </c>
      <c r="H7" t="str">
        <f>'SUB LIST'!P7</f>
        <v>04</v>
      </c>
      <c r="I7" t="str">
        <f>'SUB LIST'!Q7</f>
        <v>Distribution maintenance index</v>
      </c>
      <c r="J7">
        <f>'SUB LIST'!T7</f>
        <v>0</v>
      </c>
      <c r="K7">
        <f>'SUB LIST'!U7</f>
        <v>2</v>
      </c>
      <c r="L7">
        <f>'SUB LIST'!AW7</f>
        <v>0.05</v>
      </c>
      <c r="M7" t="str">
        <f>'SUB LIST'!A24</f>
        <v>PR14BRLWSW_A3</v>
      </c>
      <c r="N7" t="str">
        <f>'SUB LIST'!P24</f>
        <v>01</v>
      </c>
      <c r="O7" t="str">
        <f>'SUB LIST'!Q24</f>
        <v>Turbidity performance at treatment works (number)</v>
      </c>
      <c r="P7" t="str">
        <f>'SUB LIST'!T24</f>
        <v>nr</v>
      </c>
      <c r="Q7" t="str">
        <f>'SUB LIST'!U24</f>
        <v>0</v>
      </c>
      <c r="R7">
        <f>'SUB LIST'!AW24</f>
        <v>0</v>
      </c>
      <c r="AK7" t="str">
        <f>'SUB LIST'!A30</f>
        <v>PR14SBWWSW_B4</v>
      </c>
      <c r="AL7" t="str">
        <f>'SUB LIST'!P30</f>
        <v>04</v>
      </c>
      <c r="AM7" t="str">
        <f>'SUB LIST'!Q30</f>
        <v>DG2 pressure</v>
      </c>
      <c r="AN7" t="str">
        <f>'SUB LIST'!T30</f>
        <v>nr</v>
      </c>
      <c r="AO7" t="str">
        <f>'SUB LIST'!U30</f>
        <v>0</v>
      </c>
      <c r="AP7">
        <f>'SUB LIST'!AW30</f>
        <v>0</v>
      </c>
      <c r="AW7" t="str">
        <f>'SUB LIST'!A41</f>
        <v>PR14SEWWSW_N2</v>
      </c>
      <c r="AX7" t="str">
        <f>'SUB LIST'!P41</f>
        <v>04</v>
      </c>
      <c r="AY7" t="str">
        <f>'SUB LIST'!Q41</f>
        <v>Enforcement incidents</v>
      </c>
      <c r="AZ7" t="str">
        <f>'SUB LIST'!T41</f>
        <v>nr</v>
      </c>
      <c r="BA7" t="str">
        <f>'SUB LIST'!U41</f>
        <v>0</v>
      </c>
      <c r="BB7">
        <f>'SUB LIST'!AW41</f>
        <v>0</v>
      </c>
      <c r="BC7" t="str">
        <f>'SUB LIST'!A46</f>
        <v>PR14SRNWSW_1</v>
      </c>
      <c r="BD7" t="str">
        <f>'SUB LIST'!P46</f>
        <v>04</v>
      </c>
      <c r="BE7" t="str">
        <f>'SUB LIST'!Q46</f>
        <v>Coliform compliance at WSR</v>
      </c>
      <c r="BF7" t="str">
        <f>'SUB LIST'!T46</f>
        <v>%</v>
      </c>
      <c r="BG7" t="str">
        <f>'SUB LIST'!U46</f>
        <v>0</v>
      </c>
      <c r="BH7">
        <f>'SUB LIST'!AW46</f>
        <v>99.94</v>
      </c>
      <c r="BI7" t="str">
        <f>'SUB LIST'!A56</f>
        <v>PR14SSCWSW_2.2</v>
      </c>
      <c r="BJ7" t="str">
        <f>'SUB LIST'!P56</f>
        <v>04</v>
      </c>
      <c r="BK7" t="str">
        <f>'SUB LIST'!Q56</f>
        <v>Discolouration contacts per 1,000 customers</v>
      </c>
      <c r="BL7" t="str">
        <f>'SUB LIST'!T56</f>
        <v>nr</v>
      </c>
      <c r="BM7">
        <f>'SUB LIST'!U56</f>
        <v>2</v>
      </c>
      <c r="BN7">
        <f>'SUB LIST'!AW56</f>
        <v>0.69699999999999995</v>
      </c>
      <c r="BO7" t="str">
        <f>'SUB LIST'!A68</f>
        <v>PR14SVTWSWW_S-C3</v>
      </c>
      <c r="BP7" t="str">
        <f>'SUB LIST'!P68</f>
        <v>04</v>
      </c>
      <c r="BQ7" t="str">
        <f>'SUB LIST'!Q68</f>
        <v>% of sites compliant with their abstraction permits</v>
      </c>
      <c r="BR7" t="str">
        <f>'SUB LIST'!T68</f>
        <v>%</v>
      </c>
      <c r="BS7">
        <f>'SUB LIST'!U68</f>
        <v>2</v>
      </c>
      <c r="BT7">
        <f>'SUB LIST'!AW68</f>
        <v>99.995999999999995</v>
      </c>
      <c r="BU7" t="str">
        <f>'SUB LIST'!A78</f>
        <v>PR14SWTWSW_W-A3</v>
      </c>
      <c r="BV7" t="str">
        <f>'SUB LIST'!P78</f>
        <v>04</v>
      </c>
      <c r="BW7" t="str">
        <f>'SUB LIST'!Q78</f>
        <v>DG2 pressure</v>
      </c>
      <c r="BX7" t="str">
        <f>'SUB LIST'!T78</f>
        <v>nr</v>
      </c>
      <c r="BY7" t="str">
        <f>'SUB LIST'!U78</f>
        <v>0</v>
      </c>
      <c r="BZ7">
        <f>'SUB LIST'!AW78</f>
        <v>161</v>
      </c>
      <c r="CA7" t="str">
        <f>'SUB LIST'!A102</f>
        <v>PR14TMSWSW_WB1</v>
      </c>
      <c r="CB7" t="str">
        <f>'SUB LIST'!P102</f>
        <v>04</v>
      </c>
      <c r="CC7" t="str">
        <f>'SUB LIST'!Q102</f>
        <v>Inadequate pressure (DG2)</v>
      </c>
      <c r="CD7" t="str">
        <f>'SUB LIST'!T102</f>
        <v>nr</v>
      </c>
      <c r="CE7" t="str">
        <f>'SUB LIST'!U102</f>
        <v>0</v>
      </c>
      <c r="CF7">
        <f>'SUB LIST'!AW102</f>
        <v>206</v>
      </c>
      <c r="CG7" t="str">
        <f>'SUB LIST'!A126</f>
        <v>PR14UUWSW_A3</v>
      </c>
      <c r="CH7" t="str">
        <f>'SUB LIST'!P126</f>
        <v>04</v>
      </c>
      <c r="CI7" t="str">
        <f>'SUB LIST'!Q126</f>
        <v>Mean Zonal Compliance (MZC)</v>
      </c>
      <c r="CJ7" t="str">
        <f>'SUB LIST'!T126</f>
        <v>%</v>
      </c>
      <c r="CK7">
        <f>'SUB LIST'!U126</f>
        <v>2</v>
      </c>
      <c r="CL7">
        <f>'SUB LIST'!AW126</f>
        <v>99.97</v>
      </c>
      <c r="CM7" t="str">
        <f>'SUB LIST'!A166</f>
        <v>PR14WSHWSW_F1</v>
      </c>
      <c r="CN7" t="str">
        <f>'SUB LIST'!P166</f>
        <v>04</v>
      </c>
      <c r="CO7" t="str">
        <f>'SUB LIST'!Q166</f>
        <v>DG2 pressure (nr)</v>
      </c>
      <c r="CP7" t="str">
        <f>'SUB LIST'!T166</f>
        <v>nr</v>
      </c>
      <c r="CQ7" t="str">
        <f>'SUB LIST'!U166</f>
        <v>0</v>
      </c>
      <c r="CR7">
        <f>'SUB LIST'!AW166</f>
        <v>99</v>
      </c>
      <c r="CY7" t="str">
        <f>'SUB LIST'!A188</f>
        <v>PR14YKYWSW_WA4</v>
      </c>
      <c r="CZ7" t="str">
        <f>'SUB LIST'!P188</f>
        <v>04</v>
      </c>
      <c r="DA7" t="str">
        <f>'SUB LIST'!Q188</f>
        <v>Enforcements</v>
      </c>
      <c r="DB7" t="str">
        <f>'SUB LIST'!T188</f>
        <v>nr</v>
      </c>
      <c r="DC7" t="str">
        <f>'SUB LIST'!U188</f>
        <v>0</v>
      </c>
      <c r="DD7">
        <f>'SUB LIST'!AW188</f>
        <v>1</v>
      </c>
      <c r="DE7" s="2146" t="str">
        <f>'SUB LIST'!A212</f>
        <v>PR14HDDWSWW_S-C3</v>
      </c>
      <c r="DF7" s="2146" t="str">
        <f>'SUB LIST'!P212</f>
        <v>04</v>
      </c>
      <c r="DG7" s="2146" t="str">
        <f>'SUB LIST'!Q212</f>
        <v>% of sites compliant with their abstraction permits</v>
      </c>
      <c r="DH7" s="2414" t="str">
        <f>'SUB LIST'!T212</f>
        <v>%</v>
      </c>
      <c r="DI7" s="2414">
        <f>'SUB LIST'!U212</f>
        <v>2</v>
      </c>
      <c r="DJ7" s="2414" t="str">
        <f>'SUB LIST'!AW212</f>
        <v>-</v>
      </c>
      <c r="DK7" s="2146" t="str">
        <f>'SUB LIST'!A217</f>
        <v>PR14SVEWSWW_S-C3</v>
      </c>
      <c r="DL7" s="2146" t="str">
        <f>'SUB LIST'!P217</f>
        <v>04</v>
      </c>
      <c r="DM7" s="2146" t="str">
        <f>'SUB LIST'!Q217</f>
        <v>% of sites compliant with their abstraction permits</v>
      </c>
      <c r="DN7" s="2414" t="str">
        <f>'SUB LIST'!T217</f>
        <v>%</v>
      </c>
      <c r="DO7" s="2414">
        <f>'SUB LIST'!U217</f>
        <v>2</v>
      </c>
      <c r="DP7" s="2414" t="str">
        <f>'SUB LIST'!AW217</f>
        <v>-</v>
      </c>
    </row>
    <row r="8" spans="1:120">
      <c r="G8" t="str">
        <f>'SUB LIST'!A8</f>
        <v>PR14ANHWSW_W-H2</v>
      </c>
      <c r="H8" t="str">
        <f>'SUB LIST'!P8</f>
        <v>00</v>
      </c>
      <c r="I8" t="str">
        <f>'SUB LIST'!Q8</f>
        <v>W-H2: Water non-infrastructure</v>
      </c>
      <c r="J8" t="str">
        <f>'SUB LIST'!T8</f>
        <v>category</v>
      </c>
      <c r="K8" t="str">
        <f>'SUB LIST'!U8</f>
        <v>na</v>
      </c>
      <c r="L8" t="str">
        <f>'SUB LIST'!AW8</f>
        <v>Green</v>
      </c>
      <c r="M8" t="str">
        <f>'SUB LIST'!A25</f>
        <v>PR14BRLWSW_A3</v>
      </c>
      <c r="N8" t="str">
        <f>'SUB LIST'!P25</f>
        <v>02</v>
      </c>
      <c r="O8" t="str">
        <f>'SUB LIST'!Q25</f>
        <v>Unplanned maintenance events (number)</v>
      </c>
      <c r="P8" t="str">
        <f>'SUB LIST'!T25</f>
        <v>nr</v>
      </c>
      <c r="Q8" t="str">
        <f>'SUB LIST'!U25</f>
        <v>0</v>
      </c>
      <c r="R8">
        <f>'SUB LIST'!AW25</f>
        <v>3279</v>
      </c>
      <c r="AK8" t="str">
        <f>'SUB LIST'!A31</f>
        <v>PR14SBWWSW_B4</v>
      </c>
      <c r="AL8" t="str">
        <f>'SUB LIST'!P31</f>
        <v>05</v>
      </c>
      <c r="AM8" t="str">
        <f>'SUB LIST'!Q31</f>
        <v>Customer contacts - discolouration (number / 1,000 population)</v>
      </c>
      <c r="AN8" t="str">
        <f>'SUB LIST'!T31</f>
        <v>nr</v>
      </c>
      <c r="AO8">
        <f>'SUB LIST'!U31</f>
        <v>2</v>
      </c>
      <c r="AP8">
        <f>'SUB LIST'!AW31</f>
        <v>0.22</v>
      </c>
      <c r="BC8" t="str">
        <f>'SUB LIST'!A47</f>
        <v>PR14SRNWSW_1</v>
      </c>
      <c r="BD8" t="str">
        <f>'SUB LIST'!P47</f>
        <v>05</v>
      </c>
      <c r="BE8" t="str">
        <f>'SUB LIST'!Q47</f>
        <v>Turbidity compliance</v>
      </c>
      <c r="BF8" t="str">
        <f>'SUB LIST'!T47</f>
        <v>nr</v>
      </c>
      <c r="BG8" t="str">
        <f>'SUB LIST'!U47</f>
        <v>0</v>
      </c>
      <c r="BH8">
        <f>'SUB LIST'!AW47</f>
        <v>1</v>
      </c>
      <c r="BI8" t="str">
        <f>'SUB LIST'!A57</f>
        <v>PR14SSCWSW_2.2</v>
      </c>
      <c r="BJ8" t="str">
        <f>'SUB LIST'!P57</f>
        <v>05</v>
      </c>
      <c r="BK8" t="str">
        <f>'SUB LIST'!Q57</f>
        <v>TIM index non-compliance</v>
      </c>
      <c r="BL8" t="str">
        <f>'SUB LIST'!T57</f>
        <v>score</v>
      </c>
      <c r="BM8">
        <f>'SUB LIST'!U57</f>
        <v>2</v>
      </c>
      <c r="BN8">
        <f>'SUB LIST'!AW57</f>
        <v>0.13</v>
      </c>
      <c r="BO8" t="str">
        <f>'SUB LIST'!A69</f>
        <v>PR14SVTWSWW_S-C7</v>
      </c>
      <c r="BP8" t="str">
        <f>'SUB LIST'!P69</f>
        <v>00</v>
      </c>
      <c r="BQ8" t="str">
        <f>'SUB LIST'!Q69</f>
        <v>S-C7: Overall environmental performance (basket of environmental measures)</v>
      </c>
      <c r="BR8" t="str">
        <f>'SUB LIST'!T69</f>
        <v>nr</v>
      </c>
      <c r="BS8" t="str">
        <f>'SUB LIST'!U69</f>
        <v>0</v>
      </c>
      <c r="BT8">
        <f>'SUB LIST'!AW69</f>
        <v>0</v>
      </c>
      <c r="BU8" t="str">
        <f>'SUB LIST'!A79</f>
        <v>PR14SWTWSW_W-A3</v>
      </c>
      <c r="BV8" t="str">
        <f>'SUB LIST'!P79</f>
        <v>05</v>
      </c>
      <c r="BW8" t="str">
        <f>'SUB LIST'!Q79</f>
        <v>Customer contacts - discolouration</v>
      </c>
      <c r="BX8" t="str">
        <f>'SUB LIST'!T79</f>
        <v>nr</v>
      </c>
      <c r="BY8">
        <f>'SUB LIST'!U79</f>
        <v>2</v>
      </c>
      <c r="BZ8">
        <f>'SUB LIST'!AW79</f>
        <v>1.7</v>
      </c>
      <c r="CA8" t="str">
        <f>'SUB LIST'!A103</f>
        <v>PR14TMSWSW_WB1</v>
      </c>
      <c r="CB8" t="str">
        <f>'SUB LIST'!P103</f>
        <v>05</v>
      </c>
      <c r="CC8" t="str">
        <f>'SUB LIST'!Q103</f>
        <v>Planned network rehabilitation (kilometres)</v>
      </c>
      <c r="CD8" t="str">
        <f>'SUB LIST'!T103</f>
        <v>nr</v>
      </c>
      <c r="CE8">
        <f>'SUB LIST'!U103</f>
        <v>2</v>
      </c>
      <c r="CF8">
        <f>'SUB LIST'!AW103</f>
        <v>142.75</v>
      </c>
      <c r="CG8" t="str">
        <f>'SUB LIST'!A127</f>
        <v>PR14UUWSW_A3</v>
      </c>
      <c r="CH8" t="str">
        <f>'SUB LIST'!P127</f>
        <v>05</v>
      </c>
      <c r="CI8" t="str">
        <f>'SUB LIST'!Q127</f>
        <v>Distribution Maintenance Index (%)</v>
      </c>
      <c r="CJ8" t="str">
        <f>'SUB LIST'!T127</f>
        <v>%</v>
      </c>
      <c r="CK8">
        <f>'SUB LIST'!U127</f>
        <v>2</v>
      </c>
      <c r="CL8">
        <f>'SUB LIST'!AW127</f>
        <v>99.89</v>
      </c>
      <c r="CM8" t="str">
        <f>'SUB LIST'!A167</f>
        <v>PR14WSHWSW_F1</v>
      </c>
      <c r="CN8" t="str">
        <f>'SUB LIST'!P167</f>
        <v>05</v>
      </c>
      <c r="CO8" t="str">
        <f>'SUB LIST'!Q167</f>
        <v>Customer contacts - discolouration  (nr / 1000 population)</v>
      </c>
      <c r="CP8" t="str">
        <f>'SUB LIST'!T167</f>
        <v>nr</v>
      </c>
      <c r="CQ8">
        <f>'SUB LIST'!U167</f>
        <v>2</v>
      </c>
      <c r="CR8">
        <f>'SUB LIST'!AW167</f>
        <v>2.21</v>
      </c>
      <c r="CY8" t="str">
        <f>'SUB LIST'!A189</f>
        <v>PR14YKYWSW_WA4</v>
      </c>
      <c r="CZ8" t="str">
        <f>'SUB LIST'!P189</f>
        <v>05</v>
      </c>
      <c r="DA8" t="str">
        <f>'SUB LIST'!Q189</f>
        <v>Reactive equipment failures</v>
      </c>
      <c r="DB8" t="str">
        <f>'SUB LIST'!T189</f>
        <v>nr</v>
      </c>
      <c r="DC8" t="str">
        <f>'SUB LIST'!U189</f>
        <v>0</v>
      </c>
      <c r="DD8">
        <f>'SUB LIST'!AW189</f>
        <v>3744</v>
      </c>
      <c r="DK8" s="2146" t="str">
        <f>'SUB LIST'!A218</f>
        <v>PR14SVEWSWW_S-C7</v>
      </c>
      <c r="DL8" s="2146" t="str">
        <f>'SUB LIST'!P218</f>
        <v>00</v>
      </c>
      <c r="DM8" s="2146" t="str">
        <f>'SUB LIST'!Q218</f>
        <v>S-C7: Overall environmental performance (basket of environmental measures)</v>
      </c>
      <c r="DN8" s="2414" t="str">
        <f>'SUB LIST'!T218</f>
        <v>nr</v>
      </c>
      <c r="DO8" s="2414" t="str">
        <f>'SUB LIST'!U218</f>
        <v>0</v>
      </c>
      <c r="DP8" s="2414" t="str">
        <f>'SUB LIST'!AW218</f>
        <v>-</v>
      </c>
    </row>
    <row r="9" spans="1:120">
      <c r="G9" t="str">
        <f>'SUB LIST'!A9</f>
        <v>PR14ANHWSW_W-H2</v>
      </c>
      <c r="H9" t="str">
        <f>'SUB LIST'!P9</f>
        <v>01</v>
      </c>
      <c r="I9" t="str">
        <f>'SUB LIST'!Q9</f>
        <v>WTW with coliforms detected</v>
      </c>
      <c r="J9">
        <f>'SUB LIST'!T9</f>
        <v>0</v>
      </c>
      <c r="K9" t="str">
        <f>'SUB LIST'!U9</f>
        <v>0</v>
      </c>
      <c r="L9">
        <f>'SUB LIST'!AW9</f>
        <v>4</v>
      </c>
      <c r="AK9" t="str">
        <f>'SUB LIST'!A32</f>
        <v>PR14SBWWSW_B4</v>
      </c>
      <c r="AL9" t="str">
        <f>'SUB LIST'!P32</f>
        <v>06</v>
      </c>
      <c r="AM9" t="str">
        <f>'SUB LIST'!Q32</f>
        <v>Water treatment works coliforms non-compliance (%)</v>
      </c>
      <c r="AN9" t="str">
        <f>'SUB LIST'!T32</f>
        <v>%</v>
      </c>
      <c r="AO9">
        <f>'SUB LIST'!U32</f>
        <v>2</v>
      </c>
      <c r="AP9">
        <f>'SUB LIST'!AW32</f>
        <v>0.05</v>
      </c>
      <c r="BC9" t="str">
        <f>'SUB LIST'!A48</f>
        <v>PR14SRNWSWW_1</v>
      </c>
      <c r="BD9" t="str">
        <f>'SUB LIST'!P48</f>
        <v>00</v>
      </c>
      <c r="BE9" t="str">
        <f>'SUB LIST'!Q48</f>
        <v>1: Wastewater asset health</v>
      </c>
      <c r="BF9" t="str">
        <f>'SUB LIST'!T48</f>
        <v>category</v>
      </c>
      <c r="BG9" t="str">
        <f>'SUB LIST'!U48</f>
        <v>na</v>
      </c>
      <c r="BH9" t="str">
        <f>'SUB LIST'!AW48</f>
        <v>Stable</v>
      </c>
      <c r="BI9" t="str">
        <f>'SUB LIST'!A58</f>
        <v>PR14SSCWSW_2.3</v>
      </c>
      <c r="BJ9" t="str">
        <f>'SUB LIST'!P58</f>
        <v>00</v>
      </c>
      <c r="BK9" t="str">
        <f>'SUB LIST'!Q58</f>
        <v>2.3: Serviceability non-infrastructure (combined company)</v>
      </c>
      <c r="BL9" t="str">
        <f>'SUB LIST'!T58</f>
        <v>category</v>
      </c>
      <c r="BM9" t="str">
        <f>'SUB LIST'!U58</f>
        <v>na</v>
      </c>
      <c r="BN9" t="str">
        <f>'SUB LIST'!AW58</f>
        <v>Stable</v>
      </c>
      <c r="BO9" t="str">
        <f>'SUB LIST'!A70</f>
        <v>PR14SVTWSWW_S-C7</v>
      </c>
      <c r="BP9" t="str">
        <f>'SUB LIST'!P70</f>
        <v>01</v>
      </c>
      <c r="BQ9" t="str">
        <f>'SUB LIST'!Q70</f>
        <v>Improvements in river water quality against WFD criteria</v>
      </c>
      <c r="BR9" t="str">
        <f>'SUB LIST'!T70</f>
        <v>nr</v>
      </c>
      <c r="BS9" t="str">
        <f>'SUB LIST'!U70</f>
        <v>0</v>
      </c>
      <c r="BT9">
        <f>'SUB LIST'!AW70</f>
        <v>0</v>
      </c>
      <c r="BU9" t="str">
        <f>'SUB LIST'!A80</f>
        <v>PR14SWTWSW_W-A3</v>
      </c>
      <c r="BV9" t="str">
        <f>'SUB LIST'!P80</f>
        <v>06</v>
      </c>
      <c r="BW9" t="str">
        <f>'SUB LIST'!Q80</f>
        <v>Distribution Index TIM (as 100-Mean Zonal Compliance)</v>
      </c>
      <c r="BX9" t="str">
        <f>'SUB LIST'!T80</f>
        <v>%</v>
      </c>
      <c r="BY9">
        <f>'SUB LIST'!U80</f>
        <v>2</v>
      </c>
      <c r="BZ9">
        <f>'SUB LIST'!AW80</f>
        <v>0.04</v>
      </c>
      <c r="CA9" t="str">
        <f>'SUB LIST'!A104</f>
        <v>PR14TMSWSW_WB1</v>
      </c>
      <c r="CB9" t="str">
        <f>'SUB LIST'!P104</f>
        <v>06</v>
      </c>
      <c r="CC9" t="str">
        <f>'SUB LIST'!Q104</f>
        <v>Customer complaints discolouration white water (nr per 1,000 population)</v>
      </c>
      <c r="CD9" t="str">
        <f>'SUB LIST'!T104</f>
        <v>nr</v>
      </c>
      <c r="CE9">
        <f>'SUB LIST'!U104</f>
        <v>2</v>
      </c>
      <c r="CF9">
        <f>'SUB LIST'!AW104</f>
        <v>0.17</v>
      </c>
      <c r="CG9" t="str">
        <f>'SUB LIST'!A128</f>
        <v>PR14UUWSW_A3</v>
      </c>
      <c r="CH9" t="str">
        <f>'SUB LIST'!P128</f>
        <v>06</v>
      </c>
      <c r="CI9" t="str">
        <f>'SUB LIST'!Q128</f>
        <v>Unwanted customer contacts for water quality (nr per year)</v>
      </c>
      <c r="CJ9" t="str">
        <f>'SUB LIST'!T128</f>
        <v>nr</v>
      </c>
      <c r="CK9" t="str">
        <f>'SUB LIST'!U128</f>
        <v>0</v>
      </c>
      <c r="CL9">
        <f>'SUB LIST'!AW128</f>
        <v>11652</v>
      </c>
      <c r="CM9" t="str">
        <f>'SUB LIST'!A168</f>
        <v>PR14WSHWSW_F1</v>
      </c>
      <c r="CN9" t="str">
        <f>'SUB LIST'!P168</f>
        <v>06</v>
      </c>
      <c r="CO9" t="str">
        <f>'SUB LIST'!Q168</f>
        <v>Distribution Index TIM (as 100-Mean Zonal Compliance) (%)</v>
      </c>
      <c r="CP9" t="str">
        <f>'SUB LIST'!T168</f>
        <v>%</v>
      </c>
      <c r="CQ9">
        <f>'SUB LIST'!U168</f>
        <v>2</v>
      </c>
      <c r="CR9">
        <f>'SUB LIST'!AW168</f>
        <v>99.84</v>
      </c>
      <c r="CY9" t="str">
        <f>'SUB LIST'!A190</f>
        <v>PR14YKYWSW_WB4</v>
      </c>
      <c r="CZ9" t="str">
        <f>'SUB LIST'!P190</f>
        <v>00</v>
      </c>
      <c r="DA9" t="str">
        <f>'SUB LIST'!Q190</f>
        <v>WB4: Water network stability and reliability factor</v>
      </c>
      <c r="DB9" t="str">
        <f>'SUB LIST'!T190</f>
        <v>category</v>
      </c>
      <c r="DC9" t="str">
        <f>'SUB LIST'!U190</f>
        <v>na</v>
      </c>
      <c r="DD9" t="str">
        <f>'SUB LIST'!AW190</f>
        <v>Stable</v>
      </c>
      <c r="DK9" s="2146" t="str">
        <f>'SUB LIST'!A219</f>
        <v>PR14SVEWSWW_S-C7</v>
      </c>
      <c r="DL9" s="2146" t="str">
        <f>'SUB LIST'!P219</f>
        <v>01</v>
      </c>
      <c r="DM9" s="2146" t="str">
        <f>'SUB LIST'!Q219</f>
        <v>Improvements in river water quality against WFD criteria</v>
      </c>
      <c r="DN9" s="2414" t="str">
        <f>'SUB LIST'!T219</f>
        <v>nr</v>
      </c>
      <c r="DO9" s="2414" t="str">
        <f>'SUB LIST'!U219</f>
        <v>0</v>
      </c>
      <c r="DP9" s="2414" t="str">
        <f>'SUB LIST'!AW219</f>
        <v>-</v>
      </c>
    </row>
    <row r="10" spans="1:120">
      <c r="G10" t="str">
        <f>'SUB LIST'!A10</f>
        <v>PR14ANHWSW_W-H2</v>
      </c>
      <c r="H10" t="str">
        <f>'SUB LIST'!P10</f>
        <v>02</v>
      </c>
      <c r="I10" t="str">
        <f>'SUB LIST'!Q10</f>
        <v>Percentage (%) service reservoirs with &gt;5% coliforms</v>
      </c>
      <c r="J10" t="str">
        <f>'SUB LIST'!T10</f>
        <v>%</v>
      </c>
      <c r="K10">
        <f>'SUB LIST'!U10</f>
        <v>2</v>
      </c>
      <c r="L10">
        <f>'SUB LIST'!AW10</f>
        <v>0</v>
      </c>
      <c r="AK10" t="str">
        <f>'SUB LIST'!A33</f>
        <v>PR14SBWWSW_B4</v>
      </c>
      <c r="AL10" t="str">
        <f>'SUB LIST'!P33</f>
        <v>07</v>
      </c>
      <c r="AM10" t="str">
        <f>'SUB LIST'!Q33</f>
        <v>Service reservoir coliforms non-compliance (%)</v>
      </c>
      <c r="AN10" t="str">
        <f>'SUB LIST'!T33</f>
        <v>%</v>
      </c>
      <c r="AO10">
        <f>'SUB LIST'!U33</f>
        <v>2</v>
      </c>
      <c r="AP10">
        <f>'SUB LIST'!AW33</f>
        <v>0</v>
      </c>
      <c r="BC10" t="str">
        <f>'SUB LIST'!A49</f>
        <v>PR14SRNWSWW_1</v>
      </c>
      <c r="BD10" t="str">
        <f>'SUB LIST'!P49</f>
        <v>01</v>
      </c>
      <c r="BE10" t="str">
        <f>'SUB LIST'!Q49</f>
        <v>Sewer collapses</v>
      </c>
      <c r="BF10" t="str">
        <f>'SUB LIST'!T49</f>
        <v>nr</v>
      </c>
      <c r="BG10" t="str">
        <f>'SUB LIST'!U49</f>
        <v>0</v>
      </c>
      <c r="BH10">
        <f>'SUB LIST'!AW49</f>
        <v>234</v>
      </c>
      <c r="BI10" t="str">
        <f>'SUB LIST'!A59</f>
        <v>PR14SSCWSW_2.3</v>
      </c>
      <c r="BJ10" t="str">
        <f>'SUB LIST'!P59</f>
        <v>01</v>
      </c>
      <c r="BK10" t="str">
        <f>'SUB LIST'!Q59</f>
        <v>WTW coliform non-compliance</v>
      </c>
      <c r="BL10" t="str">
        <f>'SUB LIST'!T59</f>
        <v>%</v>
      </c>
      <c r="BM10">
        <f>'SUB LIST'!U59</f>
        <v>2</v>
      </c>
      <c r="BN10">
        <f>'SUB LIST'!AW59</f>
        <v>5.2999999999999999E-2</v>
      </c>
      <c r="BO10" t="str">
        <f>'SUB LIST'!A71</f>
        <v>PR14SVTWSWW_S-C7</v>
      </c>
      <c r="BP10" t="str">
        <f>'SUB LIST'!P71</f>
        <v>02</v>
      </c>
      <c r="BQ10" t="str">
        <f>'SUB LIST'!Q71</f>
        <v>Asset stewardship - environmental compliance</v>
      </c>
      <c r="BR10" t="str">
        <f>'SUB LIST'!T71</f>
        <v>nr</v>
      </c>
      <c r="BS10" t="str">
        <f>'SUB LIST'!U71</f>
        <v>0</v>
      </c>
      <c r="BT10">
        <f>'SUB LIST'!AW71</f>
        <v>0</v>
      </c>
      <c r="BU10" t="str">
        <f>'SUB LIST'!A81</f>
        <v>PR14SWTWSW_W-A4</v>
      </c>
      <c r="BV10" t="str">
        <f>'SUB LIST'!P81</f>
        <v>00</v>
      </c>
      <c r="BW10" t="str">
        <f>'SUB LIST'!Q81</f>
        <v>W-A4 Asset reliability (process)</v>
      </c>
      <c r="BX10" t="str">
        <f>'SUB LIST'!T81</f>
        <v>category</v>
      </c>
      <c r="BY10" t="str">
        <f>'SUB LIST'!U81</f>
        <v>na</v>
      </c>
      <c r="BZ10" t="str">
        <f>'SUB LIST'!AW81</f>
        <v>Stable</v>
      </c>
      <c r="CA10" t="str">
        <f>'SUB LIST'!A105</f>
        <v>PR14TMSWSW_WB2</v>
      </c>
      <c r="CB10" t="str">
        <f>'SUB LIST'!P105</f>
        <v>00</v>
      </c>
      <c r="CC10" t="str">
        <f>'SUB LIST'!Q105</f>
        <v>WB2: Asset health water non-infrastructure</v>
      </c>
      <c r="CD10" t="str">
        <f>'SUB LIST'!T105</f>
        <v>category</v>
      </c>
      <c r="CE10" t="str">
        <f>'SUB LIST'!U105</f>
        <v>na</v>
      </c>
      <c r="CF10" t="str">
        <f>'SUB LIST'!AW105</f>
        <v>Stable</v>
      </c>
      <c r="CG10" t="str">
        <f>'SUB LIST'!A129</f>
        <v>PR14UUWSW_B2</v>
      </c>
      <c r="CH10" t="str">
        <f>'SUB LIST'!P129</f>
        <v>00</v>
      </c>
      <c r="CI10" t="str">
        <f>'SUB LIST'!Q129</f>
        <v>B2: Reliable water service index</v>
      </c>
      <c r="CJ10" t="str">
        <f>'SUB LIST'!T129</f>
        <v>score</v>
      </c>
      <c r="CK10">
        <f>'SUB LIST'!U129</f>
        <v>3</v>
      </c>
      <c r="CL10">
        <f>'SUB LIST'!AW129</f>
        <v>70.826999999999998</v>
      </c>
      <c r="CM10" t="str">
        <f>'SUB LIST'!A169</f>
        <v>PR14WSHWSW_F1</v>
      </c>
      <c r="CN10" t="str">
        <f>'SUB LIST'!P169</f>
        <v>07</v>
      </c>
      <c r="CO10" t="str">
        <f>'SUB LIST'!Q169</f>
        <v>Water Treatment Works Coliforms non-compliance (%)</v>
      </c>
      <c r="CP10" t="str">
        <f>'SUB LIST'!T169</f>
        <v>%</v>
      </c>
      <c r="CQ10">
        <f>'SUB LIST'!U169</f>
        <v>2</v>
      </c>
      <c r="CR10">
        <f>'SUB LIST'!AW169</f>
        <v>0.02</v>
      </c>
      <c r="CY10" t="str">
        <f>'SUB LIST'!A191</f>
        <v>PR14YKYWSW_WB4</v>
      </c>
      <c r="CZ10" t="str">
        <f>'SUB LIST'!P191</f>
        <v>01</v>
      </c>
      <c r="DA10" t="str">
        <f>'SUB LIST'!Q191</f>
        <v>Total bursts</v>
      </c>
      <c r="DB10" t="str">
        <f>'SUB LIST'!T191</f>
        <v>nr</v>
      </c>
      <c r="DC10" t="str">
        <f>'SUB LIST'!U191</f>
        <v>0</v>
      </c>
      <c r="DD10">
        <f>'SUB LIST'!AW191</f>
        <v>6858</v>
      </c>
      <c r="DK10" s="2146" t="str">
        <f>'SUB LIST'!A220</f>
        <v>PR14SVEWSWW_S-C7</v>
      </c>
      <c r="DL10" s="2146" t="str">
        <f>'SUB LIST'!P220</f>
        <v>02</v>
      </c>
      <c r="DM10" s="2146" t="str">
        <f>'SUB LIST'!Q220</f>
        <v>Asset stewardship - environmental compliance</v>
      </c>
      <c r="DN10" s="2414" t="str">
        <f>'SUB LIST'!T220</f>
        <v>nr</v>
      </c>
      <c r="DO10" s="2414" t="str">
        <f>'SUB LIST'!U220</f>
        <v>0</v>
      </c>
      <c r="DP10" s="2414" t="str">
        <f>'SUB LIST'!AW220</f>
        <v>-</v>
      </c>
    </row>
    <row r="11" spans="1:120">
      <c r="G11" t="str">
        <f>'SUB LIST'!A11</f>
        <v>PR14ANHWSW_W-H2</v>
      </c>
      <c r="H11" t="str">
        <f>'SUB LIST'!P11</f>
        <v>03</v>
      </c>
      <c r="I11" t="str">
        <f>'SUB LIST'!Q11</f>
        <v>WTW turbidity</v>
      </c>
      <c r="J11">
        <f>'SUB LIST'!T11</f>
        <v>0</v>
      </c>
      <c r="K11" t="str">
        <f>'SUB LIST'!U11</f>
        <v>0</v>
      </c>
      <c r="L11">
        <f>'SUB LIST'!AW11</f>
        <v>0</v>
      </c>
      <c r="AK11" t="str">
        <f>'SUB LIST'!A34</f>
        <v>PR14SBWWSW_B4</v>
      </c>
      <c r="AL11" t="str">
        <f>'SUB LIST'!P34</f>
        <v>08</v>
      </c>
      <c r="AM11" t="str">
        <f>'SUB LIST'!Q34</f>
        <v>Turbidity (number)</v>
      </c>
      <c r="AN11" t="str">
        <f>'SUB LIST'!T34</f>
        <v>nr</v>
      </c>
      <c r="AO11" t="str">
        <f>'SUB LIST'!U34</f>
        <v>0</v>
      </c>
      <c r="AP11">
        <f>'SUB LIST'!AW34</f>
        <v>0</v>
      </c>
      <c r="BC11" t="str">
        <f>'SUB LIST'!A50</f>
        <v>PR14SRNWSWW_1</v>
      </c>
      <c r="BD11" t="str">
        <f>'SUB LIST'!P50</f>
        <v>02</v>
      </c>
      <c r="BE11" t="str">
        <f>'SUB LIST'!Q50</f>
        <v>WwTW population equivalent compliance</v>
      </c>
      <c r="BF11" t="str">
        <f>'SUB LIST'!T50</f>
        <v>%</v>
      </c>
      <c r="BG11">
        <f>'SUB LIST'!U50</f>
        <v>1</v>
      </c>
      <c r="BH11">
        <f>'SUB LIST'!AW50</f>
        <v>99.93</v>
      </c>
      <c r="BI11" t="str">
        <f>'SUB LIST'!A60</f>
        <v>PR14SSCWSW_2.3</v>
      </c>
      <c r="BJ11" t="str">
        <f>'SUB LIST'!P60</f>
        <v>02</v>
      </c>
      <c r="BK11" t="str">
        <f>'SUB LIST'!Q60</f>
        <v>Service reservoir coliform non-compliance</v>
      </c>
      <c r="BL11" t="str">
        <f>'SUB LIST'!T60</f>
        <v>%</v>
      </c>
      <c r="BM11">
        <f>'SUB LIST'!U60</f>
        <v>2</v>
      </c>
      <c r="BN11">
        <f>'SUB LIST'!AW60</f>
        <v>0</v>
      </c>
      <c r="BO11" t="str">
        <f>'SUB LIST'!A72</f>
        <v>PR14SVTWSWW_S-C7</v>
      </c>
      <c r="BP11" t="str">
        <f>'SUB LIST'!P72</f>
        <v>03</v>
      </c>
      <c r="BQ11" t="str">
        <f>'SUB LIST'!Q72</f>
        <v>Total number of category 1, 2, and 3 pollution incidents</v>
      </c>
      <c r="BR11" t="str">
        <f>'SUB LIST'!T72</f>
        <v>nr</v>
      </c>
      <c r="BS11" t="str">
        <f>'SUB LIST'!U72</f>
        <v>0</v>
      </c>
      <c r="BT11">
        <f>'SUB LIST'!AW72</f>
        <v>0</v>
      </c>
      <c r="BU11" t="str">
        <f>'SUB LIST'!A82</f>
        <v>PR14SWTWSW_W-A4</v>
      </c>
      <c r="BV11" t="str">
        <f>'SUB LIST'!P82</f>
        <v>01</v>
      </c>
      <c r="BW11" t="str">
        <f>'SUB LIST'!Q82</f>
        <v>WTW coliforms non-compliance</v>
      </c>
      <c r="BX11" t="str">
        <f>'SUB LIST'!T82</f>
        <v>%</v>
      </c>
      <c r="BY11">
        <f>'SUB LIST'!U82</f>
        <v>2</v>
      </c>
      <c r="BZ11">
        <f>'SUB LIST'!AW82</f>
        <v>0.01</v>
      </c>
      <c r="CA11" t="str">
        <f>'SUB LIST'!A106</f>
        <v>PR14TMSWSW_WB2</v>
      </c>
      <c r="CB11" t="str">
        <f>'SUB LIST'!P106</f>
        <v>01</v>
      </c>
      <c r="CC11" t="str">
        <f>'SUB LIST'!Q106</f>
        <v>Disinfection index (DWI)</v>
      </c>
      <c r="CD11" t="str">
        <f>'SUB LIST'!T106</f>
        <v>%</v>
      </c>
      <c r="CE11">
        <f>'SUB LIST'!U106</f>
        <v>2</v>
      </c>
      <c r="CF11">
        <f>'SUB LIST'!AW106</f>
        <v>99.96</v>
      </c>
      <c r="CG11" t="str">
        <f>'SUB LIST'!A130</f>
        <v>PR14UUWSW_B2</v>
      </c>
      <c r="CH11" t="str">
        <f>'SUB LIST'!P130</f>
        <v>01</v>
      </c>
      <c r="CI11" t="str">
        <f>'SUB LIST'!Q130</f>
        <v>Total bursts (nr/annum)</v>
      </c>
      <c r="CJ11" t="str">
        <f>'SUB LIST'!T130</f>
        <v>nr</v>
      </c>
      <c r="CK11" t="str">
        <f>'SUB LIST'!U130</f>
        <v>0</v>
      </c>
      <c r="CL11">
        <f>'SUB LIST'!AW130</f>
        <v>4484</v>
      </c>
      <c r="CM11" t="str">
        <f>'SUB LIST'!A170</f>
        <v>PR14WSHWSW_F1</v>
      </c>
      <c r="CN11" t="str">
        <f>'SUB LIST'!P170</f>
        <v>08</v>
      </c>
      <c r="CO11" t="str">
        <f>'SUB LIST'!Q170</f>
        <v>Service Reservoir Coliforms non-compliance (%)</v>
      </c>
      <c r="CP11" t="str">
        <f>'SUB LIST'!T170</f>
        <v>%</v>
      </c>
      <c r="CQ11">
        <f>'SUB LIST'!U170</f>
        <v>2</v>
      </c>
      <c r="CR11">
        <f>'SUB LIST'!AW170</f>
        <v>0</v>
      </c>
      <c r="CY11" t="str">
        <f>'SUB LIST'!A192</f>
        <v>PR14YKYWSW_WB4</v>
      </c>
      <c r="CZ11" t="str">
        <f>'SUB LIST'!P192</f>
        <v>02</v>
      </c>
      <c r="DA11" t="str">
        <f>'SUB LIST'!Q192</f>
        <v>Interruptions &gt;12 hours</v>
      </c>
      <c r="DB11" t="str">
        <f>'SUB LIST'!T192</f>
        <v>nr</v>
      </c>
      <c r="DC11" t="str">
        <f>'SUB LIST'!U192</f>
        <v>0</v>
      </c>
      <c r="DD11">
        <f>'SUB LIST'!AW192</f>
        <v>320</v>
      </c>
      <c r="DK11" s="2146" t="str">
        <f>'SUB LIST'!A221</f>
        <v>PR14SVEWSWW_S-C7</v>
      </c>
      <c r="DL11" s="2146" t="str">
        <f>'SUB LIST'!P221</f>
        <v>03</v>
      </c>
      <c r="DM11" s="2146" t="str">
        <f>'SUB LIST'!Q221</f>
        <v>Total number of category 1, 2, and 3 pollution incidents</v>
      </c>
      <c r="DN11" s="2414" t="str">
        <f>'SUB LIST'!T221</f>
        <v>nr</v>
      </c>
      <c r="DO11" s="2414" t="str">
        <f>'SUB LIST'!U221</f>
        <v>0</v>
      </c>
      <c r="DP11" s="2414" t="str">
        <f>'SUB LIST'!AW221</f>
        <v>-</v>
      </c>
    </row>
    <row r="12" spans="1:120">
      <c r="G12" t="str">
        <f>'SUB LIST'!A12</f>
        <v>PR14ANHWSWW_S-F1</v>
      </c>
      <c r="H12" t="str">
        <f>'SUB LIST'!P12</f>
        <v>00</v>
      </c>
      <c r="I12" t="str">
        <f>'SUB LIST'!Q12</f>
        <v>S-F1: Sewerage infrastructure</v>
      </c>
      <c r="J12" t="str">
        <f>'SUB LIST'!T12</f>
        <v>category</v>
      </c>
      <c r="K12" t="str">
        <f>'SUB LIST'!U12</f>
        <v>na</v>
      </c>
      <c r="L12" t="str">
        <f>'SUB LIST'!AW12</f>
        <v>Green</v>
      </c>
      <c r="AK12" t="str">
        <f>'SUB LIST'!A35</f>
        <v>PR14SBWWSW_B4</v>
      </c>
      <c r="AL12" t="str">
        <f>'SUB LIST'!P35</f>
        <v>09</v>
      </c>
      <c r="AM12" t="str">
        <f>'SUB LIST'!Q35</f>
        <v>Enforcement (incident number)</v>
      </c>
      <c r="AN12" t="str">
        <f>'SUB LIST'!T35</f>
        <v>nr</v>
      </c>
      <c r="AO12" t="str">
        <f>'SUB LIST'!U35</f>
        <v>0</v>
      </c>
      <c r="AP12">
        <f>'SUB LIST'!AW35</f>
        <v>0</v>
      </c>
      <c r="BC12" t="str">
        <f>'SUB LIST'!A51</f>
        <v>PR14SRNWSWW_1</v>
      </c>
      <c r="BD12" t="str">
        <f>'SUB LIST'!P51</f>
        <v>03</v>
      </c>
      <c r="BE12" t="str">
        <f>'SUB LIST'!Q51</f>
        <v>External flooding - other causes</v>
      </c>
      <c r="BF12" t="str">
        <f>'SUB LIST'!T51</f>
        <v>nr</v>
      </c>
      <c r="BG12" t="str">
        <f>'SUB LIST'!U51</f>
        <v>0</v>
      </c>
      <c r="BH12">
        <f>'SUB LIST'!AW51</f>
        <v>6734</v>
      </c>
      <c r="BI12" t="str">
        <f>'SUB LIST'!A61</f>
        <v>PR14SSCWSW_2.3</v>
      </c>
      <c r="BJ12" t="str">
        <f>'SUB LIST'!P61</f>
        <v>03</v>
      </c>
      <c r="BK12" t="str">
        <f>'SUB LIST'!Q61</f>
        <v>WTW turbidity non-compliance</v>
      </c>
      <c r="BL12" t="str">
        <f>'SUB LIST'!T61</f>
        <v>nr</v>
      </c>
      <c r="BM12" t="str">
        <f>'SUB LIST'!U61</f>
        <v>0</v>
      </c>
      <c r="BN12">
        <f>'SUB LIST'!AW61</f>
        <v>0</v>
      </c>
      <c r="BO12" t="str">
        <f>'SUB LIST'!A73</f>
        <v>PR14SVTWSWW_S-C7</v>
      </c>
      <c r="BP12" t="str">
        <f>'SUB LIST'!P73</f>
        <v>04</v>
      </c>
      <c r="BQ12" t="str">
        <f>'SUB LIST'!Q73</f>
        <v>Biodiversity improvements</v>
      </c>
      <c r="BR12" t="str">
        <f>'SUB LIST'!T73</f>
        <v>nr</v>
      </c>
      <c r="BS12" t="str">
        <f>'SUB LIST'!U73</f>
        <v>0</v>
      </c>
      <c r="BT12">
        <f>'SUB LIST'!AW73</f>
        <v>0</v>
      </c>
      <c r="BU12" t="str">
        <f>'SUB LIST'!A83</f>
        <v>PR14SWTWSW_W-A4</v>
      </c>
      <c r="BV12" t="str">
        <f>'SUB LIST'!P83</f>
        <v>02</v>
      </c>
      <c r="BW12" t="str">
        <f>'SUB LIST'!Q83</f>
        <v>Service reservoir coliforms non-compliance</v>
      </c>
      <c r="BX12" t="str">
        <f>'SUB LIST'!T83</f>
        <v>%</v>
      </c>
      <c r="BY12">
        <f>'SUB LIST'!U83</f>
        <v>2</v>
      </c>
      <c r="BZ12">
        <f>'SUB LIST'!AW83</f>
        <v>0</v>
      </c>
      <c r="CA12" t="str">
        <f>'SUB LIST'!A107</f>
        <v>PR14TMSWSW_WB2</v>
      </c>
      <c r="CB12" t="str">
        <f>'SUB LIST'!P107</f>
        <v>02</v>
      </c>
      <c r="CC12" t="str">
        <f>'SUB LIST'!Q107</f>
        <v>Reservoir integrity index</v>
      </c>
      <c r="CD12" t="str">
        <f>'SUB LIST'!T107</f>
        <v>%</v>
      </c>
      <c r="CE12">
        <f>'SUB LIST'!U107</f>
        <v>2</v>
      </c>
      <c r="CF12">
        <f>'SUB LIST'!AW107</f>
        <v>0</v>
      </c>
      <c r="CG12" t="str">
        <f>'SUB LIST'!A131</f>
        <v>PR14UUWSW_B2</v>
      </c>
      <c r="CH12" t="str">
        <f>'SUB LIST'!P131</f>
        <v>02</v>
      </c>
      <c r="CI12" t="str">
        <f>'SUB LIST'!Q131</f>
        <v>Interruptions &gt;12hours (nr of properties/total nr of properties)</v>
      </c>
      <c r="CJ12" t="str">
        <f>'SUB LIST'!T131</f>
        <v>nr</v>
      </c>
      <c r="CK12" t="str">
        <f>'SUB LIST'!U131</f>
        <v>0</v>
      </c>
      <c r="CL12">
        <f>'SUB LIST'!AW131</f>
        <v>4631</v>
      </c>
      <c r="CM12" t="str">
        <f>'SUB LIST'!A171</f>
        <v>PR14WSHWSW_F1</v>
      </c>
      <c r="CN12" t="str">
        <f>'SUB LIST'!P171</f>
        <v>09</v>
      </c>
      <c r="CO12" t="str">
        <f>'SUB LIST'!Q171</f>
        <v>Turbidity (nr)</v>
      </c>
      <c r="CP12" t="str">
        <f>'SUB LIST'!T171</f>
        <v>nr</v>
      </c>
      <c r="CQ12" t="str">
        <f>'SUB LIST'!U171</f>
        <v>0</v>
      </c>
      <c r="CR12">
        <f>'SUB LIST'!AW171</f>
        <v>0</v>
      </c>
      <c r="CY12" t="str">
        <f>'SUB LIST'!A193</f>
        <v>PR14YKYWSW_WB4</v>
      </c>
      <c r="CZ12" t="str">
        <f>'SUB LIST'!P193</f>
        <v>03</v>
      </c>
      <c r="DA12" t="str">
        <f>'SUB LIST'!Q193</f>
        <v>DG2 low pressure</v>
      </c>
      <c r="DB12" t="str">
        <f>'SUB LIST'!T193</f>
        <v>nr</v>
      </c>
      <c r="DC12" t="str">
        <f>'SUB LIST'!U193</f>
        <v>0</v>
      </c>
      <c r="DD12">
        <f>'SUB LIST'!AW193</f>
        <v>11</v>
      </c>
      <c r="DK12" s="2146" t="str">
        <f>'SUB LIST'!A222</f>
        <v>PR14SVEWSWW_S-C7</v>
      </c>
      <c r="DL12" s="2146" t="str">
        <f>'SUB LIST'!P222</f>
        <v>04</v>
      </c>
      <c r="DM12" s="2146" t="str">
        <f>'SUB LIST'!Q222</f>
        <v>Biodiversity improvements</v>
      </c>
      <c r="DN12" s="2414" t="str">
        <f>'SUB LIST'!T222</f>
        <v>nr</v>
      </c>
      <c r="DO12" s="2414" t="str">
        <f>'SUB LIST'!U222</f>
        <v>0</v>
      </c>
      <c r="DP12" s="2414" t="str">
        <f>'SUB LIST'!AW222</f>
        <v>-</v>
      </c>
    </row>
    <row r="13" spans="1:120">
      <c r="G13" t="str">
        <f>'SUB LIST'!A13</f>
        <v>PR14ANHWSWW_S-F1</v>
      </c>
      <c r="H13" t="str">
        <f>'SUB LIST'!P13</f>
        <v>01</v>
      </c>
      <c r="I13" t="str">
        <f>'SUB LIST'!Q13</f>
        <v>Pollution incidents</v>
      </c>
      <c r="J13" t="str">
        <f>'SUB LIST'!T13</f>
        <v>nr</v>
      </c>
      <c r="K13" t="str">
        <f>'SUB LIST'!U13</f>
        <v>0</v>
      </c>
      <c r="L13">
        <f>'SUB LIST'!AW13</f>
        <v>113</v>
      </c>
      <c r="AK13" t="str">
        <f>'SUB LIST'!A36</f>
        <v>PR14SBWWSW_B4</v>
      </c>
      <c r="AL13" t="str">
        <f>'SUB LIST'!P36</f>
        <v>10</v>
      </c>
      <c r="AM13" t="str">
        <f>'SUB LIST'!Q36</f>
        <v>Unplanned maintenance (number)</v>
      </c>
      <c r="AN13" t="str">
        <f>'SUB LIST'!T36</f>
        <v>nr</v>
      </c>
      <c r="AO13" t="str">
        <f>'SUB LIST'!U36</f>
        <v>0</v>
      </c>
      <c r="AP13">
        <f>'SUB LIST'!AW36</f>
        <v>221</v>
      </c>
      <c r="BI13" t="str">
        <f>'SUB LIST'!A62</f>
        <v>PR14SSCWSW_2.3</v>
      </c>
      <c r="BJ13" t="str">
        <f>'SUB LIST'!P62</f>
        <v>04</v>
      </c>
      <c r="BK13" t="str">
        <f>'SUB LIST'!Q62</f>
        <v>DWI enforcement actions</v>
      </c>
      <c r="BL13" t="str">
        <f>'SUB LIST'!T62</f>
        <v>nr</v>
      </c>
      <c r="BM13" t="str">
        <f>'SUB LIST'!U62</f>
        <v>0</v>
      </c>
      <c r="BN13">
        <f>'SUB LIST'!AW62</f>
        <v>0</v>
      </c>
      <c r="BU13" t="str">
        <f>'SUB LIST'!A84</f>
        <v>PR14SWTWSW_W-A4</v>
      </c>
      <c r="BV13" t="str">
        <f>'SUB LIST'!P84</f>
        <v>03</v>
      </c>
      <c r="BW13" t="str">
        <f>'SUB LIST'!Q84</f>
        <v>Turbidity non-compliance</v>
      </c>
      <c r="BX13" t="str">
        <f>'SUB LIST'!T84</f>
        <v>nr</v>
      </c>
      <c r="BY13" t="str">
        <f>'SUB LIST'!U84</f>
        <v>0</v>
      </c>
      <c r="BZ13">
        <f>'SUB LIST'!AW84</f>
        <v>0</v>
      </c>
      <c r="CA13" t="str">
        <f>'SUB LIST'!A108</f>
        <v>PR14TMSWSW_WB2</v>
      </c>
      <c r="CB13" t="str">
        <f>'SUB LIST'!P108</f>
        <v>03</v>
      </c>
      <c r="CC13" t="str">
        <f>'SUB LIST'!Q108</f>
        <v>DWQ compliance measures - turbidity (number of sites)</v>
      </c>
      <c r="CD13" t="str">
        <f>'SUB LIST'!T108</f>
        <v>nr</v>
      </c>
      <c r="CE13" t="str">
        <f>'SUB LIST'!U108</f>
        <v>0</v>
      </c>
      <c r="CF13">
        <f>'SUB LIST'!AW108</f>
        <v>1</v>
      </c>
      <c r="CG13" t="str">
        <f>'SUB LIST'!A132</f>
        <v>PR14UUWSW_B2</v>
      </c>
      <c r="CH13" t="str">
        <f>'SUB LIST'!P132</f>
        <v>03</v>
      </c>
      <c r="CI13" t="str">
        <f>'SUB LIST'!Q132</f>
        <v>Pressure (nr of properties on DG2 register/ total number of properties)</v>
      </c>
      <c r="CJ13" t="str">
        <f>'SUB LIST'!T132</f>
        <v>nr</v>
      </c>
      <c r="CK13" t="str">
        <f>'SUB LIST'!U132</f>
        <v>0</v>
      </c>
      <c r="CL13">
        <f>'SUB LIST'!AW132</f>
        <v>278</v>
      </c>
      <c r="CM13" t="str">
        <f>'SUB LIST'!A172</f>
        <v>PR14WSHWSW_F1</v>
      </c>
      <c r="CN13" t="str">
        <f>'SUB LIST'!P172</f>
        <v>10</v>
      </c>
      <c r="CO13" t="str">
        <f>'SUB LIST'!Q172</f>
        <v>Enforcement (incidents number)</v>
      </c>
      <c r="CP13" t="str">
        <f>'SUB LIST'!T172</f>
        <v>nr</v>
      </c>
      <c r="CQ13" t="str">
        <f>'SUB LIST'!U172</f>
        <v>0</v>
      </c>
      <c r="CR13">
        <f>'SUB LIST'!AW172</f>
        <v>0</v>
      </c>
      <c r="CY13" t="str">
        <f>'SUB LIST'!A194</f>
        <v>PR14YKYWSW_WB4</v>
      </c>
      <c r="CZ13" t="str">
        <f>'SUB LIST'!P194</f>
        <v>04</v>
      </c>
      <c r="DA13" t="str">
        <f>'SUB LIST'!Q194</f>
        <v>Customer contacts for discolouration (nr per 1,000 population)</v>
      </c>
      <c r="DB13" t="str">
        <f>'SUB LIST'!T194</f>
        <v>nr</v>
      </c>
      <c r="DC13">
        <f>'SUB LIST'!U194</f>
        <v>3</v>
      </c>
      <c r="DD13">
        <f>'SUB LIST'!AW194</f>
        <v>0.67400000000000004</v>
      </c>
      <c r="DE13" s="675"/>
      <c r="DF13" s="675"/>
      <c r="DG13" s="675"/>
      <c r="DH13" s="675"/>
      <c r="DI13" s="675"/>
      <c r="DJ13" s="675"/>
      <c r="DK13" s="675"/>
      <c r="DL13" s="675"/>
      <c r="DM13" s="675"/>
      <c r="DN13" s="675"/>
      <c r="DO13" s="675"/>
      <c r="DP13" s="675"/>
    </row>
    <row r="14" spans="1:120">
      <c r="G14" t="str">
        <f>'SUB LIST'!A14</f>
        <v>PR14ANHWSWW_S-F1</v>
      </c>
      <c r="H14" t="str">
        <f>'SUB LIST'!P14</f>
        <v>02</v>
      </c>
      <c r="I14" t="str">
        <f>'SUB LIST'!Q14</f>
        <v>Sewer collapses</v>
      </c>
      <c r="J14" t="str">
        <f>'SUB LIST'!T14</f>
        <v>nr</v>
      </c>
      <c r="K14" t="str">
        <f>'SUB LIST'!U14</f>
        <v>0</v>
      </c>
      <c r="L14">
        <f>'SUB LIST'!AW14</f>
        <v>246</v>
      </c>
      <c r="BI14" t="str">
        <f>'SUB LIST'!A63</f>
        <v>PR14SSCWSW_2.3</v>
      </c>
      <c r="BJ14" t="str">
        <f>'SUB LIST'!P63</f>
        <v>05</v>
      </c>
      <c r="BK14" t="str">
        <f>'SUB LIST'!Q63</f>
        <v>Unplanned maintenance work orders</v>
      </c>
      <c r="BL14" t="str">
        <f>'SUB LIST'!T63</f>
        <v>nr</v>
      </c>
      <c r="BM14" t="str">
        <f>'SUB LIST'!U63</f>
        <v>0</v>
      </c>
      <c r="BN14">
        <f>'SUB LIST'!AW63</f>
        <v>2662</v>
      </c>
      <c r="BU14" t="str">
        <f>'SUB LIST'!A85</f>
        <v>PR14SWTWSW_W-A4</v>
      </c>
      <c r="BV14" t="str">
        <f>'SUB LIST'!P85</f>
        <v>04</v>
      </c>
      <c r="BW14" t="str">
        <f>'SUB LIST'!Q85</f>
        <v>Enforcement incidents</v>
      </c>
      <c r="BX14" t="str">
        <f>'SUB LIST'!T85</f>
        <v>nr</v>
      </c>
      <c r="BY14" t="str">
        <f>'SUB LIST'!U85</f>
        <v>0</v>
      </c>
      <c r="BZ14">
        <f>'SUB LIST'!AW85</f>
        <v>0</v>
      </c>
      <c r="CA14" t="str">
        <f>'SUB LIST'!A109</f>
        <v>PR14TMSWSW_WB2</v>
      </c>
      <c r="CB14" t="str">
        <f>'SUB LIST'!P109</f>
        <v>04</v>
      </c>
      <c r="CC14" t="str">
        <f>'SUB LIST'!Q109</f>
        <v>Process control index</v>
      </c>
      <c r="CD14" t="str">
        <f>'SUB LIST'!T109</f>
        <v>%</v>
      </c>
      <c r="CE14">
        <f>'SUB LIST'!U109</f>
        <v>2</v>
      </c>
      <c r="CF14">
        <f>'SUB LIST'!AW109</f>
        <v>100</v>
      </c>
      <c r="CG14" t="str">
        <f>'SUB LIST'!A133</f>
        <v>PR14UUWSW_B2</v>
      </c>
      <c r="CH14" t="str">
        <f>'SUB LIST'!P133</f>
        <v>04</v>
      </c>
      <c r="CI14" t="str">
        <f>'SUB LIST'!Q133</f>
        <v>Customer contacts for water availability (contacts/annum)</v>
      </c>
      <c r="CJ14" t="str">
        <f>'SUB LIST'!T133</f>
        <v>nr</v>
      </c>
      <c r="CK14" t="str">
        <f>'SUB LIST'!U133</f>
        <v>0</v>
      </c>
      <c r="CL14">
        <f>'SUB LIST'!AW133</f>
        <v>46487</v>
      </c>
      <c r="CM14" t="str">
        <f>'SUB LIST'!A173</f>
        <v>PR14WSHWSW_F1</v>
      </c>
      <c r="CN14" t="str">
        <f>'SUB LIST'!P173</f>
        <v>11</v>
      </c>
      <c r="CO14" t="str">
        <f>'SUB LIST'!Q173</f>
        <v>Unplanned maintenance (nr)</v>
      </c>
      <c r="CP14" t="str">
        <f>'SUB LIST'!T173</f>
        <v>nr</v>
      </c>
      <c r="CQ14" t="str">
        <f>'SUB LIST'!U173</f>
        <v>0</v>
      </c>
      <c r="CR14">
        <f>'SUB LIST'!AW173</f>
        <v>11129</v>
      </c>
      <c r="CY14" t="str">
        <f>'SUB LIST'!A195</f>
        <v>PR14YKYWSW_WB4</v>
      </c>
      <c r="CZ14" t="str">
        <f>'SUB LIST'!P195</f>
        <v>05</v>
      </c>
      <c r="DA14" t="str">
        <f>'SUB LIST'!Q195</f>
        <v>Distribution index TIM (100 - mean zonal compliance)</v>
      </c>
      <c r="DB14" t="str">
        <f>'SUB LIST'!T195</f>
        <v>%</v>
      </c>
      <c r="DC14">
        <f>'SUB LIST'!U195</f>
        <v>3</v>
      </c>
      <c r="DD14">
        <f>'SUB LIST'!AW195</f>
        <v>0.08</v>
      </c>
    </row>
    <row r="15" spans="1:120">
      <c r="G15" t="str">
        <f>'SUB LIST'!A15</f>
        <v>PR14ANHWSWW_S-F1</v>
      </c>
      <c r="H15" t="str">
        <f>'SUB LIST'!P15</f>
        <v>03</v>
      </c>
      <c r="I15" t="str">
        <f>'SUB LIST'!Q15</f>
        <v>Internal flooding (overloaded + other causes)</v>
      </c>
      <c r="J15" t="str">
        <f>'SUB LIST'!T15</f>
        <v>nr</v>
      </c>
      <c r="K15" t="str">
        <f>'SUB LIST'!U15</f>
        <v>0</v>
      </c>
      <c r="L15">
        <f>'SUB LIST'!AW15</f>
        <v>161</v>
      </c>
      <c r="BU15" t="str">
        <f>'SUB LIST'!A86</f>
        <v>PR14SWTWSW_W-A4</v>
      </c>
      <c r="BV15" t="str">
        <f>'SUB LIST'!P86</f>
        <v>05</v>
      </c>
      <c r="BW15" t="str">
        <f>'SUB LIST'!Q86</f>
        <v>Unplanned maintenance</v>
      </c>
      <c r="BX15" t="str">
        <f>'SUB LIST'!T86</f>
        <v>nr</v>
      </c>
      <c r="BY15" t="str">
        <f>'SUB LIST'!U86</f>
        <v>0</v>
      </c>
      <c r="BZ15">
        <f>'SUB LIST'!AW86</f>
        <v>2606</v>
      </c>
      <c r="CA15" t="str">
        <f>'SUB LIST'!A110</f>
        <v>PR14TMSWSW_WB2</v>
      </c>
      <c r="CB15" t="str">
        <f>'SUB LIST'!P110</f>
        <v>05</v>
      </c>
      <c r="CC15" t="str">
        <f>'SUB LIST'!Q110</f>
        <v>DWQ compliance measures - enforcement actions</v>
      </c>
      <c r="CD15" t="str">
        <f>'SUB LIST'!T110</f>
        <v>nr</v>
      </c>
      <c r="CE15" t="str">
        <f>'SUB LIST'!U110</f>
        <v>0</v>
      </c>
      <c r="CF15">
        <f>'SUB LIST'!AW110</f>
        <v>0</v>
      </c>
      <c r="CG15" t="str">
        <f>'SUB LIST'!A134</f>
        <v>PR14UUWSWW_S-A1</v>
      </c>
      <c r="CH15" t="str">
        <f>'SUB LIST'!P134</f>
        <v>00</v>
      </c>
      <c r="CI15" t="str">
        <f>'SUB LIST'!Q134</f>
        <v>S-A1: Private sewers service index</v>
      </c>
      <c r="CJ15" t="str">
        <f>'SUB LIST'!T134</f>
        <v>score</v>
      </c>
      <c r="CK15">
        <f>'SUB LIST'!U134</f>
        <v>2</v>
      </c>
      <c r="CL15">
        <f>'SUB LIST'!AW134</f>
        <v>85</v>
      </c>
      <c r="CM15" t="str">
        <f>'SUB LIST'!A174</f>
        <v>PR14WSHWSWW_F1</v>
      </c>
      <c r="CN15" t="str">
        <f>'SUB LIST'!P174</f>
        <v>00</v>
      </c>
      <c r="CO15" t="str">
        <f>'SUB LIST'!Q174</f>
        <v>F1: Asset serviceability</v>
      </c>
      <c r="CP15" t="str">
        <f>'SUB LIST'!T174</f>
        <v>category</v>
      </c>
      <c r="CQ15" t="str">
        <f>'SUB LIST'!U174</f>
        <v>na</v>
      </c>
      <c r="CR15" t="str">
        <f>'SUB LIST'!AW174</f>
        <v>Stable</v>
      </c>
      <c r="CY15" t="str">
        <f>'SUB LIST'!A196</f>
        <v>PR14YKYWSW_WB4</v>
      </c>
      <c r="CZ15" t="str">
        <f>'SUB LIST'!P196</f>
        <v>06</v>
      </c>
      <c r="DA15" t="str">
        <f>'SUB LIST'!Q196</f>
        <v>Reactive equipment failures</v>
      </c>
      <c r="DB15" t="str">
        <f>'SUB LIST'!T196</f>
        <v>nr</v>
      </c>
      <c r="DC15" t="str">
        <f>'SUB LIST'!U196</f>
        <v>0</v>
      </c>
      <c r="DD15">
        <f>'SUB LIST'!AW196</f>
        <v>942</v>
      </c>
    </row>
    <row r="16" spans="1:120">
      <c r="G16" t="str">
        <f>'SUB LIST'!A16</f>
        <v>PR14ANHWSWW_S-F1</v>
      </c>
      <c r="H16" t="str">
        <f>'SUB LIST'!P16</f>
        <v>04</v>
      </c>
      <c r="I16" t="str">
        <f>'SUB LIST'!Q16</f>
        <v>Sewer blockages</v>
      </c>
      <c r="J16" t="str">
        <f>'SUB LIST'!T16</f>
        <v>nr</v>
      </c>
      <c r="K16" t="str">
        <f>'SUB LIST'!U16</f>
        <v>0</v>
      </c>
      <c r="L16">
        <f>'SUB LIST'!AW16</f>
        <v>11936</v>
      </c>
      <c r="BU16" t="str">
        <f>'SUB LIST'!A87</f>
        <v>PR14SWTWSWW_S-A4</v>
      </c>
      <c r="BV16" t="str">
        <f>'SUB LIST'!P87</f>
        <v>00</v>
      </c>
      <c r="BW16" t="str">
        <f>'SUB LIST'!Q87</f>
        <v>S-A4 Asset reliability (pipes)</v>
      </c>
      <c r="BX16" t="str">
        <f>'SUB LIST'!T87</f>
        <v>category</v>
      </c>
      <c r="BY16" t="str">
        <f>'SUB LIST'!U87</f>
        <v>na</v>
      </c>
      <c r="BZ16" t="str">
        <f>'SUB LIST'!AW87</f>
        <v>Stable</v>
      </c>
      <c r="CA16" t="str">
        <f>'SUB LIST'!A111</f>
        <v>PR14TMSWSW_WB2</v>
      </c>
      <c r="CB16" t="str">
        <f>'SUB LIST'!P111</f>
        <v>06</v>
      </c>
      <c r="CC16" t="str">
        <f>'SUB LIST'!Q111</f>
        <v>Water quality complaints for chlorine (nr per 1,000 population)</v>
      </c>
      <c r="CD16" t="str">
        <f>'SUB LIST'!T111</f>
        <v>nr</v>
      </c>
      <c r="CE16">
        <f>'SUB LIST'!U111</f>
        <v>2</v>
      </c>
      <c r="CF16">
        <f>'SUB LIST'!AW111</f>
        <v>0.05</v>
      </c>
      <c r="CG16" t="str">
        <f>'SUB LIST'!A135</f>
        <v>PR14UUWSWW_S-A1</v>
      </c>
      <c r="CH16" t="str">
        <f>'SUB LIST'!P135</f>
        <v>01</v>
      </c>
      <c r="CI16" t="str">
        <f>'SUB LIST'!Q135</f>
        <v>Blockages</v>
      </c>
      <c r="CJ16" t="str">
        <f>'SUB LIST'!T135</f>
        <v>nr</v>
      </c>
      <c r="CK16" t="str">
        <f>'SUB LIST'!U135</f>
        <v>0</v>
      </c>
      <c r="CL16">
        <f>'SUB LIST'!AW135</f>
        <v>13809</v>
      </c>
      <c r="CM16" t="str">
        <f>'SUB LIST'!A175</f>
        <v>PR14WSHWSWW_F1</v>
      </c>
      <c r="CN16" t="str">
        <f>'SUB LIST'!P175</f>
        <v>01</v>
      </c>
      <c r="CO16" t="str">
        <f>'SUB LIST'!Q175</f>
        <v>Sewer collapses (nr)</v>
      </c>
      <c r="CP16" t="str">
        <f>'SUB LIST'!T175</f>
        <v>nr</v>
      </c>
      <c r="CQ16" t="str">
        <f>'SUB LIST'!U175</f>
        <v>0</v>
      </c>
      <c r="CR16">
        <f>'SUB LIST'!AW175</f>
        <v>712</v>
      </c>
      <c r="CY16" t="str">
        <f>'SUB LIST'!A197</f>
        <v>PR14YKYWSWW_SA4</v>
      </c>
      <c r="CZ16" t="str">
        <f>'SUB LIST'!P197</f>
        <v>00</v>
      </c>
      <c r="DA16" t="str">
        <f>'SUB LIST'!Q197</f>
        <v>SA4: Sewer network stability and reliability factor</v>
      </c>
      <c r="DB16" t="str">
        <f>'SUB LIST'!T197</f>
        <v>category</v>
      </c>
      <c r="DC16" t="str">
        <f>'SUB LIST'!U197</f>
        <v>na</v>
      </c>
      <c r="DD16" t="str">
        <f>'SUB LIST'!AW197</f>
        <v>Stable</v>
      </c>
    </row>
    <row r="17" spans="7:108">
      <c r="G17" t="str">
        <f>'SUB LIST'!A17</f>
        <v>PR14ANHWSWW_S-F2</v>
      </c>
      <c r="H17" t="str">
        <f>'SUB LIST'!P17</f>
        <v>00</v>
      </c>
      <c r="I17" t="str">
        <f>'SUB LIST'!Q17</f>
        <v>S-F2: Sewerage non-infrastructure</v>
      </c>
      <c r="J17" t="str">
        <f>'SUB LIST'!T17</f>
        <v>category</v>
      </c>
      <c r="K17" t="str">
        <f>'SUB LIST'!U17</f>
        <v>na</v>
      </c>
      <c r="L17" t="str">
        <f>'SUB LIST'!AW17</f>
        <v>Green</v>
      </c>
      <c r="BU17" t="str">
        <f>'SUB LIST'!A88</f>
        <v>PR14SWTWSWW_S-A4</v>
      </c>
      <c r="BV17" t="str">
        <f>'SUB LIST'!P88</f>
        <v>01</v>
      </c>
      <c r="BW17" t="str">
        <f>'SUB LIST'!Q88</f>
        <v>Sewer collapses</v>
      </c>
      <c r="BX17" t="str">
        <f>'SUB LIST'!T88</f>
        <v>nr</v>
      </c>
      <c r="BY17" t="str">
        <f>'SUB LIST'!U88</f>
        <v>0</v>
      </c>
      <c r="BZ17">
        <f>'SUB LIST'!AW88</f>
        <v>89</v>
      </c>
      <c r="CA17" t="str">
        <f>'SUB LIST'!A112</f>
        <v>PR14TMSWSW_WB2</v>
      </c>
      <c r="CB17" t="str">
        <f>'SUB LIST'!P112</f>
        <v>07</v>
      </c>
      <c r="CC17" t="str">
        <f>'SUB LIST'!Q112</f>
        <v>Water quality complaints for hardness (nr per 1,000 population)</v>
      </c>
      <c r="CD17" t="str">
        <f>'SUB LIST'!T112</f>
        <v>nr</v>
      </c>
      <c r="CE17">
        <f>'SUB LIST'!U112</f>
        <v>3</v>
      </c>
      <c r="CF17">
        <f>'SUB LIST'!AW112</f>
        <v>0.01</v>
      </c>
      <c r="CG17" t="str">
        <f>'SUB LIST'!A136</f>
        <v>PR14UUWSWW_S-A1</v>
      </c>
      <c r="CH17" t="str">
        <f>'SUB LIST'!P136</f>
        <v>02</v>
      </c>
      <c r="CI17" t="str">
        <f>'SUB LIST'!Q136</f>
        <v>Collapses</v>
      </c>
      <c r="CJ17" t="str">
        <f>'SUB LIST'!T136</f>
        <v>nr</v>
      </c>
      <c r="CK17" t="str">
        <f>'SUB LIST'!U136</f>
        <v>0</v>
      </c>
      <c r="CL17">
        <f>'SUB LIST'!AW136</f>
        <v>302</v>
      </c>
      <c r="CM17" t="str">
        <f>'SUB LIST'!A176</f>
        <v>PR14WSHWSWW_F1</v>
      </c>
      <c r="CN17" t="str">
        <f>'SUB LIST'!P176</f>
        <v>02</v>
      </c>
      <c r="CO17" t="str">
        <f>'SUB LIST'!Q176</f>
        <v>Pollution incidents category 1, 2 &amp; 3 (CSO+RM+FS) (nr)</v>
      </c>
      <c r="CP17" t="str">
        <f>'SUB LIST'!T176</f>
        <v>nr</v>
      </c>
      <c r="CQ17" t="str">
        <f>'SUB LIST'!U176</f>
        <v>0</v>
      </c>
      <c r="CR17">
        <f>'SUB LIST'!AW176</f>
        <v>82</v>
      </c>
      <c r="CY17" t="str">
        <f>'SUB LIST'!A198</f>
        <v>PR14YKYWSWW_SA4</v>
      </c>
      <c r="CZ17" t="str">
        <f>'SUB LIST'!P198</f>
        <v>01</v>
      </c>
      <c r="DA17" t="str">
        <f>'SUB LIST'!Q198</f>
        <v>Sewer collapses</v>
      </c>
      <c r="DB17" t="str">
        <f>'SUB LIST'!T198</f>
        <v>nr</v>
      </c>
      <c r="DC17" t="str">
        <f>'SUB LIST'!U198</f>
        <v>0</v>
      </c>
      <c r="DD17">
        <f>'SUB LIST'!AW198</f>
        <v>218</v>
      </c>
    </row>
    <row r="18" spans="7:108">
      <c r="G18" t="str">
        <f>'SUB LIST'!A18</f>
        <v>PR14ANHWSWW_S-F2</v>
      </c>
      <c r="H18" t="str">
        <f>'SUB LIST'!P18</f>
        <v>01</v>
      </c>
      <c r="I18" t="str">
        <f>'SUB LIST'!Q18</f>
        <v>Population equivalent (PE) WwTW in breach of consent</v>
      </c>
      <c r="J18" t="str">
        <f>'SUB LIST'!T18</f>
        <v>%</v>
      </c>
      <c r="K18">
        <f>'SUB LIST'!U18</f>
        <v>2</v>
      </c>
      <c r="L18">
        <f>'SUB LIST'!AW18</f>
        <v>0.48</v>
      </c>
      <c r="BU18" t="str">
        <f>'SUB LIST'!A89</f>
        <v>PR14SWTWSWW_S-A4</v>
      </c>
      <c r="BV18" t="str">
        <f>'SUB LIST'!P89</f>
        <v>02</v>
      </c>
      <c r="BW18" t="str">
        <f>'SUB LIST'!Q89</f>
        <v>Pollution incidents (CSO + RM + FS)</v>
      </c>
      <c r="BX18" t="str">
        <f>'SUB LIST'!T89</f>
        <v>nr</v>
      </c>
      <c r="BY18" t="str">
        <f>'SUB LIST'!U89</f>
        <v>0</v>
      </c>
      <c r="BZ18">
        <f>'SUB LIST'!AW89</f>
        <v>96</v>
      </c>
      <c r="CA18" t="str">
        <f>'SUB LIST'!A113</f>
        <v>PR14TMSWSWW_SB1</v>
      </c>
      <c r="CB18" t="str">
        <f>'SUB LIST'!P113</f>
        <v>00</v>
      </c>
      <c r="CC18" t="str">
        <f>'SUB LIST'!Q113</f>
        <v>SB1: Asset health wastewater non-infrastructure</v>
      </c>
      <c r="CD18" t="str">
        <f>'SUB LIST'!T113</f>
        <v>category</v>
      </c>
      <c r="CE18" t="str">
        <f>'SUB LIST'!U113</f>
        <v>na</v>
      </c>
      <c r="CF18" t="str">
        <f>'SUB LIST'!AW113</f>
        <v>Stable</v>
      </c>
      <c r="CG18" t="str">
        <f>'SUB LIST'!A137</f>
        <v>PR14UUWSWW_S-A1</v>
      </c>
      <c r="CH18" t="str">
        <f>'SUB LIST'!P137</f>
        <v>03</v>
      </c>
      <c r="CI18" t="str">
        <f>'SUB LIST'!Q137</f>
        <v>Pollution incidents</v>
      </c>
      <c r="CJ18" t="str">
        <f>'SUB LIST'!T137</f>
        <v>nr</v>
      </c>
      <c r="CK18" t="str">
        <f>'SUB LIST'!U137</f>
        <v>0</v>
      </c>
      <c r="CL18">
        <f>'SUB LIST'!AW137</f>
        <v>4</v>
      </c>
      <c r="CM18" t="str">
        <f>'SUB LIST'!A177</f>
        <v>PR14WSHWSWW_F1</v>
      </c>
      <c r="CN18" t="str">
        <f>'SUB LIST'!P177</f>
        <v>03</v>
      </c>
      <c r="CO18" t="str">
        <f>'SUB LIST'!Q177</f>
        <v>Properties flooded due to other causes (nr)</v>
      </c>
      <c r="CP18" t="str">
        <f>'SUB LIST'!T177</f>
        <v>nr</v>
      </c>
      <c r="CQ18" t="str">
        <f>'SUB LIST'!U177</f>
        <v>0</v>
      </c>
      <c r="CR18">
        <f>'SUB LIST'!AW177</f>
        <v>198</v>
      </c>
      <c r="CY18" t="str">
        <f>'SUB LIST'!A199</f>
        <v>PR14YKYWSWW_SA4</v>
      </c>
      <c r="CZ18" t="str">
        <f>'SUB LIST'!P199</f>
        <v>02</v>
      </c>
      <c r="DA18" t="str">
        <f>'SUB LIST'!Q199</f>
        <v>Pollution incidents (CSO, RM, FS and SPS)</v>
      </c>
      <c r="DB18" t="str">
        <f>'SUB LIST'!T199</f>
        <v>nr</v>
      </c>
      <c r="DC18" t="str">
        <f>'SUB LIST'!U199</f>
        <v>0</v>
      </c>
      <c r="DD18">
        <f>'SUB LIST'!AW199</f>
        <v>172</v>
      </c>
    </row>
    <row r="19" spans="7:108">
      <c r="G19" t="str">
        <f>'SUB LIST'!A19</f>
        <v>PR14ANHWSWW_S-F2</v>
      </c>
      <c r="H19" t="str">
        <f>'SUB LIST'!P19</f>
        <v>02</v>
      </c>
      <c r="I19" t="str">
        <f>'SUB LIST'!Q19</f>
        <v>WwTW failing numeric consent</v>
      </c>
      <c r="J19">
        <f>'SUB LIST'!T19</f>
        <v>0</v>
      </c>
      <c r="K19">
        <f>'SUB LIST'!U19</f>
        <v>2</v>
      </c>
      <c r="L19">
        <f>'SUB LIST'!AW19</f>
        <v>1.1100000000000001</v>
      </c>
      <c r="BU19" t="str">
        <f>'SUB LIST'!A90</f>
        <v>PR14SWTWSWW_S-A4</v>
      </c>
      <c r="BV19" t="str">
        <f>'SUB LIST'!P90</f>
        <v>03</v>
      </c>
      <c r="BW19" t="str">
        <f>'SUB LIST'!Q90</f>
        <v>Properties flooded due to other causes</v>
      </c>
      <c r="BX19" t="str">
        <f>'SUB LIST'!T90</f>
        <v>nr</v>
      </c>
      <c r="BY19" t="str">
        <f>'SUB LIST'!U90</f>
        <v>0</v>
      </c>
      <c r="BZ19">
        <f>'SUB LIST'!AW90</f>
        <v>68</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LIST'!AW114</f>
        <v>22</v>
      </c>
      <c r="CG19" t="str">
        <f>'SUB LIST'!A138</f>
        <v>PR14UUWSWW_S-A1</v>
      </c>
      <c r="CH19" t="str">
        <f>'SUB LIST'!P138</f>
        <v>04</v>
      </c>
      <c r="CI19" t="str">
        <f>'SUB LIST'!Q138</f>
        <v>Properties flooded internally</v>
      </c>
      <c r="CJ19" t="str">
        <f>'SUB LIST'!T138</f>
        <v>nr</v>
      </c>
      <c r="CK19" t="str">
        <f>'SUB LIST'!U138</f>
        <v>0</v>
      </c>
      <c r="CL19">
        <f>'SUB LIST'!AW138</f>
        <v>276</v>
      </c>
      <c r="CM19" t="str">
        <f>'SUB LIST'!A178</f>
        <v>PR14WSHWSWW_F1</v>
      </c>
      <c r="CN19" t="str">
        <f>'SUB LIST'!P178</f>
        <v>04</v>
      </c>
      <c r="CO19" t="str">
        <f>'SUB LIST'!Q178</f>
        <v>Properties flooded due to overloaded sewers excluding severe weather (nr)</v>
      </c>
      <c r="CP19" t="str">
        <f>'SUB LIST'!T178</f>
        <v>nr</v>
      </c>
      <c r="CQ19" t="str">
        <f>'SUB LIST'!U178</f>
        <v>0</v>
      </c>
      <c r="CR19">
        <f>'SUB LIST'!AW178</f>
        <v>23</v>
      </c>
      <c r="CY19" t="str">
        <f>'SUB LIST'!A200</f>
        <v>PR14YKYWSWW_SA4</v>
      </c>
      <c r="CZ19" t="str">
        <f>'SUB LIST'!P200</f>
        <v>03</v>
      </c>
      <c r="DA19" t="str">
        <f>'SUB LIST'!Q200</f>
        <v>Properties flooded due to other causes</v>
      </c>
      <c r="DB19" t="str">
        <f>'SUB LIST'!T200</f>
        <v>nr</v>
      </c>
      <c r="DC19" t="str">
        <f>'SUB LIST'!U200</f>
        <v>0</v>
      </c>
      <c r="DD19">
        <f>'SUB LIST'!AW200</f>
        <v>387</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LIST'!AW91</f>
        <v>12</v>
      </c>
      <c r="CA20" t="str">
        <f>'SUB LIST'!A115</f>
        <v>PR14TMSWSWW_SB1</v>
      </c>
      <c r="CB20" t="str">
        <f>'SUB LIST'!P115</f>
        <v>02</v>
      </c>
      <c r="CC20" t="str">
        <f>'SUB LIST'!Q115</f>
        <v>Sewage treatment works discharges failing numeric consents %</v>
      </c>
      <c r="CD20" t="str">
        <f>'SUB LIST'!T115</f>
        <v>%</v>
      </c>
      <c r="CE20">
        <f>'SUB LIST'!U115</f>
        <v>2</v>
      </c>
      <c r="CF20">
        <f>'SUB LIST'!AW115</f>
        <v>0.56999999999999995</v>
      </c>
      <c r="CG20" t="str">
        <f>'SUB LIST'!A139</f>
        <v>PR14UUWSWW_S-A1</v>
      </c>
      <c r="CH20" t="str">
        <f>'SUB LIST'!P139</f>
        <v>05</v>
      </c>
      <c r="CI20" t="str">
        <f>'SUB LIST'!Q139</f>
        <v>Areas flooded externally</v>
      </c>
      <c r="CJ20" t="str">
        <f>'SUB LIST'!T139</f>
        <v>nr</v>
      </c>
      <c r="CK20" t="str">
        <f>'SUB LIST'!U139</f>
        <v>0</v>
      </c>
      <c r="CL20">
        <f>'SUB LIST'!AW139</f>
        <v>3901</v>
      </c>
      <c r="CM20" t="str">
        <f>'SUB LIST'!A179</f>
        <v>PR14WSHWSWW_F1</v>
      </c>
      <c r="CN20" t="str">
        <f>'SUB LIST'!P179</f>
        <v>05</v>
      </c>
      <c r="CO20" t="str">
        <f>'SUB LIST'!Q179</f>
        <v>Sewer blockages (nr)</v>
      </c>
      <c r="CP20" t="str">
        <f>'SUB LIST'!T179</f>
        <v>nr</v>
      </c>
      <c r="CQ20" t="str">
        <f>'SUB LIST'!U179</f>
        <v>0</v>
      </c>
      <c r="CR20">
        <f>'SUB LIST'!AW179</f>
        <v>22612</v>
      </c>
      <c r="CY20" t="str">
        <f>'SUB LIST'!A201</f>
        <v>PR14YKYWSWW_SA4</v>
      </c>
      <c r="CZ20" t="str">
        <f>'SUB LIST'!P201</f>
        <v>04</v>
      </c>
      <c r="DA20" t="str">
        <f>'SUB LIST'!Q201</f>
        <v>Properties flooded due to overloaded sewers, excluding severe weather</v>
      </c>
      <c r="DB20" t="str">
        <f>'SUB LIST'!T201</f>
        <v>nr</v>
      </c>
      <c r="DC20" t="str">
        <f>'SUB LIST'!U201</f>
        <v>0</v>
      </c>
      <c r="DD20">
        <f>'SUB LIST'!AW201</f>
        <v>12</v>
      </c>
    </row>
    <row r="21" spans="7:108">
      <c r="BU21" t="str">
        <f>'SUB LIST'!A92</f>
        <v>PR14SWTWSWW_S-A4</v>
      </c>
      <c r="BV21" t="str">
        <f>'SUB LIST'!P92</f>
        <v>05</v>
      </c>
      <c r="BW21" t="str">
        <f>'SUB LIST'!Q92</f>
        <v>Sewer blockages</v>
      </c>
      <c r="BX21" t="str">
        <f>'SUB LIST'!T92</f>
        <v>nr</v>
      </c>
      <c r="BY21" t="str">
        <f>'SUB LIST'!U92</f>
        <v>0</v>
      </c>
      <c r="BZ21">
        <f>'SUB LIST'!AW92</f>
        <v>3285</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LIST'!AW116</f>
        <v>0</v>
      </c>
      <c r="CG21" t="str">
        <f>'SUB LIST'!A140</f>
        <v>PR14UUWSWW_S-A2</v>
      </c>
      <c r="CH21" t="str">
        <f>'SUB LIST'!P140</f>
        <v>00</v>
      </c>
      <c r="CI21" t="str">
        <f>'SUB LIST'!Q140</f>
        <v>S-A2: Wastewater network performance index</v>
      </c>
      <c r="CJ21" t="str">
        <f>'SUB LIST'!T140</f>
        <v>score</v>
      </c>
      <c r="CK21">
        <f>'SUB LIST'!U140</f>
        <v>2</v>
      </c>
      <c r="CL21">
        <f>'SUB LIST'!AW140</f>
        <v>86.17</v>
      </c>
      <c r="CM21" t="str">
        <f>'SUB LIST'!A180</f>
        <v>PR14WSHWSWW_F1</v>
      </c>
      <c r="CN21" t="str">
        <f>'SUB LIST'!P180</f>
        <v>06</v>
      </c>
      <c r="CO21" t="str">
        <f>'SUB LIST'!Q180</f>
        <v>Equipment failures (nr)</v>
      </c>
      <c r="CP21" t="str">
        <f>'SUB LIST'!T180</f>
        <v>nr</v>
      </c>
      <c r="CQ21" t="str">
        <f>'SUB LIST'!U180</f>
        <v>0</v>
      </c>
      <c r="CR21">
        <f>'SUB LIST'!AW180</f>
        <v>37</v>
      </c>
      <c r="CY21" t="str">
        <f>'SUB LIST'!A202</f>
        <v>PR14YKYWSWW_SA4</v>
      </c>
      <c r="CZ21" t="str">
        <f>'SUB LIST'!P202</f>
        <v>05</v>
      </c>
      <c r="DA21" t="str">
        <f>'SUB LIST'!Q202</f>
        <v>Sewer blockages</v>
      </c>
      <c r="DB21" t="str">
        <f>'SUB LIST'!T202</f>
        <v>nr</v>
      </c>
      <c r="DC21" t="str">
        <f>'SUB LIST'!U202</f>
        <v>0</v>
      </c>
      <c r="DD21">
        <f>'SUB LIST'!AW202</f>
        <v>14917</v>
      </c>
    </row>
    <row r="22" spans="7:108">
      <c r="BU22" t="str">
        <f>'SUB LIST'!A93</f>
        <v>PR14SWTWSWW_S-A4</v>
      </c>
      <c r="BV22" t="str">
        <f>'SUB LIST'!P93</f>
        <v>06</v>
      </c>
      <c r="BW22" t="str">
        <f>'SUB LIST'!Q93</f>
        <v>Equipment failures</v>
      </c>
      <c r="BX22" t="str">
        <f>'SUB LIST'!T93</f>
        <v>nr</v>
      </c>
      <c r="BY22" t="str">
        <f>'SUB LIST'!U93</f>
        <v>0</v>
      </c>
      <c r="BZ22">
        <f>'SUB LIST'!AW93</f>
        <v>244</v>
      </c>
      <c r="CA22" t="str">
        <f>'SUB LIST'!A117</f>
        <v>PR14TMSWSWW_SB2</v>
      </c>
      <c r="CB22" t="str">
        <f>'SUB LIST'!P117</f>
        <v>00</v>
      </c>
      <c r="CC22" t="str">
        <f>'SUB LIST'!Q117</f>
        <v>SB2: Asset health wastewater infrastructure</v>
      </c>
      <c r="CD22" t="str">
        <f>'SUB LIST'!T117</f>
        <v>category</v>
      </c>
      <c r="CE22" t="str">
        <f>'SUB LIST'!U117</f>
        <v>na</v>
      </c>
      <c r="CF22" t="str">
        <f>'SUB LIST'!AW117</f>
        <v>Stable</v>
      </c>
      <c r="CG22" t="str">
        <f>'SUB LIST'!A141</f>
        <v>PR14UUWSWW_S-A2</v>
      </c>
      <c r="CH22" t="str">
        <f>'SUB LIST'!P141</f>
        <v>01</v>
      </c>
      <c r="CI22" t="str">
        <f>'SUB LIST'!Q141</f>
        <v>Blockages</v>
      </c>
      <c r="CJ22" t="str">
        <f>'SUB LIST'!T141</f>
        <v>nr</v>
      </c>
      <c r="CK22" t="str">
        <f>'SUB LIST'!U141</f>
        <v>0</v>
      </c>
      <c r="CL22">
        <f>'SUB LIST'!AW141</f>
        <v>7047</v>
      </c>
      <c r="CM22" t="str">
        <f>'SUB LIST'!A181</f>
        <v>PR14WSHWSWW_F1</v>
      </c>
      <c r="CN22" t="str">
        <f>'SUB LIST'!P181</f>
        <v>07</v>
      </c>
      <c r="CO22" t="str">
        <f>'SUB LIST'!Q181</f>
        <v>Sewage Treatment Works (STW) % non-compliance</v>
      </c>
      <c r="CP22" t="str">
        <f>'SUB LIST'!T181</f>
        <v>%</v>
      </c>
      <c r="CQ22">
        <f>'SUB LIST'!U181</f>
        <v>2</v>
      </c>
      <c r="CR22">
        <f>'SUB LIST'!AW181</f>
        <v>1.79</v>
      </c>
      <c r="CY22" t="str">
        <f>'SUB LIST'!A203</f>
        <v>PR14YKYWSWW_SA4</v>
      </c>
      <c r="CZ22" t="str">
        <f>'SUB LIST'!P203</f>
        <v>06</v>
      </c>
      <c r="DA22" t="str">
        <f>'SUB LIST'!Q203</f>
        <v>Reactive equipment failures</v>
      </c>
      <c r="DB22" t="str">
        <f>'SUB LIST'!T203</f>
        <v>nr</v>
      </c>
      <c r="DC22" t="str">
        <f>'SUB LIST'!U203</f>
        <v>0</v>
      </c>
      <c r="DD22">
        <f>'SUB LIST'!AW203</f>
        <v>3400</v>
      </c>
    </row>
    <row r="23" spans="7:108">
      <c r="BU23" t="str">
        <f>'SUB LIST'!A94</f>
        <v>PR14SWTWSWW_S-A5</v>
      </c>
      <c r="BV23" t="str">
        <f>'SUB LIST'!P94</f>
        <v>00</v>
      </c>
      <c r="BW23" t="str">
        <f>'SUB LIST'!Q94</f>
        <v>S-A5 Asset reliability (process)</v>
      </c>
      <c r="BX23" t="str">
        <f>'SUB LIST'!T94</f>
        <v>category</v>
      </c>
      <c r="BY23" t="str">
        <f>'SUB LIST'!U94</f>
        <v>na</v>
      </c>
      <c r="BZ23" t="str">
        <f>'SUB LIST'!AW94</f>
        <v>Stable</v>
      </c>
      <c r="CA23" t="str">
        <f>'SUB LIST'!A118</f>
        <v>PR14TMSWSWW_SB2</v>
      </c>
      <c r="CB23" t="str">
        <f>'SUB LIST'!P118</f>
        <v>01</v>
      </c>
      <c r="CC23" t="str">
        <f>'SUB LIST'!Q118</f>
        <v>Number of sewer collapses</v>
      </c>
      <c r="CD23" t="str">
        <f>'SUB LIST'!T118</f>
        <v>nr</v>
      </c>
      <c r="CE23" t="str">
        <f>'SUB LIST'!U118</f>
        <v>0</v>
      </c>
      <c r="CF23">
        <f>'SUB LIST'!AW118</f>
        <v>321</v>
      </c>
      <c r="CG23" t="str">
        <f>'SUB LIST'!A142</f>
        <v>PR14UUWSWW_S-A2</v>
      </c>
      <c r="CH23" t="str">
        <f>'SUB LIST'!P142</f>
        <v>02</v>
      </c>
      <c r="CI23" t="str">
        <f>'SUB LIST'!Q142</f>
        <v>Collapses</v>
      </c>
      <c r="CJ23" t="str">
        <f>'SUB LIST'!T142</f>
        <v>nr</v>
      </c>
      <c r="CK23" t="str">
        <f>'SUB LIST'!U142</f>
        <v>0</v>
      </c>
      <c r="CL23">
        <f>'SUB LIST'!AW142</f>
        <v>232</v>
      </c>
      <c r="CM23" t="str">
        <f>'SUB LIST'!A182</f>
        <v>PR14WSHWSWW_F1</v>
      </c>
      <c r="CN23" t="str">
        <f>'SUB LIST'!P182</f>
        <v>08</v>
      </c>
      <c r="CO23" t="str">
        <f>'SUB LIST'!Q182</f>
        <v>Population equivalent (PE) % non-compliance</v>
      </c>
      <c r="CP23" t="str">
        <f>'SUB LIST'!T182</f>
        <v>%</v>
      </c>
      <c r="CQ23">
        <f>'SUB LIST'!U182</f>
        <v>2</v>
      </c>
      <c r="CR23">
        <f>'SUB LIST'!AW182</f>
        <v>4.45</v>
      </c>
      <c r="CY23" t="str">
        <f>'SUB LIST'!A204</f>
        <v>PR14YKYWSWW_SB2</v>
      </c>
      <c r="CZ23" t="str">
        <f>'SUB LIST'!P204</f>
        <v>00</v>
      </c>
      <c r="DA23" t="str">
        <f>'SUB LIST'!Q204</f>
        <v>SB2: Wastewater quality stability and reliability factor</v>
      </c>
      <c r="DB23" t="str">
        <f>'SUB LIST'!T204</f>
        <v>category</v>
      </c>
      <c r="DC23" t="str">
        <f>'SUB LIST'!U204</f>
        <v>na</v>
      </c>
      <c r="DD23" t="str">
        <f>'SUB LIST'!AW204</f>
        <v>Stable</v>
      </c>
    </row>
    <row r="24" spans="7:108">
      <c r="BU24" t="str">
        <f>'SUB LIST'!A95</f>
        <v>PR14SWTWSWW_S-A5</v>
      </c>
      <c r="BV24" t="str">
        <f>'SUB LIST'!P95</f>
        <v>01</v>
      </c>
      <c r="BW24" t="str">
        <f>'SUB LIST'!Q95</f>
        <v>Sewage treatment works (STW) non-compliance</v>
      </c>
      <c r="BX24" t="str">
        <f>'SUB LIST'!T95</f>
        <v>%</v>
      </c>
      <c r="BY24">
        <f>'SUB LIST'!U95</f>
        <v>2</v>
      </c>
      <c r="BZ24">
        <f>'SUB LIST'!AW95</f>
        <v>2.9</v>
      </c>
      <c r="CA24" t="str">
        <f>'SUB LIST'!A119</f>
        <v>PR14TMSWSWW_SB2</v>
      </c>
      <c r="CB24" t="str">
        <f>'SUB LIST'!P119</f>
        <v>02</v>
      </c>
      <c r="CC24" t="str">
        <f>'SUB LIST'!Q119</f>
        <v>Number of sewer blockages</v>
      </c>
      <c r="CD24" t="str">
        <f>'SUB LIST'!T119</f>
        <v>nr</v>
      </c>
      <c r="CE24" t="str">
        <f>'SUB LIST'!U119</f>
        <v>0</v>
      </c>
      <c r="CF24">
        <f>'SUB LIST'!AW119</f>
        <v>77402</v>
      </c>
      <c r="CG24" t="str">
        <f>'SUB LIST'!A143</f>
        <v>PR14UUWSWW_S-A2</v>
      </c>
      <c r="CH24" t="str">
        <f>'SUB LIST'!P143</f>
        <v>03</v>
      </c>
      <c r="CI24" t="str">
        <f>'SUB LIST'!Q143</f>
        <v>Rising main bursts</v>
      </c>
      <c r="CJ24" t="str">
        <f>'SUB LIST'!T143</f>
        <v>nr</v>
      </c>
      <c r="CK24" t="str">
        <f>'SUB LIST'!U143</f>
        <v>0</v>
      </c>
      <c r="CL24">
        <f>'SUB LIST'!AW143</f>
        <v>47</v>
      </c>
      <c r="CM24" t="str">
        <f>'SUB LIST'!A183</f>
        <v>PR14WSHWSWW_F1</v>
      </c>
      <c r="CN24" t="str">
        <f>'SUB LIST'!P183</f>
        <v>09</v>
      </c>
      <c r="CO24" t="str">
        <f>'SUB LIST'!Q183</f>
        <v>Unplanned maintenance (nr)</v>
      </c>
      <c r="CP24" t="str">
        <f>'SUB LIST'!T183</f>
        <v>nr</v>
      </c>
      <c r="CQ24" t="str">
        <f>'SUB LIST'!U183</f>
        <v>0</v>
      </c>
      <c r="CR24">
        <f>'SUB LIST'!AW183</f>
        <v>32887</v>
      </c>
      <c r="CY24" t="str">
        <f>'SUB LIST'!A205</f>
        <v>PR14YKYWSWW_SB2</v>
      </c>
      <c r="CZ24" t="str">
        <f>'SUB LIST'!P205</f>
        <v>01</v>
      </c>
      <c r="DA24" t="str">
        <f>'SUB LIST'!Q205</f>
        <v>Sewage treatment works non-compliance</v>
      </c>
      <c r="DB24" t="str">
        <f>'SUB LIST'!T205</f>
        <v>nr</v>
      </c>
      <c r="DC24" t="str">
        <f>'SUB LIST'!U205</f>
        <v>0</v>
      </c>
      <c r="DD24">
        <f>'SUB LIST'!AW205</f>
        <v>5</v>
      </c>
    </row>
    <row r="25" spans="7:108">
      <c r="BU25" t="str">
        <f>'SUB LIST'!A96</f>
        <v>PR14SWTWSWW_S-A5</v>
      </c>
      <c r="BV25" t="str">
        <f>'SUB LIST'!P96</f>
        <v>02</v>
      </c>
      <c r="BW25" t="str">
        <f>'SUB LIST'!Q96</f>
        <v>Population equivalent (PE) non-compliance</v>
      </c>
      <c r="BX25" t="str">
        <f>'SUB LIST'!T96</f>
        <v>%</v>
      </c>
      <c r="BY25">
        <f>'SUB LIST'!U96</f>
        <v>2</v>
      </c>
      <c r="BZ25">
        <f>'SUB LIST'!AW96</f>
        <v>0.06</v>
      </c>
      <c r="CA25" t="str">
        <f>'SUB LIST'!A120</f>
        <v>PR14TMSWSWW_SB2</v>
      </c>
      <c r="CB25" t="str">
        <f>'SUB LIST'!P120</f>
        <v>03</v>
      </c>
      <c r="CC25" t="str">
        <f>'SUB LIST'!Q120</f>
        <v>Pollution incidents (cat 1-3)</v>
      </c>
      <c r="CD25" t="str">
        <f>'SUB LIST'!T120</f>
        <v>nr</v>
      </c>
      <c r="CE25" t="str">
        <f>'SUB LIST'!U120</f>
        <v>0</v>
      </c>
      <c r="CF25">
        <f>'SUB LIST'!AW120</f>
        <v>241</v>
      </c>
      <c r="CG25" t="str">
        <f>'SUB LIST'!A144</f>
        <v>PR14UUWSWW_S-A2</v>
      </c>
      <c r="CH25" t="str">
        <f>'SUB LIST'!P144</f>
        <v>04</v>
      </c>
      <c r="CI25" t="str">
        <f>'SUB LIST'!Q144</f>
        <v>Equipment failures</v>
      </c>
      <c r="CJ25" t="str">
        <f>'SUB LIST'!T144</f>
        <v>nr</v>
      </c>
      <c r="CK25" t="str">
        <f>'SUB LIST'!U144</f>
        <v>0</v>
      </c>
      <c r="CL25">
        <f>'SUB LIST'!AW144</f>
        <v>3038</v>
      </c>
      <c r="CY25" t="str">
        <f>'SUB LIST'!A206</f>
        <v>PR14YKYWSWW_SB2</v>
      </c>
      <c r="CZ25" t="str">
        <f>'SUB LIST'!P206</f>
        <v>02</v>
      </c>
      <c r="DA25" t="str">
        <f>'SUB LIST'!Q206</f>
        <v>Population equivalent non-compliance</v>
      </c>
      <c r="DB25" t="str">
        <f>'SUB LIST'!T206</f>
        <v>%</v>
      </c>
      <c r="DC25">
        <f>'SUB LIST'!U206</f>
        <v>1</v>
      </c>
      <c r="DD25">
        <f>'SUB LIST'!AW206</f>
        <v>0.01</v>
      </c>
    </row>
    <row r="26" spans="7:108">
      <c r="BU26" t="str">
        <f>'SUB LIST'!A97</f>
        <v>PR14SWTWSWW_S-A5</v>
      </c>
      <c r="BV26" t="str">
        <f>'SUB LIST'!P97</f>
        <v>03</v>
      </c>
      <c r="BW26" t="str">
        <f>'SUB LIST'!Q97</f>
        <v>Unplanned maintenance</v>
      </c>
      <c r="BX26" t="str">
        <f>'SUB LIST'!T97</f>
        <v>nr</v>
      </c>
      <c r="BY26" t="str">
        <f>'SUB LIST'!U97</f>
        <v>0</v>
      </c>
      <c r="BZ26">
        <f>'SUB LIST'!AW97</f>
        <v>6109</v>
      </c>
      <c r="CA26" t="str">
        <f>'SUB LIST'!A121</f>
        <v>PR14TMSWSWW_SB2</v>
      </c>
      <c r="CB26" t="str">
        <f>'SUB LIST'!P121</f>
        <v>04</v>
      </c>
      <c r="CC26" t="str">
        <f>'SUB LIST'!Q121</f>
        <v>Properties internally flooded</v>
      </c>
      <c r="CD26" t="str">
        <f>'SUB LIST'!T121</f>
        <v>nr</v>
      </c>
      <c r="CE26" t="str">
        <f>'SUB LIST'!U121</f>
        <v>0</v>
      </c>
      <c r="CF26">
        <f>'SUB LIST'!AW121</f>
        <v>969</v>
      </c>
      <c r="CG26" t="str">
        <f>'SUB LIST'!A145</f>
        <v>PR14UUWSWW_S-B2</v>
      </c>
      <c r="CH26" t="str">
        <f>'SUB LIST'!P145</f>
        <v>00</v>
      </c>
      <c r="CI26" t="str">
        <f>'SUB LIST'!Q145</f>
        <v>S-B2: Sewer flooding index</v>
      </c>
      <c r="CJ26" t="str">
        <f>'SUB LIST'!T145</f>
        <v>score</v>
      </c>
      <c r="CK26">
        <f>'SUB LIST'!U145</f>
        <v>1</v>
      </c>
      <c r="CL26">
        <f>'SUB LIST'!AW145</f>
        <v>70</v>
      </c>
      <c r="CY26" t="str">
        <f>'SUB LIST'!A207</f>
        <v>PR14YKYWSWW_SB2</v>
      </c>
      <c r="CZ26" t="str">
        <f>'SUB LIST'!P207</f>
        <v>03</v>
      </c>
      <c r="DA26" t="str">
        <f>'SUB LIST'!Q207</f>
        <v>Reactive equipment failures</v>
      </c>
      <c r="DB26" t="str">
        <f>'SUB LIST'!T207</f>
        <v>nr</v>
      </c>
      <c r="DC26" t="str">
        <f>'SUB LIST'!U207</f>
        <v>0</v>
      </c>
      <c r="DD26">
        <f>'SUB LIST'!AW207</f>
        <v>10884</v>
      </c>
    </row>
    <row r="27" spans="7:108">
      <c r="CG27" t="str">
        <f>'SUB LIST'!A146</f>
        <v>PR14UUWSWW_S-B2</v>
      </c>
      <c r="CH27" t="str">
        <f>'SUB LIST'!P146</f>
        <v>01</v>
      </c>
      <c r="CI27" t="str">
        <f>'SUB LIST'!Q146</f>
        <v>Properties flooded due to other causes</v>
      </c>
      <c r="CJ27" t="str">
        <f>'SUB LIST'!T146</f>
        <v>nr</v>
      </c>
      <c r="CK27" t="str">
        <f>'SUB LIST'!U146</f>
        <v>0</v>
      </c>
      <c r="CL27">
        <f>'SUB LIST'!AW146</f>
        <v>559</v>
      </c>
    </row>
    <row r="28" spans="7:108">
      <c r="CG28" t="str">
        <f>'SUB LIST'!A147</f>
        <v>PR14UUWSWW_S-B2</v>
      </c>
      <c r="CH28" t="str">
        <f>'SUB LIST'!P147</f>
        <v>02</v>
      </c>
      <c r="CI28" t="str">
        <f>'SUB LIST'!Q147</f>
        <v>Properties flooded due to hydraulic overload</v>
      </c>
      <c r="CJ28" t="str">
        <f>'SUB LIST'!T147</f>
        <v>nr</v>
      </c>
      <c r="CK28" t="str">
        <f>'SUB LIST'!U147</f>
        <v>0</v>
      </c>
      <c r="CL28">
        <f>'SUB LIST'!AW147</f>
        <v>91</v>
      </c>
    </row>
    <row r="29" spans="7:108">
      <c r="CG29" t="str">
        <f>'SUB LIST'!A148</f>
        <v>PR14UUWSWW_S-B2</v>
      </c>
      <c r="CH29" t="str">
        <f>'SUB LIST'!P148</f>
        <v>03</v>
      </c>
      <c r="CI29" t="str">
        <f>'SUB LIST'!Q148</f>
        <v>Areas flooded due to other causes</v>
      </c>
      <c r="CJ29" t="str">
        <f>'SUB LIST'!T148</f>
        <v>nr</v>
      </c>
      <c r="CK29" t="str">
        <f>'SUB LIST'!U148</f>
        <v>0</v>
      </c>
      <c r="CL29">
        <f>'SUB LIST'!AW148</f>
        <v>2863</v>
      </c>
    </row>
    <row r="30" spans="7:108">
      <c r="CG30" t="str">
        <f>'SUB LIST'!A149</f>
        <v>PR14UUWSWW_S-B2</v>
      </c>
      <c r="CH30" t="str">
        <f>'SUB LIST'!P149</f>
        <v>04</v>
      </c>
      <c r="CI30" t="str">
        <f>'SUB LIST'!Q149</f>
        <v>Areas flooded due to hydraulic overload</v>
      </c>
      <c r="CJ30" t="str">
        <f>'SUB LIST'!T149</f>
        <v>nr</v>
      </c>
      <c r="CK30" t="str">
        <f>'SUB LIST'!U149</f>
        <v>0</v>
      </c>
      <c r="CL30">
        <f>'SUB LIST'!AW149</f>
        <v>212</v>
      </c>
    </row>
    <row r="31" spans="7:108">
      <c r="CG31" t="str">
        <f>'SUB LIST'!A150</f>
        <v>PR14UUWSWW_S-B2</v>
      </c>
      <c r="CH31" t="str">
        <f>'SUB LIST'!P150</f>
        <v>05</v>
      </c>
      <c r="CI31" t="str">
        <f>'SUB LIST'!Q150</f>
        <v>Incidents of repeat flooding</v>
      </c>
      <c r="CJ31" t="str">
        <f>'SUB LIST'!T150</f>
        <v>nr</v>
      </c>
      <c r="CK31" t="str">
        <f>'SUB LIST'!U150</f>
        <v>0</v>
      </c>
      <c r="CL31">
        <f>'SUB LIST'!AW150</f>
        <v>206</v>
      </c>
    </row>
    <row r="32" spans="7:108">
      <c r="CG32" t="str">
        <f>'SUB LIST'!A151</f>
        <v>PR14UUWSWW_S-D2</v>
      </c>
      <c r="CH32" t="str">
        <f>'SUB LIST'!P151</f>
        <v>00</v>
      </c>
      <c r="CI32" t="str">
        <f>'SUB LIST'!Q151</f>
        <v>S-D2: Maintaining our wastewater treatment works</v>
      </c>
      <c r="CJ32" t="str">
        <f>'SUB LIST'!T151</f>
        <v>score</v>
      </c>
      <c r="CK32">
        <f>'SUB LIST'!U151</f>
        <v>4</v>
      </c>
      <c r="CL32">
        <f>'SUB LIST'!AW151</f>
        <v>30.468</v>
      </c>
    </row>
    <row r="33" spans="85:90">
      <c r="CG33" t="str">
        <f>'SUB LIST'!A152</f>
        <v>PR14UUWSWW_S-D2</v>
      </c>
      <c r="CH33" t="str">
        <f>'SUB LIST'!P152</f>
        <v>01</v>
      </c>
      <c r="CI33" t="str">
        <f>'SUB LIST'!Q152</f>
        <v>WwTWs failing EA permit - small (size band 1-4)</v>
      </c>
      <c r="CJ33" t="str">
        <f>'SUB LIST'!T152</f>
        <v>score</v>
      </c>
      <c r="CK33">
        <f>'SUB LIST'!U152</f>
        <v>4</v>
      </c>
      <c r="CL33">
        <f>'SUB LIST'!AW152</f>
        <v>12.290100000000001</v>
      </c>
    </row>
    <row r="34" spans="85:90">
      <c r="CG34" t="str">
        <f>'SUB LIST'!A153</f>
        <v>PR14UUWSWW_S-D2</v>
      </c>
      <c r="CH34" t="str">
        <f>'SUB LIST'!P153</f>
        <v>02</v>
      </c>
      <c r="CI34" t="str">
        <f>'SUB LIST'!Q153</f>
        <v>WwTWs failing EA permit - medium (size band 5)</v>
      </c>
      <c r="CJ34" t="str">
        <f>'SUB LIST'!T153</f>
        <v>score</v>
      </c>
      <c r="CK34">
        <f>'SUB LIST'!U153</f>
        <v>4</v>
      </c>
      <c r="CL34">
        <f>'SUB LIST'!AW153</f>
        <v>0</v>
      </c>
    </row>
    <row r="35" spans="85:90">
      <c r="CG35" t="str">
        <f>'SUB LIST'!A154</f>
        <v>PR14UUWSWW_S-D2</v>
      </c>
      <c r="CH35" t="str">
        <f>'SUB LIST'!P154</f>
        <v>03</v>
      </c>
      <c r="CI35" t="str">
        <f>'SUB LIST'!Q154</f>
        <v>WwTWs failing EA permit - large (size band 6a)</v>
      </c>
      <c r="CJ35" t="str">
        <f>'SUB LIST'!T154</f>
        <v>score</v>
      </c>
      <c r="CK35">
        <f>'SUB LIST'!U154</f>
        <v>4</v>
      </c>
      <c r="CL35">
        <f>'SUB LIST'!AW154</f>
        <v>16.386700000000001</v>
      </c>
    </row>
    <row r="36" spans="85:90">
      <c r="CG36" t="str">
        <f>'SUB LIST'!A155</f>
        <v>PR14UUWSWW_S-D2</v>
      </c>
      <c r="CH36" t="str">
        <f>'SUB LIST'!P155</f>
        <v>04</v>
      </c>
      <c r="CI36" t="str">
        <f>'SUB LIST'!Q155</f>
        <v>WwTWs failing EA permit - large (size band 6b)</v>
      </c>
      <c r="CJ36" t="str">
        <f>'SUB LIST'!T155</f>
        <v>score</v>
      </c>
      <c r="CK36">
        <f>'SUB LIST'!U155</f>
        <v>4</v>
      </c>
      <c r="CL36">
        <f>'SUB LIST'!AW155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LIST'!AW156</f>
        <v>0.1603</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LIST'!AW157</f>
        <v>9.5600000000000004E-2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LIST'!AW158</f>
        <v>0.40960000000000002</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LIST'!AW159</f>
        <v>0.32040000000000002</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LIST'!AW160</f>
        <v>5.4600000000000003E-2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LIST'!AW161</f>
        <v>0.75070000000000003</v>
      </c>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sheetPr codeName="Sheet55">
    <pageSetUpPr fitToPage="1"/>
  </sheetPr>
  <dimension ref="A1:R25"/>
  <sheetViews>
    <sheetView workbookViewId="0"/>
  </sheetViews>
  <sheetFormatPr defaultRowHeight="14.25"/>
  <cols>
    <col min="1" max="1" width="26.625" customWidth="1"/>
    <col min="2" max="2" width="22.125" customWidth="1"/>
    <col min="3" max="17" width="18.5" customWidth="1"/>
    <col min="18" max="18" width="25.125" customWidth="1"/>
  </cols>
  <sheetData>
    <row r="1" spans="1:18" ht="15.75" thickBot="1">
      <c r="A1" s="60" t="s">
        <v>114</v>
      </c>
      <c r="B1" s="60" t="s">
        <v>1288</v>
      </c>
      <c r="C1" s="60" t="s">
        <v>1097</v>
      </c>
      <c r="D1" s="60" t="s">
        <v>2883</v>
      </c>
      <c r="E1" s="60" t="s">
        <v>2090</v>
      </c>
      <c r="F1" s="60" t="s">
        <v>2237</v>
      </c>
      <c r="G1" s="60" t="s">
        <v>1608</v>
      </c>
      <c r="H1" s="60" t="s">
        <v>312</v>
      </c>
      <c r="I1" s="60" t="s">
        <v>430</v>
      </c>
      <c r="J1" s="60" t="s">
        <v>753</v>
      </c>
      <c r="K1" s="60" t="s">
        <v>810</v>
      </c>
      <c r="L1" s="60" t="s">
        <v>966</v>
      </c>
      <c r="M1" s="60" t="s">
        <v>1231</v>
      </c>
      <c r="N1" s="60" t="s">
        <v>875</v>
      </c>
      <c r="O1" s="60" t="s">
        <v>1476</v>
      </c>
      <c r="P1" s="60" t="s">
        <v>1989</v>
      </c>
      <c r="Q1" s="60" t="s">
        <v>37</v>
      </c>
      <c r="R1" s="60" t="s">
        <v>492</v>
      </c>
    </row>
    <row r="2" spans="1:18" ht="13.5" customHeight="1" thickBot="1">
      <c r="A2" s="61" t="s">
        <v>2912</v>
      </c>
      <c r="B2" s="61" t="s">
        <v>2912</v>
      </c>
      <c r="C2" s="61" t="s">
        <v>2912</v>
      </c>
      <c r="D2" s="61" t="s">
        <v>2912</v>
      </c>
      <c r="E2" s="61" t="s">
        <v>2912</v>
      </c>
      <c r="F2" s="61" t="s">
        <v>2912</v>
      </c>
      <c r="G2" s="61" t="s">
        <v>2912</v>
      </c>
      <c r="H2" s="61" t="s">
        <v>2912</v>
      </c>
      <c r="I2" s="61" t="s">
        <v>2912</v>
      </c>
      <c r="J2" s="61" t="s">
        <v>2912</v>
      </c>
      <c r="K2" s="61" t="s">
        <v>2912</v>
      </c>
      <c r="L2" s="61" t="s">
        <v>2912</v>
      </c>
      <c r="M2" s="61" t="s">
        <v>2912</v>
      </c>
      <c r="N2" s="61" t="s">
        <v>2912</v>
      </c>
      <c r="O2" s="61" t="s">
        <v>2912</v>
      </c>
      <c r="P2" s="61" t="s">
        <v>2912</v>
      </c>
      <c r="Q2" s="61" t="s">
        <v>2912</v>
      </c>
      <c r="R2" s="61" t="s">
        <v>2912</v>
      </c>
    </row>
    <row r="3" spans="1:18" ht="57.75" thickBot="1">
      <c r="A3" s="62" t="s">
        <v>2913</v>
      </c>
      <c r="B3" s="62" t="s">
        <v>2914</v>
      </c>
      <c r="C3" s="62" t="s">
        <v>2915</v>
      </c>
      <c r="D3" s="62" t="s">
        <v>2916</v>
      </c>
      <c r="E3" s="62" t="s">
        <v>2917</v>
      </c>
      <c r="F3" s="62" t="s">
        <v>2918</v>
      </c>
      <c r="G3" s="62" t="s">
        <v>2919</v>
      </c>
      <c r="H3" s="62" t="s">
        <v>2920</v>
      </c>
      <c r="I3" s="62" t="s">
        <v>2921</v>
      </c>
      <c r="J3" s="62" t="s">
        <v>2922</v>
      </c>
      <c r="K3" s="62" t="s">
        <v>2923</v>
      </c>
      <c r="L3" s="62" t="s">
        <v>2924</v>
      </c>
      <c r="M3" s="62" t="s">
        <v>2925</v>
      </c>
      <c r="N3" s="62" t="s">
        <v>2926</v>
      </c>
      <c r="O3" s="62" t="s">
        <v>2927</v>
      </c>
      <c r="P3" s="62" t="s">
        <v>2928</v>
      </c>
      <c r="Q3" s="62" t="s">
        <v>2929</v>
      </c>
      <c r="R3" s="62" t="s">
        <v>2930</v>
      </c>
    </row>
    <row r="4" spans="1:18" ht="43.5" thickBot="1">
      <c r="A4" s="62" t="s">
        <v>2931</v>
      </c>
      <c r="B4" s="62" t="s">
        <v>2932</v>
      </c>
      <c r="C4" s="62" t="s">
        <v>2933</v>
      </c>
      <c r="D4" s="62" t="s">
        <v>2934</v>
      </c>
      <c r="E4" s="62" t="s">
        <v>2935</v>
      </c>
      <c r="F4" s="62" t="s">
        <v>2936</v>
      </c>
      <c r="G4" s="62" t="s">
        <v>2937</v>
      </c>
      <c r="H4" s="62" t="s">
        <v>2938</v>
      </c>
      <c r="I4" s="62" t="s">
        <v>2939</v>
      </c>
      <c r="J4" s="62" t="s">
        <v>2940</v>
      </c>
      <c r="K4" s="62" t="s">
        <v>2941</v>
      </c>
      <c r="L4" s="62" t="s">
        <v>2942</v>
      </c>
      <c r="M4" s="62" t="s">
        <v>2943</v>
      </c>
      <c r="N4" s="62" t="s">
        <v>2944</v>
      </c>
      <c r="O4" s="62" t="s">
        <v>2945</v>
      </c>
      <c r="P4" s="62" t="s">
        <v>2946</v>
      </c>
      <c r="Q4" s="62" t="s">
        <v>2947</v>
      </c>
      <c r="R4" s="62" t="s">
        <v>2948</v>
      </c>
    </row>
    <row r="5" spans="1:18" ht="57.75" thickBot="1">
      <c r="A5" s="62" t="s">
        <v>2949</v>
      </c>
      <c r="B5" s="62" t="s">
        <v>2950</v>
      </c>
      <c r="C5" s="62" t="s">
        <v>2951</v>
      </c>
      <c r="D5" s="62" t="s">
        <v>2952</v>
      </c>
      <c r="E5" s="62" t="s">
        <v>2953</v>
      </c>
      <c r="F5" s="62" t="s">
        <v>2954</v>
      </c>
      <c r="G5" s="62" t="s">
        <v>2955</v>
      </c>
      <c r="H5" s="62" t="s">
        <v>2956</v>
      </c>
      <c r="I5" s="62" t="s">
        <v>2957</v>
      </c>
      <c r="J5" s="62" t="s">
        <v>2958</v>
      </c>
      <c r="K5" s="62" t="s">
        <v>2959</v>
      </c>
      <c r="L5" s="62" t="s">
        <v>2960</v>
      </c>
      <c r="M5" s="62" t="s">
        <v>2961</v>
      </c>
      <c r="N5" s="62" t="s">
        <v>2962</v>
      </c>
      <c r="O5" s="62" t="s">
        <v>2963</v>
      </c>
      <c r="P5" s="62" t="s">
        <v>2964</v>
      </c>
      <c r="Q5" s="62" t="s">
        <v>2965</v>
      </c>
      <c r="R5" s="62" t="s">
        <v>2966</v>
      </c>
    </row>
    <row r="6" spans="1:18" ht="57.75" thickBot="1">
      <c r="A6" s="62" t="s">
        <v>2967</v>
      </c>
      <c r="B6" s="62" t="s">
        <v>2968</v>
      </c>
      <c r="C6" s="62" t="s">
        <v>2969</v>
      </c>
      <c r="D6" s="62" t="s">
        <v>2970</v>
      </c>
      <c r="E6" s="62" t="s">
        <v>2971</v>
      </c>
      <c r="F6" s="62" t="s">
        <v>2972</v>
      </c>
      <c r="G6" s="62" t="s">
        <v>2973</v>
      </c>
      <c r="H6" s="62" t="s">
        <v>2974</v>
      </c>
      <c r="I6" s="62" t="s">
        <v>2975</v>
      </c>
      <c r="J6" s="62" t="s">
        <v>2976</v>
      </c>
      <c r="K6" s="62" t="s">
        <v>2977</v>
      </c>
      <c r="L6" s="62" t="s">
        <v>2978</v>
      </c>
      <c r="M6" s="62" t="s">
        <v>2979</v>
      </c>
      <c r="N6" s="62" t="s">
        <v>2980</v>
      </c>
      <c r="O6" s="62" t="s">
        <v>2981</v>
      </c>
      <c r="P6" s="62" t="s">
        <v>2964</v>
      </c>
      <c r="Q6" s="62" t="s">
        <v>2982</v>
      </c>
      <c r="R6" s="62" t="s">
        <v>2983</v>
      </c>
    </row>
    <row r="7" spans="1:18" ht="57.75" thickBot="1">
      <c r="A7" s="62" t="s">
        <v>2984</v>
      </c>
      <c r="B7" s="62" t="s">
        <v>2985</v>
      </c>
      <c r="C7" s="62" t="s">
        <v>2986</v>
      </c>
      <c r="D7" s="62" t="s">
        <v>2987</v>
      </c>
      <c r="E7" s="62" t="s">
        <v>2988</v>
      </c>
      <c r="G7" s="62" t="s">
        <v>2989</v>
      </c>
      <c r="H7" s="62" t="s">
        <v>2990</v>
      </c>
      <c r="I7" s="62" t="s">
        <v>2991</v>
      </c>
      <c r="K7" s="62" t="s">
        <v>2992</v>
      </c>
      <c r="L7" s="62" t="s">
        <v>2993</v>
      </c>
      <c r="M7" s="62" t="s">
        <v>2994</v>
      </c>
      <c r="N7" s="62" t="s">
        <v>2995</v>
      </c>
      <c r="O7" s="62" t="s">
        <v>2996</v>
      </c>
      <c r="P7" s="62" t="s">
        <v>2997</v>
      </c>
      <c r="Q7" s="62" t="s">
        <v>2998</v>
      </c>
      <c r="R7" s="62" t="s">
        <v>2999</v>
      </c>
    </row>
    <row r="8" spans="1:18" ht="57.75" thickBot="1">
      <c r="A8" s="62" t="s">
        <v>3000</v>
      </c>
      <c r="C8" s="62" t="s">
        <v>3001</v>
      </c>
      <c r="D8" s="62" t="s">
        <v>3002</v>
      </c>
      <c r="E8" s="62" t="s">
        <v>3003</v>
      </c>
      <c r="G8" s="62" t="s">
        <v>3004</v>
      </c>
      <c r="H8" s="62" t="s">
        <v>3005</v>
      </c>
      <c r="I8" s="62" t="s">
        <v>3006</v>
      </c>
      <c r="K8" s="62" t="s">
        <v>3007</v>
      </c>
      <c r="L8" s="62" t="s">
        <v>3008</v>
      </c>
      <c r="M8" s="62" t="s">
        <v>3009</v>
      </c>
      <c r="N8" s="62" t="s">
        <v>3010</v>
      </c>
      <c r="O8" s="62" t="s">
        <v>3011</v>
      </c>
      <c r="P8" s="62" t="s">
        <v>3012</v>
      </c>
      <c r="R8" s="62" t="s">
        <v>3013</v>
      </c>
    </row>
    <row r="9" spans="1:18" ht="43.5" thickBot="1">
      <c r="A9" s="62" t="s">
        <v>3014</v>
      </c>
      <c r="E9" s="62" t="s">
        <v>3015</v>
      </c>
      <c r="G9" s="62" t="s">
        <v>3016</v>
      </c>
      <c r="H9" s="62" t="s">
        <v>3017</v>
      </c>
      <c r="K9" s="62" t="s">
        <v>3018</v>
      </c>
      <c r="M9" s="62" t="s">
        <v>3019</v>
      </c>
      <c r="N9" s="62" t="s">
        <v>3020</v>
      </c>
      <c r="P9" s="62" t="s">
        <v>3021</v>
      </c>
      <c r="R9" s="62" t="s">
        <v>3022</v>
      </c>
    </row>
    <row r="10" spans="1:18" ht="57.75" thickBot="1">
      <c r="A10" s="62" t="s">
        <v>3023</v>
      </c>
      <c r="E10" s="62" t="s">
        <v>3024</v>
      </c>
      <c r="G10" s="62" t="s">
        <v>3025</v>
      </c>
      <c r="H10" s="62" t="s">
        <v>3026</v>
      </c>
      <c r="K10" s="62" t="s">
        <v>3027</v>
      </c>
      <c r="M10" s="62" t="s">
        <v>3028</v>
      </c>
      <c r="N10" s="62" t="s">
        <v>3029</v>
      </c>
      <c r="P10" s="62" t="s">
        <v>3030</v>
      </c>
      <c r="R10" s="62" t="s">
        <v>3031</v>
      </c>
    </row>
    <row r="11" spans="1:18" ht="57.75" thickBot="1">
      <c r="A11" s="62" t="s">
        <v>3032</v>
      </c>
      <c r="E11" s="62" t="s">
        <v>3033</v>
      </c>
      <c r="G11" s="62" t="s">
        <v>3034</v>
      </c>
      <c r="I11" s="63"/>
      <c r="M11" s="62" t="s">
        <v>3035</v>
      </c>
      <c r="N11" s="62" t="s">
        <v>3036</v>
      </c>
      <c r="P11" s="62" t="s">
        <v>3037</v>
      </c>
      <c r="R11" s="62" t="s">
        <v>3038</v>
      </c>
    </row>
    <row r="12" spans="1:18" ht="57.75" thickBot="1">
      <c r="A12" s="62" t="s">
        <v>3039</v>
      </c>
      <c r="E12" s="62" t="s">
        <v>3040</v>
      </c>
      <c r="G12" s="62" t="s">
        <v>3041</v>
      </c>
      <c r="I12" s="63"/>
      <c r="M12" s="62" t="s">
        <v>3042</v>
      </c>
      <c r="N12" s="62" t="s">
        <v>3043</v>
      </c>
      <c r="P12" s="62" t="s">
        <v>3044</v>
      </c>
      <c r="R12" s="62" t="s">
        <v>3070</v>
      </c>
    </row>
    <row r="13" spans="1:18" ht="57.75" thickBot="1">
      <c r="A13" s="62" t="s">
        <v>3046</v>
      </c>
      <c r="E13" s="62" t="s">
        <v>3047</v>
      </c>
      <c r="G13" s="62" t="s">
        <v>3048</v>
      </c>
      <c r="I13" s="63"/>
      <c r="P13" s="62" t="s">
        <v>3049</v>
      </c>
      <c r="R13" s="62" t="s">
        <v>3045</v>
      </c>
    </row>
    <row r="14" spans="1:18" ht="57.75" thickBot="1">
      <c r="A14" s="62" t="s">
        <v>3050</v>
      </c>
      <c r="E14" s="62" t="s">
        <v>3051</v>
      </c>
      <c r="G14" s="62" t="s">
        <v>3057</v>
      </c>
      <c r="P14" s="62" t="s">
        <v>3052</v>
      </c>
    </row>
    <row r="15" spans="1:18" ht="57.75" thickBot="1">
      <c r="A15" s="62" t="s">
        <v>3053</v>
      </c>
      <c r="E15" s="62" t="s">
        <v>3054</v>
      </c>
      <c r="P15" s="62" t="s">
        <v>3055</v>
      </c>
    </row>
    <row r="16" spans="1:18" ht="57.75" thickBot="1">
      <c r="A16" s="62" t="s">
        <v>3056</v>
      </c>
      <c r="P16" s="62" t="s">
        <v>3058</v>
      </c>
    </row>
    <row r="17" spans="1:18" ht="29.25" thickBot="1">
      <c r="A17" s="62" t="s">
        <v>3059</v>
      </c>
    </row>
    <row r="18" spans="1:18" ht="29.25" thickBot="1">
      <c r="A18" s="62" t="s">
        <v>3060</v>
      </c>
    </row>
    <row r="19" spans="1:18" ht="28.5">
      <c r="A19" s="62" t="s">
        <v>3061</v>
      </c>
      <c r="R19" s="64"/>
    </row>
    <row r="20" spans="1:18">
      <c r="R20" s="64"/>
    </row>
    <row r="21" spans="1:18">
      <c r="R21" s="64"/>
    </row>
    <row r="22" spans="1:18">
      <c r="R22" s="64"/>
    </row>
    <row r="23" spans="1:18">
      <c r="R23" s="64"/>
    </row>
    <row r="24" spans="1:18">
      <c r="R24" s="64"/>
    </row>
    <row r="25" spans="1:18">
      <c r="R25" s="64"/>
    </row>
  </sheetData>
  <autoFilter ref="A1:R25"/>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4.xml><?xml version="1.0" encoding="utf-8"?>
<worksheet xmlns="http://schemas.openxmlformats.org/spreadsheetml/2006/main" xmlns:r="http://schemas.openxmlformats.org/officeDocument/2006/relationships">
  <sheetPr codeName="Sheet56">
    <pageSetUpPr fitToPage="1"/>
  </sheetPr>
  <dimension ref="A1:J22"/>
  <sheetViews>
    <sheetView workbookViewId="0"/>
  </sheetViews>
  <sheetFormatPr defaultRowHeight="14.25"/>
  <cols>
    <col min="1" max="1" width="26.625" customWidth="1"/>
    <col min="2" max="2" width="22.125" customWidth="1"/>
    <col min="3" max="7" width="18.5" customWidth="1"/>
    <col min="8" max="8" width="15.125" customWidth="1"/>
    <col min="9" max="9" width="15" customWidth="1"/>
    <col min="10" max="10" width="18.625" customWidth="1"/>
  </cols>
  <sheetData>
    <row r="1" spans="1:10" s="60" customFormat="1" ht="15.75" thickBot="1">
      <c r="A1" s="60" t="s">
        <v>114</v>
      </c>
      <c r="B1" s="60" t="s">
        <v>1288</v>
      </c>
      <c r="C1" s="60" t="s">
        <v>1097</v>
      </c>
      <c r="D1" s="60" t="s">
        <v>2883</v>
      </c>
      <c r="E1" s="60" t="s">
        <v>2090</v>
      </c>
      <c r="F1" s="60" t="s">
        <v>2237</v>
      </c>
      <c r="G1" s="60" t="s">
        <v>1608</v>
      </c>
      <c r="H1" s="60" t="s">
        <v>1989</v>
      </c>
      <c r="I1" s="60" t="s">
        <v>492</v>
      </c>
      <c r="J1" s="60" t="s">
        <v>1476</v>
      </c>
    </row>
    <row r="2" spans="1:10" ht="15" thickBot="1">
      <c r="A2" s="61" t="s">
        <v>2912</v>
      </c>
      <c r="B2" s="61" t="s">
        <v>2912</v>
      </c>
      <c r="C2" s="61" t="s">
        <v>2912</v>
      </c>
      <c r="D2" s="61" t="s">
        <v>2912</v>
      </c>
      <c r="E2" s="61" t="s">
        <v>2912</v>
      </c>
      <c r="F2" s="61" t="s">
        <v>2912</v>
      </c>
      <c r="G2" s="61" t="s">
        <v>2912</v>
      </c>
      <c r="H2" s="61" t="s">
        <v>2912</v>
      </c>
      <c r="I2" s="61" t="s">
        <v>2912</v>
      </c>
      <c r="J2" s="61" t="s">
        <v>2912</v>
      </c>
    </row>
    <row r="3" spans="1:10" ht="57.75" thickBot="1">
      <c r="A3" s="62" t="s">
        <v>3062</v>
      </c>
      <c r="B3" s="62" t="s">
        <v>3063</v>
      </c>
      <c r="C3" s="62" t="s">
        <v>3064</v>
      </c>
      <c r="D3" s="62" t="s">
        <v>3065</v>
      </c>
      <c r="E3" s="62" t="s">
        <v>3066</v>
      </c>
      <c r="F3" s="62" t="s">
        <v>3067</v>
      </c>
      <c r="G3" s="62" t="s">
        <v>3068</v>
      </c>
      <c r="H3" s="62" t="s">
        <v>3069</v>
      </c>
      <c r="I3" s="62" t="s">
        <v>3080</v>
      </c>
      <c r="J3" s="62" t="s">
        <v>3071</v>
      </c>
    </row>
    <row r="4" spans="1:10" ht="57.75" thickBot="1">
      <c r="A4" s="62" t="s">
        <v>3072</v>
      </c>
      <c r="B4" s="62" t="s">
        <v>3073</v>
      </c>
      <c r="C4" s="62" t="s">
        <v>3074</v>
      </c>
      <c r="D4" s="62" t="s">
        <v>3075</v>
      </c>
      <c r="E4" s="62" t="s">
        <v>3076</v>
      </c>
      <c r="F4" s="62" t="s">
        <v>3077</v>
      </c>
      <c r="G4" s="62" t="s">
        <v>3078</v>
      </c>
      <c r="H4" s="62" t="s">
        <v>3079</v>
      </c>
      <c r="I4" s="62" t="s">
        <v>3090</v>
      </c>
      <c r="J4" s="62" t="s">
        <v>3081</v>
      </c>
    </row>
    <row r="5" spans="1:10" ht="57.75" thickBot="1">
      <c r="A5" s="62" t="s">
        <v>3082</v>
      </c>
      <c r="B5" s="62" t="s">
        <v>3083</v>
      </c>
      <c r="C5" s="62" t="s">
        <v>3084</v>
      </c>
      <c r="D5" s="62" t="s">
        <v>3085</v>
      </c>
      <c r="E5" s="62" t="s">
        <v>3086</v>
      </c>
      <c r="F5" s="62" t="s">
        <v>3087</v>
      </c>
      <c r="G5" s="62" t="s">
        <v>3088</v>
      </c>
      <c r="H5" s="62" t="s">
        <v>3089</v>
      </c>
      <c r="I5" s="62" t="s">
        <v>3100</v>
      </c>
      <c r="J5" s="62" t="s">
        <v>3091</v>
      </c>
    </row>
    <row r="6" spans="1:10" ht="57.75" thickBot="1">
      <c r="A6" s="62" t="s">
        <v>3092</v>
      </c>
      <c r="B6" s="62" t="s">
        <v>3093</v>
      </c>
      <c r="C6" s="62" t="s">
        <v>3094</v>
      </c>
      <c r="D6" s="62" t="s">
        <v>3095</v>
      </c>
      <c r="E6" s="62" t="s">
        <v>3096</v>
      </c>
      <c r="F6" s="62" t="s">
        <v>3097</v>
      </c>
      <c r="G6" s="62" t="s">
        <v>3098</v>
      </c>
      <c r="H6" s="62" t="s">
        <v>3099</v>
      </c>
      <c r="I6" s="62" t="s">
        <v>3110</v>
      </c>
      <c r="J6" s="62" t="s">
        <v>3101</v>
      </c>
    </row>
    <row r="7" spans="1:10" ht="72" thickBot="1">
      <c r="A7" s="62" t="s">
        <v>3102</v>
      </c>
      <c r="B7" s="62" t="s">
        <v>3103</v>
      </c>
      <c r="C7" s="62" t="s">
        <v>3104</v>
      </c>
      <c r="D7" s="62" t="s">
        <v>3105</v>
      </c>
      <c r="E7" s="62" t="s">
        <v>3106</v>
      </c>
      <c r="F7" s="62" t="s">
        <v>3107</v>
      </c>
      <c r="G7" s="62" t="s">
        <v>3108</v>
      </c>
      <c r="H7" s="62" t="s">
        <v>3109</v>
      </c>
      <c r="I7" s="62" t="s">
        <v>3120</v>
      </c>
      <c r="J7" s="62" t="s">
        <v>3111</v>
      </c>
    </row>
    <row r="8" spans="1:10" ht="43.5" thickBot="1">
      <c r="A8" s="62" t="s">
        <v>3112</v>
      </c>
      <c r="B8" s="62" t="s">
        <v>3113</v>
      </c>
      <c r="C8" s="62" t="s">
        <v>3114</v>
      </c>
      <c r="D8" s="62" t="s">
        <v>3115</v>
      </c>
      <c r="E8" s="62" t="s">
        <v>3116</v>
      </c>
      <c r="F8" s="62" t="s">
        <v>3117</v>
      </c>
      <c r="G8" s="62" t="s">
        <v>3118</v>
      </c>
      <c r="H8" s="62" t="s">
        <v>3119</v>
      </c>
      <c r="I8" s="65"/>
      <c r="J8" s="62" t="s">
        <v>3121</v>
      </c>
    </row>
    <row r="9" spans="1:10" ht="43.5" thickBot="1">
      <c r="A9" s="62" t="s">
        <v>3122</v>
      </c>
      <c r="B9" s="62" t="s">
        <v>3123</v>
      </c>
      <c r="C9" s="62" t="s">
        <v>3124</v>
      </c>
      <c r="D9" s="62" t="s">
        <v>3125</v>
      </c>
      <c r="E9" s="62" t="s">
        <v>3126</v>
      </c>
      <c r="F9" s="62" t="s">
        <v>3127</v>
      </c>
      <c r="G9" s="62" t="s">
        <v>3128</v>
      </c>
      <c r="I9" s="65"/>
      <c r="J9" s="62" t="s">
        <v>3129</v>
      </c>
    </row>
    <row r="10" spans="1:10" ht="43.5" thickBot="1">
      <c r="A10" s="62" t="s">
        <v>3130</v>
      </c>
      <c r="B10" s="62" t="s">
        <v>3131</v>
      </c>
      <c r="C10" s="62" t="s">
        <v>3132</v>
      </c>
      <c r="D10" s="62" t="s">
        <v>3133</v>
      </c>
      <c r="E10" s="62" t="s">
        <v>3134</v>
      </c>
      <c r="G10" s="62" t="s">
        <v>3135</v>
      </c>
      <c r="I10" s="65"/>
    </row>
    <row r="11" spans="1:10" ht="43.5" thickBot="1">
      <c r="A11" s="62" t="s">
        <v>3136</v>
      </c>
      <c r="B11" s="62" t="s">
        <v>3137</v>
      </c>
      <c r="D11" s="62" t="s">
        <v>3138</v>
      </c>
      <c r="E11" s="62" t="s">
        <v>3139</v>
      </c>
      <c r="G11" s="62" t="s">
        <v>3140</v>
      </c>
      <c r="I11" s="65"/>
    </row>
    <row r="12" spans="1:10" ht="57.75" thickBot="1">
      <c r="A12" s="62" t="s">
        <v>3141</v>
      </c>
      <c r="B12" s="62" t="s">
        <v>3142</v>
      </c>
      <c r="E12" s="62" t="s">
        <v>3143</v>
      </c>
      <c r="G12" s="62" t="s">
        <v>3144</v>
      </c>
    </row>
    <row r="13" spans="1:10" ht="57.75" thickBot="1">
      <c r="B13" s="62" t="s">
        <v>3145</v>
      </c>
      <c r="E13" s="62" t="s">
        <v>3146</v>
      </c>
      <c r="G13" s="62" t="s">
        <v>3147</v>
      </c>
    </row>
    <row r="14" spans="1:10" ht="57.75" thickBot="1">
      <c r="B14" s="62" t="s">
        <v>3148</v>
      </c>
      <c r="E14" s="62" t="s">
        <v>3149</v>
      </c>
      <c r="G14" s="62" t="s">
        <v>3150</v>
      </c>
    </row>
    <row r="15" spans="1:10" ht="57.75" thickBot="1">
      <c r="B15" s="62" t="s">
        <v>3151</v>
      </c>
      <c r="E15" s="62" t="s">
        <v>3152</v>
      </c>
      <c r="G15" s="62" t="s">
        <v>3153</v>
      </c>
    </row>
    <row r="16" spans="1:10" ht="43.5" thickBot="1">
      <c r="E16" s="62" t="s">
        <v>3154</v>
      </c>
      <c r="G16" s="62" t="s">
        <v>3155</v>
      </c>
    </row>
    <row r="17" spans="5:7" ht="57.75" thickBot="1">
      <c r="E17" s="62" t="s">
        <v>3156</v>
      </c>
      <c r="G17" s="62" t="s">
        <v>3157</v>
      </c>
    </row>
    <row r="18" spans="5:7" ht="72" thickBot="1">
      <c r="E18" s="62" t="s">
        <v>3158</v>
      </c>
      <c r="G18" s="62" t="s">
        <v>3159</v>
      </c>
    </row>
    <row r="19" spans="5:7" ht="72" thickBot="1">
      <c r="E19" s="62" t="s">
        <v>3160</v>
      </c>
      <c r="G19" s="62" t="s">
        <v>3168</v>
      </c>
    </row>
    <row r="20" spans="5:7" ht="72" thickBot="1">
      <c r="E20" s="62" t="s">
        <v>3162</v>
      </c>
      <c r="G20" s="62" t="s">
        <v>3169</v>
      </c>
    </row>
    <row r="21" spans="5:7" ht="57.75" thickBot="1">
      <c r="E21" s="62" t="s">
        <v>3163</v>
      </c>
      <c r="G21" s="62" t="s">
        <v>3161</v>
      </c>
    </row>
    <row r="22" spans="5:7" ht="42.75">
      <c r="E22" s="62" t="s">
        <v>3164</v>
      </c>
    </row>
  </sheetData>
  <autoFilter ref="A1:G3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5.xml><?xml version="1.0" encoding="utf-8"?>
<worksheet xmlns="http://schemas.openxmlformats.org/spreadsheetml/2006/main" xmlns:r="http://schemas.openxmlformats.org/officeDocument/2006/relationships">
  <sheetPr codeName="Sheet66">
    <pageSetUpPr fitToPage="1"/>
  </sheetPr>
  <dimension ref="A1:R21"/>
  <sheetViews>
    <sheetView workbookViewId="0"/>
  </sheetViews>
  <sheetFormatPr defaultRowHeight="14.25"/>
  <cols>
    <col min="1" max="1" width="14.125" style="1382" customWidth="1"/>
    <col min="2" max="18" width="14.125" customWidth="1"/>
  </cols>
  <sheetData>
    <row r="1" spans="1:18" ht="15.75" thickBot="1">
      <c r="A1" s="2096" t="s">
        <v>114</v>
      </c>
      <c r="B1" s="2097" t="s">
        <v>1288</v>
      </c>
      <c r="C1" s="2097" t="s">
        <v>1097</v>
      </c>
      <c r="D1" s="2097" t="s">
        <v>2883</v>
      </c>
      <c r="E1" s="2097" t="s">
        <v>2090</v>
      </c>
      <c r="F1" s="2097" t="s">
        <v>2237</v>
      </c>
      <c r="G1" s="2097" t="s">
        <v>1608</v>
      </c>
      <c r="H1" s="2097" t="s">
        <v>312</v>
      </c>
      <c r="I1" s="2097" t="s">
        <v>430</v>
      </c>
      <c r="J1" s="2097" t="s">
        <v>753</v>
      </c>
      <c r="K1" s="2097" t="s">
        <v>810</v>
      </c>
      <c r="L1" s="2097" t="s">
        <v>966</v>
      </c>
      <c r="M1" s="2097" t="s">
        <v>1231</v>
      </c>
      <c r="N1" s="2097" t="s">
        <v>875</v>
      </c>
      <c r="O1" s="2097" t="s">
        <v>1476</v>
      </c>
      <c r="P1" s="2097" t="s">
        <v>1989</v>
      </c>
      <c r="Q1" s="2097" t="s">
        <v>37</v>
      </c>
      <c r="R1" s="2097" t="s">
        <v>492</v>
      </c>
    </row>
    <row r="2" spans="1:18" ht="15" thickBot="1">
      <c r="A2" s="61" t="s">
        <v>2912</v>
      </c>
      <c r="B2" s="61" t="s">
        <v>2912</v>
      </c>
      <c r="C2" s="61" t="s">
        <v>2912</v>
      </c>
      <c r="D2" s="61" t="s">
        <v>2912</v>
      </c>
      <c r="E2" s="61" t="s">
        <v>2912</v>
      </c>
      <c r="F2" s="61" t="s">
        <v>2912</v>
      </c>
      <c r="G2" s="61" t="s">
        <v>2912</v>
      </c>
      <c r="H2" s="61" t="s">
        <v>2912</v>
      </c>
      <c r="I2" s="61" t="s">
        <v>2912</v>
      </c>
      <c r="J2" s="61" t="s">
        <v>2912</v>
      </c>
      <c r="K2" s="61" t="s">
        <v>2912</v>
      </c>
      <c r="L2" s="61" t="s">
        <v>2912</v>
      </c>
      <c r="M2" s="61" t="s">
        <v>2912</v>
      </c>
      <c r="N2" s="61" t="s">
        <v>2912</v>
      </c>
      <c r="O2" s="61" t="s">
        <v>2912</v>
      </c>
      <c r="P2" s="61" t="s">
        <v>2912</v>
      </c>
      <c r="Q2" s="61" t="s">
        <v>2912</v>
      </c>
      <c r="R2" s="61" t="s">
        <v>2912</v>
      </c>
    </row>
    <row r="3" spans="1:18" ht="61.5" customHeight="1" thickBot="1">
      <c r="A3" s="62" t="s">
        <v>2913</v>
      </c>
      <c r="B3" s="62" t="s">
        <v>2797</v>
      </c>
      <c r="C3" s="62" t="s">
        <v>2915</v>
      </c>
      <c r="D3" s="62" t="s">
        <v>2797</v>
      </c>
      <c r="E3" s="62" t="s">
        <v>2917</v>
      </c>
      <c r="F3" s="62" t="s">
        <v>2797</v>
      </c>
      <c r="G3" s="62" t="s">
        <v>2919</v>
      </c>
      <c r="H3" s="62" t="s">
        <v>2797</v>
      </c>
      <c r="I3" s="62" t="s">
        <v>2921</v>
      </c>
      <c r="J3" s="62" t="s">
        <v>2922</v>
      </c>
      <c r="K3" s="62" t="s">
        <v>2797</v>
      </c>
      <c r="L3" s="62" t="s">
        <v>2797</v>
      </c>
      <c r="M3" s="62" t="s">
        <v>2797</v>
      </c>
      <c r="N3" s="62" t="s">
        <v>2797</v>
      </c>
      <c r="O3" s="62" t="s">
        <v>2927</v>
      </c>
      <c r="P3" s="62" t="s">
        <v>2797</v>
      </c>
      <c r="Q3" s="62" t="s">
        <v>2797</v>
      </c>
      <c r="R3" s="62" t="s">
        <v>2797</v>
      </c>
    </row>
    <row r="4" spans="1:18" ht="61.5" customHeight="1" thickBot="1">
      <c r="A4" s="62" t="s">
        <v>2931</v>
      </c>
      <c r="B4" s="62" t="s">
        <v>2797</v>
      </c>
      <c r="C4" s="62" t="s">
        <v>2933</v>
      </c>
      <c r="D4" s="62" t="s">
        <v>2797</v>
      </c>
      <c r="E4" s="62" t="s">
        <v>2797</v>
      </c>
      <c r="F4" s="62" t="s">
        <v>2797</v>
      </c>
      <c r="G4" s="62" t="s">
        <v>2937</v>
      </c>
      <c r="H4" s="62" t="s">
        <v>2797</v>
      </c>
      <c r="I4" s="62" t="s">
        <v>2939</v>
      </c>
      <c r="J4" s="62" t="s">
        <v>2797</v>
      </c>
      <c r="K4" s="62" t="s">
        <v>2797</v>
      </c>
      <c r="L4" s="62" t="s">
        <v>2797</v>
      </c>
      <c r="M4" s="62" t="s">
        <v>2797</v>
      </c>
      <c r="N4" s="62" t="s">
        <v>2797</v>
      </c>
      <c r="O4" s="62" t="s">
        <v>2797</v>
      </c>
      <c r="P4" s="62" t="s">
        <v>2797</v>
      </c>
      <c r="Q4" s="62" t="s">
        <v>2797</v>
      </c>
      <c r="R4" s="62" t="s">
        <v>2797</v>
      </c>
    </row>
    <row r="5" spans="1:18" ht="61.5" customHeight="1" thickBot="1">
      <c r="A5" s="62" t="s">
        <v>2949</v>
      </c>
      <c r="B5" s="62" t="s">
        <v>2797</v>
      </c>
      <c r="C5" s="62" t="s">
        <v>2951</v>
      </c>
      <c r="D5" s="62" t="s">
        <v>2797</v>
      </c>
      <c r="E5" s="62" t="s">
        <v>2953</v>
      </c>
      <c r="F5" s="62" t="s">
        <v>2797</v>
      </c>
      <c r="G5" s="62" t="s">
        <v>2955</v>
      </c>
      <c r="H5" s="62" t="s">
        <v>2797</v>
      </c>
      <c r="I5" s="62" t="s">
        <v>2957</v>
      </c>
      <c r="J5" s="62" t="s">
        <v>2797</v>
      </c>
      <c r="K5" s="62" t="s">
        <v>2797</v>
      </c>
      <c r="L5" s="62" t="s">
        <v>2797</v>
      </c>
      <c r="M5" s="62" t="s">
        <v>2797</v>
      </c>
      <c r="N5" s="62" t="s">
        <v>2797</v>
      </c>
      <c r="O5" s="62" t="s">
        <v>2797</v>
      </c>
      <c r="P5" s="62" t="s">
        <v>2797</v>
      </c>
      <c r="Q5" s="62" t="s">
        <v>2797</v>
      </c>
      <c r="R5" s="62" t="s">
        <v>2797</v>
      </c>
    </row>
    <row r="6" spans="1:18" ht="61.5" customHeight="1" thickBot="1">
      <c r="A6" s="62" t="s">
        <v>2967</v>
      </c>
      <c r="B6" s="62" t="s">
        <v>2797</v>
      </c>
      <c r="C6" s="62" t="s">
        <v>2797</v>
      </c>
      <c r="D6" s="62" t="s">
        <v>2797</v>
      </c>
      <c r="E6" s="62" t="s">
        <v>2797</v>
      </c>
      <c r="F6" s="62" t="s">
        <v>2797</v>
      </c>
      <c r="G6" s="62" t="s">
        <v>2797</v>
      </c>
      <c r="H6" s="62" t="s">
        <v>2797</v>
      </c>
      <c r="I6" s="62" t="s">
        <v>2797</v>
      </c>
      <c r="J6" s="62" t="s">
        <v>2797</v>
      </c>
      <c r="K6" s="62" t="s">
        <v>2797</v>
      </c>
      <c r="L6" s="62" t="s">
        <v>2797</v>
      </c>
      <c r="M6" s="62" t="s">
        <v>2797</v>
      </c>
      <c r="N6" s="62" t="s">
        <v>2797</v>
      </c>
      <c r="O6" s="62" t="s">
        <v>2797</v>
      </c>
      <c r="P6" s="62" t="s">
        <v>2797</v>
      </c>
      <c r="Q6" s="62" t="s">
        <v>2797</v>
      </c>
      <c r="R6" s="62" t="s">
        <v>2797</v>
      </c>
    </row>
    <row r="7" spans="1:18" ht="61.5" customHeight="1" thickBot="1">
      <c r="A7" s="62" t="s">
        <v>12244</v>
      </c>
      <c r="B7" s="62" t="s">
        <v>2797</v>
      </c>
      <c r="C7" s="62" t="s">
        <v>2797</v>
      </c>
      <c r="D7" s="62" t="s">
        <v>2797</v>
      </c>
      <c r="E7" s="62" t="s">
        <v>2988</v>
      </c>
      <c r="F7" s="62" t="s">
        <v>12257</v>
      </c>
      <c r="G7" s="62" t="s">
        <v>2797</v>
      </c>
      <c r="H7" s="62" t="s">
        <v>2797</v>
      </c>
      <c r="I7" s="62" t="s">
        <v>2797</v>
      </c>
      <c r="J7" s="62" t="s">
        <v>12275</v>
      </c>
      <c r="K7" s="62" t="s">
        <v>2797</v>
      </c>
      <c r="L7" s="62" t="s">
        <v>2797</v>
      </c>
      <c r="M7" s="62" t="s">
        <v>2797</v>
      </c>
      <c r="N7" s="62" t="s">
        <v>2797</v>
      </c>
      <c r="O7" s="62" t="s">
        <v>2797</v>
      </c>
      <c r="P7" s="62" t="s">
        <v>2797</v>
      </c>
      <c r="Q7" s="62" t="s">
        <v>2797</v>
      </c>
      <c r="R7" s="62" t="s">
        <v>2797</v>
      </c>
    </row>
    <row r="8" spans="1:18" ht="61.5" customHeight="1" thickBot="1">
      <c r="A8" s="62" t="s">
        <v>2797</v>
      </c>
      <c r="B8" s="62" t="s">
        <v>12249</v>
      </c>
      <c r="C8" s="62" t="s">
        <v>2797</v>
      </c>
      <c r="D8" s="62" t="s">
        <v>2797</v>
      </c>
      <c r="E8" s="62" t="s">
        <v>2797</v>
      </c>
      <c r="F8" s="62" t="s">
        <v>12258</v>
      </c>
      <c r="G8" s="62" t="s">
        <v>2797</v>
      </c>
      <c r="H8" s="62" t="s">
        <v>3005</v>
      </c>
      <c r="I8" s="62" t="s">
        <v>2797</v>
      </c>
      <c r="J8" s="62" t="s">
        <v>12245</v>
      </c>
      <c r="K8" s="62" t="s">
        <v>2797</v>
      </c>
      <c r="L8" s="62" t="s">
        <v>2797</v>
      </c>
      <c r="M8" s="62" t="s">
        <v>2797</v>
      </c>
      <c r="N8" s="62" t="s">
        <v>2797</v>
      </c>
      <c r="O8" s="62" t="s">
        <v>2797</v>
      </c>
      <c r="P8" s="62" t="s">
        <v>2797</v>
      </c>
      <c r="Q8" s="62" t="s">
        <v>12274</v>
      </c>
      <c r="R8" s="62" t="s">
        <v>2797</v>
      </c>
    </row>
    <row r="9" spans="1:18" ht="61.5" customHeight="1" thickBot="1">
      <c r="A9" s="62" t="s">
        <v>2797</v>
      </c>
      <c r="B9" s="62" t="s">
        <v>12251</v>
      </c>
      <c r="C9" s="62" t="s">
        <v>12245</v>
      </c>
      <c r="D9" s="62" t="s">
        <v>12255</v>
      </c>
      <c r="E9" s="62" t="s">
        <v>2797</v>
      </c>
      <c r="F9" s="62" t="s">
        <v>12245</v>
      </c>
      <c r="G9" s="62" t="s">
        <v>2797</v>
      </c>
      <c r="H9" s="62" t="s">
        <v>3017</v>
      </c>
      <c r="I9" s="62" t="s">
        <v>12266</v>
      </c>
      <c r="J9" s="62" t="s">
        <v>12246</v>
      </c>
      <c r="K9" s="62" t="s">
        <v>2797</v>
      </c>
      <c r="L9" s="62" t="s">
        <v>12276</v>
      </c>
      <c r="M9" s="62" t="s">
        <v>2797</v>
      </c>
      <c r="N9" s="62" t="s">
        <v>2797</v>
      </c>
      <c r="O9" s="62" t="s">
        <v>12269</v>
      </c>
      <c r="P9" s="62" t="s">
        <v>2797</v>
      </c>
      <c r="Q9" s="62" t="s">
        <v>12245</v>
      </c>
      <c r="R9" s="62" t="s">
        <v>2797</v>
      </c>
    </row>
    <row r="10" spans="1:18" ht="61.5" customHeight="1" thickBot="1">
      <c r="A10" s="62" t="s">
        <v>2797</v>
      </c>
      <c r="B10" s="62" t="s">
        <v>12252</v>
      </c>
      <c r="C10" s="62" t="s">
        <v>12246</v>
      </c>
      <c r="D10" s="62" t="s">
        <v>12245</v>
      </c>
      <c r="E10" s="62" t="s">
        <v>2797</v>
      </c>
      <c r="F10" s="62" t="s">
        <v>12246</v>
      </c>
      <c r="G10" s="62" t="s">
        <v>3025</v>
      </c>
      <c r="H10" s="62" t="s">
        <v>3026</v>
      </c>
      <c r="K10" s="62" t="s">
        <v>3027</v>
      </c>
      <c r="L10" s="62" t="s">
        <v>12277</v>
      </c>
      <c r="M10" s="62" t="s">
        <v>2797</v>
      </c>
      <c r="N10" s="62" t="s">
        <v>2797</v>
      </c>
      <c r="O10" s="62" t="s">
        <v>12245</v>
      </c>
      <c r="P10" s="62" t="s">
        <v>2797</v>
      </c>
      <c r="Q10" s="62" t="s">
        <v>12246</v>
      </c>
      <c r="R10" s="62" t="s">
        <v>2797</v>
      </c>
    </row>
    <row r="11" spans="1:18" ht="61.5" customHeight="1" thickBot="1">
      <c r="A11" s="62" t="s">
        <v>3032</v>
      </c>
      <c r="D11" s="62" t="s">
        <v>12246</v>
      </c>
      <c r="E11" s="62" t="s">
        <v>2797</v>
      </c>
      <c r="G11" s="62" t="s">
        <v>3034</v>
      </c>
      <c r="H11" s="62" t="s">
        <v>12245</v>
      </c>
      <c r="I11" s="63"/>
      <c r="K11" s="62" t="s">
        <v>12272</v>
      </c>
      <c r="L11" s="62" t="s">
        <v>12278</v>
      </c>
      <c r="M11" s="62" t="s">
        <v>2797</v>
      </c>
      <c r="N11" s="62" t="s">
        <v>2797</v>
      </c>
      <c r="O11" s="62" t="s">
        <v>12246</v>
      </c>
      <c r="P11" s="62" t="s">
        <v>2797</v>
      </c>
      <c r="R11" s="62" t="s">
        <v>2797</v>
      </c>
    </row>
    <row r="12" spans="1:18" ht="61.5" customHeight="1" thickBot="1">
      <c r="A12" s="62" t="s">
        <v>2797</v>
      </c>
      <c r="E12" s="62" t="s">
        <v>2797</v>
      </c>
      <c r="G12" s="62" t="s">
        <v>3041</v>
      </c>
      <c r="H12" s="62" t="s">
        <v>12246</v>
      </c>
      <c r="I12" s="63"/>
      <c r="K12" s="62" t="s">
        <v>12273</v>
      </c>
      <c r="L12" s="62" t="s">
        <v>12245</v>
      </c>
      <c r="M12" s="62" t="s">
        <v>2797</v>
      </c>
      <c r="N12" s="62" t="s">
        <v>2797</v>
      </c>
      <c r="P12" s="62" t="s">
        <v>2797</v>
      </c>
      <c r="R12" s="62" t="s">
        <v>2797</v>
      </c>
    </row>
    <row r="13" spans="1:18" ht="61.5" customHeight="1" thickBot="1">
      <c r="A13" s="62" t="s">
        <v>2797</v>
      </c>
      <c r="E13" s="62" t="s">
        <v>2797</v>
      </c>
      <c r="G13" s="62" t="s">
        <v>2797</v>
      </c>
      <c r="I13" s="63"/>
      <c r="K13" s="62" t="s">
        <v>12246</v>
      </c>
      <c r="L13" s="62" t="s">
        <v>12246</v>
      </c>
      <c r="M13" s="62" t="s">
        <v>12279</v>
      </c>
      <c r="N13" s="62" t="s">
        <v>2684</v>
      </c>
      <c r="P13" s="62" t="s">
        <v>2797</v>
      </c>
      <c r="R13" s="62" t="s">
        <v>2797</v>
      </c>
    </row>
    <row r="14" spans="1:18" ht="61.5" customHeight="1" thickBot="1">
      <c r="A14" s="62" t="s">
        <v>2797</v>
      </c>
      <c r="E14" s="62" t="s">
        <v>2797</v>
      </c>
      <c r="G14" s="62" t="s">
        <v>3057</v>
      </c>
      <c r="M14" s="62" t="s">
        <v>12245</v>
      </c>
      <c r="N14" s="62" t="s">
        <v>12280</v>
      </c>
      <c r="P14" s="62" t="s">
        <v>2797</v>
      </c>
      <c r="R14" s="62" t="s">
        <v>12264</v>
      </c>
    </row>
    <row r="15" spans="1:18" ht="61.5" customHeight="1" thickBot="1">
      <c r="A15" s="62" t="s">
        <v>2797</v>
      </c>
      <c r="E15" s="62" t="s">
        <v>2797</v>
      </c>
      <c r="G15" s="62" t="s">
        <v>12245</v>
      </c>
      <c r="M15" s="62" t="s">
        <v>12246</v>
      </c>
      <c r="N15" s="62" t="s">
        <v>12251</v>
      </c>
      <c r="P15" s="62" t="s">
        <v>2797</v>
      </c>
      <c r="R15" s="62" t="s">
        <v>12265</v>
      </c>
    </row>
    <row r="16" spans="1:18" ht="61.5" customHeight="1" thickBot="1">
      <c r="A16" s="62" t="s">
        <v>2797</v>
      </c>
      <c r="E16" s="62" t="s">
        <v>12245</v>
      </c>
      <c r="G16" s="62" t="s">
        <v>12246</v>
      </c>
      <c r="N16" s="62" t="s">
        <v>12252</v>
      </c>
      <c r="P16" s="62" t="s">
        <v>2797</v>
      </c>
      <c r="R16" s="62" t="s">
        <v>12245</v>
      </c>
    </row>
    <row r="17" spans="1:18" ht="61.5" customHeight="1" thickBot="1">
      <c r="A17" s="62" t="s">
        <v>2797</v>
      </c>
      <c r="E17" s="62" t="s">
        <v>12246</v>
      </c>
      <c r="P17" s="62" t="s">
        <v>12262</v>
      </c>
      <c r="R17" s="62" t="s">
        <v>12266</v>
      </c>
    </row>
    <row r="18" spans="1:18" ht="61.5" customHeight="1" thickBot="1">
      <c r="A18" s="62" t="s">
        <v>3060</v>
      </c>
      <c r="P18" s="62" t="s">
        <v>12246</v>
      </c>
    </row>
    <row r="19" spans="1:18" ht="69" customHeight="1" thickBot="1">
      <c r="A19" s="62" t="s">
        <v>3061</v>
      </c>
    </row>
    <row r="20" spans="1:18" ht="69" customHeight="1" thickBot="1">
      <c r="A20" s="62" t="s">
        <v>12245</v>
      </c>
    </row>
    <row r="21" spans="1:18" ht="69" customHeight="1">
      <c r="A21" s="62" t="s">
        <v>12246</v>
      </c>
    </row>
  </sheetData>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6.xml><?xml version="1.0" encoding="utf-8"?>
<worksheet xmlns="http://schemas.openxmlformats.org/spreadsheetml/2006/main" xmlns:r="http://schemas.openxmlformats.org/officeDocument/2006/relationships">
  <sheetPr codeName="Sheet67">
    <pageSetUpPr fitToPage="1"/>
  </sheetPr>
  <dimension ref="A1:J24"/>
  <sheetViews>
    <sheetView workbookViewId="0"/>
  </sheetViews>
  <sheetFormatPr defaultRowHeight="14.25"/>
  <cols>
    <col min="1" max="10" width="21" customWidth="1"/>
  </cols>
  <sheetData>
    <row r="1" spans="1:10" ht="15.75" thickBot="1">
      <c r="A1" s="60" t="s">
        <v>114</v>
      </c>
      <c r="B1" s="2097" t="s">
        <v>1288</v>
      </c>
      <c r="C1" s="2097" t="s">
        <v>1097</v>
      </c>
      <c r="D1" s="2097" t="s">
        <v>2883</v>
      </c>
      <c r="E1" s="2097" t="s">
        <v>2090</v>
      </c>
      <c r="F1" s="2097" t="s">
        <v>2237</v>
      </c>
      <c r="G1" s="2097" t="s">
        <v>1608</v>
      </c>
      <c r="H1" s="2097" t="s">
        <v>1989</v>
      </c>
      <c r="I1" s="2097" t="s">
        <v>492</v>
      </c>
      <c r="J1" s="2097" t="s">
        <v>1476</v>
      </c>
    </row>
    <row r="2" spans="1:10" ht="15" thickBot="1">
      <c r="A2" s="61" t="s">
        <v>2912</v>
      </c>
      <c r="B2" s="61" t="s">
        <v>2912</v>
      </c>
      <c r="C2" s="61" t="s">
        <v>2912</v>
      </c>
      <c r="D2" s="61" t="s">
        <v>2912</v>
      </c>
      <c r="E2" s="61" t="s">
        <v>2912</v>
      </c>
      <c r="F2" s="61" t="s">
        <v>2912</v>
      </c>
      <c r="G2" s="61" t="s">
        <v>2912</v>
      </c>
      <c r="H2" s="61" t="s">
        <v>2912</v>
      </c>
      <c r="I2" s="61" t="s">
        <v>2912</v>
      </c>
      <c r="J2" s="61" t="s">
        <v>2912</v>
      </c>
    </row>
    <row r="3" spans="1:10" ht="60.75" customHeight="1" thickBot="1">
      <c r="A3" s="62" t="s">
        <v>3062</v>
      </c>
      <c r="B3" s="62" t="s">
        <v>2797</v>
      </c>
      <c r="C3" s="62" t="s">
        <v>3064</v>
      </c>
      <c r="D3" s="62" t="s">
        <v>2797</v>
      </c>
      <c r="E3" s="62" t="s">
        <v>3066</v>
      </c>
      <c r="F3" s="62" t="s">
        <v>2797</v>
      </c>
      <c r="G3" s="62" t="s">
        <v>3068</v>
      </c>
      <c r="H3" s="62" t="s">
        <v>2797</v>
      </c>
      <c r="I3" s="62" t="s">
        <v>2797</v>
      </c>
      <c r="J3" s="62" t="s">
        <v>3071</v>
      </c>
    </row>
    <row r="4" spans="1:10" ht="60.75" customHeight="1" thickBot="1">
      <c r="A4" s="62" t="s">
        <v>3072</v>
      </c>
      <c r="B4" s="62" t="s">
        <v>2797</v>
      </c>
      <c r="C4" s="62" t="s">
        <v>3074</v>
      </c>
      <c r="D4" s="62" t="s">
        <v>2797</v>
      </c>
      <c r="E4" s="62" t="s">
        <v>2797</v>
      </c>
      <c r="F4" s="62" t="s">
        <v>2797</v>
      </c>
      <c r="G4" s="62" t="s">
        <v>3078</v>
      </c>
      <c r="H4" s="62" t="s">
        <v>2797</v>
      </c>
      <c r="I4" s="62" t="s">
        <v>2797</v>
      </c>
      <c r="J4" s="62" t="s">
        <v>2797</v>
      </c>
    </row>
    <row r="5" spans="1:10" ht="60.75" customHeight="1" thickBot="1">
      <c r="A5" s="62" t="s">
        <v>3082</v>
      </c>
      <c r="B5" s="62" t="s">
        <v>2797</v>
      </c>
      <c r="C5" s="62" t="s">
        <v>3084</v>
      </c>
      <c r="D5" s="62" t="s">
        <v>2797</v>
      </c>
      <c r="E5" s="62" t="s">
        <v>3086</v>
      </c>
      <c r="F5" s="62" t="s">
        <v>2797</v>
      </c>
      <c r="G5" s="62" t="s">
        <v>3088</v>
      </c>
      <c r="H5" s="62" t="s">
        <v>2797</v>
      </c>
      <c r="I5" s="62" t="s">
        <v>2797</v>
      </c>
      <c r="J5" s="62" t="s">
        <v>2797</v>
      </c>
    </row>
    <row r="6" spans="1:10" ht="60.75" customHeight="1" thickBot="1">
      <c r="A6" s="62" t="s">
        <v>2797</v>
      </c>
      <c r="B6" s="62" t="s">
        <v>2797</v>
      </c>
      <c r="C6" s="62" t="s">
        <v>2797</v>
      </c>
      <c r="D6" s="62" t="s">
        <v>2797</v>
      </c>
      <c r="E6" s="62" t="s">
        <v>3096</v>
      </c>
      <c r="F6" s="62" t="s">
        <v>2797</v>
      </c>
      <c r="G6" s="62" t="s">
        <v>2797</v>
      </c>
      <c r="H6" s="62" t="s">
        <v>2797</v>
      </c>
      <c r="I6" s="62" t="s">
        <v>2797</v>
      </c>
      <c r="J6" s="62" t="s">
        <v>2797</v>
      </c>
    </row>
    <row r="7" spans="1:10" ht="60.75" customHeight="1" thickBot="1">
      <c r="A7" s="62" t="s">
        <v>2797</v>
      </c>
      <c r="B7" s="62" t="s">
        <v>2797</v>
      </c>
      <c r="C7" s="62" t="s">
        <v>2797</v>
      </c>
      <c r="D7" s="62" t="s">
        <v>2797</v>
      </c>
      <c r="E7" s="62" t="s">
        <v>2797</v>
      </c>
      <c r="F7" s="62" t="s">
        <v>2797</v>
      </c>
      <c r="G7" s="62" t="s">
        <v>2797</v>
      </c>
      <c r="H7" s="62" t="s">
        <v>2797</v>
      </c>
      <c r="I7" s="62" t="s">
        <v>2797</v>
      </c>
      <c r="J7" s="62" t="s">
        <v>2797</v>
      </c>
    </row>
    <row r="8" spans="1:10" ht="60.75" customHeight="1" thickBot="1">
      <c r="A8" s="62" t="s">
        <v>3112</v>
      </c>
      <c r="B8" s="62" t="s">
        <v>2797</v>
      </c>
      <c r="C8" s="62" t="s">
        <v>2797</v>
      </c>
      <c r="D8" s="62" t="s">
        <v>2797</v>
      </c>
      <c r="E8" s="62" t="s">
        <v>3116</v>
      </c>
      <c r="F8" s="62" t="s">
        <v>2797</v>
      </c>
      <c r="G8" s="62" t="s">
        <v>2797</v>
      </c>
      <c r="H8" s="62" t="s">
        <v>2797</v>
      </c>
      <c r="I8" s="62" t="s">
        <v>12267</v>
      </c>
      <c r="J8" s="62" t="s">
        <v>2797</v>
      </c>
    </row>
    <row r="9" spans="1:10" ht="60.75" customHeight="1" thickBot="1">
      <c r="A9" s="62" t="s">
        <v>3122</v>
      </c>
      <c r="B9" s="62" t="s">
        <v>2797</v>
      </c>
      <c r="C9" s="62" t="s">
        <v>2797</v>
      </c>
      <c r="D9" s="62" t="s">
        <v>2797</v>
      </c>
      <c r="E9" s="62" t="s">
        <v>3126</v>
      </c>
      <c r="F9" s="62" t="s">
        <v>2797</v>
      </c>
      <c r="G9" s="62" t="s">
        <v>2797</v>
      </c>
      <c r="H9" s="62" t="s">
        <v>12263</v>
      </c>
      <c r="I9" s="62" t="s">
        <v>12268</v>
      </c>
      <c r="J9" s="62" t="s">
        <v>2797</v>
      </c>
    </row>
    <row r="10" spans="1:10" ht="60.75" customHeight="1" thickBot="1">
      <c r="A10" s="62" t="s">
        <v>3130</v>
      </c>
      <c r="B10" s="62" t="s">
        <v>2797</v>
      </c>
      <c r="C10" s="62" t="s">
        <v>2797</v>
      </c>
      <c r="D10" s="62" t="s">
        <v>2797</v>
      </c>
      <c r="E10" s="62" t="s">
        <v>2797</v>
      </c>
      <c r="F10" s="62" t="s">
        <v>12259</v>
      </c>
      <c r="G10" s="62" t="s">
        <v>3135</v>
      </c>
      <c r="I10" s="62" t="s">
        <v>12247</v>
      </c>
      <c r="J10" s="62" t="s">
        <v>12270</v>
      </c>
    </row>
    <row r="11" spans="1:10" ht="60.75" customHeight="1" thickBot="1">
      <c r="A11" s="62" t="s">
        <v>2797</v>
      </c>
      <c r="B11" s="62" t="s">
        <v>2797</v>
      </c>
      <c r="C11" s="62" t="s">
        <v>12247</v>
      </c>
      <c r="D11" s="62" t="s">
        <v>2797</v>
      </c>
      <c r="E11" s="62" t="s">
        <v>2797</v>
      </c>
      <c r="F11" s="62" t="s">
        <v>12260</v>
      </c>
      <c r="G11" s="62" t="s">
        <v>3140</v>
      </c>
      <c r="I11" s="62" t="s">
        <v>12248</v>
      </c>
      <c r="J11" s="62" t="s">
        <v>12247</v>
      </c>
    </row>
    <row r="12" spans="1:10" ht="60.75" customHeight="1" thickBot="1">
      <c r="A12" s="62" t="s">
        <v>2797</v>
      </c>
      <c r="B12" s="62" t="s">
        <v>2797</v>
      </c>
      <c r="C12" s="62" t="s">
        <v>12248</v>
      </c>
      <c r="D12" s="62" t="s">
        <v>12256</v>
      </c>
      <c r="E12" s="62" t="s">
        <v>2797</v>
      </c>
      <c r="F12" s="62" t="s">
        <v>12261</v>
      </c>
      <c r="G12" s="62" t="s">
        <v>3144</v>
      </c>
      <c r="J12" s="62" t="s">
        <v>12271</v>
      </c>
    </row>
    <row r="13" spans="1:10" ht="60.75" customHeight="1" thickBot="1">
      <c r="A13" s="62" t="s">
        <v>12247</v>
      </c>
      <c r="B13" s="62" t="s">
        <v>2797</v>
      </c>
      <c r="D13" s="62" t="s">
        <v>12247</v>
      </c>
      <c r="E13" s="62" t="s">
        <v>2797</v>
      </c>
      <c r="F13" s="62" t="s">
        <v>12247</v>
      </c>
      <c r="G13" s="62" t="s">
        <v>2797</v>
      </c>
    </row>
    <row r="14" spans="1:10" ht="60.75" customHeight="1" thickBot="1">
      <c r="A14" s="62" t="s">
        <v>12248</v>
      </c>
      <c r="B14" s="62" t="s">
        <v>2797</v>
      </c>
      <c r="D14" s="62" t="s">
        <v>12248</v>
      </c>
      <c r="E14" s="62" t="s">
        <v>2797</v>
      </c>
      <c r="F14" s="62" t="s">
        <v>12248</v>
      </c>
      <c r="G14" s="62" t="s">
        <v>2797</v>
      </c>
    </row>
    <row r="15" spans="1:10" ht="60.75" customHeight="1" thickBot="1">
      <c r="B15" s="62" t="s">
        <v>2797</v>
      </c>
      <c r="E15" s="62" t="s">
        <v>2797</v>
      </c>
      <c r="G15" s="62" t="s">
        <v>2797</v>
      </c>
    </row>
    <row r="16" spans="1:10" ht="60.75" customHeight="1" thickBot="1">
      <c r="B16" s="62" t="s">
        <v>12250</v>
      </c>
      <c r="E16" s="62" t="s">
        <v>2797</v>
      </c>
      <c r="G16" s="62" t="s">
        <v>2797</v>
      </c>
    </row>
    <row r="17" spans="2:7" ht="60.75" customHeight="1" thickBot="1">
      <c r="B17" s="62" t="s">
        <v>12253</v>
      </c>
      <c r="E17" s="62" t="s">
        <v>2797</v>
      </c>
      <c r="G17" s="62" t="s">
        <v>3157</v>
      </c>
    </row>
    <row r="18" spans="2:7" ht="60.75" customHeight="1" thickBot="1">
      <c r="B18" s="62" t="s">
        <v>12254</v>
      </c>
      <c r="E18" s="62" t="s">
        <v>2797</v>
      </c>
      <c r="G18" s="62" t="s">
        <v>3159</v>
      </c>
    </row>
    <row r="19" spans="2:7" ht="60.75" customHeight="1" thickBot="1">
      <c r="E19" s="62" t="s">
        <v>2797</v>
      </c>
      <c r="G19" s="62" t="s">
        <v>3168</v>
      </c>
    </row>
    <row r="20" spans="2:7" ht="60.75" customHeight="1" thickBot="1">
      <c r="E20" s="62" t="s">
        <v>2797</v>
      </c>
      <c r="G20" s="62" t="s">
        <v>2797</v>
      </c>
    </row>
    <row r="21" spans="2:7" ht="60.75" customHeight="1" thickBot="1">
      <c r="E21" s="62" t="s">
        <v>2797</v>
      </c>
      <c r="G21" s="62" t="s">
        <v>3161</v>
      </c>
    </row>
    <row r="22" spans="2:7" ht="60.75" customHeight="1" thickBot="1">
      <c r="E22" s="62" t="s">
        <v>2797</v>
      </c>
      <c r="G22" s="62" t="s">
        <v>12247</v>
      </c>
    </row>
    <row r="23" spans="2:7" ht="29.25" thickBot="1">
      <c r="E23" s="62" t="s">
        <v>12247</v>
      </c>
      <c r="G23" s="62" t="s">
        <v>12248</v>
      </c>
    </row>
    <row r="24" spans="2:7" ht="28.5">
      <c r="E24" s="62" t="s">
        <v>12248</v>
      </c>
    </row>
  </sheetData>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7.xml><?xml version="1.0" encoding="utf-8"?>
<worksheet xmlns="http://schemas.openxmlformats.org/spreadsheetml/2006/main" xmlns:r="http://schemas.openxmlformats.org/officeDocument/2006/relationships">
  <sheetPr codeName="Sheet65"/>
  <dimension ref="A1:L73"/>
  <sheetViews>
    <sheetView workbookViewId="0"/>
  </sheetViews>
  <sheetFormatPr defaultRowHeight="14.25"/>
  <cols>
    <col min="1" max="1" width="26.625" bestFit="1" customWidth="1"/>
    <col min="2" max="2" width="37.125" bestFit="1" customWidth="1"/>
    <col min="3" max="3" width="32.625" bestFit="1" customWidth="1"/>
    <col min="4" max="4" width="23.125" bestFit="1" customWidth="1"/>
    <col min="5" max="5" width="37.625" bestFit="1" customWidth="1"/>
    <col min="6" max="7" width="31.625" bestFit="1" customWidth="1"/>
    <col min="8" max="8" width="30" bestFit="1" customWidth="1"/>
    <col min="9" max="9" width="21.625" bestFit="1" customWidth="1"/>
    <col min="10" max="10" width="42.5" bestFit="1" customWidth="1"/>
    <col min="11" max="11" width="22.125" bestFit="1" customWidth="1"/>
    <col min="12" max="12" width="28.625" bestFit="1" customWidth="1"/>
  </cols>
  <sheetData>
    <row r="1" spans="1:12" ht="15">
      <c r="A1" s="60" t="s">
        <v>11709</v>
      </c>
      <c r="B1" s="49" t="s">
        <v>114</v>
      </c>
      <c r="C1" s="49" t="s">
        <v>1989</v>
      </c>
      <c r="D1" s="49" t="s">
        <v>492</v>
      </c>
      <c r="E1" s="49" t="s">
        <v>1288</v>
      </c>
      <c r="F1" s="49" t="s">
        <v>3749</v>
      </c>
      <c r="G1" s="49" t="s">
        <v>1476</v>
      </c>
      <c r="H1" s="49" t="s">
        <v>1097</v>
      </c>
      <c r="I1" s="49" t="s">
        <v>1608</v>
      </c>
      <c r="J1" s="49" t="s">
        <v>2883</v>
      </c>
      <c r="K1" s="49" t="s">
        <v>2090</v>
      </c>
      <c r="L1" s="49" t="s">
        <v>2237</v>
      </c>
    </row>
    <row r="2" spans="1:12">
      <c r="B2" s="49" t="s">
        <v>2866</v>
      </c>
      <c r="C2" s="49" t="s">
        <v>2869</v>
      </c>
      <c r="D2" s="49" t="s">
        <v>2871</v>
      </c>
      <c r="E2" s="49" t="s">
        <v>2873</v>
      </c>
      <c r="F2" s="49" t="s">
        <v>3751</v>
      </c>
      <c r="G2" s="49" t="s">
        <v>2875</v>
      </c>
      <c r="H2" s="49" t="s">
        <v>2877</v>
      </c>
      <c r="I2" s="49" t="s">
        <v>2880</v>
      </c>
      <c r="J2" s="49" t="s">
        <v>2882</v>
      </c>
      <c r="K2" s="49" t="s">
        <v>2885</v>
      </c>
      <c r="L2" s="49" t="s">
        <v>2887</v>
      </c>
    </row>
    <row r="3" spans="1:12">
      <c r="B3" t="s">
        <v>11264</v>
      </c>
      <c r="C3" t="s">
        <v>11265</v>
      </c>
      <c r="D3" t="s">
        <v>11266</v>
      </c>
      <c r="E3" t="s">
        <v>11267</v>
      </c>
      <c r="F3" t="s">
        <v>11268</v>
      </c>
      <c r="G3" t="s">
        <v>11268</v>
      </c>
      <c r="H3" t="s">
        <v>11269</v>
      </c>
      <c r="I3" t="s">
        <v>11270</v>
      </c>
      <c r="J3" t="s">
        <v>11271</v>
      </c>
      <c r="K3" t="s">
        <v>11272</v>
      </c>
      <c r="L3" t="s">
        <v>11273</v>
      </c>
    </row>
    <row r="4" spans="1:12">
      <c r="B4" t="s">
        <v>11274</v>
      </c>
      <c r="C4" t="s">
        <v>11275</v>
      </c>
      <c r="D4" t="s">
        <v>11276</v>
      </c>
      <c r="E4" t="s">
        <v>11277</v>
      </c>
      <c r="F4" t="s">
        <v>11278</v>
      </c>
      <c r="G4" t="s">
        <v>11278</v>
      </c>
      <c r="H4" t="s">
        <v>11279</v>
      </c>
      <c r="I4" t="s">
        <v>11280</v>
      </c>
      <c r="J4" t="s">
        <v>11281</v>
      </c>
      <c r="K4" t="s">
        <v>11282</v>
      </c>
      <c r="L4" t="s">
        <v>11283</v>
      </c>
    </row>
    <row r="5" spans="1:12">
      <c r="B5" t="s">
        <v>11284</v>
      </c>
      <c r="C5" t="s">
        <v>11285</v>
      </c>
      <c r="D5" t="s">
        <v>11286</v>
      </c>
      <c r="E5" t="s">
        <v>11287</v>
      </c>
      <c r="F5" t="s">
        <v>11288</v>
      </c>
      <c r="G5" t="s">
        <v>11288</v>
      </c>
      <c r="H5" t="s">
        <v>11289</v>
      </c>
      <c r="I5" t="s">
        <v>11290</v>
      </c>
      <c r="J5" t="s">
        <v>11291</v>
      </c>
      <c r="K5" t="s">
        <v>11292</v>
      </c>
      <c r="L5" t="s">
        <v>11293</v>
      </c>
    </row>
    <row r="6" spans="1:12">
      <c r="B6" t="s">
        <v>11294</v>
      </c>
      <c r="C6" t="s">
        <v>11295</v>
      </c>
      <c r="D6" t="s">
        <v>11296</v>
      </c>
      <c r="E6" t="s">
        <v>11297</v>
      </c>
      <c r="F6" t="s">
        <v>11298</v>
      </c>
      <c r="G6" t="s">
        <v>11298</v>
      </c>
      <c r="H6" t="s">
        <v>11299</v>
      </c>
      <c r="I6" t="s">
        <v>11300</v>
      </c>
      <c r="J6" t="s">
        <v>11301</v>
      </c>
      <c r="K6" t="s">
        <v>11302</v>
      </c>
      <c r="L6" t="s">
        <v>11303</v>
      </c>
    </row>
    <row r="7" spans="1:12">
      <c r="B7" t="s">
        <v>11304</v>
      </c>
      <c r="C7" t="s">
        <v>11305</v>
      </c>
      <c r="D7" t="s">
        <v>11306</v>
      </c>
      <c r="E7" t="s">
        <v>11307</v>
      </c>
      <c r="F7" t="s">
        <v>11308</v>
      </c>
      <c r="G7" t="s">
        <v>11308</v>
      </c>
      <c r="H7" t="s">
        <v>11309</v>
      </c>
      <c r="I7" t="s">
        <v>11310</v>
      </c>
      <c r="J7" t="s">
        <v>11311</v>
      </c>
      <c r="K7" t="s">
        <v>11312</v>
      </c>
      <c r="L7" t="s">
        <v>11313</v>
      </c>
    </row>
    <row r="8" spans="1:12">
      <c r="B8" t="s">
        <v>11314</v>
      </c>
      <c r="C8" t="s">
        <v>11315</v>
      </c>
      <c r="D8" t="s">
        <v>11316</v>
      </c>
      <c r="E8" t="s">
        <v>11317</v>
      </c>
      <c r="F8" t="s">
        <v>11318</v>
      </c>
      <c r="G8" t="s">
        <v>11318</v>
      </c>
      <c r="H8" t="s">
        <v>11319</v>
      </c>
      <c r="I8" t="s">
        <v>11320</v>
      </c>
      <c r="J8" t="s">
        <v>11321</v>
      </c>
      <c r="K8" t="s">
        <v>11322</v>
      </c>
      <c r="L8" t="s">
        <v>11323</v>
      </c>
    </row>
    <row r="9" spans="1:12">
      <c r="B9" t="s">
        <v>11324</v>
      </c>
      <c r="C9" t="s">
        <v>11325</v>
      </c>
      <c r="D9" t="s">
        <v>11326</v>
      </c>
      <c r="E9" t="s">
        <v>11327</v>
      </c>
      <c r="F9" t="s">
        <v>11328</v>
      </c>
      <c r="G9" t="s">
        <v>11328</v>
      </c>
      <c r="H9" t="s">
        <v>11329</v>
      </c>
      <c r="I9" t="s">
        <v>11330</v>
      </c>
      <c r="J9" t="s">
        <v>11331</v>
      </c>
      <c r="K9" t="s">
        <v>11332</v>
      </c>
      <c r="L9" t="s">
        <v>11333</v>
      </c>
    </row>
    <row r="10" spans="1:12">
      <c r="B10" t="s">
        <v>11334</v>
      </c>
      <c r="C10" t="s">
        <v>11335</v>
      </c>
      <c r="D10" t="s">
        <v>11336</v>
      </c>
      <c r="E10" t="s">
        <v>11337</v>
      </c>
      <c r="F10" t="s">
        <v>11338</v>
      </c>
      <c r="G10" t="s">
        <v>11338</v>
      </c>
      <c r="H10" t="s">
        <v>11339</v>
      </c>
      <c r="I10" t="s">
        <v>11340</v>
      </c>
      <c r="J10" t="s">
        <v>11341</v>
      </c>
      <c r="K10" t="s">
        <v>11342</v>
      </c>
      <c r="L10" t="s">
        <v>11343</v>
      </c>
    </row>
    <row r="11" spans="1:12">
      <c r="B11" t="s">
        <v>11344</v>
      </c>
      <c r="C11" t="s">
        <v>11345</v>
      </c>
      <c r="D11" t="s">
        <v>11346</v>
      </c>
      <c r="E11" t="s">
        <v>11347</v>
      </c>
      <c r="F11" t="s">
        <v>11348</v>
      </c>
      <c r="G11" t="s">
        <v>11348</v>
      </c>
      <c r="H11" t="s">
        <v>11349</v>
      </c>
      <c r="I11" t="s">
        <v>11350</v>
      </c>
      <c r="J11" t="s">
        <v>11351</v>
      </c>
      <c r="K11" t="s">
        <v>11352</v>
      </c>
      <c r="L11" t="s">
        <v>11353</v>
      </c>
    </row>
    <row r="12" spans="1:12">
      <c r="B12" t="s">
        <v>11354</v>
      </c>
      <c r="C12" t="s">
        <v>11355</v>
      </c>
      <c r="D12" t="s">
        <v>11356</v>
      </c>
      <c r="E12" t="s">
        <v>11357</v>
      </c>
      <c r="F12" t="s">
        <v>11358</v>
      </c>
      <c r="G12" t="s">
        <v>11358</v>
      </c>
      <c r="H12" t="s">
        <v>11359</v>
      </c>
      <c r="I12" t="s">
        <v>11360</v>
      </c>
      <c r="J12" t="s">
        <v>11361</v>
      </c>
      <c r="K12" t="s">
        <v>11362</v>
      </c>
      <c r="L12" t="s">
        <v>11363</v>
      </c>
    </row>
    <row r="13" spans="1:12">
      <c r="B13" t="s">
        <v>11364</v>
      </c>
      <c r="C13" t="s">
        <v>11365</v>
      </c>
      <c r="D13" t="s">
        <v>11366</v>
      </c>
      <c r="E13" t="s">
        <v>11367</v>
      </c>
      <c r="F13" t="s">
        <v>11368</v>
      </c>
      <c r="G13" t="s">
        <v>11368</v>
      </c>
      <c r="H13" t="s">
        <v>11369</v>
      </c>
      <c r="I13" t="s">
        <v>11370</v>
      </c>
      <c r="J13" t="s">
        <v>11371</v>
      </c>
      <c r="K13" t="s">
        <v>11372</v>
      </c>
      <c r="L13" t="s">
        <v>11373</v>
      </c>
    </row>
    <row r="14" spans="1:12">
      <c r="B14" t="s">
        <v>11374</v>
      </c>
      <c r="C14" t="s">
        <v>11375</v>
      </c>
      <c r="D14" t="s">
        <v>11376</v>
      </c>
      <c r="E14" t="s">
        <v>11377</v>
      </c>
      <c r="F14" t="s">
        <v>11378</v>
      </c>
      <c r="G14" t="s">
        <v>11378</v>
      </c>
      <c r="H14" t="s">
        <v>11379</v>
      </c>
      <c r="I14" t="s">
        <v>11380</v>
      </c>
      <c r="J14" t="s">
        <v>11381</v>
      </c>
      <c r="K14" t="s">
        <v>11382</v>
      </c>
      <c r="L14" t="s">
        <v>11383</v>
      </c>
    </row>
    <row r="15" spans="1:12">
      <c r="B15" t="s">
        <v>11384</v>
      </c>
      <c r="C15" t="s">
        <v>11385</v>
      </c>
      <c r="D15" t="s">
        <v>11386</v>
      </c>
      <c r="E15" t="s">
        <v>11387</v>
      </c>
      <c r="F15" t="s">
        <v>11388</v>
      </c>
      <c r="G15" t="s">
        <v>11388</v>
      </c>
      <c r="H15" t="s">
        <v>11389</v>
      </c>
      <c r="I15" t="s">
        <v>11390</v>
      </c>
      <c r="J15" t="s">
        <v>11391</v>
      </c>
      <c r="K15" t="s">
        <v>11392</v>
      </c>
      <c r="L15" t="s">
        <v>11393</v>
      </c>
    </row>
    <row r="16" spans="1:12">
      <c r="B16" t="s">
        <v>11394</v>
      </c>
      <c r="C16" t="s">
        <v>11395</v>
      </c>
      <c r="D16" t="s">
        <v>11396</v>
      </c>
      <c r="E16" t="s">
        <v>11397</v>
      </c>
      <c r="F16" t="s">
        <v>11398</v>
      </c>
      <c r="G16" t="s">
        <v>11398</v>
      </c>
      <c r="H16" t="s">
        <v>11399</v>
      </c>
      <c r="I16" t="s">
        <v>11400</v>
      </c>
      <c r="J16" t="s">
        <v>11401</v>
      </c>
      <c r="K16" t="s">
        <v>11402</v>
      </c>
      <c r="L16" t="s">
        <v>11403</v>
      </c>
    </row>
    <row r="17" spans="2:12">
      <c r="B17" t="s">
        <v>11404</v>
      </c>
      <c r="C17" t="s">
        <v>11405</v>
      </c>
      <c r="D17" t="s">
        <v>11406</v>
      </c>
      <c r="E17" t="s">
        <v>11407</v>
      </c>
      <c r="F17" t="s">
        <v>11408</v>
      </c>
      <c r="G17" t="s">
        <v>11408</v>
      </c>
      <c r="H17" t="s">
        <v>11409</v>
      </c>
      <c r="I17" t="s">
        <v>11410</v>
      </c>
      <c r="J17" t="s">
        <v>11411</v>
      </c>
      <c r="K17" t="s">
        <v>11412</v>
      </c>
      <c r="L17" t="s">
        <v>11413</v>
      </c>
    </row>
    <row r="18" spans="2:12">
      <c r="B18" t="s">
        <v>11414</v>
      </c>
      <c r="C18" t="s">
        <v>11415</v>
      </c>
      <c r="D18" t="s">
        <v>11416</v>
      </c>
      <c r="E18" t="s">
        <v>11417</v>
      </c>
      <c r="F18" t="s">
        <v>11418</v>
      </c>
      <c r="G18" t="s">
        <v>11418</v>
      </c>
      <c r="H18" t="s">
        <v>11419</v>
      </c>
      <c r="I18" t="s">
        <v>11420</v>
      </c>
      <c r="J18" t="s">
        <v>11421</v>
      </c>
      <c r="K18" t="s">
        <v>11422</v>
      </c>
      <c r="L18" t="s">
        <v>11423</v>
      </c>
    </row>
    <row r="19" spans="2:12">
      <c r="B19" t="s">
        <v>11424</v>
      </c>
      <c r="C19" t="s">
        <v>11425</v>
      </c>
      <c r="D19" t="s">
        <v>11426</v>
      </c>
      <c r="E19" t="s">
        <v>11427</v>
      </c>
      <c r="F19" t="s">
        <v>11428</v>
      </c>
      <c r="G19" t="s">
        <v>11428</v>
      </c>
      <c r="H19" t="s">
        <v>11429</v>
      </c>
      <c r="I19" t="s">
        <v>11430</v>
      </c>
      <c r="J19" t="s">
        <v>11431</v>
      </c>
      <c r="K19" t="s">
        <v>11432</v>
      </c>
      <c r="L19" t="s">
        <v>11433</v>
      </c>
    </row>
    <row r="20" spans="2:12">
      <c r="B20" t="s">
        <v>11434</v>
      </c>
      <c r="C20" t="s">
        <v>11435</v>
      </c>
      <c r="D20" t="s">
        <v>11436</v>
      </c>
      <c r="E20" t="s">
        <v>11437</v>
      </c>
      <c r="F20" t="s">
        <v>11438</v>
      </c>
      <c r="G20" t="s">
        <v>11438</v>
      </c>
      <c r="H20" t="s">
        <v>11439</v>
      </c>
      <c r="I20" t="s">
        <v>11440</v>
      </c>
      <c r="J20" t="s">
        <v>11441</v>
      </c>
      <c r="K20" t="s">
        <v>11442</v>
      </c>
      <c r="L20" t="s">
        <v>11443</v>
      </c>
    </row>
    <row r="21" spans="2:12">
      <c r="B21" t="s">
        <v>11444</v>
      </c>
      <c r="C21" t="s">
        <v>11445</v>
      </c>
      <c r="D21" t="s">
        <v>11446</v>
      </c>
      <c r="E21" t="s">
        <v>11447</v>
      </c>
      <c r="F21" t="s">
        <v>11448</v>
      </c>
      <c r="G21" t="s">
        <v>11448</v>
      </c>
      <c r="H21" t="s">
        <v>11449</v>
      </c>
      <c r="I21" t="s">
        <v>11450</v>
      </c>
      <c r="J21" t="s">
        <v>11451</v>
      </c>
      <c r="K21" t="s">
        <v>11452</v>
      </c>
      <c r="L21" t="s">
        <v>11453</v>
      </c>
    </row>
    <row r="22" spans="2:12">
      <c r="B22" t="s">
        <v>11454</v>
      </c>
      <c r="C22" t="s">
        <v>11455</v>
      </c>
      <c r="D22" t="s">
        <v>11456</v>
      </c>
      <c r="E22" t="s">
        <v>11457</v>
      </c>
      <c r="H22" t="s">
        <v>11458</v>
      </c>
      <c r="I22" t="s">
        <v>11459</v>
      </c>
      <c r="J22" t="s">
        <v>11460</v>
      </c>
      <c r="K22" t="s">
        <v>11461</v>
      </c>
      <c r="L22" t="s">
        <v>11462</v>
      </c>
    </row>
    <row r="23" spans="2:12">
      <c r="B23" t="s">
        <v>11463</v>
      </c>
      <c r="C23" t="s">
        <v>11464</v>
      </c>
      <c r="D23" t="s">
        <v>11465</v>
      </c>
      <c r="E23" t="s">
        <v>11466</v>
      </c>
      <c r="H23" t="s">
        <v>11467</v>
      </c>
      <c r="I23" t="s">
        <v>11468</v>
      </c>
      <c r="J23" t="s">
        <v>11469</v>
      </c>
      <c r="K23" t="s">
        <v>11470</v>
      </c>
      <c r="L23" t="s">
        <v>11471</v>
      </c>
    </row>
    <row r="24" spans="2:12">
      <c r="B24" t="s">
        <v>11472</v>
      </c>
      <c r="C24" t="s">
        <v>11473</v>
      </c>
      <c r="D24" t="s">
        <v>11474</v>
      </c>
      <c r="E24" t="s">
        <v>11475</v>
      </c>
      <c r="H24" t="s">
        <v>11476</v>
      </c>
      <c r="I24" t="s">
        <v>11477</v>
      </c>
      <c r="J24" t="s">
        <v>11478</v>
      </c>
      <c r="K24" t="s">
        <v>11479</v>
      </c>
      <c r="L24" t="s">
        <v>11480</v>
      </c>
    </row>
    <row r="25" spans="2:12">
      <c r="B25" t="s">
        <v>11481</v>
      </c>
      <c r="C25" t="s">
        <v>11482</v>
      </c>
      <c r="D25" t="s">
        <v>11483</v>
      </c>
      <c r="E25" t="s">
        <v>11484</v>
      </c>
      <c r="H25" t="s">
        <v>11485</v>
      </c>
      <c r="I25" t="s">
        <v>11486</v>
      </c>
      <c r="J25" t="s">
        <v>11487</v>
      </c>
      <c r="K25" t="s">
        <v>11488</v>
      </c>
      <c r="L25" t="s">
        <v>11489</v>
      </c>
    </row>
    <row r="26" spans="2:12">
      <c r="B26" t="s">
        <v>11490</v>
      </c>
      <c r="C26" t="s">
        <v>11491</v>
      </c>
      <c r="D26" t="s">
        <v>11492</v>
      </c>
      <c r="E26" t="s">
        <v>11493</v>
      </c>
      <c r="H26" t="s">
        <v>11494</v>
      </c>
      <c r="I26" t="s">
        <v>11495</v>
      </c>
      <c r="J26" t="s">
        <v>11496</v>
      </c>
      <c r="K26" t="s">
        <v>11497</v>
      </c>
      <c r="L26" t="s">
        <v>11498</v>
      </c>
    </row>
    <row r="27" spans="2:12">
      <c r="B27" t="s">
        <v>11499</v>
      </c>
      <c r="C27" t="s">
        <v>11500</v>
      </c>
      <c r="D27" t="s">
        <v>11501</v>
      </c>
      <c r="E27" t="s">
        <v>11502</v>
      </c>
      <c r="H27" t="s">
        <v>11503</v>
      </c>
      <c r="I27" t="s">
        <v>11504</v>
      </c>
      <c r="J27" t="s">
        <v>11505</v>
      </c>
      <c r="K27" t="s">
        <v>11506</v>
      </c>
      <c r="L27" t="s">
        <v>11507</v>
      </c>
    </row>
    <row r="28" spans="2:12">
      <c r="B28" t="s">
        <v>11508</v>
      </c>
      <c r="C28" t="s">
        <v>11509</v>
      </c>
      <c r="E28" t="s">
        <v>11510</v>
      </c>
      <c r="H28" t="s">
        <v>11511</v>
      </c>
      <c r="I28" t="s">
        <v>11512</v>
      </c>
      <c r="J28" t="s">
        <v>11513</v>
      </c>
      <c r="K28" t="s">
        <v>11514</v>
      </c>
      <c r="L28" t="s">
        <v>11515</v>
      </c>
    </row>
    <row r="29" spans="2:12">
      <c r="B29" t="s">
        <v>11516</v>
      </c>
      <c r="C29" t="s">
        <v>11517</v>
      </c>
      <c r="E29" t="s">
        <v>11518</v>
      </c>
      <c r="H29" t="s">
        <v>11519</v>
      </c>
      <c r="I29" t="s">
        <v>11520</v>
      </c>
      <c r="J29" t="s">
        <v>11521</v>
      </c>
      <c r="K29" t="s">
        <v>11522</v>
      </c>
      <c r="L29" t="s">
        <v>11523</v>
      </c>
    </row>
    <row r="30" spans="2:12">
      <c r="B30" t="s">
        <v>11524</v>
      </c>
      <c r="C30" t="s">
        <v>11525</v>
      </c>
      <c r="E30" t="s">
        <v>11526</v>
      </c>
      <c r="H30" t="s">
        <v>11527</v>
      </c>
      <c r="I30" t="s">
        <v>11528</v>
      </c>
      <c r="J30" t="s">
        <v>11529</v>
      </c>
      <c r="L30" t="s">
        <v>11530</v>
      </c>
    </row>
    <row r="31" spans="2:12">
      <c r="B31" t="s">
        <v>11531</v>
      </c>
      <c r="E31" t="s">
        <v>11532</v>
      </c>
      <c r="H31" t="s">
        <v>11533</v>
      </c>
      <c r="I31" t="s">
        <v>11534</v>
      </c>
      <c r="J31" t="s">
        <v>11535</v>
      </c>
      <c r="L31" t="s">
        <v>11536</v>
      </c>
    </row>
    <row r="32" spans="2:12">
      <c r="B32" t="s">
        <v>11537</v>
      </c>
      <c r="E32" t="s">
        <v>11538</v>
      </c>
      <c r="H32" t="s">
        <v>11539</v>
      </c>
      <c r="I32" t="s">
        <v>11540</v>
      </c>
      <c r="J32" t="s">
        <v>11541</v>
      </c>
      <c r="L32" t="s">
        <v>11542</v>
      </c>
    </row>
    <row r="33" spans="2:12">
      <c r="B33" t="s">
        <v>11543</v>
      </c>
      <c r="E33" t="s">
        <v>11544</v>
      </c>
      <c r="H33" t="s">
        <v>11545</v>
      </c>
      <c r="I33" t="s">
        <v>11546</v>
      </c>
      <c r="J33" t="s">
        <v>11547</v>
      </c>
      <c r="L33" t="s">
        <v>11548</v>
      </c>
    </row>
    <row r="34" spans="2:12">
      <c r="B34" t="s">
        <v>11549</v>
      </c>
      <c r="E34" t="s">
        <v>11550</v>
      </c>
      <c r="H34" t="s">
        <v>11551</v>
      </c>
      <c r="I34" t="s">
        <v>11552</v>
      </c>
      <c r="J34" t="s">
        <v>11553</v>
      </c>
      <c r="L34" t="s">
        <v>11554</v>
      </c>
    </row>
    <row r="35" spans="2:12">
      <c r="B35" t="s">
        <v>11555</v>
      </c>
      <c r="E35" t="s">
        <v>11556</v>
      </c>
      <c r="H35" t="s">
        <v>11557</v>
      </c>
      <c r="I35" t="s">
        <v>11558</v>
      </c>
      <c r="J35" t="s">
        <v>11559</v>
      </c>
      <c r="L35" t="s">
        <v>11560</v>
      </c>
    </row>
    <row r="36" spans="2:12">
      <c r="B36" t="s">
        <v>11561</v>
      </c>
      <c r="E36" t="s">
        <v>11562</v>
      </c>
      <c r="H36" t="s">
        <v>11563</v>
      </c>
      <c r="I36" t="s">
        <v>11564</v>
      </c>
      <c r="J36" t="s">
        <v>11565</v>
      </c>
      <c r="L36" t="s">
        <v>11566</v>
      </c>
    </row>
    <row r="37" spans="2:12">
      <c r="B37" t="s">
        <v>11567</v>
      </c>
      <c r="E37" t="s">
        <v>11568</v>
      </c>
      <c r="H37" t="s">
        <v>11569</v>
      </c>
      <c r="I37" t="s">
        <v>11570</v>
      </c>
      <c r="J37" t="s">
        <v>11571</v>
      </c>
      <c r="L37" t="s">
        <v>11572</v>
      </c>
    </row>
    <row r="38" spans="2:12">
      <c r="B38" t="s">
        <v>11573</v>
      </c>
      <c r="E38" t="s">
        <v>11574</v>
      </c>
      <c r="H38" t="s">
        <v>11575</v>
      </c>
      <c r="I38" t="s">
        <v>11576</v>
      </c>
      <c r="J38" t="s">
        <v>11577</v>
      </c>
      <c r="L38" t="s">
        <v>11578</v>
      </c>
    </row>
    <row r="39" spans="2:12">
      <c r="B39" t="s">
        <v>11579</v>
      </c>
      <c r="E39" t="s">
        <v>11580</v>
      </c>
      <c r="H39" t="s">
        <v>11581</v>
      </c>
      <c r="I39" t="s">
        <v>11582</v>
      </c>
      <c r="J39" t="s">
        <v>11583</v>
      </c>
      <c r="L39" t="s">
        <v>11584</v>
      </c>
    </row>
    <row r="40" spans="2:12">
      <c r="B40" t="s">
        <v>11585</v>
      </c>
      <c r="E40" t="s">
        <v>11586</v>
      </c>
      <c r="H40" t="s">
        <v>11587</v>
      </c>
      <c r="I40" t="s">
        <v>11588</v>
      </c>
      <c r="J40" t="s">
        <v>11589</v>
      </c>
      <c r="L40" t="s">
        <v>11590</v>
      </c>
    </row>
    <row r="41" spans="2:12">
      <c r="B41" t="s">
        <v>11591</v>
      </c>
      <c r="E41" t="s">
        <v>11592</v>
      </c>
      <c r="H41" t="s">
        <v>11593</v>
      </c>
      <c r="I41" t="s">
        <v>11594</v>
      </c>
      <c r="J41" t="s">
        <v>11595</v>
      </c>
      <c r="L41" t="s">
        <v>11596</v>
      </c>
    </row>
    <row r="42" spans="2:12">
      <c r="B42" t="s">
        <v>11597</v>
      </c>
      <c r="E42" t="s">
        <v>11598</v>
      </c>
      <c r="H42" t="s">
        <v>11599</v>
      </c>
      <c r="I42" t="s">
        <v>11600</v>
      </c>
      <c r="J42" t="s">
        <v>11601</v>
      </c>
      <c r="L42" t="s">
        <v>11602</v>
      </c>
    </row>
    <row r="43" spans="2:12">
      <c r="B43" t="s">
        <v>11603</v>
      </c>
      <c r="E43" t="s">
        <v>11604</v>
      </c>
      <c r="H43" t="s">
        <v>11605</v>
      </c>
      <c r="I43" t="s">
        <v>11606</v>
      </c>
      <c r="J43" t="s">
        <v>11607</v>
      </c>
      <c r="L43" t="s">
        <v>11608</v>
      </c>
    </row>
    <row r="44" spans="2:12">
      <c r="B44" t="s">
        <v>11609</v>
      </c>
      <c r="E44" t="s">
        <v>11610</v>
      </c>
      <c r="H44" t="s">
        <v>11611</v>
      </c>
      <c r="I44" t="s">
        <v>11612</v>
      </c>
      <c r="J44" t="s">
        <v>11613</v>
      </c>
      <c r="L44" t="s">
        <v>11614</v>
      </c>
    </row>
    <row r="45" spans="2:12">
      <c r="B45" t="s">
        <v>11615</v>
      </c>
      <c r="E45" t="s">
        <v>11616</v>
      </c>
      <c r="H45" t="s">
        <v>11617</v>
      </c>
      <c r="I45" t="s">
        <v>11618</v>
      </c>
      <c r="J45" t="s">
        <v>11619</v>
      </c>
      <c r="L45" t="s">
        <v>11620</v>
      </c>
    </row>
    <row r="46" spans="2:12">
      <c r="B46" t="s">
        <v>11621</v>
      </c>
      <c r="E46" t="s">
        <v>11622</v>
      </c>
      <c r="H46" t="s">
        <v>11623</v>
      </c>
      <c r="I46" t="s">
        <v>11624</v>
      </c>
      <c r="J46" t="s">
        <v>11625</v>
      </c>
      <c r="L46" t="s">
        <v>11626</v>
      </c>
    </row>
    <row r="47" spans="2:12">
      <c r="B47" t="s">
        <v>11627</v>
      </c>
      <c r="E47" t="s">
        <v>11628</v>
      </c>
      <c r="H47" t="s">
        <v>11629</v>
      </c>
      <c r="I47" t="s">
        <v>11630</v>
      </c>
      <c r="J47" t="s">
        <v>11631</v>
      </c>
      <c r="L47" t="s">
        <v>11632</v>
      </c>
    </row>
    <row r="48" spans="2:12">
      <c r="B48" t="s">
        <v>11633</v>
      </c>
      <c r="E48" t="s">
        <v>11634</v>
      </c>
      <c r="I48" t="s">
        <v>11635</v>
      </c>
      <c r="J48" t="s">
        <v>11636</v>
      </c>
      <c r="L48" t="s">
        <v>11637</v>
      </c>
    </row>
    <row r="49" spans="2:12">
      <c r="B49" t="s">
        <v>11638</v>
      </c>
      <c r="E49" t="s">
        <v>11639</v>
      </c>
      <c r="I49" t="s">
        <v>11640</v>
      </c>
      <c r="J49" t="s">
        <v>11641</v>
      </c>
      <c r="L49" t="s">
        <v>11642</v>
      </c>
    </row>
    <row r="50" spans="2:12">
      <c r="B50" t="s">
        <v>11643</v>
      </c>
      <c r="E50" t="s">
        <v>11644</v>
      </c>
      <c r="I50" t="s">
        <v>11645</v>
      </c>
      <c r="J50" t="s">
        <v>11646</v>
      </c>
      <c r="L50" t="s">
        <v>11647</v>
      </c>
    </row>
    <row r="51" spans="2:12">
      <c r="B51" t="s">
        <v>11648</v>
      </c>
      <c r="E51" t="s">
        <v>11649</v>
      </c>
      <c r="I51" t="s">
        <v>11650</v>
      </c>
      <c r="J51" t="s">
        <v>11651</v>
      </c>
      <c r="L51" t="s">
        <v>11652</v>
      </c>
    </row>
    <row r="52" spans="2:12">
      <c r="B52" t="s">
        <v>11653</v>
      </c>
      <c r="E52" t="s">
        <v>11654</v>
      </c>
      <c r="I52" t="s">
        <v>11655</v>
      </c>
      <c r="J52" t="s">
        <v>11656</v>
      </c>
    </row>
    <row r="53" spans="2:12">
      <c r="B53" t="s">
        <v>11657</v>
      </c>
      <c r="E53" t="s">
        <v>11658</v>
      </c>
      <c r="I53" t="s">
        <v>11659</v>
      </c>
      <c r="J53" t="s">
        <v>11660</v>
      </c>
    </row>
    <row r="54" spans="2:12">
      <c r="B54" t="s">
        <v>11661</v>
      </c>
      <c r="E54" t="s">
        <v>11662</v>
      </c>
      <c r="I54" t="s">
        <v>11663</v>
      </c>
      <c r="J54" t="s">
        <v>11664</v>
      </c>
    </row>
    <row r="55" spans="2:12">
      <c r="B55" t="s">
        <v>11665</v>
      </c>
      <c r="E55" t="s">
        <v>11666</v>
      </c>
      <c r="I55" t="s">
        <v>11667</v>
      </c>
      <c r="J55" t="s">
        <v>11668</v>
      </c>
    </row>
    <row r="56" spans="2:12">
      <c r="B56" t="s">
        <v>11669</v>
      </c>
      <c r="E56" t="s">
        <v>11670</v>
      </c>
      <c r="I56" t="s">
        <v>11671</v>
      </c>
      <c r="J56" t="s">
        <v>11672</v>
      </c>
    </row>
    <row r="57" spans="2:12">
      <c r="B57" t="s">
        <v>11673</v>
      </c>
      <c r="E57" t="s">
        <v>11674</v>
      </c>
      <c r="I57" t="s">
        <v>11675</v>
      </c>
      <c r="J57" t="s">
        <v>11676</v>
      </c>
    </row>
    <row r="58" spans="2:12">
      <c r="B58" t="s">
        <v>11677</v>
      </c>
      <c r="E58" t="s">
        <v>11678</v>
      </c>
      <c r="I58" t="s">
        <v>11679</v>
      </c>
      <c r="J58" t="s">
        <v>11680</v>
      </c>
    </row>
    <row r="59" spans="2:12">
      <c r="E59" t="s">
        <v>11681</v>
      </c>
      <c r="I59" t="s">
        <v>11682</v>
      </c>
      <c r="J59" t="s">
        <v>11683</v>
      </c>
    </row>
    <row r="60" spans="2:12">
      <c r="E60" t="s">
        <v>11684</v>
      </c>
      <c r="J60" t="s">
        <v>11685</v>
      </c>
    </row>
    <row r="61" spans="2:12">
      <c r="E61" t="s">
        <v>11686</v>
      </c>
      <c r="J61" t="s">
        <v>11687</v>
      </c>
    </row>
    <row r="62" spans="2:12">
      <c r="E62" t="s">
        <v>11688</v>
      </c>
      <c r="J62" t="s">
        <v>11689</v>
      </c>
    </row>
    <row r="63" spans="2:12">
      <c r="E63" t="s">
        <v>11690</v>
      </c>
      <c r="J63" t="s">
        <v>11691</v>
      </c>
    </row>
    <row r="64" spans="2:12">
      <c r="E64" t="s">
        <v>11692</v>
      </c>
      <c r="J64" t="s">
        <v>11693</v>
      </c>
    </row>
    <row r="65" spans="5:10">
      <c r="E65" t="s">
        <v>11694</v>
      </c>
      <c r="J65" t="s">
        <v>11695</v>
      </c>
    </row>
    <row r="66" spans="5:10">
      <c r="E66" t="s">
        <v>11696</v>
      </c>
      <c r="J66" t="s">
        <v>11697</v>
      </c>
    </row>
    <row r="67" spans="5:10">
      <c r="E67" t="s">
        <v>11698</v>
      </c>
      <c r="J67" t="s">
        <v>11699</v>
      </c>
    </row>
    <row r="68" spans="5:10">
      <c r="E68" t="s">
        <v>11700</v>
      </c>
      <c r="J68" t="s">
        <v>11701</v>
      </c>
    </row>
    <row r="69" spans="5:10">
      <c r="E69" t="s">
        <v>11702</v>
      </c>
    </row>
    <row r="70" spans="5:10">
      <c r="E70" t="s">
        <v>11703</v>
      </c>
    </row>
    <row r="71" spans="5:10">
      <c r="E71" t="s">
        <v>11704</v>
      </c>
    </row>
    <row r="72" spans="5:10">
      <c r="E72" t="s">
        <v>11705</v>
      </c>
    </row>
    <row r="73" spans="5:10">
      <c r="E73" t="s">
        <v>11706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Sheet5">
    <pageSetUpPr fitToPage="1"/>
  </sheetPr>
  <dimension ref="A1:AK28"/>
  <sheetViews>
    <sheetView workbookViewId="0"/>
  </sheetViews>
  <sheetFormatPr defaultColWidth="0" defaultRowHeight="14.25" zeroHeight="1"/>
  <cols>
    <col min="1" max="1" width="0.625" style="71" customWidth="1"/>
    <col min="2" max="2" width="4.125" style="71" customWidth="1"/>
    <col min="3" max="3" width="38.625" style="71" customWidth="1"/>
    <col min="4" max="4" width="2.625" style="71" hidden="1" customWidth="1"/>
    <col min="5" max="6" width="5.125" style="71" customWidth="1"/>
    <col min="7" max="8" width="12.5" style="71" customWidth="1"/>
    <col min="9" max="10" width="12.625" style="71" customWidth="1"/>
    <col min="11" max="11" width="15.125" style="71" customWidth="1"/>
    <col min="12" max="12" width="2.625" style="71" customWidth="1"/>
    <col min="13" max="13" width="18.625" style="71" bestFit="1" customWidth="1"/>
    <col min="14" max="14" width="2.625" style="71" customWidth="1"/>
    <col min="15" max="15" width="1.625" style="72" hidden="1" customWidth="1"/>
    <col min="16" max="18" width="5.625" style="71" hidden="1" customWidth="1"/>
    <col min="19" max="19" width="1.625" style="72" hidden="1" customWidth="1"/>
    <col min="20" max="20" width="8.125" style="71" hidden="1" customWidth="1"/>
    <col min="21" max="23" width="8.625" style="71" hidden="1" customWidth="1"/>
    <col min="24" max="26" width="0" style="71" hidden="1" customWidth="1"/>
    <col min="27" max="27" width="4.125" style="71" customWidth="1"/>
    <col min="28" max="28" width="38.625" style="71" customWidth="1"/>
    <col min="29" max="29" width="2.625" style="71" hidden="1" customWidth="1"/>
    <col min="30" max="31" width="5.125" style="71" customWidth="1"/>
    <col min="32" max="33" width="12.5" style="71" customWidth="1"/>
    <col min="34" max="35" width="12.625" style="71" customWidth="1"/>
    <col min="36" max="36" width="15.125" style="71" customWidth="1"/>
    <col min="37" max="37" width="1.625" style="71" customWidth="1"/>
    <col min="38" max="16384" width="8.125" style="71" hidden="1"/>
  </cols>
  <sheetData>
    <row r="1" spans="2:36" ht="18.75">
      <c r="B1" s="67" t="s">
        <v>2439</v>
      </c>
      <c r="C1" s="67"/>
      <c r="D1" s="67"/>
      <c r="E1" s="67"/>
      <c r="F1" s="67"/>
      <c r="G1" s="67"/>
      <c r="H1" s="67"/>
      <c r="I1" s="67"/>
      <c r="J1" s="67"/>
      <c r="K1" s="69" t="str">
        <f>Validation!B3</f>
        <v>South West Water – South West area</v>
      </c>
      <c r="L1" s="67"/>
      <c r="M1" s="70" t="s">
        <v>2394</v>
      </c>
      <c r="AA1" s="67" t="s">
        <v>6671</v>
      </c>
      <c r="AB1" s="67"/>
      <c r="AC1" s="67"/>
      <c r="AD1" s="67"/>
      <c r="AE1" s="67"/>
      <c r="AF1" s="67"/>
      <c r="AG1" s="67"/>
      <c r="AH1" s="67"/>
      <c r="AI1" s="67"/>
      <c r="AJ1" s="69"/>
    </row>
    <row r="2" spans="2:36" ht="15" thickBot="1">
      <c r="B2" s="74" t="s">
        <v>12524</v>
      </c>
      <c r="P2" s="200"/>
      <c r="AA2" s="74" t="str">
        <f>B2</f>
        <v>For the 12 months ended 31 March 2019</v>
      </c>
    </row>
    <row r="3" spans="2:36" ht="15" customHeight="1">
      <c r="B3" s="3200" t="s">
        <v>2395</v>
      </c>
      <c r="C3" s="3201"/>
      <c r="D3" s="1447" t="s">
        <v>6496</v>
      </c>
      <c r="E3" s="3204" t="s">
        <v>2396</v>
      </c>
      <c r="F3" s="3206" t="s">
        <v>2397</v>
      </c>
      <c r="G3" s="3208" t="s">
        <v>2398</v>
      </c>
      <c r="H3" s="3210" t="s">
        <v>2399</v>
      </c>
      <c r="I3" s="3211"/>
      <c r="J3" s="3212"/>
      <c r="K3" s="3213" t="s">
        <v>2400</v>
      </c>
      <c r="M3" s="3213" t="s">
        <v>1361</v>
      </c>
      <c r="AA3" s="3200" t="s">
        <v>2395</v>
      </c>
      <c r="AB3" s="3201"/>
      <c r="AC3" s="1680" t="s">
        <v>6496</v>
      </c>
      <c r="AD3" s="3204" t="s">
        <v>2396</v>
      </c>
      <c r="AE3" s="3206" t="s">
        <v>2397</v>
      </c>
      <c r="AF3" s="3208" t="s">
        <v>2398</v>
      </c>
      <c r="AG3" s="3210" t="s">
        <v>2399</v>
      </c>
      <c r="AH3" s="3211"/>
      <c r="AI3" s="3212"/>
      <c r="AJ3" s="3213" t="s">
        <v>2400</v>
      </c>
    </row>
    <row r="4" spans="2:36" ht="51.75" thickBot="1">
      <c r="B4" s="3202"/>
      <c r="C4" s="3203"/>
      <c r="D4" s="1448"/>
      <c r="E4" s="3205"/>
      <c r="F4" s="3207"/>
      <c r="G4" s="3209"/>
      <c r="H4" s="80" t="s">
        <v>2401</v>
      </c>
      <c r="I4" s="81" t="s">
        <v>2402</v>
      </c>
      <c r="J4" s="82" t="s">
        <v>2403</v>
      </c>
      <c r="K4" s="3214"/>
      <c r="M4" s="3214"/>
      <c r="N4" s="83"/>
      <c r="P4" s="3215" t="s">
        <v>2404</v>
      </c>
      <c r="Q4" s="3215"/>
      <c r="R4" s="3215"/>
      <c r="AA4" s="3202"/>
      <c r="AB4" s="3203"/>
      <c r="AC4" s="1681"/>
      <c r="AD4" s="3205"/>
      <c r="AE4" s="3207"/>
      <c r="AF4" s="3209"/>
      <c r="AG4" s="1682" t="s">
        <v>2401</v>
      </c>
      <c r="AH4" s="81" t="s">
        <v>2402</v>
      </c>
      <c r="AI4" s="1683" t="s">
        <v>2403</v>
      </c>
      <c r="AJ4" s="3214"/>
    </row>
    <row r="5" spans="2:36" ht="15" thickBot="1"/>
    <row r="6" spans="2:36">
      <c r="B6" s="91" t="s">
        <v>4971</v>
      </c>
      <c r="C6" s="122" t="s">
        <v>2419</v>
      </c>
      <c r="D6" s="122"/>
      <c r="E6" s="93" t="s">
        <v>750</v>
      </c>
      <c r="F6" s="223">
        <v>3</v>
      </c>
      <c r="G6" s="2528">
        <f>'1A'!G22</f>
        <v>0</v>
      </c>
      <c r="H6" s="2529">
        <f>'1A'!H22</f>
        <v>0</v>
      </c>
      <c r="I6" s="2530">
        <f>'1A'!I22</f>
        <v>0</v>
      </c>
      <c r="J6" s="198">
        <f xml:space="preserve"> H6 - I6</f>
        <v>0</v>
      </c>
      <c r="K6" s="204">
        <f xml:space="preserve"> G6 + J6</f>
        <v>0</v>
      </c>
      <c r="M6" s="131"/>
      <c r="P6" s="90" t="s">
        <v>2405</v>
      </c>
      <c r="AA6" s="91" t="s">
        <v>4971</v>
      </c>
      <c r="AB6" s="122" t="s">
        <v>2419</v>
      </c>
      <c r="AC6" s="122"/>
      <c r="AD6" s="93" t="s">
        <v>750</v>
      </c>
      <c r="AE6" s="223">
        <v>3</v>
      </c>
      <c r="AF6" s="394" t="str">
        <f>'1A'!AF22</f>
        <v>BO2530STAT</v>
      </c>
      <c r="AG6" s="781" t="str">
        <f>'1A'!AG22</f>
        <v>BO2530DSR</v>
      </c>
      <c r="AH6" s="711" t="str">
        <f>'1A'!AH22</f>
        <v>BO2530NA</v>
      </c>
      <c r="AI6" s="198" t="s">
        <v>6740</v>
      </c>
      <c r="AJ6" s="204" t="s">
        <v>6741</v>
      </c>
    </row>
    <row r="7" spans="2:36">
      <c r="B7" s="99" t="s">
        <v>4972</v>
      </c>
      <c r="C7" s="92" t="s">
        <v>2440</v>
      </c>
      <c r="D7" s="92"/>
      <c r="E7" s="100" t="s">
        <v>750</v>
      </c>
      <c r="F7" s="225">
        <v>3</v>
      </c>
      <c r="G7" s="427"/>
      <c r="H7" s="442"/>
      <c r="I7" s="429"/>
      <c r="J7" s="199">
        <f xml:space="preserve"> H7 - I7</f>
        <v>0</v>
      </c>
      <c r="K7" s="205">
        <f xml:space="preserve"> G7 + J7</f>
        <v>0</v>
      </c>
      <c r="M7" s="24" t="str">
        <f xml:space="preserve"> IF( SUM( O7:S7 ) = 0, 0, $P$6 )</f>
        <v>Please complete all cells in row</v>
      </c>
      <c r="P7" s="98">
        <f t="shared" ref="P7:R8" si="0" xml:space="preserve"> IF( ISNUMBER( G7 ), 0, 1 )</f>
        <v>1</v>
      </c>
      <c r="Q7" s="98">
        <f t="shared" si="0"/>
        <v>1</v>
      </c>
      <c r="R7" s="98">
        <f t="shared" si="0"/>
        <v>1</v>
      </c>
      <c r="AA7" s="99" t="s">
        <v>4972</v>
      </c>
      <c r="AB7" s="92" t="s">
        <v>2440</v>
      </c>
      <c r="AC7" s="92"/>
      <c r="AD7" s="100" t="s">
        <v>750</v>
      </c>
      <c r="AE7" s="225">
        <v>3</v>
      </c>
      <c r="AF7" s="2762" t="s">
        <v>6747</v>
      </c>
      <c r="AG7" s="2763" t="s">
        <v>6748</v>
      </c>
      <c r="AH7" s="2751" t="s">
        <v>6749</v>
      </c>
      <c r="AI7" s="199" t="s">
        <v>6750</v>
      </c>
      <c r="AJ7" s="205" t="s">
        <v>6751</v>
      </c>
    </row>
    <row r="8" spans="2:36">
      <c r="B8" s="99" t="s">
        <v>4973</v>
      </c>
      <c r="C8" s="92" t="s">
        <v>2441</v>
      </c>
      <c r="D8" s="92"/>
      <c r="E8" s="100" t="s">
        <v>750</v>
      </c>
      <c r="F8" s="225">
        <v>3</v>
      </c>
      <c r="G8" s="427"/>
      <c r="H8" s="442"/>
      <c r="I8" s="429"/>
      <c r="J8" s="199">
        <f xml:space="preserve"> H8 - I8</f>
        <v>0</v>
      </c>
      <c r="K8" s="205">
        <f xml:space="preserve"> G8 + J8</f>
        <v>0</v>
      </c>
      <c r="M8" s="24" t="str">
        <f xml:space="preserve"> IF( SUM( O8:S8 ) = 0, 0, $P$6 )</f>
        <v>Please complete all cells in row</v>
      </c>
      <c r="P8" s="98">
        <f t="shared" si="0"/>
        <v>1</v>
      </c>
      <c r="Q8" s="98">
        <f t="shared" si="0"/>
        <v>1</v>
      </c>
      <c r="R8" s="98">
        <f t="shared" si="0"/>
        <v>1</v>
      </c>
      <c r="AA8" s="99" t="s">
        <v>4973</v>
      </c>
      <c r="AB8" s="92" t="s">
        <v>2441</v>
      </c>
      <c r="AC8" s="92"/>
      <c r="AD8" s="100" t="s">
        <v>750</v>
      </c>
      <c r="AE8" s="225">
        <v>3</v>
      </c>
      <c r="AF8" s="2762" t="s">
        <v>6752</v>
      </c>
      <c r="AG8" s="2763" t="s">
        <v>6753</v>
      </c>
      <c r="AH8" s="2751" t="s">
        <v>6754</v>
      </c>
      <c r="AI8" s="199" t="s">
        <v>6755</v>
      </c>
      <c r="AJ8" s="205" t="s">
        <v>6756</v>
      </c>
    </row>
    <row r="9" spans="2:36" ht="15" thickBot="1">
      <c r="B9" s="106" t="s">
        <v>4974</v>
      </c>
      <c r="C9" s="107" t="s">
        <v>2442</v>
      </c>
      <c r="D9" s="107"/>
      <c r="E9" s="108" t="s">
        <v>750</v>
      </c>
      <c r="F9" s="233">
        <v>3</v>
      </c>
      <c r="G9" s="208">
        <f>SUM( G6:G8 )</f>
        <v>0</v>
      </c>
      <c r="H9" s="250">
        <f>SUM( H6:H8 )</f>
        <v>0</v>
      </c>
      <c r="I9" s="202">
        <f>SUM( I6:I8 )</f>
        <v>0</v>
      </c>
      <c r="J9" s="203">
        <f xml:space="preserve"> H9 - I9</f>
        <v>0</v>
      </c>
      <c r="K9" s="206">
        <f xml:space="preserve"> G9 + J9</f>
        <v>0</v>
      </c>
      <c r="M9" s="131"/>
      <c r="AA9" s="106" t="s">
        <v>4974</v>
      </c>
      <c r="AB9" s="107" t="s">
        <v>2442</v>
      </c>
      <c r="AC9" s="107"/>
      <c r="AD9" s="108" t="s">
        <v>750</v>
      </c>
      <c r="AE9" s="233">
        <v>3</v>
      </c>
      <c r="AF9" s="208" t="s">
        <v>6757</v>
      </c>
      <c r="AG9" s="250" t="s">
        <v>6758</v>
      </c>
      <c r="AH9" s="202" t="s">
        <v>6759</v>
      </c>
      <c r="AI9" s="203" t="s">
        <v>6760</v>
      </c>
      <c r="AJ9" s="206" t="s">
        <v>6761</v>
      </c>
    </row>
    <row r="10" spans="2:36">
      <c r="M10" s="131"/>
    </row>
    <row r="11" spans="2:36" s="170" customFormat="1">
      <c r="B11" s="3220" t="s">
        <v>2420</v>
      </c>
      <c r="C11" s="3220"/>
      <c r="D11" s="1449"/>
      <c r="J11" s="131"/>
      <c r="K11" s="131"/>
      <c r="L11" s="131"/>
      <c r="M11" s="131"/>
      <c r="N11" s="131"/>
      <c r="O11" s="72"/>
      <c r="P11" s="131"/>
      <c r="Q11" s="131"/>
      <c r="R11" s="211"/>
      <c r="S11" s="72"/>
    </row>
    <row r="12" spans="2:36" s="170" customFormat="1">
      <c r="B12" s="146"/>
      <c r="C12" s="147"/>
      <c r="D12" s="147"/>
      <c r="J12" s="131"/>
      <c r="K12" s="131"/>
      <c r="L12" s="131"/>
      <c r="M12" s="131"/>
      <c r="N12" s="131"/>
      <c r="O12" s="72"/>
      <c r="P12" s="131"/>
      <c r="Q12" s="131"/>
      <c r="R12" s="211"/>
      <c r="S12" s="72"/>
    </row>
    <row r="13" spans="2:36" s="170" customFormat="1">
      <c r="B13" s="25"/>
      <c r="C13" s="148" t="s">
        <v>2421</v>
      </c>
      <c r="D13" s="148"/>
      <c r="J13" s="131"/>
      <c r="K13" s="131"/>
      <c r="L13" s="131"/>
      <c r="M13" s="131"/>
      <c r="N13" s="131"/>
      <c r="O13" s="72"/>
      <c r="P13" s="131"/>
      <c r="Q13" s="131"/>
      <c r="R13" s="211"/>
      <c r="S13" s="72"/>
    </row>
    <row r="14" spans="2:36" s="170" customFormat="1">
      <c r="B14" s="146"/>
      <c r="C14" s="147"/>
      <c r="D14" s="147"/>
      <c r="J14" s="131"/>
      <c r="K14" s="131"/>
      <c r="L14" s="131"/>
      <c r="M14" s="131"/>
      <c r="N14" s="131"/>
      <c r="O14" s="72"/>
      <c r="P14" s="131"/>
      <c r="Q14" s="131"/>
      <c r="R14" s="211"/>
      <c r="S14" s="72"/>
    </row>
    <row r="15" spans="2:36" s="170" customFormat="1">
      <c r="B15" s="149"/>
      <c r="C15" s="148" t="s">
        <v>2422</v>
      </c>
      <c r="D15" s="148"/>
      <c r="J15" s="131"/>
      <c r="K15" s="131"/>
      <c r="L15" s="131"/>
      <c r="M15" s="131"/>
      <c r="N15" s="131"/>
      <c r="O15" s="72"/>
      <c r="P15" s="131"/>
      <c r="Q15" s="131"/>
      <c r="R15" s="211"/>
      <c r="S15" s="72"/>
    </row>
    <row r="16" spans="2:36" s="170" customFormat="1">
      <c r="B16" s="150"/>
      <c r="C16" s="148"/>
      <c r="D16" s="148"/>
      <c r="J16" s="131"/>
      <c r="K16" s="131"/>
      <c r="L16" s="131"/>
      <c r="M16" s="131"/>
      <c r="N16" s="131"/>
      <c r="O16" s="72"/>
      <c r="P16" s="131"/>
      <c r="Q16" s="131"/>
      <c r="R16" s="211"/>
      <c r="S16" s="72"/>
    </row>
    <row r="17" spans="1:19" s="185" customFormat="1">
      <c r="B17" s="2527"/>
      <c r="C17" s="186" t="s">
        <v>13522</v>
      </c>
      <c r="D17" s="186"/>
      <c r="J17" s="135"/>
      <c r="K17" s="135"/>
      <c r="L17" s="135"/>
      <c r="M17" s="131"/>
      <c r="N17" s="131"/>
      <c r="O17" s="72"/>
      <c r="P17" s="131"/>
      <c r="Q17" s="131"/>
      <c r="R17" s="313"/>
      <c r="S17" s="72"/>
    </row>
    <row r="18" spans="1:19" s="185" customFormat="1" ht="15" thickBot="1">
      <c r="B18" s="186"/>
      <c r="C18" s="186"/>
      <c r="D18" s="186"/>
      <c r="J18" s="135"/>
      <c r="K18" s="135"/>
      <c r="L18" s="135"/>
      <c r="M18" s="131"/>
      <c r="N18" s="131"/>
      <c r="O18" s="72"/>
      <c r="P18" s="131"/>
      <c r="Q18" s="131"/>
      <c r="R18" s="313"/>
      <c r="S18" s="72"/>
    </row>
    <row r="19" spans="1:19" s="185" customFormat="1" ht="19.5" thickBot="1">
      <c r="B19" s="1433" t="s">
        <v>12572</v>
      </c>
      <c r="C19" s="152"/>
      <c r="D19" s="152"/>
      <c r="E19" s="153"/>
      <c r="F19" s="153"/>
      <c r="G19" s="153"/>
      <c r="H19" s="153"/>
      <c r="I19" s="153"/>
      <c r="J19" s="153"/>
      <c r="K19" s="159"/>
      <c r="L19" s="135"/>
      <c r="M19" s="131"/>
      <c r="N19" s="131"/>
      <c r="O19" s="72"/>
      <c r="P19" s="131"/>
      <c r="Q19" s="131"/>
      <c r="R19" s="313"/>
      <c r="S19" s="72"/>
    </row>
    <row r="20" spans="1:19" s="185" customFormat="1">
      <c r="C20" s="186"/>
      <c r="D20" s="186"/>
      <c r="J20" s="135"/>
      <c r="K20" s="135"/>
      <c r="L20" s="135"/>
      <c r="M20" s="131"/>
      <c r="N20" s="131"/>
      <c r="O20" s="72"/>
      <c r="P20" s="131"/>
      <c r="Q20" s="131"/>
      <c r="R20" s="313"/>
      <c r="S20" s="72"/>
    </row>
    <row r="21" spans="1:19" s="115" customFormat="1" ht="19.5" hidden="1" thickBot="1">
      <c r="A21" s="1643"/>
      <c r="B21" s="151" t="str">
        <f ca="1" xml:space="preserve"> RIGHT(CELL("filename", $A$1), LEN(CELL("filename", $A$1)) - SEARCH("]", CELL("filename", $A$1)))&amp;" - Line definitions"</f>
        <v>1B - Line definitions</v>
      </c>
      <c r="C21" s="152"/>
      <c r="D21" s="152"/>
      <c r="E21" s="153"/>
      <c r="F21" s="153"/>
      <c r="G21" s="153"/>
      <c r="H21" s="153"/>
      <c r="I21" s="153"/>
      <c r="J21" s="153"/>
      <c r="K21" s="159"/>
      <c r="L21" s="123"/>
      <c r="M21" s="125"/>
      <c r="N21" s="123"/>
      <c r="O21" s="72"/>
      <c r="P21" s="125"/>
      <c r="Q21" s="123"/>
      <c r="R21" s="288"/>
      <c r="S21" s="72"/>
    </row>
    <row r="22" spans="1:19" s="115" customFormat="1" ht="15" hidden="1" thickBot="1">
      <c r="A22" s="1643"/>
      <c r="B22" s="75"/>
      <c r="C22" s="160"/>
      <c r="D22" s="160"/>
      <c r="E22" s="75"/>
      <c r="F22" s="75"/>
      <c r="G22" s="75"/>
      <c r="J22" s="123"/>
      <c r="K22" s="123"/>
      <c r="L22" s="123"/>
      <c r="M22" s="125"/>
      <c r="N22" s="123"/>
      <c r="O22" s="72"/>
      <c r="P22" s="125"/>
      <c r="Q22" s="123"/>
      <c r="R22" s="288"/>
      <c r="S22" s="72"/>
    </row>
    <row r="23" spans="1:19" s="185" customFormat="1" ht="15" hidden="1" thickBot="1">
      <c r="A23" s="1644"/>
      <c r="B23" s="295" t="s">
        <v>2423</v>
      </c>
      <c r="C23" s="296" t="s">
        <v>2424</v>
      </c>
      <c r="D23" s="1460"/>
      <c r="E23" s="163"/>
      <c r="F23" s="163"/>
      <c r="G23" s="163"/>
      <c r="H23" s="163"/>
      <c r="I23" s="163"/>
      <c r="J23" s="163"/>
      <c r="K23" s="164"/>
      <c r="L23" s="360"/>
      <c r="M23" s="135"/>
      <c r="N23" s="123"/>
      <c r="O23" s="72"/>
      <c r="P23" s="90" t="s">
        <v>2425</v>
      </c>
      <c r="Q23" s="123"/>
      <c r="S23" s="72"/>
    </row>
    <row r="24" spans="1:19" s="115" customFormat="1" ht="13.5" hidden="1" customHeight="1">
      <c r="A24" s="1643"/>
      <c r="B24" s="188" t="str">
        <f>B6</f>
        <v>1B.1</v>
      </c>
      <c r="C24" s="3216" t="s">
        <v>2443</v>
      </c>
      <c r="D24" s="3216"/>
      <c r="E24" s="3216"/>
      <c r="F24" s="3216"/>
      <c r="G24" s="3216"/>
      <c r="H24" s="3216"/>
      <c r="I24" s="3216"/>
      <c r="J24" s="3216"/>
      <c r="K24" s="3217"/>
      <c r="L24" s="362"/>
      <c r="M24" s="125"/>
      <c r="N24" s="123"/>
      <c r="O24" s="129"/>
      <c r="P24" s="168">
        <v>1</v>
      </c>
      <c r="Q24" s="123"/>
      <c r="R24" s="288"/>
      <c r="S24" s="129"/>
    </row>
    <row r="25" spans="1:19" s="115" customFormat="1" hidden="1">
      <c r="A25" s="1643"/>
      <c r="B25" s="166" t="str">
        <f>B7</f>
        <v>1B.2</v>
      </c>
      <c r="C25" s="3198" t="s">
        <v>2444</v>
      </c>
      <c r="D25" s="3198"/>
      <c r="E25" s="3198"/>
      <c r="F25" s="3198"/>
      <c r="G25" s="3198"/>
      <c r="H25" s="3198"/>
      <c r="I25" s="3198"/>
      <c r="J25" s="3198"/>
      <c r="K25" s="3199"/>
      <c r="L25" s="363"/>
      <c r="M25" s="125"/>
      <c r="N25" s="123"/>
      <c r="O25" s="124"/>
      <c r="P25" s="261">
        <v>1</v>
      </c>
      <c r="Q25" s="123"/>
      <c r="R25" s="288"/>
      <c r="S25" s="124"/>
    </row>
    <row r="26" spans="1:19" s="115" customFormat="1" hidden="1">
      <c r="A26" s="1643"/>
      <c r="B26" s="166" t="str">
        <f>B8</f>
        <v>1B.3</v>
      </c>
      <c r="C26" s="3198" t="s">
        <v>2445</v>
      </c>
      <c r="D26" s="3198"/>
      <c r="E26" s="3198"/>
      <c r="F26" s="3198"/>
      <c r="G26" s="3198"/>
      <c r="H26" s="3198"/>
      <c r="I26" s="3198"/>
      <c r="J26" s="3198"/>
      <c r="K26" s="3199"/>
      <c r="L26" s="362"/>
      <c r="M26" s="125"/>
      <c r="N26" s="123"/>
      <c r="O26" s="124"/>
      <c r="P26" s="261">
        <v>1</v>
      </c>
      <c r="Q26" s="123"/>
      <c r="R26" s="288"/>
      <c r="S26" s="124"/>
    </row>
    <row r="27" spans="1:19" s="125" customFormat="1" ht="14.25" hidden="1" customHeight="1" thickBot="1">
      <c r="A27" s="1645"/>
      <c r="B27" s="190" t="str">
        <f>B9</f>
        <v>1B.4</v>
      </c>
      <c r="C27" s="3218" t="s">
        <v>2446</v>
      </c>
      <c r="D27" s="3218"/>
      <c r="E27" s="3218"/>
      <c r="F27" s="3218"/>
      <c r="G27" s="3218"/>
      <c r="H27" s="3218"/>
      <c r="I27" s="3218"/>
      <c r="J27" s="3218"/>
      <c r="K27" s="3219"/>
      <c r="L27" s="363"/>
      <c r="N27" s="123"/>
      <c r="O27" s="124"/>
      <c r="P27" s="261">
        <v>1</v>
      </c>
      <c r="Q27" s="123"/>
      <c r="R27" s="288"/>
      <c r="S27" s="124"/>
    </row>
    <row r="28" spans="1:19" hidden="1">
      <c r="A28" s="1646"/>
      <c r="O28" s="124"/>
      <c r="P28" s="390"/>
      <c r="S28" s="124"/>
    </row>
  </sheetData>
  <mergeCells count="19">
    <mergeCell ref="AJ3:AJ4"/>
    <mergeCell ref="AA3:AB4"/>
    <mergeCell ref="AD3:AD4"/>
    <mergeCell ref="AE3:AE4"/>
    <mergeCell ref="AF3:AF4"/>
    <mergeCell ref="AG3:AI3"/>
    <mergeCell ref="C27:K27"/>
    <mergeCell ref="M3:M4"/>
    <mergeCell ref="P4:R4"/>
    <mergeCell ref="B11:C11"/>
    <mergeCell ref="C24:K24"/>
    <mergeCell ref="C25:K25"/>
    <mergeCell ref="C26:K26"/>
    <mergeCell ref="B3:C4"/>
    <mergeCell ref="E3:E4"/>
    <mergeCell ref="F3:F4"/>
    <mergeCell ref="G3:G4"/>
    <mergeCell ref="H3:J3"/>
    <mergeCell ref="K3:K4"/>
  </mergeCells>
  <conditionalFormatting sqref="M7:M8">
    <cfRule type="cellIs" dxfId="28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8.xml><?xml version="1.0" encoding="utf-8"?>
<worksheet xmlns="http://schemas.openxmlformats.org/spreadsheetml/2006/main" xmlns:r="http://schemas.openxmlformats.org/officeDocument/2006/relationships">
  <sheetPr codeName="Sheet6">
    <pageSetUpPr fitToPage="1"/>
  </sheetPr>
  <dimension ref="A1:AK98"/>
  <sheetViews>
    <sheetView workbookViewId="0"/>
  </sheetViews>
  <sheetFormatPr defaultColWidth="0" defaultRowHeight="14.25" zeroHeight="1"/>
  <cols>
    <col min="1" max="1" width="0.625" style="71" customWidth="1"/>
    <col min="2" max="2" width="7.625" style="71" customWidth="1"/>
    <col min="3" max="3" width="38.125" style="71" customWidth="1"/>
    <col min="4" max="4" width="2.625" style="71" hidden="1" customWidth="1"/>
    <col min="5" max="6" width="5.125" style="71" customWidth="1"/>
    <col min="7" max="11" width="12.5" style="71" customWidth="1"/>
    <col min="12" max="12" width="2.625" style="71" customWidth="1"/>
    <col min="13" max="13" width="27" style="71" customWidth="1"/>
    <col min="14" max="14" width="1.625" style="71" customWidth="1"/>
    <col min="15" max="15" width="1.625" style="72" hidden="1" customWidth="1"/>
    <col min="16" max="18" width="5.625" style="71" hidden="1" customWidth="1"/>
    <col min="19" max="19" width="1.625" style="72" hidden="1" customWidth="1"/>
    <col min="20" max="20" width="8.125" style="71" hidden="1" customWidth="1"/>
    <col min="21" max="23" width="8.625" style="71" hidden="1" customWidth="1"/>
    <col min="24" max="25" width="0" style="71" hidden="1" customWidth="1"/>
    <col min="26" max="26" width="8.125" style="71" customWidth="1"/>
    <col min="27" max="27" width="7.625" style="71" customWidth="1"/>
    <col min="28" max="28" width="38.125" style="71" customWidth="1"/>
    <col min="29" max="29" width="2.625" style="71" hidden="1" customWidth="1"/>
    <col min="30" max="31" width="5.125" style="71" customWidth="1"/>
    <col min="32" max="36" width="12.5" style="71" customWidth="1"/>
    <col min="37" max="37" width="2.125" style="71" customWidth="1"/>
    <col min="38" max="16384" width="8.125" style="71" hidden="1"/>
  </cols>
  <sheetData>
    <row r="1" spans="2:36" ht="18.75">
      <c r="B1" s="67" t="s">
        <v>2448</v>
      </c>
      <c r="C1" s="67"/>
      <c r="D1" s="67"/>
      <c r="E1" s="67"/>
      <c r="F1" s="67"/>
      <c r="G1" s="67"/>
      <c r="H1" s="67"/>
      <c r="I1" s="67"/>
      <c r="J1" s="67"/>
      <c r="K1" s="69" t="str">
        <f>Validation!B3</f>
        <v>South West Water – South West area</v>
      </c>
      <c r="L1" s="67"/>
      <c r="M1" s="70" t="s">
        <v>2394</v>
      </c>
      <c r="AA1" s="67" t="s">
        <v>6671</v>
      </c>
      <c r="AB1" s="67"/>
      <c r="AC1" s="67"/>
      <c r="AD1" s="67"/>
      <c r="AE1" s="67"/>
      <c r="AF1" s="67"/>
      <c r="AG1" s="67"/>
      <c r="AH1" s="67"/>
      <c r="AI1" s="67"/>
      <c r="AJ1" s="69"/>
    </row>
    <row r="2" spans="2:36" ht="15" thickBot="1">
      <c r="B2" s="74" t="s">
        <v>12524</v>
      </c>
      <c r="AA2" s="74" t="str">
        <f>B2</f>
        <v>For the 12 months ended 31 March 2019</v>
      </c>
    </row>
    <row r="3" spans="2:36" ht="15" customHeight="1">
      <c r="B3" s="3200" t="s">
        <v>2395</v>
      </c>
      <c r="C3" s="3201"/>
      <c r="D3" s="1447" t="s">
        <v>6496</v>
      </c>
      <c r="E3" s="3204" t="s">
        <v>2396</v>
      </c>
      <c r="F3" s="3206" t="s">
        <v>2397</v>
      </c>
      <c r="G3" s="3208" t="s">
        <v>2398</v>
      </c>
      <c r="H3" s="3210" t="s">
        <v>2399</v>
      </c>
      <c r="I3" s="3211"/>
      <c r="J3" s="3212"/>
      <c r="K3" s="3213" t="s">
        <v>2400</v>
      </c>
      <c r="M3" s="3213" t="s">
        <v>1361</v>
      </c>
      <c r="AA3" s="3200" t="s">
        <v>2395</v>
      </c>
      <c r="AB3" s="3201"/>
      <c r="AC3" s="1680" t="s">
        <v>6496</v>
      </c>
      <c r="AD3" s="3204" t="s">
        <v>2396</v>
      </c>
      <c r="AE3" s="3206" t="s">
        <v>2397</v>
      </c>
      <c r="AF3" s="3208" t="s">
        <v>2398</v>
      </c>
      <c r="AG3" s="3210" t="s">
        <v>2399</v>
      </c>
      <c r="AH3" s="3211"/>
      <c r="AI3" s="3212"/>
      <c r="AJ3" s="3213" t="s">
        <v>2400</v>
      </c>
    </row>
    <row r="4" spans="2:36" ht="54.75" customHeight="1" thickBot="1">
      <c r="B4" s="3202"/>
      <c r="C4" s="3203"/>
      <c r="D4" s="1448"/>
      <c r="E4" s="3205"/>
      <c r="F4" s="3207"/>
      <c r="G4" s="3209"/>
      <c r="H4" s="80" t="s">
        <v>2401</v>
      </c>
      <c r="I4" s="81" t="s">
        <v>2402</v>
      </c>
      <c r="J4" s="82" t="s">
        <v>2403</v>
      </c>
      <c r="K4" s="3214"/>
      <c r="M4" s="3214"/>
      <c r="N4" s="83"/>
      <c r="P4" s="3215" t="s">
        <v>2404</v>
      </c>
      <c r="Q4" s="3215"/>
      <c r="R4" s="3215"/>
      <c r="AA4" s="3202"/>
      <c r="AB4" s="3203"/>
      <c r="AC4" s="1681"/>
      <c r="AD4" s="3205"/>
      <c r="AE4" s="3207"/>
      <c r="AF4" s="3209"/>
      <c r="AG4" s="1682" t="s">
        <v>2401</v>
      </c>
      <c r="AH4" s="81" t="s">
        <v>2402</v>
      </c>
      <c r="AI4" s="1683" t="s">
        <v>2403</v>
      </c>
      <c r="AJ4" s="3214"/>
    </row>
    <row r="5" spans="2:36" ht="15" thickBot="1"/>
    <row r="6" spans="2:36" ht="15" thickBot="1">
      <c r="B6" s="87" t="s">
        <v>2449</v>
      </c>
      <c r="C6" s="88" t="s">
        <v>2450</v>
      </c>
      <c r="D6" s="1584"/>
      <c r="P6" s="90" t="s">
        <v>2405</v>
      </c>
      <c r="AA6" s="87" t="s">
        <v>2449</v>
      </c>
      <c r="AB6" s="88" t="s">
        <v>2450</v>
      </c>
      <c r="AC6" s="1584"/>
    </row>
    <row r="7" spans="2:36">
      <c r="B7" s="91" t="s">
        <v>4975</v>
      </c>
      <c r="C7" s="122" t="s">
        <v>2451</v>
      </c>
      <c r="D7" s="122"/>
      <c r="E7" s="93" t="s">
        <v>750</v>
      </c>
      <c r="F7" s="94">
        <v>3</v>
      </c>
      <c r="G7" s="477"/>
      <c r="H7" s="430"/>
      <c r="I7" s="441"/>
      <c r="J7" s="198">
        <f t="shared" ref="J7:J13" si="0" xml:space="preserve"> H7 - I7</f>
        <v>0</v>
      </c>
      <c r="K7" s="204">
        <f t="shared" ref="K7:K13" si="1" xml:space="preserve"> G7 + J7</f>
        <v>0</v>
      </c>
      <c r="M7" s="66" t="str">
        <f xml:space="preserve"> IF( SUM( O7:S7 ) = 0, 0, $P$6 )</f>
        <v>Please complete all cells in row</v>
      </c>
      <c r="P7" s="98">
        <f t="shared" ref="P7:R19" si="2" xml:space="preserve"> IF( ISNUMBER( G7 ), 0, 1 )</f>
        <v>1</v>
      </c>
      <c r="Q7" s="98">
        <f t="shared" si="2"/>
        <v>1</v>
      </c>
      <c r="R7" s="98">
        <f t="shared" si="2"/>
        <v>1</v>
      </c>
      <c r="AA7" s="91" t="s">
        <v>4975</v>
      </c>
      <c r="AB7" s="122" t="s">
        <v>2451</v>
      </c>
      <c r="AC7" s="122"/>
      <c r="AD7" s="93" t="s">
        <v>750</v>
      </c>
      <c r="AE7" s="94">
        <v>3</v>
      </c>
      <c r="AF7" s="2752" t="s">
        <v>6762</v>
      </c>
      <c r="AG7" s="2747" t="s">
        <v>6763</v>
      </c>
      <c r="AH7" s="2748" t="s">
        <v>6764</v>
      </c>
      <c r="AI7" s="198" t="s">
        <v>6765</v>
      </c>
      <c r="AJ7" s="204" t="s">
        <v>6766</v>
      </c>
    </row>
    <row r="8" spans="2:36">
      <c r="B8" s="99" t="s">
        <v>4976</v>
      </c>
      <c r="C8" s="92" t="s">
        <v>2452</v>
      </c>
      <c r="D8" s="92"/>
      <c r="E8" s="100" t="s">
        <v>750</v>
      </c>
      <c r="F8" s="101">
        <v>3</v>
      </c>
      <c r="G8" s="473"/>
      <c r="H8" s="428"/>
      <c r="I8" s="429"/>
      <c r="J8" s="199">
        <f xml:space="preserve"> H8 - I8</f>
        <v>0</v>
      </c>
      <c r="K8" s="205">
        <f xml:space="preserve"> G8 + J8</f>
        <v>0</v>
      </c>
      <c r="M8" s="66" t="str">
        <f t="shared" ref="M8:M12" si="3" xml:space="preserve"> IF( SUM( O8:S8 ) = 0, 0, $P$6 )</f>
        <v>Please complete all cells in row</v>
      </c>
      <c r="P8" s="98">
        <f t="shared" si="2"/>
        <v>1</v>
      </c>
      <c r="Q8" s="98">
        <f t="shared" si="2"/>
        <v>1</v>
      </c>
      <c r="R8" s="98">
        <f t="shared" si="2"/>
        <v>1</v>
      </c>
      <c r="AA8" s="99" t="s">
        <v>4976</v>
      </c>
      <c r="AB8" s="92" t="s">
        <v>2452</v>
      </c>
      <c r="AC8" s="92"/>
      <c r="AD8" s="100" t="s">
        <v>750</v>
      </c>
      <c r="AE8" s="101">
        <v>3</v>
      </c>
      <c r="AF8" s="2753" t="s">
        <v>6767</v>
      </c>
      <c r="AG8" s="2750" t="s">
        <v>6768</v>
      </c>
      <c r="AH8" s="2751" t="s">
        <v>6769</v>
      </c>
      <c r="AI8" s="199" t="s">
        <v>6770</v>
      </c>
      <c r="AJ8" s="205" t="s">
        <v>6771</v>
      </c>
    </row>
    <row r="9" spans="2:36">
      <c r="B9" s="99" t="s">
        <v>4977</v>
      </c>
      <c r="C9" s="92" t="s">
        <v>2453</v>
      </c>
      <c r="D9" s="92"/>
      <c r="E9" s="100" t="s">
        <v>750</v>
      </c>
      <c r="F9" s="101">
        <v>3</v>
      </c>
      <c r="G9" s="473"/>
      <c r="H9" s="428"/>
      <c r="I9" s="429"/>
      <c r="J9" s="199">
        <f t="shared" si="0"/>
        <v>0</v>
      </c>
      <c r="K9" s="205">
        <f t="shared" si="1"/>
        <v>0</v>
      </c>
      <c r="M9" s="66" t="str">
        <f t="shared" si="3"/>
        <v>Please complete all cells in row</v>
      </c>
      <c r="P9" s="98">
        <f t="shared" si="2"/>
        <v>1</v>
      </c>
      <c r="Q9" s="98">
        <f t="shared" si="2"/>
        <v>1</v>
      </c>
      <c r="R9" s="98">
        <f t="shared" si="2"/>
        <v>1</v>
      </c>
      <c r="AA9" s="99" t="s">
        <v>4977</v>
      </c>
      <c r="AB9" s="92" t="s">
        <v>2453</v>
      </c>
      <c r="AC9" s="92"/>
      <c r="AD9" s="100" t="s">
        <v>750</v>
      </c>
      <c r="AE9" s="101">
        <v>3</v>
      </c>
      <c r="AF9" s="2753" t="s">
        <v>6772</v>
      </c>
      <c r="AG9" s="2750" t="s">
        <v>6773</v>
      </c>
      <c r="AH9" s="2751" t="s">
        <v>6774</v>
      </c>
      <c r="AI9" s="199" t="s">
        <v>6775</v>
      </c>
      <c r="AJ9" s="205" t="s">
        <v>6776</v>
      </c>
    </row>
    <row r="10" spans="2:36">
      <c r="B10" s="99" t="s">
        <v>4978</v>
      </c>
      <c r="C10" s="92" t="s">
        <v>2454</v>
      </c>
      <c r="D10" s="92"/>
      <c r="E10" s="100" t="s">
        <v>750</v>
      </c>
      <c r="F10" s="101">
        <v>3</v>
      </c>
      <c r="G10" s="474"/>
      <c r="H10" s="475"/>
      <c r="I10" s="476"/>
      <c r="J10" s="199">
        <f t="shared" si="0"/>
        <v>0</v>
      </c>
      <c r="K10" s="205">
        <f t="shared" si="1"/>
        <v>0</v>
      </c>
      <c r="M10" s="66" t="str">
        <f t="shared" si="3"/>
        <v>Please complete all cells in row</v>
      </c>
      <c r="P10" s="98">
        <f t="shared" si="2"/>
        <v>1</v>
      </c>
      <c r="Q10" s="98">
        <f t="shared" si="2"/>
        <v>1</v>
      </c>
      <c r="R10" s="98">
        <f t="shared" si="2"/>
        <v>1</v>
      </c>
      <c r="AA10" s="99" t="s">
        <v>4978</v>
      </c>
      <c r="AB10" s="92" t="s">
        <v>2454</v>
      </c>
      <c r="AC10" s="92"/>
      <c r="AD10" s="100" t="s">
        <v>750</v>
      </c>
      <c r="AE10" s="101">
        <v>3</v>
      </c>
      <c r="AF10" s="2764" t="s">
        <v>6777</v>
      </c>
      <c r="AG10" s="2765" t="s">
        <v>6778</v>
      </c>
      <c r="AH10" s="2766" t="s">
        <v>6779</v>
      </c>
      <c r="AI10" s="199" t="s">
        <v>6780</v>
      </c>
      <c r="AJ10" s="205" t="s">
        <v>6781</v>
      </c>
    </row>
    <row r="11" spans="2:36">
      <c r="B11" s="99" t="s">
        <v>4979</v>
      </c>
      <c r="C11" s="92" t="s">
        <v>2455</v>
      </c>
      <c r="D11" s="92"/>
      <c r="E11" s="100" t="s">
        <v>750</v>
      </c>
      <c r="F11" s="101">
        <v>3</v>
      </c>
      <c r="G11" s="474"/>
      <c r="H11" s="475"/>
      <c r="I11" s="476"/>
      <c r="J11" s="199">
        <f t="shared" si="0"/>
        <v>0</v>
      </c>
      <c r="K11" s="205">
        <f xml:space="preserve"> G11 + J11</f>
        <v>0</v>
      </c>
      <c r="M11" s="66" t="str">
        <f t="shared" si="3"/>
        <v>Please complete all cells in row</v>
      </c>
      <c r="P11" s="98">
        <f t="shared" si="2"/>
        <v>1</v>
      </c>
      <c r="Q11" s="98">
        <f t="shared" si="2"/>
        <v>1</v>
      </c>
      <c r="R11" s="98">
        <f t="shared" si="2"/>
        <v>1</v>
      </c>
      <c r="AA11" s="99" t="s">
        <v>4979</v>
      </c>
      <c r="AB11" s="92" t="s">
        <v>2455</v>
      </c>
      <c r="AC11" s="92"/>
      <c r="AD11" s="100" t="s">
        <v>750</v>
      </c>
      <c r="AE11" s="101">
        <v>3</v>
      </c>
      <c r="AF11" s="2764" t="s">
        <v>6782</v>
      </c>
      <c r="AG11" s="2765" t="s">
        <v>6783</v>
      </c>
      <c r="AH11" s="2766" t="s">
        <v>6784</v>
      </c>
      <c r="AI11" s="199" t="s">
        <v>6785</v>
      </c>
      <c r="AJ11" s="205" t="s">
        <v>6786</v>
      </c>
    </row>
    <row r="12" spans="2:36">
      <c r="B12" s="99" t="s">
        <v>4980</v>
      </c>
      <c r="C12" s="92" t="s">
        <v>2456</v>
      </c>
      <c r="D12" s="92"/>
      <c r="E12" s="100" t="s">
        <v>750</v>
      </c>
      <c r="F12" s="101">
        <v>3</v>
      </c>
      <c r="G12" s="474"/>
      <c r="H12" s="475"/>
      <c r="I12" s="476"/>
      <c r="J12" s="199">
        <f t="shared" si="0"/>
        <v>0</v>
      </c>
      <c r="K12" s="205">
        <f t="shared" si="1"/>
        <v>0</v>
      </c>
      <c r="M12" s="66" t="str">
        <f t="shared" si="3"/>
        <v>Please complete all cells in row</v>
      </c>
      <c r="P12" s="98">
        <f t="shared" si="2"/>
        <v>1</v>
      </c>
      <c r="Q12" s="98">
        <f t="shared" si="2"/>
        <v>1</v>
      </c>
      <c r="R12" s="98">
        <f t="shared" si="2"/>
        <v>1</v>
      </c>
      <c r="AA12" s="99" t="s">
        <v>4980</v>
      </c>
      <c r="AB12" s="92" t="s">
        <v>2456</v>
      </c>
      <c r="AC12" s="92"/>
      <c r="AD12" s="100" t="s">
        <v>750</v>
      </c>
      <c r="AE12" s="101">
        <v>3</v>
      </c>
      <c r="AF12" s="2764" t="s">
        <v>6787</v>
      </c>
      <c r="AG12" s="2765" t="s">
        <v>6788</v>
      </c>
      <c r="AH12" s="2766" t="s">
        <v>6789</v>
      </c>
      <c r="AI12" s="199" t="s">
        <v>6790</v>
      </c>
      <c r="AJ12" s="205" t="s">
        <v>6791</v>
      </c>
    </row>
    <row r="13" spans="2:36" ht="15" thickBot="1">
      <c r="B13" s="106" t="s">
        <v>4981</v>
      </c>
      <c r="C13" s="107" t="s">
        <v>2457</v>
      </c>
      <c r="D13" s="107"/>
      <c r="E13" s="108" t="s">
        <v>750</v>
      </c>
      <c r="F13" s="105">
        <v>3</v>
      </c>
      <c r="G13" s="409">
        <f>SUM( G7:G12 )</f>
        <v>0</v>
      </c>
      <c r="H13" s="201">
        <f>SUM( H7:H12 )</f>
        <v>0</v>
      </c>
      <c r="I13" s="202">
        <f>SUM( I7:I12 )</f>
        <v>0</v>
      </c>
      <c r="J13" s="203">
        <f t="shared" si="0"/>
        <v>0</v>
      </c>
      <c r="K13" s="206">
        <f t="shared" si="1"/>
        <v>0</v>
      </c>
      <c r="M13" s="131"/>
      <c r="AA13" s="106" t="s">
        <v>4981</v>
      </c>
      <c r="AB13" s="107" t="s">
        <v>2457</v>
      </c>
      <c r="AC13" s="107"/>
      <c r="AD13" s="108" t="s">
        <v>750</v>
      </c>
      <c r="AE13" s="105">
        <v>3</v>
      </c>
      <c r="AF13" s="409" t="s">
        <v>6792</v>
      </c>
      <c r="AG13" s="201" t="s">
        <v>6793</v>
      </c>
      <c r="AH13" s="202" t="s">
        <v>6794</v>
      </c>
      <c r="AI13" s="203" t="s">
        <v>6795</v>
      </c>
      <c r="AJ13" s="206" t="s">
        <v>6796</v>
      </c>
    </row>
    <row r="14" spans="2:36" ht="15" thickBot="1">
      <c r="M14" s="131"/>
    </row>
    <row r="15" spans="2:36" ht="15" thickBot="1">
      <c r="B15" s="87" t="s">
        <v>2458</v>
      </c>
      <c r="C15" s="88" t="s">
        <v>2459</v>
      </c>
      <c r="D15" s="1584"/>
      <c r="M15" s="131"/>
      <c r="AA15" s="87" t="s">
        <v>2458</v>
      </c>
      <c r="AB15" s="88" t="s">
        <v>2459</v>
      </c>
      <c r="AC15" s="1584"/>
    </row>
    <row r="16" spans="2:36">
      <c r="B16" s="91" t="s">
        <v>4982</v>
      </c>
      <c r="C16" s="122" t="s">
        <v>2460</v>
      </c>
      <c r="D16" s="122"/>
      <c r="E16" s="93" t="s">
        <v>750</v>
      </c>
      <c r="F16" s="94">
        <v>3</v>
      </c>
      <c r="G16" s="477"/>
      <c r="H16" s="430"/>
      <c r="I16" s="441"/>
      <c r="J16" s="198">
        <f xml:space="preserve"> H16 - I16</f>
        <v>0</v>
      </c>
      <c r="K16" s="204">
        <f xml:space="preserve"> G16 + J16</f>
        <v>0</v>
      </c>
      <c r="M16" s="66" t="str">
        <f t="shared" ref="M16:M19" si="4" xml:space="preserve"> IF( SUM( O16:S16 ) = 0, 0, $P$6 )</f>
        <v>Please complete all cells in row</v>
      </c>
      <c r="P16" s="98">
        <f t="shared" si="2"/>
        <v>1</v>
      </c>
      <c r="Q16" s="98">
        <f t="shared" si="2"/>
        <v>1</v>
      </c>
      <c r="R16" s="98">
        <f t="shared" si="2"/>
        <v>1</v>
      </c>
      <c r="AA16" s="91" t="s">
        <v>4982</v>
      </c>
      <c r="AB16" s="122" t="s">
        <v>2460</v>
      </c>
      <c r="AC16" s="122"/>
      <c r="AD16" s="93" t="s">
        <v>750</v>
      </c>
      <c r="AE16" s="94">
        <v>3</v>
      </c>
      <c r="AF16" s="2752" t="s">
        <v>6797</v>
      </c>
      <c r="AG16" s="2747" t="s">
        <v>6798</v>
      </c>
      <c r="AH16" s="2748" t="s">
        <v>6799</v>
      </c>
      <c r="AI16" s="198" t="s">
        <v>6800</v>
      </c>
      <c r="AJ16" s="204" t="s">
        <v>6801</v>
      </c>
    </row>
    <row r="17" spans="2:36">
      <c r="B17" s="99" t="s">
        <v>4983</v>
      </c>
      <c r="C17" s="92" t="s">
        <v>2461</v>
      </c>
      <c r="D17" s="92"/>
      <c r="E17" s="100" t="s">
        <v>750</v>
      </c>
      <c r="F17" s="101">
        <v>3</v>
      </c>
      <c r="G17" s="473"/>
      <c r="H17" s="428"/>
      <c r="I17" s="429"/>
      <c r="J17" s="199">
        <f xml:space="preserve"> H17 - I17</f>
        <v>0</v>
      </c>
      <c r="K17" s="205">
        <f xml:space="preserve"> G17 + J17</f>
        <v>0</v>
      </c>
      <c r="M17" s="66" t="str">
        <f t="shared" si="4"/>
        <v>Please complete all cells in row</v>
      </c>
      <c r="P17" s="98">
        <f t="shared" si="2"/>
        <v>1</v>
      </c>
      <c r="Q17" s="98">
        <f t="shared" si="2"/>
        <v>1</v>
      </c>
      <c r="R17" s="98">
        <f t="shared" si="2"/>
        <v>1</v>
      </c>
      <c r="AA17" s="99" t="s">
        <v>4983</v>
      </c>
      <c r="AB17" s="92" t="s">
        <v>2461</v>
      </c>
      <c r="AC17" s="92"/>
      <c r="AD17" s="100" t="s">
        <v>750</v>
      </c>
      <c r="AE17" s="101">
        <v>3</v>
      </c>
      <c r="AF17" s="2753" t="s">
        <v>6802</v>
      </c>
      <c r="AG17" s="2750" t="s">
        <v>6803</v>
      </c>
      <c r="AH17" s="2751" t="s">
        <v>6804</v>
      </c>
      <c r="AI17" s="199" t="s">
        <v>6805</v>
      </c>
      <c r="AJ17" s="205" t="s">
        <v>6806</v>
      </c>
    </row>
    <row r="18" spans="2:36">
      <c r="B18" s="99" t="s">
        <v>4984</v>
      </c>
      <c r="C18" s="92" t="s">
        <v>2455</v>
      </c>
      <c r="D18" s="92"/>
      <c r="E18" s="100" t="s">
        <v>750</v>
      </c>
      <c r="F18" s="101">
        <v>3</v>
      </c>
      <c r="G18" s="473"/>
      <c r="H18" s="428"/>
      <c r="I18" s="429"/>
      <c r="J18" s="199">
        <f xml:space="preserve"> H18 - I18</f>
        <v>0</v>
      </c>
      <c r="K18" s="205">
        <f xml:space="preserve"> G18 + J18</f>
        <v>0</v>
      </c>
      <c r="M18" s="66" t="str">
        <f t="shared" si="4"/>
        <v>Please complete all cells in row</v>
      </c>
      <c r="P18" s="98">
        <f t="shared" si="2"/>
        <v>1</v>
      </c>
      <c r="Q18" s="98">
        <f t="shared" si="2"/>
        <v>1</v>
      </c>
      <c r="R18" s="98">
        <f t="shared" si="2"/>
        <v>1</v>
      </c>
      <c r="AA18" s="99" t="s">
        <v>4984</v>
      </c>
      <c r="AB18" s="92" t="s">
        <v>2455</v>
      </c>
      <c r="AC18" s="92"/>
      <c r="AD18" s="100" t="s">
        <v>750</v>
      </c>
      <c r="AE18" s="101">
        <v>3</v>
      </c>
      <c r="AF18" s="2753" t="s">
        <v>6807</v>
      </c>
      <c r="AG18" s="2750" t="s">
        <v>6808</v>
      </c>
      <c r="AH18" s="2751" t="s">
        <v>6809</v>
      </c>
      <c r="AI18" s="199" t="s">
        <v>6810</v>
      </c>
      <c r="AJ18" s="205" t="s">
        <v>6811</v>
      </c>
    </row>
    <row r="19" spans="2:36">
      <c r="B19" s="99" t="s">
        <v>4985</v>
      </c>
      <c r="C19" s="92" t="s">
        <v>2462</v>
      </c>
      <c r="D19" s="92"/>
      <c r="E19" s="100" t="s">
        <v>750</v>
      </c>
      <c r="F19" s="101">
        <v>3</v>
      </c>
      <c r="G19" s="473"/>
      <c r="H19" s="428"/>
      <c r="I19" s="429"/>
      <c r="J19" s="199">
        <f xml:space="preserve"> H19 - I19</f>
        <v>0</v>
      </c>
      <c r="K19" s="205">
        <f xml:space="preserve"> G19 + J19</f>
        <v>0</v>
      </c>
      <c r="M19" s="66" t="str">
        <f t="shared" si="4"/>
        <v>Please complete all cells in row</v>
      </c>
      <c r="P19" s="98">
        <f t="shared" si="2"/>
        <v>1</v>
      </c>
      <c r="Q19" s="98">
        <f t="shared" si="2"/>
        <v>1</v>
      </c>
      <c r="R19" s="98">
        <f t="shared" si="2"/>
        <v>1</v>
      </c>
      <c r="AA19" s="99" t="s">
        <v>4985</v>
      </c>
      <c r="AB19" s="92" t="s">
        <v>2462</v>
      </c>
      <c r="AC19" s="92"/>
      <c r="AD19" s="100" t="s">
        <v>750</v>
      </c>
      <c r="AE19" s="101">
        <v>3</v>
      </c>
      <c r="AF19" s="2753" t="s">
        <v>6812</v>
      </c>
      <c r="AG19" s="2750" t="s">
        <v>6813</v>
      </c>
      <c r="AH19" s="2751" t="s">
        <v>6814</v>
      </c>
      <c r="AI19" s="199" t="s">
        <v>6815</v>
      </c>
      <c r="AJ19" s="205" t="s">
        <v>6816</v>
      </c>
    </row>
    <row r="20" spans="2:36" ht="15" thickBot="1">
      <c r="B20" s="106" t="s">
        <v>4986</v>
      </c>
      <c r="C20" s="107" t="s">
        <v>2463</v>
      </c>
      <c r="D20" s="107"/>
      <c r="E20" s="108" t="s">
        <v>750</v>
      </c>
      <c r="F20" s="105">
        <v>3</v>
      </c>
      <c r="G20" s="203">
        <f>SUM( G16:G19 )</f>
        <v>0</v>
      </c>
      <c r="H20" s="208">
        <f>SUM( H16:H19 )</f>
        <v>0</v>
      </c>
      <c r="I20" s="203">
        <f>SUM( I16:I19 )</f>
        <v>0</v>
      </c>
      <c r="J20" s="203">
        <f xml:space="preserve"> H20 - I20</f>
        <v>0</v>
      </c>
      <c r="K20" s="206">
        <f xml:space="preserve"> G20 + J20</f>
        <v>0</v>
      </c>
      <c r="M20" s="131"/>
      <c r="AA20" s="106" t="s">
        <v>4986</v>
      </c>
      <c r="AB20" s="107" t="s">
        <v>2463</v>
      </c>
      <c r="AC20" s="107"/>
      <c r="AD20" s="108" t="s">
        <v>750</v>
      </c>
      <c r="AE20" s="105">
        <v>3</v>
      </c>
      <c r="AF20" s="203" t="s">
        <v>6817</v>
      </c>
      <c r="AG20" s="208" t="s">
        <v>6818</v>
      </c>
      <c r="AH20" s="203" t="s">
        <v>6819</v>
      </c>
      <c r="AI20" s="203" t="s">
        <v>6820</v>
      </c>
      <c r="AJ20" s="206" t="s">
        <v>6821</v>
      </c>
    </row>
    <row r="21" spans="2:36" ht="15" thickBot="1">
      <c r="M21" s="131"/>
    </row>
    <row r="22" spans="2:36" ht="15" thickBot="1">
      <c r="B22" s="87" t="s">
        <v>2464</v>
      </c>
      <c r="C22" s="88" t="s">
        <v>2465</v>
      </c>
      <c r="D22" s="1584"/>
      <c r="M22" s="131"/>
      <c r="AA22" s="87" t="s">
        <v>2464</v>
      </c>
      <c r="AB22" s="88" t="s">
        <v>2465</v>
      </c>
      <c r="AC22" s="1584"/>
    </row>
    <row r="23" spans="2:36">
      <c r="B23" s="91" t="s">
        <v>4987</v>
      </c>
      <c r="C23" s="122" t="s">
        <v>2466</v>
      </c>
      <c r="D23" s="122"/>
      <c r="E23" s="93" t="s">
        <v>750</v>
      </c>
      <c r="F23" s="94">
        <v>3</v>
      </c>
      <c r="G23" s="477"/>
      <c r="H23" s="430"/>
      <c r="I23" s="441"/>
      <c r="J23" s="198">
        <f t="shared" ref="J23:J31" si="5" xml:space="preserve"> H23 - I23</f>
        <v>0</v>
      </c>
      <c r="K23" s="204">
        <f t="shared" ref="K23:K31" si="6" xml:space="preserve"> G23 + J23</f>
        <v>0</v>
      </c>
      <c r="M23" s="66" t="str">
        <f t="shared" ref="M23:M28" si="7" xml:space="preserve"> IF( SUM( O23:S23 ) = 0, 0, $P$6 )</f>
        <v>Please complete all cells in row</v>
      </c>
      <c r="O23" s="129"/>
      <c r="P23" s="98">
        <f t="shared" ref="P23:R49" si="8" xml:space="preserve"> IF( ISNUMBER( G23 ), 0, 1 )</f>
        <v>1</v>
      </c>
      <c r="Q23" s="98">
        <f t="shared" si="8"/>
        <v>1</v>
      </c>
      <c r="R23" s="98">
        <f t="shared" si="8"/>
        <v>1</v>
      </c>
      <c r="S23" s="129"/>
      <c r="AA23" s="91" t="s">
        <v>4987</v>
      </c>
      <c r="AB23" s="122" t="s">
        <v>2466</v>
      </c>
      <c r="AC23" s="122"/>
      <c r="AD23" s="93" t="s">
        <v>750</v>
      </c>
      <c r="AE23" s="94">
        <v>3</v>
      </c>
      <c r="AF23" s="2752" t="s">
        <v>6822</v>
      </c>
      <c r="AG23" s="2747" t="s">
        <v>6823</v>
      </c>
      <c r="AH23" s="2748" t="s">
        <v>6824</v>
      </c>
      <c r="AI23" s="198" t="s">
        <v>6825</v>
      </c>
      <c r="AJ23" s="204" t="s">
        <v>6826</v>
      </c>
    </row>
    <row r="24" spans="2:36">
      <c r="B24" s="99" t="s">
        <v>4988</v>
      </c>
      <c r="C24" s="92" t="s">
        <v>2467</v>
      </c>
      <c r="D24" s="92"/>
      <c r="E24" s="100" t="s">
        <v>750</v>
      </c>
      <c r="F24" s="101">
        <v>3</v>
      </c>
      <c r="G24" s="473"/>
      <c r="H24" s="428"/>
      <c r="I24" s="429"/>
      <c r="J24" s="199">
        <f t="shared" si="5"/>
        <v>0</v>
      </c>
      <c r="K24" s="205">
        <f t="shared" si="6"/>
        <v>0</v>
      </c>
      <c r="M24" s="66" t="str">
        <f t="shared" si="7"/>
        <v>Please complete all cells in row</v>
      </c>
      <c r="O24" s="124"/>
      <c r="P24" s="98">
        <f t="shared" si="8"/>
        <v>1</v>
      </c>
      <c r="Q24" s="98">
        <f t="shared" si="8"/>
        <v>1</v>
      </c>
      <c r="R24" s="98">
        <f t="shared" si="8"/>
        <v>1</v>
      </c>
      <c r="S24" s="124"/>
      <c r="AA24" s="99" t="s">
        <v>4988</v>
      </c>
      <c r="AB24" s="92" t="s">
        <v>2467</v>
      </c>
      <c r="AC24" s="92"/>
      <c r="AD24" s="100" t="s">
        <v>750</v>
      </c>
      <c r="AE24" s="101">
        <v>3</v>
      </c>
      <c r="AF24" s="2753" t="s">
        <v>6827</v>
      </c>
      <c r="AG24" s="2750" t="s">
        <v>6828</v>
      </c>
      <c r="AH24" s="2751" t="s">
        <v>6829</v>
      </c>
      <c r="AI24" s="199" t="s">
        <v>6830</v>
      </c>
      <c r="AJ24" s="205" t="s">
        <v>6831</v>
      </c>
    </row>
    <row r="25" spans="2:36">
      <c r="B25" s="99" t="s">
        <v>4989</v>
      </c>
      <c r="C25" s="92" t="s">
        <v>2468</v>
      </c>
      <c r="D25" s="92"/>
      <c r="E25" s="100" t="s">
        <v>750</v>
      </c>
      <c r="F25" s="101">
        <v>3</v>
      </c>
      <c r="G25" s="473"/>
      <c r="H25" s="428"/>
      <c r="I25" s="429"/>
      <c r="J25" s="199">
        <f t="shared" si="5"/>
        <v>0</v>
      </c>
      <c r="K25" s="205">
        <f t="shared" si="6"/>
        <v>0</v>
      </c>
      <c r="M25" s="66" t="str">
        <f t="shared" si="7"/>
        <v>Please complete all cells in row</v>
      </c>
      <c r="O25" s="124"/>
      <c r="P25" s="98">
        <f t="shared" si="8"/>
        <v>1</v>
      </c>
      <c r="Q25" s="98">
        <f t="shared" si="8"/>
        <v>1</v>
      </c>
      <c r="R25" s="98">
        <f t="shared" si="8"/>
        <v>1</v>
      </c>
      <c r="S25" s="124"/>
      <c r="AA25" s="99" t="s">
        <v>4989</v>
      </c>
      <c r="AB25" s="92" t="s">
        <v>2468</v>
      </c>
      <c r="AC25" s="92"/>
      <c r="AD25" s="100" t="s">
        <v>750</v>
      </c>
      <c r="AE25" s="101">
        <v>3</v>
      </c>
      <c r="AF25" s="2753" t="s">
        <v>6832</v>
      </c>
      <c r="AG25" s="2750" t="s">
        <v>6833</v>
      </c>
      <c r="AH25" s="2751" t="s">
        <v>6834</v>
      </c>
      <c r="AI25" s="199" t="s">
        <v>6835</v>
      </c>
      <c r="AJ25" s="205" t="s">
        <v>6836</v>
      </c>
    </row>
    <row r="26" spans="2:36">
      <c r="B26" s="99" t="s">
        <v>4990</v>
      </c>
      <c r="C26" s="92" t="s">
        <v>2455</v>
      </c>
      <c r="D26" s="92"/>
      <c r="E26" s="100" t="s">
        <v>750</v>
      </c>
      <c r="F26" s="101">
        <v>3</v>
      </c>
      <c r="G26" s="473"/>
      <c r="H26" s="428"/>
      <c r="I26" s="429"/>
      <c r="J26" s="199">
        <f t="shared" si="5"/>
        <v>0</v>
      </c>
      <c r="K26" s="205">
        <f t="shared" si="6"/>
        <v>0</v>
      </c>
      <c r="M26" s="66" t="str">
        <f t="shared" si="7"/>
        <v>Please complete all cells in row</v>
      </c>
      <c r="O26" s="124"/>
      <c r="P26" s="98">
        <f t="shared" si="8"/>
        <v>1</v>
      </c>
      <c r="Q26" s="98">
        <f t="shared" si="8"/>
        <v>1</v>
      </c>
      <c r="R26" s="98">
        <f t="shared" si="8"/>
        <v>1</v>
      </c>
      <c r="S26" s="124"/>
      <c r="AA26" s="99" t="s">
        <v>4990</v>
      </c>
      <c r="AB26" s="92" t="s">
        <v>2455</v>
      </c>
      <c r="AC26" s="92"/>
      <c r="AD26" s="100" t="s">
        <v>750</v>
      </c>
      <c r="AE26" s="101">
        <v>3</v>
      </c>
      <c r="AF26" s="2753" t="s">
        <v>6837</v>
      </c>
      <c r="AG26" s="2750" t="s">
        <v>6838</v>
      </c>
      <c r="AH26" s="2751" t="s">
        <v>6839</v>
      </c>
      <c r="AI26" s="199" t="s">
        <v>6840</v>
      </c>
      <c r="AJ26" s="205" t="s">
        <v>6841</v>
      </c>
    </row>
    <row r="27" spans="2:36">
      <c r="B27" s="99" t="s">
        <v>4991</v>
      </c>
      <c r="C27" s="92" t="s">
        <v>2469</v>
      </c>
      <c r="D27" s="92"/>
      <c r="E27" s="100" t="s">
        <v>750</v>
      </c>
      <c r="F27" s="101">
        <v>3</v>
      </c>
      <c r="G27" s="473"/>
      <c r="H27" s="428"/>
      <c r="I27" s="429"/>
      <c r="J27" s="199">
        <f t="shared" si="5"/>
        <v>0</v>
      </c>
      <c r="K27" s="205">
        <f t="shared" si="6"/>
        <v>0</v>
      </c>
      <c r="M27" s="66" t="str">
        <f t="shared" si="7"/>
        <v>Please complete all cells in row</v>
      </c>
      <c r="O27" s="124"/>
      <c r="P27" s="98">
        <f t="shared" si="8"/>
        <v>1</v>
      </c>
      <c r="Q27" s="98">
        <f t="shared" si="8"/>
        <v>1</v>
      </c>
      <c r="R27" s="98">
        <f t="shared" si="8"/>
        <v>1</v>
      </c>
      <c r="S27" s="124"/>
      <c r="AA27" s="99" t="s">
        <v>4991</v>
      </c>
      <c r="AB27" s="92" t="s">
        <v>2469</v>
      </c>
      <c r="AC27" s="92"/>
      <c r="AD27" s="100" t="s">
        <v>750</v>
      </c>
      <c r="AE27" s="101">
        <v>3</v>
      </c>
      <c r="AF27" s="2753" t="s">
        <v>6842</v>
      </c>
      <c r="AG27" s="2750" t="s">
        <v>6843</v>
      </c>
      <c r="AH27" s="2751" t="s">
        <v>6844</v>
      </c>
      <c r="AI27" s="199" t="s">
        <v>6845</v>
      </c>
      <c r="AJ27" s="205" t="s">
        <v>6846</v>
      </c>
    </row>
    <row r="28" spans="2:36">
      <c r="B28" s="99" t="s">
        <v>4992</v>
      </c>
      <c r="C28" s="92" t="s">
        <v>2470</v>
      </c>
      <c r="D28" s="92"/>
      <c r="E28" s="100" t="s">
        <v>750</v>
      </c>
      <c r="F28" s="101">
        <v>3</v>
      </c>
      <c r="G28" s="473"/>
      <c r="H28" s="428"/>
      <c r="I28" s="429"/>
      <c r="J28" s="199">
        <f t="shared" si="5"/>
        <v>0</v>
      </c>
      <c r="K28" s="205">
        <f t="shared" si="6"/>
        <v>0</v>
      </c>
      <c r="M28" s="66" t="str">
        <f t="shared" si="7"/>
        <v>Please complete all cells in row</v>
      </c>
      <c r="O28" s="124"/>
      <c r="P28" s="98">
        <f t="shared" si="8"/>
        <v>1</v>
      </c>
      <c r="Q28" s="98">
        <f t="shared" si="8"/>
        <v>1</v>
      </c>
      <c r="R28" s="98">
        <f t="shared" si="8"/>
        <v>1</v>
      </c>
      <c r="S28" s="124"/>
      <c r="AA28" s="99" t="s">
        <v>4992</v>
      </c>
      <c r="AB28" s="92" t="s">
        <v>2470</v>
      </c>
      <c r="AC28" s="92"/>
      <c r="AD28" s="100" t="s">
        <v>750</v>
      </c>
      <c r="AE28" s="101">
        <v>3</v>
      </c>
      <c r="AF28" s="2753" t="s">
        <v>6847</v>
      </c>
      <c r="AG28" s="2750" t="s">
        <v>6848</v>
      </c>
      <c r="AH28" s="2751" t="s">
        <v>6849</v>
      </c>
      <c r="AI28" s="199" t="s">
        <v>6850</v>
      </c>
      <c r="AJ28" s="205" t="s">
        <v>6851</v>
      </c>
    </row>
    <row r="29" spans="2:36" ht="15" thickBot="1">
      <c r="B29" s="106" t="s">
        <v>4993</v>
      </c>
      <c r="C29" s="107" t="s">
        <v>2471</v>
      </c>
      <c r="D29" s="107"/>
      <c r="E29" s="108" t="s">
        <v>750</v>
      </c>
      <c r="F29" s="105">
        <v>3</v>
      </c>
      <c r="G29" s="208">
        <f xml:space="preserve"> SUM( G23:G28 )</f>
        <v>0</v>
      </c>
      <c r="H29" s="201">
        <f xml:space="preserve"> SUM( H23:H28 )</f>
        <v>0</v>
      </c>
      <c r="I29" s="202">
        <f xml:space="preserve"> SUM( I23:I28 )</f>
        <v>0</v>
      </c>
      <c r="J29" s="203">
        <f t="shared" si="5"/>
        <v>0</v>
      </c>
      <c r="K29" s="206">
        <f t="shared" si="6"/>
        <v>0</v>
      </c>
      <c r="M29" s="131"/>
      <c r="N29" s="125"/>
      <c r="O29" s="124"/>
      <c r="P29" s="125"/>
      <c r="Q29" s="125"/>
      <c r="R29" s="125"/>
      <c r="S29" s="124"/>
      <c r="AA29" s="106" t="s">
        <v>4993</v>
      </c>
      <c r="AB29" s="107" t="s">
        <v>2471</v>
      </c>
      <c r="AC29" s="107"/>
      <c r="AD29" s="108" t="s">
        <v>750</v>
      </c>
      <c r="AE29" s="105">
        <v>3</v>
      </c>
      <c r="AF29" s="208" t="s">
        <v>6852</v>
      </c>
      <c r="AG29" s="201" t="s">
        <v>6853</v>
      </c>
      <c r="AH29" s="202" t="s">
        <v>6854</v>
      </c>
      <c r="AI29" s="203" t="s">
        <v>6855</v>
      </c>
      <c r="AJ29" s="206" t="s">
        <v>6856</v>
      </c>
    </row>
    <row r="30" spans="2:36" ht="15" thickBot="1">
      <c r="M30" s="131"/>
    </row>
    <row r="31" spans="2:36" ht="15" thickBot="1">
      <c r="B31" s="136" t="s">
        <v>4994</v>
      </c>
      <c r="C31" s="137" t="s">
        <v>2472</v>
      </c>
      <c r="D31" s="137"/>
      <c r="E31" s="138" t="s">
        <v>750</v>
      </c>
      <c r="F31" s="139">
        <v>3</v>
      </c>
      <c r="G31" s="778">
        <f xml:space="preserve"> G20 + G29</f>
        <v>0</v>
      </c>
      <c r="H31" s="779">
        <f xml:space="preserve"> H20 + H29</f>
        <v>0</v>
      </c>
      <c r="I31" s="780">
        <f xml:space="preserve"> I20 + I29</f>
        <v>0</v>
      </c>
      <c r="J31" s="255">
        <f t="shared" si="5"/>
        <v>0</v>
      </c>
      <c r="K31" s="504">
        <f t="shared" si="6"/>
        <v>0</v>
      </c>
      <c r="M31" s="131"/>
      <c r="N31" s="125"/>
      <c r="O31" s="124"/>
      <c r="P31" s="125"/>
      <c r="Q31" s="125"/>
      <c r="R31" s="125"/>
      <c r="S31" s="124"/>
      <c r="AA31" s="136" t="s">
        <v>4994</v>
      </c>
      <c r="AB31" s="137" t="s">
        <v>2472</v>
      </c>
      <c r="AC31" s="137"/>
      <c r="AD31" s="138" t="s">
        <v>750</v>
      </c>
      <c r="AE31" s="139">
        <v>3</v>
      </c>
      <c r="AF31" s="778" t="s">
        <v>6857</v>
      </c>
      <c r="AG31" s="779" t="s">
        <v>6858</v>
      </c>
      <c r="AH31" s="780" t="s">
        <v>6859</v>
      </c>
      <c r="AI31" s="255" t="s">
        <v>6860</v>
      </c>
      <c r="AJ31" s="504" t="s">
        <v>6861</v>
      </c>
    </row>
    <row r="32" spans="2:36" ht="15" thickBot="1">
      <c r="M32" s="131"/>
      <c r="O32" s="124"/>
      <c r="S32" s="124"/>
    </row>
    <row r="33" spans="2:36" ht="15" thickBot="1">
      <c r="B33" s="87" t="s">
        <v>2473</v>
      </c>
      <c r="C33" s="88" t="s">
        <v>2474</v>
      </c>
      <c r="D33" s="1584"/>
      <c r="M33" s="131"/>
      <c r="O33" s="124"/>
      <c r="S33" s="124"/>
      <c r="AA33" s="87" t="s">
        <v>2473</v>
      </c>
      <c r="AB33" s="88" t="s">
        <v>2474</v>
      </c>
      <c r="AC33" s="1584"/>
    </row>
    <row r="34" spans="2:36">
      <c r="B34" s="91" t="s">
        <v>4995</v>
      </c>
      <c r="C34" s="122" t="s">
        <v>2466</v>
      </c>
      <c r="D34" s="122"/>
      <c r="E34" s="93" t="s">
        <v>750</v>
      </c>
      <c r="F34" s="223">
        <v>3</v>
      </c>
      <c r="G34" s="444"/>
      <c r="H34" s="430"/>
      <c r="I34" s="441"/>
      <c r="J34" s="198">
        <f t="shared" ref="J34:J45" si="9" xml:space="preserve"> H34 - I34</f>
        <v>0</v>
      </c>
      <c r="K34" s="207">
        <f t="shared" ref="K34:K45" si="10" xml:space="preserve"> G34 + J34</f>
        <v>0</v>
      </c>
      <c r="M34" s="66" t="str">
        <f t="shared" ref="M34:M42" si="11" xml:space="preserve"> IF( SUM( O34:S34 ) = 0, 0, $P$6 )</f>
        <v>Please complete all cells in row</v>
      </c>
      <c r="O34" s="129"/>
      <c r="P34" s="417">
        <f t="shared" si="8"/>
        <v>1</v>
      </c>
      <c r="Q34" s="417">
        <f t="shared" si="8"/>
        <v>1</v>
      </c>
      <c r="R34" s="417">
        <f t="shared" si="8"/>
        <v>1</v>
      </c>
      <c r="S34" s="129"/>
      <c r="AA34" s="91" t="s">
        <v>4995</v>
      </c>
      <c r="AB34" s="122" t="s">
        <v>2466</v>
      </c>
      <c r="AC34" s="122"/>
      <c r="AD34" s="93" t="s">
        <v>750</v>
      </c>
      <c r="AE34" s="223">
        <v>3</v>
      </c>
      <c r="AF34" s="2767" t="s">
        <v>6862</v>
      </c>
      <c r="AG34" s="2747" t="s">
        <v>6863</v>
      </c>
      <c r="AH34" s="2748" t="s">
        <v>6864</v>
      </c>
      <c r="AI34" s="198" t="s">
        <v>6865</v>
      </c>
      <c r="AJ34" s="207" t="s">
        <v>6866</v>
      </c>
    </row>
    <row r="35" spans="2:36">
      <c r="B35" s="177" t="s">
        <v>5003</v>
      </c>
      <c r="C35" s="178" t="s">
        <v>2468</v>
      </c>
      <c r="D35" s="178"/>
      <c r="E35" s="174" t="s">
        <v>750</v>
      </c>
      <c r="F35" s="412">
        <v>3</v>
      </c>
      <c r="G35" s="478"/>
      <c r="H35" s="479"/>
      <c r="I35" s="480"/>
      <c r="J35" s="413">
        <f t="shared" si="9"/>
        <v>0</v>
      </c>
      <c r="K35" s="414">
        <f t="shared" si="10"/>
        <v>0</v>
      </c>
      <c r="M35" s="66" t="str">
        <f t="shared" si="11"/>
        <v>Please complete all cells in row</v>
      </c>
      <c r="O35" s="129"/>
      <c r="P35" s="98">
        <f t="shared" si="8"/>
        <v>1</v>
      </c>
      <c r="Q35" s="98">
        <f t="shared" si="8"/>
        <v>1</v>
      </c>
      <c r="R35" s="98">
        <f t="shared" si="8"/>
        <v>1</v>
      </c>
      <c r="S35" s="129"/>
      <c r="AA35" s="177" t="s">
        <v>5003</v>
      </c>
      <c r="AB35" s="178" t="s">
        <v>2468</v>
      </c>
      <c r="AC35" s="178"/>
      <c r="AD35" s="174" t="s">
        <v>750</v>
      </c>
      <c r="AE35" s="412">
        <v>3</v>
      </c>
      <c r="AF35" s="2768" t="s">
        <v>6867</v>
      </c>
      <c r="AG35" s="2769" t="s">
        <v>6868</v>
      </c>
      <c r="AH35" s="2770" t="s">
        <v>6869</v>
      </c>
      <c r="AI35" s="413" t="s">
        <v>6870</v>
      </c>
      <c r="AJ35" s="414" t="s">
        <v>6871</v>
      </c>
    </row>
    <row r="36" spans="2:36">
      <c r="B36" s="177" t="s">
        <v>4996</v>
      </c>
      <c r="C36" s="178" t="s">
        <v>2455</v>
      </c>
      <c r="D36" s="178"/>
      <c r="E36" s="174" t="s">
        <v>750</v>
      </c>
      <c r="F36" s="412">
        <v>3</v>
      </c>
      <c r="G36" s="478"/>
      <c r="H36" s="479"/>
      <c r="I36" s="480"/>
      <c r="J36" s="413">
        <f t="shared" si="9"/>
        <v>0</v>
      </c>
      <c r="K36" s="414">
        <f t="shared" si="10"/>
        <v>0</v>
      </c>
      <c r="M36" s="66" t="str">
        <f t="shared" si="11"/>
        <v>Please complete all cells in row</v>
      </c>
      <c r="O36" s="129"/>
      <c r="P36" s="98">
        <f t="shared" si="8"/>
        <v>1</v>
      </c>
      <c r="Q36" s="98">
        <f t="shared" si="8"/>
        <v>1</v>
      </c>
      <c r="R36" s="98">
        <f t="shared" si="8"/>
        <v>1</v>
      </c>
      <c r="S36" s="129"/>
      <c r="AA36" s="177" t="s">
        <v>4996</v>
      </c>
      <c r="AB36" s="178" t="s">
        <v>2455</v>
      </c>
      <c r="AC36" s="178"/>
      <c r="AD36" s="174" t="s">
        <v>750</v>
      </c>
      <c r="AE36" s="412">
        <v>3</v>
      </c>
      <c r="AF36" s="2768" t="s">
        <v>6872</v>
      </c>
      <c r="AG36" s="2769" t="s">
        <v>6873</v>
      </c>
      <c r="AH36" s="2770" t="s">
        <v>6874</v>
      </c>
      <c r="AI36" s="413" t="s">
        <v>6875</v>
      </c>
      <c r="AJ36" s="414" t="s">
        <v>6876</v>
      </c>
    </row>
    <row r="37" spans="2:36">
      <c r="B37" s="177" t="s">
        <v>4997</v>
      </c>
      <c r="C37" s="178" t="s">
        <v>2475</v>
      </c>
      <c r="D37" s="178"/>
      <c r="E37" s="174" t="s">
        <v>750</v>
      </c>
      <c r="F37" s="412">
        <v>3</v>
      </c>
      <c r="G37" s="478"/>
      <c r="H37" s="479"/>
      <c r="I37" s="480"/>
      <c r="J37" s="413">
        <f t="shared" si="9"/>
        <v>0</v>
      </c>
      <c r="K37" s="414">
        <f t="shared" si="10"/>
        <v>0</v>
      </c>
      <c r="M37" s="66" t="str">
        <f t="shared" si="11"/>
        <v>Please complete all cells in row</v>
      </c>
      <c r="O37" s="129"/>
      <c r="P37" s="98">
        <f t="shared" si="8"/>
        <v>1</v>
      </c>
      <c r="Q37" s="98">
        <f t="shared" si="8"/>
        <v>1</v>
      </c>
      <c r="R37" s="98">
        <f t="shared" si="8"/>
        <v>1</v>
      </c>
      <c r="S37" s="129"/>
      <c r="AA37" s="177" t="s">
        <v>4997</v>
      </c>
      <c r="AB37" s="178" t="s">
        <v>2475</v>
      </c>
      <c r="AC37" s="178"/>
      <c r="AD37" s="174" t="s">
        <v>750</v>
      </c>
      <c r="AE37" s="412">
        <v>3</v>
      </c>
      <c r="AF37" s="2768" t="s">
        <v>6877</v>
      </c>
      <c r="AG37" s="2769" t="s">
        <v>6878</v>
      </c>
      <c r="AH37" s="2770" t="s">
        <v>6879</v>
      </c>
      <c r="AI37" s="413" t="s">
        <v>6880</v>
      </c>
      <c r="AJ37" s="414" t="s">
        <v>6881</v>
      </c>
    </row>
    <row r="38" spans="2:36">
      <c r="B38" s="177" t="s">
        <v>4998</v>
      </c>
      <c r="C38" s="178" t="s">
        <v>2470</v>
      </c>
      <c r="D38" s="178"/>
      <c r="E38" s="174" t="s">
        <v>750</v>
      </c>
      <c r="F38" s="412">
        <v>3</v>
      </c>
      <c r="G38" s="478"/>
      <c r="H38" s="479"/>
      <c r="I38" s="480"/>
      <c r="J38" s="413">
        <f t="shared" si="9"/>
        <v>0</v>
      </c>
      <c r="K38" s="414">
        <f t="shared" si="10"/>
        <v>0</v>
      </c>
      <c r="M38" s="66" t="str">
        <f t="shared" si="11"/>
        <v>Please complete all cells in row</v>
      </c>
      <c r="O38" s="129"/>
      <c r="P38" s="98">
        <f t="shared" si="8"/>
        <v>1</v>
      </c>
      <c r="Q38" s="98">
        <f t="shared" si="8"/>
        <v>1</v>
      </c>
      <c r="R38" s="98">
        <f t="shared" si="8"/>
        <v>1</v>
      </c>
      <c r="S38" s="129"/>
      <c r="AA38" s="177" t="s">
        <v>4998</v>
      </c>
      <c r="AB38" s="178" t="s">
        <v>2470</v>
      </c>
      <c r="AC38" s="178"/>
      <c r="AD38" s="174" t="s">
        <v>750</v>
      </c>
      <c r="AE38" s="412">
        <v>3</v>
      </c>
      <c r="AF38" s="2768" t="s">
        <v>6882</v>
      </c>
      <c r="AG38" s="2769" t="s">
        <v>6883</v>
      </c>
      <c r="AH38" s="2770" t="s">
        <v>6884</v>
      </c>
      <c r="AI38" s="413" t="s">
        <v>6885</v>
      </c>
      <c r="AJ38" s="414" t="s">
        <v>6886</v>
      </c>
    </row>
    <row r="39" spans="2:36">
      <c r="B39" s="177" t="s">
        <v>4999</v>
      </c>
      <c r="C39" s="178" t="s">
        <v>2476</v>
      </c>
      <c r="D39" s="178"/>
      <c r="E39" s="174" t="s">
        <v>750</v>
      </c>
      <c r="F39" s="412">
        <v>3</v>
      </c>
      <c r="G39" s="478"/>
      <c r="H39" s="479"/>
      <c r="I39" s="480"/>
      <c r="J39" s="413">
        <f t="shared" si="9"/>
        <v>0</v>
      </c>
      <c r="K39" s="414">
        <f t="shared" si="10"/>
        <v>0</v>
      </c>
      <c r="M39" s="66" t="str">
        <f t="shared" si="11"/>
        <v>Please complete all cells in row</v>
      </c>
      <c r="O39" s="129"/>
      <c r="P39" s="98">
        <f t="shared" si="8"/>
        <v>1</v>
      </c>
      <c r="Q39" s="98">
        <f t="shared" si="8"/>
        <v>1</v>
      </c>
      <c r="R39" s="98">
        <f t="shared" si="8"/>
        <v>1</v>
      </c>
      <c r="S39" s="129"/>
      <c r="AA39" s="177" t="s">
        <v>4999</v>
      </c>
      <c r="AB39" s="178" t="s">
        <v>2476</v>
      </c>
      <c r="AC39" s="178"/>
      <c r="AD39" s="174" t="s">
        <v>750</v>
      </c>
      <c r="AE39" s="412">
        <v>3</v>
      </c>
      <c r="AF39" s="2572" t="s">
        <v>11112</v>
      </c>
      <c r="AG39" s="2571" t="s">
        <v>11113</v>
      </c>
      <c r="AH39" s="2771" t="s">
        <v>11114</v>
      </c>
      <c r="AI39" s="2157" t="s">
        <v>11115</v>
      </c>
      <c r="AJ39" s="2158" t="s">
        <v>11034</v>
      </c>
    </row>
    <row r="40" spans="2:36">
      <c r="B40" s="177" t="s">
        <v>5000</v>
      </c>
      <c r="C40" s="178" t="s">
        <v>3767</v>
      </c>
      <c r="D40" s="178"/>
      <c r="E40" s="174" t="s">
        <v>750</v>
      </c>
      <c r="F40" s="412">
        <v>3</v>
      </c>
      <c r="G40" s="478"/>
      <c r="H40" s="479"/>
      <c r="I40" s="480"/>
      <c r="J40" s="413">
        <f t="shared" ref="J40" si="12" xml:space="preserve"> H40 - I40</f>
        <v>0</v>
      </c>
      <c r="K40" s="414">
        <f t="shared" ref="K40" si="13" xml:space="preserve"> G40 + J40</f>
        <v>0</v>
      </c>
      <c r="M40" s="774" t="str">
        <f t="shared" si="11"/>
        <v>Please complete all cells in row</v>
      </c>
      <c r="O40" s="129"/>
      <c r="P40" s="98">
        <f t="shared" ref="P40" si="14" xml:space="preserve"> IF( ISNUMBER( G40 ), 0, 1 )</f>
        <v>1</v>
      </c>
      <c r="Q40" s="98">
        <f t="shared" ref="Q40" si="15" xml:space="preserve"> IF( ISNUMBER( H40 ), 0, 1 )</f>
        <v>1</v>
      </c>
      <c r="R40" s="98">
        <f t="shared" ref="R40" si="16" xml:space="preserve"> IF( ISNUMBER( I40 ), 0, 1 )</f>
        <v>1</v>
      </c>
      <c r="S40" s="129"/>
      <c r="AA40" s="177" t="s">
        <v>5000</v>
      </c>
      <c r="AB40" s="178" t="s">
        <v>3767</v>
      </c>
      <c r="AC40" s="178"/>
      <c r="AD40" s="174" t="s">
        <v>750</v>
      </c>
      <c r="AE40" s="412">
        <v>3</v>
      </c>
      <c r="AF40" s="2572" t="s">
        <v>11116</v>
      </c>
      <c r="AG40" s="2571" t="s">
        <v>11117</v>
      </c>
      <c r="AH40" s="2771" t="s">
        <v>11118</v>
      </c>
      <c r="AI40" s="2157" t="s">
        <v>11119</v>
      </c>
      <c r="AJ40" s="2158" t="s">
        <v>11035</v>
      </c>
    </row>
    <row r="41" spans="2:36">
      <c r="B41" s="177" t="s">
        <v>5001</v>
      </c>
      <c r="C41" s="178" t="s">
        <v>2477</v>
      </c>
      <c r="D41" s="178"/>
      <c r="E41" s="174" t="s">
        <v>750</v>
      </c>
      <c r="F41" s="412">
        <v>3</v>
      </c>
      <c r="G41" s="478"/>
      <c r="H41" s="479"/>
      <c r="I41" s="480"/>
      <c r="J41" s="413">
        <f t="shared" si="9"/>
        <v>0</v>
      </c>
      <c r="K41" s="414">
        <f t="shared" si="10"/>
        <v>0</v>
      </c>
      <c r="M41" s="66" t="str">
        <f t="shared" si="11"/>
        <v>Please complete all cells in row</v>
      </c>
      <c r="O41" s="129"/>
      <c r="P41" s="98">
        <f t="shared" si="8"/>
        <v>1</v>
      </c>
      <c r="Q41" s="98">
        <f t="shared" si="8"/>
        <v>1</v>
      </c>
      <c r="R41" s="98">
        <f t="shared" si="8"/>
        <v>1</v>
      </c>
      <c r="S41" s="129"/>
      <c r="AA41" s="177" t="s">
        <v>5001</v>
      </c>
      <c r="AB41" s="178" t="s">
        <v>2477</v>
      </c>
      <c r="AC41" s="178"/>
      <c r="AD41" s="174" t="s">
        <v>750</v>
      </c>
      <c r="AE41" s="412">
        <v>3</v>
      </c>
      <c r="AF41" s="2768" t="s">
        <v>6887</v>
      </c>
      <c r="AG41" s="2769" t="s">
        <v>6888</v>
      </c>
      <c r="AH41" s="2770" t="s">
        <v>6889</v>
      </c>
      <c r="AI41" s="413" t="s">
        <v>6890</v>
      </c>
      <c r="AJ41" s="414" t="s">
        <v>6891</v>
      </c>
    </row>
    <row r="42" spans="2:36">
      <c r="B42" s="177" t="s">
        <v>5002</v>
      </c>
      <c r="C42" s="178" t="s">
        <v>2418</v>
      </c>
      <c r="D42" s="178"/>
      <c r="E42" s="174" t="s">
        <v>750</v>
      </c>
      <c r="F42" s="412">
        <v>3</v>
      </c>
      <c r="G42" s="478"/>
      <c r="H42" s="479"/>
      <c r="I42" s="480"/>
      <c r="J42" s="413">
        <f t="shared" si="9"/>
        <v>0</v>
      </c>
      <c r="K42" s="414">
        <f t="shared" si="10"/>
        <v>0</v>
      </c>
      <c r="M42" s="66" t="str">
        <f t="shared" si="11"/>
        <v>Please complete all cells in row</v>
      </c>
      <c r="O42" s="129"/>
      <c r="P42" s="98">
        <f t="shared" si="8"/>
        <v>1</v>
      </c>
      <c r="Q42" s="98">
        <f t="shared" si="8"/>
        <v>1</v>
      </c>
      <c r="R42" s="98">
        <f t="shared" si="8"/>
        <v>1</v>
      </c>
      <c r="S42" s="129"/>
      <c r="AA42" s="177" t="s">
        <v>5002</v>
      </c>
      <c r="AB42" s="178" t="s">
        <v>2418</v>
      </c>
      <c r="AC42" s="178"/>
      <c r="AD42" s="174" t="s">
        <v>750</v>
      </c>
      <c r="AE42" s="412">
        <v>3</v>
      </c>
      <c r="AF42" s="2768" t="s">
        <v>6892</v>
      </c>
      <c r="AG42" s="2769" t="s">
        <v>6893</v>
      </c>
      <c r="AH42" s="2770" t="s">
        <v>6894</v>
      </c>
      <c r="AI42" s="413" t="s">
        <v>6895</v>
      </c>
      <c r="AJ42" s="414" t="s">
        <v>6896</v>
      </c>
    </row>
    <row r="43" spans="2:36" ht="15" thickBot="1">
      <c r="B43" s="106" t="s">
        <v>5004</v>
      </c>
      <c r="C43" s="107" t="s">
        <v>2478</v>
      </c>
      <c r="D43" s="107"/>
      <c r="E43" s="108" t="s">
        <v>750</v>
      </c>
      <c r="F43" s="105">
        <v>3</v>
      </c>
      <c r="G43" s="208">
        <f xml:space="preserve"> SUM( G34:G42 )</f>
        <v>0</v>
      </c>
      <c r="H43" s="201">
        <f xml:space="preserve"> SUM( H34:H42 )</f>
        <v>0</v>
      </c>
      <c r="I43" s="202">
        <f xml:space="preserve"> SUM( I34:I42 )</f>
        <v>0</v>
      </c>
      <c r="J43" s="203">
        <f t="shared" si="9"/>
        <v>0</v>
      </c>
      <c r="K43" s="206">
        <f t="shared" si="10"/>
        <v>0</v>
      </c>
      <c r="M43" s="131"/>
      <c r="N43" s="125"/>
      <c r="O43" s="129"/>
      <c r="P43" s="125"/>
      <c r="Q43" s="125"/>
      <c r="R43" s="125"/>
      <c r="S43" s="129"/>
      <c r="AA43" s="106" t="s">
        <v>5004</v>
      </c>
      <c r="AB43" s="107" t="s">
        <v>2478</v>
      </c>
      <c r="AC43" s="107"/>
      <c r="AD43" s="108" t="s">
        <v>750</v>
      </c>
      <c r="AE43" s="105">
        <v>3</v>
      </c>
      <c r="AF43" s="208" t="s">
        <v>6897</v>
      </c>
      <c r="AG43" s="201" t="s">
        <v>6898</v>
      </c>
      <c r="AH43" s="202" t="s">
        <v>6899</v>
      </c>
      <c r="AI43" s="203" t="s">
        <v>6900</v>
      </c>
      <c r="AJ43" s="206" t="s">
        <v>6901</v>
      </c>
    </row>
    <row r="44" spans="2:36" ht="15" thickBot="1">
      <c r="M44" s="131"/>
    </row>
    <row r="45" spans="2:36" ht="15" thickBot="1">
      <c r="B45" s="136" t="s">
        <v>5005</v>
      </c>
      <c r="C45" s="137" t="s">
        <v>2479</v>
      </c>
      <c r="D45" s="137"/>
      <c r="E45" s="138" t="s">
        <v>750</v>
      </c>
      <c r="F45" s="139">
        <v>3</v>
      </c>
      <c r="G45" s="778">
        <f xml:space="preserve"> G13 + G31 + G43</f>
        <v>0</v>
      </c>
      <c r="H45" s="779">
        <f xml:space="preserve"> H13 + H31 + H43</f>
        <v>0</v>
      </c>
      <c r="I45" s="780">
        <f xml:space="preserve"> I13 + I31 + I43</f>
        <v>0</v>
      </c>
      <c r="J45" s="255">
        <f t="shared" si="9"/>
        <v>0</v>
      </c>
      <c r="K45" s="504">
        <f t="shared" si="10"/>
        <v>0</v>
      </c>
      <c r="M45" s="131"/>
      <c r="N45" s="125"/>
      <c r="P45" s="125"/>
      <c r="Q45" s="125"/>
      <c r="R45" s="125"/>
      <c r="AA45" s="136" t="s">
        <v>5005</v>
      </c>
      <c r="AB45" s="137" t="s">
        <v>2479</v>
      </c>
      <c r="AC45" s="137"/>
      <c r="AD45" s="138" t="s">
        <v>750</v>
      </c>
      <c r="AE45" s="139">
        <v>3</v>
      </c>
      <c r="AF45" s="778" t="s">
        <v>6902</v>
      </c>
      <c r="AG45" s="779" t="s">
        <v>6903</v>
      </c>
      <c r="AH45" s="780" t="s">
        <v>6904</v>
      </c>
      <c r="AI45" s="255" t="s">
        <v>6905</v>
      </c>
      <c r="AJ45" s="504" t="s">
        <v>6906</v>
      </c>
    </row>
    <row r="46" spans="2:36" ht="15" thickBot="1">
      <c r="M46" s="131"/>
    </row>
    <row r="47" spans="2:36" ht="15" thickBot="1">
      <c r="B47" s="87" t="s">
        <v>2480</v>
      </c>
      <c r="C47" s="88" t="s">
        <v>2481</v>
      </c>
      <c r="D47" s="1584"/>
      <c r="M47" s="131"/>
      <c r="AA47" s="87" t="s">
        <v>2480</v>
      </c>
      <c r="AB47" s="88" t="s">
        <v>2481</v>
      </c>
      <c r="AC47" s="1584"/>
    </row>
    <row r="48" spans="2:36">
      <c r="B48" s="91" t="s">
        <v>5006</v>
      </c>
      <c r="C48" s="122" t="s">
        <v>2482</v>
      </c>
      <c r="D48" s="122"/>
      <c r="E48" s="93" t="s">
        <v>750</v>
      </c>
      <c r="F48" s="223">
        <v>3</v>
      </c>
      <c r="G48" s="444"/>
      <c r="H48" s="430"/>
      <c r="I48" s="441"/>
      <c r="J48" s="198">
        <f xml:space="preserve"> H48 - I48</f>
        <v>0</v>
      </c>
      <c r="K48" s="207">
        <f xml:space="preserve"> G48 + J48</f>
        <v>0</v>
      </c>
      <c r="M48" s="66" t="str">
        <f xml:space="preserve"> IF( SUM( O48:S48 ) = 0, 0, $P$6 )</f>
        <v>Please complete all cells in row</v>
      </c>
      <c r="P48" s="98">
        <f t="shared" si="8"/>
        <v>1</v>
      </c>
      <c r="Q48" s="98">
        <f t="shared" si="8"/>
        <v>1</v>
      </c>
      <c r="R48" s="98">
        <f t="shared" si="8"/>
        <v>1</v>
      </c>
      <c r="AA48" s="91" t="s">
        <v>5006</v>
      </c>
      <c r="AB48" s="122" t="s">
        <v>2482</v>
      </c>
      <c r="AC48" s="122"/>
      <c r="AD48" s="93" t="s">
        <v>750</v>
      </c>
      <c r="AE48" s="223">
        <v>3</v>
      </c>
      <c r="AF48" s="2767" t="s">
        <v>6907</v>
      </c>
      <c r="AG48" s="2747" t="s">
        <v>6908</v>
      </c>
      <c r="AH48" s="2748" t="s">
        <v>6909</v>
      </c>
      <c r="AI48" s="198" t="s">
        <v>6910</v>
      </c>
      <c r="AJ48" s="207" t="s">
        <v>6911</v>
      </c>
    </row>
    <row r="49" spans="1:36">
      <c r="B49" s="177" t="s">
        <v>5008</v>
      </c>
      <c r="C49" s="178" t="s">
        <v>2483</v>
      </c>
      <c r="D49" s="178"/>
      <c r="E49" s="174" t="s">
        <v>750</v>
      </c>
      <c r="F49" s="412">
        <v>3</v>
      </c>
      <c r="G49" s="478"/>
      <c r="H49" s="479"/>
      <c r="I49" s="480"/>
      <c r="J49" s="413">
        <f xml:space="preserve"> H49 - I49</f>
        <v>0</v>
      </c>
      <c r="K49" s="414">
        <f xml:space="preserve"> G49 + J49</f>
        <v>0</v>
      </c>
      <c r="M49" s="66" t="str">
        <f xml:space="preserve"> IF( SUM( O49:S49 ) = 0, 0, $P$6 )</f>
        <v>Please complete all cells in row</v>
      </c>
      <c r="P49" s="98">
        <f t="shared" si="8"/>
        <v>1</v>
      </c>
      <c r="Q49" s="98">
        <f t="shared" si="8"/>
        <v>1</v>
      </c>
      <c r="R49" s="98">
        <f t="shared" si="8"/>
        <v>1</v>
      </c>
      <c r="AA49" s="177" t="s">
        <v>5008</v>
      </c>
      <c r="AB49" s="178" t="s">
        <v>2483</v>
      </c>
      <c r="AC49" s="178"/>
      <c r="AD49" s="174" t="s">
        <v>750</v>
      </c>
      <c r="AE49" s="412">
        <v>3</v>
      </c>
      <c r="AF49" s="2768" t="s">
        <v>6912</v>
      </c>
      <c r="AG49" s="2769" t="s">
        <v>6913</v>
      </c>
      <c r="AH49" s="2770" t="s">
        <v>6914</v>
      </c>
      <c r="AI49" s="413" t="s">
        <v>6915</v>
      </c>
      <c r="AJ49" s="414" t="s">
        <v>6916</v>
      </c>
    </row>
    <row r="50" spans="1:36" ht="15" thickBot="1">
      <c r="B50" s="181" t="s">
        <v>5007</v>
      </c>
      <c r="C50" s="407" t="s">
        <v>2484</v>
      </c>
      <c r="D50" s="407"/>
      <c r="E50" s="182" t="s">
        <v>750</v>
      </c>
      <c r="F50" s="408">
        <v>3</v>
      </c>
      <c r="G50" s="415">
        <f xml:space="preserve"> G48 + G49</f>
        <v>0</v>
      </c>
      <c r="H50" s="410">
        <f xml:space="preserve"> H48 + H49</f>
        <v>0</v>
      </c>
      <c r="I50" s="411">
        <f xml:space="preserve"> I48 + I49</f>
        <v>0</v>
      </c>
      <c r="J50" s="258">
        <f xml:space="preserve"> H50 - I50</f>
        <v>0</v>
      </c>
      <c r="K50" s="415">
        <f xml:space="preserve"> G50 + J50</f>
        <v>0</v>
      </c>
      <c r="M50" s="131"/>
      <c r="AA50" s="181" t="s">
        <v>5007</v>
      </c>
      <c r="AB50" s="407" t="s">
        <v>2484</v>
      </c>
      <c r="AC50" s="407"/>
      <c r="AD50" s="182" t="s">
        <v>750</v>
      </c>
      <c r="AE50" s="408">
        <v>3</v>
      </c>
      <c r="AF50" s="415" t="s">
        <v>6917</v>
      </c>
      <c r="AG50" s="410" t="s">
        <v>6918</v>
      </c>
      <c r="AH50" s="411" t="s">
        <v>6919</v>
      </c>
      <c r="AI50" s="258" t="s">
        <v>6920</v>
      </c>
      <c r="AJ50" s="415" t="s">
        <v>6921</v>
      </c>
    </row>
    <row r="51" spans="1:36" s="115" customFormat="1">
      <c r="C51" s="157"/>
      <c r="D51" s="157"/>
      <c r="H51" s="170"/>
      <c r="J51" s="123"/>
      <c r="K51" s="123"/>
      <c r="L51" s="123"/>
      <c r="M51" s="131"/>
      <c r="N51" s="123"/>
      <c r="O51" s="72"/>
      <c r="P51" s="125"/>
      <c r="Q51" s="123"/>
      <c r="R51" s="288"/>
      <c r="S51" s="72"/>
      <c r="AB51" s="157"/>
      <c r="AC51" s="157"/>
      <c r="AG51" s="170"/>
      <c r="AI51" s="123"/>
      <c r="AJ51" s="123"/>
    </row>
    <row r="52" spans="1:36" s="170" customFormat="1">
      <c r="B52" s="3220" t="s">
        <v>2420</v>
      </c>
      <c r="C52" s="3220"/>
      <c r="D52" s="1449"/>
      <c r="J52" s="131"/>
      <c r="K52" s="131"/>
      <c r="L52" s="131"/>
      <c r="M52" s="131"/>
      <c r="N52" s="131"/>
      <c r="O52" s="72"/>
      <c r="P52" s="131"/>
      <c r="Q52" s="131"/>
      <c r="R52" s="211"/>
      <c r="S52" s="72"/>
    </row>
    <row r="53" spans="1:36" s="170" customFormat="1">
      <c r="B53" s="146"/>
      <c r="C53" s="147"/>
      <c r="D53" s="147"/>
      <c r="J53" s="131"/>
      <c r="K53" s="131"/>
      <c r="L53" s="131"/>
      <c r="M53" s="131"/>
      <c r="N53" s="131"/>
      <c r="O53" s="72"/>
      <c r="P53" s="131"/>
      <c r="Q53" s="131"/>
      <c r="R53" s="211"/>
      <c r="S53" s="72"/>
    </row>
    <row r="54" spans="1:36" s="170" customFormat="1">
      <c r="B54" s="25"/>
      <c r="C54" s="148" t="s">
        <v>2421</v>
      </c>
      <c r="D54" s="148"/>
      <c r="J54" s="131"/>
      <c r="K54" s="131"/>
      <c r="L54" s="131"/>
      <c r="M54" s="131"/>
      <c r="N54" s="131"/>
      <c r="O54" s="72"/>
      <c r="P54" s="131"/>
      <c r="Q54" s="131"/>
      <c r="R54" s="211"/>
      <c r="S54" s="72"/>
    </row>
    <row r="55" spans="1:36" s="170" customFormat="1">
      <c r="B55" s="146"/>
      <c r="C55" s="147"/>
      <c r="D55" s="147"/>
      <c r="J55" s="131"/>
      <c r="K55" s="131"/>
      <c r="L55" s="131"/>
      <c r="M55" s="131"/>
      <c r="N55" s="131"/>
      <c r="O55" s="72"/>
      <c r="P55" s="131"/>
      <c r="Q55" s="131"/>
      <c r="R55" s="211"/>
      <c r="S55" s="72"/>
    </row>
    <row r="56" spans="1:36" s="170" customFormat="1">
      <c r="B56" s="149"/>
      <c r="C56" s="148" t="s">
        <v>2422</v>
      </c>
      <c r="D56" s="148"/>
      <c r="J56" s="131"/>
      <c r="K56" s="131"/>
      <c r="L56" s="131"/>
      <c r="M56" s="131"/>
      <c r="N56" s="131"/>
      <c r="O56" s="72"/>
      <c r="P56" s="131"/>
      <c r="Q56" s="131"/>
      <c r="R56" s="211"/>
      <c r="S56" s="72"/>
    </row>
    <row r="57" spans="1:36" s="170" customFormat="1">
      <c r="B57" s="150"/>
      <c r="C57" s="148"/>
      <c r="D57" s="148"/>
      <c r="J57" s="131"/>
      <c r="K57" s="131"/>
      <c r="L57" s="131"/>
      <c r="M57" s="131"/>
      <c r="N57" s="131"/>
      <c r="O57" s="72"/>
      <c r="P57" s="131"/>
      <c r="Q57" s="131"/>
      <c r="R57" s="211"/>
      <c r="S57" s="72"/>
    </row>
    <row r="58" spans="1:36" s="185" customFormat="1" ht="15" thickBot="1">
      <c r="C58" s="186"/>
      <c r="D58" s="186"/>
      <c r="J58" s="135"/>
      <c r="K58" s="135"/>
      <c r="L58" s="135"/>
      <c r="M58" s="131"/>
      <c r="N58" s="131"/>
      <c r="O58" s="72"/>
      <c r="P58" s="131"/>
      <c r="Q58" s="131"/>
      <c r="R58" s="313"/>
      <c r="S58" s="72"/>
    </row>
    <row r="59" spans="1:36" s="185" customFormat="1" ht="19.5" thickBot="1">
      <c r="B59" s="1433" t="s">
        <v>12572</v>
      </c>
      <c r="C59" s="152"/>
      <c r="D59" s="152"/>
      <c r="E59" s="153"/>
      <c r="F59" s="153"/>
      <c r="G59" s="153"/>
      <c r="H59" s="153"/>
      <c r="I59" s="153"/>
      <c r="J59" s="153"/>
      <c r="K59" s="159"/>
      <c r="L59" s="135"/>
      <c r="M59" s="131"/>
      <c r="N59" s="131"/>
      <c r="O59" s="72"/>
      <c r="P59" s="131"/>
      <c r="Q59" s="131"/>
      <c r="R59" s="313"/>
      <c r="S59" s="72"/>
    </row>
    <row r="60" spans="1:36" s="185" customFormat="1">
      <c r="C60" s="186"/>
      <c r="D60" s="186"/>
      <c r="J60" s="135"/>
      <c r="K60" s="135"/>
      <c r="L60" s="135"/>
      <c r="M60" s="131"/>
      <c r="N60" s="131"/>
      <c r="O60" s="72"/>
      <c r="P60" s="131"/>
      <c r="Q60" s="131"/>
      <c r="R60" s="313"/>
      <c r="S60" s="72"/>
    </row>
    <row r="61" spans="1:36" s="115" customFormat="1" ht="27" hidden="1" customHeight="1" thickBot="1">
      <c r="A61" s="1643"/>
      <c r="B61" s="151" t="str">
        <f ca="1" xml:space="preserve"> RIGHT(CELL("filename", $A$1), LEN(CELL("filename", $A$1)) - SEARCH("]", CELL("filename", $A$1)))&amp;" - Line definitions"</f>
        <v>1C - Line definitions</v>
      </c>
      <c r="C61" s="152"/>
      <c r="D61" s="152"/>
      <c r="E61" s="153"/>
      <c r="F61" s="153"/>
      <c r="G61" s="153"/>
      <c r="H61" s="153"/>
      <c r="I61" s="153"/>
      <c r="J61" s="153"/>
      <c r="K61" s="159"/>
      <c r="L61" s="123"/>
      <c r="M61" s="125"/>
      <c r="N61" s="123"/>
      <c r="O61" s="72"/>
      <c r="P61" s="125"/>
      <c r="Q61" s="123"/>
      <c r="R61" s="288"/>
      <c r="S61" s="72"/>
    </row>
    <row r="62" spans="1:36" s="115" customFormat="1" ht="15" hidden="1" thickBot="1">
      <c r="A62" s="1643"/>
      <c r="B62" s="75"/>
      <c r="C62" s="160"/>
      <c r="D62" s="160"/>
      <c r="E62" s="75"/>
      <c r="F62" s="75"/>
      <c r="G62" s="75"/>
      <c r="J62" s="123"/>
      <c r="K62" s="123"/>
      <c r="L62" s="123"/>
      <c r="M62" s="125"/>
      <c r="N62" s="123"/>
      <c r="O62" s="72"/>
      <c r="P62" s="125"/>
      <c r="Q62" s="123"/>
      <c r="R62" s="288"/>
      <c r="S62" s="72"/>
    </row>
    <row r="63" spans="1:36" s="185" customFormat="1" ht="15" hidden="1" thickBot="1">
      <c r="A63" s="1644"/>
      <c r="B63" s="295" t="s">
        <v>2423</v>
      </c>
      <c r="C63" s="296" t="s">
        <v>2424</v>
      </c>
      <c r="D63" s="1460"/>
      <c r="E63" s="163"/>
      <c r="F63" s="163"/>
      <c r="G63" s="163"/>
      <c r="H63" s="163"/>
      <c r="I63" s="163"/>
      <c r="J63" s="163"/>
      <c r="K63" s="164"/>
      <c r="L63" s="360"/>
      <c r="M63" s="135"/>
      <c r="N63" s="123"/>
      <c r="O63" s="72"/>
      <c r="P63" s="90" t="s">
        <v>2425</v>
      </c>
      <c r="Q63" s="123"/>
      <c r="S63" s="72"/>
    </row>
    <row r="64" spans="1:36" s="115" customFormat="1" ht="13.5" hidden="1" customHeight="1">
      <c r="A64" s="1643"/>
      <c r="B64" s="188" t="str">
        <f t="shared" ref="B64:B70" si="17">B7</f>
        <v>1C.1</v>
      </c>
      <c r="C64" s="3216" t="s">
        <v>3599</v>
      </c>
      <c r="D64" s="3216"/>
      <c r="E64" s="3216"/>
      <c r="F64" s="3216"/>
      <c r="G64" s="3216"/>
      <c r="H64" s="3216"/>
      <c r="I64" s="3216"/>
      <c r="J64" s="3216"/>
      <c r="K64" s="3217"/>
      <c r="L64" s="362"/>
      <c r="M64" s="125"/>
      <c r="N64" s="123"/>
      <c r="O64" s="72"/>
      <c r="P64" s="168">
        <v>1</v>
      </c>
      <c r="Q64" s="123"/>
      <c r="R64" s="288"/>
      <c r="S64" s="72"/>
    </row>
    <row r="65" spans="1:19" s="115" customFormat="1" ht="13.5" hidden="1" customHeight="1">
      <c r="A65" s="1643"/>
      <c r="B65" s="166" t="str">
        <f t="shared" si="17"/>
        <v>1C.2</v>
      </c>
      <c r="C65" s="3198" t="s">
        <v>2485</v>
      </c>
      <c r="D65" s="3198"/>
      <c r="E65" s="3198"/>
      <c r="F65" s="3198"/>
      <c r="G65" s="3198"/>
      <c r="H65" s="3198"/>
      <c r="I65" s="3198"/>
      <c r="J65" s="3198"/>
      <c r="K65" s="3199"/>
      <c r="L65" s="362"/>
      <c r="O65" s="72"/>
      <c r="P65" s="261">
        <v>1</v>
      </c>
      <c r="S65" s="72"/>
    </row>
    <row r="66" spans="1:19" s="115" customFormat="1" ht="13.5" hidden="1" customHeight="1">
      <c r="A66" s="1643"/>
      <c r="B66" s="166" t="str">
        <f t="shared" si="17"/>
        <v>1C.3</v>
      </c>
      <c r="C66" s="3198" t="s">
        <v>2486</v>
      </c>
      <c r="D66" s="3198"/>
      <c r="E66" s="3198"/>
      <c r="F66" s="3198"/>
      <c r="G66" s="3198"/>
      <c r="H66" s="3198"/>
      <c r="I66" s="3198"/>
      <c r="J66" s="3198"/>
      <c r="K66" s="3199"/>
      <c r="L66" s="362"/>
      <c r="O66" s="72"/>
      <c r="P66" s="261">
        <v>1</v>
      </c>
      <c r="S66" s="72"/>
    </row>
    <row r="67" spans="1:19" s="125" customFormat="1" ht="13.5" hidden="1" customHeight="1">
      <c r="A67" s="1645"/>
      <c r="B67" s="166" t="str">
        <f t="shared" si="17"/>
        <v>1C.4</v>
      </c>
      <c r="C67" s="3198" t="s">
        <v>2487</v>
      </c>
      <c r="D67" s="3198"/>
      <c r="E67" s="3198"/>
      <c r="F67" s="3198"/>
      <c r="G67" s="3198"/>
      <c r="H67" s="3198"/>
      <c r="I67" s="3198"/>
      <c r="J67" s="3198"/>
      <c r="K67" s="3199"/>
      <c r="L67" s="362"/>
      <c r="O67" s="72"/>
      <c r="P67" s="261">
        <v>1</v>
      </c>
      <c r="S67" s="72"/>
    </row>
    <row r="68" spans="1:19" s="125" customFormat="1" ht="23.25" hidden="1" customHeight="1">
      <c r="A68" s="1645"/>
      <c r="B68" s="166" t="str">
        <f t="shared" si="17"/>
        <v>1C.5</v>
      </c>
      <c r="C68" s="3198" t="s">
        <v>2488</v>
      </c>
      <c r="D68" s="3198"/>
      <c r="E68" s="3198"/>
      <c r="F68" s="3198"/>
      <c r="G68" s="3198"/>
      <c r="H68" s="3198"/>
      <c r="I68" s="3198"/>
      <c r="J68" s="3198"/>
      <c r="K68" s="3199"/>
      <c r="L68" s="362"/>
      <c r="O68" s="72"/>
      <c r="P68" s="389" t="s">
        <v>2428</v>
      </c>
      <c r="S68" s="72"/>
    </row>
    <row r="69" spans="1:19" s="125" customFormat="1" ht="23.25" hidden="1" customHeight="1">
      <c r="A69" s="1645"/>
      <c r="B69" s="166" t="str">
        <f t="shared" si="17"/>
        <v>1C.6</v>
      </c>
      <c r="C69" s="3198" t="s">
        <v>3768</v>
      </c>
      <c r="D69" s="3198"/>
      <c r="E69" s="3198"/>
      <c r="F69" s="3198"/>
      <c r="G69" s="3198"/>
      <c r="H69" s="3198"/>
      <c r="I69" s="3198"/>
      <c r="J69" s="3198"/>
      <c r="K69" s="3199"/>
      <c r="L69" s="362"/>
      <c r="O69" s="72"/>
      <c r="P69" s="389" t="s">
        <v>2428</v>
      </c>
      <c r="S69" s="72"/>
    </row>
    <row r="70" spans="1:19" ht="13.5" hidden="1" customHeight="1">
      <c r="A70" s="1646"/>
      <c r="B70" s="166" t="str">
        <f t="shared" si="17"/>
        <v>1C.7</v>
      </c>
      <c r="C70" s="3198" t="s">
        <v>2489</v>
      </c>
      <c r="D70" s="3198"/>
      <c r="E70" s="3198"/>
      <c r="F70" s="3198"/>
      <c r="G70" s="3198"/>
      <c r="H70" s="3198"/>
      <c r="I70" s="3198"/>
      <c r="J70" s="3198"/>
      <c r="K70" s="3199"/>
      <c r="L70" s="362"/>
      <c r="P70" s="165">
        <v>1</v>
      </c>
    </row>
    <row r="71" spans="1:19" ht="13.5" hidden="1" customHeight="1">
      <c r="A71" s="1646"/>
      <c r="B71" s="166" t="str">
        <f>B16</f>
        <v>1C.8</v>
      </c>
      <c r="C71" s="3198" t="s">
        <v>2490</v>
      </c>
      <c r="D71" s="3198"/>
      <c r="E71" s="3198"/>
      <c r="F71" s="3198"/>
      <c r="G71" s="3198"/>
      <c r="H71" s="3198"/>
      <c r="I71" s="3198"/>
      <c r="J71" s="3198"/>
      <c r="K71" s="3199"/>
      <c r="L71" s="362"/>
      <c r="P71" s="165">
        <v>1</v>
      </c>
    </row>
    <row r="72" spans="1:19" ht="23.25" hidden="1" customHeight="1">
      <c r="A72" s="1646"/>
      <c r="B72" s="166" t="str">
        <f>B17</f>
        <v>1C.9</v>
      </c>
      <c r="C72" s="3198" t="s">
        <v>2491</v>
      </c>
      <c r="D72" s="3198"/>
      <c r="E72" s="3198"/>
      <c r="F72" s="3198"/>
      <c r="G72" s="3198"/>
      <c r="H72" s="3198"/>
      <c r="I72" s="3198"/>
      <c r="J72" s="3198"/>
      <c r="K72" s="3199"/>
      <c r="L72" s="362"/>
      <c r="P72" s="389" t="s">
        <v>2428</v>
      </c>
    </row>
    <row r="73" spans="1:19" ht="23.25" hidden="1" customHeight="1">
      <c r="A73" s="1646"/>
      <c r="B73" s="166" t="str">
        <f>B18</f>
        <v>1C.10</v>
      </c>
      <c r="C73" s="3198" t="s">
        <v>2492</v>
      </c>
      <c r="D73" s="3198"/>
      <c r="E73" s="3198"/>
      <c r="F73" s="3198"/>
      <c r="G73" s="3198"/>
      <c r="H73" s="3198"/>
      <c r="I73" s="3198"/>
      <c r="J73" s="3198"/>
      <c r="K73" s="3199"/>
      <c r="L73" s="362"/>
      <c r="P73" s="389" t="s">
        <v>2428</v>
      </c>
    </row>
    <row r="74" spans="1:19" ht="23.25" hidden="1" customHeight="1">
      <c r="A74" s="1646"/>
      <c r="B74" s="166" t="str">
        <f>B19</f>
        <v>1C.11</v>
      </c>
      <c r="C74" s="3198" t="s">
        <v>3769</v>
      </c>
      <c r="D74" s="3198"/>
      <c r="E74" s="3198"/>
      <c r="F74" s="3198"/>
      <c r="G74" s="3198"/>
      <c r="H74" s="3198"/>
      <c r="I74" s="3198"/>
      <c r="J74" s="3198"/>
      <c r="K74" s="3199"/>
      <c r="L74" s="362"/>
      <c r="P74" s="389" t="s">
        <v>2428</v>
      </c>
    </row>
    <row r="75" spans="1:19" ht="13.5" hidden="1" customHeight="1">
      <c r="A75" s="1646"/>
      <c r="B75" s="166" t="str">
        <f>B20</f>
        <v>1C.12</v>
      </c>
      <c r="C75" s="3198" t="s">
        <v>2493</v>
      </c>
      <c r="D75" s="3198"/>
      <c r="E75" s="3198"/>
      <c r="F75" s="3198"/>
      <c r="G75" s="3198"/>
      <c r="H75" s="3198"/>
      <c r="I75" s="3198"/>
      <c r="J75" s="3198"/>
      <c r="K75" s="3199"/>
      <c r="L75" s="362"/>
      <c r="P75" s="165">
        <v>1</v>
      </c>
    </row>
    <row r="76" spans="1:19" ht="23.25" hidden="1" customHeight="1">
      <c r="A76" s="1646"/>
      <c r="B76" s="166" t="str">
        <f t="shared" ref="B76:B82" si="18">B23</f>
        <v>1C.13</v>
      </c>
      <c r="C76" s="3198" t="s">
        <v>3723</v>
      </c>
      <c r="D76" s="3198"/>
      <c r="E76" s="3198"/>
      <c r="F76" s="3198"/>
      <c r="G76" s="3198"/>
      <c r="H76" s="3198"/>
      <c r="I76" s="3198"/>
      <c r="J76" s="3198"/>
      <c r="K76" s="3199"/>
      <c r="L76" s="362"/>
      <c r="P76" s="389" t="s">
        <v>2428</v>
      </c>
    </row>
    <row r="77" spans="1:19" ht="13.5" hidden="1" customHeight="1">
      <c r="A77" s="1646"/>
      <c r="B77" s="166" t="str">
        <f t="shared" si="18"/>
        <v>1C.14</v>
      </c>
      <c r="C77" s="3198" t="s">
        <v>2494</v>
      </c>
      <c r="D77" s="3198"/>
      <c r="E77" s="3198"/>
      <c r="F77" s="3198"/>
      <c r="G77" s="3198"/>
      <c r="H77" s="3198"/>
      <c r="I77" s="3198"/>
      <c r="J77" s="3198"/>
      <c r="K77" s="3199"/>
      <c r="L77" s="362"/>
      <c r="P77" s="165">
        <v>1</v>
      </c>
    </row>
    <row r="78" spans="1:19" ht="116.25" hidden="1" customHeight="1">
      <c r="A78" s="1646"/>
      <c r="B78" s="166" t="str">
        <f t="shared" si="18"/>
        <v>1C.15</v>
      </c>
      <c r="C78" s="3198" t="s">
        <v>2495</v>
      </c>
      <c r="D78" s="3198"/>
      <c r="E78" s="3198"/>
      <c r="F78" s="3198"/>
      <c r="G78" s="3198"/>
      <c r="H78" s="3198"/>
      <c r="I78" s="3198"/>
      <c r="J78" s="3198"/>
      <c r="K78" s="3199"/>
      <c r="L78" s="362"/>
      <c r="P78" s="168" t="s">
        <v>2496</v>
      </c>
    </row>
    <row r="79" spans="1:19" ht="23.25" hidden="1" customHeight="1">
      <c r="A79" s="1646"/>
      <c r="B79" s="166" t="str">
        <f t="shared" si="18"/>
        <v>1C.16</v>
      </c>
      <c r="C79" s="3198" t="s">
        <v>2497</v>
      </c>
      <c r="D79" s="3198"/>
      <c r="E79" s="3198"/>
      <c r="F79" s="3198"/>
      <c r="G79" s="3198"/>
      <c r="H79" s="3198"/>
      <c r="I79" s="3198"/>
      <c r="J79" s="3198"/>
      <c r="K79" s="3199"/>
      <c r="L79" s="362"/>
      <c r="P79" s="168" t="s">
        <v>2428</v>
      </c>
    </row>
    <row r="80" spans="1:19" ht="13.5" hidden="1" customHeight="1">
      <c r="A80" s="1646"/>
      <c r="B80" s="166" t="str">
        <f t="shared" si="18"/>
        <v>1C.17</v>
      </c>
      <c r="C80" s="3198" t="s">
        <v>2498</v>
      </c>
      <c r="D80" s="3198"/>
      <c r="E80" s="3198"/>
      <c r="F80" s="3198"/>
      <c r="G80" s="3198"/>
      <c r="H80" s="3198"/>
      <c r="I80" s="3198"/>
      <c r="J80" s="3198"/>
      <c r="K80" s="3199"/>
      <c r="L80" s="362"/>
      <c r="P80" s="165">
        <v>1</v>
      </c>
    </row>
    <row r="81" spans="1:16" ht="23.25" hidden="1" customHeight="1">
      <c r="A81" s="1646"/>
      <c r="B81" s="166" t="str">
        <f t="shared" si="18"/>
        <v>1C.18</v>
      </c>
      <c r="C81" s="3198" t="s">
        <v>2499</v>
      </c>
      <c r="D81" s="3198"/>
      <c r="E81" s="3198"/>
      <c r="F81" s="3198"/>
      <c r="G81" s="3198"/>
      <c r="H81" s="3198"/>
      <c r="I81" s="3198"/>
      <c r="J81" s="3198"/>
      <c r="K81" s="3199"/>
      <c r="L81" s="362"/>
      <c r="P81" s="168" t="s">
        <v>2428</v>
      </c>
    </row>
    <row r="82" spans="1:16" ht="13.5" hidden="1" customHeight="1">
      <c r="A82" s="1646"/>
      <c r="B82" s="166" t="str">
        <f t="shared" si="18"/>
        <v>1C.19</v>
      </c>
      <c r="C82" s="3198" t="s">
        <v>2500</v>
      </c>
      <c r="D82" s="3198"/>
      <c r="E82" s="3198"/>
      <c r="F82" s="3198"/>
      <c r="G82" s="3198"/>
      <c r="H82" s="3198"/>
      <c r="I82" s="3198"/>
      <c r="J82" s="3198"/>
      <c r="K82" s="3199"/>
      <c r="L82" s="362"/>
      <c r="P82" s="165">
        <v>1</v>
      </c>
    </row>
    <row r="83" spans="1:16" ht="13.5" hidden="1" customHeight="1">
      <c r="A83" s="1646"/>
      <c r="B83" s="166" t="str">
        <f t="shared" ref="B83" si="19">B31</f>
        <v>1C.20</v>
      </c>
      <c r="C83" s="3198" t="s">
        <v>2501</v>
      </c>
      <c r="D83" s="3198"/>
      <c r="E83" s="3198"/>
      <c r="F83" s="3198"/>
      <c r="G83" s="3198"/>
      <c r="H83" s="3198"/>
      <c r="I83" s="3198"/>
      <c r="J83" s="3198"/>
      <c r="K83" s="3199"/>
      <c r="L83" s="362"/>
      <c r="P83" s="165">
        <v>1</v>
      </c>
    </row>
    <row r="84" spans="1:16" ht="23.25" hidden="1" customHeight="1">
      <c r="A84" s="1646"/>
      <c r="B84" s="166" t="str">
        <f t="shared" ref="B84:B93" si="20">B34</f>
        <v>1C.21</v>
      </c>
      <c r="C84" s="3198" t="s">
        <v>3724</v>
      </c>
      <c r="D84" s="3198"/>
      <c r="E84" s="3198"/>
      <c r="F84" s="3198"/>
      <c r="G84" s="3198"/>
      <c r="H84" s="3198"/>
      <c r="I84" s="3198"/>
      <c r="J84" s="3198"/>
      <c r="K84" s="3199"/>
      <c r="L84" s="362"/>
      <c r="P84" s="168" t="s">
        <v>2428</v>
      </c>
    </row>
    <row r="85" spans="1:16" ht="116.25" hidden="1" customHeight="1">
      <c r="A85" s="1646"/>
      <c r="B85" s="166" t="str">
        <f t="shared" si="20"/>
        <v>1C.22</v>
      </c>
      <c r="C85" s="3198" t="s">
        <v>2502</v>
      </c>
      <c r="D85" s="3198"/>
      <c r="E85" s="3198"/>
      <c r="F85" s="3198"/>
      <c r="G85" s="3198"/>
      <c r="H85" s="3198"/>
      <c r="I85" s="3198"/>
      <c r="J85" s="3198"/>
      <c r="K85" s="3199"/>
      <c r="L85" s="362"/>
      <c r="P85" s="168" t="s">
        <v>2496</v>
      </c>
    </row>
    <row r="86" spans="1:16" ht="23.25" hidden="1" customHeight="1">
      <c r="A86" s="1646"/>
      <c r="B86" s="166" t="str">
        <f t="shared" si="20"/>
        <v>1C.23</v>
      </c>
      <c r="C86" s="3198" t="s">
        <v>2503</v>
      </c>
      <c r="D86" s="3198"/>
      <c r="E86" s="3198"/>
      <c r="F86" s="3198"/>
      <c r="G86" s="3198"/>
      <c r="H86" s="3198"/>
      <c r="I86" s="3198"/>
      <c r="J86" s="3198"/>
      <c r="K86" s="3199"/>
      <c r="L86" s="362"/>
      <c r="P86" s="168" t="s">
        <v>2428</v>
      </c>
    </row>
    <row r="87" spans="1:16" ht="34.5" hidden="1" customHeight="1">
      <c r="A87" s="1646"/>
      <c r="B87" s="166" t="str">
        <f t="shared" si="20"/>
        <v>1C.24</v>
      </c>
      <c r="C87" s="3198" t="s">
        <v>3770</v>
      </c>
      <c r="D87" s="3198"/>
      <c r="E87" s="3198"/>
      <c r="F87" s="3198"/>
      <c r="G87" s="3198"/>
      <c r="H87" s="3198"/>
      <c r="I87" s="3198"/>
      <c r="J87" s="3198"/>
      <c r="K87" s="3199"/>
      <c r="L87" s="362"/>
      <c r="P87" s="168" t="s">
        <v>2428</v>
      </c>
    </row>
    <row r="88" spans="1:16" ht="13.5" hidden="1" customHeight="1">
      <c r="A88" s="1646"/>
      <c r="B88" s="166" t="str">
        <f t="shared" si="20"/>
        <v>1C.25</v>
      </c>
      <c r="C88" s="3198" t="s">
        <v>2504</v>
      </c>
      <c r="D88" s="3198"/>
      <c r="E88" s="3198"/>
      <c r="F88" s="3198"/>
      <c r="G88" s="3198"/>
      <c r="H88" s="3198"/>
      <c r="I88" s="3198"/>
      <c r="J88" s="3198"/>
      <c r="K88" s="3199"/>
      <c r="L88" s="362"/>
      <c r="P88" s="165">
        <v>1</v>
      </c>
    </row>
    <row r="89" spans="1:16" ht="13.5" hidden="1" customHeight="1">
      <c r="A89" s="1646"/>
      <c r="B89" s="166" t="str">
        <f t="shared" si="20"/>
        <v>1C.26</v>
      </c>
      <c r="C89" s="3198" t="s">
        <v>3600</v>
      </c>
      <c r="D89" s="3198"/>
      <c r="E89" s="3198"/>
      <c r="F89" s="3198"/>
      <c r="G89" s="3198"/>
      <c r="H89" s="3198"/>
      <c r="I89" s="3198"/>
      <c r="J89" s="3198"/>
      <c r="K89" s="3199"/>
      <c r="L89" s="362"/>
      <c r="P89" s="168">
        <v>1</v>
      </c>
    </row>
    <row r="90" spans="1:16" ht="13.5" hidden="1" customHeight="1">
      <c r="A90" s="1646"/>
      <c r="B90" s="166" t="str">
        <f t="shared" si="20"/>
        <v>1C.27</v>
      </c>
      <c r="C90" s="3198" t="s">
        <v>3771</v>
      </c>
      <c r="D90" s="3198"/>
      <c r="E90" s="3198"/>
      <c r="F90" s="3198"/>
      <c r="G90" s="3198"/>
      <c r="H90" s="3198"/>
      <c r="I90" s="3198"/>
      <c r="J90" s="3198"/>
      <c r="K90" s="3199"/>
      <c r="L90" s="362"/>
      <c r="P90" s="168"/>
    </row>
    <row r="91" spans="1:16" ht="13.5" hidden="1" customHeight="1">
      <c r="A91" s="1646"/>
      <c r="B91" s="166" t="str">
        <f t="shared" si="20"/>
        <v>1C.28</v>
      </c>
      <c r="C91" s="3198" t="s">
        <v>2505</v>
      </c>
      <c r="D91" s="3198"/>
      <c r="E91" s="3198"/>
      <c r="F91" s="3198"/>
      <c r="G91" s="3198"/>
      <c r="H91" s="3198"/>
      <c r="I91" s="3198"/>
      <c r="J91" s="3198"/>
      <c r="K91" s="3199"/>
      <c r="L91" s="362"/>
      <c r="P91" s="165">
        <v>1</v>
      </c>
    </row>
    <row r="92" spans="1:16" ht="23.25" hidden="1" customHeight="1">
      <c r="A92" s="1646"/>
      <c r="B92" s="166" t="str">
        <f t="shared" si="20"/>
        <v>1C.29</v>
      </c>
      <c r="C92" s="3198" t="s">
        <v>2506</v>
      </c>
      <c r="D92" s="3198"/>
      <c r="E92" s="3198"/>
      <c r="F92" s="3198"/>
      <c r="G92" s="3198"/>
      <c r="H92" s="3198"/>
      <c r="I92" s="3198"/>
      <c r="J92" s="3198"/>
      <c r="K92" s="3199"/>
      <c r="L92" s="362"/>
      <c r="P92" s="168" t="s">
        <v>2428</v>
      </c>
    </row>
    <row r="93" spans="1:16" ht="13.5" hidden="1" customHeight="1">
      <c r="A93" s="1646"/>
      <c r="B93" s="166" t="str">
        <f t="shared" si="20"/>
        <v>1C.30</v>
      </c>
      <c r="C93" s="3198" t="s">
        <v>3772</v>
      </c>
      <c r="D93" s="3198"/>
      <c r="E93" s="3198"/>
      <c r="F93" s="3198"/>
      <c r="G93" s="3198"/>
      <c r="H93" s="3198"/>
      <c r="I93" s="3198"/>
      <c r="J93" s="3198"/>
      <c r="K93" s="3199"/>
      <c r="L93" s="362"/>
      <c r="P93" s="165">
        <v>1</v>
      </c>
    </row>
    <row r="94" spans="1:16" ht="13.5" hidden="1" customHeight="1">
      <c r="A94" s="1646"/>
      <c r="B94" s="166" t="str">
        <f t="shared" ref="B94" si="21">B45</f>
        <v>1C.31</v>
      </c>
      <c r="C94" s="3198" t="s">
        <v>3773</v>
      </c>
      <c r="D94" s="3198"/>
      <c r="E94" s="3198"/>
      <c r="F94" s="3198"/>
      <c r="G94" s="3198"/>
      <c r="H94" s="3198"/>
      <c r="I94" s="3198"/>
      <c r="J94" s="3198"/>
      <c r="K94" s="3199"/>
      <c r="L94" s="362"/>
      <c r="P94" s="165">
        <v>1</v>
      </c>
    </row>
    <row r="95" spans="1:16" ht="13.5" hidden="1" customHeight="1">
      <c r="A95" s="1646"/>
      <c r="B95" s="166" t="str">
        <f>B48</f>
        <v>1C.32</v>
      </c>
      <c r="C95" s="3198" t="s">
        <v>2507</v>
      </c>
      <c r="D95" s="3198"/>
      <c r="E95" s="3198"/>
      <c r="F95" s="3198"/>
      <c r="G95" s="3198"/>
      <c r="H95" s="3198"/>
      <c r="I95" s="3198"/>
      <c r="J95" s="3198"/>
      <c r="K95" s="3199"/>
      <c r="L95" s="362"/>
      <c r="P95" s="165">
        <v>1</v>
      </c>
    </row>
    <row r="96" spans="1:16" ht="13.5" hidden="1" customHeight="1">
      <c r="A96" s="1646"/>
      <c r="B96" s="166" t="str">
        <f>B49</f>
        <v>1C.33</v>
      </c>
      <c r="C96" s="3198" t="s">
        <v>2508</v>
      </c>
      <c r="D96" s="3198"/>
      <c r="E96" s="3198"/>
      <c r="F96" s="3198"/>
      <c r="G96" s="3198"/>
      <c r="H96" s="3198"/>
      <c r="I96" s="3198"/>
      <c r="J96" s="3198"/>
      <c r="K96" s="3199"/>
      <c r="P96" s="165">
        <v>1</v>
      </c>
    </row>
    <row r="97" spans="1:16" ht="14.25" hidden="1" customHeight="1" thickBot="1">
      <c r="A97" s="1646"/>
      <c r="B97" s="190" t="str">
        <f>B50</f>
        <v>1C.34</v>
      </c>
      <c r="C97" s="3218" t="s">
        <v>3774</v>
      </c>
      <c r="D97" s="3218"/>
      <c r="E97" s="3218"/>
      <c r="F97" s="3218"/>
      <c r="G97" s="3218"/>
      <c r="H97" s="3218"/>
      <c r="I97" s="3218"/>
      <c r="J97" s="3218"/>
      <c r="K97" s="3219"/>
      <c r="P97" s="168">
        <v>1</v>
      </c>
    </row>
    <row r="98" spans="1:16" hidden="1">
      <c r="A98" s="1646"/>
      <c r="B98" s="418"/>
      <c r="C98" s="357"/>
      <c r="D98" s="357"/>
      <c r="E98" s="357"/>
      <c r="F98" s="357"/>
      <c r="G98" s="357"/>
      <c r="H98" s="357"/>
      <c r="I98" s="357"/>
      <c r="J98" s="357"/>
      <c r="K98" s="357"/>
      <c r="P98" s="262"/>
    </row>
  </sheetData>
  <mergeCells count="49">
    <mergeCell ref="AJ3:AJ4"/>
    <mergeCell ref="AA3:AB4"/>
    <mergeCell ref="AD3:AD4"/>
    <mergeCell ref="AE3:AE4"/>
    <mergeCell ref="AF3:AF4"/>
    <mergeCell ref="AG3:AI3"/>
    <mergeCell ref="C97:K97"/>
    <mergeCell ref="C85:K85"/>
    <mergeCell ref="C86:K86"/>
    <mergeCell ref="C87:K87"/>
    <mergeCell ref="C88:K88"/>
    <mergeCell ref="C89:K89"/>
    <mergeCell ref="C91:K91"/>
    <mergeCell ref="C92:K92"/>
    <mergeCell ref="C93:K93"/>
    <mergeCell ref="C94:K94"/>
    <mergeCell ref="C95:K95"/>
    <mergeCell ref="C96:K96"/>
    <mergeCell ref="C90:K90"/>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M3:M4"/>
    <mergeCell ref="P4:R4"/>
    <mergeCell ref="B52:C52"/>
    <mergeCell ref="C64:K64"/>
    <mergeCell ref="C65:K65"/>
    <mergeCell ref="C67:K67"/>
    <mergeCell ref="C68:K68"/>
    <mergeCell ref="C69:K69"/>
    <mergeCell ref="C66:K66"/>
    <mergeCell ref="B3:C4"/>
    <mergeCell ref="E3:E4"/>
    <mergeCell ref="F3:F4"/>
    <mergeCell ref="G3:G4"/>
    <mergeCell ref="H3:J3"/>
    <mergeCell ref="K3:K4"/>
  </mergeCells>
  <conditionalFormatting sqref="M7:M12 M48:M49 M23:M28 M16:M19 M34:M42">
    <cfRule type="cellIs" dxfId="282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0" max="19" man="1"/>
  </rowBreaks>
  <legacyDrawingHF r:id="rId2"/>
</worksheet>
</file>

<file path=xl/worksheets/sheet9.xml><?xml version="1.0" encoding="utf-8"?>
<worksheet xmlns="http://schemas.openxmlformats.org/spreadsheetml/2006/main" xmlns:r="http://schemas.openxmlformats.org/officeDocument/2006/relationships">
  <sheetPr codeName="Sheet7">
    <pageSetUpPr fitToPage="1"/>
  </sheetPr>
  <dimension ref="A1:AK73"/>
  <sheetViews>
    <sheetView workbookViewId="0"/>
  </sheetViews>
  <sheetFormatPr defaultColWidth="0" defaultRowHeight="14.25" zeroHeight="1"/>
  <cols>
    <col min="1" max="1" width="0.625" style="71" customWidth="1"/>
    <col min="2" max="2" width="7.625" style="71" customWidth="1"/>
    <col min="3" max="3" width="38.125" style="71" customWidth="1"/>
    <col min="4" max="4" width="2.625" style="71" hidden="1" customWidth="1"/>
    <col min="5" max="6" width="5.125" style="71" customWidth="1"/>
    <col min="7" max="11" width="12.5" style="71" customWidth="1"/>
    <col min="12" max="12" width="2.125" style="71" customWidth="1"/>
    <col min="13" max="13" width="18.625" style="71" bestFit="1" customWidth="1"/>
    <col min="14" max="14" width="1.625" style="71" customWidth="1"/>
    <col min="15" max="15" width="1.625" style="72" hidden="1" customWidth="1"/>
    <col min="16" max="18" width="5.625" style="71" hidden="1" customWidth="1"/>
    <col min="19" max="19" width="1.625" style="72" hidden="1" customWidth="1"/>
    <col min="20" max="20" width="8.125" style="71" hidden="1" customWidth="1"/>
    <col min="21" max="23" width="8.625" style="71" hidden="1" customWidth="1"/>
    <col min="24" max="25" width="0" style="71" hidden="1" customWidth="1"/>
    <col min="26" max="26" width="8.125" style="71" customWidth="1"/>
    <col min="27" max="27" width="7.625" style="71" customWidth="1"/>
    <col min="28" max="28" width="38.125" style="71" customWidth="1"/>
    <col min="29" max="29" width="2.625" style="71" hidden="1" customWidth="1"/>
    <col min="30" max="31" width="5.125" style="71" customWidth="1"/>
    <col min="32" max="36" width="12.5" style="71" customWidth="1"/>
    <col min="37" max="37" width="2.5" style="71" customWidth="1"/>
    <col min="38" max="16384" width="8.125" style="71" hidden="1"/>
  </cols>
  <sheetData>
    <row r="1" spans="2:36" ht="18.75">
      <c r="B1" s="67" t="s">
        <v>2509</v>
      </c>
      <c r="C1" s="67"/>
      <c r="D1" s="67"/>
      <c r="E1" s="67"/>
      <c r="F1" s="67"/>
      <c r="G1" s="67"/>
      <c r="H1" s="67"/>
      <c r="I1" s="67"/>
      <c r="J1" s="67"/>
      <c r="K1" s="69" t="str">
        <f>Validation!B3</f>
        <v>South West Water – South West area</v>
      </c>
      <c r="L1" s="67"/>
      <c r="M1" s="70" t="s">
        <v>2394</v>
      </c>
      <c r="AA1" s="67" t="s">
        <v>6671</v>
      </c>
      <c r="AB1" s="67"/>
      <c r="AC1" s="67"/>
      <c r="AD1" s="67"/>
      <c r="AE1" s="67"/>
      <c r="AF1" s="67"/>
      <c r="AG1" s="67"/>
      <c r="AH1" s="67"/>
      <c r="AI1" s="67"/>
      <c r="AJ1" s="69"/>
    </row>
    <row r="2" spans="2:36" ht="15" thickBot="1">
      <c r="B2" s="74" t="s">
        <v>12524</v>
      </c>
      <c r="AA2" s="74" t="str">
        <f>B2</f>
        <v>For the 12 months ended 31 March 2019</v>
      </c>
    </row>
    <row r="3" spans="2:36" ht="15" customHeight="1">
      <c r="B3" s="3200" t="s">
        <v>2395</v>
      </c>
      <c r="C3" s="3201"/>
      <c r="D3" s="1447" t="s">
        <v>6496</v>
      </c>
      <c r="E3" s="3204" t="s">
        <v>2396</v>
      </c>
      <c r="F3" s="3206" t="s">
        <v>2397</v>
      </c>
      <c r="G3" s="3208" t="s">
        <v>2398</v>
      </c>
      <c r="H3" s="3210" t="s">
        <v>2399</v>
      </c>
      <c r="I3" s="3211"/>
      <c r="J3" s="3212"/>
      <c r="K3" s="3213" t="s">
        <v>2400</v>
      </c>
      <c r="M3" s="3213" t="s">
        <v>1361</v>
      </c>
      <c r="AA3" s="3200" t="s">
        <v>2395</v>
      </c>
      <c r="AB3" s="3201"/>
      <c r="AC3" s="1680" t="s">
        <v>6496</v>
      </c>
      <c r="AD3" s="3204" t="s">
        <v>2396</v>
      </c>
      <c r="AE3" s="3206" t="s">
        <v>2397</v>
      </c>
      <c r="AF3" s="3208" t="s">
        <v>2398</v>
      </c>
      <c r="AG3" s="3210" t="s">
        <v>2399</v>
      </c>
      <c r="AH3" s="3211"/>
      <c r="AI3" s="3212"/>
      <c r="AJ3" s="3213" t="s">
        <v>2400</v>
      </c>
    </row>
    <row r="4" spans="2:36" ht="51.75" thickBot="1">
      <c r="B4" s="3202"/>
      <c r="C4" s="3203"/>
      <c r="D4" s="1448"/>
      <c r="E4" s="3205"/>
      <c r="F4" s="3207"/>
      <c r="G4" s="3209"/>
      <c r="H4" s="80" t="s">
        <v>2401</v>
      </c>
      <c r="I4" s="81" t="s">
        <v>2402</v>
      </c>
      <c r="J4" s="82" t="s">
        <v>2403</v>
      </c>
      <c r="K4" s="3214"/>
      <c r="M4" s="3214"/>
      <c r="N4" s="83"/>
      <c r="P4" s="3215" t="s">
        <v>2404</v>
      </c>
      <c r="Q4" s="3215"/>
      <c r="R4" s="3215"/>
      <c r="AA4" s="3202"/>
      <c r="AB4" s="3203"/>
      <c r="AC4" s="1681"/>
      <c r="AD4" s="3205"/>
      <c r="AE4" s="3207"/>
      <c r="AF4" s="3209"/>
      <c r="AG4" s="1682" t="s">
        <v>2401</v>
      </c>
      <c r="AH4" s="81" t="s">
        <v>2402</v>
      </c>
      <c r="AI4" s="1683" t="s">
        <v>2403</v>
      </c>
      <c r="AJ4" s="3214"/>
    </row>
    <row r="5" spans="2:36" ht="15" thickBot="1"/>
    <row r="6" spans="2:36" ht="15" thickBot="1">
      <c r="B6" s="87" t="s">
        <v>2449</v>
      </c>
      <c r="C6" s="88" t="s">
        <v>2510</v>
      </c>
      <c r="D6" s="1584"/>
      <c r="P6" s="90" t="s">
        <v>2405</v>
      </c>
      <c r="AA6" s="87" t="s">
        <v>2449</v>
      </c>
      <c r="AB6" s="88" t="s">
        <v>2510</v>
      </c>
      <c r="AC6" s="1584"/>
    </row>
    <row r="7" spans="2:36">
      <c r="B7" s="91" t="s">
        <v>5009</v>
      </c>
      <c r="C7" s="122" t="s">
        <v>2409</v>
      </c>
      <c r="D7" s="122"/>
      <c r="E7" s="93" t="s">
        <v>750</v>
      </c>
      <c r="F7" s="94">
        <v>3</v>
      </c>
      <c r="G7" s="394">
        <f>'1A'!G9</f>
        <v>0</v>
      </c>
      <c r="H7" s="782">
        <f>'1A'!H9</f>
        <v>0</v>
      </c>
      <c r="I7" s="711">
        <f>'1A'!I9</f>
        <v>0</v>
      </c>
      <c r="J7" s="198">
        <f t="shared" ref="J7:J15" si="0" xml:space="preserve"> H7 - I7</f>
        <v>0</v>
      </c>
      <c r="K7" s="204">
        <f t="shared" ref="K7:K15" si="1" xml:space="preserve"> G7 + J7</f>
        <v>0</v>
      </c>
      <c r="M7" s="131"/>
      <c r="P7" s="132"/>
      <c r="Q7" s="132"/>
      <c r="R7" s="132"/>
      <c r="AA7" s="91" t="s">
        <v>5009</v>
      </c>
      <c r="AB7" s="122" t="s">
        <v>2409</v>
      </c>
      <c r="AC7" s="122"/>
      <c r="AD7" s="93" t="s">
        <v>750</v>
      </c>
      <c r="AE7" s="94">
        <v>3</v>
      </c>
      <c r="AF7" s="394" t="str">
        <f>'1A'!AF9</f>
        <v>BO2060STAT</v>
      </c>
      <c r="AG7" s="782" t="str">
        <f>'1A'!AG9</f>
        <v>BO2060DSR</v>
      </c>
      <c r="AH7" s="711" t="str">
        <f>'1A'!AH9</f>
        <v>BO2060NA</v>
      </c>
      <c r="AI7" s="198" t="s">
        <v>6690</v>
      </c>
      <c r="AJ7" s="204" t="s">
        <v>6691</v>
      </c>
    </row>
    <row r="8" spans="2:36">
      <c r="B8" s="99" t="s">
        <v>5010</v>
      </c>
      <c r="C8" s="92" t="s">
        <v>2410</v>
      </c>
      <c r="D8" s="92"/>
      <c r="E8" s="100" t="s">
        <v>750</v>
      </c>
      <c r="F8" s="101">
        <v>3</v>
      </c>
      <c r="G8" s="473"/>
      <c r="H8" s="428"/>
      <c r="I8" s="429"/>
      <c r="J8" s="199">
        <f t="shared" si="0"/>
        <v>0</v>
      </c>
      <c r="K8" s="205">
        <f t="shared" si="1"/>
        <v>0</v>
      </c>
      <c r="M8" s="24" t="str">
        <f xml:space="preserve"> IF( SUM( O8:S8 ) = 0, 0, $P$6 )</f>
        <v>Please complete all cells in row</v>
      </c>
      <c r="P8" s="98">
        <f t="shared" ref="P8:R33" si="2" xml:space="preserve"> IF( ISNUMBER( G8 ), 0, 1 )</f>
        <v>1</v>
      </c>
      <c r="Q8" s="98">
        <f t="shared" si="2"/>
        <v>1</v>
      </c>
      <c r="R8" s="98">
        <f t="shared" si="2"/>
        <v>1</v>
      </c>
      <c r="AA8" s="99" t="s">
        <v>5010</v>
      </c>
      <c r="AB8" s="92" t="s">
        <v>2410</v>
      </c>
      <c r="AC8" s="92"/>
      <c r="AD8" s="100" t="s">
        <v>750</v>
      </c>
      <c r="AE8" s="101">
        <v>3</v>
      </c>
      <c r="AF8" s="2753" t="s">
        <v>6922</v>
      </c>
      <c r="AG8" s="2750" t="s">
        <v>6923</v>
      </c>
      <c r="AH8" s="2751" t="s">
        <v>6924</v>
      </c>
      <c r="AI8" s="199" t="s">
        <v>6925</v>
      </c>
      <c r="AJ8" s="205" t="s">
        <v>6926</v>
      </c>
    </row>
    <row r="9" spans="2:36">
      <c r="B9" s="99" t="s">
        <v>5011</v>
      </c>
      <c r="C9" s="92" t="s">
        <v>2511</v>
      </c>
      <c r="D9" s="92"/>
      <c r="E9" s="100" t="s">
        <v>750</v>
      </c>
      <c r="F9" s="101">
        <v>3</v>
      </c>
      <c r="G9" s="473"/>
      <c r="H9" s="428"/>
      <c r="I9" s="429"/>
      <c r="J9" s="199">
        <f t="shared" si="0"/>
        <v>0</v>
      </c>
      <c r="K9" s="205">
        <f t="shared" si="1"/>
        <v>0</v>
      </c>
      <c r="M9" s="24" t="str">
        <f t="shared" ref="M9:M14" si="3" xml:space="preserve"> IF( SUM( O9:S9 ) = 0, 0, $P$6 )</f>
        <v>Please complete all cells in row</v>
      </c>
      <c r="P9" s="98">
        <f t="shared" si="2"/>
        <v>1</v>
      </c>
      <c r="Q9" s="98">
        <f t="shared" si="2"/>
        <v>1</v>
      </c>
      <c r="R9" s="98">
        <f t="shared" si="2"/>
        <v>1</v>
      </c>
      <c r="AA9" s="99" t="s">
        <v>5011</v>
      </c>
      <c r="AB9" s="92" t="s">
        <v>2511</v>
      </c>
      <c r="AC9" s="92"/>
      <c r="AD9" s="100" t="s">
        <v>750</v>
      </c>
      <c r="AE9" s="101">
        <v>3</v>
      </c>
      <c r="AF9" s="2753" t="s">
        <v>6927</v>
      </c>
      <c r="AG9" s="2750" t="s">
        <v>6928</v>
      </c>
      <c r="AH9" s="2751" t="s">
        <v>6929</v>
      </c>
      <c r="AI9" s="199" t="s">
        <v>6930</v>
      </c>
      <c r="AJ9" s="205" t="s">
        <v>6931</v>
      </c>
    </row>
    <row r="10" spans="2:36">
      <c r="B10" s="99" t="s">
        <v>5012</v>
      </c>
      <c r="C10" s="92" t="s">
        <v>2512</v>
      </c>
      <c r="D10" s="92"/>
      <c r="E10" s="100" t="s">
        <v>750</v>
      </c>
      <c r="F10" s="101">
        <v>3</v>
      </c>
      <c r="G10" s="474"/>
      <c r="H10" s="475"/>
      <c r="I10" s="476"/>
      <c r="J10" s="199">
        <f t="shared" si="0"/>
        <v>0</v>
      </c>
      <c r="K10" s="205">
        <f t="shared" si="1"/>
        <v>0</v>
      </c>
      <c r="M10" s="24" t="str">
        <f t="shared" si="3"/>
        <v>Please complete all cells in row</v>
      </c>
      <c r="P10" s="98">
        <f t="shared" si="2"/>
        <v>1</v>
      </c>
      <c r="Q10" s="98">
        <f t="shared" si="2"/>
        <v>1</v>
      </c>
      <c r="R10" s="98">
        <f t="shared" si="2"/>
        <v>1</v>
      </c>
      <c r="AA10" s="99" t="s">
        <v>5012</v>
      </c>
      <c r="AB10" s="92" t="s">
        <v>2512</v>
      </c>
      <c r="AC10" s="92"/>
      <c r="AD10" s="100" t="s">
        <v>750</v>
      </c>
      <c r="AE10" s="101">
        <v>3</v>
      </c>
      <c r="AF10" s="2764" t="s">
        <v>6932</v>
      </c>
      <c r="AG10" s="2765" t="s">
        <v>6933</v>
      </c>
      <c r="AH10" s="2766" t="s">
        <v>6934</v>
      </c>
      <c r="AI10" s="199" t="s">
        <v>6935</v>
      </c>
      <c r="AJ10" s="205" t="s">
        <v>6936</v>
      </c>
    </row>
    <row r="11" spans="2:36">
      <c r="B11" s="99" t="s">
        <v>5014</v>
      </c>
      <c r="C11" s="92" t="s">
        <v>2513</v>
      </c>
      <c r="D11" s="92"/>
      <c r="E11" s="100" t="s">
        <v>750</v>
      </c>
      <c r="F11" s="101">
        <v>3</v>
      </c>
      <c r="G11" s="474"/>
      <c r="H11" s="475"/>
      <c r="I11" s="476"/>
      <c r="J11" s="199">
        <f t="shared" si="0"/>
        <v>0</v>
      </c>
      <c r="K11" s="205">
        <f t="shared" si="1"/>
        <v>0</v>
      </c>
      <c r="M11" s="24" t="str">
        <f t="shared" si="3"/>
        <v>Please complete all cells in row</v>
      </c>
      <c r="P11" s="98">
        <f t="shared" si="2"/>
        <v>1</v>
      </c>
      <c r="Q11" s="98">
        <f t="shared" si="2"/>
        <v>1</v>
      </c>
      <c r="R11" s="98">
        <f t="shared" si="2"/>
        <v>1</v>
      </c>
      <c r="AA11" s="99" t="s">
        <v>5014</v>
      </c>
      <c r="AB11" s="92" t="s">
        <v>2513</v>
      </c>
      <c r="AC11" s="92"/>
      <c r="AD11" s="100" t="s">
        <v>750</v>
      </c>
      <c r="AE11" s="101">
        <v>3</v>
      </c>
      <c r="AF11" s="2764" t="s">
        <v>6937</v>
      </c>
      <c r="AG11" s="2765" t="s">
        <v>6938</v>
      </c>
      <c r="AH11" s="2766" t="s">
        <v>6939</v>
      </c>
      <c r="AI11" s="199" t="s">
        <v>6940</v>
      </c>
      <c r="AJ11" s="205" t="s">
        <v>6941</v>
      </c>
    </row>
    <row r="12" spans="2:36">
      <c r="B12" s="99" t="s">
        <v>5013</v>
      </c>
      <c r="C12" s="92" t="s">
        <v>2514</v>
      </c>
      <c r="D12" s="92"/>
      <c r="E12" s="100" t="s">
        <v>750</v>
      </c>
      <c r="F12" s="101">
        <v>3</v>
      </c>
      <c r="G12" s="474"/>
      <c r="H12" s="475"/>
      <c r="I12" s="476"/>
      <c r="J12" s="199">
        <f t="shared" si="0"/>
        <v>0</v>
      </c>
      <c r="K12" s="205">
        <f t="shared" si="1"/>
        <v>0</v>
      </c>
      <c r="M12" s="24" t="str">
        <f t="shared" si="3"/>
        <v>Please complete all cells in row</v>
      </c>
      <c r="P12" s="98">
        <f t="shared" si="2"/>
        <v>1</v>
      </c>
      <c r="Q12" s="98">
        <f t="shared" si="2"/>
        <v>1</v>
      </c>
      <c r="R12" s="98">
        <f t="shared" si="2"/>
        <v>1</v>
      </c>
      <c r="AA12" s="99" t="s">
        <v>5013</v>
      </c>
      <c r="AB12" s="92" t="s">
        <v>2514</v>
      </c>
      <c r="AC12" s="92"/>
      <c r="AD12" s="100" t="s">
        <v>750</v>
      </c>
      <c r="AE12" s="101">
        <v>3</v>
      </c>
      <c r="AF12" s="2764" t="s">
        <v>6942</v>
      </c>
      <c r="AG12" s="2765" t="s">
        <v>6943</v>
      </c>
      <c r="AH12" s="2766" t="s">
        <v>6944</v>
      </c>
      <c r="AI12" s="199" t="s">
        <v>6945</v>
      </c>
      <c r="AJ12" s="205" t="s">
        <v>6946</v>
      </c>
    </row>
    <row r="13" spans="2:36">
      <c r="B13" s="99" t="s">
        <v>5015</v>
      </c>
      <c r="C13" s="92" t="s">
        <v>2515</v>
      </c>
      <c r="D13" s="92"/>
      <c r="E13" s="100" t="s">
        <v>750</v>
      </c>
      <c r="F13" s="101">
        <v>3</v>
      </c>
      <c r="G13" s="474"/>
      <c r="H13" s="475"/>
      <c r="I13" s="476"/>
      <c r="J13" s="199">
        <f t="shared" si="0"/>
        <v>0</v>
      </c>
      <c r="K13" s="205">
        <f t="shared" si="1"/>
        <v>0</v>
      </c>
      <c r="M13" s="24" t="str">
        <f t="shared" si="3"/>
        <v>Please complete all cells in row</v>
      </c>
      <c r="P13" s="98">
        <f t="shared" si="2"/>
        <v>1</v>
      </c>
      <c r="Q13" s="98">
        <f t="shared" si="2"/>
        <v>1</v>
      </c>
      <c r="R13" s="98">
        <f t="shared" si="2"/>
        <v>1</v>
      </c>
      <c r="AA13" s="99" t="s">
        <v>5015</v>
      </c>
      <c r="AB13" s="92" t="s">
        <v>2515</v>
      </c>
      <c r="AC13" s="92"/>
      <c r="AD13" s="100" t="s">
        <v>750</v>
      </c>
      <c r="AE13" s="101">
        <v>3</v>
      </c>
      <c r="AF13" s="2764" t="s">
        <v>6947</v>
      </c>
      <c r="AG13" s="2765" t="s">
        <v>6948</v>
      </c>
      <c r="AH13" s="2766" t="s">
        <v>6949</v>
      </c>
      <c r="AI13" s="199" t="s">
        <v>6950</v>
      </c>
      <c r="AJ13" s="205" t="s">
        <v>6951</v>
      </c>
    </row>
    <row r="14" spans="2:36">
      <c r="B14" s="99" t="s">
        <v>5016</v>
      </c>
      <c r="C14" s="92" t="s">
        <v>2516</v>
      </c>
      <c r="D14" s="92"/>
      <c r="E14" s="100" t="s">
        <v>750</v>
      </c>
      <c r="F14" s="101">
        <v>3</v>
      </c>
      <c r="G14" s="474"/>
      <c r="H14" s="475"/>
      <c r="I14" s="476"/>
      <c r="J14" s="199">
        <f t="shared" si="0"/>
        <v>0</v>
      </c>
      <c r="K14" s="205">
        <f t="shared" si="1"/>
        <v>0</v>
      </c>
      <c r="M14" s="24" t="str">
        <f t="shared" si="3"/>
        <v>Please complete all cells in row</v>
      </c>
      <c r="P14" s="98">
        <f t="shared" si="2"/>
        <v>1</v>
      </c>
      <c r="Q14" s="98">
        <f t="shared" si="2"/>
        <v>1</v>
      </c>
      <c r="R14" s="98">
        <f t="shared" si="2"/>
        <v>1</v>
      </c>
      <c r="AA14" s="99" t="s">
        <v>5016</v>
      </c>
      <c r="AB14" s="92" t="s">
        <v>2516</v>
      </c>
      <c r="AC14" s="92"/>
      <c r="AD14" s="100" t="s">
        <v>750</v>
      </c>
      <c r="AE14" s="101">
        <v>3</v>
      </c>
      <c r="AF14" s="2764" t="s">
        <v>6952</v>
      </c>
      <c r="AG14" s="2765" t="s">
        <v>6953</v>
      </c>
      <c r="AH14" s="2766" t="s">
        <v>6954</v>
      </c>
      <c r="AI14" s="199" t="s">
        <v>6955</v>
      </c>
      <c r="AJ14" s="205" t="s">
        <v>6956</v>
      </c>
    </row>
    <row r="15" spans="2:36" ht="15" thickBot="1">
      <c r="B15" s="106" t="s">
        <v>5017</v>
      </c>
      <c r="C15" s="107" t="s">
        <v>2517</v>
      </c>
      <c r="D15" s="107"/>
      <c r="E15" s="108" t="s">
        <v>750</v>
      </c>
      <c r="F15" s="105">
        <v>3</v>
      </c>
      <c r="G15" s="409">
        <f>SUM( G7:G14 )</f>
        <v>0</v>
      </c>
      <c r="H15" s="201">
        <f>SUM( H7:H14 )</f>
        <v>0</v>
      </c>
      <c r="I15" s="202">
        <f>SUM( I7:I14 )</f>
        <v>0</v>
      </c>
      <c r="J15" s="203">
        <f t="shared" si="0"/>
        <v>0</v>
      </c>
      <c r="K15" s="206">
        <f t="shared" si="1"/>
        <v>0</v>
      </c>
      <c r="M15" s="131"/>
      <c r="AA15" s="106" t="s">
        <v>5017</v>
      </c>
      <c r="AB15" s="107" t="s">
        <v>2517</v>
      </c>
      <c r="AC15" s="107"/>
      <c r="AD15" s="108" t="s">
        <v>750</v>
      </c>
      <c r="AE15" s="105">
        <v>3</v>
      </c>
      <c r="AF15" s="409" t="s">
        <v>6957</v>
      </c>
      <c r="AG15" s="201" t="s">
        <v>6958</v>
      </c>
      <c r="AH15" s="202" t="s">
        <v>6959</v>
      </c>
      <c r="AI15" s="203" t="s">
        <v>6960</v>
      </c>
      <c r="AJ15" s="206" t="s">
        <v>6961</v>
      </c>
    </row>
    <row r="16" spans="2:36" ht="15" thickBot="1">
      <c r="M16" s="131"/>
    </row>
    <row r="17" spans="2:36">
      <c r="B17" s="91" t="s">
        <v>5018</v>
      </c>
      <c r="C17" s="122" t="s">
        <v>2518</v>
      </c>
      <c r="D17" s="122"/>
      <c r="E17" s="93" t="s">
        <v>750</v>
      </c>
      <c r="F17" s="94">
        <v>3</v>
      </c>
      <c r="G17" s="477"/>
      <c r="H17" s="430"/>
      <c r="I17" s="441"/>
      <c r="J17" s="198">
        <f xml:space="preserve"> H17 - I17</f>
        <v>0</v>
      </c>
      <c r="K17" s="204">
        <f xml:space="preserve"> G17 + J17</f>
        <v>0</v>
      </c>
      <c r="M17" s="24" t="str">
        <f t="shared" ref="M17:M18" si="4" xml:space="preserve"> IF( SUM( O17:S17 ) = 0, 0, $P$6 )</f>
        <v>Please complete all cells in row</v>
      </c>
      <c r="P17" s="98">
        <f t="shared" si="2"/>
        <v>1</v>
      </c>
      <c r="Q17" s="98">
        <f t="shared" si="2"/>
        <v>1</v>
      </c>
      <c r="R17" s="98">
        <f t="shared" si="2"/>
        <v>1</v>
      </c>
      <c r="AA17" s="91" t="s">
        <v>5018</v>
      </c>
      <c r="AB17" s="122" t="s">
        <v>2518</v>
      </c>
      <c r="AC17" s="122"/>
      <c r="AD17" s="93" t="s">
        <v>750</v>
      </c>
      <c r="AE17" s="94">
        <v>3</v>
      </c>
      <c r="AF17" s="2752" t="s">
        <v>6962</v>
      </c>
      <c r="AG17" s="2747" t="s">
        <v>6963</v>
      </c>
      <c r="AH17" s="2748" t="s">
        <v>6964</v>
      </c>
      <c r="AI17" s="198" t="s">
        <v>6965</v>
      </c>
      <c r="AJ17" s="204" t="s">
        <v>6966</v>
      </c>
    </row>
    <row r="18" spans="2:36">
      <c r="B18" s="99" t="s">
        <v>5027</v>
      </c>
      <c r="C18" s="92" t="s">
        <v>2519</v>
      </c>
      <c r="D18" s="92"/>
      <c r="E18" s="100" t="s">
        <v>750</v>
      </c>
      <c r="F18" s="101">
        <v>3</v>
      </c>
      <c r="G18" s="473"/>
      <c r="H18" s="428"/>
      <c r="I18" s="429"/>
      <c r="J18" s="199">
        <f xml:space="preserve"> H18 - I18</f>
        <v>0</v>
      </c>
      <c r="K18" s="205">
        <f xml:space="preserve"> G18 + J18</f>
        <v>0</v>
      </c>
      <c r="M18" s="24" t="str">
        <f t="shared" si="4"/>
        <v>Please complete all cells in row</v>
      </c>
      <c r="P18" s="98">
        <f t="shared" si="2"/>
        <v>1</v>
      </c>
      <c r="Q18" s="98">
        <f t="shared" si="2"/>
        <v>1</v>
      </c>
      <c r="R18" s="98">
        <f t="shared" si="2"/>
        <v>1</v>
      </c>
      <c r="AA18" s="99" t="s">
        <v>5027</v>
      </c>
      <c r="AB18" s="92" t="s">
        <v>2519</v>
      </c>
      <c r="AC18" s="92"/>
      <c r="AD18" s="100" t="s">
        <v>750</v>
      </c>
      <c r="AE18" s="101">
        <v>3</v>
      </c>
      <c r="AF18" s="2753" t="s">
        <v>6967</v>
      </c>
      <c r="AG18" s="2750" t="s">
        <v>6968</v>
      </c>
      <c r="AH18" s="2751" t="s">
        <v>6969</v>
      </c>
      <c r="AI18" s="199" t="s">
        <v>6970</v>
      </c>
      <c r="AJ18" s="205" t="s">
        <v>6971</v>
      </c>
    </row>
    <row r="19" spans="2:36" ht="15" thickBot="1">
      <c r="B19" s="106" t="s">
        <v>5019</v>
      </c>
      <c r="C19" s="107" t="s">
        <v>2520</v>
      </c>
      <c r="D19" s="107"/>
      <c r="E19" s="108" t="s">
        <v>750</v>
      </c>
      <c r="F19" s="105">
        <v>3</v>
      </c>
      <c r="G19" s="203">
        <f xml:space="preserve"> G15 + SUM( G17:G18 )</f>
        <v>0</v>
      </c>
      <c r="H19" s="201">
        <f xml:space="preserve"> H15 + SUM( H17:H18 )</f>
        <v>0</v>
      </c>
      <c r="I19" s="202">
        <f xml:space="preserve"> I15 + SUM( I17:I18 )</f>
        <v>0</v>
      </c>
      <c r="J19" s="203">
        <f xml:space="preserve"> H19 - I19</f>
        <v>0</v>
      </c>
      <c r="K19" s="206">
        <f xml:space="preserve"> G19 + J19</f>
        <v>0</v>
      </c>
      <c r="M19" s="131"/>
      <c r="AA19" s="106" t="s">
        <v>5019</v>
      </c>
      <c r="AB19" s="107" t="s">
        <v>2520</v>
      </c>
      <c r="AC19" s="107"/>
      <c r="AD19" s="108" t="s">
        <v>750</v>
      </c>
      <c r="AE19" s="105">
        <v>3</v>
      </c>
      <c r="AF19" s="203" t="s">
        <v>6972</v>
      </c>
      <c r="AG19" s="201" t="s">
        <v>6973</v>
      </c>
      <c r="AH19" s="202" t="s">
        <v>6974</v>
      </c>
      <c r="AI19" s="203" t="s">
        <v>6975</v>
      </c>
      <c r="AJ19" s="206" t="s">
        <v>6976</v>
      </c>
    </row>
    <row r="20" spans="2:36" ht="15" thickBot="1">
      <c r="M20" s="131"/>
    </row>
    <row r="21" spans="2:36" ht="15" thickBot="1">
      <c r="B21" s="87" t="s">
        <v>2464</v>
      </c>
      <c r="C21" s="88" t="s">
        <v>2521</v>
      </c>
      <c r="D21" s="1584"/>
      <c r="M21" s="131"/>
      <c r="AA21" s="87" t="s">
        <v>2464</v>
      </c>
      <c r="AB21" s="88" t="s">
        <v>2521</v>
      </c>
      <c r="AC21" s="1584"/>
    </row>
    <row r="22" spans="2:36">
      <c r="B22" s="91" t="s">
        <v>5020</v>
      </c>
      <c r="C22" s="122" t="s">
        <v>2522</v>
      </c>
      <c r="D22" s="122"/>
      <c r="E22" s="93" t="s">
        <v>750</v>
      </c>
      <c r="F22" s="94">
        <v>3</v>
      </c>
      <c r="G22" s="477"/>
      <c r="H22" s="430"/>
      <c r="I22" s="441"/>
      <c r="J22" s="198">
        <f t="shared" ref="J22:J28" si="5" xml:space="preserve"> H22 - I22</f>
        <v>0</v>
      </c>
      <c r="K22" s="204">
        <f t="shared" ref="K22:K28" si="6" xml:space="preserve"> G22 + J22</f>
        <v>0</v>
      </c>
      <c r="M22" s="24" t="str">
        <f t="shared" ref="M22:M25" si="7" xml:space="preserve"> IF( SUM( O22:S22 ) = 0, 0, $P$6 )</f>
        <v>Please complete all cells in row</v>
      </c>
      <c r="P22" s="98">
        <f t="shared" si="2"/>
        <v>1</v>
      </c>
      <c r="Q22" s="98">
        <f t="shared" si="2"/>
        <v>1</v>
      </c>
      <c r="R22" s="98">
        <f t="shared" si="2"/>
        <v>1</v>
      </c>
      <c r="AA22" s="91" t="s">
        <v>5020</v>
      </c>
      <c r="AB22" s="122" t="s">
        <v>2522</v>
      </c>
      <c r="AC22" s="122"/>
      <c r="AD22" s="93" t="s">
        <v>750</v>
      </c>
      <c r="AE22" s="94">
        <v>3</v>
      </c>
      <c r="AF22" s="2752" t="s">
        <v>6977</v>
      </c>
      <c r="AG22" s="2747" t="s">
        <v>6978</v>
      </c>
      <c r="AH22" s="2748" t="s">
        <v>6979</v>
      </c>
      <c r="AI22" s="198" t="s">
        <v>6980</v>
      </c>
      <c r="AJ22" s="204" t="s">
        <v>6981</v>
      </c>
    </row>
    <row r="23" spans="2:36">
      <c r="B23" s="99" t="s">
        <v>5021</v>
      </c>
      <c r="C23" s="92" t="s">
        <v>2523</v>
      </c>
      <c r="D23" s="92"/>
      <c r="E23" s="100" t="s">
        <v>750</v>
      </c>
      <c r="F23" s="101">
        <v>3</v>
      </c>
      <c r="G23" s="473"/>
      <c r="H23" s="428"/>
      <c r="I23" s="429"/>
      <c r="J23" s="199">
        <f t="shared" si="5"/>
        <v>0</v>
      </c>
      <c r="K23" s="205">
        <f t="shared" si="6"/>
        <v>0</v>
      </c>
      <c r="M23" s="24" t="str">
        <f t="shared" si="7"/>
        <v>Please complete all cells in row</v>
      </c>
      <c r="O23" s="129"/>
      <c r="P23" s="98">
        <f t="shared" si="2"/>
        <v>1</v>
      </c>
      <c r="Q23" s="98">
        <f t="shared" si="2"/>
        <v>1</v>
      </c>
      <c r="R23" s="98">
        <f t="shared" si="2"/>
        <v>1</v>
      </c>
      <c r="S23" s="129"/>
      <c r="AA23" s="99" t="s">
        <v>5021</v>
      </c>
      <c r="AB23" s="92" t="s">
        <v>2523</v>
      </c>
      <c r="AC23" s="92"/>
      <c r="AD23" s="100" t="s">
        <v>750</v>
      </c>
      <c r="AE23" s="101">
        <v>3</v>
      </c>
      <c r="AF23" s="2753" t="s">
        <v>6982</v>
      </c>
      <c r="AG23" s="2750" t="s">
        <v>6983</v>
      </c>
      <c r="AH23" s="2751" t="s">
        <v>6984</v>
      </c>
      <c r="AI23" s="199" t="s">
        <v>6985</v>
      </c>
      <c r="AJ23" s="205" t="s">
        <v>6986</v>
      </c>
    </row>
    <row r="24" spans="2:36">
      <c r="B24" s="99" t="s">
        <v>5022</v>
      </c>
      <c r="C24" s="92" t="s">
        <v>2524</v>
      </c>
      <c r="D24" s="92"/>
      <c r="E24" s="100" t="s">
        <v>750</v>
      </c>
      <c r="F24" s="101">
        <v>3</v>
      </c>
      <c r="G24" s="473"/>
      <c r="H24" s="428"/>
      <c r="I24" s="429"/>
      <c r="J24" s="199">
        <f t="shared" si="5"/>
        <v>0</v>
      </c>
      <c r="K24" s="205">
        <f t="shared" si="6"/>
        <v>0</v>
      </c>
      <c r="M24" s="24" t="str">
        <f t="shared" si="7"/>
        <v>Please complete all cells in row</v>
      </c>
      <c r="O24" s="124"/>
      <c r="P24" s="98">
        <f t="shared" si="2"/>
        <v>1</v>
      </c>
      <c r="Q24" s="98">
        <f t="shared" si="2"/>
        <v>1</v>
      </c>
      <c r="R24" s="98">
        <f t="shared" si="2"/>
        <v>1</v>
      </c>
      <c r="S24" s="124"/>
      <c r="AA24" s="99" t="s">
        <v>5022</v>
      </c>
      <c r="AB24" s="92" t="s">
        <v>2524</v>
      </c>
      <c r="AC24" s="92"/>
      <c r="AD24" s="100" t="s">
        <v>750</v>
      </c>
      <c r="AE24" s="101">
        <v>3</v>
      </c>
      <c r="AF24" s="2753" t="s">
        <v>6987</v>
      </c>
      <c r="AG24" s="2750" t="s">
        <v>6988</v>
      </c>
      <c r="AH24" s="2751" t="s">
        <v>6989</v>
      </c>
      <c r="AI24" s="199" t="s">
        <v>6990</v>
      </c>
      <c r="AJ24" s="205" t="s">
        <v>6991</v>
      </c>
    </row>
    <row r="25" spans="2:36">
      <c r="B25" s="99" t="s">
        <v>5023</v>
      </c>
      <c r="C25" s="92" t="s">
        <v>2525</v>
      </c>
      <c r="D25" s="92"/>
      <c r="E25" s="100" t="s">
        <v>750</v>
      </c>
      <c r="F25" s="101">
        <v>3</v>
      </c>
      <c r="G25" s="473"/>
      <c r="H25" s="428"/>
      <c r="I25" s="429"/>
      <c r="J25" s="199">
        <f t="shared" si="5"/>
        <v>0</v>
      </c>
      <c r="K25" s="205">
        <f t="shared" si="6"/>
        <v>0</v>
      </c>
      <c r="M25" s="24" t="str">
        <f t="shared" si="7"/>
        <v>Please complete all cells in row</v>
      </c>
      <c r="O25" s="124"/>
      <c r="P25" s="98">
        <f t="shared" si="2"/>
        <v>1</v>
      </c>
      <c r="Q25" s="98">
        <f t="shared" si="2"/>
        <v>1</v>
      </c>
      <c r="R25" s="98">
        <f t="shared" si="2"/>
        <v>1</v>
      </c>
      <c r="S25" s="124"/>
      <c r="AA25" s="99" t="s">
        <v>5023</v>
      </c>
      <c r="AB25" s="92" t="s">
        <v>2525</v>
      </c>
      <c r="AC25" s="92"/>
      <c r="AD25" s="100" t="s">
        <v>750</v>
      </c>
      <c r="AE25" s="101">
        <v>3</v>
      </c>
      <c r="AF25" s="2753" t="s">
        <v>6992</v>
      </c>
      <c r="AG25" s="2750" t="s">
        <v>6993</v>
      </c>
      <c r="AH25" s="2751" t="s">
        <v>6994</v>
      </c>
      <c r="AI25" s="199" t="s">
        <v>6995</v>
      </c>
      <c r="AJ25" s="205" t="s">
        <v>6996</v>
      </c>
    </row>
    <row r="26" spans="2:36" ht="15" thickBot="1">
      <c r="B26" s="106" t="s">
        <v>5024</v>
      </c>
      <c r="C26" s="107" t="s">
        <v>2526</v>
      </c>
      <c r="D26" s="107"/>
      <c r="E26" s="108" t="s">
        <v>750</v>
      </c>
      <c r="F26" s="105">
        <v>3</v>
      </c>
      <c r="G26" s="203">
        <f xml:space="preserve"> SUM( G22:G25 )</f>
        <v>0</v>
      </c>
      <c r="H26" s="201">
        <f xml:space="preserve"> SUM( H22:H25 )</f>
        <v>0</v>
      </c>
      <c r="I26" s="202">
        <f xml:space="preserve"> SUM( I22:I25 )</f>
        <v>0</v>
      </c>
      <c r="J26" s="203">
        <f t="shared" si="5"/>
        <v>0</v>
      </c>
      <c r="K26" s="206">
        <f t="shared" si="6"/>
        <v>0</v>
      </c>
      <c r="M26" s="131"/>
      <c r="O26" s="124"/>
      <c r="S26" s="124"/>
      <c r="AA26" s="106" t="s">
        <v>5024</v>
      </c>
      <c r="AB26" s="107" t="s">
        <v>2526</v>
      </c>
      <c r="AC26" s="107"/>
      <c r="AD26" s="108" t="s">
        <v>750</v>
      </c>
      <c r="AE26" s="105">
        <v>3</v>
      </c>
      <c r="AF26" s="203" t="s">
        <v>6997</v>
      </c>
      <c r="AG26" s="201" t="s">
        <v>6998</v>
      </c>
      <c r="AH26" s="202" t="s">
        <v>6999</v>
      </c>
      <c r="AI26" s="203" t="s">
        <v>7000</v>
      </c>
      <c r="AJ26" s="206" t="s">
        <v>7001</v>
      </c>
    </row>
    <row r="27" spans="2:36" ht="15" thickBot="1">
      <c r="M27" s="131"/>
    </row>
    <row r="28" spans="2:36" ht="15" thickBot="1">
      <c r="B28" s="136" t="s">
        <v>5025</v>
      </c>
      <c r="C28" s="137" t="s">
        <v>2527</v>
      </c>
      <c r="D28" s="137"/>
      <c r="E28" s="138" t="s">
        <v>750</v>
      </c>
      <c r="F28" s="139">
        <v>3</v>
      </c>
      <c r="G28" s="778">
        <f xml:space="preserve"> G19 + G26</f>
        <v>0</v>
      </c>
      <c r="H28" s="779">
        <f xml:space="preserve"> H19 + H26</f>
        <v>0</v>
      </c>
      <c r="I28" s="780">
        <f xml:space="preserve"> I19 + I26</f>
        <v>0</v>
      </c>
      <c r="J28" s="255">
        <f t="shared" si="5"/>
        <v>0</v>
      </c>
      <c r="K28" s="504">
        <f t="shared" si="6"/>
        <v>0</v>
      </c>
      <c r="M28" s="131"/>
      <c r="O28" s="124"/>
      <c r="S28" s="124"/>
      <c r="AA28" s="136" t="s">
        <v>5025</v>
      </c>
      <c r="AB28" s="137" t="s">
        <v>2527</v>
      </c>
      <c r="AC28" s="137"/>
      <c r="AD28" s="138" t="s">
        <v>750</v>
      </c>
      <c r="AE28" s="139">
        <v>3</v>
      </c>
      <c r="AF28" s="778" t="s">
        <v>7002</v>
      </c>
      <c r="AG28" s="779" t="s">
        <v>7003</v>
      </c>
      <c r="AH28" s="780" t="s">
        <v>7004</v>
      </c>
      <c r="AI28" s="255" t="s">
        <v>7005</v>
      </c>
      <c r="AJ28" s="504" t="s">
        <v>7006</v>
      </c>
    </row>
    <row r="29" spans="2:36" ht="15" thickBot="1">
      <c r="M29" s="131"/>
      <c r="O29" s="124"/>
      <c r="S29" s="124"/>
    </row>
    <row r="30" spans="2:36" ht="15" thickBot="1">
      <c r="B30" s="87" t="s">
        <v>2473</v>
      </c>
      <c r="C30" s="88" t="s">
        <v>2528</v>
      </c>
      <c r="D30" s="1584"/>
      <c r="M30" s="131"/>
      <c r="O30" s="124"/>
      <c r="S30" s="124"/>
      <c r="AA30" s="87" t="s">
        <v>2473</v>
      </c>
      <c r="AB30" s="88" t="s">
        <v>2528</v>
      </c>
      <c r="AC30" s="1584"/>
    </row>
    <row r="31" spans="2:36">
      <c r="B31" s="91" t="s">
        <v>5026</v>
      </c>
      <c r="C31" s="122" t="s">
        <v>2529</v>
      </c>
      <c r="D31" s="122"/>
      <c r="E31" s="93" t="s">
        <v>750</v>
      </c>
      <c r="F31" s="223">
        <v>3</v>
      </c>
      <c r="G31" s="444"/>
      <c r="H31" s="430"/>
      <c r="I31" s="441"/>
      <c r="J31" s="198">
        <f xml:space="preserve"> H31 - I31</f>
        <v>0</v>
      </c>
      <c r="K31" s="207">
        <f xml:space="preserve"> G31 + J31</f>
        <v>0</v>
      </c>
      <c r="M31" s="24" t="str">
        <f t="shared" ref="M31:M33" si="8" xml:space="preserve"> IF( SUM( O31:S31 ) = 0, 0, $P$6 )</f>
        <v>Please complete all cells in row</v>
      </c>
      <c r="O31" s="124"/>
      <c r="P31" s="98">
        <f t="shared" si="2"/>
        <v>1</v>
      </c>
      <c r="Q31" s="98">
        <f t="shared" si="2"/>
        <v>1</v>
      </c>
      <c r="R31" s="98">
        <f t="shared" si="2"/>
        <v>1</v>
      </c>
      <c r="S31" s="124"/>
      <c r="AA31" s="91" t="s">
        <v>5026</v>
      </c>
      <c r="AB31" s="122" t="s">
        <v>2529</v>
      </c>
      <c r="AC31" s="122"/>
      <c r="AD31" s="93" t="s">
        <v>750</v>
      </c>
      <c r="AE31" s="223">
        <v>3</v>
      </c>
      <c r="AF31" s="2767" t="s">
        <v>7007</v>
      </c>
      <c r="AG31" s="2747" t="s">
        <v>7008</v>
      </c>
      <c r="AH31" s="2748" t="s">
        <v>7009</v>
      </c>
      <c r="AI31" s="198" t="s">
        <v>7010</v>
      </c>
      <c r="AJ31" s="207" t="s">
        <v>7011</v>
      </c>
    </row>
    <row r="32" spans="2:36">
      <c r="B32" s="177" t="s">
        <v>5028</v>
      </c>
      <c r="C32" s="178" t="s">
        <v>2530</v>
      </c>
      <c r="D32" s="178"/>
      <c r="E32" s="174" t="s">
        <v>750</v>
      </c>
      <c r="F32" s="412">
        <v>3</v>
      </c>
      <c r="G32" s="478"/>
      <c r="H32" s="479"/>
      <c r="I32" s="480"/>
      <c r="J32" s="413">
        <f xml:space="preserve"> H32 - I32</f>
        <v>0</v>
      </c>
      <c r="K32" s="414">
        <f xml:space="preserve"> G32 + J32</f>
        <v>0</v>
      </c>
      <c r="M32" s="24" t="str">
        <f t="shared" si="8"/>
        <v>Please complete all cells in row</v>
      </c>
      <c r="O32" s="124"/>
      <c r="P32" s="98">
        <f t="shared" si="2"/>
        <v>1</v>
      </c>
      <c r="Q32" s="98">
        <f t="shared" si="2"/>
        <v>1</v>
      </c>
      <c r="R32" s="98">
        <f t="shared" si="2"/>
        <v>1</v>
      </c>
      <c r="S32" s="124"/>
      <c r="AA32" s="177" t="s">
        <v>5028</v>
      </c>
      <c r="AB32" s="178" t="s">
        <v>2530</v>
      </c>
      <c r="AC32" s="178"/>
      <c r="AD32" s="174" t="s">
        <v>750</v>
      </c>
      <c r="AE32" s="412">
        <v>3</v>
      </c>
      <c r="AF32" s="2768" t="s">
        <v>7012</v>
      </c>
      <c r="AG32" s="2769" t="s">
        <v>7013</v>
      </c>
      <c r="AH32" s="2770" t="s">
        <v>7014</v>
      </c>
      <c r="AI32" s="413" t="s">
        <v>7015</v>
      </c>
      <c r="AJ32" s="414" t="s">
        <v>7016</v>
      </c>
    </row>
    <row r="33" spans="1:36">
      <c r="B33" s="177" t="s">
        <v>5029</v>
      </c>
      <c r="C33" s="178" t="s">
        <v>2531</v>
      </c>
      <c r="D33" s="178"/>
      <c r="E33" s="174" t="s">
        <v>750</v>
      </c>
      <c r="F33" s="412">
        <v>3</v>
      </c>
      <c r="G33" s="478"/>
      <c r="H33" s="479"/>
      <c r="I33" s="480"/>
      <c r="J33" s="413">
        <f xml:space="preserve"> H33 - I33</f>
        <v>0</v>
      </c>
      <c r="K33" s="414">
        <f xml:space="preserve"> G33 + J33</f>
        <v>0</v>
      </c>
      <c r="M33" s="24" t="str">
        <f t="shared" si="8"/>
        <v>Please complete all cells in row</v>
      </c>
      <c r="O33" s="124"/>
      <c r="P33" s="98">
        <f t="shared" si="2"/>
        <v>1</v>
      </c>
      <c r="Q33" s="98">
        <f t="shared" si="2"/>
        <v>1</v>
      </c>
      <c r="R33" s="98">
        <f t="shared" si="2"/>
        <v>1</v>
      </c>
      <c r="S33" s="124"/>
      <c r="AA33" s="177" t="s">
        <v>5029</v>
      </c>
      <c r="AB33" s="178" t="s">
        <v>2531</v>
      </c>
      <c r="AC33" s="178"/>
      <c r="AD33" s="174" t="s">
        <v>750</v>
      </c>
      <c r="AE33" s="412">
        <v>3</v>
      </c>
      <c r="AF33" s="2768" t="s">
        <v>7017</v>
      </c>
      <c r="AG33" s="2769" t="s">
        <v>7018</v>
      </c>
      <c r="AH33" s="2770" t="s">
        <v>7019</v>
      </c>
      <c r="AI33" s="413" t="s">
        <v>7020</v>
      </c>
      <c r="AJ33" s="414" t="s">
        <v>7021</v>
      </c>
    </row>
    <row r="34" spans="1:36" ht="15" thickBot="1">
      <c r="B34" s="106" t="s">
        <v>5031</v>
      </c>
      <c r="C34" s="107" t="s">
        <v>2532</v>
      </c>
      <c r="D34" s="107"/>
      <c r="E34" s="108" t="s">
        <v>750</v>
      </c>
      <c r="F34" s="105">
        <v>3</v>
      </c>
      <c r="G34" s="203">
        <f xml:space="preserve"> SUM( G31:G33 )</f>
        <v>0</v>
      </c>
      <c r="H34" s="201">
        <f xml:space="preserve"> SUM( H31:H33 )</f>
        <v>0</v>
      </c>
      <c r="I34" s="202">
        <f xml:space="preserve"> SUM( I31:I33 )</f>
        <v>0</v>
      </c>
      <c r="J34" s="203">
        <f xml:space="preserve"> H34 - I34</f>
        <v>0</v>
      </c>
      <c r="K34" s="206">
        <f xml:space="preserve"> G34 + J34</f>
        <v>0</v>
      </c>
      <c r="M34" s="131"/>
      <c r="O34" s="124"/>
      <c r="S34" s="124"/>
      <c r="AA34" s="106" t="s">
        <v>5031</v>
      </c>
      <c r="AB34" s="107" t="s">
        <v>2532</v>
      </c>
      <c r="AC34" s="107"/>
      <c r="AD34" s="108" t="s">
        <v>750</v>
      </c>
      <c r="AE34" s="105">
        <v>3</v>
      </c>
      <c r="AF34" s="203" t="s">
        <v>7022</v>
      </c>
      <c r="AG34" s="201" t="s">
        <v>7023</v>
      </c>
      <c r="AH34" s="202" t="s">
        <v>7024</v>
      </c>
      <c r="AI34" s="203" t="s">
        <v>7025</v>
      </c>
      <c r="AJ34" s="206" t="s">
        <v>7026</v>
      </c>
    </row>
    <row r="35" spans="1:36" ht="15" thickBot="1">
      <c r="M35" s="131"/>
    </row>
    <row r="36" spans="1:36" ht="15" thickBot="1">
      <c r="B36" s="136" t="s">
        <v>5030</v>
      </c>
      <c r="C36" s="137" t="s">
        <v>2533</v>
      </c>
      <c r="D36" s="137"/>
      <c r="E36" s="138" t="s">
        <v>750</v>
      </c>
      <c r="F36" s="139">
        <v>3</v>
      </c>
      <c r="G36" s="778">
        <f xml:space="preserve"> G28 + G34</f>
        <v>0</v>
      </c>
      <c r="H36" s="779">
        <f xml:space="preserve"> H28 + H34</f>
        <v>0</v>
      </c>
      <c r="I36" s="780">
        <f xml:space="preserve"> I28 + I34</f>
        <v>0</v>
      </c>
      <c r="J36" s="255">
        <f xml:space="preserve"> H36 - I36</f>
        <v>0</v>
      </c>
      <c r="K36" s="504">
        <f xml:space="preserve"> G36 + J36</f>
        <v>0</v>
      </c>
      <c r="M36" s="131"/>
      <c r="O36" s="124"/>
      <c r="S36" s="124"/>
      <c r="AA36" s="136" t="s">
        <v>5030</v>
      </c>
      <c r="AB36" s="137" t="s">
        <v>2533</v>
      </c>
      <c r="AC36" s="137"/>
      <c r="AD36" s="138" t="s">
        <v>750</v>
      </c>
      <c r="AE36" s="139">
        <v>3</v>
      </c>
      <c r="AF36" s="778" t="s">
        <v>7027</v>
      </c>
      <c r="AG36" s="779" t="s">
        <v>7028</v>
      </c>
      <c r="AH36" s="780" t="s">
        <v>7029</v>
      </c>
      <c r="AI36" s="255" t="s">
        <v>7030</v>
      </c>
      <c r="AJ36" s="504" t="s">
        <v>7031</v>
      </c>
    </row>
    <row r="37" spans="1:36" s="115" customFormat="1">
      <c r="C37" s="157"/>
      <c r="D37" s="157"/>
      <c r="H37" s="170"/>
      <c r="J37" s="123"/>
      <c r="K37" s="123"/>
      <c r="L37" s="123"/>
      <c r="M37" s="131"/>
      <c r="N37" s="123"/>
      <c r="O37" s="129"/>
      <c r="P37" s="125"/>
      <c r="Q37" s="123"/>
      <c r="R37" s="288"/>
      <c r="S37" s="129"/>
      <c r="AB37" s="157"/>
      <c r="AC37" s="157"/>
      <c r="AG37" s="170"/>
      <c r="AI37" s="123"/>
      <c r="AJ37" s="123"/>
    </row>
    <row r="38" spans="1:36" s="170" customFormat="1" ht="12.75">
      <c r="B38" s="3220" t="s">
        <v>2420</v>
      </c>
      <c r="C38" s="3220"/>
      <c r="D38" s="1449"/>
      <c r="J38" s="131"/>
      <c r="K38" s="131"/>
      <c r="L38" s="131"/>
      <c r="M38" s="131"/>
      <c r="N38" s="131"/>
      <c r="O38" s="129"/>
      <c r="P38" s="131"/>
      <c r="Q38" s="131"/>
      <c r="R38" s="211"/>
      <c r="S38" s="129"/>
    </row>
    <row r="39" spans="1:36" s="170" customFormat="1" ht="12">
      <c r="B39" s="146"/>
      <c r="C39" s="147"/>
      <c r="D39" s="147"/>
      <c r="J39" s="131"/>
      <c r="K39" s="131"/>
      <c r="L39" s="131"/>
      <c r="M39" s="131"/>
      <c r="N39" s="131"/>
      <c r="O39" s="129"/>
      <c r="P39" s="131"/>
      <c r="Q39" s="131"/>
      <c r="R39" s="211"/>
      <c r="S39" s="129"/>
    </row>
    <row r="40" spans="1:36" s="170" customFormat="1" ht="12">
      <c r="B40" s="25"/>
      <c r="C40" s="148" t="s">
        <v>2421</v>
      </c>
      <c r="D40" s="148"/>
      <c r="J40" s="131"/>
      <c r="K40" s="131"/>
      <c r="L40" s="131"/>
      <c r="M40" s="131"/>
      <c r="N40" s="131"/>
      <c r="O40" s="129"/>
      <c r="P40" s="131"/>
      <c r="Q40" s="131"/>
      <c r="R40" s="211"/>
      <c r="S40" s="129"/>
    </row>
    <row r="41" spans="1:36" s="170" customFormat="1" ht="12">
      <c r="B41" s="146"/>
      <c r="C41" s="147"/>
      <c r="D41" s="147"/>
      <c r="J41" s="131"/>
      <c r="K41" s="131"/>
      <c r="L41" s="131"/>
      <c r="M41" s="131"/>
      <c r="N41" s="131"/>
      <c r="O41" s="129"/>
      <c r="P41" s="131"/>
      <c r="Q41" s="131"/>
      <c r="R41" s="211"/>
      <c r="S41" s="129"/>
    </row>
    <row r="42" spans="1:36" s="170" customFormat="1" ht="12">
      <c r="B42" s="149"/>
      <c r="C42" s="148" t="s">
        <v>2422</v>
      </c>
      <c r="D42" s="148"/>
      <c r="J42" s="131"/>
      <c r="K42" s="131"/>
      <c r="L42" s="131"/>
      <c r="M42" s="131"/>
      <c r="N42" s="131"/>
      <c r="O42" s="129"/>
      <c r="P42" s="131"/>
      <c r="Q42" s="131"/>
      <c r="R42" s="211"/>
      <c r="S42" s="129"/>
    </row>
    <row r="43" spans="1:36" s="170" customFormat="1" ht="12">
      <c r="B43" s="150"/>
      <c r="C43" s="148"/>
      <c r="D43" s="148"/>
      <c r="J43" s="131"/>
      <c r="K43" s="131"/>
      <c r="L43" s="131"/>
      <c r="M43" s="131"/>
      <c r="N43" s="131"/>
      <c r="O43" s="129"/>
      <c r="P43" s="131"/>
      <c r="Q43" s="131"/>
      <c r="R43" s="211"/>
      <c r="S43" s="129"/>
    </row>
    <row r="44" spans="1:36" s="185" customFormat="1" ht="15" thickBot="1">
      <c r="C44" s="186"/>
      <c r="D44" s="186"/>
      <c r="J44" s="135"/>
      <c r="K44" s="135"/>
      <c r="L44" s="135"/>
      <c r="M44" s="131"/>
      <c r="N44" s="131"/>
      <c r="O44" s="72"/>
      <c r="P44" s="131"/>
      <c r="Q44" s="131"/>
      <c r="R44" s="313"/>
      <c r="S44" s="72"/>
    </row>
    <row r="45" spans="1:36" s="185" customFormat="1" ht="19.5" thickBot="1">
      <c r="B45" s="1433" t="s">
        <v>12572</v>
      </c>
      <c r="C45" s="152"/>
      <c r="D45" s="152"/>
      <c r="E45" s="153"/>
      <c r="F45" s="153"/>
      <c r="G45" s="153"/>
      <c r="H45" s="153"/>
      <c r="I45" s="153"/>
      <c r="J45" s="153"/>
      <c r="K45" s="159"/>
      <c r="L45" s="135"/>
      <c r="M45" s="131"/>
      <c r="N45" s="131"/>
      <c r="O45" s="72"/>
      <c r="P45" s="131"/>
      <c r="Q45" s="131"/>
      <c r="R45" s="313"/>
      <c r="S45" s="72"/>
    </row>
    <row r="46" spans="1:36" s="185" customFormat="1">
      <c r="C46" s="186"/>
      <c r="D46" s="186"/>
      <c r="J46" s="135"/>
      <c r="K46" s="135"/>
      <c r="L46" s="135"/>
      <c r="M46" s="131"/>
      <c r="N46" s="131"/>
      <c r="O46" s="72"/>
      <c r="P46" s="131"/>
      <c r="Q46" s="131"/>
      <c r="R46" s="313"/>
      <c r="S46" s="72"/>
    </row>
    <row r="47" spans="1:36" s="115" customFormat="1" ht="19.5" hidden="1" thickBot="1">
      <c r="A47" s="1643"/>
      <c r="B47" s="151" t="str">
        <f ca="1" xml:space="preserve"> RIGHT(CELL("filename", $A$1), LEN(CELL("filename", $A$1)) - SEARCH("]", CELL("filename", $A$1)))&amp;" - Line definitions"</f>
        <v>1D - Line definitions</v>
      </c>
      <c r="C47" s="152"/>
      <c r="D47" s="152"/>
      <c r="E47" s="153"/>
      <c r="F47" s="153"/>
      <c r="G47" s="153"/>
      <c r="H47" s="153"/>
      <c r="I47" s="153"/>
      <c r="J47" s="153"/>
      <c r="K47" s="159"/>
      <c r="L47" s="123"/>
      <c r="M47" s="125"/>
      <c r="N47" s="123"/>
      <c r="O47" s="72"/>
      <c r="P47" s="125"/>
      <c r="Q47" s="123"/>
      <c r="R47" s="288"/>
      <c r="S47" s="72"/>
    </row>
    <row r="48" spans="1:36" s="115" customFormat="1" ht="15" hidden="1" thickBot="1">
      <c r="A48" s="1643"/>
      <c r="B48" s="75"/>
      <c r="C48" s="160"/>
      <c r="D48" s="160"/>
      <c r="E48" s="75"/>
      <c r="F48" s="75"/>
      <c r="G48" s="75"/>
      <c r="J48" s="123"/>
      <c r="K48" s="123"/>
      <c r="L48" s="123"/>
      <c r="M48" s="125"/>
      <c r="N48" s="123"/>
      <c r="O48" s="72"/>
      <c r="P48" s="125"/>
      <c r="Q48" s="123"/>
      <c r="R48" s="288"/>
      <c r="S48" s="72"/>
    </row>
    <row r="49" spans="1:19" s="185" customFormat="1" ht="15" hidden="1" thickBot="1">
      <c r="A49" s="1644"/>
      <c r="B49" s="381" t="s">
        <v>2423</v>
      </c>
      <c r="C49" s="382" t="s">
        <v>2424</v>
      </c>
      <c r="D49" s="383"/>
      <c r="E49" s="383"/>
      <c r="F49" s="383"/>
      <c r="G49" s="383"/>
      <c r="H49" s="383"/>
      <c r="I49" s="383"/>
      <c r="J49" s="383"/>
      <c r="K49" s="384"/>
      <c r="L49" s="360"/>
      <c r="M49" s="135"/>
      <c r="N49" s="123"/>
      <c r="O49" s="72"/>
      <c r="P49" s="90" t="s">
        <v>2425</v>
      </c>
      <c r="Q49" s="123"/>
      <c r="R49" s="288"/>
      <c r="S49" s="72"/>
    </row>
    <row r="50" spans="1:19" s="115" customFormat="1" ht="13.5" hidden="1" customHeight="1">
      <c r="A50" s="1643"/>
      <c r="B50" s="188" t="str">
        <f t="shared" ref="B50:B58" si="9">B7</f>
        <v>1D.1</v>
      </c>
      <c r="C50" s="3216" t="s">
        <v>2534</v>
      </c>
      <c r="D50" s="3216"/>
      <c r="E50" s="3216"/>
      <c r="F50" s="3216"/>
      <c r="G50" s="3216"/>
      <c r="H50" s="3216"/>
      <c r="I50" s="3216"/>
      <c r="J50" s="3216"/>
      <c r="K50" s="3217"/>
      <c r="L50" s="362"/>
      <c r="M50" s="125"/>
      <c r="N50" s="123"/>
      <c r="O50" s="72"/>
      <c r="P50" s="165">
        <v>1</v>
      </c>
      <c r="Q50" s="123"/>
      <c r="R50" s="185"/>
      <c r="S50" s="72"/>
    </row>
    <row r="51" spans="1:19" s="115" customFormat="1" hidden="1">
      <c r="A51" s="1643"/>
      <c r="B51" s="166" t="str">
        <f t="shared" si="9"/>
        <v>1D.2</v>
      </c>
      <c r="C51" s="3198" t="s">
        <v>3775</v>
      </c>
      <c r="D51" s="3198"/>
      <c r="E51" s="3198"/>
      <c r="F51" s="3198"/>
      <c r="G51" s="3198"/>
      <c r="H51" s="3198"/>
      <c r="I51" s="3198"/>
      <c r="J51" s="3198"/>
      <c r="K51" s="3199"/>
      <c r="L51" s="362"/>
      <c r="O51" s="72"/>
      <c r="P51" s="210">
        <v>1</v>
      </c>
      <c r="Q51" s="123"/>
      <c r="R51" s="288"/>
      <c r="S51" s="72"/>
    </row>
    <row r="52" spans="1:19" s="115" customFormat="1" ht="13.5" hidden="1" customHeight="1">
      <c r="A52" s="1643"/>
      <c r="B52" s="166" t="str">
        <f t="shared" si="9"/>
        <v>1D.3</v>
      </c>
      <c r="C52" s="3198" t="s">
        <v>3601</v>
      </c>
      <c r="D52" s="3198"/>
      <c r="E52" s="3198"/>
      <c r="F52" s="3198"/>
      <c r="G52" s="3198"/>
      <c r="H52" s="3198"/>
      <c r="I52" s="3198"/>
      <c r="J52" s="3198"/>
      <c r="K52" s="3199"/>
      <c r="L52" s="362"/>
      <c r="O52" s="72"/>
      <c r="P52" s="261">
        <v>1</v>
      </c>
      <c r="S52" s="72"/>
    </row>
    <row r="53" spans="1:19" s="125" customFormat="1" ht="13.5" hidden="1" customHeight="1">
      <c r="A53" s="1645"/>
      <c r="B53" s="166" t="str">
        <f t="shared" si="9"/>
        <v>1D.4</v>
      </c>
      <c r="C53" s="3198" t="s">
        <v>3776</v>
      </c>
      <c r="D53" s="3198"/>
      <c r="E53" s="3198"/>
      <c r="F53" s="3198"/>
      <c r="G53" s="3198"/>
      <c r="H53" s="3198"/>
      <c r="I53" s="3198"/>
      <c r="J53" s="3198"/>
      <c r="K53" s="3199"/>
      <c r="L53" s="362"/>
      <c r="O53" s="72"/>
      <c r="P53" s="261">
        <v>1</v>
      </c>
      <c r="S53" s="72"/>
    </row>
    <row r="54" spans="1:19" s="125" customFormat="1" hidden="1">
      <c r="A54" s="1645"/>
      <c r="B54" s="166" t="str">
        <f t="shared" si="9"/>
        <v>1D.5</v>
      </c>
      <c r="C54" s="3198" t="s">
        <v>2535</v>
      </c>
      <c r="D54" s="3198"/>
      <c r="E54" s="3198"/>
      <c r="F54" s="3198"/>
      <c r="G54" s="3198"/>
      <c r="H54" s="3198"/>
      <c r="I54" s="3198"/>
      <c r="J54" s="3198"/>
      <c r="K54" s="3199"/>
      <c r="L54" s="362"/>
      <c r="O54" s="72"/>
      <c r="P54" s="261">
        <v>1</v>
      </c>
      <c r="S54" s="72"/>
    </row>
    <row r="55" spans="1:19" s="125" customFormat="1" ht="13.5" hidden="1" customHeight="1">
      <c r="A55" s="1645"/>
      <c r="B55" s="166" t="str">
        <f t="shared" si="9"/>
        <v>1D.6</v>
      </c>
      <c r="C55" s="3198" t="s">
        <v>3777</v>
      </c>
      <c r="D55" s="3198"/>
      <c r="E55" s="3198"/>
      <c r="F55" s="3198"/>
      <c r="G55" s="3198"/>
      <c r="H55" s="3198"/>
      <c r="I55" s="3198"/>
      <c r="J55" s="3198"/>
      <c r="K55" s="3199"/>
      <c r="L55" s="362"/>
      <c r="O55" s="72"/>
      <c r="P55" s="261">
        <v>1</v>
      </c>
      <c r="S55" s="72"/>
    </row>
    <row r="56" spans="1:19" ht="13.5" hidden="1" customHeight="1">
      <c r="A56" s="1646"/>
      <c r="B56" s="166" t="str">
        <f t="shared" si="9"/>
        <v>1D.7</v>
      </c>
      <c r="C56" s="3198" t="s">
        <v>3778</v>
      </c>
      <c r="D56" s="3198"/>
      <c r="E56" s="3198"/>
      <c r="F56" s="3198"/>
      <c r="G56" s="3198"/>
      <c r="H56" s="3198"/>
      <c r="I56" s="3198"/>
      <c r="J56" s="3198"/>
      <c r="K56" s="3199"/>
      <c r="L56" s="362"/>
      <c r="P56" s="261">
        <v>1</v>
      </c>
    </row>
    <row r="57" spans="1:19" ht="13.5" hidden="1" customHeight="1">
      <c r="A57" s="1646"/>
      <c r="B57" s="166" t="str">
        <f t="shared" si="9"/>
        <v>1D.8</v>
      </c>
      <c r="C57" s="3198" t="s">
        <v>2536</v>
      </c>
      <c r="D57" s="3198"/>
      <c r="E57" s="3198"/>
      <c r="F57" s="3198"/>
      <c r="G57" s="3198"/>
      <c r="H57" s="3198"/>
      <c r="I57" s="3198"/>
      <c r="J57" s="3198"/>
      <c r="K57" s="3199"/>
      <c r="L57" s="362"/>
      <c r="P57" s="165">
        <v>1</v>
      </c>
    </row>
    <row r="58" spans="1:19" ht="13.5" hidden="1" customHeight="1">
      <c r="A58" s="1646"/>
      <c r="B58" s="166" t="str">
        <f t="shared" si="9"/>
        <v>1D.9</v>
      </c>
      <c r="C58" s="3198" t="s">
        <v>2537</v>
      </c>
      <c r="D58" s="3198"/>
      <c r="E58" s="3198"/>
      <c r="F58" s="3198"/>
      <c r="G58" s="3198"/>
      <c r="H58" s="3198"/>
      <c r="I58" s="3198"/>
      <c r="J58" s="3198"/>
      <c r="K58" s="3199"/>
      <c r="L58" s="362"/>
      <c r="P58" s="165">
        <v>1</v>
      </c>
    </row>
    <row r="59" spans="1:19" ht="13.5" hidden="1" customHeight="1">
      <c r="A59" s="1646"/>
      <c r="B59" s="166" t="str">
        <f>B17</f>
        <v>1D.10</v>
      </c>
      <c r="C59" s="3198" t="s">
        <v>2538</v>
      </c>
      <c r="D59" s="3198"/>
      <c r="E59" s="3198"/>
      <c r="F59" s="3198"/>
      <c r="G59" s="3198"/>
      <c r="H59" s="3198"/>
      <c r="I59" s="3198"/>
      <c r="J59" s="3198"/>
      <c r="K59" s="3199"/>
      <c r="L59" s="362"/>
      <c r="P59" s="165">
        <v>1</v>
      </c>
    </row>
    <row r="60" spans="1:19" ht="23.25" hidden="1" customHeight="1">
      <c r="A60" s="1646"/>
      <c r="B60" s="166" t="str">
        <f>B18</f>
        <v>1D.11</v>
      </c>
      <c r="C60" s="3198" t="s">
        <v>2539</v>
      </c>
      <c r="D60" s="3198"/>
      <c r="E60" s="3198"/>
      <c r="F60" s="3198"/>
      <c r="G60" s="3198"/>
      <c r="H60" s="3198"/>
      <c r="I60" s="3198"/>
      <c r="J60" s="3198"/>
      <c r="K60" s="3199"/>
      <c r="L60" s="362"/>
      <c r="P60" s="168" t="s">
        <v>2428</v>
      </c>
    </row>
    <row r="61" spans="1:19" hidden="1">
      <c r="A61" s="1646"/>
      <c r="B61" s="166" t="str">
        <f>B19</f>
        <v>1D.12</v>
      </c>
      <c r="C61" s="3198" t="s">
        <v>2540</v>
      </c>
      <c r="D61" s="3198"/>
      <c r="E61" s="3198"/>
      <c r="F61" s="3198"/>
      <c r="G61" s="3198"/>
      <c r="H61" s="3198"/>
      <c r="I61" s="3198"/>
      <c r="J61" s="3198"/>
      <c r="K61" s="3199"/>
      <c r="L61" s="362"/>
      <c r="P61" s="165">
        <v>1</v>
      </c>
    </row>
    <row r="62" spans="1:19" ht="13.5" hidden="1" customHeight="1">
      <c r="A62" s="1646"/>
      <c r="B62" s="166" t="str">
        <f>B22</f>
        <v>1D.13</v>
      </c>
      <c r="C62" s="3198" t="s">
        <v>2541</v>
      </c>
      <c r="D62" s="3198"/>
      <c r="E62" s="3198"/>
      <c r="F62" s="3198"/>
      <c r="G62" s="3198"/>
      <c r="H62" s="3198"/>
      <c r="I62" s="3198"/>
      <c r="J62" s="3198"/>
      <c r="K62" s="3199"/>
      <c r="L62" s="362"/>
      <c r="P62" s="165">
        <v>1</v>
      </c>
    </row>
    <row r="63" spans="1:19" ht="23.25" hidden="1" customHeight="1">
      <c r="A63" s="1646"/>
      <c r="B63" s="166" t="str">
        <f>B23</f>
        <v>1D.14</v>
      </c>
      <c r="C63" s="3198" t="s">
        <v>3779</v>
      </c>
      <c r="D63" s="3198"/>
      <c r="E63" s="3198"/>
      <c r="F63" s="3198"/>
      <c r="G63" s="3198"/>
      <c r="H63" s="3198"/>
      <c r="I63" s="3198"/>
      <c r="J63" s="3198"/>
      <c r="K63" s="3199"/>
      <c r="L63" s="362"/>
      <c r="P63" s="168" t="s">
        <v>2428</v>
      </c>
    </row>
    <row r="64" spans="1:19" ht="13.5" hidden="1" customHeight="1">
      <c r="A64" s="1646"/>
      <c r="B64" s="166" t="str">
        <f>B24</f>
        <v>1D.15</v>
      </c>
      <c r="C64" s="3198" t="s">
        <v>2542</v>
      </c>
      <c r="D64" s="3198"/>
      <c r="E64" s="3198"/>
      <c r="F64" s="3198"/>
      <c r="G64" s="3198"/>
      <c r="H64" s="3198"/>
      <c r="I64" s="3198"/>
      <c r="J64" s="3198"/>
      <c r="K64" s="3199"/>
      <c r="L64" s="362"/>
      <c r="P64" s="165">
        <v>1</v>
      </c>
    </row>
    <row r="65" spans="1:16" ht="13.5" hidden="1" customHeight="1">
      <c r="A65" s="1646"/>
      <c r="B65" s="166" t="str">
        <f>B25</f>
        <v>1D.16</v>
      </c>
      <c r="C65" s="3198" t="s">
        <v>2543</v>
      </c>
      <c r="D65" s="3198"/>
      <c r="E65" s="3198"/>
      <c r="F65" s="3198"/>
      <c r="G65" s="3198"/>
      <c r="H65" s="3198"/>
      <c r="I65" s="3198"/>
      <c r="J65" s="3198"/>
      <c r="K65" s="3199"/>
      <c r="L65" s="362"/>
      <c r="P65" s="165">
        <v>1</v>
      </c>
    </row>
    <row r="66" spans="1:16" ht="23.25" hidden="1" customHeight="1">
      <c r="A66" s="1646"/>
      <c r="B66" s="166" t="str">
        <f>B26</f>
        <v>1D.17</v>
      </c>
      <c r="C66" s="3198" t="s">
        <v>2544</v>
      </c>
      <c r="D66" s="3198"/>
      <c r="E66" s="3198"/>
      <c r="F66" s="3198"/>
      <c r="G66" s="3198"/>
      <c r="H66" s="3198"/>
      <c r="I66" s="3198"/>
      <c r="J66" s="3198"/>
      <c r="K66" s="3199"/>
      <c r="L66" s="362"/>
      <c r="P66" s="168" t="s">
        <v>2428</v>
      </c>
    </row>
    <row r="67" spans="1:16" hidden="1">
      <c r="A67" s="1646"/>
      <c r="B67" s="166" t="str">
        <f t="shared" ref="B67" si="10">B28</f>
        <v>1D.18</v>
      </c>
      <c r="C67" s="3198" t="s">
        <v>2545</v>
      </c>
      <c r="D67" s="3198"/>
      <c r="E67" s="3198"/>
      <c r="F67" s="3198"/>
      <c r="G67" s="3198"/>
      <c r="H67" s="3198"/>
      <c r="I67" s="3198"/>
      <c r="J67" s="3198"/>
      <c r="K67" s="3199"/>
      <c r="L67" s="362"/>
      <c r="P67" s="165">
        <v>1</v>
      </c>
    </row>
    <row r="68" spans="1:16" ht="13.5" hidden="1" customHeight="1">
      <c r="A68" s="1646"/>
      <c r="B68" s="166" t="str">
        <f>B31</f>
        <v>1D.19</v>
      </c>
      <c r="C68" s="3198" t="s">
        <v>2546</v>
      </c>
      <c r="D68" s="3198"/>
      <c r="E68" s="3198"/>
      <c r="F68" s="3198"/>
      <c r="G68" s="3198"/>
      <c r="H68" s="3198"/>
      <c r="I68" s="3198"/>
      <c r="J68" s="3198"/>
      <c r="K68" s="3199"/>
      <c r="L68" s="362"/>
      <c r="P68" s="165">
        <v>1</v>
      </c>
    </row>
    <row r="69" spans="1:16" ht="13.5" hidden="1" customHeight="1">
      <c r="A69" s="1646"/>
      <c r="B69" s="166" t="str">
        <f>B32</f>
        <v>1D.20</v>
      </c>
      <c r="C69" s="3198" t="s">
        <v>3780</v>
      </c>
      <c r="D69" s="3198"/>
      <c r="E69" s="3198"/>
      <c r="F69" s="3198"/>
      <c r="G69" s="3198"/>
      <c r="H69" s="3198"/>
      <c r="I69" s="3198"/>
      <c r="J69" s="3198"/>
      <c r="K69" s="3199"/>
      <c r="L69" s="362"/>
      <c r="P69" s="168">
        <v>1</v>
      </c>
    </row>
    <row r="70" spans="1:16" ht="15" hidden="1" customHeight="1">
      <c r="A70" s="1646"/>
      <c r="B70" s="166" t="str">
        <f>B33</f>
        <v>1D.21</v>
      </c>
      <c r="C70" s="3198" t="s">
        <v>2547</v>
      </c>
      <c r="D70" s="3198"/>
      <c r="E70" s="3198"/>
      <c r="F70" s="3198"/>
      <c r="G70" s="3198"/>
      <c r="H70" s="3198"/>
      <c r="I70" s="3198"/>
      <c r="J70" s="3198"/>
      <c r="K70" s="3199"/>
      <c r="L70" s="362"/>
      <c r="P70" s="165">
        <v>1</v>
      </c>
    </row>
    <row r="71" spans="1:16" ht="13.5" hidden="1" customHeight="1">
      <c r="A71" s="1646"/>
      <c r="B71" s="416" t="str">
        <f>B34</f>
        <v>1D.22</v>
      </c>
      <c r="C71" s="3198" t="s">
        <v>2548</v>
      </c>
      <c r="D71" s="3198"/>
      <c r="E71" s="3198"/>
      <c r="F71" s="3198"/>
      <c r="G71" s="3198"/>
      <c r="H71" s="3198"/>
      <c r="I71" s="3198"/>
      <c r="J71" s="3198"/>
      <c r="K71" s="3199"/>
      <c r="P71" s="165">
        <v>1</v>
      </c>
    </row>
    <row r="72" spans="1:16" ht="15" hidden="1" thickBot="1">
      <c r="A72" s="1646"/>
      <c r="B72" s="167" t="str">
        <f>B36</f>
        <v>1D.23</v>
      </c>
      <c r="C72" s="3221" t="s">
        <v>2549</v>
      </c>
      <c r="D72" s="3222"/>
      <c r="E72" s="3223"/>
      <c r="F72" s="3223"/>
      <c r="G72" s="3223"/>
      <c r="H72" s="3223"/>
      <c r="I72" s="3223"/>
      <c r="J72" s="3223"/>
      <c r="K72" s="3224"/>
      <c r="P72" s="165">
        <v>1</v>
      </c>
    </row>
    <row r="73" spans="1:16" hidden="1">
      <c r="A73" s="1646"/>
      <c r="P73" s="262"/>
    </row>
  </sheetData>
  <mergeCells count="38">
    <mergeCell ref="AJ3:AJ4"/>
    <mergeCell ref="AA3:AB4"/>
    <mergeCell ref="AD3:AD4"/>
    <mergeCell ref="AE3:AE4"/>
    <mergeCell ref="AF3:AF4"/>
    <mergeCell ref="AG3:AI3"/>
    <mergeCell ref="C72:K72"/>
    <mergeCell ref="C71:K71"/>
    <mergeCell ref="C65:K65"/>
    <mergeCell ref="C66:K66"/>
    <mergeCell ref="C67:K67"/>
    <mergeCell ref="C68:K68"/>
    <mergeCell ref="C69:K69"/>
    <mergeCell ref="C70:K70"/>
    <mergeCell ref="C64:K64"/>
    <mergeCell ref="C53:K53"/>
    <mergeCell ref="C54:K54"/>
    <mergeCell ref="C55:K55"/>
    <mergeCell ref="C56:K56"/>
    <mergeCell ref="C57:K57"/>
    <mergeCell ref="C58:K58"/>
    <mergeCell ref="C59:K59"/>
    <mergeCell ref="C60:K60"/>
    <mergeCell ref="C61:K61"/>
    <mergeCell ref="C62:K62"/>
    <mergeCell ref="C63:K63"/>
    <mergeCell ref="M3:M4"/>
    <mergeCell ref="P4:R4"/>
    <mergeCell ref="B38:C38"/>
    <mergeCell ref="C50:K50"/>
    <mergeCell ref="C51:K51"/>
    <mergeCell ref="C52:K52"/>
    <mergeCell ref="B3:C4"/>
    <mergeCell ref="E3:E4"/>
    <mergeCell ref="F3:F4"/>
    <mergeCell ref="G3:G4"/>
    <mergeCell ref="H3:J3"/>
    <mergeCell ref="K3:K4"/>
  </mergeCells>
  <conditionalFormatting sqref="M8:M14 M17:M18 M22:M25 M31:M33">
    <cfRule type="cellIs" dxfId="28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p:properties xmlns:p="http://schemas.microsoft.com/office/2006/metadata/properties" xmlns:xsi="http://www.w3.org/2001/XMLSchema-instance" xmlns:pc="http://schemas.microsoft.com/office/infopath/2007/PartnerControls"><documentManagement><Document_x0020_year xmlns="f561efb8-b46d-4570-9c47-eda5055211b4">2018-19</Document_x0020_year><Used_x0020_in_x0020_Tables xmlns="$ListId:Source Data Library;"/><Category xmlns="$ListId:Source Data Library;">Annual Performance Report</Category><Notes_x0020__x0020__x002f__x0020_Comments xmlns="$ListId:Source Data Library;" xsi:nil="true"/><Document_x0020_type xmlns="f561efb8-b46d-4570-9c47-eda5055211b4">Tables</Document_x0020_type><Document_x0020_Title xmlns="$ListId:Source Data Library;" xsi:nil="true"></Document_x0020_Title></documentManagement></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ct:contentTypeSchema ct:_="" ma:_="" ma:contentTypeName="Document" ma:contentTypeID="0x01010048A4698AA508904AB4234EDDB563A437" ma:contentTypeVersion="5" ma:contentTypeDescription="Create a new document." ma:contentTypeScope="" ma:versionID="c466cefaba4eb74e52dee77324b7922f" xmlns:ct="http://schemas.microsoft.com/office/2006/metadata/contentType" xmlns:ma="http://schemas.microsoft.com/office/2006/metadata/properties/metaAttributes">
<xsd:schema targetNamespace="http://schemas.microsoft.com/office/2006/metadata/properties" ma:root="true" ma:fieldsID="5b6b4810768088df386329feb25aa3c6" ns2:_="" ns3:_="" xmlns:xsd="http://www.w3.org/2001/XMLSchema" xmlns:xs="http://www.w3.org/2001/XMLSchema" xmlns:p="http://schemas.microsoft.com/office/2006/metadata/properties" xmlns:ns2="$ListId:Source Data Library;" xmlns:ns3="f561efb8-b46d-4570-9c47-eda5055211b4">
<xsd:import namespace="$ListId:Source Data Library;"/>
<xsd:import namespace="f561efb8-b46d-4570-9c47-eda5055211b4"/>
<xsd:element name="properties">
<xsd:complexType>
<xsd:sequence>
<xsd:element name="documentManagement">
<xsd:complexType>
<xsd:all>
<xsd:element ref="ns2:Document_x0020_Title" minOccurs="0"/>
<xsd:element ref="ns2:Used_x0020_in_x0020_Tables" minOccurs="0"/>
<xsd:element ref="ns2:Notes_x0020__x0020__x002f__x0020_Comments" minOccurs="0"/>
<xsd:element ref="ns2:Category" minOccurs="0"/>
<xsd:element ref="ns3:Document_x0020_type" minOccurs="0"/>
<xsd:element ref="ns3:Document_x0020_year" minOccurs="0"/>
</xsd:all>
</xsd:complexType>
</xsd:element>
</xsd:sequence>
</xsd:complexType>
</xsd:element>
</xsd:schema>
<xsd:schema targetNamespace="$ListId:Source Data Library;"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itle" ma:index="8" nillable="true" ma:displayName="Document Title" ma:internalName="Document_x0020_Title">
<xsd:simpleType>
<xsd:restriction base="dms:Text">
<xsd:maxLength value="255"/>
</xsd:restriction>
</xsd:simpleType>
</xsd:element>
<xsd:element name="Used_x0020_in_x0020_Tables" ma:index="9" nillable="true" ma:displayName="Used in Tables" ma:description="Select which tables the data will be used for" ma:hidden="true" ma:internalName="Used_x0020_in_x0020_Tables" ma:readOnly="false">
<xsd:complexType>
<xsd:complexContent>
<xsd:extension base="dms:MultiChoice">
<xsd:sequence>
<xsd:element name="Value" maxOccurs="unbounded" minOccurs="0" nillable="true">
<xsd:simpleType>
<xsd:restriction base="dms:Choice">
<xsd:enumeration value="All Tables"/>
<xsd:enumeration value="Appointed Business"/>
<xsd:enumeration value="Wholesale Water Service"/>
<xsd:enumeration value="Wholesale Water Resource"/>
<xsd:enumeration value="Wholesale Water Network +"/>
<xsd:enumeration value="Wholesale Wastewater Service"/>
<xsd:enumeration value="Wholesale Wastewater Network +"/>
<xsd:enumeration value="Wholesale Bioresources"/>
<xsd:enumeration value="Retail"/>
<xsd:enumeration value="PR14 Reconciliation"/>
</xsd:restriction>
</xsd:simpleType>
</xsd:element>
</xsd:sequence>
</xsd:extension>
</xsd:complexContent>
</xsd:complexType>
</xsd:element>
<xsd:element name="Notes_x0020__x0020__x002f__x0020_Comments" ma:index="10" nillable="true" ma:displayName="Notes  / Comments" ma:description="Enter any relevant notes for the data source" ma:hidden="true" ma:internalName="Notes_x0020__x0020__x002f__x0020_Comments" ma:readOnly="false">
<xsd:simpleType>
<xsd:restriction base="dms:Note"/>
</xsd:simpleType>
</xsd:element>
<xsd:element name="Category" ma:index="11" nillable="true" ma:displayName="Category" ma:default="Annual Performance Report" ma:description="Categorise the documents to make searching easier" ma:format="RadioButtons" ma:hidden="true" ma:internalName="Category" ma:readOnly="false">
<xsd:simpleType>
<xsd:restriction base="dms:Choice">
<xsd:enumeration value="Audits"/>
<xsd:enumeration value="Annual Performance Report"/>
<xsd:enumeration value="CAPR"/>
<xsd:enumeration value="Change log"/>
<xsd:enumeration value="Cost Assessment"/>
<xsd:enumeration value="Commentary reviewers"/>
<xsd:enumeration value="BW PR14 Tables/Commentaries"/>
<xsd:enumeration value="Data table cross checks"/>
<xsd:enumeration value="Data Tables Guidance"/>
<xsd:enumeration value="Final Determination"/>
<xsd:enumeration value="Menu Models"/>
<xsd:enumeration value="OFWAT Policy / Guidance"/>
<xsd:enumeration value="SWW PR14 Appointee Table / Commentary"/>
<xsd:enumeration value="SWW PR14 Retail Data Table / Commentary"/>
<xsd:enumeration value="SWW PR14 Drinking Water Table / Commentary"/>
<xsd:enumeration value="SWW PR14 Waste Water Table / Commentary"/>
<xsd:enumeration value="PR19 Data tables"/>
<xsd:enumeration value="PR19 Data tables OUR VERSIONS"/>
<xsd:enumeration value="RPI Index"/>
<xsd:enumeration value="Table Dependancies"/>
<xsd:enumeration value="Transition Figures"/>
<xsd:enumeration value="User Guide"/>
</xsd:restriction>
</xsd:simpleType>
</xsd:element>
</xsd:schema>
<xsd:schema targetNamespace="f561efb8-b46d-4570-9c47-eda5055211b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ype" ma:index="12" nillable="true" ma:displayName="Document type" ma:default="Select" ma:format="RadioButtons" ma:internalName="Document_x0020_type">
<xsd:simpleType>
<xsd:restriction base="dms:Choice">
<xsd:enumeration value="APR"/>
<xsd:enumeration value="Commentary"/>
<xsd:enumeration value="Evidence"/>
<xsd:enumeration value="RAG"/>
<xsd:enumeration value="Tables"/>
<xsd:enumeration value="Misc"/>
<xsd:enumeration value="Other APRs"/>
<xsd:enumeration value="FD Document"/>
<xsd:enumeration value="FD Model"/>
<xsd:enumeration value="FD Table"/>
<xsd:enumeration value="Select"/>
</xsd:restriction>
</xsd:simpleType>
</xsd:element>
<xsd:element name="Document_x0020_year" ma:index="13" nillable="true" ma:displayName="Document year" ma:default="2015-16" ma:format="Dropdown" ma:internalName="Document_x0020_year">
<xsd:simpleType>
<xsd:restriction base="dms:Choice">
<xsd:enumeration value="2015-16"/>
<xsd:enumeration value="2016-17"/>
<xsd:enumeration value="2017-18"/>
<xsd:enumeration value="2018-19"/>
<xsd:enumeration value="2019-20"/>
<xsd:enumeration value="2020-21"/>
<xsd:enumeration value="PR19"/>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Props1.xml><?xml version="1.0" encoding="utf-8"?>
<ds:datastoreItem xmlns:ds="http://schemas.openxmlformats.org/officeDocument/2006/customXml" ds:itemID="{060CDD28-FBF8-42BB-BD8B-ABC1D883ED1B}"/>
</file>

<file path=customXml/itemProps2.xml><?xml version="1.0" encoding="utf-8"?>
<ds:datastoreItem xmlns:ds="http://schemas.openxmlformats.org/officeDocument/2006/customXml" ds:itemID="{7CD99C6A-5A41-4B12-AE83-8309BA44B4E5}"/>
</file>

<file path=customXml/itemProps3.xml><?xml version="1.0" encoding="utf-8"?>
<ds:datastoreItem xmlns:ds="http://schemas.openxmlformats.org/officeDocument/2006/customXml" ds:itemID="{E62FE933-8A76-4F9F-8224-D3AE16777A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135</vt:i4>
      </vt:variant>
    </vt:vector>
  </HeadingPairs>
  <TitlesOfParts>
    <vt:vector size="202" baseType="lpstr">
      <vt:lpstr>CLEAR_SHEET</vt:lpstr>
      <vt:lpstr>Introduction</vt:lpstr>
      <vt:lpstr>Change log</vt:lpstr>
      <vt:lpstr>Validation</vt:lpstr>
      <vt:lpstr>Section 1 -&gt;</vt:lpstr>
      <vt:lpstr>1A</vt:lpstr>
      <vt:lpstr>1B</vt:lpstr>
      <vt:lpstr>1C</vt:lpstr>
      <vt:lpstr>1D</vt:lpstr>
      <vt:lpstr>1E</vt:lpstr>
      <vt:lpstr>1F</vt:lpstr>
      <vt:lpstr>Section 2 -&gt;</vt:lpstr>
      <vt:lpstr>2A</vt:lpstr>
      <vt:lpstr>2B</vt:lpstr>
      <vt:lpstr>2C</vt:lpstr>
      <vt:lpstr>2D</vt:lpstr>
      <vt:lpstr>2E</vt:lpstr>
      <vt:lpstr>2F - SWT</vt:lpstr>
      <vt:lpstr>2G</vt:lpstr>
      <vt:lpstr>2H</vt:lpstr>
      <vt:lpstr>2I - SWT</vt:lpstr>
      <vt:lpstr>2J</vt:lpstr>
      <vt:lpstr>2K</vt:lpstr>
      <vt:lpstr>Section 3 -&gt;</vt:lpstr>
      <vt:lpstr>3A - SWT</vt:lpstr>
      <vt:lpstr>3B - SWT</vt:lpstr>
      <vt:lpstr>3C</vt:lpstr>
      <vt:lpstr>3D - SWT</vt:lpstr>
      <vt:lpstr>3S - SWT</vt:lpstr>
      <vt:lpstr>Section 4 -&gt;</vt:lpstr>
      <vt:lpstr>4A - SWT</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Bioresources</vt:lpstr>
      <vt:lpstr>F_Outputs (group)</vt:lpstr>
      <vt:lpstr>F_Outputs</vt:lpstr>
      <vt:lpstr>Lists</vt:lpstr>
      <vt:lpstr>PC LIST</vt:lpstr>
      <vt:lpstr>PC list edited</vt:lpstr>
      <vt:lpstr>SUB LIST</vt:lpstr>
      <vt:lpstr>SUB list edited</vt:lpstr>
      <vt:lpstr>Water</vt:lpstr>
      <vt:lpstr>Sewerage</vt:lpstr>
      <vt:lpstr>Water PR16</vt:lpstr>
      <vt:lpstr>Sewerage PR16</vt:lpstr>
      <vt:lpstr>LWTW</vt:lpstr>
      <vt:lpstr>'PC LIST'!_FilterDatabase</vt:lpstr>
      <vt:lpstr>'PC list edited'!_FilterDatabase</vt:lpstr>
      <vt:lpstr>Sewerage!_FilterDatabase</vt:lpstr>
      <vt:lpstr>'SUB LIST'!_FilterDatabase</vt:lpstr>
      <vt:lpstr>Water!_FilterDatabase</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 - SWT'!Print_Area</vt:lpstr>
      <vt:lpstr>'2G'!Print_Area</vt:lpstr>
      <vt:lpstr>'2H'!Print_Area</vt:lpstr>
      <vt:lpstr>'2I - SWT'!Print_Area</vt:lpstr>
      <vt:lpstr>'2J'!Print_Area</vt:lpstr>
      <vt:lpstr>'2K'!Print_Area</vt:lpstr>
      <vt:lpstr>'3A - SWT'!Print_Area</vt:lpstr>
      <vt:lpstr>'3B - SWT'!Print_Area</vt:lpstr>
      <vt:lpstr>'3C'!Print_Area</vt:lpstr>
      <vt:lpstr>'3D - SWT'!Print_Area</vt:lpstr>
      <vt:lpstr>'3S - SWT'!Print_Area</vt:lpstr>
      <vt:lpstr>'4A - SWT'!Print_Area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Introduction!Print_Area</vt:lpstr>
      <vt:lpstr>Validation!Print_Area</vt:lpstr>
      <vt:lpstr>'4O'!Print_Titles</vt:lpstr>
      <vt:lpstr>'2D'!Z_0D666283_CADB_464A_974F_FFED8E45FEBD_.wvu.Cols</vt:lpstr>
      <vt:lpstr>'4A - SWT'!Z_0D666283_CADB_464A_974F_FFED8E45FEBD_.wvu.Cols</vt:lpstr>
      <vt:lpstr>'Other -&gt;'!Z_0D666283_CADB_464A_974F_FFED8E45FEBD_.wvu.Cols</vt:lpstr>
      <vt:lpstr>'Section 1 -&gt;'!Z_0D666283_CADB_464A_974F_FFED8E45FEBD_.wvu.Cols</vt:lpstr>
      <vt:lpstr>'Section 2 -&gt;'!Z_0D666283_CADB_464A_974F_FFED8E45FEBD_.wvu.Cols</vt:lpstr>
      <vt:lpstr>'Section 3 -&gt;'!Z_0D666283_CADB_464A_974F_FFED8E45FEBD_.wvu.Cols</vt:lpstr>
      <vt:lpstr>'Section 4 -&gt;'!Z_0D666283_CADB_464A_974F_FFED8E45FEBD_.wvu.Cols</vt:lpstr>
      <vt:lpstr>'PC list edited'!Z_0D666283_CADB_464A_974F_FFED8E45FEBD_.wvu.FilterData</vt:lpstr>
      <vt:lpstr>Sewerage!Z_0D666283_CADB_464A_974F_FFED8E45FEBD_.wvu.FilterData</vt:lpstr>
      <vt:lpstr>Water!Z_0D666283_CADB_464A_974F_FFED8E45FEBD_.wvu.FilterData</vt:lpstr>
      <vt:lpstr>'Other -&gt;'!Z_0D666283_CADB_464A_974F_FFED8E45FEBD_.wvu.Rows</vt:lpstr>
      <vt:lpstr>'Section 1 -&gt;'!Z_0D666283_CADB_464A_974F_FFED8E45FEBD_.wvu.Rows</vt:lpstr>
      <vt:lpstr>'Section 2 -&gt;'!Z_0D666283_CADB_464A_974F_FFED8E45FEBD_.wvu.Rows</vt:lpstr>
      <vt:lpstr>'Section 3 -&gt;'!Z_0D666283_CADB_464A_974F_FFED8E45FEBD_.wvu.Rows</vt:lpstr>
      <vt:lpstr>'Section 4 -&gt;'!Z_0D666283_CADB_464A_974F_FFED8E45FEBD_.wvu.Rows</vt:lpstr>
      <vt:lpstr>'2D'!Z_3BF63FB9_9E69_4F23_B37F_22932F355A10_.wvu.Cols</vt:lpstr>
      <vt:lpstr>'4A - SWT'!Z_3BF63FB9_9E69_4F23_B37F_22932F355A10_.wvu.Cols</vt:lpstr>
      <vt:lpstr>'Other -&gt;'!Z_3BF63FB9_9E69_4F23_B37F_22932F355A10_.wvu.Cols</vt:lpstr>
      <vt:lpstr>'Section 1 -&gt;'!Z_3BF63FB9_9E69_4F23_B37F_22932F355A10_.wvu.Cols</vt:lpstr>
      <vt:lpstr>'Section 2 -&gt;'!Z_3BF63FB9_9E69_4F23_B37F_22932F355A10_.wvu.Cols</vt:lpstr>
      <vt:lpstr>'Section 3 -&gt;'!Z_3BF63FB9_9E69_4F23_B37F_22932F355A10_.wvu.Cols</vt:lpstr>
      <vt:lpstr>'Section 4 -&gt;'!Z_3BF63FB9_9E69_4F23_B37F_22932F355A10_.wvu.Cols</vt:lpstr>
      <vt:lpstr>'PC list edited'!Z_3BF63FB9_9E69_4F23_B37F_22932F355A10_.wvu.FilterData</vt:lpstr>
      <vt:lpstr>Sewerage!Z_3BF63FB9_9E69_4F23_B37F_22932F355A10_.wvu.FilterData</vt:lpstr>
      <vt:lpstr>Water!Z_3BF63FB9_9E69_4F23_B37F_22932F355A10_.wvu.FilterData</vt:lpstr>
      <vt:lpstr>'Other -&gt;'!Z_3BF63FB9_9E69_4F23_B37F_22932F355A10_.wvu.Rows</vt:lpstr>
      <vt:lpstr>'Section 1 -&gt;'!Z_3BF63FB9_9E69_4F23_B37F_22932F355A10_.wvu.Rows</vt:lpstr>
      <vt:lpstr>'Section 2 -&gt;'!Z_3BF63FB9_9E69_4F23_B37F_22932F355A10_.wvu.Rows</vt:lpstr>
      <vt:lpstr>'Section 3 -&gt;'!Z_3BF63FB9_9E69_4F23_B37F_22932F355A10_.wvu.Rows</vt:lpstr>
      <vt:lpstr>'Section 4 -&gt;'!Z_3BF63FB9_9E69_4F23_B37F_22932F355A10_.wvu.Rows</vt:lpstr>
      <vt:lpstr>'2D'!Z_A683DE68_74F1_44FC_875D_47ACE58076E1_.wvu.Cols</vt:lpstr>
      <vt:lpstr>'4A - SWT'!Z_A683DE68_74F1_44FC_875D_47ACE58076E1_.wvu.Cols</vt:lpstr>
      <vt:lpstr>'Other -&gt;'!Z_A683DE68_74F1_44FC_875D_47ACE58076E1_.wvu.Cols</vt:lpstr>
      <vt:lpstr>'Section 1 -&gt;'!Z_A683DE68_74F1_44FC_875D_47ACE58076E1_.wvu.Cols</vt:lpstr>
      <vt:lpstr>'Section 2 -&gt;'!Z_A683DE68_74F1_44FC_875D_47ACE58076E1_.wvu.Cols</vt:lpstr>
      <vt:lpstr>'Section 3 -&gt;'!Z_A683DE68_74F1_44FC_875D_47ACE58076E1_.wvu.Cols</vt:lpstr>
      <vt:lpstr>'Section 4 -&gt;'!Z_A683DE68_74F1_44FC_875D_47ACE58076E1_.wvu.Cols</vt:lpstr>
      <vt:lpstr>'PC list edited'!Z_A683DE68_74F1_44FC_875D_47ACE58076E1_.wvu.FilterData</vt:lpstr>
      <vt:lpstr>Sewerage!Z_A683DE68_74F1_44FC_875D_47ACE58076E1_.wvu.FilterData</vt:lpstr>
      <vt:lpstr>Water!Z_A683DE68_74F1_44FC_875D_47ACE58076E1_.wvu.FilterData</vt:lpstr>
      <vt:lpstr>'Other -&gt;'!Z_A683DE68_74F1_44FC_875D_47ACE58076E1_.wvu.Rows</vt:lpstr>
      <vt:lpstr>'Section 1 -&gt;'!Z_A683DE68_74F1_44FC_875D_47ACE58076E1_.wvu.Rows</vt:lpstr>
      <vt:lpstr>'Section 2 -&gt;'!Z_A683DE68_74F1_44FC_875D_47ACE58076E1_.wvu.Rows</vt:lpstr>
      <vt:lpstr>'Section 3 -&gt;'!Z_A683DE68_74F1_44FC_875D_47ACE58076E1_.wvu.Rows</vt:lpstr>
      <vt:lpstr>'Section 4 -&gt;'!Z_A683DE68_74F1_44FC_875D_47ACE58076E1_.wvu.Rows</vt:lpstr>
      <vt:lpstr>'2D'!Z_B6110306_7EDB_4112_9F29_7D9801D46B38_.wvu.Cols</vt:lpstr>
      <vt:lpstr>'4A - SWT'!Z_B6110306_7EDB_4112_9F29_7D9801D46B38_.wvu.Cols</vt:lpstr>
      <vt:lpstr>'Other -&gt;'!Z_B6110306_7EDB_4112_9F29_7D9801D46B38_.wvu.Cols</vt:lpstr>
      <vt:lpstr>'Section 1 -&gt;'!Z_B6110306_7EDB_4112_9F29_7D9801D46B38_.wvu.Cols</vt:lpstr>
      <vt:lpstr>'Section 2 -&gt;'!Z_B6110306_7EDB_4112_9F29_7D9801D46B38_.wvu.Cols</vt:lpstr>
      <vt:lpstr>'Section 3 -&gt;'!Z_B6110306_7EDB_4112_9F29_7D9801D46B38_.wvu.Cols</vt:lpstr>
      <vt:lpstr>'Section 4 -&gt;'!Z_B6110306_7EDB_4112_9F29_7D9801D46B38_.wvu.Cols</vt:lpstr>
      <vt:lpstr>'PC list edited'!Z_B6110306_7EDB_4112_9F29_7D9801D46B38_.wvu.FilterData</vt:lpstr>
      <vt:lpstr>Sewerage!Z_B6110306_7EDB_4112_9F29_7D9801D46B38_.wvu.FilterData</vt:lpstr>
      <vt:lpstr>Water!Z_B6110306_7EDB_4112_9F29_7D9801D46B38_.wvu.FilterData</vt:lpstr>
      <vt:lpstr>'Other -&gt;'!Z_B6110306_7EDB_4112_9F29_7D9801D46B38_.wvu.Rows</vt:lpstr>
      <vt:lpstr>'Section 1 -&gt;'!Z_B6110306_7EDB_4112_9F29_7D9801D46B38_.wvu.Rows</vt:lpstr>
      <vt:lpstr>'Section 2 -&gt;'!Z_B6110306_7EDB_4112_9F29_7D9801D46B38_.wvu.Rows</vt:lpstr>
      <vt:lpstr>'Section 3 -&gt;'!Z_B6110306_7EDB_4112_9F29_7D9801D46B38_.wvu.Rows</vt:lpstr>
      <vt:lpstr>'Section 4 -&gt;'!Z_B6110306_7EDB_4112_9F29_7D9801D46B38_.wvu.Rows</vt:lpstr>
      <vt:lpstr>'PC list edited'!Z_C2AA8589_53C1_4273_B7EE_5FA5323CA1F5_.wvu.FilterData</vt:lpstr>
      <vt:lpstr>Sewerage!Z_C2AA8589_53C1_4273_B7EE_5FA5323CA1F5_.wvu.FilterData</vt:lpstr>
      <vt:lpstr>Water!Z_C2AA8589_53C1_4273_B7EE_5FA5323CA1F5_.wvu.FilterData</vt:lpstr>
      <vt:lpstr>'2D'!Z_C652482F_DA5C_42AD_B6EE_268877F72B6E_.wvu.Cols</vt:lpstr>
      <vt:lpstr>'4A - SWT'!Z_C652482F_DA5C_42AD_B6EE_268877F72B6E_.wvu.Cols</vt:lpstr>
      <vt:lpstr>'Other -&gt;'!Z_C652482F_DA5C_42AD_B6EE_268877F72B6E_.wvu.Cols</vt:lpstr>
      <vt:lpstr>'Section 1 -&gt;'!Z_C652482F_DA5C_42AD_B6EE_268877F72B6E_.wvu.Cols</vt:lpstr>
      <vt:lpstr>'Section 2 -&gt;'!Z_C652482F_DA5C_42AD_B6EE_268877F72B6E_.wvu.Cols</vt:lpstr>
      <vt:lpstr>'Section 3 -&gt;'!Z_C652482F_DA5C_42AD_B6EE_268877F72B6E_.wvu.Cols</vt:lpstr>
      <vt:lpstr>'Section 4 -&gt;'!Z_C652482F_DA5C_42AD_B6EE_268877F72B6E_.wvu.Cols</vt:lpstr>
      <vt:lpstr>'PC list edited'!Z_C652482F_DA5C_42AD_B6EE_268877F72B6E_.wvu.FilterData</vt:lpstr>
      <vt:lpstr>Sewerage!Z_C652482F_DA5C_42AD_B6EE_268877F72B6E_.wvu.FilterData</vt:lpstr>
      <vt:lpstr>Water!Z_C652482F_DA5C_42AD_B6EE_268877F72B6E_.wvu.FilterData</vt:lpstr>
      <vt:lpstr>'Other -&gt;'!Z_C652482F_DA5C_42AD_B6EE_268877F72B6E_.wvu.Rows</vt:lpstr>
      <vt:lpstr>'Section 1 -&gt;'!Z_C652482F_DA5C_42AD_B6EE_268877F72B6E_.wvu.Rows</vt:lpstr>
      <vt:lpstr>'Section 2 -&gt;'!Z_C652482F_DA5C_42AD_B6EE_268877F72B6E_.wvu.Rows</vt:lpstr>
      <vt:lpstr>'Section 3 -&gt;'!Z_C652482F_DA5C_42AD_B6EE_268877F72B6E_.wvu.Rows</vt:lpstr>
      <vt:lpstr>'Section 4 -&gt;'!Z_C652482F_DA5C_42AD_B6EE_268877F72B6E_.wvu.Rows</vt:lpstr>
      <vt:lpstr>'PC list edited'!Z_FCCFC11C_78D7_49AB_93F6_D160FB23647D_.wvu.FilterData</vt:lpstr>
      <vt:lpstr>Sewerage!Z_FCCFC11C_78D7_49AB_93F6_D160FB23647D_.wvu.FilterData</vt:lpstr>
      <vt:lpstr>Water!Z_FCCFC11C_78D7_49AB_93F6_D160FB23647D_.wvu.FilterData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2018-19 APR Excel tables TTT WIP</dc:title>
  <dc:creator/>
  <cp:lastModifiedBy/>
  <dcterms:created xsi:type="dcterms:W3CDTF">2017-05-24T13:36:10Z</dcterms:created>
  <dcterms:modified xsi:type="dcterms:W3CDTF">2019-07-24T13:42:21Z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0x01010048A4698AA508904AB4234EDDB563A437</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Stakeholder">
    <vt:lpwstr/>
  </property>
  <property fmtid="{D5CDD505-2E9C-101B-9397-08002B2CF9AE}" pid="7" name="Security Classification">
    <vt:lpwstr>21;#OFFICIAL|c2540f30-f875-494b-a43f-ebfb5017a6ad</vt:lpwstr>
  </property>
  <property fmtid="{D5CDD505-2E9C-101B-9397-08002B2CF9AE}" pid="8" name="Hierarchy">
    <vt:lpwstr/>
  </property>
  <property fmtid="{D5CDD505-2E9C-101B-9397-08002B2CF9AE}" pid="9" name="Collection">
    <vt:lpwstr/>
  </property>
  <property fmtid="{D5CDD505-2E9C-101B-9397-08002B2CF9AE}" pid="10" name="Stakeholder 5">
    <vt:lpwstr/>
  </property>
  <property fmtid="{D5CDD505-2E9C-101B-9397-08002B2CF9AE}" pid="11" name="Project Code">
    <vt:lpwstr>5;#Information and modelling|1370ae46-907c-4042-a177-a0ab02e852c2</vt:lpwstr>
  </property>
  <property fmtid="{D5CDD505-2E9C-101B-9397-08002B2CF9AE}" pid="12" name="Stakeholder 3">
    <vt:lpwstr/>
  </property>
  <property fmtid="{D5CDD505-2E9C-101B-9397-08002B2CF9AE}" pid="13" name="AuthorIds_UIVersion_2">
    <vt:lpwstr>38</vt:lpwstr>
  </property>
  <property fmtid="{D5CDD505-2E9C-101B-9397-08002B2CF9AE}" pid="14" name="AuthorIds_UIVersion_4">
    <vt:lpwstr>38</vt:lpwstr>
  </property>
  <property fmtid="{D5CDD505-2E9C-101B-9397-08002B2CF9AE}" pid="15" name="AuthorIds_UIVersion_5">
    <vt:lpwstr>38</vt:lpwstr>
  </property>
  <property fmtid="{D5CDD505-2E9C-101B-9397-08002B2CF9AE}" pid="16" name="AuthorIds_UIVersion_6">
    <vt:lpwstr>38</vt:lpwstr>
  </property>
  <property fmtid="{D5CDD505-2E9C-101B-9397-08002B2CF9AE}" pid="17" name="AuthorIds_UIVersion_7">
    <vt:lpwstr>38</vt:lpwstr>
  </property>
  <property fmtid="{D5CDD505-2E9C-101B-9397-08002B2CF9AE}" pid="18" name="AuthorIds_UIVersion_9">
    <vt:lpwstr>38</vt:lpwstr>
  </property>
  <property fmtid="{D5CDD505-2E9C-101B-9397-08002B2CF9AE}" pid="19" name="AuthorIds_UIVersion_10">
    <vt:lpwstr>38</vt:lpwstr>
  </property>
  <property fmtid="{D5CDD505-2E9C-101B-9397-08002B2CF9AE}" pid="20" name="AuthorIds_UIVersion_14">
    <vt:lpwstr>38</vt:lpwstr>
  </property>
  <property fmtid="{D5CDD505-2E9C-101B-9397-08002B2CF9AE}" pid="21" name="AuthorIds_UIVersion_21">
    <vt:lpwstr>38</vt:lpwstr>
  </property>
  <property fmtid="{D5CDD505-2E9C-101B-9397-08002B2CF9AE}" pid="22" name="AuthorIds_UIVersion_25">
    <vt:lpwstr>38</vt:lpwstr>
  </property>
  <property fmtid="{D5CDD505-2E9C-101B-9397-08002B2CF9AE}" pid="23" name="AuthorIds_UIVersion_35">
    <vt:lpwstr>38</vt:lpwstr>
  </property>
  <property fmtid="{D5CDD505-2E9C-101B-9397-08002B2CF9AE}" pid="24" name="AuthorIds_UIVersion_38">
    <vt:lpwstr>38</vt:lpwstr>
  </property>
  <property fmtid="{D5CDD505-2E9C-101B-9397-08002B2CF9AE}" pid="25" name="AuthorIds_UIVersion_40">
    <vt:lpwstr>38</vt:lpwstr>
  </property>
  <property fmtid="{D5CDD505-2E9C-101B-9397-08002B2CF9AE}" pid="26" name="AuthorIds_UIVersion_42">
    <vt:lpwstr>38</vt:lpwstr>
  </property>
  <property fmtid="{D5CDD505-2E9C-101B-9397-08002B2CF9AE}" pid="27" name="AuthorIds_UIVersion_55">
    <vt:lpwstr>38</vt:lpwstr>
  </property>
  <property fmtid="{D5CDD505-2E9C-101B-9397-08002B2CF9AE}" pid="28" name="AuthorIds_UIVersion_63">
    <vt:lpwstr>38</vt:lpwstr>
  </property>
  <property fmtid="{D5CDD505-2E9C-101B-9397-08002B2CF9AE}" pid="29" name="AuthorIds_UIVersion_69">
    <vt:lpwstr>38</vt:lpwstr>
  </property>
  <property fmtid="{D5CDD505-2E9C-101B-9397-08002B2CF9AE}" pid="30" name="AuthorIds_UIVersion_72">
    <vt:lpwstr>38</vt:lpwstr>
  </property>
  <property fmtid="{D5CDD505-2E9C-101B-9397-08002B2CF9AE}" pid="31" name="AuthorIds_UIVersion_80">
    <vt:lpwstr>38</vt:lpwstr>
  </property>
  <property fmtid="{D5CDD505-2E9C-101B-9397-08002B2CF9AE}" pid="32" name="AuthorIds_UIVersion_87">
    <vt:lpwstr>38</vt:lpwstr>
  </property>
  <property fmtid="{D5CDD505-2E9C-101B-9397-08002B2CF9AE}" pid="33" name="AuthorIds_UIVersion_88">
    <vt:lpwstr>38</vt:lpwstr>
  </property>
  <property fmtid="{D5CDD505-2E9C-101B-9397-08002B2CF9AE}" pid="34" name="AuthorIds_UIVersion_94">
    <vt:lpwstr>38</vt:lpwstr>
  </property>
  <property fmtid="{D5CDD505-2E9C-101B-9397-08002B2CF9AE}" pid="35" name="AuthorIds_UIVersion_111">
    <vt:lpwstr>38</vt:lpwstr>
  </property>
  <property fmtid="{D5CDD505-2E9C-101B-9397-08002B2CF9AE}" pid="36" name="AuthorIds_UIVersion_114">
    <vt:lpwstr>38</vt:lpwstr>
  </property>
  <property fmtid="{D5CDD505-2E9C-101B-9397-08002B2CF9AE}" pid="37" name="AuthorIds_UIVersion_116">
    <vt:lpwstr>38</vt:lpwstr>
  </property>
  <property fmtid="{D5CDD505-2E9C-101B-9397-08002B2CF9AE}" pid="38" name="AuthorIds_UIVersion_124">
    <vt:lpwstr>38</vt:lpwstr>
  </property>
  <property fmtid="{D5CDD505-2E9C-101B-9397-08002B2CF9AE}" pid="39" name="AuthorIds_UIVersion_128">
    <vt:lpwstr>38</vt:lpwstr>
  </property>
  <property fmtid="{D5CDD505-2E9C-101B-9397-08002B2CF9AE}" pid="40" name="AuthorIds_UIVersion_131">
    <vt:lpwstr>38</vt:lpwstr>
  </property>
  <property fmtid="{D5CDD505-2E9C-101B-9397-08002B2CF9AE}" pid="41" name="AuthorIds_UIVersion_134">
    <vt:lpwstr>38</vt:lpwstr>
  </property>
  <property fmtid="{D5CDD505-2E9C-101B-9397-08002B2CF9AE}" pid="42" name="AuthorIds_UIVersion_136">
    <vt:lpwstr>38</vt:lpwstr>
  </property>
  <property fmtid="{D5CDD505-2E9C-101B-9397-08002B2CF9AE}" pid="43" name="AuthorIds_UIVersion_141">
    <vt:lpwstr>38</vt:lpwstr>
  </property>
  <property fmtid="{D5CDD505-2E9C-101B-9397-08002B2CF9AE}" pid="44" name="AuthorIds_UIVersion_143">
    <vt:lpwstr>38</vt:lpwstr>
  </property>
  <property fmtid="{D5CDD505-2E9C-101B-9397-08002B2CF9AE}" pid="45" name="AuthorIds_UIVersion_144">
    <vt:lpwstr>17</vt:lpwstr>
  </property>
  <property fmtid="{D5CDD505-2E9C-101B-9397-08002B2CF9AE}" pid="46" name="AuthorIds_UIVersion_145">
    <vt:lpwstr>17</vt:lpwstr>
  </property>
  <property fmtid="{D5CDD505-2E9C-101B-9397-08002B2CF9AE}" pid="47" name="AuthorIds_UIVersion_146">
    <vt:lpwstr>17</vt:lpwstr>
  </property>
  <property fmtid="{D5CDD505-2E9C-101B-9397-08002B2CF9AE}" pid="48" name="AuthorIds_UIVersion_148">
    <vt:lpwstr>17</vt:lpwstr>
  </property>
  <property fmtid="{D5CDD505-2E9C-101B-9397-08002B2CF9AE}" pid="49" name="AuthorIds_UIVersion_149">
    <vt:lpwstr>17</vt:lpwstr>
  </property>
  <property fmtid="{D5CDD505-2E9C-101B-9397-08002B2CF9AE}" pid="50" name="AuthorIds_UIVersion_150">
    <vt:lpwstr>17</vt:lpwstr>
  </property>
  <property fmtid="{D5CDD505-2E9C-101B-9397-08002B2CF9AE}" pid="51" name="AuthorIds_UIVersion_151">
    <vt:lpwstr>17</vt:lpwstr>
  </property>
  <property fmtid="{D5CDD505-2E9C-101B-9397-08002B2CF9AE}" pid="52" name="AuthorIds_UIVersion_152">
    <vt:lpwstr>17</vt:lpwstr>
  </property>
  <property fmtid="{D5CDD505-2E9C-101B-9397-08002B2CF9AE}" pid="53" name="AuthorIds_UIVersion_153">
    <vt:lpwstr>17</vt:lpwstr>
  </property>
  <property fmtid="{D5CDD505-2E9C-101B-9397-08002B2CF9AE}" pid="54" name="AuthorIds_UIVersion_154">
    <vt:lpwstr>17</vt:lpwstr>
  </property>
  <property fmtid="{D5CDD505-2E9C-101B-9397-08002B2CF9AE}" pid="55" name="AuthorIds_UIVersion_159">
    <vt:lpwstr>17</vt:lpwstr>
  </property>
  <property fmtid="{D5CDD505-2E9C-101B-9397-08002B2CF9AE}" pid="56" name="AuthorIds_UIVersion_160">
    <vt:lpwstr>17</vt:lpwstr>
  </property>
  <property fmtid="{D5CDD505-2E9C-101B-9397-08002B2CF9AE}" pid="57" name="AuthorIds_UIVersion_161">
    <vt:lpwstr>17</vt:lpwstr>
  </property>
  <property fmtid="{D5CDD505-2E9C-101B-9397-08002B2CF9AE}" pid="58" name="AuthorIds_UIVersion_162">
    <vt:lpwstr>17</vt:lpwstr>
  </property>
  <property fmtid="{D5CDD505-2E9C-101B-9397-08002B2CF9AE}" pid="59" name="AuthorIds_UIVersion_163">
    <vt:lpwstr>17</vt:lpwstr>
  </property>
  <property fmtid="{D5CDD505-2E9C-101B-9397-08002B2CF9AE}" pid="60" name="AuthorIds_UIVersion_164">
    <vt:lpwstr>17</vt:lpwstr>
  </property>
  <property fmtid="{D5CDD505-2E9C-101B-9397-08002B2CF9AE}" pid="61" name="AuthorIds_UIVersion_165">
    <vt:lpwstr>38</vt:lpwstr>
  </property>
  <property fmtid="{D5CDD505-2E9C-101B-9397-08002B2CF9AE}" pid="62" name="AuthorIds_UIVersion_512">
    <vt:lpwstr>38</vt:lpwstr>
  </property>
  <property fmtid="{D5CDD505-2E9C-101B-9397-08002B2CF9AE}" pid="63" name="AuthorIds_UIVersion_3">
    <vt:lpwstr>38</vt:lpwstr>
  </property>
  <property fmtid="{D5CDD505-2E9C-101B-9397-08002B2CF9AE}" pid="64" name="AuthorIds_UIVersion_8">
    <vt:lpwstr>38</vt:lpwstr>
  </property>
  <property fmtid="{D5CDD505-2E9C-101B-9397-08002B2CF9AE}" pid="65" name="AuthorIds_UIVersion_12">
    <vt:lpwstr>38</vt:lpwstr>
  </property>
  <property fmtid="{D5CDD505-2E9C-101B-9397-08002B2CF9AE}" pid="66" name="AuthorIds_UIVersion_13">
    <vt:lpwstr>38</vt:lpwstr>
  </property>
  <property fmtid="{D5CDD505-2E9C-101B-9397-08002B2CF9AE}" pid="67" name="Order">
    <vt:r8>15800</vt:r8>
  </property>
</Properties>
</file>